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_Here" sheetId="1" state="visible" r:id="rId1"/>
    <sheet name="Dashboard" sheetId="2" state="visible" r:id="rId2"/>
    <sheet name="Config" sheetId="3" state="visible" r:id="rId3"/>
    <sheet name="Products" sheetId="4" state="visible" r:id="rId4"/>
    <sheet name="Suppliers" sheetId="5" state="visible" r:id="rId5"/>
    <sheet name="Purchase_Orders" sheetId="6" state="visible" r:id="rId6"/>
    <sheet name="Inventory_Ledger" sheetId="7" state="visible" r:id="rId7"/>
    <sheet name="Batches" sheetId="8" state="visible" r:id="rId8"/>
    <sheet name="Reservations" sheetId="9" state="visible" r:id="rId9"/>
    <sheet name="Marketing" sheetId="10" state="visible" r:id="rId10"/>
    <sheet name="Metric_Definitions" sheetId="11" state="visible" r:id="rId11"/>
    <sheet name="Milestones" sheetId="12" state="visible" r:id="rId12"/>
    <sheet name="Tasks" sheetId="13" state="visible" r:id="rId13"/>
    <sheet name="Documents" sheetId="14" state="visible" r:id="rId14"/>
    <sheet name="Import_Staging" sheetId="15" state="visible" r:id="rId15"/>
    <sheet name="Exceptions" sheetId="16" state="visible" r:id="rId16"/>
    <sheet name="Ready_To_Post" sheetId="17" state="visible" r:id="rId17"/>
  </sheets>
  <definedNames>
    <definedName name="_xlnm._FilterDatabase" localSheetId="3" hidden="1">'Products'!$A$1:$AC$101</definedName>
    <definedName name="_xlnm._FilterDatabase" localSheetId="4" hidden="1">'Suppliers'!$A$1:$P$51</definedName>
    <definedName name="_xlnm._FilterDatabase" localSheetId="5" hidden="1">'Purchase_Orders'!$A$1:$T$301</definedName>
    <definedName name="_xlnm._FilterDatabase" localSheetId="6" hidden="1">'Inventory_Ledger'!$A$1:$P$2001</definedName>
    <definedName name="_xlnm._FilterDatabase" localSheetId="7" hidden="1">'Batches'!$A$1:$S$301</definedName>
    <definedName name="_xlnm._FilterDatabase" localSheetId="8" hidden="1">'Reservations'!$A$1:$M$201</definedName>
    <definedName name="_xlnm._FilterDatabase" localSheetId="9" hidden="1">'Marketing'!$A$1:$U$101</definedName>
    <definedName name="_xlnm._FilterDatabase" localSheetId="11" hidden="1">'Milestones'!$A$1:$K$201</definedName>
    <definedName name="_xlnm._FilterDatabase" localSheetId="12" hidden="1">'Tasks'!$A$1:$M$301</definedName>
    <definedName name="_xlnm._FilterDatabase" localSheetId="13" hidden="1">'Documents'!$A$1:$M$201</definedName>
    <definedName name="_xlnm._FilterDatabase" localSheetId="14" hidden="1">'Import_Staging'!$A$1:$BV$301</definedName>
  </definedNames>
  <calcPr calcId="124519" fullCalcOnLoad="1"/>
</workbook>
</file>

<file path=xl/styles.xml><?xml version="1.0" encoding="utf-8"?>
<styleSheet xmlns="http://schemas.openxmlformats.org/spreadsheetml/2006/main">
  <numFmts count="7">
    <numFmt numFmtId="164" formatCode="yyyy-mm-dd"/>
    <numFmt numFmtId="165" formatCode="$#,##0.00"/>
    <numFmt numFmtId="166" formatCode="#,##0;[Red]-#,##0"/>
    <numFmt numFmtId="167" formatCode="$#,##0"/>
    <numFmt numFmtId="168" formatCode="0;[Red]-0"/>
    <numFmt numFmtId="169" formatCode="$#,##0;[Red]-$#,##0"/>
    <numFmt numFmtId="170" formatCode="0.00&quot;x&quot;"/>
  </numFmts>
  <fonts count="11">
    <font>
      <name val="Calibri"/>
      <family val="2"/>
      <color theme="1"/>
      <sz val="11"/>
      <scheme val="minor"/>
    </font>
    <font>
      <name val="Arial"/>
      <b val="1"/>
      <color rgb="001F3A5F"/>
      <sz val="16"/>
    </font>
    <font>
      <name val="Arial"/>
      <i val="1"/>
      <color rgb="005A6472"/>
      <sz val="10"/>
    </font>
    <font>
      <name val="Arial"/>
      <b val="1"/>
      <color rgb="00FFFFFF"/>
      <sz val="10"/>
    </font>
    <font>
      <name val="Arial"/>
      <b val="1"/>
      <sz val="10"/>
    </font>
    <font>
      <name val="Arial"/>
      <color rgb="005A6472"/>
      <sz val="9"/>
    </font>
    <font>
      <name val="Arial"/>
      <b val="1"/>
      <color rgb="001F3A5F"/>
      <sz val="12"/>
    </font>
    <font>
      <name val="Arial"/>
      <sz val="10"/>
    </font>
    <font>
      <name val="Arial"/>
      <b val="1"/>
      <color rgb="009C2B23"/>
      <sz val="10"/>
    </font>
    <font>
      <name val="Arial"/>
      <b val="1"/>
      <color rgb="003A4656"/>
      <sz val="9"/>
    </font>
    <font>
      <name val="Arial"/>
      <b val="1"/>
      <color rgb="001F3A5F"/>
      <sz val="20"/>
    </font>
  </fonts>
  <fills count="12">
    <fill>
      <patternFill/>
    </fill>
    <fill>
      <patternFill patternType="gray125"/>
    </fill>
    <fill>
      <patternFill patternType="solid">
        <fgColor rgb="001F3A5F"/>
      </patternFill>
    </fill>
    <fill>
      <patternFill patternType="solid">
        <fgColor rgb="005F6B7A"/>
      </patternFill>
    </fill>
    <fill>
      <patternFill patternType="solid">
        <fgColor rgb="00A3ADB8"/>
      </patternFill>
    </fill>
    <fill>
      <patternFill patternType="solid">
        <fgColor rgb="00F1F4F8"/>
      </patternFill>
    </fill>
    <fill>
      <patternFill patternType="solid">
        <fgColor rgb="00EEF3F9"/>
      </patternFill>
    </fill>
    <fill>
      <patternFill patternType="solid">
        <fgColor rgb="00FCE8B2"/>
      </patternFill>
    </fill>
    <fill>
      <patternFill patternType="solid">
        <fgColor rgb="00F9D2A8"/>
      </patternFill>
    </fill>
    <fill>
      <patternFill patternType="solid">
        <fgColor rgb="00FFF4C2"/>
      </patternFill>
    </fill>
    <fill>
      <patternFill patternType="solid">
        <fgColor rgb="00F8D0CC"/>
      </patternFill>
    </fill>
    <fill>
      <patternFill patternType="solid">
        <fgColor rgb="00D9EFD9"/>
      </patternFill>
    </fill>
  </fills>
  <borders count="3">
    <border>
      <left/>
      <right/>
      <top/>
      <bottom/>
      <diagonal/>
    </border>
    <border>
      <left style="thin">
        <color rgb="00D5DBE3"/>
      </left>
      <right style="thin">
        <color rgb="00D5DBE3"/>
      </right>
      <top style="thin">
        <color rgb="00D5DBE3"/>
      </top>
      <bottom style="thin">
        <color rgb="00D5DBE3"/>
      </bottom>
    </border>
    <border>
      <bottom style="thin">
        <color rgb="00D5DBE3"/>
      </bottom>
    </border>
  </borders>
  <cellStyleXfs count="1">
    <xf numFmtId="0" fontId="0" fillId="0" borderId="0"/>
  </cellStyleXfs>
  <cellXfs count="71">
    <xf numFmtId="0" fontId="0" fillId="0" borderId="0" pivotButton="0" quotePrefix="0" xfId="0"/>
    <xf numFmtId="0" fontId="1" fillId="0" borderId="0" pivotButton="0" quotePrefix="0" xfId="0"/>
    <xf numFmtId="0" fontId="8" fillId="0" borderId="0" pivotButton="0" quotePrefix="0" xfId="0"/>
    <xf numFmtId="0" fontId="6" fillId="0" borderId="2" pivotButton="0" quotePrefix="0" xfId="0"/>
    <xf numFmtId="0" fontId="0" fillId="0" borderId="2" pivotButton="0" quotePrefix="0" xfId="0"/>
    <xf numFmtId="0" fontId="7"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4" fillId="7" borderId="0" applyAlignment="1" pivotButton="0" quotePrefix="0" xfId="0">
      <alignment vertical="top" wrapText="1"/>
    </xf>
    <xf numFmtId="0" fontId="4" fillId="8" borderId="0" applyAlignment="1" pivotButton="0" quotePrefix="0" xfId="0">
      <alignment vertical="top" wrapText="1"/>
    </xf>
    <xf numFmtId="0" fontId="4" fillId="9" borderId="0" applyAlignment="1" pivotButton="0" quotePrefix="0" xfId="0">
      <alignment vertical="top" wrapText="1"/>
    </xf>
    <xf numFmtId="0" fontId="4" fillId="10" borderId="0" applyAlignment="1" pivotButton="0" quotePrefix="0" xfId="0">
      <alignment vertical="top" wrapText="1"/>
    </xf>
    <xf numFmtId="0" fontId="4" fillId="11" borderId="0" applyAlignment="1" pivotButton="0" quotePrefix="0" xfId="0">
      <alignment vertical="top" wrapText="1"/>
    </xf>
    <xf numFmtId="0" fontId="2" fillId="0" borderId="0" pivotButton="0" quotePrefix="0" xfId="0"/>
    <xf numFmtId="0" fontId="6" fillId="0" borderId="0" pivotButton="0" quotePrefix="0" xfId="0"/>
    <xf numFmtId="0" fontId="9" fillId="6" borderId="0" applyAlignment="1" pivotButton="0" quotePrefix="0" xfId="0">
      <alignment horizontal="center" vertical="center" wrapText="1"/>
    </xf>
    <xf numFmtId="0" fontId="0" fillId="6" borderId="0" pivotButton="0" quotePrefix="0" xfId="0"/>
    <xf numFmtId="0" fontId="5" fillId="0" borderId="0" pivotButton="0" quotePrefix="0" xfId="0"/>
    <xf numFmtId="166" fontId="10" fillId="6" borderId="0" applyAlignment="1" pivotButton="0" quotePrefix="0" xfId="0">
      <alignment horizontal="center" vertical="center" wrapText="1"/>
    </xf>
    <xf numFmtId="0" fontId="5"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7" fillId="0" borderId="0" applyAlignment="1" pivotButton="0" quotePrefix="0" xfId="0">
      <alignment horizontal="left" vertical="center" indent="1"/>
    </xf>
    <xf numFmtId="166" fontId="7" fillId="0" borderId="0" applyAlignment="1" pivotButton="0" quotePrefix="0" xfId="0">
      <alignment horizontal="right"/>
    </xf>
    <xf numFmtId="3" fontId="7" fillId="0" borderId="0" applyAlignment="1" pivotButton="0" quotePrefix="0" xfId="0">
      <alignment horizontal="right"/>
    </xf>
    <xf numFmtId="164" fontId="7" fillId="0" borderId="0" applyAlignment="1" pivotButton="0" quotePrefix="0" xfId="0">
      <alignment horizontal="center" vertical="center"/>
    </xf>
    <xf numFmtId="1" fontId="7" fillId="0" borderId="0" applyAlignment="1" pivotButton="0" quotePrefix="0" xfId="0">
      <alignment horizontal="right"/>
    </xf>
    <xf numFmtId="168" fontId="7" fillId="0" borderId="0" applyAlignment="1" pivotButton="0" quotePrefix="0" xfId="0">
      <alignment horizontal="right"/>
    </xf>
    <xf numFmtId="0" fontId="4" fillId="0" borderId="0" applyAlignment="1" pivotButton="0" quotePrefix="0" xfId="0">
      <alignment horizontal="left" vertical="center" indent="1"/>
    </xf>
    <xf numFmtId="0" fontId="5" fillId="0" borderId="0" applyAlignment="1" pivotButton="0" quotePrefix="0" xfId="0">
      <alignment horizontal="left" vertical="center" wrapText="1" indent="1"/>
    </xf>
    <xf numFmtId="0" fontId="7" fillId="0" borderId="0" applyAlignment="1" pivotButton="0" quotePrefix="0" xfId="0">
      <alignment horizontal="right" vertical="center"/>
    </xf>
    <xf numFmtId="0" fontId="4" fillId="0" borderId="0" applyAlignment="1" pivotButton="0" quotePrefix="0" xfId="0">
      <alignment horizontal="right" vertical="center"/>
    </xf>
    <xf numFmtId="0" fontId="4" fillId="0" borderId="0" pivotButton="0" quotePrefix="0" xfId="0"/>
    <xf numFmtId="0" fontId="7" fillId="0" borderId="0" applyAlignment="1" pivotButton="0" quotePrefix="0" xfId="0">
      <alignment horizontal="left"/>
    </xf>
    <xf numFmtId="167" fontId="7" fillId="0" borderId="0" applyAlignment="1" pivotButton="0" quotePrefix="0" xfId="0">
      <alignment horizontal="right"/>
    </xf>
    <xf numFmtId="0" fontId="7" fillId="0" borderId="0" applyAlignment="1" pivotButton="0" quotePrefix="0" xfId="0">
      <alignment horizontal="right"/>
    </xf>
    <xf numFmtId="166" fontId="4" fillId="0" borderId="0" pivotButton="0" quotePrefix="0" xfId="0"/>
    <xf numFmtId="164" fontId="4" fillId="0" borderId="1" applyProtection="1" pivotButton="0" quotePrefix="0" xfId="0">
      <protection locked="0" hidden="0"/>
    </xf>
    <xf numFmtId="0" fontId="4" fillId="0" borderId="1" applyProtection="1" pivotButton="0" quotePrefix="0" xfId="0">
      <protection locked="0" hidden="0"/>
    </xf>
    <xf numFmtId="0" fontId="3" fillId="2" borderId="0" applyAlignment="1" pivotButton="0" quotePrefix="0" xfId="0">
      <alignment horizontal="center" vertical="center" wrapText="1"/>
    </xf>
    <xf numFmtId="0" fontId="7" fillId="0" borderId="0" applyProtection="1" pivotButton="0" quotePrefix="0" xfId="0">
      <protection locked="0" hidden="0"/>
    </xf>
    <xf numFmtId="0" fontId="3" fillId="3" borderId="0" pivotButton="0" quotePrefix="0" xfId="0"/>
    <xf numFmtId="0" fontId="7" fillId="0" borderId="0" pivotButton="0" quotePrefix="0" xfId="0"/>
    <xf numFmtId="0" fontId="3" fillId="4" borderId="0" applyAlignment="1" pivotButton="0" quotePrefix="0" xfId="0">
      <alignment horizontal="center" vertical="center" wrapText="1"/>
    </xf>
    <xf numFmtId="0" fontId="7" fillId="0" borderId="0" applyAlignment="1" applyProtection="1" pivotButton="0" quotePrefix="0" xfId="0">
      <alignment horizontal="left" vertical="center" indent="1"/>
      <protection locked="0" hidden="0"/>
    </xf>
    <xf numFmtId="165" fontId="7" fillId="0" borderId="0" applyProtection="1" pivotButton="0" quotePrefix="0" xfId="0">
      <protection locked="0" hidden="0"/>
    </xf>
    <xf numFmtId="3" fontId="7" fillId="0" borderId="0" applyProtection="1" pivotButton="0" quotePrefix="0" xfId="0">
      <protection locked="0" hidden="0"/>
    </xf>
    <xf numFmtId="0" fontId="7" fillId="5" borderId="0" applyAlignment="1" pivotButton="0" quotePrefix="0" xfId="0">
      <alignment horizontal="left" vertical="center" indent="1"/>
    </xf>
    <xf numFmtId="3" fontId="7" fillId="5" borderId="0" pivotButton="0" quotePrefix="0" xfId="0"/>
    <xf numFmtId="166" fontId="7" fillId="5" borderId="0" pivotButton="0" quotePrefix="0" xfId="0"/>
    <xf numFmtId="1" fontId="7" fillId="5" borderId="0" pivotButton="0" quotePrefix="0" xfId="0"/>
    <xf numFmtId="167" fontId="7" fillId="5" borderId="0" pivotButton="0" quotePrefix="0" xfId="0"/>
    <xf numFmtId="164" fontId="7" fillId="0" borderId="0" applyAlignment="1" applyProtection="1" pivotButton="0" quotePrefix="0" xfId="0">
      <alignment horizontal="center" vertical="center"/>
      <protection locked="0" hidden="0"/>
    </xf>
    <xf numFmtId="166" fontId="7" fillId="0" borderId="0" applyProtection="1" pivotButton="0" quotePrefix="0" xfId="0">
      <protection locked="0" hidden="0"/>
    </xf>
    <xf numFmtId="168" fontId="7" fillId="5" borderId="0" pivotButton="0" quotePrefix="0" xfId="0"/>
    <xf numFmtId="167" fontId="7" fillId="0" borderId="0" applyProtection="1" pivotButton="0" quotePrefix="0" xfId="0">
      <protection locked="0" hidden="0"/>
    </xf>
    <xf numFmtId="169" fontId="7" fillId="5" borderId="0" pivotButton="0" quotePrefix="0" xfId="0"/>
    <xf numFmtId="170" fontId="7" fillId="5" borderId="0" pivotButton="0" quotePrefix="0" xfId="0"/>
    <xf numFmtId="0" fontId="7" fillId="0" borderId="0" applyAlignment="1" applyProtection="1" pivotButton="0" quotePrefix="0" xfId="0">
      <alignment vertical="top" wrapText="1"/>
      <protection locked="0" hidden="0"/>
    </xf>
    <xf numFmtId="49" fontId="7" fillId="0" borderId="0" applyAlignment="1" applyProtection="1" pivotButton="0" quotePrefix="0" xfId="0">
      <alignment horizontal="left" vertical="center" indent="1"/>
      <protection locked="0" hidden="0"/>
    </xf>
    <xf numFmtId="164" fontId="7" fillId="5" borderId="0" applyAlignment="1" pivotButton="0" quotePrefix="0" xfId="0">
      <alignment horizontal="center" vertical="center"/>
    </xf>
    <xf numFmtId="0" fontId="4" fillId="0" borderId="0" applyAlignment="1" pivotButton="0" quotePrefix="0" xfId="0">
      <alignment horizontal="left" vertical="bottom" wrapText="1"/>
    </xf>
    <xf numFmtId="0" fontId="6" fillId="0" borderId="0" applyAlignment="1" pivotButton="0" quotePrefix="0" xfId="0">
      <alignment horizontal="left"/>
    </xf>
    <xf numFmtId="0" fontId="7" fillId="0" borderId="0" applyAlignment="1" pivotButton="0" quotePrefix="0" xfId="0">
      <alignment horizontal="center" vertical="top"/>
    </xf>
    <xf numFmtId="0" fontId="7" fillId="0" borderId="0" applyAlignment="1" pivotButton="0" quotePrefix="0" xfId="0">
      <alignment horizontal="left" vertical="top" indent="1"/>
    </xf>
    <xf numFmtId="0" fontId="7" fillId="0" borderId="0" applyAlignment="1" pivotButton="0" quotePrefix="0" xfId="0">
      <alignment horizontal="left" vertical="top" wrapText="1" indent="1"/>
    </xf>
    <xf numFmtId="0" fontId="3" fillId="4" borderId="0" pivotButton="0" quotePrefix="0" xfId="0"/>
    <xf numFmtId="166" fontId="7" fillId="0" borderId="0" pivotButton="0" quotePrefix="0" xfId="0"/>
    <xf numFmtId="3" fontId="7" fillId="0" borderId="0" pivotButton="0" quotePrefix="0" xfId="0"/>
  </cellXfs>
  <cellStyles count="1">
    <cellStyle name="Normal" xfId="0" builtinId="0" hidden="0"/>
  </cellStyles>
  <dxfs count="7">
    <dxf>
      <fill>
        <patternFill patternType="solid">
          <fgColor rgb="00F8D0CC"/>
        </patternFill>
      </fill>
    </dxf>
    <dxf>
      <fill>
        <patternFill patternType="solid">
          <fgColor rgb="00FCE8B2"/>
        </patternFill>
      </fill>
    </dxf>
    <dxf>
      <fill>
        <patternFill patternType="solid">
          <fgColor rgb="00F9D2A8"/>
        </patternFill>
      </fill>
    </dxf>
    <dxf>
      <fill>
        <patternFill patternType="solid">
          <fgColor rgb="00FFF4C2"/>
        </patternFill>
      </fill>
    </dxf>
    <dxf>
      <font>
        <name val="Arial"/>
        <color rgb="009C2B23"/>
        <sz val="10"/>
      </font>
      <fill>
        <patternFill patternType="solid">
          <fgColor rgb="00F8D0CC"/>
        </patternFill>
      </fill>
    </dxf>
    <dxf>
      <fill>
        <patternFill patternType="solid">
          <fgColor rgb="00D9EFD9"/>
        </patternFill>
      </fill>
    </dxf>
    <dxf>
      <fill>
        <patternFill patternType="solid">
          <fgColor rgb="00FBE9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Ops workbook</author>
  </authors>
  <commentList>
    <comment ref="A1" authorId="0" shapeId="0">
      <text>
        <t>Required. Stable product ID. Never rename or reuse it once records point to it.</t>
      </text>
    </comment>
    <comment ref="B1" authorId="0" shapeId="0">
      <text>
        <t>Required. Type or pick a value.</t>
      </text>
    </comment>
    <comment ref="C1" authorId="0" shapeId="0">
      <text>
        <t>Required. Type or pick a value.</t>
      </text>
    </comment>
    <comment ref="D1" authorId="0" shapeId="0">
      <text>
        <t>Optional. Type or pick a value.</t>
      </text>
    </comment>
    <comment ref="E1" authorId="0" shapeId="0">
      <text>
        <t>Optional. Type or pick a value.</t>
      </text>
    </comment>
    <comment ref="F1" authorId="0" shapeId="0">
      <text>
        <t>Required. Type or pick a value.</t>
      </text>
    </comment>
    <comment ref="G1" authorId="0" shapeId="0">
      <text>
        <t>Optional. Type or pick a value.</t>
      </text>
    </comment>
    <comment ref="H1" authorId="0" shapeId="0">
      <text>
        <t>Required. Units on hand on the opening balance date (Config). Must equal the sum of this SKU's lot openings in Batches.</t>
      </text>
    </comment>
    <comment ref="I1" authorId="0" shapeId="0">
      <text>
        <t>Required. Company rule: alert when the stock chosen on Config is below this number.</t>
      </text>
    </comment>
    <comment ref="J1" authorId="0" shapeId="0">
      <text>
        <t>Required. Type or pick a value.</t>
      </text>
    </comment>
    <comment ref="K1" authorId="0" shapeId="0">
      <text>
        <t>Optional. Type or pick a value.</t>
      </text>
    </comment>
    <comment ref="L1" authorId="0" shapeId="0">
      <text>
        <t>Required. Type or pick a value.</t>
      </text>
    </comment>
    <comment ref="M1" authorId="0" shapeId="0">
      <text>
        <t>Optional. Type or pick a value.</t>
      </text>
    </comment>
    <comment ref="N1" authorId="0" shapeId="0">
      <text>
        <t>Calculated by formula and locked. Do not type here.</t>
      </text>
    </comment>
    <comment ref="O1" authorId="0" shapeId="0">
      <text>
        <t>Calculated by formula and locked. Do not type here.</t>
      </text>
    </comment>
    <comment ref="P1" authorId="0" shapeId="0">
      <text>
        <t>Calculated by formula and locked. Do not type here.</t>
      </text>
    </comment>
    <comment ref="Q1" authorId="0" shapeId="0">
      <text>
        <t>Calculated by formula and locked. Do not type here.</t>
      </text>
    </comment>
    <comment ref="R1" authorId="0" shapeId="0">
      <text>
        <t>Calculated by formula and locked. Do not type here.</t>
      </text>
    </comment>
    <comment ref="S1" authorId="0" shapeId="0">
      <text>
        <t>Calculated by formula and locked. Do not type here.</t>
      </text>
    </comment>
    <comment ref="T1" authorId="0" shapeId="0">
      <text>
        <t>Calculated by formula and locked. Do not type here.</t>
      </text>
    </comment>
    <comment ref="U1" authorId="0" shapeId="0">
      <text>
        <t>Calculated by formula and locked. Do not type here.</t>
      </text>
    </comment>
    <comment ref="V1" authorId="0" shapeId="0">
      <text>
        <t>Calculated by formula and locked. Do not type here.</t>
      </text>
    </comment>
    <comment ref="W1" authorId="0" shapeId="0">
      <text>
        <t>Calculated by formula and locked. Do not type here.</t>
      </text>
    </comment>
    <comment ref="X1" authorId="0" shapeId="0">
      <text>
        <t>Calculated by formula and locked. Do not type here.</t>
      </text>
    </comment>
    <comment ref="Y1" authorId="0" shapeId="0">
      <text>
        <t>Calculated by formula and locked. Do not type here.</t>
      </text>
    </comment>
    <comment ref="Z1" authorId="0" shapeId="0">
      <text>
        <t>Calculated by formula and locked. Do not type here.</t>
      </text>
    </comment>
    <comment ref="AA1" authorId="0" shapeId="0">
      <text>
        <t>Calculated by formula and locked. Do not type here.</t>
      </text>
    </comment>
    <comment ref="AB1" authorId="0" shapeId="0">
      <text>
        <t>Calculated by formula and locked. Do not type here.</t>
      </text>
    </comment>
    <comment ref="AC1" authorId="0" shapeId="0">
      <text>
        <t>Helper column used by the Dashboard or Exceptions lists. Calculated and locked.</t>
      </text>
    </comment>
  </commentList>
</comments>
</file>

<file path=xl/comments/comment2.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Required. Type or pick a value.</t>
      </text>
    </comment>
    <comment ref="D1" authorId="0" shapeId="0">
      <text>
        <t>Optional. Type or pick a value.</t>
      </text>
    </comment>
    <comment ref="E1" authorId="0" shapeId="0">
      <text>
        <t>Optional. Type or pick a value.</t>
      </text>
    </comment>
    <comment ref="F1" authorId="0" shapeId="0">
      <text>
        <t>Optional. Type or pick a value.</t>
      </text>
    </comment>
    <comment ref="G1" authorId="0" shapeId="0">
      <text>
        <t>Optional. Type or pick a value.</t>
      </text>
    </comment>
    <comment ref="H1" authorId="0" shapeId="0">
      <text>
        <t>Optional. Type or pick a value.</t>
      </text>
    </comment>
    <comment ref="I1" authorId="0" shapeId="0">
      <text>
        <t>Optional. Type or pick a value.</t>
      </text>
    </comment>
    <comment ref="J1" authorId="0" shapeId="0">
      <text>
        <t>Optional. Type or pick a value.</t>
      </text>
    </comment>
    <comment ref="K1" authorId="0" shapeId="0">
      <text>
        <t>Required. Type or pick a value.</t>
      </text>
    </comment>
    <comment ref="L1" authorId="0" shapeId="0">
      <text>
        <t>Optional. Type or pick a value.</t>
      </text>
    </comment>
    <comment ref="M1" authorId="0" shapeId="0">
      <text>
        <t>Optional. Type or pick a value.</t>
      </text>
    </comment>
    <comment ref="N1" authorId="0" shapeId="0">
      <text>
        <t>Calculated by formula and locked. Do not type here.</t>
      </text>
    </comment>
    <comment ref="O1" authorId="0" shapeId="0">
      <text>
        <t>Calculated by formula and locked. Do not type here.</t>
      </text>
    </comment>
    <comment ref="P1" authorId="0" shapeId="0">
      <text>
        <t>Calculated by formula and locked. Do not type here.</t>
      </text>
    </comment>
  </commentList>
</comments>
</file>

<file path=xl/comments/comment3.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Required. Type or pick a value.</t>
      </text>
    </comment>
    <comment ref="D1" authorId="0" shapeId="0">
      <text>
        <t>Required. Type or pick a value.</t>
      </text>
    </comment>
    <comment ref="E1" authorId="0" shapeId="0">
      <text>
        <t>Optional. Type or pick a value.</t>
      </text>
    </comment>
    <comment ref="F1" authorId="0" shapeId="0">
      <text>
        <t>Required. Type or pick a value.</t>
      </text>
    </comment>
    <comment ref="G1" authorId="0" shapeId="0">
      <text>
        <t>Required. Expected arrival date. For a partly received PO, the date the balance is expected.</t>
      </text>
    </comment>
    <comment ref="H1" authorId="0" shapeId="0">
      <text>
        <t>Required. Type or pick a value.</t>
      </text>
    </comment>
    <comment ref="I1" authorId="0" shapeId="0">
      <text>
        <t>Required. Type or pick a value.</t>
      </text>
    </comment>
    <comment ref="J1" authorId="0" shapeId="0">
      <text>
        <t>Optional. Type or pick a value.</t>
      </text>
    </comment>
    <comment ref="K1" authorId="0" shapeId="0">
      <text>
        <t>Calculated by formula and locked. Do not type here.</t>
      </text>
    </comment>
    <comment ref="L1" authorId="0" shapeId="0">
      <text>
        <t>Calculated by formula and locked. Do not type here.</t>
      </text>
    </comment>
    <comment ref="M1" authorId="0" shapeId="0">
      <text>
        <t>Calculated by formula and locked. Do not type here.</t>
      </text>
    </comment>
    <comment ref="N1" authorId="0" shapeId="0">
      <text>
        <t>Calculated by formula and locked. Do not type here. Ordered - received, for POs whose status counts as open on Config; 0 for other statuses.</t>
      </text>
    </comment>
    <comment ref="O1" authorId="0" shapeId="0">
      <text>
        <t>Calculated by formula and locked. Do not type here.</t>
      </text>
    </comment>
    <comment ref="P1" authorId="0" shapeId="0">
      <text>
        <t>Calculated by formula and locked. Do not type here.</t>
      </text>
    </comment>
    <comment ref="Q1" authorId="0" shapeId="0">
      <text>
        <t>Calculated by formula and locked. Do not type here.</t>
      </text>
    </comment>
    <comment ref="R1" authorId="0" shapeId="0">
      <text>
        <t>Calculated by formula and locked. Do not type here.</t>
      </text>
    </comment>
    <comment ref="S1" authorId="0" shapeId="0">
      <text>
        <t>Calculated by formula and locked. Do not type here.</t>
      </text>
    </comment>
    <comment ref="T1" authorId="0" shapeId="0">
      <text>
        <t>Helper column used by the Dashboard or Exceptions lists. Calculated and locked.</t>
      </text>
    </comment>
  </commentList>
</comments>
</file>

<file path=xl/comments/comment4.xml><?xml version="1.0" encoding="utf-8"?>
<comments xmlns="http://schemas.openxmlformats.org/spreadsheetml/2006/main">
  <authors>
    <author>Ops workbook</author>
  </authors>
  <commentList>
    <comment ref="A1" authorId="0" shapeId="0">
      <text>
        <t>Required. Unique movement ID. Warehouse rows keep the warehouse movement_id; manual adjustments use ADJ-yymm-nnn.</t>
      </text>
    </comment>
    <comment ref="B1" authorId="0" shapeId="0">
      <text>
        <t>Required. Type or pick a value.</t>
      </text>
    </comment>
    <comment ref="C1" authorId="0" shapeId="0">
      <text>
        <t>Required. Type or pick a value.</t>
      </text>
    </comment>
    <comment ref="D1" authorId="0" shapeId="0">
      <text>
        <t>Required. Type or pick a value.</t>
      </text>
    </comment>
    <comment ref="E1" authorId="0" shapeId="0">
      <text>
        <t>Required. Receipts and shipments: positive units. Adjustments: + adds units, - removes units.</t>
      </text>
    </comment>
    <comment ref="F1" authorId="0" shapeId="0">
      <text>
        <t>Required. Type or pick a value.</t>
      </text>
    </comment>
    <comment ref="G1" authorId="0" shapeId="0">
      <text>
        <t>Optional. Type or pick a value.</t>
      </text>
    </comment>
    <comment ref="H1" authorId="0" shapeId="0">
      <text>
        <t>Optional. Type or pick a value.</t>
      </text>
    </comment>
    <comment ref="I1" authorId="0" shapeId="0">
      <text>
        <t>Required. Type or pick a value.</t>
      </text>
    </comment>
    <comment ref="J1" authorId="0" shapeId="0">
      <text>
        <t>Optional. Type or pick a value.</t>
      </text>
    </comment>
    <comment ref="K1" authorId="0" shapeId="0">
      <text>
        <t>Optional. Type or pick a value.</t>
      </text>
    </comment>
    <comment ref="L1" authorId="0" shapeId="0">
      <text>
        <t>Optional. Type or pick a value.</t>
      </text>
    </comment>
    <comment ref="M1" authorId="0" shapeId="0">
      <text>
        <t>Calculated by formula and locked. Do not type here.</t>
      </text>
    </comment>
    <comment ref="N1" authorId="0" shapeId="0">
      <text>
        <t>Calculated by formula and locked. Do not type here.</t>
      </text>
    </comment>
    <comment ref="O1" authorId="0" shapeId="0">
      <text>
        <t>Calculated by formula and locked. Do not type here.</t>
      </text>
    </comment>
    <comment ref="P1" authorId="0" shapeId="0">
      <text>
        <t>Calculated by formula and locked. Do not type here.</t>
      </text>
    </comment>
  </commentList>
</comments>
</file>

<file path=xl/comments/comment5.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Optional. Type or pick a value.</t>
      </text>
    </comment>
    <comment ref="D1" authorId="0" shapeId="0">
      <text>
        <t>Optional. Type or pick a value.</t>
      </text>
    </comment>
    <comment ref="E1" authorId="0" shapeId="0">
      <text>
        <t>Required. Company-supplied expiry or best-before date. The workbook tracks this date; it does not judge product safety.</t>
      </text>
    </comment>
    <comment ref="F1" authorId="0" shapeId="0">
      <text>
        <t>Optional. Units of this lot on hand on the opening balance date. 0 or blank for lots received later.</t>
      </text>
    </comment>
    <comment ref="G1" authorId="0" shapeId="0">
      <text>
        <t>Required. Type or pick a value.</t>
      </text>
    </comment>
    <comment ref="H1" authorId="0" shapeId="0">
      <text>
        <t>Optional. Type or pick a value.</t>
      </text>
    </comment>
    <comment ref="I1" authorId="0" shapeId="0">
      <text>
        <t>Optional. Type or pick a value.</t>
      </text>
    </comment>
    <comment ref="J1" authorId="0" shapeId="0">
      <text>
        <t>Calculated by formula and locked. Do not type here.</t>
      </text>
    </comment>
    <comment ref="K1" authorId="0" shapeId="0">
      <text>
        <t>Calculated by formula and locked. Do not type here.</t>
      </text>
    </comment>
    <comment ref="L1" authorId="0" shapeId="0">
      <text>
        <t>Calculated by formula and locked. Do not type here.</t>
      </text>
    </comment>
    <comment ref="M1" authorId="0" shapeId="0">
      <text>
        <t>Calculated by formula and locked. Do not type here.</t>
      </text>
    </comment>
    <comment ref="N1" authorId="0" shapeId="0">
      <text>
        <t>Calculated by formula and locked. Do not type here.</t>
      </text>
    </comment>
    <comment ref="O1" authorId="0" shapeId="0">
      <text>
        <t>Helper column used by the Dashboard or Exceptions lists. Calculated and locked.</t>
      </text>
    </comment>
    <comment ref="P1" authorId="0" shapeId="0">
      <text>
        <t>Calculated by formula and locked. Do not type here.</t>
      </text>
    </comment>
    <comment ref="Q1" authorId="0" shapeId="0">
      <text>
        <t>Helper column used by the Dashboard or Exceptions lists. Calculated and locked.</t>
      </text>
    </comment>
    <comment ref="R1" authorId="0" shapeId="0">
      <text>
        <t>Helper column used by the Dashboard or Exceptions lists. Calculated and locked.</t>
      </text>
    </comment>
    <comment ref="S1" authorId="0" shapeId="0">
      <text>
        <t>Calculated by formula and locked. Do not type here.</t>
      </text>
    </comment>
  </commentList>
</comments>
</file>

<file path=xl/comments/comment6.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Required. Type or pick a value.</t>
      </text>
    </comment>
    <comment ref="D1" authorId="0" shapeId="0">
      <text>
        <t>Required. Type or pick a value.</t>
      </text>
    </comment>
    <comment ref="E1" authorId="0" shapeId="0">
      <text>
        <t>Required. Type or pick a value.</t>
      </text>
    </comment>
    <comment ref="F1" authorId="0" shapeId="0">
      <text>
        <t>Required. Type or pick a value.</t>
      </text>
    </comment>
    <comment ref="G1" authorId="0" shapeId="0">
      <text>
        <t>Optional. Blank = held until released by hand.</t>
      </text>
    </comment>
    <comment ref="H1" authorId="0" shapeId="0">
      <text>
        <t>Optional. Type or pick a value.</t>
      </text>
    </comment>
    <comment ref="I1" authorId="0" shapeId="0">
      <text>
        <t>Optional. Type or pick a value.</t>
      </text>
    </comment>
    <comment ref="J1" authorId="0" shapeId="0">
      <text>
        <t>Calculated by formula and locked. Do not type here.</t>
      </text>
    </comment>
    <comment ref="K1" authorId="0" shapeId="0">
      <text>
        <t>Calculated by formula and locked. Do not type here.</t>
      </text>
    </comment>
    <comment ref="L1" authorId="0" shapeId="0">
      <text>
        <t>Calculated by formula and locked. Do not type here.</t>
      </text>
    </comment>
    <comment ref="M1" authorId="0" shapeId="0">
      <text>
        <t>Calculated by formula and locked. Do not type here.</t>
      </text>
    </comment>
  </commentList>
</comments>
</file>

<file path=xl/comments/comment7.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Required. Type or pick a value.</t>
      </text>
    </comment>
    <comment ref="D1" authorId="0" shapeId="0">
      <text>
        <t>Required. Type or pick a value.</t>
      </text>
    </comment>
    <comment ref="E1" authorId="0" shapeId="0">
      <text>
        <t>Optional. Type or pick a value.</t>
      </text>
    </comment>
    <comment ref="F1" authorId="0" shapeId="0">
      <text>
        <t>Optional. Type or pick a value.</t>
      </text>
    </comment>
    <comment ref="G1" authorId="0" shapeId="0">
      <text>
        <t>Required. Type or pick a value.</t>
      </text>
    </comment>
    <comment ref="H1" authorId="0" shapeId="0">
      <text>
        <t>Required. Type or pick a value.</t>
      </text>
    </comment>
    <comment ref="I1" authorId="0" shapeId="0">
      <text>
        <t>Required. Type or pick a value.</t>
      </text>
    </comment>
    <comment ref="J1" authorId="0" shapeId="0">
      <text>
        <t>Optional. Type or pick a value.</t>
      </text>
    </comment>
    <comment ref="K1" authorId="0" shapeId="0">
      <text>
        <t>Optional. Type or pick a value.</t>
      </text>
    </comment>
    <comment ref="L1" authorId="0" shapeId="0">
      <text>
        <t>Required. Type or pick a value.</t>
      </text>
    </comment>
    <comment ref="M1" authorId="0" shapeId="0">
      <text>
        <t>Optional. Type or pick a value.</t>
      </text>
    </comment>
    <comment ref="N1" authorId="0" shapeId="0">
      <text>
        <t>Required. Type or pick a value.</t>
      </text>
    </comment>
    <comment ref="O1" authorId="0" shapeId="0">
      <text>
        <t>Optional. Leave blank until the channel or finance reports it. Never estimate.</t>
      </text>
    </comment>
    <comment ref="P1" authorId="0" shapeId="0">
      <text>
        <t>Optional. Revenue the platform credits to the campaign under its own attribution rules. Not company revenue. Blank = not supplied.</t>
      </text>
    </comment>
    <comment ref="Q1" authorId="0" shapeId="0">
      <text>
        <t>Optional. Total company sales for the campaign period from finance, all channels. Blank = not supplied. Never added to platform revenue.</t>
      </text>
    </comment>
    <comment ref="R1" authorId="0" shapeId="0">
      <text>
        <t>Optional. Type or pick a value.</t>
      </text>
    </comment>
    <comment ref="S1" authorId="0" shapeId="0">
      <text>
        <t>Calculated by formula and locked. Do not type here.</t>
      </text>
    </comment>
    <comment ref="T1" authorId="0" shapeId="0">
      <text>
        <t>Calculated by formula and locked. Do not type here.</t>
      </text>
    </comment>
    <comment ref="U1" authorId="0" shapeId="0">
      <text>
        <t>Calculated by formula and locked. Do not type here.</t>
      </text>
    </comment>
  </commentList>
</comments>
</file>

<file path=xl/comments/comment8.xml><?xml version="1.0" encoding="utf-8"?>
<comments xmlns="http://schemas.openxmlformats.org/spreadsheetml/2006/main">
  <authors>
    <author>Ops workbook</author>
  </authors>
  <commentList>
    <comment ref="A1" authorId="0" shapeId="0">
      <text>
        <t>Required. Type or pick a value.</t>
      </text>
    </comment>
    <comment ref="B1" authorId="0" shapeId="0">
      <text>
        <t>Optional. Type or pick a value.</t>
      </text>
    </comment>
    <comment ref="C1" authorId="0" shapeId="0">
      <text>
        <t>Required. Type or pick a value.</t>
      </text>
    </comment>
    <comment ref="D1" authorId="0" shapeId="0">
      <text>
        <t>Optional. Type or pick a value.</t>
      </text>
    </comment>
  </commentList>
</comments>
</file>

<file path=xl/comments/comment9.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Required. Type or pick a value.</t>
      </text>
    </comment>
    <comment ref="D1" authorId="0" shapeId="0">
      <text>
        <t>Required. A SKU from Products (kind Product) or a campaign ID from Marketing (kind Campaign).</t>
      </text>
    </comment>
    <comment ref="E1" authorId="0" shapeId="0">
      <text>
        <t>Required. Type or pick a value.</t>
      </text>
    </comment>
    <comment ref="F1" authorId="0" shapeId="0">
      <text>
        <t>Required. Type or pick a value.</t>
      </text>
    </comment>
    <comment ref="G1" authorId="0" shapeId="0">
      <text>
        <t>Required. Type or pick a value.</t>
      </text>
    </comment>
    <comment ref="H1" authorId="0" shapeId="0">
      <text>
        <t>Optional. Type or pick a value.</t>
      </text>
    </comment>
    <comment ref="I1" authorId="0" shapeId="0">
      <text>
        <t>Optional. Type or pick a value.</t>
      </text>
    </comment>
    <comment ref="J1" authorId="0" shapeId="0">
      <text>
        <t>Calculated by formula and locked. Do not type here.</t>
      </text>
    </comment>
    <comment ref="K1" authorId="0" shapeId="0">
      <text>
        <t>Calculated by formula and locked. Do not type here.</t>
      </text>
    </comment>
  </commentList>
</comments>
</file>

<file path=xl/comments/comment10.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Optional. Type or pick a value.</t>
      </text>
    </comment>
    <comment ref="D1" authorId="0" shapeId="0">
      <text>
        <t>Required. Type or pick a value.</t>
      </text>
    </comment>
    <comment ref="E1" authorId="0" shapeId="0">
      <text>
        <t>Required. Type or pick a value.</t>
      </text>
    </comment>
    <comment ref="F1" authorId="0" shapeId="0">
      <text>
        <t>Required. Type or pick a value.</t>
      </text>
    </comment>
    <comment ref="G1" authorId="0" shapeId="0">
      <text>
        <t>Optional. Type or pick a value.</t>
      </text>
    </comment>
    <comment ref="H1" authorId="0" shapeId="0">
      <text>
        <t>Optional. Type or pick a value.</t>
      </text>
    </comment>
    <comment ref="I1" authorId="0" shapeId="0">
      <text>
        <t>Calculated by formula and locked. Do not type here.</t>
      </text>
    </comment>
    <comment ref="J1" authorId="0" shapeId="0">
      <text>
        <t>Calculated by formula and locked. Do not type here.</t>
      </text>
    </comment>
    <comment ref="K1" authorId="0" shapeId="0">
      <text>
        <t>Calculated by formula and locked. Do not type here.</t>
      </text>
    </comment>
    <comment ref="L1" authorId="0" shapeId="0">
      <text>
        <t>Helper column used by the Dashboard or Exceptions lists. Calculated and locked.</t>
      </text>
    </comment>
    <comment ref="M1" authorId="0" shapeId="0">
      <text>
        <t>Calculated by formula and locked. Do not type here.</t>
      </text>
    </comment>
  </commentList>
</comments>
</file>

<file path=xl/comments/comment11.xml><?xml version="1.0" encoding="utf-8"?>
<comments xmlns="http://schemas.openxmlformats.org/spreadsheetml/2006/main">
  <authors>
    <author>Ops workbook</author>
  </authors>
  <commentList>
    <comment ref="A1" authorId="0" shapeId="0">
      <text>
        <t>Required. Type or pick a value.</t>
      </text>
    </comment>
    <comment ref="B1" authorId="0" shapeId="0">
      <text>
        <t>Required. Type or pick a value.</t>
      </text>
    </comment>
    <comment ref="C1" authorId="0" shapeId="0">
      <text>
        <t>Required. Type or pick a value.</t>
      </text>
    </comment>
    <comment ref="D1" authorId="0" shapeId="0">
      <text>
        <t>Optional. Type or pick a value.</t>
      </text>
    </comment>
    <comment ref="E1" authorId="0" shapeId="0">
      <text>
        <t>Optional. Type or pick a value.</t>
      </text>
    </comment>
    <comment ref="F1" authorId="0" shapeId="0">
      <text>
        <t>Required. Type or pick a value.</t>
      </text>
    </comment>
    <comment ref="G1" authorId="0" shapeId="0">
      <text>
        <t>Optional. Type or pick a value.</t>
      </text>
    </comment>
    <comment ref="H1" authorId="0" shapeId="0">
      <text>
        <t>Optional. Type or pick a value.</t>
      </text>
    </comment>
    <comment ref="I1" authorId="0" shapeId="0">
      <text>
        <t>Required. Type or pick a value.</t>
      </text>
    </comment>
    <comment ref="J1" authorId="0" shapeId="0">
      <text>
        <t>Required. Type or pick a value.</t>
      </text>
    </comment>
    <comment ref="K1" authorId="0" shapeId="0">
      <text>
        <t>Optional. Type or pick a value.</t>
      </text>
    </comment>
    <comment ref="L1" authorId="0" shapeId="0">
      <text>
        <t>Calculated by formula and locked. Do not type here.</t>
      </text>
    </comment>
    <comment ref="M1" authorId="0" shapeId="0">
      <text>
        <t>Calculated by formula and locked. Do not type here.</t>
      </text>
    </comment>
  </commentList>
</comments>
</file>

<file path=xl/comments/comment12.xml><?xml version="1.0" encoding="utf-8"?>
<comments xmlns="http://schemas.openxmlformats.org/spreadsheetml/2006/main">
  <authors>
    <author>Ops workbook</author>
  </authors>
  <commentList>
    <comment ref="A1" authorId="0" shapeId="0">
      <text>
        <t>Optional. Type or pick a value.</t>
      </text>
    </comment>
    <comment ref="B1" authorId="0" shapeId="0">
      <text>
        <t>Optional. Type or pick a value.</t>
      </text>
    </comment>
    <comment ref="C1" authorId="0" shapeId="0">
      <text>
        <t>Optional. Type or pick a value.</t>
      </text>
    </comment>
    <comment ref="D1" authorId="0" shapeId="0">
      <text>
        <t>Optional. Type or pick a value.</t>
      </text>
    </comment>
    <comment ref="E1" authorId="0" shapeId="0">
      <text>
        <t>Optional. Type or pick a value.</t>
      </text>
    </comment>
    <comment ref="F1" authorId="0" shapeId="0">
      <text>
        <t>Optional. Type or pick a value.</t>
      </text>
    </comment>
    <comment ref="G1" authorId="0" shapeId="0">
      <text>
        <t>Optional. Type or pick a value.</t>
      </text>
    </comment>
    <comment ref="H1" authorId="0" shapeId="0">
      <text>
        <t>Optional. Type or pick a value.</t>
      </text>
    </comment>
    <comment ref="I1" authorId="0" shapeId="0">
      <text>
        <t>Optional. Type or pick a value.</t>
      </text>
    </comment>
    <comment ref="J1" authorId="0" shapeId="0">
      <text>
        <t>Optional. Type or pick a value.</t>
      </text>
    </comment>
    <comment ref="K1" authorId="0" shapeId="0">
      <text>
        <t>Optional. Type or pick a value.</t>
      </text>
    </comment>
    <comment ref="L1" authorId="0" shapeId="0">
      <text>
        <t>Optional. Type or pick a value.</t>
      </text>
    </comment>
    <comment ref="M1" authorId="0" shapeId="0">
      <text>
        <t>Calculated by formula and locked. Do not type here.</t>
      </text>
    </comment>
    <comment ref="N1" authorId="0" shapeId="0">
      <text>
        <t>Calculated by formula and locked. Do not type here.</t>
      </text>
    </comment>
    <comment ref="O1" authorId="0" shapeId="0">
      <text>
        <t>Calculated by formula and locked. Do not type here.</t>
      </text>
    </comment>
    <comment ref="P1" authorId="0" shapeId="0">
      <text>
        <t>Calculated by formula and locked. Do not type here.</t>
      </text>
    </comment>
    <comment ref="Q1" authorId="0" shapeId="0">
      <text>
        <t>Calculated by formula and locked. Do not type here.</t>
      </text>
    </comment>
    <comment ref="R1" authorId="0" shapeId="0">
      <text>
        <t>Calculated by formula and locked. Do not type here.</t>
      </text>
    </comment>
    <comment ref="S1" authorId="0" shapeId="0">
      <text>
        <t>Calculated by formula and locked. Do not type here.</t>
      </text>
    </comment>
    <comment ref="T1" authorId="0" shapeId="0">
      <text>
        <t>Calculated by formula and locked. Do not type here.</t>
      </text>
    </comment>
    <comment ref="U1" authorId="0" shapeId="0">
      <text>
        <t>Calculated by formula and locked. Do not type here.</t>
      </text>
    </comment>
    <comment ref="V1" authorId="0" shapeId="0">
      <text>
        <t>Calculated by formula and locked. Do not type here.</t>
      </text>
    </comment>
    <comment ref="W1" authorId="0" shapeId="0">
      <text>
        <t>Helper column used by the Dashboard or Exceptions lists. Calculated and locked.</t>
      </text>
    </comment>
    <comment ref="X1" authorId="0" shapeId="0">
      <text>
        <t>Helper column used by the Dashboard or Exceptions lists. Calculated and locked.</t>
      </text>
    </comment>
    <comment ref="Y1" authorId="0" shapeId="0">
      <text>
        <t>Helper column used by the Dashboard or Exceptions lists. Calculated and locked.</t>
      </text>
    </comment>
    <comment ref="Z1" authorId="0" shapeId="0">
      <text>
        <t>Helper column used by the Dashboard or Exceptions lists. Calculated and locked.</t>
      </text>
    </comment>
    <comment ref="AA1" authorId="0" shapeId="0">
      <text>
        <t>Helper column used by the Dashboard or Exceptions lists. Calculated and locked.</t>
      </text>
    </comment>
    <comment ref="AB1" authorId="0" shapeId="0">
      <text>
        <t>Helper column used by the Dashboard or Exceptions lists. Calculated and locked.</t>
      </text>
    </comment>
    <comment ref="AC1" authorId="0" shapeId="0">
      <text>
        <t>Helper column used by the Dashboard or Exceptions lists. Calculated and locked.</t>
      </text>
    </comment>
    <comment ref="AD1" authorId="0" shapeId="0">
      <text>
        <t>Helper column used by the Dashboard or Exceptions lists. Calculated and locked.</t>
      </text>
    </comment>
    <comment ref="AE1" authorId="0" shapeId="0">
      <text>
        <t>Helper column used by the Dashboard or Exceptions lists. Calculated and locked.</t>
      </text>
    </comment>
    <comment ref="AF1" authorId="0" shapeId="0">
      <text>
        <t>Helper column used by the Dashboard or Exceptions lists. Calculated and locked.</t>
      </text>
    </comment>
    <comment ref="AG1" authorId="0" shapeId="0">
      <text>
        <t>Helper column used by the Dashboard or Exceptions lists. Calculated and locked.</t>
      </text>
    </comment>
    <comment ref="AH1" authorId="0" shapeId="0">
      <text>
        <t>Helper column used by the Dashboard or Exceptions lists. Calculated and locked.</t>
      </text>
    </comment>
    <comment ref="AI1" authorId="0" shapeId="0">
      <text>
        <t>Helper column used by the Dashboard or Exceptions lists. Calculated and locked.</t>
      </text>
    </comment>
    <comment ref="AJ1" authorId="0" shapeId="0">
      <text>
        <t>Helper column used by the Dashboard or Exceptions lists. Calculated and locked.</t>
      </text>
    </comment>
    <comment ref="AK1" authorId="0" shapeId="0">
      <text>
        <t>Helper column used by the Dashboard or Exceptions lists. Calculated and locked.</t>
      </text>
    </comment>
    <comment ref="AL1" authorId="0" shapeId="0">
      <text>
        <t>Helper column used by the Dashboard or Exceptions lists. Calculated and locked.</t>
      </text>
    </comment>
    <comment ref="AM1" authorId="0" shapeId="0">
      <text>
        <t>Helper column used by the Dashboard or Exceptions lists. Calculated and locked.</t>
      </text>
    </comment>
    <comment ref="AN1" authorId="0" shapeId="0">
      <text>
        <t>Helper column used by the Dashboard or Exceptions lists. Calculated and locked.</t>
      </text>
    </comment>
    <comment ref="AO1" authorId="0" shapeId="0">
      <text>
        <t>Helper column used by the Dashboard or Exceptions lists. Calculated and locked.</t>
      </text>
    </comment>
    <comment ref="AP1" authorId="0" shapeId="0">
      <text>
        <t>Helper column used by the Dashboard or Exceptions lists. Calculated and locked.</t>
      </text>
    </comment>
    <comment ref="AQ1" authorId="0" shapeId="0">
      <text>
        <t>Helper column used by the Dashboard or Exceptions lists. Calculated and locked.</t>
      </text>
    </comment>
    <comment ref="AR1" authorId="0" shapeId="0">
      <text>
        <t>Helper column used by the Dashboard or Exceptions lists. Calculated and locked.</t>
      </text>
    </comment>
    <comment ref="AS1" authorId="0" shapeId="0">
      <text>
        <t>Helper column used by the Dashboard or Exceptions lists. Calculated and locked.</t>
      </text>
    </comment>
    <comment ref="AT1" authorId="0" shapeId="0">
      <text>
        <t>Helper column used by the Dashboard or Exceptions lists. Calculated and locked.</t>
      </text>
    </comment>
    <comment ref="AU1" authorId="0" shapeId="0">
      <text>
        <t>Helper column used by the Dashboard or Exceptions lists. Calculated and locked.</t>
      </text>
    </comment>
    <comment ref="AV1" authorId="0" shapeId="0">
      <text>
        <t>Helper column used by the Dashboard or Exceptions lists. Calculated and locked.</t>
      </text>
    </comment>
    <comment ref="AW1" authorId="0" shapeId="0">
      <text>
        <t>Helper column used by the Dashboard or Exceptions lists. Calculated and locked.</t>
      </text>
    </comment>
    <comment ref="AX1" authorId="0" shapeId="0">
      <text>
        <t>Helper column used by the Dashboard or Exceptions lists. Calculated and locked.</t>
      </text>
    </comment>
    <comment ref="AY1" authorId="0" shapeId="0">
      <text>
        <t>Helper column used by the Dashboard or Exceptions lists. Calculated and locked.</t>
      </text>
    </comment>
    <comment ref="AZ1" authorId="0" shapeId="0">
      <text>
        <t>Helper column used by the Dashboard or Exceptions lists. Calculated and locked.</t>
      </text>
    </comment>
    <comment ref="BA1" authorId="0" shapeId="0">
      <text>
        <t>Helper column used by the Dashboard or Exceptions lists. Calculated and locked.</t>
      </text>
    </comment>
    <comment ref="BB1" authorId="0" shapeId="0">
      <text>
        <t>Helper column used by the Dashboard or Exceptions lists. Calculated and locked.</t>
      </text>
    </comment>
    <comment ref="BC1" authorId="0" shapeId="0">
      <text>
        <t>Helper column used by the Dashboard or Exceptions lists. Calculated and locked.</t>
      </text>
    </comment>
    <comment ref="BD1" authorId="0" shapeId="0">
      <text>
        <t>Helper column used by the Dashboard or Exceptions lists. Calculated and locked.</t>
      </text>
    </comment>
    <comment ref="BE1" authorId="0" shapeId="0">
      <text>
        <t>Helper column used by the Dashboard or Exceptions lists. Calculated and locked.</t>
      </text>
    </comment>
    <comment ref="BF1" authorId="0" shapeId="0">
      <text>
        <t>Helper column used by the Dashboard or Exceptions lists. Calculated and locked.</t>
      </text>
    </comment>
    <comment ref="BG1" authorId="0" shapeId="0">
      <text>
        <t>Helper column used by the Dashboard or Exceptions lists. Calculated and locked.</t>
      </text>
    </comment>
    <comment ref="BH1" authorId="0" shapeId="0">
      <text>
        <t>Helper column used by the Dashboard or Exceptions lists. Calculated and locked.</t>
      </text>
    </comment>
    <comment ref="BI1" authorId="0" shapeId="0">
      <text>
        <t>Helper column used by the Dashboard or Exceptions lists. Calculated and locked.</t>
      </text>
    </comment>
    <comment ref="BJ1" authorId="0" shapeId="0">
      <text>
        <t>Helper column used by the Dashboard or Exceptions lists. Calculated and locked.</t>
      </text>
    </comment>
    <comment ref="BK1" authorId="0" shapeId="0">
      <text>
        <t>Helper column used by the Dashboard or Exceptions lists. Calculated and locked.</t>
      </text>
    </comment>
    <comment ref="BL1" authorId="0" shapeId="0">
      <text>
        <t>Helper column used by the Dashboard or Exceptions lists. Calculated and locked.</t>
      </text>
    </comment>
    <comment ref="BM1" authorId="0" shapeId="0">
      <text>
        <t>Helper column used by the Dashboard or Exceptions lists. Calculated and locked.</t>
      </text>
    </comment>
    <comment ref="BN1" authorId="0" shapeId="0">
      <text>
        <t>Helper column used by the Dashboard or Exceptions lists. Calculated and locked.</t>
      </text>
    </comment>
    <comment ref="BO1" authorId="0" shapeId="0">
      <text>
        <t>Helper column used by the Dashboard or Exceptions lists. Calculated and locked.</t>
      </text>
    </comment>
    <comment ref="BP1" authorId="0" shapeId="0">
      <text>
        <t>Helper column used by the Dashboard or Exceptions lists. Calculated and locked.</t>
      </text>
    </comment>
    <comment ref="BQ1" authorId="0" shapeId="0">
      <text>
        <t>Helper column used by the Dashboard or Exceptions lists. Calculated and locked.</t>
      </text>
    </comment>
    <comment ref="BR1" authorId="0" shapeId="0">
      <text>
        <t>Helper column used by the Dashboard or Exceptions lists. Calculated and locked.</t>
      </text>
    </comment>
    <comment ref="BS1" authorId="0" shapeId="0">
      <text>
        <t>Helper column used by the Dashboard or Exceptions lists. Calculated and locked.</t>
      </text>
    </comment>
    <comment ref="BT1" authorId="0" shapeId="0">
      <text>
        <t>Helper column used by the Dashboard or Exceptions lists. Calculated and locked.</t>
      </text>
    </comment>
    <comment ref="BU1" authorId="0" shapeId="0">
      <text>
        <t>Helper column used by the Dashboard or Exceptions lists. Calculated and locked.</t>
      </text>
    </comment>
    <comment ref="BV1" authorId="0" shapeId="0">
      <text>
        <t>Helper column used by the Dashboard or Exceptions lists. Calculated and locked.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2E7D4F"/>
    <outlinePr summaryBelow="1" summaryRight="1"/>
    <pageSetUpPr/>
  </sheetPr>
  <dimension ref="B1:D72"/>
  <sheetViews>
    <sheetView workbookViewId="0">
      <pane ySplit="3" topLeftCell="A4" activePane="bottomLeft" state="frozen"/>
      <selection pane="bottomLeft" activeCell="A1" sqref="A1"/>
    </sheetView>
  </sheetViews>
  <sheetFormatPr baseColWidth="8" defaultRowHeight="15"/>
  <cols>
    <col width="3" customWidth="1" min="1" max="1"/>
    <col width="24" customWidth="1" min="2" max="2"/>
    <col width="100" customWidth="1" min="3" max="3"/>
    <col width="20" customWidth="1" min="4" max="4"/>
  </cols>
  <sheetData>
    <row r="1">
      <c r="B1" s="1" t="inlineStr">
        <is>
          <t>Northfield Nutrition (fictional): operations workbook</t>
        </is>
      </c>
    </row>
    <row r="2">
      <c r="B2" s="2" t="inlineStr">
        <is>
          <t>Portfolio demonstration with invented sample data, not client work.</t>
        </is>
      </c>
    </row>
    <row r="4">
      <c r="B4" s="3" t="inlineStr">
        <is>
          <t>What this workbook does</t>
        </is>
      </c>
      <c r="C4" s="4" t="n"/>
    </row>
    <row r="5" ht="45" customHeight="1">
      <c r="C5" s="5" t="inlineStr">
        <is>
          <t>One file for the product catalog, suppliers, purchase orders, the inventory ledger, lots and expiry dates, reservations, marketing campaigns, milestones, tasks and documents. The Dashboard calculates stock, alerts and record checks from those sheets with formulas, using the as-of date on Config.</t>
        </is>
      </c>
    </row>
    <row r="6" ht="15" customHeight="1">
      <c r="C6" s="5" t="inlineStr">
        <is>
          <t>Every number on the Dashboard is a formula over the other sheets. Nothing is typed into the Dashboard.</t>
        </is>
      </c>
    </row>
    <row r="8">
      <c r="B8" s="3" t="inlineStr">
        <is>
          <t>Sheet guide</t>
        </is>
      </c>
      <c r="C8" s="4" t="n"/>
    </row>
    <row r="9">
      <c r="B9" s="6" t="inlineStr">
        <is>
          <t>Sheet</t>
        </is>
      </c>
      <c r="C9" s="6" t="inlineStr">
        <is>
          <t>Purpose</t>
        </is>
      </c>
      <c r="D9" s="6" t="inlineStr">
        <is>
          <t>Who types here</t>
        </is>
      </c>
    </row>
    <row r="10" ht="15" customHeight="1">
      <c r="B10" s="7" t="inlineStr">
        <is>
          <t>Start_Here</t>
        </is>
      </c>
      <c r="C10" s="5" t="inlineStr">
        <is>
          <t>How the workbook works: adding records, colour key, rules, import steps, backup and recovery.</t>
        </is>
      </c>
      <c r="D10" s="5" t="inlineStr">
        <is>
          <t>Read only</t>
        </is>
      </c>
    </row>
    <row r="11" ht="30" customHeight="1">
      <c r="B11" s="7" t="inlineStr">
        <is>
          <t>Dashboard</t>
        </is>
      </c>
      <c r="C11" s="5" t="inlineStr">
        <is>
          <t>Stock by SKU, reorder alerts, outstanding and overdue purchase orders, lots near expiry, open tasks, record checks, import status and a marketing summary. Formulas only.</t>
        </is>
      </c>
      <c r="D11" s="5" t="inlineStr">
        <is>
          <t>Read only</t>
        </is>
      </c>
    </row>
    <row r="12" ht="15" customHeight="1">
      <c r="B12" s="7" t="inlineStr">
        <is>
          <t>Config</t>
        </is>
      </c>
      <c r="C12" s="5" t="inlineStr">
        <is>
          <t>As-of date, expiry windows, reorder and reservation rules, dropdown lists and the import check catalog.</t>
        </is>
      </c>
      <c r="D12" s="5" t="inlineStr">
        <is>
          <t>Operations lead</t>
        </is>
      </c>
    </row>
    <row r="13" ht="30" customHeight="1">
      <c r="B13" s="7" t="inlineStr">
        <is>
          <t>Products</t>
        </is>
      </c>
      <c r="C13" s="5" t="inlineStr">
        <is>
          <t>Product catalog with opening balances and reorder rules. Stock columns calculate from the ledger, lots and reservations. Room for 100 rows.</t>
        </is>
      </c>
      <c r="D13" s="5" t="inlineStr">
        <is>
          <t>Operations</t>
        </is>
      </c>
    </row>
    <row r="14" ht="15" customHeight="1">
      <c r="B14" s="7" t="inlineStr">
        <is>
          <t>Suppliers</t>
        </is>
      </c>
      <c r="C14" s="5" t="inlineStr">
        <is>
          <t>Supplier and manufacturing partner directory. Room for 50 rows.</t>
        </is>
      </c>
      <c r="D14" s="5" t="inlineStr">
        <is>
          <t>Operations</t>
        </is>
      </c>
    </row>
    <row r="15" ht="15" customHeight="1">
      <c r="B15" s="7" t="inlineStr">
        <is>
          <t>Purchase_Orders</t>
        </is>
      </c>
      <c r="C15" s="5" t="inlineStr">
        <is>
          <t>Purchase orders and expected deliveries. Received quantities come from ledger receipts. Room for 300 rows.</t>
        </is>
      </c>
      <c r="D15" s="5" t="inlineStr">
        <is>
          <t>Purchasing</t>
        </is>
      </c>
    </row>
    <row r="16" ht="15" customHeight="1">
      <c r="B16" s="7" t="inlineStr">
        <is>
          <t>Inventory_Ledger</t>
        </is>
      </c>
      <c r="C16" s="5" t="inlineStr">
        <is>
          <t>Every receipt, shipment and adjustment with lot, reference and source link. Room for 2,000 rows.</t>
        </is>
      </c>
      <c r="D16" s="5" t="inlineStr">
        <is>
          <t>Operations, import</t>
        </is>
      </c>
    </row>
    <row r="17" ht="15" customHeight="1">
      <c r="B17" s="7" t="inlineStr">
        <is>
          <t>Batches</t>
        </is>
      </c>
      <c r="C17" s="5" t="inlineStr">
        <is>
          <t>Lots with company-supplied expiry dates. Lot balances, days left and expiry windows calculate. Room for 300 rows.</t>
        </is>
      </c>
      <c r="D17" s="5" t="inlineStr">
        <is>
          <t>Quality</t>
        </is>
      </c>
    </row>
    <row r="18" ht="15" customHeight="1">
      <c r="B18" s="7" t="inlineStr">
        <is>
          <t>Reservations</t>
        </is>
      </c>
      <c r="C18" s="5" t="inlineStr">
        <is>
          <t>Stock set aside for orders or campaigns. Config decides which statuses count. Room for 200 rows.</t>
        </is>
      </c>
      <c r="D18" s="5" t="inlineStr">
        <is>
          <t>Sales, marketing</t>
        </is>
      </c>
    </row>
    <row r="19" ht="30" customHeight="1">
      <c r="B19" s="7" t="inlineStr">
        <is>
          <t>Marketing</t>
        </is>
      </c>
      <c r="C19" s="5" t="inlineStr">
        <is>
          <t>Campaign tracker: products, channel, owner, deadlines, approval, assets, planned vs actual spend, platform-attributed revenue and company sales kept apart. Room for 100 rows.</t>
        </is>
      </c>
      <c r="D19" s="5" t="inlineStr">
        <is>
          <t>Marketing</t>
        </is>
      </c>
    </row>
    <row r="20" ht="15" customHeight="1">
      <c r="B20" s="7" t="inlineStr">
        <is>
          <t>Metric_Definitions</t>
        </is>
      </c>
      <c r="C20" s="5" t="inlineStr">
        <is>
          <t>What every number means and what a blank means.</t>
        </is>
      </c>
      <c r="D20" s="5" t="inlineStr">
        <is>
          <t>Operations lead</t>
        </is>
      </c>
    </row>
    <row r="21" ht="30" customHeight="1">
      <c r="B21" s="7" t="inlineStr">
        <is>
          <t>Milestones</t>
        </is>
      </c>
      <c r="C21" s="5" t="inlineStr">
        <is>
          <t>Product and campaign milestones with date, owner, status and link; the source of the HTML timeline report, which lists them in date order. Room for 200 rows.</t>
        </is>
      </c>
      <c r="D21" s="5" t="inlineStr">
        <is>
          <t>All owners</t>
        </is>
      </c>
    </row>
    <row r="22" ht="15" customHeight="1">
      <c r="B22" s="7" t="inlineStr">
        <is>
          <t>Tasks</t>
        </is>
      </c>
      <c r="C22" s="5" t="inlineStr">
        <is>
          <t>Action items with owners, due dates and status. Room for 300 rows.</t>
        </is>
      </c>
      <c r="D22" s="5" t="inlineStr">
        <is>
          <t>All owners</t>
        </is>
      </c>
    </row>
    <row r="23" ht="15" customHeight="1">
      <c r="B23" s="7" t="inlineStr">
        <is>
          <t>Documents</t>
        </is>
      </c>
      <c r="C23" s="5" t="inlineStr">
        <is>
          <t>Register of specs, certificates, labels, agreements and SOPs with links and review dates. Room for 200 rows.</t>
        </is>
      </c>
      <c r="D23" s="5" t="inlineStr">
        <is>
          <t>Quality</t>
        </is>
      </c>
    </row>
    <row r="24" ht="15" customHeight="1">
      <c r="B24" s="7" t="inlineStr">
        <is>
          <t>Import_Staging</t>
        </is>
      </c>
      <c r="C24" s="5" t="inlineStr">
        <is>
          <t>Paste a warehouse CSV here. Every row is checked by formulas before anything is posted. Room for 300 rows.</t>
        </is>
      </c>
      <c r="D24" s="5" t="inlineStr">
        <is>
          <t>Operations</t>
        </is>
      </c>
    </row>
    <row r="25" ht="15" customHeight="1">
      <c r="B25" s="7" t="inlineStr">
        <is>
          <t>Exceptions</t>
        </is>
      </c>
      <c r="C25" s="5" t="inlineStr">
        <is>
          <t>Plain-language list of every problem found in Import_Staging, with what to do.</t>
        </is>
      </c>
      <c r="D25" s="5" t="inlineStr">
        <is>
          <t>Read only</t>
        </is>
      </c>
    </row>
    <row r="26" ht="30" customHeight="1">
      <c r="B26" s="7" t="inlineStr">
        <is>
          <t>Ready_To_Post</t>
        </is>
      </c>
      <c r="C26" s="5" t="inlineStr">
        <is>
          <t>The Ready rows of Import_Staging laid out in the column order of Inventory_Ledger, and new lots from receipts in the column order of Batches, ready to paste as values.</t>
        </is>
      </c>
      <c r="D26" s="5" t="inlineStr">
        <is>
          <t>Read only</t>
        </is>
      </c>
    </row>
    <row r="28">
      <c r="B28" s="3" t="inlineStr">
        <is>
          <t>How to add a record</t>
        </is>
      </c>
      <c r="C28" s="4" t="n"/>
    </row>
    <row r="29" ht="15" customHeight="1">
      <c r="B29" s="7" t="inlineStr">
        <is>
          <t>Step 1</t>
        </is>
      </c>
      <c r="C29" s="5" t="inlineStr">
        <is>
          <t>Go to the first empty row of the sheet. Records start on row 2.</t>
        </is>
      </c>
    </row>
    <row r="30" ht="30" customHeight="1">
      <c r="B30" s="7" t="inlineStr">
        <is>
          <t>Step 2</t>
        </is>
      </c>
      <c r="C30" s="5" t="inlineStr">
        <is>
          <t>Type only in columns with a dark blue header. A * in the header means the field is required; the header note says what goes in it.</t>
        </is>
      </c>
    </row>
    <row r="31" ht="15" customHeight="1">
      <c r="B31" s="7" t="inlineStr">
        <is>
          <t>Step 3</t>
        </is>
      </c>
      <c r="C31" s="5" t="inlineStr">
        <is>
          <t>Use the dropdowns for statuses and for SKU, supplier and lot IDs. IDs must be unique: a repeated ID is refused or flagged.</t>
        </is>
      </c>
    </row>
    <row r="32" ht="30" customHeight="1">
      <c r="B32" s="7" t="inlineStr">
        <is>
          <t>Step 4</t>
        </is>
      </c>
      <c r="C32" s="5" t="inlineStr">
        <is>
          <t>Grey-header columns calculate by themselves and are locked. Do not insert rows or columns: each sheet already has formulas in its spare rows (room listed in the sheet guide).</t>
        </is>
      </c>
    </row>
    <row r="33" ht="30" customHeight="1">
      <c r="B33" s="7" t="inlineStr">
        <is>
          <t>Step 5</t>
        </is>
      </c>
      <c r="C33" s="5" t="inlineStr">
        <is>
          <t>Read the Record check column at the right of the row. It says OK, or names the first problem in the row. The Dashboard counts every row that is not OK.</t>
        </is>
      </c>
    </row>
    <row r="35">
      <c r="B35" s="3" t="inlineStr">
        <is>
          <t>Colour key</t>
        </is>
      </c>
      <c r="C35" s="4" t="n"/>
    </row>
    <row r="36" ht="15" customHeight="1">
      <c r="B36" s="8" t="inlineStr">
        <is>
          <t>Dark blue header</t>
        </is>
      </c>
      <c r="C36" s="5" t="inlineStr">
        <is>
          <t>You type in this column.</t>
        </is>
      </c>
    </row>
    <row r="37" ht="15" customHeight="1">
      <c r="B37" s="9" t="inlineStr">
        <is>
          <t>Grey header</t>
        </is>
      </c>
      <c r="C37" s="5" t="inlineStr">
        <is>
          <t>Calculated column, locked.</t>
        </is>
      </c>
    </row>
    <row r="38" ht="15" customHeight="1">
      <c r="B38" s="10" t="inlineStr">
        <is>
          <t>Light grey header</t>
        </is>
      </c>
      <c r="C38" s="5" t="inlineStr">
        <is>
          <t>Helper column used by the Dashboard or Exceptions lists, locked.</t>
        </is>
      </c>
    </row>
    <row r="39" ht="15" customHeight="1">
      <c r="B39" s="11" t="inlineStr">
        <is>
          <t>Amber</t>
        </is>
      </c>
      <c r="C39" s="5" t="inlineStr">
        <is>
          <t>Attention: below reorder point, lot in the second expiry window, or overdue document review.</t>
        </is>
      </c>
    </row>
    <row r="40" ht="15" customHeight="1">
      <c r="B40" s="12" t="inlineStr">
        <is>
          <t>Orange</t>
        </is>
      </c>
      <c r="C40" s="5" t="inlineStr">
        <is>
          <t>Lot in the first expiry window.</t>
        </is>
      </c>
    </row>
    <row r="41" ht="15" customHeight="1">
      <c r="B41" s="13" t="inlineStr">
        <is>
          <t>Light yellow</t>
        </is>
      </c>
      <c r="C41" s="5" t="inlineStr">
        <is>
          <t>Lot in the third expiry window.</t>
        </is>
      </c>
    </row>
    <row r="42" ht="15" customHeight="1">
      <c r="B42" s="14" t="inlineStr">
        <is>
          <t>Red</t>
        </is>
      </c>
      <c r="C42" s="5" t="inlineStr">
        <is>
          <t>Problem: overdue PO or task, expired lot with stock, negative stock, record check not OK, rejected import row.</t>
        </is>
      </c>
    </row>
    <row r="43" ht="15" customHeight="1">
      <c r="B43" s="15" t="inlineStr">
        <is>
          <t>Green</t>
        </is>
      </c>
      <c r="C43" s="5" t="inlineStr">
        <is>
          <t>Import row ready to post.</t>
        </is>
      </c>
    </row>
    <row r="45">
      <c r="B45" s="3" t="inlineStr">
        <is>
          <t>Rules (change them on Config)</t>
        </is>
      </c>
      <c r="C45" s="4" t="n"/>
    </row>
    <row r="46" ht="15" customHeight="1">
      <c r="B46" s="7" t="inlineStr">
        <is>
          <t>Recorded stock</t>
        </is>
      </c>
      <c r="C46" s="5" t="inlineStr">
        <is>
          <t>Opening balance + receipts - shipments + adjustments, per SKU, from Inventory_Ledger.</t>
        </is>
      </c>
    </row>
    <row r="47" ht="30" customHeight="1">
      <c r="B47" s="7" t="inlineStr">
        <is>
          <t>Lot balances</t>
        </is>
      </c>
      <c r="C47" s="5" t="inlineStr">
        <is>
          <t>Lot opening qty + ledger movements for that lot. The lot balances of a SKU must add up to its recorded stock; Products flags any gap.</t>
        </is>
      </c>
    </row>
    <row r="48" ht="45" customHeight="1">
      <c r="B48" s="7" t="inlineStr">
        <is>
          <t>Available stock</t>
        </is>
      </c>
      <c r="C48" s="5" t="inlineStr">
        <is>
          <t>Recorded stock - reserved - held in lots. Reservations count when their status holds stock on Config, the start date is on or before the as-of date, and the release date is empty or on or after it. Lots count as held when their status holds stock on Config, or when they are expired and Config says expired lots are held.</t>
        </is>
      </c>
    </row>
    <row r="49" ht="15" customHeight="1">
      <c r="B49" s="7" t="inlineStr">
        <is>
          <t>Reorder alert</t>
        </is>
      </c>
      <c r="C49" s="5" t="inlineStr">
        <is>
          <t>The stock chosen on Config (Available or Recorded) is below the SKU's reorder point.</t>
        </is>
      </c>
    </row>
    <row r="50" ht="30" customHeight="1">
      <c r="B50" s="7" t="inlineStr">
        <is>
          <t>Purchase orders</t>
        </is>
      </c>
      <c r="C50" s="5" t="inlineStr">
        <is>
          <t>Open = status counts as open on Config and the ordered qty is not fully received in the ledger. Overdue = open and the expected date is before the as-of date.</t>
        </is>
      </c>
    </row>
    <row r="51" ht="30" customHeight="1">
      <c r="B51" s="7" t="inlineStr">
        <is>
          <t>Expiry</t>
        </is>
      </c>
      <c r="C51" s="5" t="inlineStr">
        <is>
          <t>Days left = company-supplied expiry date - as-of date. Windows come from Config. The workbook tracks the dates it is given; it does not judge product safety.</t>
        </is>
      </c>
    </row>
    <row r="52" ht="30" customHeight="1">
      <c r="B52" s="7" t="inlineStr">
        <is>
          <t>Marketing</t>
        </is>
      </c>
      <c r="C52" s="5" t="inlineStr">
        <is>
          <t>Platform-attributed revenue and company sales sit in separate columns and are never added together. A blank metric means not supplied; nothing is estimated.</t>
        </is>
      </c>
    </row>
    <row r="54">
      <c r="B54" s="3" t="inlineStr">
        <is>
          <t>Importing a warehouse CSV (agreed layout: the 12 columns of Import_Staging)</t>
        </is>
      </c>
      <c r="C54" s="4" t="n"/>
    </row>
    <row r="55" ht="15" customHeight="1">
      <c r="B55" s="7" t="inlineStr">
        <is>
          <t>Step 1</t>
        </is>
      </c>
      <c r="C55" s="5" t="inlineStr">
        <is>
          <t>Make a backup first (see Backup and recovery).</t>
        </is>
      </c>
    </row>
    <row r="56" ht="30" customHeight="1">
      <c r="B56" s="7" t="inlineStr">
        <is>
          <t>Step 2</t>
        </is>
      </c>
      <c r="C56" s="5" t="inlineStr">
        <is>
          <t>In Import_Staging, clear columns A to L (dark blue headers) from row 2 down, then paste the CSV rows below the header as values.</t>
        </is>
      </c>
    </row>
    <row r="57" ht="15" customHeight="1">
      <c r="B57" s="7" t="inlineStr">
        <is>
          <t>Step 3</t>
        </is>
      </c>
      <c r="C57" s="5" t="inlineStr">
        <is>
          <t>Type the file name on Config (File in Import_Staging).</t>
        </is>
      </c>
    </row>
    <row r="58" ht="30" customHeight="1">
      <c r="B58" s="7" t="inlineStr">
        <is>
          <t>Step 4</t>
        </is>
      </c>
      <c r="C58" s="5" t="inlineStr">
        <is>
          <t>Read the Result column and the Exceptions sheet. Ready rows passed all 23 checks. Each problem in a rejected row is listed in plain words with what to do.</t>
        </is>
      </c>
    </row>
    <row r="59" ht="45" customHeight="1">
      <c r="B59" s="7" t="inlineStr">
        <is>
          <t>Step 5</t>
        </is>
      </c>
      <c r="C59" s="5" t="inlineStr">
        <is>
          <t>Open Ready_To_Post. Copy the filled rows of the left block and paste them as values into the next empty rows of Inventory_Ledger; copy the filled rows of the right block (new lots from receipts) into the next empty rows of Batches. Both blocks are already in the column order of those sheets.</t>
        </is>
      </c>
    </row>
    <row r="60" ht="30" customHeight="1">
      <c r="B60" s="7" t="inlineStr">
        <is>
          <t>Step 6</t>
        </is>
      </c>
      <c r="C60" s="5" t="inlineStr">
        <is>
          <t>Clear Import_Staging. Nothing is posted by itself, and a movement ID that is already in Inventory_Ledger is always rejected, so importing the same file twice cannot post a row twice or overwrite a ledger row.</t>
        </is>
      </c>
    </row>
    <row r="62">
      <c r="B62" s="3" t="inlineStr">
        <is>
          <t>Backup and recovery</t>
        </is>
      </c>
      <c r="C62" s="4" t="n"/>
    </row>
    <row r="63" ht="30" customHeight="1">
      <c r="C63" s="5" t="inlineStr">
        <is>
          <t>Before each import and at each month end, make a dated copy (Google Sheets: File &gt; Make a copy; Excel: Save As), named like Ops-Workbook-2026-10-15.</t>
        </is>
      </c>
    </row>
    <row r="64" ht="30" customHeight="1">
      <c r="C64" s="5" t="inlineStr">
        <is>
          <t>Google Sheets also keeps version history: File &gt; Version history &gt; See version history, choose a version from before the problem, then Restore this version.</t>
        </is>
      </c>
    </row>
    <row r="65" ht="15" customHeight="1">
      <c r="C65" s="5" t="inlineStr">
        <is>
          <t>To recover a few rows only, open the dated copy, copy the rows and paste them as values into the live workbook.</t>
        </is>
      </c>
    </row>
    <row r="66" ht="15" customHeight="1">
      <c r="C66" s="5" t="inlineStr">
        <is>
          <t>Once a month, download a copy (File &gt; Download &gt; Microsoft Excel) and keep it in a shared folder.</t>
        </is>
      </c>
    </row>
    <row r="68">
      <c r="B68" s="3" t="inlineStr">
        <is>
          <t>Sheet protection in Google Sheets</t>
        </is>
      </c>
      <c r="C68" s="4" t="n"/>
    </row>
    <row r="69" ht="60" customHeight="1">
      <c r="C69" s="5" t="inlineStr">
        <is>
          <t>In this .xlsx file, formula cells are locked with sheet protection (no password) for Excel and LibreOffice. After importing it into Google Sheets, open Data &gt; Protect sheets and ranges to see whether the protection came across. If Google Sheets dropped it, switch it back on there: Add a sheet or range &gt; Sheet, pick the sheet, tick Except certain cells, add the dark blue input columns, then choose who can edit.</t>
        </is>
      </c>
    </row>
    <row r="71">
      <c r="B71" s="3" t="inlineStr">
        <is>
          <t>Limits of this demo</t>
        </is>
      </c>
      <c r="C71" s="4" t="n"/>
    </row>
    <row r="72" ht="45" customHeight="1">
      <c r="C72" s="5" t="inlineStr">
        <is>
          <t>The data is invented for a portfolio demonstration. Posting Ready import rows is a copy-and-paste step in this file; a real build could add a one-click script for it. There are no charts in this workbook. The HTML milestone report is a separate file built from the Milestones sheet.</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worksheet>
</file>

<file path=xl/worksheets/sheet2.xml><?xml version="1.0" encoding="utf-8"?>
<worksheet xmlns="http://schemas.openxmlformats.org/spreadsheetml/2006/main">
  <sheetPr>
    <tabColor rgb="002E7D4F"/>
    <outlinePr summaryBelow="1" summaryRight="1"/>
    <pageSetUpPr/>
  </sheetPr>
  <dimension ref="A1:S2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hidden="1" width="6" customWidth="1" min="1" max="1"/>
    <col width="15" customWidth="1" min="2" max="2"/>
    <col width="50"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 width="12.5" customWidth="1" min="15" max="15"/>
    <col width="12.5" customWidth="1" min="16" max="16"/>
    <col width="12.5" customWidth="1" min="17" max="17"/>
    <col hidden="1" width="13" customWidth="1" min="19" max="19"/>
  </cols>
  <sheetData>
    <row r="1">
      <c r="B1" s="1" t="inlineStr">
        <is>
          <t>Northfield Nutrition (fictional): operations dashboard</t>
        </is>
      </c>
      <c r="S1">
        <f>Config!$B$6</f>
        <v>30</v>
      </c>
    </row>
    <row r="2">
      <c r="B2" s="2" t="inlineStr">
        <is>
          <t>Portfolio demonstration with invented sample data, not client work.</t>
        </is>
      </c>
      <c r="S2">
        <f>Config!$B$7</f>
        <v>60</v>
      </c>
    </row>
    <row r="3">
      <c r="B3" s="16" t="str">
        <f>"As of "&amp;TEXT(Config!$B$4,"yyyy-mm-dd")&amp;"  ·  every figure is a formula over the record sheets  ·  change the date or the rules on Config"</f>
        <v>As of 2026-10-15  ·  every figure is a formula over the record sheets  ·  change the date or the rules on Config</v>
      </c>
      <c r="S3">
        <f>Config!$B$8</f>
        <v>90</v>
      </c>
    </row>
    <row r="5" ht="26" customHeight="1">
      <c r="B5" s="17" t="inlineStr">
        <is>
          <t>Stock and purchasing</t>
        </is>
      </c>
      <c r="D5" s="18" t="inlineStr">
        <is>
          <t>SKUs tracked</t>
        </is>
      </c>
      <c r="E5" s="19" t="n"/>
      <c r="F5" s="18" t="inlineStr">
        <is>
          <t>Recorded units</t>
        </is>
      </c>
      <c r="G5" s="19" t="n"/>
      <c r="H5" s="18" t="inlineStr">
        <is>
          <t>Available units</t>
        </is>
      </c>
      <c r="I5" s="19" t="n"/>
      <c r="J5" s="18" t="inlineStr">
        <is>
          <t>SKUs below reorder</t>
        </is>
      </c>
      <c r="K5" s="19" t="n"/>
      <c r="L5" s="18" t="inlineStr">
        <is>
          <t>Open POs</t>
        </is>
      </c>
      <c r="M5" s="19" t="n"/>
      <c r="N5" s="18" t="inlineStr">
        <is>
          <t>Overdue POs</t>
        </is>
      </c>
      <c r="O5" s="19" t="n"/>
      <c r="P5" s="18" t="inlineStr">
        <is>
          <t>Open tasks</t>
        </is>
      </c>
      <c r="Q5" s="19" t="n"/>
    </row>
    <row r="6" ht="34" customHeight="1">
      <c r="B6" s="20" t="inlineStr">
        <is>
          <t>Each tile is a formula; see Metric_Definitions.</t>
        </is>
      </c>
      <c r="D6" s="21">
        <f>SUMPRODUCT(--(Products!$A$2:$A$101&lt;&gt;""))</f>
        <v>12</v>
      </c>
      <c r="E6" s="19" t="n"/>
      <c r="F6" s="21">
        <f>SUM(Products!$R$2:$R$101)</f>
        <v>9234</v>
      </c>
      <c r="G6" s="19" t="n"/>
      <c r="H6" s="21">
        <f>SUM(Products!$U$2:$U$101)</f>
        <v>8048</v>
      </c>
      <c r="I6" s="19" t="n"/>
      <c r="J6" s="21">
        <f>SUM(Products!$Y$2:$Y$101)</f>
        <v>4</v>
      </c>
      <c r="K6" s="19" t="n"/>
      <c r="L6" s="21">
        <f>SUM(Purchase_Orders!$O$2:$O$301)</f>
        <v>5</v>
      </c>
      <c r="M6" s="19" t="n"/>
      <c r="N6" s="21">
        <f>SUM(Purchase_Orders!$P$2:$P$301)</f>
        <v>2</v>
      </c>
      <c r="O6" s="19" t="n"/>
      <c r="P6" s="21">
        <f>SUM(Tasks!$I$2:$I$301)</f>
        <v>9</v>
      </c>
      <c r="Q6" s="19" t="n"/>
    </row>
    <row r="7" ht="24" customHeight="1">
      <c r="D7" s="22" t="str">
        <f>"rows in Products"</f>
        <v>rows in Products</v>
      </c>
      <c r="E7" s="19" t="n"/>
      <c r="F7" s="22" t="str">
        <f>"opening + receipts - shipments + adjustments"</f>
        <v>opening + receipts - shipments + adjustments</v>
      </c>
      <c r="G7" s="19" t="n"/>
      <c r="H7" s="22" t="str">
        <f>"recorded - reserved - held in lots"</f>
        <v>recorded - reserved - held in lots</v>
      </c>
      <c r="I7" s="19" t="n"/>
      <c r="J7" s="22" t="str">
        <f>"test uses "&amp;LOWER(Config!$B$9)&amp;" stock"</f>
        <v>test uses available stock</v>
      </c>
      <c r="K7" s="19" t="n"/>
      <c r="L7" s="22" t="str">
        <f>TEXT(SUMIFS(Purchase_Orders!$N$2:$N$301,Purchase_Orders!$O$2:$O$301,1),"#,##0")&amp;" units on order"</f>
        <v>3,560 units on order</v>
      </c>
      <c r="M7" s="19" t="n"/>
      <c r="N7" s="22" t="str">
        <f>"expected date has passed"</f>
        <v>expected date has passed</v>
      </c>
      <c r="O7" s="19" t="n"/>
      <c r="P7" s="22" t="str">
        <f>SUM(Tasks!$J$2:$J$301)&amp;" overdue"</f>
        <v>2 overdue</v>
      </c>
      <c r="Q7" s="19" t="n"/>
    </row>
    <row r="9" ht="26" customHeight="1">
      <c r="B9" s="17" t="inlineStr">
        <is>
          <t>Expiry, imports and checks</t>
        </is>
      </c>
      <c r="D9" s="18" t="inlineStr">
        <is>
          <t>Expired lots with stock</t>
        </is>
      </c>
      <c r="E9" s="19" t="n"/>
      <c r="F9" s="18" t="str">
        <f>"Lots expiring in "&amp;0&amp;"-"&amp;Config!$B$6&amp;" days"</f>
        <v>Lots expiring in 0-30 days</v>
      </c>
      <c r="G9" s="19" t="n"/>
      <c r="H9" s="18" t="str">
        <f>"Lots expiring in "&amp;(Config!$B$6+1)&amp;"-"&amp;Config!$B$7&amp;" days"</f>
        <v>Lots expiring in 31-60 days</v>
      </c>
      <c r="I9" s="19" t="n"/>
      <c r="J9" s="18" t="str">
        <f>"Lots expiring in "&amp;(Config!$B$7+1)&amp;"-"&amp;Config!$B$8&amp;" days"</f>
        <v>Lots expiring in 61-90 days</v>
      </c>
      <c r="K9" s="19" t="n"/>
      <c r="L9" s="18" t="inlineStr">
        <is>
          <t>Import rows ready</t>
        </is>
      </c>
      <c r="M9" s="19" t="n"/>
      <c r="N9" s="18" t="inlineStr">
        <is>
          <t>Import exceptions</t>
        </is>
      </c>
      <c r="O9" s="19" t="n"/>
      <c r="P9" s="18" t="inlineStr">
        <is>
          <t>Record issues</t>
        </is>
      </c>
      <c r="Q9" s="19" t="n"/>
    </row>
    <row r="10" ht="34" customHeight="1">
      <c r="B10" s="20" t="inlineStr">
        <is>
          <t>Each tile is a formula; see Metric_Definitions.</t>
        </is>
      </c>
      <c r="D10" s="21">
        <f>COUNTIFS(Batches!$L$2:$L$301,"&gt;0",Batches!$M$2:$M$301,"&lt;0")</f>
        <v>1</v>
      </c>
      <c r="E10" s="19" t="n"/>
      <c r="F10" s="21">
        <f>COUNTIFS(Batches!$L$2:$L$301,"&gt;0",Batches!$M$2:$M$301,"&gt;=0",Batches!$M$2:$M$301,"&lt;="&amp;Config!$B$6)</f>
        <v>3</v>
      </c>
      <c r="G10" s="19" t="n"/>
      <c r="H10" s="21">
        <f>COUNTIFS(Batches!$L$2:$L$301,"&gt;0",Batches!$M$2:$M$301,"&gt;"&amp;Config!$B$6,Batches!$M$2:$M$301,"&lt;="&amp;Config!$B$7)</f>
        <v>2</v>
      </c>
      <c r="I10" s="19" t="n"/>
      <c r="J10" s="21">
        <f>COUNTIFS(Batches!$L$2:$L$301,"&gt;0",Batches!$M$2:$M$301,"&gt;"&amp;Config!$B$7,Batches!$M$2:$M$301,"&lt;="&amp;Config!$B$8)</f>
        <v>3</v>
      </c>
      <c r="K10" s="19" t="n"/>
      <c r="L10" s="21">
        <f>COUNTIF(Import_Staging!$U$2:$U$301,"Ready")</f>
        <v>8</v>
      </c>
      <c r="M10" s="19" t="n"/>
      <c r="N10" s="21">
        <f>SUM(Import_Staging!$T$2:$T$301)</f>
        <v>11</v>
      </c>
      <c r="O10" s="19" t="n"/>
      <c r="P10" s="21">
        <f>$E$107</f>
        <v>0</v>
      </c>
      <c r="Q10" s="19" t="n"/>
    </row>
    <row r="11" ht="24" customHeight="1">
      <c r="D11" s="22" t="str">
        <f>"expiry date has passed"</f>
        <v>expiry date has passed</v>
      </c>
      <c r="E11" s="19" t="n"/>
      <c r="F11" s="22" t="str">
        <f>"lots with stock on hand"</f>
        <v>lots with stock on hand</v>
      </c>
      <c r="G11" s="19" t="n"/>
      <c r="H11" s="22" t="str">
        <f>"lots with stock on hand"</f>
        <v>lots with stock on hand</v>
      </c>
      <c r="I11" s="19" t="n"/>
      <c r="J11" s="22" t="str">
        <f>"lots with stock on hand"</f>
        <v>lots with stock on hand</v>
      </c>
      <c r="K11" s="19" t="n"/>
      <c r="L11" s="22" t="str">
        <f>"of "&amp;(COUNTIF(Import_Staging!$U$2:$U$301,"Ready")+COUNTIF(Import_Staging!$U$2:$U$301,"Rejected"))&amp;" rows staged"</f>
        <v>of 18 rows staged</v>
      </c>
      <c r="M11" s="19" t="n"/>
      <c r="N11" s="22" t="str">
        <f>COUNTIF(Import_Staging!$U$2:$U$301,"Rejected")&amp;" rows rejected"</f>
        <v>10 rows rejected</v>
      </c>
      <c r="O11" s="19" t="n"/>
      <c r="P11" s="22" t="str">
        <f>"missing or inconsistent rows"</f>
        <v>missing or inconsistent rows</v>
      </c>
      <c r="Q11" s="19" t="n"/>
    </row>
    <row r="13">
      <c r="B13" s="3" t="inlineStr">
        <is>
          <t>Reorder alerts</t>
        </is>
      </c>
    </row>
    <row r="14">
      <c r="B14" s="20" t="str">
        <f>"SKUs whose "&amp;LOWER(Config!$B$9)&amp;" stock is below the reorder point. Up to 15 shown; the tile counts all."</f>
        <v>SKUs whose available stock is below the reorder point. Up to 15 shown; the tile counts all.</v>
      </c>
    </row>
    <row r="15" ht="30" customHeight="1">
      <c r="B15" s="23" t="inlineStr">
        <is>
          <t>SKU</t>
        </is>
      </c>
      <c r="C15" s="23" t="inlineStr">
        <is>
          <t>Product</t>
        </is>
      </c>
      <c r="D15" s="23" t="inlineStr">
        <is>
          <t>Recorded</t>
        </is>
      </c>
      <c r="E15" s="23" t="inlineStr">
        <is>
          <t>Reserved</t>
        </is>
      </c>
      <c r="F15" s="23" t="inlineStr">
        <is>
          <t>Held in lots</t>
        </is>
      </c>
      <c r="G15" s="23" t="inlineStr">
        <is>
          <t>Available</t>
        </is>
      </c>
      <c r="H15" s="23" t="inlineStr">
        <is>
          <t>Reorder point</t>
        </is>
      </c>
      <c r="I15" s="23" t="inlineStr">
        <is>
          <t>Reorder qty</t>
        </is>
      </c>
      <c r="J15" s="23" t="inlineStr">
        <is>
          <t>On order</t>
        </is>
      </c>
      <c r="K15" s="23" t="inlineStr">
        <is>
          <t>Status</t>
        </is>
      </c>
      <c r="L15" s="23" t="inlineStr">
        <is>
          <t>Supplier</t>
        </is>
      </c>
    </row>
    <row r="16">
      <c r="A16">
        <f>IFERROR(MATCH(1,Products!$AC$2:$AC$101,0),"")</f>
        <v>1</v>
      </c>
      <c r="B16" s="24" t="str">
        <f>IF($A16="","",INDEX(Products!$A$2:$A$101,$A16)&amp;"")</f>
        <v>WPI-CHO-2LB</v>
      </c>
      <c r="C16" s="24" t="str">
        <f>IF($A16="","",INDEX(Products!$B$2:$B$101,$A16)&amp;"")</f>
        <v>Whey Protein Isolate, Chocolate, 2 lb</v>
      </c>
      <c r="D16" s="25">
        <f>IF($A16="","",INDEX(Products!$R$2:$R$101,$A16))</f>
        <v>429</v>
      </c>
      <c r="E16" s="26">
        <f>IF($A16="","",INDEX(Products!$S$2:$S$101,$A16))</f>
        <v>120</v>
      </c>
      <c r="F16" s="26">
        <f>IF($A16="","",INDEX(Products!$T$2:$T$101,$A16))</f>
        <v>0</v>
      </c>
      <c r="G16" s="25">
        <f>IF($A16="","",INDEX(Products!$U$2:$U$101,$A16))</f>
        <v>309</v>
      </c>
      <c r="H16" s="26">
        <f>IF($A16="","",INDEX(Products!$I$2:$I$101,$A16))</f>
        <v>600</v>
      </c>
      <c r="I16" s="26">
        <f>IF($A16="","",INDEX(Products!$J$2:$J$101,$A16))</f>
        <v>1500</v>
      </c>
      <c r="J16" s="26">
        <f>IF($A16="","",INDEX(Products!$V$2:$V$101,$A16))</f>
        <v>1500</v>
      </c>
      <c r="K16" s="24" t="str">
        <f>IF($A16="","",INDEX(Products!$Z$2:$Z$101,$A16)&amp;"")</f>
        <v>Below reorder</v>
      </c>
      <c r="L16" s="24" t="str">
        <f>IF($A16="","",INDEX(Products!$N$2:$N$101,$A16)&amp;"")</f>
        <v>Alder Creek Dairy Proteins</v>
      </c>
    </row>
    <row r="17">
      <c r="A17">
        <f>IFERROR(MATCH(2,Products!$AC$2:$AC$101,0),"")</f>
        <v>2</v>
      </c>
      <c r="B17" s="24" t="str">
        <f>IF($A17="","",INDEX(Products!$A$2:$A$101,$A17)&amp;"")</f>
        <v>WPI-VAN-2LB</v>
      </c>
      <c r="C17" s="24" t="str">
        <f>IF($A17="","",INDEX(Products!$B$2:$B$101,$A17)&amp;"")</f>
        <v>Whey Protein Isolate, Vanilla, 2 lb</v>
      </c>
      <c r="D17" s="25">
        <f>IF($A17="","",INDEX(Products!$R$2:$R$101,$A17))</f>
        <v>808</v>
      </c>
      <c r="E17" s="26">
        <f>IF($A17="","",INDEX(Products!$S$2:$S$101,$A17))</f>
        <v>0</v>
      </c>
      <c r="F17" s="26">
        <f>IF($A17="","",INDEX(Products!$T$2:$T$101,$A17))</f>
        <v>600</v>
      </c>
      <c r="G17" s="25">
        <f>IF($A17="","",INDEX(Products!$U$2:$U$101,$A17))</f>
        <v>208</v>
      </c>
      <c r="H17" s="26">
        <f>IF($A17="","",INDEX(Products!$I$2:$I$101,$A17))</f>
        <v>450</v>
      </c>
      <c r="I17" s="26">
        <f>IF($A17="","",INDEX(Products!$J$2:$J$101,$A17))</f>
        <v>1200</v>
      </c>
      <c r="J17" s="26">
        <f>IF($A17="","",INDEX(Products!$V$2:$V$101,$A17))</f>
        <v>600</v>
      </c>
      <c r="K17" s="24" t="str">
        <f>IF($A17="","",INDEX(Products!$Z$2:$Z$101,$A17)&amp;"")</f>
        <v>Below reorder</v>
      </c>
      <c r="L17" s="24" t="str">
        <f>IF($A17="","",INDEX(Products!$N$2:$N$101,$A17)&amp;"")</f>
        <v>Alder Creek Dairy Proteins</v>
      </c>
    </row>
    <row r="18">
      <c r="A18">
        <f>IFERROR(MATCH(3,Products!$AC$2:$AC$101,0),"")</f>
        <v>5</v>
      </c>
      <c r="B18" s="24" t="str">
        <f>IF($A18="","",INDEX(Products!$A$2:$A$101,$A18)&amp;"")</f>
        <v>PLT-VAN-2LB</v>
      </c>
      <c r="C18" s="24" t="str">
        <f>IF($A18="","",INDEX(Products!$B$2:$B$101,$A18)&amp;"")</f>
        <v>Plant Protein, Vanilla, 2 lb</v>
      </c>
      <c r="D18" s="25">
        <f>IF($A18="","",INDEX(Products!$R$2:$R$101,$A18))</f>
        <v>133</v>
      </c>
      <c r="E18" s="26">
        <f>IF($A18="","",INDEX(Products!$S$2:$S$101,$A18))</f>
        <v>0</v>
      </c>
      <c r="F18" s="26">
        <f>IF($A18="","",INDEX(Products!$T$2:$T$101,$A18))</f>
        <v>0</v>
      </c>
      <c r="G18" s="25">
        <f>IF($A18="","",INDEX(Products!$U$2:$U$101,$A18))</f>
        <v>133</v>
      </c>
      <c r="H18" s="26">
        <f>IF($A18="","",INDEX(Products!$I$2:$I$101,$A18))</f>
        <v>200</v>
      </c>
      <c r="I18" s="26">
        <f>IF($A18="","",INDEX(Products!$J$2:$J$101,$A18))</f>
        <v>500</v>
      </c>
      <c r="J18" s="26">
        <f>IF($A18="","",INDEX(Products!$V$2:$V$101,$A18))</f>
        <v>500</v>
      </c>
      <c r="K18" s="24" t="str">
        <f>IF($A18="","",INDEX(Products!$Z$2:$Z$101,$A18)&amp;"")</f>
        <v>Below reorder</v>
      </c>
      <c r="L18" s="24" t="str">
        <f>IF($A18="","",INDEX(Products!$N$2:$N$101,$A18)&amp;"")</f>
        <v>Corliss Plant Proteins</v>
      </c>
    </row>
    <row r="19">
      <c r="A19">
        <f>IFERROR(MATCH(4,Products!$AC$2:$AC$101,0),"")</f>
        <v>9</v>
      </c>
      <c r="B19" s="24" t="str">
        <f>IF($A19="","",INDEX(Products!$A$2:$A$101,$A19)&amp;"")</f>
        <v>CRE-UNF-500G</v>
      </c>
      <c r="C19" s="24" t="str">
        <f>IF($A19="","",INDEX(Products!$B$2:$B$101,$A19)&amp;"")</f>
        <v>Creatine Monohydrate, Unflavoured, 500 g</v>
      </c>
      <c r="D19" s="25">
        <f>IF($A19="","",INDEX(Products!$R$2:$R$101,$A19))</f>
        <v>290</v>
      </c>
      <c r="E19" s="26">
        <f>IF($A19="","",INDEX(Products!$S$2:$S$101,$A19))</f>
        <v>80</v>
      </c>
      <c r="F19" s="26">
        <f>IF($A19="","",INDEX(Products!$T$2:$T$101,$A19))</f>
        <v>0</v>
      </c>
      <c r="G19" s="25">
        <f>IF($A19="","",INDEX(Products!$U$2:$U$101,$A19))</f>
        <v>210</v>
      </c>
      <c r="H19" s="26">
        <f>IF($A19="","",INDEX(Products!$I$2:$I$101,$A19))</f>
        <v>250</v>
      </c>
      <c r="I19" s="26">
        <f>IF($A19="","",INDEX(Products!$J$2:$J$101,$A19))</f>
        <v>700</v>
      </c>
      <c r="J19" s="26">
        <f>IF($A19="","",INDEX(Products!$V$2:$V$101,$A19))</f>
        <v>0</v>
      </c>
      <c r="K19" s="24" t="str">
        <f>IF($A19="","",INDEX(Products!$Z$2:$Z$101,$A19)&amp;"")</f>
        <v>Below reorder</v>
      </c>
      <c r="L19" s="24" t="str">
        <f>IF($A19="","",INDEX(Products!$N$2:$N$101,$A19)&amp;"")</f>
        <v>Dunmore Powder Labs</v>
      </c>
    </row>
    <row r="20">
      <c r="A20" t="str">
        <f>IFERROR(MATCH(5,Products!$AC$2:$AC$101,0),"")</f>
        <v/>
      </c>
      <c r="B20" s="24" t="str">
        <f>IF($A20="","",INDEX(Products!$A$2:$A$101,$A20)&amp;"")</f>
        <v/>
      </c>
      <c r="C20" s="24" t="str">
        <f>IF($A20="","",INDEX(Products!$B$2:$B$101,$A20)&amp;"")</f>
        <v/>
      </c>
      <c r="D20" s="25" t="str">
        <f>IF($A20="","",INDEX(Products!$R$2:$R$101,$A20))</f>
        <v/>
      </c>
      <c r="E20" s="26" t="str">
        <f>IF($A20="","",INDEX(Products!$S$2:$S$101,$A20))</f>
        <v/>
      </c>
      <c r="F20" s="26" t="str">
        <f>IF($A20="","",INDEX(Products!$T$2:$T$101,$A20))</f>
        <v/>
      </c>
      <c r="G20" s="25" t="str">
        <f>IF($A20="","",INDEX(Products!$U$2:$U$101,$A20))</f>
        <v/>
      </c>
      <c r="H20" s="26" t="str">
        <f>IF($A20="","",INDEX(Products!$I$2:$I$101,$A20))</f>
        <v/>
      </c>
      <c r="I20" s="26" t="str">
        <f>IF($A20="","",INDEX(Products!$J$2:$J$101,$A20))</f>
        <v/>
      </c>
      <c r="J20" s="26" t="str">
        <f>IF($A20="","",INDEX(Products!$V$2:$V$101,$A20))</f>
        <v/>
      </c>
      <c r="K20" s="24" t="str">
        <f>IF($A20="","",INDEX(Products!$Z$2:$Z$101,$A20)&amp;"")</f>
        <v/>
      </c>
      <c r="L20" s="24" t="str">
        <f>IF($A20="","",INDEX(Products!$N$2:$N$101,$A20)&amp;"")</f>
        <v/>
      </c>
    </row>
    <row r="21">
      <c r="A21" t="str">
        <f>IFERROR(MATCH(6,Products!$AC$2:$AC$101,0),"")</f>
        <v/>
      </c>
      <c r="B21" s="24" t="str">
        <f>IF($A21="","",INDEX(Products!$A$2:$A$101,$A21)&amp;"")</f>
        <v/>
      </c>
      <c r="C21" s="24" t="str">
        <f>IF($A21="","",INDEX(Products!$B$2:$B$101,$A21)&amp;"")</f>
        <v/>
      </c>
      <c r="D21" s="25" t="str">
        <f>IF($A21="","",INDEX(Products!$R$2:$R$101,$A21))</f>
        <v/>
      </c>
      <c r="E21" s="26" t="str">
        <f>IF($A21="","",INDEX(Products!$S$2:$S$101,$A21))</f>
        <v/>
      </c>
      <c r="F21" s="26" t="str">
        <f>IF($A21="","",INDEX(Products!$T$2:$T$101,$A21))</f>
        <v/>
      </c>
      <c r="G21" s="25" t="str">
        <f>IF($A21="","",INDEX(Products!$U$2:$U$101,$A21))</f>
        <v/>
      </c>
      <c r="H21" s="26" t="str">
        <f>IF($A21="","",INDEX(Products!$I$2:$I$101,$A21))</f>
        <v/>
      </c>
      <c r="I21" s="26" t="str">
        <f>IF($A21="","",INDEX(Products!$J$2:$J$101,$A21))</f>
        <v/>
      </c>
      <c r="J21" s="26" t="str">
        <f>IF($A21="","",INDEX(Products!$V$2:$V$101,$A21))</f>
        <v/>
      </c>
      <c r="K21" s="24" t="str">
        <f>IF($A21="","",INDEX(Products!$Z$2:$Z$101,$A21)&amp;"")</f>
        <v/>
      </c>
      <c r="L21" s="24" t="str">
        <f>IF($A21="","",INDEX(Products!$N$2:$N$101,$A21)&amp;"")</f>
        <v/>
      </c>
    </row>
    <row r="22">
      <c r="A22" t="str">
        <f>IFERROR(MATCH(7,Products!$AC$2:$AC$101,0),"")</f>
        <v/>
      </c>
      <c r="B22" s="24" t="str">
        <f>IF($A22="","",INDEX(Products!$A$2:$A$101,$A22)&amp;"")</f>
        <v/>
      </c>
      <c r="C22" s="24" t="str">
        <f>IF($A22="","",INDEX(Products!$B$2:$B$101,$A22)&amp;"")</f>
        <v/>
      </c>
      <c r="D22" s="25" t="str">
        <f>IF($A22="","",INDEX(Products!$R$2:$R$101,$A22))</f>
        <v/>
      </c>
      <c r="E22" s="26" t="str">
        <f>IF($A22="","",INDEX(Products!$S$2:$S$101,$A22))</f>
        <v/>
      </c>
      <c r="F22" s="26" t="str">
        <f>IF($A22="","",INDEX(Products!$T$2:$T$101,$A22))</f>
        <v/>
      </c>
      <c r="G22" s="25" t="str">
        <f>IF($A22="","",INDEX(Products!$U$2:$U$101,$A22))</f>
        <v/>
      </c>
      <c r="H22" s="26" t="str">
        <f>IF($A22="","",INDEX(Products!$I$2:$I$101,$A22))</f>
        <v/>
      </c>
      <c r="I22" s="26" t="str">
        <f>IF($A22="","",INDEX(Products!$J$2:$J$101,$A22))</f>
        <v/>
      </c>
      <c r="J22" s="26" t="str">
        <f>IF($A22="","",INDEX(Products!$V$2:$V$101,$A22))</f>
        <v/>
      </c>
      <c r="K22" s="24" t="str">
        <f>IF($A22="","",INDEX(Products!$Z$2:$Z$101,$A22)&amp;"")</f>
        <v/>
      </c>
      <c r="L22" s="24" t="str">
        <f>IF($A22="","",INDEX(Products!$N$2:$N$101,$A22)&amp;"")</f>
        <v/>
      </c>
    </row>
    <row r="23">
      <c r="A23" t="str">
        <f>IFERROR(MATCH(8,Products!$AC$2:$AC$101,0),"")</f>
        <v/>
      </c>
      <c r="B23" s="24" t="str">
        <f>IF($A23="","",INDEX(Products!$A$2:$A$101,$A23)&amp;"")</f>
        <v/>
      </c>
      <c r="C23" s="24" t="str">
        <f>IF($A23="","",INDEX(Products!$B$2:$B$101,$A23)&amp;"")</f>
        <v/>
      </c>
      <c r="D23" s="25" t="str">
        <f>IF($A23="","",INDEX(Products!$R$2:$R$101,$A23))</f>
        <v/>
      </c>
      <c r="E23" s="26" t="str">
        <f>IF($A23="","",INDEX(Products!$S$2:$S$101,$A23))</f>
        <v/>
      </c>
      <c r="F23" s="26" t="str">
        <f>IF($A23="","",INDEX(Products!$T$2:$T$101,$A23))</f>
        <v/>
      </c>
      <c r="G23" s="25" t="str">
        <f>IF($A23="","",INDEX(Products!$U$2:$U$101,$A23))</f>
        <v/>
      </c>
      <c r="H23" s="26" t="str">
        <f>IF($A23="","",INDEX(Products!$I$2:$I$101,$A23))</f>
        <v/>
      </c>
      <c r="I23" s="26" t="str">
        <f>IF($A23="","",INDEX(Products!$J$2:$J$101,$A23))</f>
        <v/>
      </c>
      <c r="J23" s="26" t="str">
        <f>IF($A23="","",INDEX(Products!$V$2:$V$101,$A23))</f>
        <v/>
      </c>
      <c r="K23" s="24" t="str">
        <f>IF($A23="","",INDEX(Products!$Z$2:$Z$101,$A23)&amp;"")</f>
        <v/>
      </c>
      <c r="L23" s="24" t="str">
        <f>IF($A23="","",INDEX(Products!$N$2:$N$101,$A23)&amp;"")</f>
        <v/>
      </c>
    </row>
    <row r="24">
      <c r="A24" t="str">
        <f>IFERROR(MATCH(9,Products!$AC$2:$AC$101,0),"")</f>
        <v/>
      </c>
      <c r="B24" s="24" t="str">
        <f>IF($A24="","",INDEX(Products!$A$2:$A$101,$A24)&amp;"")</f>
        <v/>
      </c>
      <c r="C24" s="24" t="str">
        <f>IF($A24="","",INDEX(Products!$B$2:$B$101,$A24)&amp;"")</f>
        <v/>
      </c>
      <c r="D24" s="25" t="str">
        <f>IF($A24="","",INDEX(Products!$R$2:$R$101,$A24))</f>
        <v/>
      </c>
      <c r="E24" s="26" t="str">
        <f>IF($A24="","",INDEX(Products!$S$2:$S$101,$A24))</f>
        <v/>
      </c>
      <c r="F24" s="26" t="str">
        <f>IF($A24="","",INDEX(Products!$T$2:$T$101,$A24))</f>
        <v/>
      </c>
      <c r="G24" s="25" t="str">
        <f>IF($A24="","",INDEX(Products!$U$2:$U$101,$A24))</f>
        <v/>
      </c>
      <c r="H24" s="26" t="str">
        <f>IF($A24="","",INDEX(Products!$I$2:$I$101,$A24))</f>
        <v/>
      </c>
      <c r="I24" s="26" t="str">
        <f>IF($A24="","",INDEX(Products!$J$2:$J$101,$A24))</f>
        <v/>
      </c>
      <c r="J24" s="26" t="str">
        <f>IF($A24="","",INDEX(Products!$V$2:$V$101,$A24))</f>
        <v/>
      </c>
      <c r="K24" s="24" t="str">
        <f>IF($A24="","",INDEX(Products!$Z$2:$Z$101,$A24)&amp;"")</f>
        <v/>
      </c>
      <c r="L24" s="24" t="str">
        <f>IF($A24="","",INDEX(Products!$N$2:$N$101,$A24)&amp;"")</f>
        <v/>
      </c>
    </row>
    <row r="25">
      <c r="A25" t="str">
        <f>IFERROR(MATCH(10,Products!$AC$2:$AC$101,0),"")</f>
        <v/>
      </c>
      <c r="B25" s="24" t="str">
        <f>IF($A25="","",INDEX(Products!$A$2:$A$101,$A25)&amp;"")</f>
        <v/>
      </c>
      <c r="C25" s="24" t="str">
        <f>IF($A25="","",INDEX(Products!$B$2:$B$101,$A25)&amp;"")</f>
        <v/>
      </c>
      <c r="D25" s="25" t="str">
        <f>IF($A25="","",INDEX(Products!$R$2:$R$101,$A25))</f>
        <v/>
      </c>
      <c r="E25" s="26" t="str">
        <f>IF($A25="","",INDEX(Products!$S$2:$S$101,$A25))</f>
        <v/>
      </c>
      <c r="F25" s="26" t="str">
        <f>IF($A25="","",INDEX(Products!$T$2:$T$101,$A25))</f>
        <v/>
      </c>
      <c r="G25" s="25" t="str">
        <f>IF($A25="","",INDEX(Products!$U$2:$U$101,$A25))</f>
        <v/>
      </c>
      <c r="H25" s="26" t="str">
        <f>IF($A25="","",INDEX(Products!$I$2:$I$101,$A25))</f>
        <v/>
      </c>
      <c r="I25" s="26" t="str">
        <f>IF($A25="","",INDEX(Products!$J$2:$J$101,$A25))</f>
        <v/>
      </c>
      <c r="J25" s="26" t="str">
        <f>IF($A25="","",INDEX(Products!$V$2:$V$101,$A25))</f>
        <v/>
      </c>
      <c r="K25" s="24" t="str">
        <f>IF($A25="","",INDEX(Products!$Z$2:$Z$101,$A25)&amp;"")</f>
        <v/>
      </c>
      <c r="L25" s="24" t="str">
        <f>IF($A25="","",INDEX(Products!$N$2:$N$101,$A25)&amp;"")</f>
        <v/>
      </c>
    </row>
    <row r="26">
      <c r="A26" t="str">
        <f>IFERROR(MATCH(11,Products!$AC$2:$AC$101,0),"")</f>
        <v/>
      </c>
      <c r="B26" s="24" t="str">
        <f>IF($A26="","",INDEX(Products!$A$2:$A$101,$A26)&amp;"")</f>
        <v/>
      </c>
      <c r="C26" s="24" t="str">
        <f>IF($A26="","",INDEX(Products!$B$2:$B$101,$A26)&amp;"")</f>
        <v/>
      </c>
      <c r="D26" s="25" t="str">
        <f>IF($A26="","",INDEX(Products!$R$2:$R$101,$A26))</f>
        <v/>
      </c>
      <c r="E26" s="26" t="str">
        <f>IF($A26="","",INDEX(Products!$S$2:$S$101,$A26))</f>
        <v/>
      </c>
      <c r="F26" s="26" t="str">
        <f>IF($A26="","",INDEX(Products!$T$2:$T$101,$A26))</f>
        <v/>
      </c>
      <c r="G26" s="25" t="str">
        <f>IF($A26="","",INDEX(Products!$U$2:$U$101,$A26))</f>
        <v/>
      </c>
      <c r="H26" s="26" t="str">
        <f>IF($A26="","",INDEX(Products!$I$2:$I$101,$A26))</f>
        <v/>
      </c>
      <c r="I26" s="26" t="str">
        <f>IF($A26="","",INDEX(Products!$J$2:$J$101,$A26))</f>
        <v/>
      </c>
      <c r="J26" s="26" t="str">
        <f>IF($A26="","",INDEX(Products!$V$2:$V$101,$A26))</f>
        <v/>
      </c>
      <c r="K26" s="24" t="str">
        <f>IF($A26="","",INDEX(Products!$Z$2:$Z$101,$A26)&amp;"")</f>
        <v/>
      </c>
      <c r="L26" s="24" t="str">
        <f>IF($A26="","",INDEX(Products!$N$2:$N$101,$A26)&amp;"")</f>
        <v/>
      </c>
    </row>
    <row r="27">
      <c r="A27" t="str">
        <f>IFERROR(MATCH(12,Products!$AC$2:$AC$101,0),"")</f>
        <v/>
      </c>
      <c r="B27" s="24" t="str">
        <f>IF($A27="","",INDEX(Products!$A$2:$A$101,$A27)&amp;"")</f>
        <v/>
      </c>
      <c r="C27" s="24" t="str">
        <f>IF($A27="","",INDEX(Products!$B$2:$B$101,$A27)&amp;"")</f>
        <v/>
      </c>
      <c r="D27" s="25" t="str">
        <f>IF($A27="","",INDEX(Products!$R$2:$R$101,$A27))</f>
        <v/>
      </c>
      <c r="E27" s="26" t="str">
        <f>IF($A27="","",INDEX(Products!$S$2:$S$101,$A27))</f>
        <v/>
      </c>
      <c r="F27" s="26" t="str">
        <f>IF($A27="","",INDEX(Products!$T$2:$T$101,$A27))</f>
        <v/>
      </c>
      <c r="G27" s="25" t="str">
        <f>IF($A27="","",INDEX(Products!$U$2:$U$101,$A27))</f>
        <v/>
      </c>
      <c r="H27" s="26" t="str">
        <f>IF($A27="","",INDEX(Products!$I$2:$I$101,$A27))</f>
        <v/>
      </c>
      <c r="I27" s="26" t="str">
        <f>IF($A27="","",INDEX(Products!$J$2:$J$101,$A27))</f>
        <v/>
      </c>
      <c r="J27" s="26" t="str">
        <f>IF($A27="","",INDEX(Products!$V$2:$V$101,$A27))</f>
        <v/>
      </c>
      <c r="K27" s="24" t="str">
        <f>IF($A27="","",INDEX(Products!$Z$2:$Z$101,$A27)&amp;"")</f>
        <v/>
      </c>
      <c r="L27" s="24" t="str">
        <f>IF($A27="","",INDEX(Products!$N$2:$N$101,$A27)&amp;"")</f>
        <v/>
      </c>
    </row>
    <row r="28">
      <c r="A28" t="str">
        <f>IFERROR(MATCH(13,Products!$AC$2:$AC$101,0),"")</f>
        <v/>
      </c>
      <c r="B28" s="24" t="str">
        <f>IF($A28="","",INDEX(Products!$A$2:$A$101,$A28)&amp;"")</f>
        <v/>
      </c>
      <c r="C28" s="24" t="str">
        <f>IF($A28="","",INDEX(Products!$B$2:$B$101,$A28)&amp;"")</f>
        <v/>
      </c>
      <c r="D28" s="25" t="str">
        <f>IF($A28="","",INDEX(Products!$R$2:$R$101,$A28))</f>
        <v/>
      </c>
      <c r="E28" s="26" t="str">
        <f>IF($A28="","",INDEX(Products!$S$2:$S$101,$A28))</f>
        <v/>
      </c>
      <c r="F28" s="26" t="str">
        <f>IF($A28="","",INDEX(Products!$T$2:$T$101,$A28))</f>
        <v/>
      </c>
      <c r="G28" s="25" t="str">
        <f>IF($A28="","",INDEX(Products!$U$2:$U$101,$A28))</f>
        <v/>
      </c>
      <c r="H28" s="26" t="str">
        <f>IF($A28="","",INDEX(Products!$I$2:$I$101,$A28))</f>
        <v/>
      </c>
      <c r="I28" s="26" t="str">
        <f>IF($A28="","",INDEX(Products!$J$2:$J$101,$A28))</f>
        <v/>
      </c>
      <c r="J28" s="26" t="str">
        <f>IF($A28="","",INDEX(Products!$V$2:$V$101,$A28))</f>
        <v/>
      </c>
      <c r="K28" s="24" t="str">
        <f>IF($A28="","",INDEX(Products!$Z$2:$Z$101,$A28)&amp;"")</f>
        <v/>
      </c>
      <c r="L28" s="24" t="str">
        <f>IF($A28="","",INDEX(Products!$N$2:$N$101,$A28)&amp;"")</f>
        <v/>
      </c>
    </row>
    <row r="29">
      <c r="A29" t="str">
        <f>IFERROR(MATCH(14,Products!$AC$2:$AC$101,0),"")</f>
        <v/>
      </c>
      <c r="B29" s="24" t="str">
        <f>IF($A29="","",INDEX(Products!$A$2:$A$101,$A29)&amp;"")</f>
        <v/>
      </c>
      <c r="C29" s="24" t="str">
        <f>IF($A29="","",INDEX(Products!$B$2:$B$101,$A29)&amp;"")</f>
        <v/>
      </c>
      <c r="D29" s="25" t="str">
        <f>IF($A29="","",INDEX(Products!$R$2:$R$101,$A29))</f>
        <v/>
      </c>
      <c r="E29" s="26" t="str">
        <f>IF($A29="","",INDEX(Products!$S$2:$S$101,$A29))</f>
        <v/>
      </c>
      <c r="F29" s="26" t="str">
        <f>IF($A29="","",INDEX(Products!$T$2:$T$101,$A29))</f>
        <v/>
      </c>
      <c r="G29" s="25" t="str">
        <f>IF($A29="","",INDEX(Products!$U$2:$U$101,$A29))</f>
        <v/>
      </c>
      <c r="H29" s="26" t="str">
        <f>IF($A29="","",INDEX(Products!$I$2:$I$101,$A29))</f>
        <v/>
      </c>
      <c r="I29" s="26" t="str">
        <f>IF($A29="","",INDEX(Products!$J$2:$J$101,$A29))</f>
        <v/>
      </c>
      <c r="J29" s="26" t="str">
        <f>IF($A29="","",INDEX(Products!$V$2:$V$101,$A29))</f>
        <v/>
      </c>
      <c r="K29" s="24" t="str">
        <f>IF($A29="","",INDEX(Products!$Z$2:$Z$101,$A29)&amp;"")</f>
        <v/>
      </c>
      <c r="L29" s="24" t="str">
        <f>IF($A29="","",INDEX(Products!$N$2:$N$101,$A29)&amp;"")</f>
        <v/>
      </c>
    </row>
    <row r="30">
      <c r="A30" t="str">
        <f>IFERROR(MATCH(15,Products!$AC$2:$AC$101,0),"")</f>
        <v/>
      </c>
      <c r="B30" s="24" t="str">
        <f>IF($A30="","",INDEX(Products!$A$2:$A$101,$A30)&amp;"")</f>
        <v/>
      </c>
      <c r="C30" s="24" t="str">
        <f>IF($A30="","",INDEX(Products!$B$2:$B$101,$A30)&amp;"")</f>
        <v/>
      </c>
      <c r="D30" s="25" t="str">
        <f>IF($A30="","",INDEX(Products!$R$2:$R$101,$A30))</f>
        <v/>
      </c>
      <c r="E30" s="26" t="str">
        <f>IF($A30="","",INDEX(Products!$S$2:$S$101,$A30))</f>
        <v/>
      </c>
      <c r="F30" s="26" t="str">
        <f>IF($A30="","",INDEX(Products!$T$2:$T$101,$A30))</f>
        <v/>
      </c>
      <c r="G30" s="25" t="str">
        <f>IF($A30="","",INDEX(Products!$U$2:$U$101,$A30))</f>
        <v/>
      </c>
      <c r="H30" s="26" t="str">
        <f>IF($A30="","",INDEX(Products!$I$2:$I$101,$A30))</f>
        <v/>
      </c>
      <c r="I30" s="26" t="str">
        <f>IF($A30="","",INDEX(Products!$J$2:$J$101,$A30))</f>
        <v/>
      </c>
      <c r="J30" s="26" t="str">
        <f>IF($A30="","",INDEX(Products!$V$2:$V$101,$A30))</f>
        <v/>
      </c>
      <c r="K30" s="24" t="str">
        <f>IF($A30="","",INDEX(Products!$Z$2:$Z$101,$A30)&amp;"")</f>
        <v/>
      </c>
      <c r="L30" s="24" t="str">
        <f>IF($A30="","",INDEX(Products!$N$2:$N$101,$A30)&amp;"")</f>
        <v/>
      </c>
    </row>
    <row r="32">
      <c r="B32" s="3" t="inlineStr">
        <is>
          <t>Outstanding purchase orders</t>
        </is>
      </c>
    </row>
    <row r="33">
      <c r="B33" s="20" t="inlineStr">
        <is>
          <t>Open POs, earliest expected date first. Up to 15 shown.</t>
        </is>
      </c>
    </row>
    <row r="34" ht="30" customHeight="1">
      <c r="B34" s="23" t="inlineStr">
        <is>
          <t>PO</t>
        </is>
      </c>
      <c r="C34" s="23" t="inlineStr">
        <is>
          <t>Supplier</t>
        </is>
      </c>
      <c r="D34" s="23" t="inlineStr">
        <is>
          <t>SKU</t>
        </is>
      </c>
      <c r="E34" s="23" t="inlineStr">
        <is>
          <t>Ordered</t>
        </is>
      </c>
      <c r="F34" s="23" t="inlineStr">
        <is>
          <t>Received</t>
        </is>
      </c>
      <c r="G34" s="23" t="inlineStr">
        <is>
          <t>Outstanding</t>
        </is>
      </c>
      <c r="H34" s="23" t="inlineStr">
        <is>
          <t>Order date</t>
        </is>
      </c>
      <c r="I34" s="23" t="inlineStr">
        <is>
          <t>Expected</t>
        </is>
      </c>
      <c r="J34" s="23" t="inlineStr">
        <is>
          <t>Status</t>
        </is>
      </c>
      <c r="K34" s="23" t="inlineStr">
        <is>
          <t>Overdue</t>
        </is>
      </c>
      <c r="L34" s="23" t="inlineStr">
        <is>
          <t>Days late</t>
        </is>
      </c>
    </row>
    <row r="35">
      <c r="A35">
        <f>IFERROR(MATCH(1,Purchase_Orders!$T$2:$T$301,0),"")</f>
        <v>8</v>
      </c>
      <c r="B35" s="24" t="str">
        <f>IF($A35="","",INDEX(Purchase_Orders!$A$2:$A$301,$A35)&amp;"")</f>
        <v>PO-2026-029</v>
      </c>
      <c r="C35" s="24" t="str">
        <f>IF($A35="","",INDEX(Purchase_Orders!$K$2:$K$301,$A35)&amp;"")</f>
        <v>Corliss Plant Proteins</v>
      </c>
      <c r="D35" s="24" t="str">
        <f>IF($A35="","",INDEX(Purchase_Orders!$C$2:$C$301,$A35)&amp;"")</f>
        <v>PLT-VAN-2LB</v>
      </c>
      <c r="E35" s="26">
        <f>IF($A35="","",INDEX(Purchase_Orders!$D$2:$D$301,$A35))</f>
        <v>500</v>
      </c>
      <c r="F35" s="26">
        <f>IF($A35="","",INDEX(Purchase_Orders!$M$2:$M$301,$A35))</f>
        <v>0</v>
      </c>
      <c r="G35" s="26">
        <f>IF($A35="","",INDEX(Purchase_Orders!$N$2:$N$301,$A35))</f>
        <v>500</v>
      </c>
      <c r="H35" s="27">
        <f>IF($A35="","",INDEX(Purchase_Orders!$F$2:$F$301,$A35))</f>
        <v>46266</v>
      </c>
      <c r="I35" s="27">
        <f>IF($A35="","",INDEX(Purchase_Orders!$G$2:$G$301,$A35))</f>
        <v>46301</v>
      </c>
      <c r="J35" s="24" t="str">
        <f>IF($A35="","",INDEX(Purchase_Orders!$H$2:$H$301,$A35)&amp;"")</f>
        <v>Confirmed</v>
      </c>
      <c r="K35" s="24" t="str">
        <f>IF($A35="","",IF(INDEX(Purchase_Orders!$P$2:$P$301,$A35)=1,"Yes",""))</f>
        <v>Yes</v>
      </c>
      <c r="L35" s="28">
        <f>IF($A35="","",INDEX(Purchase_Orders!$Q$2:$Q$301,$A35))</f>
        <v>9</v>
      </c>
    </row>
    <row r="36">
      <c r="A36">
        <f>IFERROR(MATCH(2,Purchase_Orders!$T$2:$T$301,0),"")</f>
        <v>10</v>
      </c>
      <c r="B36" s="24" t="str">
        <f>IF($A36="","",INDEX(Purchase_Orders!$A$2:$A$301,$A36)&amp;"")</f>
        <v>PO-2026-031</v>
      </c>
      <c r="C36" s="24" t="str">
        <f>IF($A36="","",INDEX(Purchase_Orders!$K$2:$K$301,$A36)&amp;"")</f>
        <v>Dunmore Powder Labs</v>
      </c>
      <c r="D36" s="24" t="str">
        <f>IF($A36="","",INDEX(Purchase_Orders!$C$2:$C$301,$A36)&amp;"")</f>
        <v>PRE-WTM-30</v>
      </c>
      <c r="E36" s="26">
        <f>IF($A36="","",INDEX(Purchase_Orders!$D$2:$D$301,$A36))</f>
        <v>600</v>
      </c>
      <c r="F36" s="26">
        <f>IF($A36="","",INDEX(Purchase_Orders!$M$2:$M$301,$A36))</f>
        <v>0</v>
      </c>
      <c r="G36" s="26">
        <f>IF($A36="","",INDEX(Purchase_Orders!$N$2:$N$301,$A36))</f>
        <v>600</v>
      </c>
      <c r="H36" s="27">
        <f>IF($A36="","",INDEX(Purchase_Orders!$F$2:$F$301,$A36))</f>
        <v>46269</v>
      </c>
      <c r="I36" s="27">
        <f>IF($A36="","",INDEX(Purchase_Orders!$G$2:$G$301,$A36))</f>
        <v>46305</v>
      </c>
      <c r="J36" s="24" t="str">
        <f>IF($A36="","",INDEX(Purchase_Orders!$H$2:$H$301,$A36)&amp;"")</f>
        <v>In transit</v>
      </c>
      <c r="K36" s="24" t="str">
        <f>IF($A36="","",IF(INDEX(Purchase_Orders!$P$2:$P$301,$A36)=1,"Yes",""))</f>
        <v>Yes</v>
      </c>
      <c r="L36" s="28">
        <f>IF($A36="","",INDEX(Purchase_Orders!$Q$2:$Q$301,$A36))</f>
        <v>5</v>
      </c>
    </row>
    <row r="37">
      <c r="A37">
        <f>IFERROR(MATCH(3,Purchase_Orders!$T$2:$T$301,0),"")</f>
        <v>9</v>
      </c>
      <c r="B37" s="24" t="str">
        <f>IF($A37="","",INDEX(Purchase_Orders!$A$2:$A$301,$A37)&amp;"")</f>
        <v>PO-2026-030</v>
      </c>
      <c r="C37" s="24" t="str">
        <f>IF($A37="","",INDEX(Purchase_Orders!$K$2:$K$301,$A37)&amp;"")</f>
        <v>Alder Creek Dairy Proteins</v>
      </c>
      <c r="D37" s="24" t="str">
        <f>IF($A37="","",INDEX(Purchase_Orders!$C$2:$C$301,$A37)&amp;"")</f>
        <v>WPI-CHO-2LB</v>
      </c>
      <c r="E37" s="26">
        <f>IF($A37="","",INDEX(Purchase_Orders!$D$2:$D$301,$A37))</f>
        <v>1500</v>
      </c>
      <c r="F37" s="26">
        <f>IF($A37="","",INDEX(Purchase_Orders!$M$2:$M$301,$A37))</f>
        <v>0</v>
      </c>
      <c r="G37" s="26">
        <f>IF($A37="","",INDEX(Purchase_Orders!$N$2:$N$301,$A37))</f>
        <v>1500</v>
      </c>
      <c r="H37" s="27">
        <f>IF($A37="","",INDEX(Purchase_Orders!$F$2:$F$301,$A37))</f>
        <v>46280</v>
      </c>
      <c r="I37" s="27">
        <f>IF($A37="","",INDEX(Purchase_Orders!$G$2:$G$301,$A37))</f>
        <v>46315</v>
      </c>
      <c r="J37" s="24" t="str">
        <f>IF($A37="","",INDEX(Purchase_Orders!$H$2:$H$301,$A37)&amp;"")</f>
        <v>In transit</v>
      </c>
      <c r="K37" s="24" t="str">
        <f>IF($A37="","",IF(INDEX(Purchase_Orders!$P$2:$P$301,$A37)=1,"Yes",""))</f>
        <v/>
      </c>
      <c r="L37" s="28">
        <f>IF($A37="","",INDEX(Purchase_Orders!$Q$2:$Q$301,$A37))</f>
        <v>0</v>
      </c>
    </row>
    <row r="38">
      <c r="A38">
        <f>IFERROR(MATCH(4,Purchase_Orders!$T$2:$T$301,0),"")</f>
        <v>6</v>
      </c>
      <c r="B38" s="24" t="str">
        <f>IF($A38="","",INDEX(Purchase_Orders!$A$2:$A$301,$A38)&amp;"")</f>
        <v>PO-2026-027</v>
      </c>
      <c r="C38" s="24" t="str">
        <f>IF($A38="","",INDEX(Purchase_Orders!$K$2:$K$301,$A38)&amp;"")</f>
        <v>Alder Creek Dairy Proteins</v>
      </c>
      <c r="D38" s="24" t="str">
        <f>IF($A38="","",INDEX(Purchase_Orders!$C$2:$C$301,$A38)&amp;"")</f>
        <v>WPI-VAN-2LB</v>
      </c>
      <c r="E38" s="26">
        <f>IF($A38="","",INDEX(Purchase_Orders!$D$2:$D$301,$A38))</f>
        <v>1200</v>
      </c>
      <c r="F38" s="26">
        <f>IF($A38="","",INDEX(Purchase_Orders!$M$2:$M$301,$A38))</f>
        <v>600</v>
      </c>
      <c r="G38" s="26">
        <f>IF($A38="","",INDEX(Purchase_Orders!$N$2:$N$301,$A38))</f>
        <v>600</v>
      </c>
      <c r="H38" s="27">
        <f>IF($A38="","",INDEX(Purchase_Orders!$F$2:$F$301,$A38))</f>
        <v>46267</v>
      </c>
      <c r="I38" s="27">
        <f>IF($A38="","",INDEX(Purchase_Orders!$G$2:$G$301,$A38))</f>
        <v>46324</v>
      </c>
      <c r="J38" s="24" t="str">
        <f>IF($A38="","",INDEX(Purchase_Orders!$H$2:$H$301,$A38)&amp;"")</f>
        <v>Partially received</v>
      </c>
      <c r="K38" s="24" t="str">
        <f>IF($A38="","",IF(INDEX(Purchase_Orders!$P$2:$P$301,$A38)=1,"Yes",""))</f>
        <v/>
      </c>
      <c r="L38" s="28">
        <f>IF($A38="","",INDEX(Purchase_Orders!$Q$2:$Q$301,$A38))</f>
        <v>0</v>
      </c>
    </row>
    <row r="39">
      <c r="A39">
        <f>IFERROR(MATCH(5,Purchase_Orders!$T$2:$T$301,0),"")</f>
        <v>11</v>
      </c>
      <c r="B39" s="24" t="str">
        <f>IF($A39="","",INDEX(Purchase_Orders!$A$2:$A$301,$A39)&amp;"")</f>
        <v>PO-2026-032</v>
      </c>
      <c r="C39" s="24" t="str">
        <f>IF($A39="","",INDEX(Purchase_Orders!$K$2:$K$301,$A39)&amp;"")</f>
        <v>Elmstead Co-Packing</v>
      </c>
      <c r="D39" s="24" t="str">
        <f>IF($A39="","",INDEX(Purchase_Orders!$C$2:$C$301,$A39)&amp;"")</f>
        <v>CAS-CHO-2LB</v>
      </c>
      <c r="E39" s="26">
        <f>IF($A39="","",INDEX(Purchase_Orders!$D$2:$D$301,$A39))</f>
        <v>360</v>
      </c>
      <c r="F39" s="26">
        <f>IF($A39="","",INDEX(Purchase_Orders!$M$2:$M$301,$A39))</f>
        <v>0</v>
      </c>
      <c r="G39" s="26">
        <f>IF($A39="","",INDEX(Purchase_Orders!$N$2:$N$301,$A39))</f>
        <v>360</v>
      </c>
      <c r="H39" s="27">
        <f>IF($A39="","",INDEX(Purchase_Orders!$F$2:$F$301,$A39))</f>
        <v>46300</v>
      </c>
      <c r="I39" s="27">
        <f>IF($A39="","",INDEX(Purchase_Orders!$G$2:$G$301,$A39))</f>
        <v>46345</v>
      </c>
      <c r="J39" s="24" t="str">
        <f>IF($A39="","",INDEX(Purchase_Orders!$H$2:$H$301,$A39)&amp;"")</f>
        <v>Ordered</v>
      </c>
      <c r="K39" s="24" t="str">
        <f>IF($A39="","",IF(INDEX(Purchase_Orders!$P$2:$P$301,$A39)=1,"Yes",""))</f>
        <v/>
      </c>
      <c r="L39" s="28">
        <f>IF($A39="","",INDEX(Purchase_Orders!$Q$2:$Q$301,$A39))</f>
        <v>0</v>
      </c>
    </row>
    <row r="40">
      <c r="A40" t="str">
        <f>IFERROR(MATCH(6,Purchase_Orders!$T$2:$T$301,0),"")</f>
        <v/>
      </c>
      <c r="B40" s="24" t="str">
        <f>IF($A40="","",INDEX(Purchase_Orders!$A$2:$A$301,$A40)&amp;"")</f>
        <v/>
      </c>
      <c r="C40" s="24" t="str">
        <f>IF($A40="","",INDEX(Purchase_Orders!$K$2:$K$301,$A40)&amp;"")</f>
        <v/>
      </c>
      <c r="D40" s="24" t="str">
        <f>IF($A40="","",INDEX(Purchase_Orders!$C$2:$C$301,$A40)&amp;"")</f>
        <v/>
      </c>
      <c r="E40" s="26" t="str">
        <f>IF($A40="","",INDEX(Purchase_Orders!$D$2:$D$301,$A40))</f>
        <v/>
      </c>
      <c r="F40" s="26" t="str">
        <f>IF($A40="","",INDEX(Purchase_Orders!$M$2:$M$301,$A40))</f>
        <v/>
      </c>
      <c r="G40" s="26" t="str">
        <f>IF($A40="","",INDEX(Purchase_Orders!$N$2:$N$301,$A40))</f>
        <v/>
      </c>
      <c r="H40" s="27" t="str">
        <f>IF($A40="","",INDEX(Purchase_Orders!$F$2:$F$301,$A40))</f>
        <v/>
      </c>
      <c r="I40" s="27" t="str">
        <f>IF($A40="","",INDEX(Purchase_Orders!$G$2:$G$301,$A40))</f>
        <v/>
      </c>
      <c r="J40" s="24" t="str">
        <f>IF($A40="","",INDEX(Purchase_Orders!$H$2:$H$301,$A40)&amp;"")</f>
        <v/>
      </c>
      <c r="K40" s="24" t="str">
        <f>IF($A40="","",IF(INDEX(Purchase_Orders!$P$2:$P$301,$A40)=1,"Yes",""))</f>
        <v/>
      </c>
      <c r="L40" s="28" t="str">
        <f>IF($A40="","",INDEX(Purchase_Orders!$Q$2:$Q$301,$A40))</f>
        <v/>
      </c>
    </row>
    <row r="41">
      <c r="A41" t="str">
        <f>IFERROR(MATCH(7,Purchase_Orders!$T$2:$T$301,0),"")</f>
        <v/>
      </c>
      <c r="B41" s="24" t="str">
        <f>IF($A41="","",INDEX(Purchase_Orders!$A$2:$A$301,$A41)&amp;"")</f>
        <v/>
      </c>
      <c r="C41" s="24" t="str">
        <f>IF($A41="","",INDEX(Purchase_Orders!$K$2:$K$301,$A41)&amp;"")</f>
        <v/>
      </c>
      <c r="D41" s="24" t="str">
        <f>IF($A41="","",INDEX(Purchase_Orders!$C$2:$C$301,$A41)&amp;"")</f>
        <v/>
      </c>
      <c r="E41" s="26" t="str">
        <f>IF($A41="","",INDEX(Purchase_Orders!$D$2:$D$301,$A41))</f>
        <v/>
      </c>
      <c r="F41" s="26" t="str">
        <f>IF($A41="","",INDEX(Purchase_Orders!$M$2:$M$301,$A41))</f>
        <v/>
      </c>
      <c r="G41" s="26" t="str">
        <f>IF($A41="","",INDEX(Purchase_Orders!$N$2:$N$301,$A41))</f>
        <v/>
      </c>
      <c r="H41" s="27" t="str">
        <f>IF($A41="","",INDEX(Purchase_Orders!$F$2:$F$301,$A41))</f>
        <v/>
      </c>
      <c r="I41" s="27" t="str">
        <f>IF($A41="","",INDEX(Purchase_Orders!$G$2:$G$301,$A41))</f>
        <v/>
      </c>
      <c r="J41" s="24" t="str">
        <f>IF($A41="","",INDEX(Purchase_Orders!$H$2:$H$301,$A41)&amp;"")</f>
        <v/>
      </c>
      <c r="K41" s="24" t="str">
        <f>IF($A41="","",IF(INDEX(Purchase_Orders!$P$2:$P$301,$A41)=1,"Yes",""))</f>
        <v/>
      </c>
      <c r="L41" s="28" t="str">
        <f>IF($A41="","",INDEX(Purchase_Orders!$Q$2:$Q$301,$A41))</f>
        <v/>
      </c>
    </row>
    <row r="42">
      <c r="A42" t="str">
        <f>IFERROR(MATCH(8,Purchase_Orders!$T$2:$T$301,0),"")</f>
        <v/>
      </c>
      <c r="B42" s="24" t="str">
        <f>IF($A42="","",INDEX(Purchase_Orders!$A$2:$A$301,$A42)&amp;"")</f>
        <v/>
      </c>
      <c r="C42" s="24" t="str">
        <f>IF($A42="","",INDEX(Purchase_Orders!$K$2:$K$301,$A42)&amp;"")</f>
        <v/>
      </c>
      <c r="D42" s="24" t="str">
        <f>IF($A42="","",INDEX(Purchase_Orders!$C$2:$C$301,$A42)&amp;"")</f>
        <v/>
      </c>
      <c r="E42" s="26" t="str">
        <f>IF($A42="","",INDEX(Purchase_Orders!$D$2:$D$301,$A42))</f>
        <v/>
      </c>
      <c r="F42" s="26" t="str">
        <f>IF($A42="","",INDEX(Purchase_Orders!$M$2:$M$301,$A42))</f>
        <v/>
      </c>
      <c r="G42" s="26" t="str">
        <f>IF($A42="","",INDEX(Purchase_Orders!$N$2:$N$301,$A42))</f>
        <v/>
      </c>
      <c r="H42" s="27" t="str">
        <f>IF($A42="","",INDEX(Purchase_Orders!$F$2:$F$301,$A42))</f>
        <v/>
      </c>
      <c r="I42" s="27" t="str">
        <f>IF($A42="","",INDEX(Purchase_Orders!$G$2:$G$301,$A42))</f>
        <v/>
      </c>
      <c r="J42" s="24" t="str">
        <f>IF($A42="","",INDEX(Purchase_Orders!$H$2:$H$301,$A42)&amp;"")</f>
        <v/>
      </c>
      <c r="K42" s="24" t="str">
        <f>IF($A42="","",IF(INDEX(Purchase_Orders!$P$2:$P$301,$A42)=1,"Yes",""))</f>
        <v/>
      </c>
      <c r="L42" s="28" t="str">
        <f>IF($A42="","",INDEX(Purchase_Orders!$Q$2:$Q$301,$A42))</f>
        <v/>
      </c>
    </row>
    <row r="43">
      <c r="A43" t="str">
        <f>IFERROR(MATCH(9,Purchase_Orders!$T$2:$T$301,0),"")</f>
        <v/>
      </c>
      <c r="B43" s="24" t="str">
        <f>IF($A43="","",INDEX(Purchase_Orders!$A$2:$A$301,$A43)&amp;"")</f>
        <v/>
      </c>
      <c r="C43" s="24" t="str">
        <f>IF($A43="","",INDEX(Purchase_Orders!$K$2:$K$301,$A43)&amp;"")</f>
        <v/>
      </c>
      <c r="D43" s="24" t="str">
        <f>IF($A43="","",INDEX(Purchase_Orders!$C$2:$C$301,$A43)&amp;"")</f>
        <v/>
      </c>
      <c r="E43" s="26" t="str">
        <f>IF($A43="","",INDEX(Purchase_Orders!$D$2:$D$301,$A43))</f>
        <v/>
      </c>
      <c r="F43" s="26" t="str">
        <f>IF($A43="","",INDEX(Purchase_Orders!$M$2:$M$301,$A43))</f>
        <v/>
      </c>
      <c r="G43" s="26" t="str">
        <f>IF($A43="","",INDEX(Purchase_Orders!$N$2:$N$301,$A43))</f>
        <v/>
      </c>
      <c r="H43" s="27" t="str">
        <f>IF($A43="","",INDEX(Purchase_Orders!$F$2:$F$301,$A43))</f>
        <v/>
      </c>
      <c r="I43" s="27" t="str">
        <f>IF($A43="","",INDEX(Purchase_Orders!$G$2:$G$301,$A43))</f>
        <v/>
      </c>
      <c r="J43" s="24" t="str">
        <f>IF($A43="","",INDEX(Purchase_Orders!$H$2:$H$301,$A43)&amp;"")</f>
        <v/>
      </c>
      <c r="K43" s="24" t="str">
        <f>IF($A43="","",IF(INDEX(Purchase_Orders!$P$2:$P$301,$A43)=1,"Yes",""))</f>
        <v/>
      </c>
      <c r="L43" s="28" t="str">
        <f>IF($A43="","",INDEX(Purchase_Orders!$Q$2:$Q$301,$A43))</f>
        <v/>
      </c>
    </row>
    <row r="44">
      <c r="A44" t="str">
        <f>IFERROR(MATCH(10,Purchase_Orders!$T$2:$T$301,0),"")</f>
        <v/>
      </c>
      <c r="B44" s="24" t="str">
        <f>IF($A44="","",INDEX(Purchase_Orders!$A$2:$A$301,$A44)&amp;"")</f>
        <v/>
      </c>
      <c r="C44" s="24" t="str">
        <f>IF($A44="","",INDEX(Purchase_Orders!$K$2:$K$301,$A44)&amp;"")</f>
        <v/>
      </c>
      <c r="D44" s="24" t="str">
        <f>IF($A44="","",INDEX(Purchase_Orders!$C$2:$C$301,$A44)&amp;"")</f>
        <v/>
      </c>
      <c r="E44" s="26" t="str">
        <f>IF($A44="","",INDEX(Purchase_Orders!$D$2:$D$301,$A44))</f>
        <v/>
      </c>
      <c r="F44" s="26" t="str">
        <f>IF($A44="","",INDEX(Purchase_Orders!$M$2:$M$301,$A44))</f>
        <v/>
      </c>
      <c r="G44" s="26" t="str">
        <f>IF($A44="","",INDEX(Purchase_Orders!$N$2:$N$301,$A44))</f>
        <v/>
      </c>
      <c r="H44" s="27" t="str">
        <f>IF($A44="","",INDEX(Purchase_Orders!$F$2:$F$301,$A44))</f>
        <v/>
      </c>
      <c r="I44" s="27" t="str">
        <f>IF($A44="","",INDEX(Purchase_Orders!$G$2:$G$301,$A44))</f>
        <v/>
      </c>
      <c r="J44" s="24" t="str">
        <f>IF($A44="","",INDEX(Purchase_Orders!$H$2:$H$301,$A44)&amp;"")</f>
        <v/>
      </c>
      <c r="K44" s="24" t="str">
        <f>IF($A44="","",IF(INDEX(Purchase_Orders!$P$2:$P$301,$A44)=1,"Yes",""))</f>
        <v/>
      </c>
      <c r="L44" s="28" t="str">
        <f>IF($A44="","",INDEX(Purchase_Orders!$Q$2:$Q$301,$A44))</f>
        <v/>
      </c>
    </row>
    <row r="45">
      <c r="A45" t="str">
        <f>IFERROR(MATCH(11,Purchase_Orders!$T$2:$T$301,0),"")</f>
        <v/>
      </c>
      <c r="B45" s="24" t="str">
        <f>IF($A45="","",INDEX(Purchase_Orders!$A$2:$A$301,$A45)&amp;"")</f>
        <v/>
      </c>
      <c r="C45" s="24" t="str">
        <f>IF($A45="","",INDEX(Purchase_Orders!$K$2:$K$301,$A45)&amp;"")</f>
        <v/>
      </c>
      <c r="D45" s="24" t="str">
        <f>IF($A45="","",INDEX(Purchase_Orders!$C$2:$C$301,$A45)&amp;"")</f>
        <v/>
      </c>
      <c r="E45" s="26" t="str">
        <f>IF($A45="","",INDEX(Purchase_Orders!$D$2:$D$301,$A45))</f>
        <v/>
      </c>
      <c r="F45" s="26" t="str">
        <f>IF($A45="","",INDEX(Purchase_Orders!$M$2:$M$301,$A45))</f>
        <v/>
      </c>
      <c r="G45" s="26" t="str">
        <f>IF($A45="","",INDEX(Purchase_Orders!$N$2:$N$301,$A45))</f>
        <v/>
      </c>
      <c r="H45" s="27" t="str">
        <f>IF($A45="","",INDEX(Purchase_Orders!$F$2:$F$301,$A45))</f>
        <v/>
      </c>
      <c r="I45" s="27" t="str">
        <f>IF($A45="","",INDEX(Purchase_Orders!$G$2:$G$301,$A45))</f>
        <v/>
      </c>
      <c r="J45" s="24" t="str">
        <f>IF($A45="","",INDEX(Purchase_Orders!$H$2:$H$301,$A45)&amp;"")</f>
        <v/>
      </c>
      <c r="K45" s="24" t="str">
        <f>IF($A45="","",IF(INDEX(Purchase_Orders!$P$2:$P$301,$A45)=1,"Yes",""))</f>
        <v/>
      </c>
      <c r="L45" s="28" t="str">
        <f>IF($A45="","",INDEX(Purchase_Orders!$Q$2:$Q$301,$A45))</f>
        <v/>
      </c>
    </row>
    <row r="46">
      <c r="A46" t="str">
        <f>IFERROR(MATCH(12,Purchase_Orders!$T$2:$T$301,0),"")</f>
        <v/>
      </c>
      <c r="B46" s="24" t="str">
        <f>IF($A46="","",INDEX(Purchase_Orders!$A$2:$A$301,$A46)&amp;"")</f>
        <v/>
      </c>
      <c r="C46" s="24" t="str">
        <f>IF($A46="","",INDEX(Purchase_Orders!$K$2:$K$301,$A46)&amp;"")</f>
        <v/>
      </c>
      <c r="D46" s="24" t="str">
        <f>IF($A46="","",INDEX(Purchase_Orders!$C$2:$C$301,$A46)&amp;"")</f>
        <v/>
      </c>
      <c r="E46" s="26" t="str">
        <f>IF($A46="","",INDEX(Purchase_Orders!$D$2:$D$301,$A46))</f>
        <v/>
      </c>
      <c r="F46" s="26" t="str">
        <f>IF($A46="","",INDEX(Purchase_Orders!$M$2:$M$301,$A46))</f>
        <v/>
      </c>
      <c r="G46" s="26" t="str">
        <f>IF($A46="","",INDEX(Purchase_Orders!$N$2:$N$301,$A46))</f>
        <v/>
      </c>
      <c r="H46" s="27" t="str">
        <f>IF($A46="","",INDEX(Purchase_Orders!$F$2:$F$301,$A46))</f>
        <v/>
      </c>
      <c r="I46" s="27" t="str">
        <f>IF($A46="","",INDEX(Purchase_Orders!$G$2:$G$301,$A46))</f>
        <v/>
      </c>
      <c r="J46" s="24" t="str">
        <f>IF($A46="","",INDEX(Purchase_Orders!$H$2:$H$301,$A46)&amp;"")</f>
        <v/>
      </c>
      <c r="K46" s="24" t="str">
        <f>IF($A46="","",IF(INDEX(Purchase_Orders!$P$2:$P$301,$A46)=1,"Yes",""))</f>
        <v/>
      </c>
      <c r="L46" s="28" t="str">
        <f>IF($A46="","",INDEX(Purchase_Orders!$Q$2:$Q$301,$A46))</f>
        <v/>
      </c>
    </row>
    <row r="47">
      <c r="A47" t="str">
        <f>IFERROR(MATCH(13,Purchase_Orders!$T$2:$T$301,0),"")</f>
        <v/>
      </c>
      <c r="B47" s="24" t="str">
        <f>IF($A47="","",INDEX(Purchase_Orders!$A$2:$A$301,$A47)&amp;"")</f>
        <v/>
      </c>
      <c r="C47" s="24" t="str">
        <f>IF($A47="","",INDEX(Purchase_Orders!$K$2:$K$301,$A47)&amp;"")</f>
        <v/>
      </c>
      <c r="D47" s="24" t="str">
        <f>IF($A47="","",INDEX(Purchase_Orders!$C$2:$C$301,$A47)&amp;"")</f>
        <v/>
      </c>
      <c r="E47" s="26" t="str">
        <f>IF($A47="","",INDEX(Purchase_Orders!$D$2:$D$301,$A47))</f>
        <v/>
      </c>
      <c r="F47" s="26" t="str">
        <f>IF($A47="","",INDEX(Purchase_Orders!$M$2:$M$301,$A47))</f>
        <v/>
      </c>
      <c r="G47" s="26" t="str">
        <f>IF($A47="","",INDEX(Purchase_Orders!$N$2:$N$301,$A47))</f>
        <v/>
      </c>
      <c r="H47" s="27" t="str">
        <f>IF($A47="","",INDEX(Purchase_Orders!$F$2:$F$301,$A47))</f>
        <v/>
      </c>
      <c r="I47" s="27" t="str">
        <f>IF($A47="","",INDEX(Purchase_Orders!$G$2:$G$301,$A47))</f>
        <v/>
      </c>
      <c r="J47" s="24" t="str">
        <f>IF($A47="","",INDEX(Purchase_Orders!$H$2:$H$301,$A47)&amp;"")</f>
        <v/>
      </c>
      <c r="K47" s="24" t="str">
        <f>IF($A47="","",IF(INDEX(Purchase_Orders!$P$2:$P$301,$A47)=1,"Yes",""))</f>
        <v/>
      </c>
      <c r="L47" s="28" t="str">
        <f>IF($A47="","",INDEX(Purchase_Orders!$Q$2:$Q$301,$A47))</f>
        <v/>
      </c>
    </row>
    <row r="48">
      <c r="A48" t="str">
        <f>IFERROR(MATCH(14,Purchase_Orders!$T$2:$T$301,0),"")</f>
        <v/>
      </c>
      <c r="B48" s="24" t="str">
        <f>IF($A48="","",INDEX(Purchase_Orders!$A$2:$A$301,$A48)&amp;"")</f>
        <v/>
      </c>
      <c r="C48" s="24" t="str">
        <f>IF($A48="","",INDEX(Purchase_Orders!$K$2:$K$301,$A48)&amp;"")</f>
        <v/>
      </c>
      <c r="D48" s="24" t="str">
        <f>IF($A48="","",INDEX(Purchase_Orders!$C$2:$C$301,$A48)&amp;"")</f>
        <v/>
      </c>
      <c r="E48" s="26" t="str">
        <f>IF($A48="","",INDEX(Purchase_Orders!$D$2:$D$301,$A48))</f>
        <v/>
      </c>
      <c r="F48" s="26" t="str">
        <f>IF($A48="","",INDEX(Purchase_Orders!$M$2:$M$301,$A48))</f>
        <v/>
      </c>
      <c r="G48" s="26" t="str">
        <f>IF($A48="","",INDEX(Purchase_Orders!$N$2:$N$301,$A48))</f>
        <v/>
      </c>
      <c r="H48" s="27" t="str">
        <f>IF($A48="","",INDEX(Purchase_Orders!$F$2:$F$301,$A48))</f>
        <v/>
      </c>
      <c r="I48" s="27" t="str">
        <f>IF($A48="","",INDEX(Purchase_Orders!$G$2:$G$301,$A48))</f>
        <v/>
      </c>
      <c r="J48" s="24" t="str">
        <f>IF($A48="","",INDEX(Purchase_Orders!$H$2:$H$301,$A48)&amp;"")</f>
        <v/>
      </c>
      <c r="K48" s="24" t="str">
        <f>IF($A48="","",IF(INDEX(Purchase_Orders!$P$2:$P$301,$A48)=1,"Yes",""))</f>
        <v/>
      </c>
      <c r="L48" s="28" t="str">
        <f>IF($A48="","",INDEX(Purchase_Orders!$Q$2:$Q$301,$A48))</f>
        <v/>
      </c>
    </row>
    <row r="49">
      <c r="A49" t="str">
        <f>IFERROR(MATCH(15,Purchase_Orders!$T$2:$T$301,0),"")</f>
        <v/>
      </c>
      <c r="B49" s="24" t="str">
        <f>IF($A49="","",INDEX(Purchase_Orders!$A$2:$A$301,$A49)&amp;"")</f>
        <v/>
      </c>
      <c r="C49" s="24" t="str">
        <f>IF($A49="","",INDEX(Purchase_Orders!$K$2:$K$301,$A49)&amp;"")</f>
        <v/>
      </c>
      <c r="D49" s="24" t="str">
        <f>IF($A49="","",INDEX(Purchase_Orders!$C$2:$C$301,$A49)&amp;"")</f>
        <v/>
      </c>
      <c r="E49" s="26" t="str">
        <f>IF($A49="","",INDEX(Purchase_Orders!$D$2:$D$301,$A49))</f>
        <v/>
      </c>
      <c r="F49" s="26" t="str">
        <f>IF($A49="","",INDEX(Purchase_Orders!$M$2:$M$301,$A49))</f>
        <v/>
      </c>
      <c r="G49" s="26" t="str">
        <f>IF($A49="","",INDEX(Purchase_Orders!$N$2:$N$301,$A49))</f>
        <v/>
      </c>
      <c r="H49" s="27" t="str">
        <f>IF($A49="","",INDEX(Purchase_Orders!$F$2:$F$301,$A49))</f>
        <v/>
      </c>
      <c r="I49" s="27" t="str">
        <f>IF($A49="","",INDEX(Purchase_Orders!$G$2:$G$301,$A49))</f>
        <v/>
      </c>
      <c r="J49" s="24" t="str">
        <f>IF($A49="","",INDEX(Purchase_Orders!$H$2:$H$301,$A49)&amp;"")</f>
        <v/>
      </c>
      <c r="K49" s="24" t="str">
        <f>IF($A49="","",IF(INDEX(Purchase_Orders!$P$2:$P$301,$A49)=1,"Yes",""))</f>
        <v/>
      </c>
      <c r="L49" s="28" t="str">
        <f>IF($A49="","",INDEX(Purchase_Orders!$Q$2:$Q$301,$A49))</f>
        <v/>
      </c>
    </row>
    <row r="51">
      <c r="B51" s="3" t="inlineStr">
        <is>
          <t>Lots approaching expiry</t>
        </is>
      </c>
    </row>
    <row r="52">
      <c r="B52" s="20" t="str">
        <f>"Lots with stock on hand that are expired or within "&amp;Config!$B$8&amp;" days of expiry, earliest first. Up to 20 shown. Dates are company-supplied."</f>
        <v>Lots with stock on hand that are expired or within 90 days of expiry, earliest first. Up to 20 shown. Dates are company-supplied.</v>
      </c>
    </row>
    <row r="53" ht="30" customHeight="1">
      <c r="B53" s="23" t="inlineStr">
        <is>
          <t>Lot</t>
        </is>
      </c>
      <c r="C53" s="23" t="inlineStr">
        <is>
          <t>Product</t>
        </is>
      </c>
      <c r="D53" s="23" t="inlineStr">
        <is>
          <t>SKU</t>
        </is>
      </c>
      <c r="E53" s="23" t="inlineStr">
        <is>
          <t>On hand</t>
        </is>
      </c>
      <c r="F53" s="23" t="inlineStr">
        <is>
          <t>Expiry date</t>
        </is>
      </c>
      <c r="G53" s="23" t="inlineStr">
        <is>
          <t>Days left</t>
        </is>
      </c>
      <c r="H53" s="23" t="inlineStr">
        <is>
          <t>Window</t>
        </is>
      </c>
      <c r="I53" s="23" t="inlineStr">
        <is>
          <t>Lot status</t>
        </is>
      </c>
      <c r="J53" s="23" t="inlineStr">
        <is>
          <t>Held qty</t>
        </is>
      </c>
    </row>
    <row r="54">
      <c r="A54">
        <f>IFERROR(MATCH(1,Batches!$R$2:$R$301,0),"")</f>
        <v>15</v>
      </c>
      <c r="B54" s="24" t="str">
        <f>IF($A54="","",INDEX(Batches!$A$2:$A$301,$A54)&amp;"")</f>
        <v>CKD2510A</v>
      </c>
      <c r="C54" s="24" t="str">
        <f>IF($A54="","",INDEX(Batches!$J$2:$J$301,$A54)&amp;"")</f>
        <v>Protein Bar, Cookie Dough, 12-pack</v>
      </c>
      <c r="D54" s="24" t="str">
        <f>IF($A54="","",INDEX(Batches!$B$2:$B$301,$A54)&amp;"")</f>
        <v>BAR-CKD-12</v>
      </c>
      <c r="E54" s="25">
        <f>IF($A54="","",INDEX(Batches!$L$2:$L$301,$A54))</f>
        <v>36</v>
      </c>
      <c r="F54" s="27">
        <f>IF($A54="","",INDEX(Batches!$E$2:$E$301,$A54))</f>
        <v>46297</v>
      </c>
      <c r="G54" s="29">
        <f>IF($A54="","",INDEX(Batches!$M$2:$M$301,$A54))</f>
        <v>-13</v>
      </c>
      <c r="H54" s="24" t="str">
        <f>IF($A54="","",INDEX(Batches!$N$2:$N$301,$A54)&amp;"")</f>
        <v>Expired</v>
      </c>
      <c r="I54" s="24" t="str">
        <f>IF($A54="","",INDEX(Batches!$G$2:$G$301,$A54)&amp;"")</f>
        <v>On hold</v>
      </c>
      <c r="J54" s="26">
        <f>IF($A54="","",INDEX(Batches!$P$2:$P$301,$A54))</f>
        <v>36</v>
      </c>
    </row>
    <row r="55">
      <c r="A55">
        <f>IFERROR(MATCH(2,Batches!$R$2:$R$301,0),"")</f>
        <v>13</v>
      </c>
      <c r="B55" s="24" t="str">
        <f>IF($A55="","",INDEX(Batches!$A$2:$A$301,$A55)&amp;"")</f>
        <v>PBC2511A</v>
      </c>
      <c r="C55" s="24" t="str">
        <f>IF($A55="","",INDEX(Batches!$J$2:$J$301,$A55)&amp;"")</f>
        <v>Protein Bar, Peanut Butter Chocolate, 12-pack</v>
      </c>
      <c r="D55" s="24" t="str">
        <f>IF($A55="","",INDEX(Batches!$B$2:$B$301,$A55)&amp;"")</f>
        <v>BAR-PBC-12</v>
      </c>
      <c r="E55" s="25">
        <f>IF($A55="","",INDEX(Batches!$L$2:$L$301,$A55))</f>
        <v>344</v>
      </c>
      <c r="F55" s="27">
        <f>IF($A55="","",INDEX(Batches!$E$2:$E$301,$A55))</f>
        <v>46326</v>
      </c>
      <c r="G55" s="29">
        <f>IF($A55="","",INDEX(Batches!$M$2:$M$301,$A55))</f>
        <v>16</v>
      </c>
      <c r="H55" s="24" t="str">
        <f>IF($A55="","",INDEX(Batches!$N$2:$N$301,$A55)&amp;"")</f>
        <v>&lt;=30</v>
      </c>
      <c r="I55" s="24" t="str">
        <f>IF($A55="","",INDEX(Batches!$G$2:$G$301,$A55)&amp;"")</f>
        <v>Released</v>
      </c>
      <c r="J55" s="26">
        <f>IF($A55="","",INDEX(Batches!$P$2:$P$301,$A55))</f>
        <v>0</v>
      </c>
    </row>
    <row r="56">
      <c r="A56">
        <f>IFERROR(MATCH(3,Batches!$R$2:$R$301,0),"")</f>
        <v>16</v>
      </c>
      <c r="B56" s="24" t="str">
        <f>IF($A56="","",INDEX(Batches!$A$2:$A$301,$A56)&amp;"")</f>
        <v>CKD2511A</v>
      </c>
      <c r="C56" s="24" t="str">
        <f>IF($A56="","",INDEX(Batches!$J$2:$J$301,$A56)&amp;"")</f>
        <v>Protein Bar, Cookie Dough, 12-pack</v>
      </c>
      <c r="D56" s="24" t="str">
        <f>IF($A56="","",INDEX(Batches!$B$2:$B$301,$A56)&amp;"")</f>
        <v>BAR-CKD-12</v>
      </c>
      <c r="E56" s="25">
        <f>IF($A56="","",INDEX(Batches!$L$2:$L$301,$A56))</f>
        <v>212</v>
      </c>
      <c r="F56" s="27">
        <f>IF($A56="","",INDEX(Batches!$E$2:$E$301,$A56))</f>
        <v>46334</v>
      </c>
      <c r="G56" s="29">
        <f>IF($A56="","",INDEX(Batches!$M$2:$M$301,$A56))</f>
        <v>24</v>
      </c>
      <c r="H56" s="24" t="str">
        <f>IF($A56="","",INDEX(Batches!$N$2:$N$301,$A56)&amp;"")</f>
        <v>&lt;=30</v>
      </c>
      <c r="I56" s="24" t="str">
        <f>IF($A56="","",INDEX(Batches!$G$2:$G$301,$A56)&amp;"")</f>
        <v>Released</v>
      </c>
      <c r="J56" s="26">
        <f>IF($A56="","",INDEX(Batches!$P$2:$P$301,$A56))</f>
        <v>0</v>
      </c>
    </row>
    <row r="57">
      <c r="A57">
        <f>IFERROR(MATCH(4,Batches!$R$2:$R$301,0),"")</f>
        <v>11</v>
      </c>
      <c r="B57" s="24" t="str">
        <f>IF($A57="","",INDEX(Batches!$A$2:$A$301,$A57)&amp;"")</f>
        <v>PVA2411A</v>
      </c>
      <c r="C57" s="24" t="str">
        <f>IF($A57="","",INDEX(Batches!$J$2:$J$301,$A57)&amp;"")</f>
        <v>Plant Protein, Vanilla, 2 lb</v>
      </c>
      <c r="D57" s="24" t="str">
        <f>IF($A57="","",INDEX(Batches!$B$2:$B$301,$A57)&amp;"")</f>
        <v>PLT-VAN-2LB</v>
      </c>
      <c r="E57" s="25">
        <f>IF($A57="","",INDEX(Batches!$L$2:$L$301,$A57))</f>
        <v>53</v>
      </c>
      <c r="F57" s="27">
        <f>IF($A57="","",INDEX(Batches!$E$2:$E$301,$A57))</f>
        <v>46340</v>
      </c>
      <c r="G57" s="29">
        <f>IF($A57="","",INDEX(Batches!$M$2:$M$301,$A57))</f>
        <v>30</v>
      </c>
      <c r="H57" s="24" t="str">
        <f>IF($A57="","",INDEX(Batches!$N$2:$N$301,$A57)&amp;"")</f>
        <v>&lt;=30</v>
      </c>
      <c r="I57" s="24" t="str">
        <f>IF($A57="","",INDEX(Batches!$G$2:$G$301,$A57)&amp;"")</f>
        <v>Released</v>
      </c>
      <c r="J57" s="26">
        <f>IF($A57="","",INDEX(Batches!$P$2:$P$301,$A57))</f>
        <v>0</v>
      </c>
    </row>
    <row r="58">
      <c r="A58">
        <f>IFERROR(MATCH(5,Batches!$R$2:$R$301,0),"")</f>
        <v>4</v>
      </c>
      <c r="B58" s="24" t="str">
        <f>IF($A58="","",INDEX(Batches!$A$2:$A$301,$A58)&amp;"")</f>
        <v>WVA2411A</v>
      </c>
      <c r="C58" s="24" t="str">
        <f>IF($A58="","",INDEX(Batches!$J$2:$J$301,$A58)&amp;"")</f>
        <v>Whey Protein Isolate, Vanilla, 2 lb</v>
      </c>
      <c r="D58" s="24" t="str">
        <f>IF($A58="","",INDEX(Batches!$B$2:$B$301,$A58)&amp;"")</f>
        <v>WPI-VAN-2LB</v>
      </c>
      <c r="E58" s="25">
        <f>IF($A58="","",INDEX(Batches!$L$2:$L$301,$A58))</f>
        <v>48</v>
      </c>
      <c r="F58" s="27">
        <f>IF($A58="","",INDEX(Batches!$E$2:$E$301,$A58))</f>
        <v>46353</v>
      </c>
      <c r="G58" s="29">
        <f>IF($A58="","",INDEX(Batches!$M$2:$M$301,$A58))</f>
        <v>43</v>
      </c>
      <c r="H58" s="24" t="str">
        <f>IF($A58="","",INDEX(Batches!$N$2:$N$301,$A58)&amp;"")</f>
        <v>31-60</v>
      </c>
      <c r="I58" s="24" t="str">
        <f>IF($A58="","",INDEX(Batches!$G$2:$G$301,$A58)&amp;"")</f>
        <v>Released</v>
      </c>
      <c r="J58" s="26">
        <f>IF($A58="","",INDEX(Batches!$P$2:$P$301,$A58))</f>
        <v>0</v>
      </c>
    </row>
    <row r="59">
      <c r="A59">
        <f>IFERROR(MATCH(6,Batches!$R$2:$R$301,0),"")</f>
        <v>26</v>
      </c>
      <c r="B59" s="24" t="str">
        <f>IF($A59="","",INDEX(Batches!$A$2:$A$301,$A59)&amp;"")</f>
        <v>CCA2412A</v>
      </c>
      <c r="C59" s="24" t="str">
        <f>IF($A59="","",INDEX(Batches!$J$2:$J$301,$A59)&amp;"")</f>
        <v>Micellar Casein, Chocolate, 2 lb</v>
      </c>
      <c r="D59" s="24" t="str">
        <f>IF($A59="","",INDEX(Batches!$B$2:$B$301,$A59)&amp;"")</f>
        <v>CAS-CHO-2LB</v>
      </c>
      <c r="E59" s="25">
        <f>IF($A59="","",INDEX(Batches!$L$2:$L$301,$A59))</f>
        <v>80</v>
      </c>
      <c r="F59" s="27">
        <f>IF($A59="","",INDEX(Batches!$E$2:$E$301,$A59))</f>
        <v>46366</v>
      </c>
      <c r="G59" s="29">
        <f>IF($A59="","",INDEX(Batches!$M$2:$M$301,$A59))</f>
        <v>56</v>
      </c>
      <c r="H59" s="24" t="str">
        <f>IF($A59="","",INDEX(Batches!$N$2:$N$301,$A59)&amp;"")</f>
        <v>31-60</v>
      </c>
      <c r="I59" s="24" t="str">
        <f>IF($A59="","",INDEX(Batches!$G$2:$G$301,$A59)&amp;"")</f>
        <v>Released</v>
      </c>
      <c r="J59" s="26">
        <f>IF($A59="","",INDEX(Batches!$P$2:$P$301,$A59))</f>
        <v>0</v>
      </c>
    </row>
    <row r="60">
      <c r="A60">
        <f>IFERROR(MATCH(7,Batches!$R$2:$R$301,0),"")</f>
        <v>9</v>
      </c>
      <c r="B60" s="24" t="str">
        <f>IF($A60="","",INDEX(Batches!$A$2:$A$301,$A60)&amp;"")</f>
        <v>PCH2412A</v>
      </c>
      <c r="C60" s="24" t="str">
        <f>IF($A60="","",INDEX(Batches!$J$2:$J$301,$A60)&amp;"")</f>
        <v>Plant Protein, Chocolate, 2 lb</v>
      </c>
      <c r="D60" s="24" t="str">
        <f>IF($A60="","",INDEX(Batches!$B$2:$B$301,$A60)&amp;"")</f>
        <v>PLT-CHO-2LB</v>
      </c>
      <c r="E60" s="25">
        <f>IF($A60="","",INDEX(Batches!$L$2:$L$301,$A60))</f>
        <v>136</v>
      </c>
      <c r="F60" s="27">
        <f>IF($A60="","",INDEX(Batches!$E$2:$E$301,$A60))</f>
        <v>46378</v>
      </c>
      <c r="G60" s="29">
        <f>IF($A60="","",INDEX(Batches!$M$2:$M$301,$A60))</f>
        <v>68</v>
      </c>
      <c r="H60" s="24" t="str">
        <f>IF($A60="","",INDEX(Batches!$N$2:$N$301,$A60)&amp;"")</f>
        <v>61-90</v>
      </c>
      <c r="I60" s="24" t="str">
        <f>IF($A60="","",INDEX(Batches!$G$2:$G$301,$A60)&amp;"")</f>
        <v>Released</v>
      </c>
      <c r="J60" s="26">
        <f>IF($A60="","",INDEX(Batches!$P$2:$P$301,$A60))</f>
        <v>0</v>
      </c>
    </row>
    <row r="61">
      <c r="A61">
        <f>IFERROR(MATCH(8,Batches!$R$2:$R$301,0),"")</f>
        <v>22</v>
      </c>
      <c r="B61" s="24" t="str">
        <f>IF($A61="","",INDEX(Batches!$A$2:$A$301,$A61)&amp;"")</f>
        <v>PBZ2501A</v>
      </c>
      <c r="C61" s="24" t="str">
        <f>IF($A61="","",INDEX(Batches!$J$2:$J$301,$A61)&amp;"")</f>
        <v>Pre-Workout, Blue Raspberry, 30 servings</v>
      </c>
      <c r="D61" s="24" t="str">
        <f>IF($A61="","",INDEX(Batches!$B$2:$B$301,$A61)&amp;"")</f>
        <v>PRE-BRZ-30</v>
      </c>
      <c r="E61" s="25">
        <f>IF($A61="","",INDEX(Batches!$L$2:$L$301,$A61))</f>
        <v>75</v>
      </c>
      <c r="F61" s="27">
        <f>IF($A61="","",INDEX(Batches!$E$2:$E$301,$A61))</f>
        <v>46392</v>
      </c>
      <c r="G61" s="29">
        <f>IF($A61="","",INDEX(Batches!$M$2:$M$301,$A61))</f>
        <v>82</v>
      </c>
      <c r="H61" s="24" t="str">
        <f>IF($A61="","",INDEX(Batches!$N$2:$N$301,$A61)&amp;"")</f>
        <v>61-90</v>
      </c>
      <c r="I61" s="24" t="str">
        <f>IF($A61="","",INDEX(Batches!$G$2:$G$301,$A61)&amp;"")</f>
        <v>Released</v>
      </c>
      <c r="J61" s="26">
        <f>IF($A61="","",INDEX(Batches!$P$2:$P$301,$A61))</f>
        <v>0</v>
      </c>
    </row>
    <row r="62">
      <c r="A62">
        <f>IFERROR(MATCH(9,Batches!$R$2:$R$301,0),"")</f>
        <v>7</v>
      </c>
      <c r="B62" s="24" t="str">
        <f>IF($A62="","",INDEX(Batches!$A$2:$A$301,$A62)&amp;"")</f>
        <v>W5C2501A</v>
      </c>
      <c r="C62" s="24" t="str">
        <f>IF($A62="","",INDEX(Batches!$J$2:$J$301,$A62)&amp;"")</f>
        <v>Whey Protein Isolate, Chocolate, 5 lb</v>
      </c>
      <c r="D62" s="24" t="str">
        <f>IF($A62="","",INDEX(Batches!$B$2:$B$301,$A62)&amp;"")</f>
        <v>WPI-CHO-5LB</v>
      </c>
      <c r="E62" s="25">
        <f>IF($A62="","",INDEX(Batches!$L$2:$L$301,$A62))</f>
        <v>104</v>
      </c>
      <c r="F62" s="27">
        <f>IF($A62="","",INDEX(Batches!$E$2:$E$301,$A62))</f>
        <v>46399</v>
      </c>
      <c r="G62" s="29">
        <f>IF($A62="","",INDEX(Batches!$M$2:$M$301,$A62))</f>
        <v>89</v>
      </c>
      <c r="H62" s="24" t="str">
        <f>IF($A62="","",INDEX(Batches!$N$2:$N$301,$A62)&amp;"")</f>
        <v>61-90</v>
      </c>
      <c r="I62" s="24" t="str">
        <f>IF($A62="","",INDEX(Batches!$G$2:$G$301,$A62)&amp;"")</f>
        <v>Released</v>
      </c>
      <c r="J62" s="26">
        <f>IF($A62="","",INDEX(Batches!$P$2:$P$301,$A62))</f>
        <v>0</v>
      </c>
    </row>
    <row r="63">
      <c r="A63" t="str">
        <f>IFERROR(MATCH(10,Batches!$R$2:$R$301,0),"")</f>
        <v/>
      </c>
      <c r="B63" s="24" t="str">
        <f>IF($A63="","",INDEX(Batches!$A$2:$A$301,$A63)&amp;"")</f>
        <v/>
      </c>
      <c r="C63" s="24" t="str">
        <f>IF($A63="","",INDEX(Batches!$J$2:$J$301,$A63)&amp;"")</f>
        <v/>
      </c>
      <c r="D63" s="24" t="str">
        <f>IF($A63="","",INDEX(Batches!$B$2:$B$301,$A63)&amp;"")</f>
        <v/>
      </c>
      <c r="E63" s="25" t="str">
        <f>IF($A63="","",INDEX(Batches!$L$2:$L$301,$A63))</f>
        <v/>
      </c>
      <c r="F63" s="27" t="str">
        <f>IF($A63="","",INDEX(Batches!$E$2:$E$301,$A63))</f>
        <v/>
      </c>
      <c r="G63" s="29" t="str">
        <f>IF($A63="","",INDEX(Batches!$M$2:$M$301,$A63))</f>
        <v/>
      </c>
      <c r="H63" s="24" t="str">
        <f>IF($A63="","",INDEX(Batches!$N$2:$N$301,$A63)&amp;"")</f>
        <v/>
      </c>
      <c r="I63" s="24" t="str">
        <f>IF($A63="","",INDEX(Batches!$G$2:$G$301,$A63)&amp;"")</f>
        <v/>
      </c>
      <c r="J63" s="26" t="str">
        <f>IF($A63="","",INDEX(Batches!$P$2:$P$301,$A63))</f>
        <v/>
      </c>
    </row>
    <row r="64">
      <c r="A64" t="str">
        <f>IFERROR(MATCH(11,Batches!$R$2:$R$301,0),"")</f>
        <v/>
      </c>
      <c r="B64" s="24" t="str">
        <f>IF($A64="","",INDEX(Batches!$A$2:$A$301,$A64)&amp;"")</f>
        <v/>
      </c>
      <c r="C64" s="24" t="str">
        <f>IF($A64="","",INDEX(Batches!$J$2:$J$301,$A64)&amp;"")</f>
        <v/>
      </c>
      <c r="D64" s="24" t="str">
        <f>IF($A64="","",INDEX(Batches!$B$2:$B$301,$A64)&amp;"")</f>
        <v/>
      </c>
      <c r="E64" s="25" t="str">
        <f>IF($A64="","",INDEX(Batches!$L$2:$L$301,$A64))</f>
        <v/>
      </c>
      <c r="F64" s="27" t="str">
        <f>IF($A64="","",INDEX(Batches!$E$2:$E$301,$A64))</f>
        <v/>
      </c>
      <c r="G64" s="29" t="str">
        <f>IF($A64="","",INDEX(Batches!$M$2:$M$301,$A64))</f>
        <v/>
      </c>
      <c r="H64" s="24" t="str">
        <f>IF($A64="","",INDEX(Batches!$N$2:$N$301,$A64)&amp;"")</f>
        <v/>
      </c>
      <c r="I64" s="24" t="str">
        <f>IF($A64="","",INDEX(Batches!$G$2:$G$301,$A64)&amp;"")</f>
        <v/>
      </c>
      <c r="J64" s="26" t="str">
        <f>IF($A64="","",INDEX(Batches!$P$2:$P$301,$A64))</f>
        <v/>
      </c>
    </row>
    <row r="65">
      <c r="A65" t="str">
        <f>IFERROR(MATCH(12,Batches!$R$2:$R$301,0),"")</f>
        <v/>
      </c>
      <c r="B65" s="24" t="str">
        <f>IF($A65="","",INDEX(Batches!$A$2:$A$301,$A65)&amp;"")</f>
        <v/>
      </c>
      <c r="C65" s="24" t="str">
        <f>IF($A65="","",INDEX(Batches!$J$2:$J$301,$A65)&amp;"")</f>
        <v/>
      </c>
      <c r="D65" s="24" t="str">
        <f>IF($A65="","",INDEX(Batches!$B$2:$B$301,$A65)&amp;"")</f>
        <v/>
      </c>
      <c r="E65" s="25" t="str">
        <f>IF($A65="","",INDEX(Batches!$L$2:$L$301,$A65))</f>
        <v/>
      </c>
      <c r="F65" s="27" t="str">
        <f>IF($A65="","",INDEX(Batches!$E$2:$E$301,$A65))</f>
        <v/>
      </c>
      <c r="G65" s="29" t="str">
        <f>IF($A65="","",INDEX(Batches!$M$2:$M$301,$A65))</f>
        <v/>
      </c>
      <c r="H65" s="24" t="str">
        <f>IF($A65="","",INDEX(Batches!$N$2:$N$301,$A65)&amp;"")</f>
        <v/>
      </c>
      <c r="I65" s="24" t="str">
        <f>IF($A65="","",INDEX(Batches!$G$2:$G$301,$A65)&amp;"")</f>
        <v/>
      </c>
      <c r="J65" s="26" t="str">
        <f>IF($A65="","",INDEX(Batches!$P$2:$P$301,$A65))</f>
        <v/>
      </c>
    </row>
    <row r="66">
      <c r="A66" t="str">
        <f>IFERROR(MATCH(13,Batches!$R$2:$R$301,0),"")</f>
        <v/>
      </c>
      <c r="B66" s="24" t="str">
        <f>IF($A66="","",INDEX(Batches!$A$2:$A$301,$A66)&amp;"")</f>
        <v/>
      </c>
      <c r="C66" s="24" t="str">
        <f>IF($A66="","",INDEX(Batches!$J$2:$J$301,$A66)&amp;"")</f>
        <v/>
      </c>
      <c r="D66" s="24" t="str">
        <f>IF($A66="","",INDEX(Batches!$B$2:$B$301,$A66)&amp;"")</f>
        <v/>
      </c>
      <c r="E66" s="25" t="str">
        <f>IF($A66="","",INDEX(Batches!$L$2:$L$301,$A66))</f>
        <v/>
      </c>
      <c r="F66" s="27" t="str">
        <f>IF($A66="","",INDEX(Batches!$E$2:$E$301,$A66))</f>
        <v/>
      </c>
      <c r="G66" s="29" t="str">
        <f>IF($A66="","",INDEX(Batches!$M$2:$M$301,$A66))</f>
        <v/>
      </c>
      <c r="H66" s="24" t="str">
        <f>IF($A66="","",INDEX(Batches!$N$2:$N$301,$A66)&amp;"")</f>
        <v/>
      </c>
      <c r="I66" s="24" t="str">
        <f>IF($A66="","",INDEX(Batches!$G$2:$G$301,$A66)&amp;"")</f>
        <v/>
      </c>
      <c r="J66" s="26" t="str">
        <f>IF($A66="","",INDEX(Batches!$P$2:$P$301,$A66))</f>
        <v/>
      </c>
    </row>
    <row r="67">
      <c r="A67" t="str">
        <f>IFERROR(MATCH(14,Batches!$R$2:$R$301,0),"")</f>
        <v/>
      </c>
      <c r="B67" s="24" t="str">
        <f>IF($A67="","",INDEX(Batches!$A$2:$A$301,$A67)&amp;"")</f>
        <v/>
      </c>
      <c r="C67" s="24" t="str">
        <f>IF($A67="","",INDEX(Batches!$J$2:$J$301,$A67)&amp;"")</f>
        <v/>
      </c>
      <c r="D67" s="24" t="str">
        <f>IF($A67="","",INDEX(Batches!$B$2:$B$301,$A67)&amp;"")</f>
        <v/>
      </c>
      <c r="E67" s="25" t="str">
        <f>IF($A67="","",INDEX(Batches!$L$2:$L$301,$A67))</f>
        <v/>
      </c>
      <c r="F67" s="27" t="str">
        <f>IF($A67="","",INDEX(Batches!$E$2:$E$301,$A67))</f>
        <v/>
      </c>
      <c r="G67" s="29" t="str">
        <f>IF($A67="","",INDEX(Batches!$M$2:$M$301,$A67))</f>
        <v/>
      </c>
      <c r="H67" s="24" t="str">
        <f>IF($A67="","",INDEX(Batches!$N$2:$N$301,$A67)&amp;"")</f>
        <v/>
      </c>
      <c r="I67" s="24" t="str">
        <f>IF($A67="","",INDEX(Batches!$G$2:$G$301,$A67)&amp;"")</f>
        <v/>
      </c>
      <c r="J67" s="26" t="str">
        <f>IF($A67="","",INDEX(Batches!$P$2:$P$301,$A67))</f>
        <v/>
      </c>
    </row>
    <row r="68">
      <c r="A68" t="str">
        <f>IFERROR(MATCH(15,Batches!$R$2:$R$301,0),"")</f>
        <v/>
      </c>
      <c r="B68" s="24" t="str">
        <f>IF($A68="","",INDEX(Batches!$A$2:$A$301,$A68)&amp;"")</f>
        <v/>
      </c>
      <c r="C68" s="24" t="str">
        <f>IF($A68="","",INDEX(Batches!$J$2:$J$301,$A68)&amp;"")</f>
        <v/>
      </c>
      <c r="D68" s="24" t="str">
        <f>IF($A68="","",INDEX(Batches!$B$2:$B$301,$A68)&amp;"")</f>
        <v/>
      </c>
      <c r="E68" s="25" t="str">
        <f>IF($A68="","",INDEX(Batches!$L$2:$L$301,$A68))</f>
        <v/>
      </c>
      <c r="F68" s="27" t="str">
        <f>IF($A68="","",INDEX(Batches!$E$2:$E$301,$A68))</f>
        <v/>
      </c>
      <c r="G68" s="29" t="str">
        <f>IF($A68="","",INDEX(Batches!$M$2:$M$301,$A68))</f>
        <v/>
      </c>
      <c r="H68" s="24" t="str">
        <f>IF($A68="","",INDEX(Batches!$N$2:$N$301,$A68)&amp;"")</f>
        <v/>
      </c>
      <c r="I68" s="24" t="str">
        <f>IF($A68="","",INDEX(Batches!$G$2:$G$301,$A68)&amp;"")</f>
        <v/>
      </c>
      <c r="J68" s="26" t="str">
        <f>IF($A68="","",INDEX(Batches!$P$2:$P$301,$A68))</f>
        <v/>
      </c>
    </row>
    <row r="69">
      <c r="A69" t="str">
        <f>IFERROR(MATCH(16,Batches!$R$2:$R$301,0),"")</f>
        <v/>
      </c>
      <c r="B69" s="24" t="str">
        <f>IF($A69="","",INDEX(Batches!$A$2:$A$301,$A69)&amp;"")</f>
        <v/>
      </c>
      <c r="C69" s="24" t="str">
        <f>IF($A69="","",INDEX(Batches!$J$2:$J$301,$A69)&amp;"")</f>
        <v/>
      </c>
      <c r="D69" s="24" t="str">
        <f>IF($A69="","",INDEX(Batches!$B$2:$B$301,$A69)&amp;"")</f>
        <v/>
      </c>
      <c r="E69" s="25" t="str">
        <f>IF($A69="","",INDEX(Batches!$L$2:$L$301,$A69))</f>
        <v/>
      </c>
      <c r="F69" s="27" t="str">
        <f>IF($A69="","",INDEX(Batches!$E$2:$E$301,$A69))</f>
        <v/>
      </c>
      <c r="G69" s="29" t="str">
        <f>IF($A69="","",INDEX(Batches!$M$2:$M$301,$A69))</f>
        <v/>
      </c>
      <c r="H69" s="24" t="str">
        <f>IF($A69="","",INDEX(Batches!$N$2:$N$301,$A69)&amp;"")</f>
        <v/>
      </c>
      <c r="I69" s="24" t="str">
        <f>IF($A69="","",INDEX(Batches!$G$2:$G$301,$A69)&amp;"")</f>
        <v/>
      </c>
      <c r="J69" s="26" t="str">
        <f>IF($A69="","",INDEX(Batches!$P$2:$P$301,$A69))</f>
        <v/>
      </c>
    </row>
    <row r="70">
      <c r="A70" t="str">
        <f>IFERROR(MATCH(17,Batches!$R$2:$R$301,0),"")</f>
        <v/>
      </c>
      <c r="B70" s="24" t="str">
        <f>IF($A70="","",INDEX(Batches!$A$2:$A$301,$A70)&amp;"")</f>
        <v/>
      </c>
      <c r="C70" s="24" t="str">
        <f>IF($A70="","",INDEX(Batches!$J$2:$J$301,$A70)&amp;"")</f>
        <v/>
      </c>
      <c r="D70" s="24" t="str">
        <f>IF($A70="","",INDEX(Batches!$B$2:$B$301,$A70)&amp;"")</f>
        <v/>
      </c>
      <c r="E70" s="25" t="str">
        <f>IF($A70="","",INDEX(Batches!$L$2:$L$301,$A70))</f>
        <v/>
      </c>
      <c r="F70" s="27" t="str">
        <f>IF($A70="","",INDEX(Batches!$E$2:$E$301,$A70))</f>
        <v/>
      </c>
      <c r="G70" s="29" t="str">
        <f>IF($A70="","",INDEX(Batches!$M$2:$M$301,$A70))</f>
        <v/>
      </c>
      <c r="H70" s="24" t="str">
        <f>IF($A70="","",INDEX(Batches!$N$2:$N$301,$A70)&amp;"")</f>
        <v/>
      </c>
      <c r="I70" s="24" t="str">
        <f>IF($A70="","",INDEX(Batches!$G$2:$G$301,$A70)&amp;"")</f>
        <v/>
      </c>
      <c r="J70" s="26" t="str">
        <f>IF($A70="","",INDEX(Batches!$P$2:$P$301,$A70))</f>
        <v/>
      </c>
    </row>
    <row r="71">
      <c r="A71" t="str">
        <f>IFERROR(MATCH(18,Batches!$R$2:$R$301,0),"")</f>
        <v/>
      </c>
      <c r="B71" s="24" t="str">
        <f>IF($A71="","",INDEX(Batches!$A$2:$A$301,$A71)&amp;"")</f>
        <v/>
      </c>
      <c r="C71" s="24" t="str">
        <f>IF($A71="","",INDEX(Batches!$J$2:$J$301,$A71)&amp;"")</f>
        <v/>
      </c>
      <c r="D71" s="24" t="str">
        <f>IF($A71="","",INDEX(Batches!$B$2:$B$301,$A71)&amp;"")</f>
        <v/>
      </c>
      <c r="E71" s="25" t="str">
        <f>IF($A71="","",INDEX(Batches!$L$2:$L$301,$A71))</f>
        <v/>
      </c>
      <c r="F71" s="27" t="str">
        <f>IF($A71="","",INDEX(Batches!$E$2:$E$301,$A71))</f>
        <v/>
      </c>
      <c r="G71" s="29" t="str">
        <f>IF($A71="","",INDEX(Batches!$M$2:$M$301,$A71))</f>
        <v/>
      </c>
      <c r="H71" s="24" t="str">
        <f>IF($A71="","",INDEX(Batches!$N$2:$N$301,$A71)&amp;"")</f>
        <v/>
      </c>
      <c r="I71" s="24" t="str">
        <f>IF($A71="","",INDEX(Batches!$G$2:$G$301,$A71)&amp;"")</f>
        <v/>
      </c>
      <c r="J71" s="26" t="str">
        <f>IF($A71="","",INDEX(Batches!$P$2:$P$301,$A71))</f>
        <v/>
      </c>
    </row>
    <row r="72">
      <c r="A72" t="str">
        <f>IFERROR(MATCH(19,Batches!$R$2:$R$301,0),"")</f>
        <v/>
      </c>
      <c r="B72" s="24" t="str">
        <f>IF($A72="","",INDEX(Batches!$A$2:$A$301,$A72)&amp;"")</f>
        <v/>
      </c>
      <c r="C72" s="24" t="str">
        <f>IF($A72="","",INDEX(Batches!$J$2:$J$301,$A72)&amp;"")</f>
        <v/>
      </c>
      <c r="D72" s="24" t="str">
        <f>IF($A72="","",INDEX(Batches!$B$2:$B$301,$A72)&amp;"")</f>
        <v/>
      </c>
      <c r="E72" s="25" t="str">
        <f>IF($A72="","",INDEX(Batches!$L$2:$L$301,$A72))</f>
        <v/>
      </c>
      <c r="F72" s="27" t="str">
        <f>IF($A72="","",INDEX(Batches!$E$2:$E$301,$A72))</f>
        <v/>
      </c>
      <c r="G72" s="29" t="str">
        <f>IF($A72="","",INDEX(Batches!$M$2:$M$301,$A72))</f>
        <v/>
      </c>
      <c r="H72" s="24" t="str">
        <f>IF($A72="","",INDEX(Batches!$N$2:$N$301,$A72)&amp;"")</f>
        <v/>
      </c>
      <c r="I72" s="24" t="str">
        <f>IF($A72="","",INDEX(Batches!$G$2:$G$301,$A72)&amp;"")</f>
        <v/>
      </c>
      <c r="J72" s="26" t="str">
        <f>IF($A72="","",INDEX(Batches!$P$2:$P$301,$A72))</f>
        <v/>
      </c>
    </row>
    <row r="73">
      <c r="A73" t="str">
        <f>IFERROR(MATCH(20,Batches!$R$2:$R$301,0),"")</f>
        <v/>
      </c>
      <c r="B73" s="24" t="str">
        <f>IF($A73="","",INDEX(Batches!$A$2:$A$301,$A73)&amp;"")</f>
        <v/>
      </c>
      <c r="C73" s="24" t="str">
        <f>IF($A73="","",INDEX(Batches!$J$2:$J$301,$A73)&amp;"")</f>
        <v/>
      </c>
      <c r="D73" s="24" t="str">
        <f>IF($A73="","",INDEX(Batches!$B$2:$B$301,$A73)&amp;"")</f>
        <v/>
      </c>
      <c r="E73" s="25" t="str">
        <f>IF($A73="","",INDEX(Batches!$L$2:$L$301,$A73))</f>
        <v/>
      </c>
      <c r="F73" s="27" t="str">
        <f>IF($A73="","",INDEX(Batches!$E$2:$E$301,$A73))</f>
        <v/>
      </c>
      <c r="G73" s="29" t="str">
        <f>IF($A73="","",INDEX(Batches!$M$2:$M$301,$A73))</f>
        <v/>
      </c>
      <c r="H73" s="24" t="str">
        <f>IF($A73="","",INDEX(Batches!$N$2:$N$301,$A73)&amp;"")</f>
        <v/>
      </c>
      <c r="I73" s="24" t="str">
        <f>IF($A73="","",INDEX(Batches!$G$2:$G$301,$A73)&amp;"")</f>
        <v/>
      </c>
      <c r="J73" s="26" t="str">
        <f>IF($A73="","",INDEX(Batches!$P$2:$P$301,$A73))</f>
        <v/>
      </c>
    </row>
    <row r="75">
      <c r="B75" s="3" t="inlineStr">
        <is>
          <t>Open tasks</t>
        </is>
      </c>
    </row>
    <row r="76">
      <c r="B76" s="20" t="inlineStr">
        <is>
          <t>Tasks not done, earliest due date first. Up to 15 shown.</t>
        </is>
      </c>
    </row>
    <row r="77" ht="30" customHeight="1">
      <c r="B77" s="23" t="inlineStr">
        <is>
          <t>Task ID</t>
        </is>
      </c>
      <c r="C77" s="23" t="inlineStr">
        <is>
          <t>Task</t>
        </is>
      </c>
      <c r="D77" s="23" t="inlineStr">
        <is>
          <t>Owner</t>
        </is>
      </c>
      <c r="E77" s="23" t="inlineStr">
        <is>
          <t>Due date</t>
        </is>
      </c>
      <c r="F77" s="23" t="inlineStr">
        <is>
          <t>Status</t>
        </is>
      </c>
      <c r="G77" s="23" t="inlineStr">
        <is>
          <t>Priority</t>
        </is>
      </c>
      <c r="H77" s="23" t="inlineStr">
        <is>
          <t>Overdue</t>
        </is>
      </c>
      <c r="I77" s="23" t="inlineStr">
        <is>
          <t>Days overdue</t>
        </is>
      </c>
      <c r="J77" s="23" t="inlineStr">
        <is>
          <t>Related to</t>
        </is>
      </c>
    </row>
    <row r="78">
      <c r="A78">
        <f>IFERROR(MATCH(1,Tasks!$L$2:$L$301,0),"")</f>
        <v>6</v>
      </c>
      <c r="B78" s="24" t="str">
        <f>IF($A78="","",INDEX(Tasks!$A$2:$A$301,$A78)&amp;"")</f>
        <v>TSK-006</v>
      </c>
      <c r="C78" s="24" t="str">
        <f>IF($A78="","",INDEX(Tasks!$B$2:$B$301,$A78)&amp;"")</f>
        <v>Get a new arrival date for PO-2026-031 from the carrier</v>
      </c>
      <c r="D78" s="24" t="str">
        <f>IF($A78="","",INDEX(Tasks!$D$2:$D$301,$A78)&amp;"")</f>
        <v>Luis Romero</v>
      </c>
      <c r="E78" s="27">
        <f>IF($A78="","",INDEX(Tasks!$E$2:$E$301,$A78))</f>
        <v>46308</v>
      </c>
      <c r="F78" s="24" t="str">
        <f>IF($A78="","",INDEX(Tasks!$F$2:$F$301,$A78)&amp;"")</f>
        <v>Blocked</v>
      </c>
      <c r="G78" s="24" t="str">
        <f>IF($A78="","",INDEX(Tasks!$G$2:$G$301,$A78)&amp;"")</f>
        <v>Medium</v>
      </c>
      <c r="H78" s="24" t="str">
        <f>IF($A78="","",IF(INDEX(Tasks!$J$2:$J$301,$A78)=1,"Yes",""))</f>
        <v>Yes</v>
      </c>
      <c r="I78" s="28">
        <f>IF($A78="","",INDEX(Tasks!$K$2:$K$301,$A78))</f>
        <v>2</v>
      </c>
      <c r="J78" s="24" t="str">
        <f>IF($A78="","",INDEX(Tasks!$C$2:$C$301,$A78)&amp;"")</f>
        <v>PO-2026-031</v>
      </c>
    </row>
    <row r="79">
      <c r="A79">
        <f>IFERROR(MATCH(2,Tasks!$L$2:$L$301,0),"")</f>
        <v>11</v>
      </c>
      <c r="B79" s="24" t="str">
        <f>IF($A79="","",INDEX(Tasks!$A$2:$A$301,$A79)&amp;"")</f>
        <v>TSK-011</v>
      </c>
      <c r="C79" s="24" t="str">
        <f>IF($A79="","",INDEX(Tasks!$B$2:$B$301,$A79)&amp;"")</f>
        <v>Ask finance for the August company sales total</v>
      </c>
      <c r="D79" s="24" t="str">
        <f>IF($A79="","",INDEX(Tasks!$D$2:$D$301,$A79)&amp;"")</f>
        <v>Hannah Becker</v>
      </c>
      <c r="E79" s="27">
        <f>IF($A79="","",INDEX(Tasks!$E$2:$E$301,$A79))</f>
        <v>46309</v>
      </c>
      <c r="F79" s="24" t="str">
        <f>IF($A79="","",INDEX(Tasks!$F$2:$F$301,$A79)&amp;"")</f>
        <v>In progress</v>
      </c>
      <c r="G79" s="24" t="str">
        <f>IF($A79="","",INDEX(Tasks!$G$2:$G$301,$A79)&amp;"")</f>
        <v>Low</v>
      </c>
      <c r="H79" s="24" t="str">
        <f>IF($A79="","",IF(INDEX(Tasks!$J$2:$J$301,$A79)=1,"Yes",""))</f>
        <v>Yes</v>
      </c>
      <c r="I79" s="28">
        <f>IF($A79="","",INDEX(Tasks!$K$2:$K$301,$A79))</f>
        <v>1</v>
      </c>
      <c r="J79" s="24" t="str">
        <f>IF($A79="","",INDEX(Tasks!$C$2:$C$301,$A79)&amp;"")</f>
        <v>CMP-2026-02</v>
      </c>
    </row>
    <row r="80">
      <c r="A80">
        <f>IFERROR(MATCH(3,Tasks!$L$2:$L$301,0),"")</f>
        <v>1</v>
      </c>
      <c r="B80" s="24" t="str">
        <f>IF($A80="","",INDEX(Tasks!$A$2:$A$301,$A80)&amp;"")</f>
        <v>TSK-001</v>
      </c>
      <c r="C80" s="24" t="str">
        <f>IF($A80="","",INDEX(Tasks!$B$2:$B$301,$A80)&amp;"")</f>
        <v>Chase Corliss Plant Proteins for the PO-2026-029 delivery date</v>
      </c>
      <c r="D80" s="24" t="str">
        <f>IF($A80="","",INDEX(Tasks!$D$2:$D$301,$A80)&amp;"")</f>
        <v>Luis Romero</v>
      </c>
      <c r="E80" s="27">
        <f>IF($A80="","",INDEX(Tasks!$E$2:$E$301,$A80))</f>
        <v>46311</v>
      </c>
      <c r="F80" s="24" t="str">
        <f>IF($A80="","",INDEX(Tasks!$F$2:$F$301,$A80)&amp;"")</f>
        <v>In progress</v>
      </c>
      <c r="G80" s="24" t="str">
        <f>IF($A80="","",INDEX(Tasks!$G$2:$G$301,$A80)&amp;"")</f>
        <v>High</v>
      </c>
      <c r="H80" s="24" t="str">
        <f>IF($A80="","",IF(INDEX(Tasks!$J$2:$J$301,$A80)=1,"Yes",""))</f>
        <v/>
      </c>
      <c r="I80" s="28">
        <f>IF($A80="","",INDEX(Tasks!$K$2:$K$301,$A80))</f>
        <v>0</v>
      </c>
      <c r="J80" s="24" t="str">
        <f>IF($A80="","",INDEX(Tasks!$C$2:$C$301,$A80)&amp;"")</f>
        <v>PO-2026-029</v>
      </c>
    </row>
    <row r="81">
      <c r="A81">
        <f>IFERROR(MATCH(4,Tasks!$L$2:$L$301,0),"")</f>
        <v>5</v>
      </c>
      <c r="B81" s="24" t="str">
        <f>IF($A81="","",INDEX(Tasks!$A$2:$A$301,$A81)&amp;"")</f>
        <v>TSK-005</v>
      </c>
      <c r="C81" s="24" t="str">
        <f>IF($A81="","",INDEX(Tasks!$B$2:$B$301,$A81)&amp;"")</f>
        <v>Sign off and send PO-2026-034 (creatine 500 g)</v>
      </c>
      <c r="D81" s="24" t="str">
        <f>IF($A81="","",INDEX(Tasks!$D$2:$D$301,$A81)&amp;"")</f>
        <v>Sam Whitfield</v>
      </c>
      <c r="E81" s="27">
        <f>IF($A81="","",INDEX(Tasks!$E$2:$E$301,$A81))</f>
        <v>46311</v>
      </c>
      <c r="F81" s="24" t="str">
        <f>IF($A81="","",INDEX(Tasks!$F$2:$F$301,$A81)&amp;"")</f>
        <v>Not started</v>
      </c>
      <c r="G81" s="24" t="str">
        <f>IF($A81="","",INDEX(Tasks!$G$2:$G$301,$A81)&amp;"")</f>
        <v>High</v>
      </c>
      <c r="H81" s="24" t="str">
        <f>IF($A81="","",IF(INDEX(Tasks!$J$2:$J$301,$A81)=1,"Yes",""))</f>
        <v/>
      </c>
      <c r="I81" s="28">
        <f>IF($A81="","",INDEX(Tasks!$K$2:$K$301,$A81))</f>
        <v>0</v>
      </c>
      <c r="J81" s="24" t="str">
        <f>IF($A81="","",INDEX(Tasks!$C$2:$C$301,$A81)&amp;"")</f>
        <v>PO-2026-034</v>
      </c>
    </row>
    <row r="82">
      <c r="A82">
        <f>IFERROR(MATCH(5,Tasks!$L$2:$L$301,0),"")</f>
        <v>2</v>
      </c>
      <c r="B82" s="24" t="str">
        <f>IF($A82="","",INDEX(Tasks!$A$2:$A$301,$A82)&amp;"")</f>
        <v>TSK-002</v>
      </c>
      <c r="C82" s="24" t="str">
        <f>IF($A82="","",INDEX(Tasks!$B$2:$B$301,$A82)&amp;"")</f>
        <v>Review the certificate of analysis and release lot WVA2609A</v>
      </c>
      <c r="D82" s="24" t="str">
        <f>IF($A82="","",INDEX(Tasks!$D$2:$D$301,$A82)&amp;"")</f>
        <v>Priya Nair</v>
      </c>
      <c r="E82" s="27">
        <f>IF($A82="","",INDEX(Tasks!$E$2:$E$301,$A82))</f>
        <v>46312</v>
      </c>
      <c r="F82" s="24" t="str">
        <f>IF($A82="","",INDEX(Tasks!$F$2:$F$301,$A82)&amp;"")</f>
        <v>Not started</v>
      </c>
      <c r="G82" s="24" t="str">
        <f>IF($A82="","",INDEX(Tasks!$G$2:$G$301,$A82)&amp;"")</f>
        <v>High</v>
      </c>
      <c r="H82" s="24" t="str">
        <f>IF($A82="","",IF(INDEX(Tasks!$J$2:$J$301,$A82)=1,"Yes",""))</f>
        <v/>
      </c>
      <c r="I82" s="28">
        <f>IF($A82="","",INDEX(Tasks!$K$2:$K$301,$A82))</f>
        <v>0</v>
      </c>
      <c r="J82" s="24" t="str">
        <f>IF($A82="","",INDEX(Tasks!$C$2:$C$301,$A82)&amp;"")</f>
        <v>WVA2609A</v>
      </c>
    </row>
    <row r="83">
      <c r="A83">
        <f>IFERROR(MATCH(6,Tasks!$L$2:$L$301,0),"")</f>
        <v>4</v>
      </c>
      <c r="B83" s="24" t="str">
        <f>IF($A83="","",INDEX(Tasks!$A$2:$A$301,$A83)&amp;"")</f>
        <v>TSK-004</v>
      </c>
      <c r="C83" s="24" t="str">
        <f>IF($A83="","",INDEX(Tasks!$B$2:$B$301,$A83)&amp;"")</f>
        <v>Plan a clearance offer for lot PBC2511A before it expires</v>
      </c>
      <c r="D83" s="24" t="str">
        <f>IF($A83="","",INDEX(Tasks!$D$2:$D$301,$A83)&amp;"")</f>
        <v>Maya Torres</v>
      </c>
      <c r="E83" s="27">
        <f>IF($A83="","",INDEX(Tasks!$E$2:$E$301,$A83))</f>
        <v>46312</v>
      </c>
      <c r="F83" s="24" t="str">
        <f>IF($A83="","",INDEX(Tasks!$F$2:$F$301,$A83)&amp;"")</f>
        <v>In progress</v>
      </c>
      <c r="G83" s="24" t="str">
        <f>IF($A83="","",INDEX(Tasks!$G$2:$G$301,$A83)&amp;"")</f>
        <v>High</v>
      </c>
      <c r="H83" s="24" t="str">
        <f>IF($A83="","",IF(INDEX(Tasks!$J$2:$J$301,$A83)=1,"Yes",""))</f>
        <v/>
      </c>
      <c r="I83" s="28">
        <f>IF($A83="","",INDEX(Tasks!$K$2:$K$301,$A83))</f>
        <v>0</v>
      </c>
      <c r="J83" s="24" t="str">
        <f>IF($A83="","",INDEX(Tasks!$C$2:$C$301,$A83)&amp;"")</f>
        <v>PBC2511A</v>
      </c>
    </row>
    <row r="84">
      <c r="A84">
        <f>IFERROR(MATCH(7,Tasks!$L$2:$L$301,0),"")</f>
        <v>3</v>
      </c>
      <c r="B84" s="24" t="str">
        <f>IF($A84="","",INDEX(Tasks!$A$2:$A$301,$A84)&amp;"")</f>
        <v>TSK-003</v>
      </c>
      <c r="C84" s="24" t="str">
        <f>IF($A84="","",INDEX(Tasks!$B$2:$B$301,$A84)&amp;"")</f>
        <v>Approve destruction of expired lot CKD2510A and post the write-off</v>
      </c>
      <c r="D84" s="24" t="str">
        <f>IF($A84="","",INDEX(Tasks!$D$2:$D$301,$A84)&amp;"")</f>
        <v>Ben Okafor</v>
      </c>
      <c r="E84" s="27">
        <f>IF($A84="","",INDEX(Tasks!$E$2:$E$301,$A84))</f>
        <v>46315</v>
      </c>
      <c r="F84" s="24" t="str">
        <f>IF($A84="","",INDEX(Tasks!$F$2:$F$301,$A84)&amp;"")</f>
        <v>Not started</v>
      </c>
      <c r="G84" s="24" t="str">
        <f>IF($A84="","",INDEX(Tasks!$G$2:$G$301,$A84)&amp;"")</f>
        <v>Medium</v>
      </c>
      <c r="H84" s="24" t="str">
        <f>IF($A84="","",IF(INDEX(Tasks!$J$2:$J$301,$A84)=1,"Yes",""))</f>
        <v/>
      </c>
      <c r="I84" s="28">
        <f>IF($A84="","",INDEX(Tasks!$K$2:$K$301,$A84))</f>
        <v>0</v>
      </c>
      <c r="J84" s="24" t="str">
        <f>IF($A84="","",INDEX(Tasks!$C$2:$C$301,$A84)&amp;"")</f>
        <v>CKD2510A</v>
      </c>
    </row>
    <row r="85">
      <c r="A85">
        <f>IFERROR(MATCH(8,Tasks!$L$2:$L$301,0),"")</f>
        <v>9</v>
      </c>
      <c r="B85" s="24" t="str">
        <f>IF($A85="","",INDEX(Tasks!$A$2:$A$301,$A85)&amp;"")</f>
        <v>TSK-009</v>
      </c>
      <c r="C85" s="24" t="str">
        <f>IF($A85="","",INDEX(Tasks!$B$2:$B$301,$A85)&amp;"")</f>
        <v>Approve the budget for CMP-2026-07</v>
      </c>
      <c r="D85" s="24" t="str">
        <f>IF($A85="","",INDEX(Tasks!$D$2:$D$301,$A85)&amp;"")</f>
        <v>Sam Whitfield</v>
      </c>
      <c r="E85" s="27">
        <f>IF($A85="","",INDEX(Tasks!$E$2:$E$301,$A85))</f>
        <v>46316</v>
      </c>
      <c r="F85" s="24" t="str">
        <f>IF($A85="","",INDEX(Tasks!$F$2:$F$301,$A85)&amp;"")</f>
        <v>Not started</v>
      </c>
      <c r="G85" s="24" t="str">
        <f>IF($A85="","",INDEX(Tasks!$G$2:$G$301,$A85)&amp;"")</f>
        <v>Medium</v>
      </c>
      <c r="H85" s="24" t="str">
        <f>IF($A85="","",IF(INDEX(Tasks!$J$2:$J$301,$A85)=1,"Yes",""))</f>
        <v/>
      </c>
      <c r="I85" s="28">
        <f>IF($A85="","",INDEX(Tasks!$K$2:$K$301,$A85))</f>
        <v>0</v>
      </c>
      <c r="J85" s="24" t="str">
        <f>IF($A85="","",INDEX(Tasks!$C$2:$C$301,$A85)&amp;"")</f>
        <v>CMP-2026-07</v>
      </c>
    </row>
    <row r="86">
      <c r="A86">
        <f>IFERROR(MATCH(9,Tasks!$L$2:$L$301,0),"")</f>
        <v>10</v>
      </c>
      <c r="B86" s="24" t="str">
        <f>IF($A86="","",INDEX(Tasks!$A$2:$A$301,$A86)&amp;"")</f>
        <v>TSK-010</v>
      </c>
      <c r="C86" s="24" t="str">
        <f>IF($A86="","",INDEX(Tasks!$B$2:$B$301,$A86)&amp;"")</f>
        <v>Collect creator results for CMP-2026-04</v>
      </c>
      <c r="D86" s="24" t="str">
        <f>IF($A86="","",INDEX(Tasks!$D$2:$D$301,$A86)&amp;"")</f>
        <v>Hannah Becker</v>
      </c>
      <c r="E86" s="27">
        <f>IF($A86="","",INDEX(Tasks!$E$2:$E$301,$A86))</f>
        <v>46319</v>
      </c>
      <c r="F86" s="24" t="str">
        <f>IF($A86="","",INDEX(Tasks!$F$2:$F$301,$A86)&amp;"")</f>
        <v>Not started</v>
      </c>
      <c r="G86" s="24" t="str">
        <f>IF($A86="","",INDEX(Tasks!$G$2:$G$301,$A86)&amp;"")</f>
        <v>Low</v>
      </c>
      <c r="H86" s="24" t="str">
        <f>IF($A86="","",IF(INDEX(Tasks!$J$2:$J$301,$A86)=1,"Yes",""))</f>
        <v/>
      </c>
      <c r="I86" s="28">
        <f>IF($A86="","",INDEX(Tasks!$K$2:$K$301,$A86))</f>
        <v>0</v>
      </c>
      <c r="J86" s="24" t="str">
        <f>IF($A86="","",INDEX(Tasks!$C$2:$C$301,$A86)&amp;"")</f>
        <v>CMP-2026-04</v>
      </c>
    </row>
    <row r="87">
      <c r="A87" t="str">
        <f>IFERROR(MATCH(10,Tasks!$L$2:$L$301,0),"")</f>
        <v/>
      </c>
      <c r="B87" s="24" t="str">
        <f>IF($A87="","",INDEX(Tasks!$A$2:$A$301,$A87)&amp;"")</f>
        <v/>
      </c>
      <c r="C87" s="24" t="str">
        <f>IF($A87="","",INDEX(Tasks!$B$2:$B$301,$A87)&amp;"")</f>
        <v/>
      </c>
      <c r="D87" s="24" t="str">
        <f>IF($A87="","",INDEX(Tasks!$D$2:$D$301,$A87)&amp;"")</f>
        <v/>
      </c>
      <c r="E87" s="27" t="str">
        <f>IF($A87="","",INDEX(Tasks!$E$2:$E$301,$A87))</f>
        <v/>
      </c>
      <c r="F87" s="24" t="str">
        <f>IF($A87="","",INDEX(Tasks!$F$2:$F$301,$A87)&amp;"")</f>
        <v/>
      </c>
      <c r="G87" s="24" t="str">
        <f>IF($A87="","",INDEX(Tasks!$G$2:$G$301,$A87)&amp;"")</f>
        <v/>
      </c>
      <c r="H87" s="24" t="str">
        <f>IF($A87="","",IF(INDEX(Tasks!$J$2:$J$301,$A87)=1,"Yes",""))</f>
        <v/>
      </c>
      <c r="I87" s="28" t="str">
        <f>IF($A87="","",INDEX(Tasks!$K$2:$K$301,$A87))</f>
        <v/>
      </c>
      <c r="J87" s="24" t="str">
        <f>IF($A87="","",INDEX(Tasks!$C$2:$C$301,$A87)&amp;"")</f>
        <v/>
      </c>
    </row>
    <row r="88">
      <c r="A88" t="str">
        <f>IFERROR(MATCH(11,Tasks!$L$2:$L$301,0),"")</f>
        <v/>
      </c>
      <c r="B88" s="24" t="str">
        <f>IF($A88="","",INDEX(Tasks!$A$2:$A$301,$A88)&amp;"")</f>
        <v/>
      </c>
      <c r="C88" s="24" t="str">
        <f>IF($A88="","",INDEX(Tasks!$B$2:$B$301,$A88)&amp;"")</f>
        <v/>
      </c>
      <c r="D88" s="24" t="str">
        <f>IF($A88="","",INDEX(Tasks!$D$2:$D$301,$A88)&amp;"")</f>
        <v/>
      </c>
      <c r="E88" s="27" t="str">
        <f>IF($A88="","",INDEX(Tasks!$E$2:$E$301,$A88))</f>
        <v/>
      </c>
      <c r="F88" s="24" t="str">
        <f>IF($A88="","",INDEX(Tasks!$F$2:$F$301,$A88)&amp;"")</f>
        <v/>
      </c>
      <c r="G88" s="24" t="str">
        <f>IF($A88="","",INDEX(Tasks!$G$2:$G$301,$A88)&amp;"")</f>
        <v/>
      </c>
      <c r="H88" s="24" t="str">
        <f>IF($A88="","",IF(INDEX(Tasks!$J$2:$J$301,$A88)=1,"Yes",""))</f>
        <v/>
      </c>
      <c r="I88" s="28" t="str">
        <f>IF($A88="","",INDEX(Tasks!$K$2:$K$301,$A88))</f>
        <v/>
      </c>
      <c r="J88" s="24" t="str">
        <f>IF($A88="","",INDEX(Tasks!$C$2:$C$301,$A88)&amp;"")</f>
        <v/>
      </c>
    </row>
    <row r="89">
      <c r="A89" t="str">
        <f>IFERROR(MATCH(12,Tasks!$L$2:$L$301,0),"")</f>
        <v/>
      </c>
      <c r="B89" s="24" t="str">
        <f>IF($A89="","",INDEX(Tasks!$A$2:$A$301,$A89)&amp;"")</f>
        <v/>
      </c>
      <c r="C89" s="24" t="str">
        <f>IF($A89="","",INDEX(Tasks!$B$2:$B$301,$A89)&amp;"")</f>
        <v/>
      </c>
      <c r="D89" s="24" t="str">
        <f>IF($A89="","",INDEX(Tasks!$D$2:$D$301,$A89)&amp;"")</f>
        <v/>
      </c>
      <c r="E89" s="27" t="str">
        <f>IF($A89="","",INDEX(Tasks!$E$2:$E$301,$A89))</f>
        <v/>
      </c>
      <c r="F89" s="24" t="str">
        <f>IF($A89="","",INDEX(Tasks!$F$2:$F$301,$A89)&amp;"")</f>
        <v/>
      </c>
      <c r="G89" s="24" t="str">
        <f>IF($A89="","",INDEX(Tasks!$G$2:$G$301,$A89)&amp;"")</f>
        <v/>
      </c>
      <c r="H89" s="24" t="str">
        <f>IF($A89="","",IF(INDEX(Tasks!$J$2:$J$301,$A89)=1,"Yes",""))</f>
        <v/>
      </c>
      <c r="I89" s="28" t="str">
        <f>IF($A89="","",INDEX(Tasks!$K$2:$K$301,$A89))</f>
        <v/>
      </c>
      <c r="J89" s="24" t="str">
        <f>IF($A89="","",INDEX(Tasks!$C$2:$C$301,$A89)&amp;"")</f>
        <v/>
      </c>
    </row>
    <row r="90">
      <c r="A90" t="str">
        <f>IFERROR(MATCH(13,Tasks!$L$2:$L$301,0),"")</f>
        <v/>
      </c>
      <c r="B90" s="24" t="str">
        <f>IF($A90="","",INDEX(Tasks!$A$2:$A$301,$A90)&amp;"")</f>
        <v/>
      </c>
      <c r="C90" s="24" t="str">
        <f>IF($A90="","",INDEX(Tasks!$B$2:$B$301,$A90)&amp;"")</f>
        <v/>
      </c>
      <c r="D90" s="24" t="str">
        <f>IF($A90="","",INDEX(Tasks!$D$2:$D$301,$A90)&amp;"")</f>
        <v/>
      </c>
      <c r="E90" s="27" t="str">
        <f>IF($A90="","",INDEX(Tasks!$E$2:$E$301,$A90))</f>
        <v/>
      </c>
      <c r="F90" s="24" t="str">
        <f>IF($A90="","",INDEX(Tasks!$F$2:$F$301,$A90)&amp;"")</f>
        <v/>
      </c>
      <c r="G90" s="24" t="str">
        <f>IF($A90="","",INDEX(Tasks!$G$2:$G$301,$A90)&amp;"")</f>
        <v/>
      </c>
      <c r="H90" s="24" t="str">
        <f>IF($A90="","",IF(INDEX(Tasks!$J$2:$J$301,$A90)=1,"Yes",""))</f>
        <v/>
      </c>
      <c r="I90" s="28" t="str">
        <f>IF($A90="","",INDEX(Tasks!$K$2:$K$301,$A90))</f>
        <v/>
      </c>
      <c r="J90" s="24" t="str">
        <f>IF($A90="","",INDEX(Tasks!$C$2:$C$301,$A90)&amp;"")</f>
        <v/>
      </c>
    </row>
    <row r="91">
      <c r="A91" t="str">
        <f>IFERROR(MATCH(14,Tasks!$L$2:$L$301,0),"")</f>
        <v/>
      </c>
      <c r="B91" s="24" t="str">
        <f>IF($A91="","",INDEX(Tasks!$A$2:$A$301,$A91)&amp;"")</f>
        <v/>
      </c>
      <c r="C91" s="24" t="str">
        <f>IF($A91="","",INDEX(Tasks!$B$2:$B$301,$A91)&amp;"")</f>
        <v/>
      </c>
      <c r="D91" s="24" t="str">
        <f>IF($A91="","",INDEX(Tasks!$D$2:$D$301,$A91)&amp;"")</f>
        <v/>
      </c>
      <c r="E91" s="27" t="str">
        <f>IF($A91="","",INDEX(Tasks!$E$2:$E$301,$A91))</f>
        <v/>
      </c>
      <c r="F91" s="24" t="str">
        <f>IF($A91="","",INDEX(Tasks!$F$2:$F$301,$A91)&amp;"")</f>
        <v/>
      </c>
      <c r="G91" s="24" t="str">
        <f>IF($A91="","",INDEX(Tasks!$G$2:$G$301,$A91)&amp;"")</f>
        <v/>
      </c>
      <c r="H91" s="24" t="str">
        <f>IF($A91="","",IF(INDEX(Tasks!$J$2:$J$301,$A91)=1,"Yes",""))</f>
        <v/>
      </c>
      <c r="I91" s="28" t="str">
        <f>IF($A91="","",INDEX(Tasks!$K$2:$K$301,$A91))</f>
        <v/>
      </c>
      <c r="J91" s="24" t="str">
        <f>IF($A91="","",INDEX(Tasks!$C$2:$C$301,$A91)&amp;"")</f>
        <v/>
      </c>
    </row>
    <row r="92">
      <c r="A92" t="str">
        <f>IFERROR(MATCH(15,Tasks!$L$2:$L$301,0),"")</f>
        <v/>
      </c>
      <c r="B92" s="24" t="str">
        <f>IF($A92="","",INDEX(Tasks!$A$2:$A$301,$A92)&amp;"")</f>
        <v/>
      </c>
      <c r="C92" s="24" t="str">
        <f>IF($A92="","",INDEX(Tasks!$B$2:$B$301,$A92)&amp;"")</f>
        <v/>
      </c>
      <c r="D92" s="24" t="str">
        <f>IF($A92="","",INDEX(Tasks!$D$2:$D$301,$A92)&amp;"")</f>
        <v/>
      </c>
      <c r="E92" s="27" t="str">
        <f>IF($A92="","",INDEX(Tasks!$E$2:$E$301,$A92))</f>
        <v/>
      </c>
      <c r="F92" s="24" t="str">
        <f>IF($A92="","",INDEX(Tasks!$F$2:$F$301,$A92)&amp;"")</f>
        <v/>
      </c>
      <c r="G92" s="24" t="str">
        <f>IF($A92="","",INDEX(Tasks!$G$2:$G$301,$A92)&amp;"")</f>
        <v/>
      </c>
      <c r="H92" s="24" t="str">
        <f>IF($A92="","",IF(INDEX(Tasks!$J$2:$J$301,$A92)=1,"Yes",""))</f>
        <v/>
      </c>
      <c r="I92" s="28" t="str">
        <f>IF($A92="","",INDEX(Tasks!$K$2:$K$301,$A92))</f>
        <v/>
      </c>
      <c r="J92" s="24" t="str">
        <f>IF($A92="","",INDEX(Tasks!$C$2:$C$301,$A92)&amp;"")</f>
        <v/>
      </c>
    </row>
    <row r="94">
      <c r="B94" s="3" t="inlineStr">
        <is>
          <t>Record checks</t>
        </is>
      </c>
    </row>
    <row r="95">
      <c r="B95" s="20" t="inlineStr">
        <is>
          <t>Rows whose Record check column is not OK (missing required fields, duplicate IDs, unknown references, inconsistent values).</t>
        </is>
      </c>
    </row>
    <row r="96" ht="30" customHeight="1">
      <c r="B96" s="23" t="inlineStr">
        <is>
          <t>Sheet</t>
        </is>
      </c>
      <c r="C96" s="23" t="inlineStr">
        <is>
          <t>What is checked</t>
        </is>
      </c>
      <c r="D96" s="23" t="inlineStr">
        <is>
          <t>Rows</t>
        </is>
      </c>
      <c r="E96" s="23" t="inlineStr">
        <is>
          <t>Issues</t>
        </is>
      </c>
    </row>
    <row r="97" ht="26" customHeight="1">
      <c r="B97" s="30" t="inlineStr">
        <is>
          <t>Products</t>
        </is>
      </c>
      <c r="C97" s="31" t="inlineStr">
        <is>
          <t>required fields, duplicate SKU, supplier, opening = lot openings, lots = recorded, negative stock</t>
        </is>
      </c>
      <c r="D97" s="32">
        <f>SUMPRODUCT(--(Products!$AB$2:$AB$101&lt;&gt;""))</f>
        <v>12</v>
      </c>
      <c r="E97" s="33">
        <f>SUMPRODUCT((Products!$AB$2:$AB$101&lt;&gt;"")*(Products!$AB$2:$AB$101&lt;&gt;"OK"))</f>
        <v>0</v>
      </c>
    </row>
    <row r="98" ht="26" customHeight="1">
      <c r="B98" s="30" t="inlineStr">
        <is>
          <t>Suppliers</t>
        </is>
      </c>
      <c r="C98" s="31" t="inlineStr">
        <is>
          <t>required fields, duplicate ID, type and status lists</t>
        </is>
      </c>
      <c r="D98" s="32">
        <f>SUMPRODUCT(--(Suppliers!$P$2:$P$51&lt;&gt;""))</f>
        <v>5</v>
      </c>
      <c r="E98" s="33">
        <f>SUMPRODUCT((Suppliers!$P$2:$P$51&lt;&gt;"")*(Suppliers!$P$2:$P$51&lt;&gt;"OK"))</f>
        <v>0</v>
      </c>
    </row>
    <row r="99" ht="26" customHeight="1">
      <c r="B99" s="30" t="inlineStr">
        <is>
          <t>Purchase_Orders</t>
        </is>
      </c>
      <c r="C99" s="31" t="inlineStr">
        <is>
          <t>required fields, duplicate PO, supplier and SKU exist, dates, received vs ordered vs status</t>
        </is>
      </c>
      <c r="D99" s="32">
        <f>SUMPRODUCT(--(Purchase_Orders!$S$2:$S$301&lt;&gt;""))</f>
        <v>12</v>
      </c>
      <c r="E99" s="33">
        <f>SUMPRODUCT((Purchase_Orders!$S$2:$S$301&lt;&gt;"")*(Purchase_Orders!$S$2:$S$301&lt;&gt;"OK"))</f>
        <v>0</v>
      </c>
    </row>
    <row r="100" ht="26" customHeight="1">
      <c r="B100" s="30" t="inlineStr">
        <is>
          <t>Inventory_Ledger</t>
        </is>
      </c>
      <c r="C100" s="31" t="inlineStr">
        <is>
          <t>required fields, duplicate entry, SKU and lot exist, reason, quantity sign, date range</t>
        </is>
      </c>
      <c r="D100" s="32">
        <f>SUMPRODUCT(--(Inventory_Ledger!$P$2:$P$2001&lt;&gt;""))</f>
        <v>62</v>
      </c>
      <c r="E100" s="33">
        <f>SUMPRODUCT((Inventory_Ledger!$P$2:$P$2001&lt;&gt;"")*(Inventory_Ledger!$P$2:$P$2001&lt;&gt;"OK"))</f>
        <v>0</v>
      </c>
    </row>
    <row r="101" ht="26" customHeight="1">
      <c r="B101" s="30" t="inlineStr">
        <is>
          <t>Batches</t>
        </is>
      </c>
      <c r="C101" s="31" t="inlineStr">
        <is>
          <t>required fields, duplicate lot, SKU and supplier exist, negative or closed lot balance</t>
        </is>
      </c>
      <c r="D101" s="32">
        <f>SUMPRODUCT(--(Batches!$S$2:$S$301&lt;&gt;""))</f>
        <v>27</v>
      </c>
      <c r="E101" s="33">
        <f>SUMPRODUCT((Batches!$S$2:$S$301&lt;&gt;"")*(Batches!$S$2:$S$301&lt;&gt;"OK"))</f>
        <v>0</v>
      </c>
    </row>
    <row r="102" ht="26" customHeight="1">
      <c r="B102" s="30" t="inlineStr">
        <is>
          <t>Reservations</t>
        </is>
      </c>
      <c r="C102" s="31" t="inlineStr">
        <is>
          <t>required fields, duplicate ID, SKU exists, dates</t>
        </is>
      </c>
      <c r="D102" s="32">
        <f>SUMPRODUCT(--(Reservations!$M$2:$M$201&lt;&gt;""))</f>
        <v>8</v>
      </c>
      <c r="E102" s="33">
        <f>SUMPRODUCT((Reservations!$M$2:$M$201&lt;&gt;"")*(Reservations!$M$2:$M$201&lt;&gt;"OK"))</f>
        <v>0</v>
      </c>
    </row>
    <row r="103" ht="26" customHeight="1">
      <c r="B103" s="30" t="inlineStr">
        <is>
          <t>Marketing</t>
        </is>
      </c>
      <c r="C103" s="31" t="inlineStr">
        <is>
          <t>required fields, duplicate ID, featured SKUs exist, channel and status lists</t>
        </is>
      </c>
      <c r="D103" s="32">
        <f>SUMPRODUCT(--(Marketing!$U$2:$U$101&lt;&gt;""))</f>
        <v>8</v>
      </c>
      <c r="E103" s="33">
        <f>SUMPRODUCT((Marketing!$U$2:$U$101&lt;&gt;"")*(Marketing!$U$2:$U$101&lt;&gt;"OK"))</f>
        <v>0</v>
      </c>
    </row>
    <row r="104" ht="26" customHeight="1">
      <c r="B104" s="30" t="inlineStr">
        <is>
          <t>Milestones</t>
        </is>
      </c>
      <c r="C104" s="31" t="inlineStr">
        <is>
          <t>required fields, duplicate ID, product or campaign exists</t>
        </is>
      </c>
      <c r="D104" s="32">
        <f>SUMPRODUCT(--(Milestones!$K$2:$K$201&lt;&gt;""))</f>
        <v>20</v>
      </c>
      <c r="E104" s="33">
        <f>SUMPRODUCT((Milestones!$K$2:$K$201&lt;&gt;"")*(Milestones!$K$2:$K$201&lt;&gt;"OK"))</f>
        <v>0</v>
      </c>
    </row>
    <row r="105" ht="26" customHeight="1">
      <c r="B105" s="30" t="inlineStr">
        <is>
          <t>Tasks</t>
        </is>
      </c>
      <c r="C105" s="31" t="inlineStr">
        <is>
          <t>required fields, duplicate ID, status list</t>
        </is>
      </c>
      <c r="D105" s="32">
        <f>SUMPRODUCT(--(Tasks!$M$2:$M$301&lt;&gt;""))</f>
        <v>12</v>
      </c>
      <c r="E105" s="33">
        <f>SUMPRODUCT((Tasks!$M$2:$M$301&lt;&gt;"")*(Tasks!$M$2:$M$301&lt;&gt;"OK"))</f>
        <v>0</v>
      </c>
    </row>
    <row r="106" ht="26" customHeight="1">
      <c r="B106" s="30" t="inlineStr">
        <is>
          <t>Documents</t>
        </is>
      </c>
      <c r="C106" s="31" t="inlineStr">
        <is>
          <t>required fields, duplicate ID, link, type and status lists</t>
        </is>
      </c>
      <c r="D106" s="32">
        <f>SUMPRODUCT(--(Documents!$M$2:$M$201&lt;&gt;""))</f>
        <v>10</v>
      </c>
      <c r="E106" s="33">
        <f>SUMPRODUCT((Documents!$M$2:$M$201&lt;&gt;"")*(Documents!$M$2:$M$201&lt;&gt;"OK"))</f>
        <v>0</v>
      </c>
    </row>
    <row r="107">
      <c r="B107" s="34" t="inlineStr">
        <is>
          <t>Total</t>
        </is>
      </c>
      <c r="D107" s="34">
        <f>SUM(D97:D106)</f>
        <v>176</v>
      </c>
      <c r="E107" s="34">
        <f>SUM(E97:E106)</f>
        <v>0</v>
      </c>
    </row>
    <row r="109">
      <c r="B109" s="3" t="inlineStr">
        <is>
          <t>Import status</t>
        </is>
      </c>
    </row>
    <row r="110">
      <c r="B110" s="34" t="inlineStr">
        <is>
          <t>File in Import_Staging</t>
        </is>
      </c>
      <c r="D110" s="35" t="str">
        <f>Config!$B$11</f>
        <v>warehouse-movements-2026-10-14.csv</v>
      </c>
    </row>
    <row r="111">
      <c r="B111" s="34" t="inlineStr">
        <is>
          <t>Rows staged</t>
        </is>
      </c>
      <c r="D111" s="28">
        <f>COUNTIF(Import_Staging!$U$2:$U$301,"Ready")+COUNTIF(Import_Staging!$U$2:$U$301,"Rejected")</f>
        <v>18</v>
      </c>
    </row>
    <row r="112">
      <c r="B112" s="34" t="inlineStr">
        <is>
          <t>Ready to post</t>
        </is>
      </c>
      <c r="D112" s="28">
        <f>COUNTIF(Import_Staging!$U$2:$U$301,"Ready")</f>
        <v>8</v>
      </c>
    </row>
    <row r="113">
      <c r="B113" s="34" t="inlineStr">
        <is>
          <t>Rejected</t>
        </is>
      </c>
      <c r="D113" s="28">
        <f>COUNTIF(Import_Staging!$U$2:$U$301,"Rejected")</f>
        <v>10</v>
      </c>
    </row>
    <row r="114">
      <c r="B114" s="34" t="inlineStr">
        <is>
          <t>Exceptions listed</t>
        </is>
      </c>
      <c r="D114" s="28">
        <f>SUM(Import_Staging!$T$2:$T$301)</f>
        <v>11</v>
      </c>
    </row>
    <row r="115">
      <c r="B115" s="20" t="inlineStr">
        <is>
          <t>Details: Exceptions sheet. Ready rows are laid out on Ready_To_Post; they reach the ledger only when someone pastes them there.</t>
        </is>
      </c>
    </row>
    <row r="117">
      <c r="B117" s="3" t="inlineStr">
        <is>
          <t>Marketing summary</t>
        </is>
      </c>
    </row>
    <row r="118">
      <c r="B118" s="34" t="inlineStr">
        <is>
          <t>Campaigns</t>
        </is>
      </c>
      <c r="D118" s="28">
        <f>SUMPRODUCT(--(Marketing!$A$2:$A$101&lt;&gt;""))</f>
        <v>8</v>
      </c>
    </row>
    <row r="119">
      <c r="B119" s="34" t="inlineStr">
        <is>
          <t>Live now</t>
        </is>
      </c>
      <c r="D119" s="28">
        <f>COUNTIF(Marketing!$L$2:$L$101,"Live")</f>
        <v>1</v>
      </c>
    </row>
    <row r="120">
      <c r="B120" s="34" t="inlineStr">
        <is>
          <t>Waiting for approval (Draft or In review)</t>
        </is>
      </c>
      <c r="D120" s="28">
        <f>COUNTIF(Marketing!$L$2:$L$101,"Draft")+COUNTIF(Marketing!$L$2:$L$101,"In review")</f>
        <v>2</v>
      </c>
    </row>
    <row r="121">
      <c r="B121" s="34" t="inlineStr">
        <is>
          <t>Planned spend, all campaigns (USD)</t>
        </is>
      </c>
      <c r="D121" s="36">
        <f>SUM(Marketing!$N$2:$N$101)</f>
        <v>79000</v>
      </c>
    </row>
    <row r="122">
      <c r="B122" s="34" t="inlineStr">
        <is>
          <t>Actual spend reported (USD)</t>
        </is>
      </c>
      <c r="D122" s="36">
        <f>SUM(Marketing!$O$2:$O$101)</f>
        <v>39040</v>
      </c>
    </row>
    <row r="123">
      <c r="B123" s="34" t="inlineStr">
        <is>
          <t>Campaigns with actual spend reported</t>
        </is>
      </c>
      <c r="D123" s="37" t="str">
        <f>COUNT(Marketing!$O$2:$O$101)&amp;" of "&amp;SUMPRODUCT(--(Marketing!$A$2:$A$101&lt;&gt;""))</f>
        <v>5 of 8</v>
      </c>
    </row>
    <row r="124">
      <c r="B124" s="34" t="inlineStr">
        <is>
          <t>Platform-attributed revenue reported (USD)</t>
        </is>
      </c>
      <c r="D124" s="36">
        <f>SUM(Marketing!$P$2:$P$101)</f>
        <v>92740</v>
      </c>
    </row>
    <row r="125">
      <c r="B125" s="34" t="inlineStr">
        <is>
          <t>Campaigns with platform revenue reported</t>
        </is>
      </c>
      <c r="D125" s="37" t="str">
        <f>COUNT(Marketing!$P$2:$P$101)&amp;" of "&amp;SUMPRODUCT(--(Marketing!$A$2:$A$101&lt;&gt;""))</f>
        <v>4 of 8</v>
      </c>
    </row>
    <row r="126">
      <c r="B126" s="20" t="inlineStr">
        <is>
          <t>Company sales are shown per campaign on the Marketing sheet and are not added up here: campaign periods can overlap, and platform-attributed revenue is a platform's own credit, not company revenue.</t>
        </is>
      </c>
    </row>
    <row r="128">
      <c r="B128" s="3" t="inlineStr">
        <is>
          <t>Stock by SKU</t>
        </is>
      </c>
    </row>
    <row r="129">
      <c r="B129" s="20" t="inlineStr">
        <is>
          <t>Every row of Products. Recorded = opening + receipts - shipments + adjustments.</t>
        </is>
      </c>
    </row>
    <row r="130" ht="30" customHeight="1">
      <c r="B130" s="23" t="inlineStr">
        <is>
          <t>SKU</t>
        </is>
      </c>
      <c r="C130" s="23" t="inlineStr">
        <is>
          <t>Product</t>
        </is>
      </c>
      <c r="D130" s="23" t="inlineStr">
        <is>
          <t>Opening</t>
        </is>
      </c>
      <c r="E130" s="23" t="inlineStr">
        <is>
          <t>Receipts</t>
        </is>
      </c>
      <c r="F130" s="23" t="inlineStr">
        <is>
          <t>Shipments</t>
        </is>
      </c>
      <c r="G130" s="23" t="inlineStr">
        <is>
          <t>Adjustments</t>
        </is>
      </c>
      <c r="H130" s="23" t="inlineStr">
        <is>
          <t>Recorded</t>
        </is>
      </c>
      <c r="I130" s="23" t="inlineStr">
        <is>
          <t>Reserved</t>
        </is>
      </c>
      <c r="J130" s="23" t="inlineStr">
        <is>
          <t>Held in lots</t>
        </is>
      </c>
      <c r="K130" s="23" t="inlineStr">
        <is>
          <t>Available</t>
        </is>
      </c>
      <c r="L130" s="23" t="inlineStr">
        <is>
          <t>Reorder point</t>
        </is>
      </c>
      <c r="M130" s="23" t="inlineStr">
        <is>
          <t>Reorder qty</t>
        </is>
      </c>
      <c r="N130" s="23" t="inlineStr">
        <is>
          <t>On order</t>
        </is>
      </c>
      <c r="O130" s="23" t="inlineStr">
        <is>
          <t>Status</t>
        </is>
      </c>
    </row>
    <row r="131">
      <c r="B131" s="34" t="inlineStr">
        <is>
          <t>Total</t>
        </is>
      </c>
      <c r="C131" s="30" t="str">
        <f>SUMPRODUCT(--(B132:B231&lt;&gt;""))&amp;" SKUs"</f>
        <v>12 SKUs</v>
      </c>
      <c r="D131" s="38">
        <f>SUM(D132:D231)</f>
        <v>11402</v>
      </c>
      <c r="E131" s="38">
        <f>SUM(E132:E231)</f>
        <v>7800</v>
      </c>
      <c r="F131" s="38">
        <f>SUM(F132:F231)</f>
        <v>9879</v>
      </c>
      <c r="G131" s="38">
        <f>SUM(G132:G231)</f>
        <v>-89</v>
      </c>
      <c r="H131" s="38">
        <f>SUM(H132:H231)</f>
        <v>9234</v>
      </c>
      <c r="I131" s="38">
        <f>SUM(I132:I231)</f>
        <v>550</v>
      </c>
      <c r="J131" s="38">
        <f>SUM(J132:J231)</f>
        <v>636</v>
      </c>
      <c r="K131" s="38">
        <f>SUM(K132:K231)</f>
        <v>8048</v>
      </c>
      <c r="N131" s="38">
        <f>SUM(N132:N231)</f>
        <v>3560</v>
      </c>
      <c r="O131" s="30" t="str">
        <f>COUNTIF(O132:O231,"Below reorder")+COUNTIF(O132:O231,"Negative")&amp;" not OK"</f>
        <v>4 not OK</v>
      </c>
    </row>
    <row r="132">
      <c r="B132" s="24" t="str">
        <f>IF(Products!$A2="","",Products!$A2&amp;"")</f>
        <v>WPI-CHO-2LB</v>
      </c>
      <c r="C132" s="24" t="str">
        <f>IF(Products!$A2="","",Products!$B2&amp;"")</f>
        <v>Whey Protein Isolate, Chocolate, 2 lb</v>
      </c>
      <c r="D132" s="26">
        <f>IF(Products!$A2="","",Products!$H2)</f>
        <v>1240</v>
      </c>
      <c r="E132" s="26">
        <f>IF(Products!$A2="","",Products!$O2)</f>
        <v>1500</v>
      </c>
      <c r="F132" s="26">
        <f>IF(Products!$A2="","",Products!$P2)</f>
        <v>2305</v>
      </c>
      <c r="G132" s="25">
        <f>IF(Products!$A2="","",Products!$Q2)</f>
        <v>-6</v>
      </c>
      <c r="H132" s="25">
        <f>IF(Products!$A2="","",Products!$R2)</f>
        <v>429</v>
      </c>
      <c r="I132" s="26">
        <f>IF(Products!$A2="","",Products!$S2)</f>
        <v>120</v>
      </c>
      <c r="J132" s="26">
        <f>IF(Products!$A2="","",Products!$T2)</f>
        <v>0</v>
      </c>
      <c r="K132" s="25">
        <f>IF(Products!$A2="","",Products!$U2)</f>
        <v>309</v>
      </c>
      <c r="L132" s="26">
        <f>IF(Products!$A2="","",Products!$I2)</f>
        <v>600</v>
      </c>
      <c r="M132" s="26">
        <f>IF(Products!$A2="","",Products!$J2)</f>
        <v>1500</v>
      </c>
      <c r="N132" s="26">
        <f>IF(Products!$A2="","",Products!$V2)</f>
        <v>1500</v>
      </c>
      <c r="O132" s="24" t="str">
        <f>IF(Products!$A2="","",Products!$Z2&amp;"")</f>
        <v>Below reorder</v>
      </c>
    </row>
    <row r="133">
      <c r="B133" s="24" t="str">
        <f>IF(Products!$A3="","",Products!$A3&amp;"")</f>
        <v>WPI-VAN-2LB</v>
      </c>
      <c r="C133" s="24" t="str">
        <f>IF(Products!$A3="","",Products!$B3&amp;"")</f>
        <v>Whey Protein Isolate, Vanilla, 2 lb</v>
      </c>
      <c r="D133" s="26">
        <f>IF(Products!$A3="","",Products!$H3)</f>
        <v>846</v>
      </c>
      <c r="E133" s="26">
        <f>IF(Products!$A3="","",Products!$O3)</f>
        <v>600</v>
      </c>
      <c r="F133" s="26">
        <f>IF(Products!$A3="","",Products!$P3)</f>
        <v>638</v>
      </c>
      <c r="G133" s="25">
        <f>IF(Products!$A3="","",Products!$Q3)</f>
        <v>0</v>
      </c>
      <c r="H133" s="25">
        <f>IF(Products!$A3="","",Products!$R3)</f>
        <v>808</v>
      </c>
      <c r="I133" s="26">
        <f>IF(Products!$A3="","",Products!$S3)</f>
        <v>0</v>
      </c>
      <c r="J133" s="26">
        <f>IF(Products!$A3="","",Products!$T3)</f>
        <v>600</v>
      </c>
      <c r="K133" s="25">
        <f>IF(Products!$A3="","",Products!$U3)</f>
        <v>208</v>
      </c>
      <c r="L133" s="26">
        <f>IF(Products!$A3="","",Products!$I3)</f>
        <v>450</v>
      </c>
      <c r="M133" s="26">
        <f>IF(Products!$A3="","",Products!$J3)</f>
        <v>1200</v>
      </c>
      <c r="N133" s="26">
        <f>IF(Products!$A3="","",Products!$V3)</f>
        <v>600</v>
      </c>
      <c r="O133" s="24" t="str">
        <f>IF(Products!$A3="","",Products!$Z3&amp;"")</f>
        <v>Below reorder</v>
      </c>
    </row>
    <row r="134">
      <c r="B134" s="24" t="str">
        <f>IF(Products!$A4="","",Products!$A4&amp;"")</f>
        <v>WPI-CHO-5LB</v>
      </c>
      <c r="C134" s="24" t="str">
        <f>IF(Products!$A4="","",Products!$B4&amp;"")</f>
        <v>Whey Protein Isolate, Chocolate, 5 lb</v>
      </c>
      <c r="D134" s="26">
        <f>IF(Products!$A4="","",Products!$H4)</f>
        <v>467</v>
      </c>
      <c r="E134" s="26">
        <f>IF(Products!$A4="","",Products!$O4)</f>
        <v>0</v>
      </c>
      <c r="F134" s="26">
        <f>IF(Products!$A4="","",Products!$P4)</f>
        <v>203</v>
      </c>
      <c r="G134" s="25">
        <f>IF(Products!$A4="","",Products!$Q4)</f>
        <v>0</v>
      </c>
      <c r="H134" s="25">
        <f>IF(Products!$A4="","",Products!$R4)</f>
        <v>264</v>
      </c>
      <c r="I134" s="26">
        <f>IF(Products!$A4="","",Products!$S4)</f>
        <v>0</v>
      </c>
      <c r="J134" s="26">
        <f>IF(Products!$A4="","",Products!$T4)</f>
        <v>0</v>
      </c>
      <c r="K134" s="25">
        <f>IF(Products!$A4="","",Products!$U4)</f>
        <v>264</v>
      </c>
      <c r="L134" s="26">
        <f>IF(Products!$A4="","",Products!$I4)</f>
        <v>150</v>
      </c>
      <c r="M134" s="26">
        <f>IF(Products!$A4="","",Products!$J4)</f>
        <v>400</v>
      </c>
      <c r="N134" s="26">
        <f>IF(Products!$A4="","",Products!$V4)</f>
        <v>0</v>
      </c>
      <c r="O134" s="24" t="str">
        <f>IF(Products!$A4="","",Products!$Z4&amp;"")</f>
        <v>OK</v>
      </c>
    </row>
    <row r="135">
      <c r="B135" s="24" t="str">
        <f>IF(Products!$A5="","",Products!$A5&amp;"")</f>
        <v>PLT-CHO-2LB</v>
      </c>
      <c r="C135" s="24" t="str">
        <f>IF(Products!$A5="","",Products!$B5&amp;"")</f>
        <v>Plant Protein, Chocolate, 2 lb</v>
      </c>
      <c r="D135" s="26">
        <f>IF(Products!$A5="","",Products!$H5)</f>
        <v>850</v>
      </c>
      <c r="E135" s="26">
        <f>IF(Products!$A5="","",Products!$O5)</f>
        <v>0</v>
      </c>
      <c r="F135" s="26">
        <f>IF(Products!$A5="","",Products!$P5)</f>
        <v>451</v>
      </c>
      <c r="G135" s="25">
        <f>IF(Products!$A5="","",Products!$Q5)</f>
        <v>-3</v>
      </c>
      <c r="H135" s="25">
        <f>IF(Products!$A5="","",Products!$R5)</f>
        <v>396</v>
      </c>
      <c r="I135" s="26">
        <f>IF(Products!$A5="","",Products!$S5)</f>
        <v>0</v>
      </c>
      <c r="J135" s="26">
        <f>IF(Products!$A5="","",Products!$T5)</f>
        <v>0</v>
      </c>
      <c r="K135" s="25">
        <f>IF(Products!$A5="","",Products!$U5)</f>
        <v>396</v>
      </c>
      <c r="L135" s="26">
        <f>IF(Products!$A5="","",Products!$I5)</f>
        <v>250</v>
      </c>
      <c r="M135" s="26">
        <f>IF(Products!$A5="","",Products!$J5)</f>
        <v>600</v>
      </c>
      <c r="N135" s="26">
        <f>IF(Products!$A5="","",Products!$V5)</f>
        <v>0</v>
      </c>
      <c r="O135" s="24" t="str">
        <f>IF(Products!$A5="","",Products!$Z5&amp;"")</f>
        <v>OK</v>
      </c>
    </row>
    <row r="136">
      <c r="B136" s="24" t="str">
        <f>IF(Products!$A6="","",Products!$A6&amp;"")</f>
        <v>PLT-VAN-2LB</v>
      </c>
      <c r="C136" s="24" t="str">
        <f>IF(Products!$A6="","",Products!$B6&amp;"")</f>
        <v>Plant Protein, Vanilla, 2 lb</v>
      </c>
      <c r="D136" s="26">
        <f>IF(Products!$A6="","",Products!$H6)</f>
        <v>407</v>
      </c>
      <c r="E136" s="26">
        <f>IF(Products!$A6="","",Products!$O6)</f>
        <v>0</v>
      </c>
      <c r="F136" s="26">
        <f>IF(Products!$A6="","",Products!$P6)</f>
        <v>274</v>
      </c>
      <c r="G136" s="25">
        <f>IF(Products!$A6="","",Products!$Q6)</f>
        <v>0</v>
      </c>
      <c r="H136" s="25">
        <f>IF(Products!$A6="","",Products!$R6)</f>
        <v>133</v>
      </c>
      <c r="I136" s="26">
        <f>IF(Products!$A6="","",Products!$S6)</f>
        <v>0</v>
      </c>
      <c r="J136" s="26">
        <f>IF(Products!$A6="","",Products!$T6)</f>
        <v>0</v>
      </c>
      <c r="K136" s="25">
        <f>IF(Products!$A6="","",Products!$U6)</f>
        <v>133</v>
      </c>
      <c r="L136" s="26">
        <f>IF(Products!$A6="","",Products!$I6)</f>
        <v>200</v>
      </c>
      <c r="M136" s="26">
        <f>IF(Products!$A6="","",Products!$J6)</f>
        <v>500</v>
      </c>
      <c r="N136" s="26">
        <f>IF(Products!$A6="","",Products!$V6)</f>
        <v>500</v>
      </c>
      <c r="O136" s="24" t="str">
        <f>IF(Products!$A6="","",Products!$Z6&amp;"")</f>
        <v>Below reorder</v>
      </c>
    </row>
    <row r="137">
      <c r="B137" s="24" t="str">
        <f>IF(Products!$A7="","",Products!$A7&amp;"")</f>
        <v>BAR-PBC-12</v>
      </c>
      <c r="C137" s="24" t="str">
        <f>IF(Products!$A7="","",Products!$B7&amp;"")</f>
        <v>Protein Bar, Peanut Butter Chocolate, 12-pack</v>
      </c>
      <c r="D137" s="26">
        <f>IF(Products!$A7="","",Products!$H7)</f>
        <v>2288</v>
      </c>
      <c r="E137" s="26">
        <f>IF(Products!$A7="","",Products!$O7)</f>
        <v>2400</v>
      </c>
      <c r="F137" s="26">
        <f>IF(Products!$A7="","",Products!$P7)</f>
        <v>1944</v>
      </c>
      <c r="G137" s="25">
        <f>IF(Products!$A7="","",Products!$Q7)</f>
        <v>0</v>
      </c>
      <c r="H137" s="25">
        <f>IF(Products!$A7="","",Products!$R7)</f>
        <v>2744</v>
      </c>
      <c r="I137" s="26">
        <f>IF(Products!$A7="","",Products!$S7)</f>
        <v>200</v>
      </c>
      <c r="J137" s="26">
        <f>IF(Products!$A7="","",Products!$T7)</f>
        <v>0</v>
      </c>
      <c r="K137" s="25">
        <f>IF(Products!$A7="","",Products!$U7)</f>
        <v>2544</v>
      </c>
      <c r="L137" s="26">
        <f>IF(Products!$A7="","",Products!$I7)</f>
        <v>900</v>
      </c>
      <c r="M137" s="26">
        <f>IF(Products!$A7="","",Products!$J7)</f>
        <v>2400</v>
      </c>
      <c r="N137" s="26">
        <f>IF(Products!$A7="","",Products!$V7)</f>
        <v>0</v>
      </c>
      <c r="O137" s="24" t="str">
        <f>IF(Products!$A7="","",Products!$Z7&amp;"")</f>
        <v>OK</v>
      </c>
    </row>
    <row r="138">
      <c r="B138" s="24" t="str">
        <f>IF(Products!$A8="","",Products!$A8&amp;"")</f>
        <v>BAR-CKD-12</v>
      </c>
      <c r="C138" s="24" t="str">
        <f>IF(Products!$A8="","",Products!$B8&amp;"")</f>
        <v>Protein Bar, Cookie Dough, 12-pack</v>
      </c>
      <c r="D138" s="26">
        <f>IF(Products!$A8="","",Products!$H8)</f>
        <v>1889</v>
      </c>
      <c r="E138" s="26">
        <f>IF(Products!$A8="","",Products!$O8)</f>
        <v>1500</v>
      </c>
      <c r="F138" s="26">
        <f>IF(Products!$A8="","",Products!$P8)</f>
        <v>1581</v>
      </c>
      <c r="G138" s="25">
        <f>IF(Products!$A8="","",Products!$Q8)</f>
        <v>-60</v>
      </c>
      <c r="H138" s="25">
        <f>IF(Products!$A8="","",Products!$R8)</f>
        <v>1748</v>
      </c>
      <c r="I138" s="26">
        <f>IF(Products!$A8="","",Products!$S8)</f>
        <v>150</v>
      </c>
      <c r="J138" s="26">
        <f>IF(Products!$A8="","",Products!$T8)</f>
        <v>36</v>
      </c>
      <c r="K138" s="25">
        <f>IF(Products!$A8="","",Products!$U8)</f>
        <v>1562</v>
      </c>
      <c r="L138" s="26">
        <f>IF(Products!$A8="","",Products!$I8)</f>
        <v>700</v>
      </c>
      <c r="M138" s="26">
        <f>IF(Products!$A8="","",Products!$J8)</f>
        <v>1500</v>
      </c>
      <c r="N138" s="26">
        <f>IF(Products!$A8="","",Products!$V8)</f>
        <v>0</v>
      </c>
      <c r="O138" s="24" t="str">
        <f>IF(Products!$A8="","",Products!$Z8&amp;"")</f>
        <v>OK</v>
      </c>
    </row>
    <row r="139">
      <c r="B139" s="24" t="str">
        <f>IF(Products!$A9="","",Products!$A9&amp;"")</f>
        <v>CRE-UNF-300G</v>
      </c>
      <c r="C139" s="24" t="str">
        <f>IF(Products!$A9="","",Products!$B9&amp;"")</f>
        <v>Creatine Monohydrate, Unflavoured, 300 g</v>
      </c>
      <c r="D139" s="26">
        <f>IF(Products!$A9="","",Products!$H9)</f>
        <v>980</v>
      </c>
      <c r="E139" s="26">
        <f>IF(Products!$A9="","",Products!$O9)</f>
        <v>1000</v>
      </c>
      <c r="F139" s="26">
        <f>IF(Products!$A9="","",Products!$P9)</f>
        <v>865</v>
      </c>
      <c r="G139" s="25">
        <f>IF(Products!$A9="","",Products!$Q9)</f>
        <v>4</v>
      </c>
      <c r="H139" s="25">
        <f>IF(Products!$A9="","",Products!$R9)</f>
        <v>1119</v>
      </c>
      <c r="I139" s="26">
        <f>IF(Products!$A9="","",Products!$S9)</f>
        <v>0</v>
      </c>
      <c r="J139" s="26">
        <f>IF(Products!$A9="","",Products!$T9)</f>
        <v>0</v>
      </c>
      <c r="K139" s="25">
        <f>IF(Products!$A9="","",Products!$U9)</f>
        <v>1119</v>
      </c>
      <c r="L139" s="26">
        <f>IF(Products!$A9="","",Products!$I9)</f>
        <v>400</v>
      </c>
      <c r="M139" s="26">
        <f>IF(Products!$A9="","",Products!$J9)</f>
        <v>1000</v>
      </c>
      <c r="N139" s="26">
        <f>IF(Products!$A9="","",Products!$V9)</f>
        <v>0</v>
      </c>
      <c r="O139" s="24" t="str">
        <f>IF(Products!$A9="","",Products!$Z9&amp;"")</f>
        <v>OK</v>
      </c>
    </row>
    <row r="140">
      <c r="B140" s="24" t="str">
        <f>IF(Products!$A10="","",Products!$A10&amp;"")</f>
        <v>CRE-UNF-500G</v>
      </c>
      <c r="C140" s="24" t="str">
        <f>IF(Products!$A10="","",Products!$B10&amp;"")</f>
        <v>Creatine Monohydrate, Unflavoured, 500 g</v>
      </c>
      <c r="D140" s="26">
        <f>IF(Products!$A10="","",Products!$H10)</f>
        <v>640</v>
      </c>
      <c r="E140" s="26">
        <f>IF(Products!$A10="","",Products!$O10)</f>
        <v>0</v>
      </c>
      <c r="F140" s="26">
        <f>IF(Products!$A10="","",Products!$P10)</f>
        <v>350</v>
      </c>
      <c r="G140" s="25">
        <f>IF(Products!$A10="","",Products!$Q10)</f>
        <v>0</v>
      </c>
      <c r="H140" s="25">
        <f>IF(Products!$A10="","",Products!$R10)</f>
        <v>290</v>
      </c>
      <c r="I140" s="26">
        <f>IF(Products!$A10="","",Products!$S10)</f>
        <v>80</v>
      </c>
      <c r="J140" s="26">
        <f>IF(Products!$A10="","",Products!$T10)</f>
        <v>0</v>
      </c>
      <c r="K140" s="25">
        <f>IF(Products!$A10="","",Products!$U10)</f>
        <v>210</v>
      </c>
      <c r="L140" s="26">
        <f>IF(Products!$A10="","",Products!$I10)</f>
        <v>250</v>
      </c>
      <c r="M140" s="26">
        <f>IF(Products!$A10="","",Products!$J10)</f>
        <v>700</v>
      </c>
      <c r="N140" s="26">
        <f>IF(Products!$A10="","",Products!$V10)</f>
        <v>0</v>
      </c>
      <c r="O140" s="24" t="str">
        <f>IF(Products!$A10="","",Products!$Z10&amp;"")</f>
        <v>Below reorder</v>
      </c>
    </row>
    <row r="141">
      <c r="B141" s="24" t="str">
        <f>IF(Products!$A11="","",Products!$A11&amp;"")</f>
        <v>PRE-BRZ-30</v>
      </c>
      <c r="C141" s="24" t="str">
        <f>IF(Products!$A11="","",Products!$B11&amp;"")</f>
        <v>Pre-Workout, Blue Raspberry, 30 servings</v>
      </c>
      <c r="D141" s="26">
        <f>IF(Products!$A11="","",Products!$H11)</f>
        <v>746</v>
      </c>
      <c r="E141" s="26">
        <f>IF(Products!$A11="","",Products!$O11)</f>
        <v>800</v>
      </c>
      <c r="F141" s="26">
        <f>IF(Products!$A11="","",Products!$P11)</f>
        <v>671</v>
      </c>
      <c r="G141" s="25">
        <f>IF(Products!$A11="","",Products!$Q11)</f>
        <v>0</v>
      </c>
      <c r="H141" s="25">
        <f>IF(Products!$A11="","",Products!$R11)</f>
        <v>875</v>
      </c>
      <c r="I141" s="26">
        <f>IF(Products!$A11="","",Products!$S11)</f>
        <v>0</v>
      </c>
      <c r="J141" s="26">
        <f>IF(Products!$A11="","",Products!$T11)</f>
        <v>0</v>
      </c>
      <c r="K141" s="25">
        <f>IF(Products!$A11="","",Products!$U11)</f>
        <v>875</v>
      </c>
      <c r="L141" s="26">
        <f>IF(Products!$A11="","",Products!$I11)</f>
        <v>300</v>
      </c>
      <c r="M141" s="26">
        <f>IF(Products!$A11="","",Products!$J11)</f>
        <v>800</v>
      </c>
      <c r="N141" s="26">
        <f>IF(Products!$A11="","",Products!$V11)</f>
        <v>0</v>
      </c>
      <c r="O141" s="24" t="str">
        <f>IF(Products!$A11="","",Products!$Z11&amp;"")</f>
        <v>OK</v>
      </c>
    </row>
    <row r="142">
      <c r="B142" s="24" t="str">
        <f>IF(Products!$A12="","",Products!$A12&amp;"")</f>
        <v>PRE-WTM-30</v>
      </c>
      <c r="C142" s="24" t="str">
        <f>IF(Products!$A12="","",Products!$B12&amp;"")</f>
        <v>Pre-Workout, Watermelon, 30 servings</v>
      </c>
      <c r="D142" s="26">
        <f>IF(Products!$A12="","",Products!$H12)</f>
        <v>626</v>
      </c>
      <c r="E142" s="26">
        <f>IF(Products!$A12="","",Products!$O12)</f>
        <v>0</v>
      </c>
      <c r="F142" s="26">
        <f>IF(Products!$A12="","",Products!$P12)</f>
        <v>374</v>
      </c>
      <c r="G142" s="25">
        <f>IF(Products!$A12="","",Products!$Q12)</f>
        <v>-24</v>
      </c>
      <c r="H142" s="25">
        <f>IF(Products!$A12="","",Products!$R12)</f>
        <v>228</v>
      </c>
      <c r="I142" s="26">
        <f>IF(Products!$A12="","",Products!$S12)</f>
        <v>0</v>
      </c>
      <c r="J142" s="26">
        <f>IF(Products!$A12="","",Products!$T12)</f>
        <v>0</v>
      </c>
      <c r="K142" s="25">
        <f>IF(Products!$A12="","",Products!$U12)</f>
        <v>228</v>
      </c>
      <c r="L142" s="26">
        <f>IF(Products!$A12="","",Products!$I12)</f>
        <v>200</v>
      </c>
      <c r="M142" s="26">
        <f>IF(Products!$A12="","",Products!$J12)</f>
        <v>600</v>
      </c>
      <c r="N142" s="26">
        <f>IF(Products!$A12="","",Products!$V12)</f>
        <v>600</v>
      </c>
      <c r="O142" s="24" t="str">
        <f>IF(Products!$A12="","",Products!$Z12&amp;"")</f>
        <v>OK</v>
      </c>
    </row>
    <row r="143">
      <c r="B143" s="24" t="str">
        <f>IF(Products!$A13="","",Products!$A13&amp;"")</f>
        <v>CAS-CHO-2LB</v>
      </c>
      <c r="C143" s="24" t="str">
        <f>IF(Products!$A13="","",Products!$B13&amp;"")</f>
        <v>Micellar Casein, Chocolate, 2 lb</v>
      </c>
      <c r="D143" s="26">
        <f>IF(Products!$A13="","",Products!$H13)</f>
        <v>423</v>
      </c>
      <c r="E143" s="26">
        <f>IF(Products!$A13="","",Products!$O13)</f>
        <v>0</v>
      </c>
      <c r="F143" s="26">
        <f>IF(Products!$A13="","",Products!$P13)</f>
        <v>223</v>
      </c>
      <c r="G143" s="25">
        <f>IF(Products!$A13="","",Products!$Q13)</f>
        <v>0</v>
      </c>
      <c r="H143" s="25">
        <f>IF(Products!$A13="","",Products!$R13)</f>
        <v>200</v>
      </c>
      <c r="I143" s="26">
        <f>IF(Products!$A13="","",Products!$S13)</f>
        <v>0</v>
      </c>
      <c r="J143" s="26">
        <f>IF(Products!$A13="","",Products!$T13)</f>
        <v>0</v>
      </c>
      <c r="K143" s="25">
        <f>IF(Products!$A13="","",Products!$U13)</f>
        <v>200</v>
      </c>
      <c r="L143" s="26">
        <f>IF(Products!$A13="","",Products!$I13)</f>
        <v>200</v>
      </c>
      <c r="M143" s="26">
        <f>IF(Products!$A13="","",Products!$J13)</f>
        <v>360</v>
      </c>
      <c r="N143" s="26">
        <f>IF(Products!$A13="","",Products!$V13)</f>
        <v>360</v>
      </c>
      <c r="O143" s="24" t="str">
        <f>IF(Products!$A13="","",Products!$Z13&amp;"")</f>
        <v>OK</v>
      </c>
    </row>
    <row r="144">
      <c r="B144" s="24" t="str">
        <f>IF(Products!$A14="","",Products!$A14&amp;"")</f>
        <v/>
      </c>
      <c r="C144" s="24" t="str">
        <f>IF(Products!$A14="","",Products!$B14&amp;"")</f>
        <v/>
      </c>
      <c r="D144" s="26" t="str">
        <f>IF(Products!$A14="","",Products!$H14)</f>
        <v/>
      </c>
      <c r="E144" s="26" t="str">
        <f>IF(Products!$A14="","",Products!$O14)</f>
        <v/>
      </c>
      <c r="F144" s="26" t="str">
        <f>IF(Products!$A14="","",Products!$P14)</f>
        <v/>
      </c>
      <c r="G144" s="25" t="str">
        <f>IF(Products!$A14="","",Products!$Q14)</f>
        <v/>
      </c>
      <c r="H144" s="25" t="str">
        <f>IF(Products!$A14="","",Products!$R14)</f>
        <v/>
      </c>
      <c r="I144" s="26" t="str">
        <f>IF(Products!$A14="","",Products!$S14)</f>
        <v/>
      </c>
      <c r="J144" s="26" t="str">
        <f>IF(Products!$A14="","",Products!$T14)</f>
        <v/>
      </c>
      <c r="K144" s="25" t="str">
        <f>IF(Products!$A14="","",Products!$U14)</f>
        <v/>
      </c>
      <c r="L144" s="26" t="str">
        <f>IF(Products!$A14="","",Products!$I14)</f>
        <v/>
      </c>
      <c r="M144" s="26" t="str">
        <f>IF(Products!$A14="","",Products!$J14)</f>
        <v/>
      </c>
      <c r="N144" s="26" t="str">
        <f>IF(Products!$A14="","",Products!$V14)</f>
        <v/>
      </c>
      <c r="O144" s="24" t="str">
        <f>IF(Products!$A14="","",Products!$Z14&amp;"")</f>
        <v/>
      </c>
    </row>
    <row r="145">
      <c r="B145" s="24" t="str">
        <f>IF(Products!$A15="","",Products!$A15&amp;"")</f>
        <v/>
      </c>
      <c r="C145" s="24" t="str">
        <f>IF(Products!$A15="","",Products!$B15&amp;"")</f>
        <v/>
      </c>
      <c r="D145" s="26" t="str">
        <f>IF(Products!$A15="","",Products!$H15)</f>
        <v/>
      </c>
      <c r="E145" s="26" t="str">
        <f>IF(Products!$A15="","",Products!$O15)</f>
        <v/>
      </c>
      <c r="F145" s="26" t="str">
        <f>IF(Products!$A15="","",Products!$P15)</f>
        <v/>
      </c>
      <c r="G145" s="25" t="str">
        <f>IF(Products!$A15="","",Products!$Q15)</f>
        <v/>
      </c>
      <c r="H145" s="25" t="str">
        <f>IF(Products!$A15="","",Products!$R15)</f>
        <v/>
      </c>
      <c r="I145" s="26" t="str">
        <f>IF(Products!$A15="","",Products!$S15)</f>
        <v/>
      </c>
      <c r="J145" s="26" t="str">
        <f>IF(Products!$A15="","",Products!$T15)</f>
        <v/>
      </c>
      <c r="K145" s="25" t="str">
        <f>IF(Products!$A15="","",Products!$U15)</f>
        <v/>
      </c>
      <c r="L145" s="26" t="str">
        <f>IF(Products!$A15="","",Products!$I15)</f>
        <v/>
      </c>
      <c r="M145" s="26" t="str">
        <f>IF(Products!$A15="","",Products!$J15)</f>
        <v/>
      </c>
      <c r="N145" s="26" t="str">
        <f>IF(Products!$A15="","",Products!$V15)</f>
        <v/>
      </c>
      <c r="O145" s="24" t="str">
        <f>IF(Products!$A15="","",Products!$Z15&amp;"")</f>
        <v/>
      </c>
    </row>
    <row r="146">
      <c r="B146" s="24" t="str">
        <f>IF(Products!$A16="","",Products!$A16&amp;"")</f>
        <v/>
      </c>
      <c r="C146" s="24" t="str">
        <f>IF(Products!$A16="","",Products!$B16&amp;"")</f>
        <v/>
      </c>
      <c r="D146" s="26" t="str">
        <f>IF(Products!$A16="","",Products!$H16)</f>
        <v/>
      </c>
      <c r="E146" s="26" t="str">
        <f>IF(Products!$A16="","",Products!$O16)</f>
        <v/>
      </c>
      <c r="F146" s="26" t="str">
        <f>IF(Products!$A16="","",Products!$P16)</f>
        <v/>
      </c>
      <c r="G146" s="25" t="str">
        <f>IF(Products!$A16="","",Products!$Q16)</f>
        <v/>
      </c>
      <c r="H146" s="25" t="str">
        <f>IF(Products!$A16="","",Products!$R16)</f>
        <v/>
      </c>
      <c r="I146" s="26" t="str">
        <f>IF(Products!$A16="","",Products!$S16)</f>
        <v/>
      </c>
      <c r="J146" s="26" t="str">
        <f>IF(Products!$A16="","",Products!$T16)</f>
        <v/>
      </c>
      <c r="K146" s="25" t="str">
        <f>IF(Products!$A16="","",Products!$U16)</f>
        <v/>
      </c>
      <c r="L146" s="26" t="str">
        <f>IF(Products!$A16="","",Products!$I16)</f>
        <v/>
      </c>
      <c r="M146" s="26" t="str">
        <f>IF(Products!$A16="","",Products!$J16)</f>
        <v/>
      </c>
      <c r="N146" s="26" t="str">
        <f>IF(Products!$A16="","",Products!$V16)</f>
        <v/>
      </c>
      <c r="O146" s="24" t="str">
        <f>IF(Products!$A16="","",Products!$Z16&amp;"")</f>
        <v/>
      </c>
    </row>
    <row r="147">
      <c r="B147" s="24" t="str">
        <f>IF(Products!$A17="","",Products!$A17&amp;"")</f>
        <v/>
      </c>
      <c r="C147" s="24" t="str">
        <f>IF(Products!$A17="","",Products!$B17&amp;"")</f>
        <v/>
      </c>
      <c r="D147" s="26" t="str">
        <f>IF(Products!$A17="","",Products!$H17)</f>
        <v/>
      </c>
      <c r="E147" s="26" t="str">
        <f>IF(Products!$A17="","",Products!$O17)</f>
        <v/>
      </c>
      <c r="F147" s="26" t="str">
        <f>IF(Products!$A17="","",Products!$P17)</f>
        <v/>
      </c>
      <c r="G147" s="25" t="str">
        <f>IF(Products!$A17="","",Products!$Q17)</f>
        <v/>
      </c>
      <c r="H147" s="25" t="str">
        <f>IF(Products!$A17="","",Products!$R17)</f>
        <v/>
      </c>
      <c r="I147" s="26" t="str">
        <f>IF(Products!$A17="","",Products!$S17)</f>
        <v/>
      </c>
      <c r="J147" s="26" t="str">
        <f>IF(Products!$A17="","",Products!$T17)</f>
        <v/>
      </c>
      <c r="K147" s="25" t="str">
        <f>IF(Products!$A17="","",Products!$U17)</f>
        <v/>
      </c>
      <c r="L147" s="26" t="str">
        <f>IF(Products!$A17="","",Products!$I17)</f>
        <v/>
      </c>
      <c r="M147" s="26" t="str">
        <f>IF(Products!$A17="","",Products!$J17)</f>
        <v/>
      </c>
      <c r="N147" s="26" t="str">
        <f>IF(Products!$A17="","",Products!$V17)</f>
        <v/>
      </c>
      <c r="O147" s="24" t="str">
        <f>IF(Products!$A17="","",Products!$Z17&amp;"")</f>
        <v/>
      </c>
    </row>
    <row r="148">
      <c r="B148" s="24" t="str">
        <f>IF(Products!$A18="","",Products!$A18&amp;"")</f>
        <v/>
      </c>
      <c r="C148" s="24" t="str">
        <f>IF(Products!$A18="","",Products!$B18&amp;"")</f>
        <v/>
      </c>
      <c r="D148" s="26" t="str">
        <f>IF(Products!$A18="","",Products!$H18)</f>
        <v/>
      </c>
      <c r="E148" s="26" t="str">
        <f>IF(Products!$A18="","",Products!$O18)</f>
        <v/>
      </c>
      <c r="F148" s="26" t="str">
        <f>IF(Products!$A18="","",Products!$P18)</f>
        <v/>
      </c>
      <c r="G148" s="25" t="str">
        <f>IF(Products!$A18="","",Products!$Q18)</f>
        <v/>
      </c>
      <c r="H148" s="25" t="str">
        <f>IF(Products!$A18="","",Products!$R18)</f>
        <v/>
      </c>
      <c r="I148" s="26" t="str">
        <f>IF(Products!$A18="","",Products!$S18)</f>
        <v/>
      </c>
      <c r="J148" s="26" t="str">
        <f>IF(Products!$A18="","",Products!$T18)</f>
        <v/>
      </c>
      <c r="K148" s="25" t="str">
        <f>IF(Products!$A18="","",Products!$U18)</f>
        <v/>
      </c>
      <c r="L148" s="26" t="str">
        <f>IF(Products!$A18="","",Products!$I18)</f>
        <v/>
      </c>
      <c r="M148" s="26" t="str">
        <f>IF(Products!$A18="","",Products!$J18)</f>
        <v/>
      </c>
      <c r="N148" s="26" t="str">
        <f>IF(Products!$A18="","",Products!$V18)</f>
        <v/>
      </c>
      <c r="O148" s="24" t="str">
        <f>IF(Products!$A18="","",Products!$Z18&amp;"")</f>
        <v/>
      </c>
    </row>
    <row r="149">
      <c r="B149" s="24" t="str">
        <f>IF(Products!$A19="","",Products!$A19&amp;"")</f>
        <v/>
      </c>
      <c r="C149" s="24" t="str">
        <f>IF(Products!$A19="","",Products!$B19&amp;"")</f>
        <v/>
      </c>
      <c r="D149" s="26" t="str">
        <f>IF(Products!$A19="","",Products!$H19)</f>
        <v/>
      </c>
      <c r="E149" s="26" t="str">
        <f>IF(Products!$A19="","",Products!$O19)</f>
        <v/>
      </c>
      <c r="F149" s="26" t="str">
        <f>IF(Products!$A19="","",Products!$P19)</f>
        <v/>
      </c>
      <c r="G149" s="25" t="str">
        <f>IF(Products!$A19="","",Products!$Q19)</f>
        <v/>
      </c>
      <c r="H149" s="25" t="str">
        <f>IF(Products!$A19="","",Products!$R19)</f>
        <v/>
      </c>
      <c r="I149" s="26" t="str">
        <f>IF(Products!$A19="","",Products!$S19)</f>
        <v/>
      </c>
      <c r="J149" s="26" t="str">
        <f>IF(Products!$A19="","",Products!$T19)</f>
        <v/>
      </c>
      <c r="K149" s="25" t="str">
        <f>IF(Products!$A19="","",Products!$U19)</f>
        <v/>
      </c>
      <c r="L149" s="26" t="str">
        <f>IF(Products!$A19="","",Products!$I19)</f>
        <v/>
      </c>
      <c r="M149" s="26" t="str">
        <f>IF(Products!$A19="","",Products!$J19)</f>
        <v/>
      </c>
      <c r="N149" s="26" t="str">
        <f>IF(Products!$A19="","",Products!$V19)</f>
        <v/>
      </c>
      <c r="O149" s="24" t="str">
        <f>IF(Products!$A19="","",Products!$Z19&amp;"")</f>
        <v/>
      </c>
    </row>
    <row r="150">
      <c r="B150" s="24" t="str">
        <f>IF(Products!$A20="","",Products!$A20&amp;"")</f>
        <v/>
      </c>
      <c r="C150" s="24" t="str">
        <f>IF(Products!$A20="","",Products!$B20&amp;"")</f>
        <v/>
      </c>
      <c r="D150" s="26" t="str">
        <f>IF(Products!$A20="","",Products!$H20)</f>
        <v/>
      </c>
      <c r="E150" s="26" t="str">
        <f>IF(Products!$A20="","",Products!$O20)</f>
        <v/>
      </c>
      <c r="F150" s="26" t="str">
        <f>IF(Products!$A20="","",Products!$P20)</f>
        <v/>
      </c>
      <c r="G150" s="25" t="str">
        <f>IF(Products!$A20="","",Products!$Q20)</f>
        <v/>
      </c>
      <c r="H150" s="25" t="str">
        <f>IF(Products!$A20="","",Products!$R20)</f>
        <v/>
      </c>
      <c r="I150" s="26" t="str">
        <f>IF(Products!$A20="","",Products!$S20)</f>
        <v/>
      </c>
      <c r="J150" s="26" t="str">
        <f>IF(Products!$A20="","",Products!$T20)</f>
        <v/>
      </c>
      <c r="K150" s="25" t="str">
        <f>IF(Products!$A20="","",Products!$U20)</f>
        <v/>
      </c>
      <c r="L150" s="26" t="str">
        <f>IF(Products!$A20="","",Products!$I20)</f>
        <v/>
      </c>
      <c r="M150" s="26" t="str">
        <f>IF(Products!$A20="","",Products!$J20)</f>
        <v/>
      </c>
      <c r="N150" s="26" t="str">
        <f>IF(Products!$A20="","",Products!$V20)</f>
        <v/>
      </c>
      <c r="O150" s="24" t="str">
        <f>IF(Products!$A20="","",Products!$Z20&amp;"")</f>
        <v/>
      </c>
    </row>
    <row r="151">
      <c r="B151" s="24" t="str">
        <f>IF(Products!$A21="","",Products!$A21&amp;"")</f>
        <v/>
      </c>
      <c r="C151" s="24" t="str">
        <f>IF(Products!$A21="","",Products!$B21&amp;"")</f>
        <v/>
      </c>
      <c r="D151" s="26" t="str">
        <f>IF(Products!$A21="","",Products!$H21)</f>
        <v/>
      </c>
      <c r="E151" s="26" t="str">
        <f>IF(Products!$A21="","",Products!$O21)</f>
        <v/>
      </c>
      <c r="F151" s="26" t="str">
        <f>IF(Products!$A21="","",Products!$P21)</f>
        <v/>
      </c>
      <c r="G151" s="25" t="str">
        <f>IF(Products!$A21="","",Products!$Q21)</f>
        <v/>
      </c>
      <c r="H151" s="25" t="str">
        <f>IF(Products!$A21="","",Products!$R21)</f>
        <v/>
      </c>
      <c r="I151" s="26" t="str">
        <f>IF(Products!$A21="","",Products!$S21)</f>
        <v/>
      </c>
      <c r="J151" s="26" t="str">
        <f>IF(Products!$A21="","",Products!$T21)</f>
        <v/>
      </c>
      <c r="K151" s="25" t="str">
        <f>IF(Products!$A21="","",Products!$U21)</f>
        <v/>
      </c>
      <c r="L151" s="26" t="str">
        <f>IF(Products!$A21="","",Products!$I21)</f>
        <v/>
      </c>
      <c r="M151" s="26" t="str">
        <f>IF(Products!$A21="","",Products!$J21)</f>
        <v/>
      </c>
      <c r="N151" s="26" t="str">
        <f>IF(Products!$A21="","",Products!$V21)</f>
        <v/>
      </c>
      <c r="O151" s="24" t="str">
        <f>IF(Products!$A21="","",Products!$Z21&amp;"")</f>
        <v/>
      </c>
    </row>
    <row r="152">
      <c r="B152" s="24" t="str">
        <f>IF(Products!$A22="","",Products!$A22&amp;"")</f>
        <v/>
      </c>
      <c r="C152" s="24" t="str">
        <f>IF(Products!$A22="","",Products!$B22&amp;"")</f>
        <v/>
      </c>
      <c r="D152" s="26" t="str">
        <f>IF(Products!$A22="","",Products!$H22)</f>
        <v/>
      </c>
      <c r="E152" s="26" t="str">
        <f>IF(Products!$A22="","",Products!$O22)</f>
        <v/>
      </c>
      <c r="F152" s="26" t="str">
        <f>IF(Products!$A22="","",Products!$P22)</f>
        <v/>
      </c>
      <c r="G152" s="25" t="str">
        <f>IF(Products!$A22="","",Products!$Q22)</f>
        <v/>
      </c>
      <c r="H152" s="25" t="str">
        <f>IF(Products!$A22="","",Products!$R22)</f>
        <v/>
      </c>
      <c r="I152" s="26" t="str">
        <f>IF(Products!$A22="","",Products!$S22)</f>
        <v/>
      </c>
      <c r="J152" s="26" t="str">
        <f>IF(Products!$A22="","",Products!$T22)</f>
        <v/>
      </c>
      <c r="K152" s="25" t="str">
        <f>IF(Products!$A22="","",Products!$U22)</f>
        <v/>
      </c>
      <c r="L152" s="26" t="str">
        <f>IF(Products!$A22="","",Products!$I22)</f>
        <v/>
      </c>
      <c r="M152" s="26" t="str">
        <f>IF(Products!$A22="","",Products!$J22)</f>
        <v/>
      </c>
      <c r="N152" s="26" t="str">
        <f>IF(Products!$A22="","",Products!$V22)</f>
        <v/>
      </c>
      <c r="O152" s="24" t="str">
        <f>IF(Products!$A22="","",Products!$Z22&amp;"")</f>
        <v/>
      </c>
    </row>
    <row r="153">
      <c r="B153" s="24" t="str">
        <f>IF(Products!$A23="","",Products!$A23&amp;"")</f>
        <v/>
      </c>
      <c r="C153" s="24" t="str">
        <f>IF(Products!$A23="","",Products!$B23&amp;"")</f>
        <v/>
      </c>
      <c r="D153" s="26" t="str">
        <f>IF(Products!$A23="","",Products!$H23)</f>
        <v/>
      </c>
      <c r="E153" s="26" t="str">
        <f>IF(Products!$A23="","",Products!$O23)</f>
        <v/>
      </c>
      <c r="F153" s="26" t="str">
        <f>IF(Products!$A23="","",Products!$P23)</f>
        <v/>
      </c>
      <c r="G153" s="25" t="str">
        <f>IF(Products!$A23="","",Products!$Q23)</f>
        <v/>
      </c>
      <c r="H153" s="25" t="str">
        <f>IF(Products!$A23="","",Products!$R23)</f>
        <v/>
      </c>
      <c r="I153" s="26" t="str">
        <f>IF(Products!$A23="","",Products!$S23)</f>
        <v/>
      </c>
      <c r="J153" s="26" t="str">
        <f>IF(Products!$A23="","",Products!$T23)</f>
        <v/>
      </c>
      <c r="K153" s="25" t="str">
        <f>IF(Products!$A23="","",Products!$U23)</f>
        <v/>
      </c>
      <c r="L153" s="26" t="str">
        <f>IF(Products!$A23="","",Products!$I23)</f>
        <v/>
      </c>
      <c r="M153" s="26" t="str">
        <f>IF(Products!$A23="","",Products!$J23)</f>
        <v/>
      </c>
      <c r="N153" s="26" t="str">
        <f>IF(Products!$A23="","",Products!$V23)</f>
        <v/>
      </c>
      <c r="O153" s="24" t="str">
        <f>IF(Products!$A23="","",Products!$Z23&amp;"")</f>
        <v/>
      </c>
    </row>
    <row r="154">
      <c r="B154" s="24" t="str">
        <f>IF(Products!$A24="","",Products!$A24&amp;"")</f>
        <v/>
      </c>
      <c r="C154" s="24" t="str">
        <f>IF(Products!$A24="","",Products!$B24&amp;"")</f>
        <v/>
      </c>
      <c r="D154" s="26" t="str">
        <f>IF(Products!$A24="","",Products!$H24)</f>
        <v/>
      </c>
      <c r="E154" s="26" t="str">
        <f>IF(Products!$A24="","",Products!$O24)</f>
        <v/>
      </c>
      <c r="F154" s="26" t="str">
        <f>IF(Products!$A24="","",Products!$P24)</f>
        <v/>
      </c>
      <c r="G154" s="25" t="str">
        <f>IF(Products!$A24="","",Products!$Q24)</f>
        <v/>
      </c>
      <c r="H154" s="25" t="str">
        <f>IF(Products!$A24="","",Products!$R24)</f>
        <v/>
      </c>
      <c r="I154" s="26" t="str">
        <f>IF(Products!$A24="","",Products!$S24)</f>
        <v/>
      </c>
      <c r="J154" s="26" t="str">
        <f>IF(Products!$A24="","",Products!$T24)</f>
        <v/>
      </c>
      <c r="K154" s="25" t="str">
        <f>IF(Products!$A24="","",Products!$U24)</f>
        <v/>
      </c>
      <c r="L154" s="26" t="str">
        <f>IF(Products!$A24="","",Products!$I24)</f>
        <v/>
      </c>
      <c r="M154" s="26" t="str">
        <f>IF(Products!$A24="","",Products!$J24)</f>
        <v/>
      </c>
      <c r="N154" s="26" t="str">
        <f>IF(Products!$A24="","",Products!$V24)</f>
        <v/>
      </c>
      <c r="O154" s="24" t="str">
        <f>IF(Products!$A24="","",Products!$Z24&amp;"")</f>
        <v/>
      </c>
    </row>
    <row r="155">
      <c r="B155" s="24" t="str">
        <f>IF(Products!$A25="","",Products!$A25&amp;"")</f>
        <v/>
      </c>
      <c r="C155" s="24" t="str">
        <f>IF(Products!$A25="","",Products!$B25&amp;"")</f>
        <v/>
      </c>
      <c r="D155" s="26" t="str">
        <f>IF(Products!$A25="","",Products!$H25)</f>
        <v/>
      </c>
      <c r="E155" s="26" t="str">
        <f>IF(Products!$A25="","",Products!$O25)</f>
        <v/>
      </c>
      <c r="F155" s="26" t="str">
        <f>IF(Products!$A25="","",Products!$P25)</f>
        <v/>
      </c>
      <c r="G155" s="25" t="str">
        <f>IF(Products!$A25="","",Products!$Q25)</f>
        <v/>
      </c>
      <c r="H155" s="25" t="str">
        <f>IF(Products!$A25="","",Products!$R25)</f>
        <v/>
      </c>
      <c r="I155" s="26" t="str">
        <f>IF(Products!$A25="","",Products!$S25)</f>
        <v/>
      </c>
      <c r="J155" s="26" t="str">
        <f>IF(Products!$A25="","",Products!$T25)</f>
        <v/>
      </c>
      <c r="K155" s="25" t="str">
        <f>IF(Products!$A25="","",Products!$U25)</f>
        <v/>
      </c>
      <c r="L155" s="26" t="str">
        <f>IF(Products!$A25="","",Products!$I25)</f>
        <v/>
      </c>
      <c r="M155" s="26" t="str">
        <f>IF(Products!$A25="","",Products!$J25)</f>
        <v/>
      </c>
      <c r="N155" s="26" t="str">
        <f>IF(Products!$A25="","",Products!$V25)</f>
        <v/>
      </c>
      <c r="O155" s="24" t="str">
        <f>IF(Products!$A25="","",Products!$Z25&amp;"")</f>
        <v/>
      </c>
    </row>
    <row r="156">
      <c r="B156" s="24" t="str">
        <f>IF(Products!$A26="","",Products!$A26&amp;"")</f>
        <v/>
      </c>
      <c r="C156" s="24" t="str">
        <f>IF(Products!$A26="","",Products!$B26&amp;"")</f>
        <v/>
      </c>
      <c r="D156" s="26" t="str">
        <f>IF(Products!$A26="","",Products!$H26)</f>
        <v/>
      </c>
      <c r="E156" s="26" t="str">
        <f>IF(Products!$A26="","",Products!$O26)</f>
        <v/>
      </c>
      <c r="F156" s="26" t="str">
        <f>IF(Products!$A26="","",Products!$P26)</f>
        <v/>
      </c>
      <c r="G156" s="25" t="str">
        <f>IF(Products!$A26="","",Products!$Q26)</f>
        <v/>
      </c>
      <c r="H156" s="25" t="str">
        <f>IF(Products!$A26="","",Products!$R26)</f>
        <v/>
      </c>
      <c r="I156" s="26" t="str">
        <f>IF(Products!$A26="","",Products!$S26)</f>
        <v/>
      </c>
      <c r="J156" s="26" t="str">
        <f>IF(Products!$A26="","",Products!$T26)</f>
        <v/>
      </c>
      <c r="K156" s="25" t="str">
        <f>IF(Products!$A26="","",Products!$U26)</f>
        <v/>
      </c>
      <c r="L156" s="26" t="str">
        <f>IF(Products!$A26="","",Products!$I26)</f>
        <v/>
      </c>
      <c r="M156" s="26" t="str">
        <f>IF(Products!$A26="","",Products!$J26)</f>
        <v/>
      </c>
      <c r="N156" s="26" t="str">
        <f>IF(Products!$A26="","",Products!$V26)</f>
        <v/>
      </c>
      <c r="O156" s="24" t="str">
        <f>IF(Products!$A26="","",Products!$Z26&amp;"")</f>
        <v/>
      </c>
    </row>
    <row r="157">
      <c r="B157" s="24" t="str">
        <f>IF(Products!$A27="","",Products!$A27&amp;"")</f>
        <v/>
      </c>
      <c r="C157" s="24" t="str">
        <f>IF(Products!$A27="","",Products!$B27&amp;"")</f>
        <v/>
      </c>
      <c r="D157" s="26" t="str">
        <f>IF(Products!$A27="","",Products!$H27)</f>
        <v/>
      </c>
      <c r="E157" s="26" t="str">
        <f>IF(Products!$A27="","",Products!$O27)</f>
        <v/>
      </c>
      <c r="F157" s="26" t="str">
        <f>IF(Products!$A27="","",Products!$P27)</f>
        <v/>
      </c>
      <c r="G157" s="25" t="str">
        <f>IF(Products!$A27="","",Products!$Q27)</f>
        <v/>
      </c>
      <c r="H157" s="25" t="str">
        <f>IF(Products!$A27="","",Products!$R27)</f>
        <v/>
      </c>
      <c r="I157" s="26" t="str">
        <f>IF(Products!$A27="","",Products!$S27)</f>
        <v/>
      </c>
      <c r="J157" s="26" t="str">
        <f>IF(Products!$A27="","",Products!$T27)</f>
        <v/>
      </c>
      <c r="K157" s="25" t="str">
        <f>IF(Products!$A27="","",Products!$U27)</f>
        <v/>
      </c>
      <c r="L157" s="26" t="str">
        <f>IF(Products!$A27="","",Products!$I27)</f>
        <v/>
      </c>
      <c r="M157" s="26" t="str">
        <f>IF(Products!$A27="","",Products!$J27)</f>
        <v/>
      </c>
      <c r="N157" s="26" t="str">
        <f>IF(Products!$A27="","",Products!$V27)</f>
        <v/>
      </c>
      <c r="O157" s="24" t="str">
        <f>IF(Products!$A27="","",Products!$Z27&amp;"")</f>
        <v/>
      </c>
    </row>
    <row r="158">
      <c r="B158" s="24" t="str">
        <f>IF(Products!$A28="","",Products!$A28&amp;"")</f>
        <v/>
      </c>
      <c r="C158" s="24" t="str">
        <f>IF(Products!$A28="","",Products!$B28&amp;"")</f>
        <v/>
      </c>
      <c r="D158" s="26" t="str">
        <f>IF(Products!$A28="","",Products!$H28)</f>
        <v/>
      </c>
      <c r="E158" s="26" t="str">
        <f>IF(Products!$A28="","",Products!$O28)</f>
        <v/>
      </c>
      <c r="F158" s="26" t="str">
        <f>IF(Products!$A28="","",Products!$P28)</f>
        <v/>
      </c>
      <c r="G158" s="25" t="str">
        <f>IF(Products!$A28="","",Products!$Q28)</f>
        <v/>
      </c>
      <c r="H158" s="25" t="str">
        <f>IF(Products!$A28="","",Products!$R28)</f>
        <v/>
      </c>
      <c r="I158" s="26" t="str">
        <f>IF(Products!$A28="","",Products!$S28)</f>
        <v/>
      </c>
      <c r="J158" s="26" t="str">
        <f>IF(Products!$A28="","",Products!$T28)</f>
        <v/>
      </c>
      <c r="K158" s="25" t="str">
        <f>IF(Products!$A28="","",Products!$U28)</f>
        <v/>
      </c>
      <c r="L158" s="26" t="str">
        <f>IF(Products!$A28="","",Products!$I28)</f>
        <v/>
      </c>
      <c r="M158" s="26" t="str">
        <f>IF(Products!$A28="","",Products!$J28)</f>
        <v/>
      </c>
      <c r="N158" s="26" t="str">
        <f>IF(Products!$A28="","",Products!$V28)</f>
        <v/>
      </c>
      <c r="O158" s="24" t="str">
        <f>IF(Products!$A28="","",Products!$Z28&amp;"")</f>
        <v/>
      </c>
    </row>
    <row r="159">
      <c r="B159" s="24" t="str">
        <f>IF(Products!$A29="","",Products!$A29&amp;"")</f>
        <v/>
      </c>
      <c r="C159" s="24" t="str">
        <f>IF(Products!$A29="","",Products!$B29&amp;"")</f>
        <v/>
      </c>
      <c r="D159" s="26" t="str">
        <f>IF(Products!$A29="","",Products!$H29)</f>
        <v/>
      </c>
      <c r="E159" s="26" t="str">
        <f>IF(Products!$A29="","",Products!$O29)</f>
        <v/>
      </c>
      <c r="F159" s="26" t="str">
        <f>IF(Products!$A29="","",Products!$P29)</f>
        <v/>
      </c>
      <c r="G159" s="25" t="str">
        <f>IF(Products!$A29="","",Products!$Q29)</f>
        <v/>
      </c>
      <c r="H159" s="25" t="str">
        <f>IF(Products!$A29="","",Products!$R29)</f>
        <v/>
      </c>
      <c r="I159" s="26" t="str">
        <f>IF(Products!$A29="","",Products!$S29)</f>
        <v/>
      </c>
      <c r="J159" s="26" t="str">
        <f>IF(Products!$A29="","",Products!$T29)</f>
        <v/>
      </c>
      <c r="K159" s="25" t="str">
        <f>IF(Products!$A29="","",Products!$U29)</f>
        <v/>
      </c>
      <c r="L159" s="26" t="str">
        <f>IF(Products!$A29="","",Products!$I29)</f>
        <v/>
      </c>
      <c r="M159" s="26" t="str">
        <f>IF(Products!$A29="","",Products!$J29)</f>
        <v/>
      </c>
      <c r="N159" s="26" t="str">
        <f>IF(Products!$A29="","",Products!$V29)</f>
        <v/>
      </c>
      <c r="O159" s="24" t="str">
        <f>IF(Products!$A29="","",Products!$Z29&amp;"")</f>
        <v/>
      </c>
    </row>
    <row r="160">
      <c r="B160" s="24" t="str">
        <f>IF(Products!$A30="","",Products!$A30&amp;"")</f>
        <v/>
      </c>
      <c r="C160" s="24" t="str">
        <f>IF(Products!$A30="","",Products!$B30&amp;"")</f>
        <v/>
      </c>
      <c r="D160" s="26" t="str">
        <f>IF(Products!$A30="","",Products!$H30)</f>
        <v/>
      </c>
      <c r="E160" s="26" t="str">
        <f>IF(Products!$A30="","",Products!$O30)</f>
        <v/>
      </c>
      <c r="F160" s="26" t="str">
        <f>IF(Products!$A30="","",Products!$P30)</f>
        <v/>
      </c>
      <c r="G160" s="25" t="str">
        <f>IF(Products!$A30="","",Products!$Q30)</f>
        <v/>
      </c>
      <c r="H160" s="25" t="str">
        <f>IF(Products!$A30="","",Products!$R30)</f>
        <v/>
      </c>
      <c r="I160" s="26" t="str">
        <f>IF(Products!$A30="","",Products!$S30)</f>
        <v/>
      </c>
      <c r="J160" s="26" t="str">
        <f>IF(Products!$A30="","",Products!$T30)</f>
        <v/>
      </c>
      <c r="K160" s="25" t="str">
        <f>IF(Products!$A30="","",Products!$U30)</f>
        <v/>
      </c>
      <c r="L160" s="26" t="str">
        <f>IF(Products!$A30="","",Products!$I30)</f>
        <v/>
      </c>
      <c r="M160" s="26" t="str">
        <f>IF(Products!$A30="","",Products!$J30)</f>
        <v/>
      </c>
      <c r="N160" s="26" t="str">
        <f>IF(Products!$A30="","",Products!$V30)</f>
        <v/>
      </c>
      <c r="O160" s="24" t="str">
        <f>IF(Products!$A30="","",Products!$Z30&amp;"")</f>
        <v/>
      </c>
    </row>
    <row r="161">
      <c r="B161" s="24" t="str">
        <f>IF(Products!$A31="","",Products!$A31&amp;"")</f>
        <v/>
      </c>
      <c r="C161" s="24" t="str">
        <f>IF(Products!$A31="","",Products!$B31&amp;"")</f>
        <v/>
      </c>
      <c r="D161" s="26" t="str">
        <f>IF(Products!$A31="","",Products!$H31)</f>
        <v/>
      </c>
      <c r="E161" s="26" t="str">
        <f>IF(Products!$A31="","",Products!$O31)</f>
        <v/>
      </c>
      <c r="F161" s="26" t="str">
        <f>IF(Products!$A31="","",Products!$P31)</f>
        <v/>
      </c>
      <c r="G161" s="25" t="str">
        <f>IF(Products!$A31="","",Products!$Q31)</f>
        <v/>
      </c>
      <c r="H161" s="25" t="str">
        <f>IF(Products!$A31="","",Products!$R31)</f>
        <v/>
      </c>
      <c r="I161" s="26" t="str">
        <f>IF(Products!$A31="","",Products!$S31)</f>
        <v/>
      </c>
      <c r="J161" s="26" t="str">
        <f>IF(Products!$A31="","",Products!$T31)</f>
        <v/>
      </c>
      <c r="K161" s="25" t="str">
        <f>IF(Products!$A31="","",Products!$U31)</f>
        <v/>
      </c>
      <c r="L161" s="26" t="str">
        <f>IF(Products!$A31="","",Products!$I31)</f>
        <v/>
      </c>
      <c r="M161" s="26" t="str">
        <f>IF(Products!$A31="","",Products!$J31)</f>
        <v/>
      </c>
      <c r="N161" s="26" t="str">
        <f>IF(Products!$A31="","",Products!$V31)</f>
        <v/>
      </c>
      <c r="O161" s="24" t="str">
        <f>IF(Products!$A31="","",Products!$Z31&amp;"")</f>
        <v/>
      </c>
    </row>
    <row r="162">
      <c r="B162" s="24" t="str">
        <f>IF(Products!$A32="","",Products!$A32&amp;"")</f>
        <v/>
      </c>
      <c r="C162" s="24" t="str">
        <f>IF(Products!$A32="","",Products!$B32&amp;"")</f>
        <v/>
      </c>
      <c r="D162" s="26" t="str">
        <f>IF(Products!$A32="","",Products!$H32)</f>
        <v/>
      </c>
      <c r="E162" s="26" t="str">
        <f>IF(Products!$A32="","",Products!$O32)</f>
        <v/>
      </c>
      <c r="F162" s="26" t="str">
        <f>IF(Products!$A32="","",Products!$P32)</f>
        <v/>
      </c>
      <c r="G162" s="25" t="str">
        <f>IF(Products!$A32="","",Products!$Q32)</f>
        <v/>
      </c>
      <c r="H162" s="25" t="str">
        <f>IF(Products!$A32="","",Products!$R32)</f>
        <v/>
      </c>
      <c r="I162" s="26" t="str">
        <f>IF(Products!$A32="","",Products!$S32)</f>
        <v/>
      </c>
      <c r="J162" s="26" t="str">
        <f>IF(Products!$A32="","",Products!$T32)</f>
        <v/>
      </c>
      <c r="K162" s="25" t="str">
        <f>IF(Products!$A32="","",Products!$U32)</f>
        <v/>
      </c>
      <c r="L162" s="26" t="str">
        <f>IF(Products!$A32="","",Products!$I32)</f>
        <v/>
      </c>
      <c r="M162" s="26" t="str">
        <f>IF(Products!$A32="","",Products!$J32)</f>
        <v/>
      </c>
      <c r="N162" s="26" t="str">
        <f>IF(Products!$A32="","",Products!$V32)</f>
        <v/>
      </c>
      <c r="O162" s="24" t="str">
        <f>IF(Products!$A32="","",Products!$Z32&amp;"")</f>
        <v/>
      </c>
    </row>
    <row r="163">
      <c r="B163" s="24" t="str">
        <f>IF(Products!$A33="","",Products!$A33&amp;"")</f>
        <v/>
      </c>
      <c r="C163" s="24" t="str">
        <f>IF(Products!$A33="","",Products!$B33&amp;"")</f>
        <v/>
      </c>
      <c r="D163" s="26" t="str">
        <f>IF(Products!$A33="","",Products!$H33)</f>
        <v/>
      </c>
      <c r="E163" s="26" t="str">
        <f>IF(Products!$A33="","",Products!$O33)</f>
        <v/>
      </c>
      <c r="F163" s="26" t="str">
        <f>IF(Products!$A33="","",Products!$P33)</f>
        <v/>
      </c>
      <c r="G163" s="25" t="str">
        <f>IF(Products!$A33="","",Products!$Q33)</f>
        <v/>
      </c>
      <c r="H163" s="25" t="str">
        <f>IF(Products!$A33="","",Products!$R33)</f>
        <v/>
      </c>
      <c r="I163" s="26" t="str">
        <f>IF(Products!$A33="","",Products!$S33)</f>
        <v/>
      </c>
      <c r="J163" s="26" t="str">
        <f>IF(Products!$A33="","",Products!$T33)</f>
        <v/>
      </c>
      <c r="K163" s="25" t="str">
        <f>IF(Products!$A33="","",Products!$U33)</f>
        <v/>
      </c>
      <c r="L163" s="26" t="str">
        <f>IF(Products!$A33="","",Products!$I33)</f>
        <v/>
      </c>
      <c r="M163" s="26" t="str">
        <f>IF(Products!$A33="","",Products!$J33)</f>
        <v/>
      </c>
      <c r="N163" s="26" t="str">
        <f>IF(Products!$A33="","",Products!$V33)</f>
        <v/>
      </c>
      <c r="O163" s="24" t="str">
        <f>IF(Products!$A33="","",Products!$Z33&amp;"")</f>
        <v/>
      </c>
    </row>
    <row r="164">
      <c r="B164" s="24" t="str">
        <f>IF(Products!$A34="","",Products!$A34&amp;"")</f>
        <v/>
      </c>
      <c r="C164" s="24" t="str">
        <f>IF(Products!$A34="","",Products!$B34&amp;"")</f>
        <v/>
      </c>
      <c r="D164" s="26" t="str">
        <f>IF(Products!$A34="","",Products!$H34)</f>
        <v/>
      </c>
      <c r="E164" s="26" t="str">
        <f>IF(Products!$A34="","",Products!$O34)</f>
        <v/>
      </c>
      <c r="F164" s="26" t="str">
        <f>IF(Products!$A34="","",Products!$P34)</f>
        <v/>
      </c>
      <c r="G164" s="25" t="str">
        <f>IF(Products!$A34="","",Products!$Q34)</f>
        <v/>
      </c>
      <c r="H164" s="25" t="str">
        <f>IF(Products!$A34="","",Products!$R34)</f>
        <v/>
      </c>
      <c r="I164" s="26" t="str">
        <f>IF(Products!$A34="","",Products!$S34)</f>
        <v/>
      </c>
      <c r="J164" s="26" t="str">
        <f>IF(Products!$A34="","",Products!$T34)</f>
        <v/>
      </c>
      <c r="K164" s="25" t="str">
        <f>IF(Products!$A34="","",Products!$U34)</f>
        <v/>
      </c>
      <c r="L164" s="26" t="str">
        <f>IF(Products!$A34="","",Products!$I34)</f>
        <v/>
      </c>
      <c r="M164" s="26" t="str">
        <f>IF(Products!$A34="","",Products!$J34)</f>
        <v/>
      </c>
      <c r="N164" s="26" t="str">
        <f>IF(Products!$A34="","",Products!$V34)</f>
        <v/>
      </c>
      <c r="O164" s="24" t="str">
        <f>IF(Products!$A34="","",Products!$Z34&amp;"")</f>
        <v/>
      </c>
    </row>
    <row r="165">
      <c r="B165" s="24" t="str">
        <f>IF(Products!$A35="","",Products!$A35&amp;"")</f>
        <v/>
      </c>
      <c r="C165" s="24" t="str">
        <f>IF(Products!$A35="","",Products!$B35&amp;"")</f>
        <v/>
      </c>
      <c r="D165" s="26" t="str">
        <f>IF(Products!$A35="","",Products!$H35)</f>
        <v/>
      </c>
      <c r="E165" s="26" t="str">
        <f>IF(Products!$A35="","",Products!$O35)</f>
        <v/>
      </c>
      <c r="F165" s="26" t="str">
        <f>IF(Products!$A35="","",Products!$P35)</f>
        <v/>
      </c>
      <c r="G165" s="25" t="str">
        <f>IF(Products!$A35="","",Products!$Q35)</f>
        <v/>
      </c>
      <c r="H165" s="25" t="str">
        <f>IF(Products!$A35="","",Products!$R35)</f>
        <v/>
      </c>
      <c r="I165" s="26" t="str">
        <f>IF(Products!$A35="","",Products!$S35)</f>
        <v/>
      </c>
      <c r="J165" s="26" t="str">
        <f>IF(Products!$A35="","",Products!$T35)</f>
        <v/>
      </c>
      <c r="K165" s="25" t="str">
        <f>IF(Products!$A35="","",Products!$U35)</f>
        <v/>
      </c>
      <c r="L165" s="26" t="str">
        <f>IF(Products!$A35="","",Products!$I35)</f>
        <v/>
      </c>
      <c r="M165" s="26" t="str">
        <f>IF(Products!$A35="","",Products!$J35)</f>
        <v/>
      </c>
      <c r="N165" s="26" t="str">
        <f>IF(Products!$A35="","",Products!$V35)</f>
        <v/>
      </c>
      <c r="O165" s="24" t="str">
        <f>IF(Products!$A35="","",Products!$Z35&amp;"")</f>
        <v/>
      </c>
    </row>
    <row r="166">
      <c r="B166" s="24" t="str">
        <f>IF(Products!$A36="","",Products!$A36&amp;"")</f>
        <v/>
      </c>
      <c r="C166" s="24" t="str">
        <f>IF(Products!$A36="","",Products!$B36&amp;"")</f>
        <v/>
      </c>
      <c r="D166" s="26" t="str">
        <f>IF(Products!$A36="","",Products!$H36)</f>
        <v/>
      </c>
      <c r="E166" s="26" t="str">
        <f>IF(Products!$A36="","",Products!$O36)</f>
        <v/>
      </c>
      <c r="F166" s="26" t="str">
        <f>IF(Products!$A36="","",Products!$P36)</f>
        <v/>
      </c>
      <c r="G166" s="25" t="str">
        <f>IF(Products!$A36="","",Products!$Q36)</f>
        <v/>
      </c>
      <c r="H166" s="25" t="str">
        <f>IF(Products!$A36="","",Products!$R36)</f>
        <v/>
      </c>
      <c r="I166" s="26" t="str">
        <f>IF(Products!$A36="","",Products!$S36)</f>
        <v/>
      </c>
      <c r="J166" s="26" t="str">
        <f>IF(Products!$A36="","",Products!$T36)</f>
        <v/>
      </c>
      <c r="K166" s="25" t="str">
        <f>IF(Products!$A36="","",Products!$U36)</f>
        <v/>
      </c>
      <c r="L166" s="26" t="str">
        <f>IF(Products!$A36="","",Products!$I36)</f>
        <v/>
      </c>
      <c r="M166" s="26" t="str">
        <f>IF(Products!$A36="","",Products!$J36)</f>
        <v/>
      </c>
      <c r="N166" s="26" t="str">
        <f>IF(Products!$A36="","",Products!$V36)</f>
        <v/>
      </c>
      <c r="O166" s="24" t="str">
        <f>IF(Products!$A36="","",Products!$Z36&amp;"")</f>
        <v/>
      </c>
    </row>
    <row r="167">
      <c r="B167" s="24" t="str">
        <f>IF(Products!$A37="","",Products!$A37&amp;"")</f>
        <v/>
      </c>
      <c r="C167" s="24" t="str">
        <f>IF(Products!$A37="","",Products!$B37&amp;"")</f>
        <v/>
      </c>
      <c r="D167" s="26" t="str">
        <f>IF(Products!$A37="","",Products!$H37)</f>
        <v/>
      </c>
      <c r="E167" s="26" t="str">
        <f>IF(Products!$A37="","",Products!$O37)</f>
        <v/>
      </c>
      <c r="F167" s="26" t="str">
        <f>IF(Products!$A37="","",Products!$P37)</f>
        <v/>
      </c>
      <c r="G167" s="25" t="str">
        <f>IF(Products!$A37="","",Products!$Q37)</f>
        <v/>
      </c>
      <c r="H167" s="25" t="str">
        <f>IF(Products!$A37="","",Products!$R37)</f>
        <v/>
      </c>
      <c r="I167" s="26" t="str">
        <f>IF(Products!$A37="","",Products!$S37)</f>
        <v/>
      </c>
      <c r="J167" s="26" t="str">
        <f>IF(Products!$A37="","",Products!$T37)</f>
        <v/>
      </c>
      <c r="K167" s="25" t="str">
        <f>IF(Products!$A37="","",Products!$U37)</f>
        <v/>
      </c>
      <c r="L167" s="26" t="str">
        <f>IF(Products!$A37="","",Products!$I37)</f>
        <v/>
      </c>
      <c r="M167" s="26" t="str">
        <f>IF(Products!$A37="","",Products!$J37)</f>
        <v/>
      </c>
      <c r="N167" s="26" t="str">
        <f>IF(Products!$A37="","",Products!$V37)</f>
        <v/>
      </c>
      <c r="O167" s="24" t="str">
        <f>IF(Products!$A37="","",Products!$Z37&amp;"")</f>
        <v/>
      </c>
    </row>
    <row r="168">
      <c r="B168" s="24" t="str">
        <f>IF(Products!$A38="","",Products!$A38&amp;"")</f>
        <v/>
      </c>
      <c r="C168" s="24" t="str">
        <f>IF(Products!$A38="","",Products!$B38&amp;"")</f>
        <v/>
      </c>
      <c r="D168" s="26" t="str">
        <f>IF(Products!$A38="","",Products!$H38)</f>
        <v/>
      </c>
      <c r="E168" s="26" t="str">
        <f>IF(Products!$A38="","",Products!$O38)</f>
        <v/>
      </c>
      <c r="F168" s="26" t="str">
        <f>IF(Products!$A38="","",Products!$P38)</f>
        <v/>
      </c>
      <c r="G168" s="25" t="str">
        <f>IF(Products!$A38="","",Products!$Q38)</f>
        <v/>
      </c>
      <c r="H168" s="25" t="str">
        <f>IF(Products!$A38="","",Products!$R38)</f>
        <v/>
      </c>
      <c r="I168" s="26" t="str">
        <f>IF(Products!$A38="","",Products!$S38)</f>
        <v/>
      </c>
      <c r="J168" s="26" t="str">
        <f>IF(Products!$A38="","",Products!$T38)</f>
        <v/>
      </c>
      <c r="K168" s="25" t="str">
        <f>IF(Products!$A38="","",Products!$U38)</f>
        <v/>
      </c>
      <c r="L168" s="26" t="str">
        <f>IF(Products!$A38="","",Products!$I38)</f>
        <v/>
      </c>
      <c r="M168" s="26" t="str">
        <f>IF(Products!$A38="","",Products!$J38)</f>
        <v/>
      </c>
      <c r="N168" s="26" t="str">
        <f>IF(Products!$A38="","",Products!$V38)</f>
        <v/>
      </c>
      <c r="O168" s="24" t="str">
        <f>IF(Products!$A38="","",Products!$Z38&amp;"")</f>
        <v/>
      </c>
    </row>
    <row r="169">
      <c r="B169" s="24" t="str">
        <f>IF(Products!$A39="","",Products!$A39&amp;"")</f>
        <v/>
      </c>
      <c r="C169" s="24" t="str">
        <f>IF(Products!$A39="","",Products!$B39&amp;"")</f>
        <v/>
      </c>
      <c r="D169" s="26" t="str">
        <f>IF(Products!$A39="","",Products!$H39)</f>
        <v/>
      </c>
      <c r="E169" s="26" t="str">
        <f>IF(Products!$A39="","",Products!$O39)</f>
        <v/>
      </c>
      <c r="F169" s="26" t="str">
        <f>IF(Products!$A39="","",Products!$P39)</f>
        <v/>
      </c>
      <c r="G169" s="25" t="str">
        <f>IF(Products!$A39="","",Products!$Q39)</f>
        <v/>
      </c>
      <c r="H169" s="25" t="str">
        <f>IF(Products!$A39="","",Products!$R39)</f>
        <v/>
      </c>
      <c r="I169" s="26" t="str">
        <f>IF(Products!$A39="","",Products!$S39)</f>
        <v/>
      </c>
      <c r="J169" s="26" t="str">
        <f>IF(Products!$A39="","",Products!$T39)</f>
        <v/>
      </c>
      <c r="K169" s="25" t="str">
        <f>IF(Products!$A39="","",Products!$U39)</f>
        <v/>
      </c>
      <c r="L169" s="26" t="str">
        <f>IF(Products!$A39="","",Products!$I39)</f>
        <v/>
      </c>
      <c r="M169" s="26" t="str">
        <f>IF(Products!$A39="","",Products!$J39)</f>
        <v/>
      </c>
      <c r="N169" s="26" t="str">
        <f>IF(Products!$A39="","",Products!$V39)</f>
        <v/>
      </c>
      <c r="O169" s="24" t="str">
        <f>IF(Products!$A39="","",Products!$Z39&amp;"")</f>
        <v/>
      </c>
    </row>
    <row r="170">
      <c r="B170" s="24" t="str">
        <f>IF(Products!$A40="","",Products!$A40&amp;"")</f>
        <v/>
      </c>
      <c r="C170" s="24" t="str">
        <f>IF(Products!$A40="","",Products!$B40&amp;"")</f>
        <v/>
      </c>
      <c r="D170" s="26" t="str">
        <f>IF(Products!$A40="","",Products!$H40)</f>
        <v/>
      </c>
      <c r="E170" s="26" t="str">
        <f>IF(Products!$A40="","",Products!$O40)</f>
        <v/>
      </c>
      <c r="F170" s="26" t="str">
        <f>IF(Products!$A40="","",Products!$P40)</f>
        <v/>
      </c>
      <c r="G170" s="25" t="str">
        <f>IF(Products!$A40="","",Products!$Q40)</f>
        <v/>
      </c>
      <c r="H170" s="25" t="str">
        <f>IF(Products!$A40="","",Products!$R40)</f>
        <v/>
      </c>
      <c r="I170" s="26" t="str">
        <f>IF(Products!$A40="","",Products!$S40)</f>
        <v/>
      </c>
      <c r="J170" s="26" t="str">
        <f>IF(Products!$A40="","",Products!$T40)</f>
        <v/>
      </c>
      <c r="K170" s="25" t="str">
        <f>IF(Products!$A40="","",Products!$U40)</f>
        <v/>
      </c>
      <c r="L170" s="26" t="str">
        <f>IF(Products!$A40="","",Products!$I40)</f>
        <v/>
      </c>
      <c r="M170" s="26" t="str">
        <f>IF(Products!$A40="","",Products!$J40)</f>
        <v/>
      </c>
      <c r="N170" s="26" t="str">
        <f>IF(Products!$A40="","",Products!$V40)</f>
        <v/>
      </c>
      <c r="O170" s="24" t="str">
        <f>IF(Products!$A40="","",Products!$Z40&amp;"")</f>
        <v/>
      </c>
    </row>
    <row r="171">
      <c r="B171" s="24" t="str">
        <f>IF(Products!$A41="","",Products!$A41&amp;"")</f>
        <v/>
      </c>
      <c r="C171" s="24" t="str">
        <f>IF(Products!$A41="","",Products!$B41&amp;"")</f>
        <v/>
      </c>
      <c r="D171" s="26" t="str">
        <f>IF(Products!$A41="","",Products!$H41)</f>
        <v/>
      </c>
      <c r="E171" s="26" t="str">
        <f>IF(Products!$A41="","",Products!$O41)</f>
        <v/>
      </c>
      <c r="F171" s="26" t="str">
        <f>IF(Products!$A41="","",Products!$P41)</f>
        <v/>
      </c>
      <c r="G171" s="25" t="str">
        <f>IF(Products!$A41="","",Products!$Q41)</f>
        <v/>
      </c>
      <c r="H171" s="25" t="str">
        <f>IF(Products!$A41="","",Products!$R41)</f>
        <v/>
      </c>
      <c r="I171" s="26" t="str">
        <f>IF(Products!$A41="","",Products!$S41)</f>
        <v/>
      </c>
      <c r="J171" s="26" t="str">
        <f>IF(Products!$A41="","",Products!$T41)</f>
        <v/>
      </c>
      <c r="K171" s="25" t="str">
        <f>IF(Products!$A41="","",Products!$U41)</f>
        <v/>
      </c>
      <c r="L171" s="26" t="str">
        <f>IF(Products!$A41="","",Products!$I41)</f>
        <v/>
      </c>
      <c r="M171" s="26" t="str">
        <f>IF(Products!$A41="","",Products!$J41)</f>
        <v/>
      </c>
      <c r="N171" s="26" t="str">
        <f>IF(Products!$A41="","",Products!$V41)</f>
        <v/>
      </c>
      <c r="O171" s="24" t="str">
        <f>IF(Products!$A41="","",Products!$Z41&amp;"")</f>
        <v/>
      </c>
    </row>
    <row r="172">
      <c r="B172" s="24" t="str">
        <f>IF(Products!$A42="","",Products!$A42&amp;"")</f>
        <v/>
      </c>
      <c r="C172" s="24" t="str">
        <f>IF(Products!$A42="","",Products!$B42&amp;"")</f>
        <v/>
      </c>
      <c r="D172" s="26" t="str">
        <f>IF(Products!$A42="","",Products!$H42)</f>
        <v/>
      </c>
      <c r="E172" s="26" t="str">
        <f>IF(Products!$A42="","",Products!$O42)</f>
        <v/>
      </c>
      <c r="F172" s="26" t="str">
        <f>IF(Products!$A42="","",Products!$P42)</f>
        <v/>
      </c>
      <c r="G172" s="25" t="str">
        <f>IF(Products!$A42="","",Products!$Q42)</f>
        <v/>
      </c>
      <c r="H172" s="25" t="str">
        <f>IF(Products!$A42="","",Products!$R42)</f>
        <v/>
      </c>
      <c r="I172" s="26" t="str">
        <f>IF(Products!$A42="","",Products!$S42)</f>
        <v/>
      </c>
      <c r="J172" s="26" t="str">
        <f>IF(Products!$A42="","",Products!$T42)</f>
        <v/>
      </c>
      <c r="K172" s="25" t="str">
        <f>IF(Products!$A42="","",Products!$U42)</f>
        <v/>
      </c>
      <c r="L172" s="26" t="str">
        <f>IF(Products!$A42="","",Products!$I42)</f>
        <v/>
      </c>
      <c r="M172" s="26" t="str">
        <f>IF(Products!$A42="","",Products!$J42)</f>
        <v/>
      </c>
      <c r="N172" s="26" t="str">
        <f>IF(Products!$A42="","",Products!$V42)</f>
        <v/>
      </c>
      <c r="O172" s="24" t="str">
        <f>IF(Products!$A42="","",Products!$Z42&amp;"")</f>
        <v/>
      </c>
    </row>
    <row r="173">
      <c r="B173" s="24" t="str">
        <f>IF(Products!$A43="","",Products!$A43&amp;"")</f>
        <v/>
      </c>
      <c r="C173" s="24" t="str">
        <f>IF(Products!$A43="","",Products!$B43&amp;"")</f>
        <v/>
      </c>
      <c r="D173" s="26" t="str">
        <f>IF(Products!$A43="","",Products!$H43)</f>
        <v/>
      </c>
      <c r="E173" s="26" t="str">
        <f>IF(Products!$A43="","",Products!$O43)</f>
        <v/>
      </c>
      <c r="F173" s="26" t="str">
        <f>IF(Products!$A43="","",Products!$P43)</f>
        <v/>
      </c>
      <c r="G173" s="25" t="str">
        <f>IF(Products!$A43="","",Products!$Q43)</f>
        <v/>
      </c>
      <c r="H173" s="25" t="str">
        <f>IF(Products!$A43="","",Products!$R43)</f>
        <v/>
      </c>
      <c r="I173" s="26" t="str">
        <f>IF(Products!$A43="","",Products!$S43)</f>
        <v/>
      </c>
      <c r="J173" s="26" t="str">
        <f>IF(Products!$A43="","",Products!$T43)</f>
        <v/>
      </c>
      <c r="K173" s="25" t="str">
        <f>IF(Products!$A43="","",Products!$U43)</f>
        <v/>
      </c>
      <c r="L173" s="26" t="str">
        <f>IF(Products!$A43="","",Products!$I43)</f>
        <v/>
      </c>
      <c r="M173" s="26" t="str">
        <f>IF(Products!$A43="","",Products!$J43)</f>
        <v/>
      </c>
      <c r="N173" s="26" t="str">
        <f>IF(Products!$A43="","",Products!$V43)</f>
        <v/>
      </c>
      <c r="O173" s="24" t="str">
        <f>IF(Products!$A43="","",Products!$Z43&amp;"")</f>
        <v/>
      </c>
    </row>
    <row r="174">
      <c r="B174" s="24" t="str">
        <f>IF(Products!$A44="","",Products!$A44&amp;"")</f>
        <v/>
      </c>
      <c r="C174" s="24" t="str">
        <f>IF(Products!$A44="","",Products!$B44&amp;"")</f>
        <v/>
      </c>
      <c r="D174" s="26" t="str">
        <f>IF(Products!$A44="","",Products!$H44)</f>
        <v/>
      </c>
      <c r="E174" s="26" t="str">
        <f>IF(Products!$A44="","",Products!$O44)</f>
        <v/>
      </c>
      <c r="F174" s="26" t="str">
        <f>IF(Products!$A44="","",Products!$P44)</f>
        <v/>
      </c>
      <c r="G174" s="25" t="str">
        <f>IF(Products!$A44="","",Products!$Q44)</f>
        <v/>
      </c>
      <c r="H174" s="25" t="str">
        <f>IF(Products!$A44="","",Products!$R44)</f>
        <v/>
      </c>
      <c r="I174" s="26" t="str">
        <f>IF(Products!$A44="","",Products!$S44)</f>
        <v/>
      </c>
      <c r="J174" s="26" t="str">
        <f>IF(Products!$A44="","",Products!$T44)</f>
        <v/>
      </c>
      <c r="K174" s="25" t="str">
        <f>IF(Products!$A44="","",Products!$U44)</f>
        <v/>
      </c>
      <c r="L174" s="26" t="str">
        <f>IF(Products!$A44="","",Products!$I44)</f>
        <v/>
      </c>
      <c r="M174" s="26" t="str">
        <f>IF(Products!$A44="","",Products!$J44)</f>
        <v/>
      </c>
      <c r="N174" s="26" t="str">
        <f>IF(Products!$A44="","",Products!$V44)</f>
        <v/>
      </c>
      <c r="O174" s="24" t="str">
        <f>IF(Products!$A44="","",Products!$Z44&amp;"")</f>
        <v/>
      </c>
    </row>
    <row r="175">
      <c r="B175" s="24" t="str">
        <f>IF(Products!$A45="","",Products!$A45&amp;"")</f>
        <v/>
      </c>
      <c r="C175" s="24" t="str">
        <f>IF(Products!$A45="","",Products!$B45&amp;"")</f>
        <v/>
      </c>
      <c r="D175" s="26" t="str">
        <f>IF(Products!$A45="","",Products!$H45)</f>
        <v/>
      </c>
      <c r="E175" s="26" t="str">
        <f>IF(Products!$A45="","",Products!$O45)</f>
        <v/>
      </c>
      <c r="F175" s="26" t="str">
        <f>IF(Products!$A45="","",Products!$P45)</f>
        <v/>
      </c>
      <c r="G175" s="25" t="str">
        <f>IF(Products!$A45="","",Products!$Q45)</f>
        <v/>
      </c>
      <c r="H175" s="25" t="str">
        <f>IF(Products!$A45="","",Products!$R45)</f>
        <v/>
      </c>
      <c r="I175" s="26" t="str">
        <f>IF(Products!$A45="","",Products!$S45)</f>
        <v/>
      </c>
      <c r="J175" s="26" t="str">
        <f>IF(Products!$A45="","",Products!$T45)</f>
        <v/>
      </c>
      <c r="K175" s="25" t="str">
        <f>IF(Products!$A45="","",Products!$U45)</f>
        <v/>
      </c>
      <c r="L175" s="26" t="str">
        <f>IF(Products!$A45="","",Products!$I45)</f>
        <v/>
      </c>
      <c r="M175" s="26" t="str">
        <f>IF(Products!$A45="","",Products!$J45)</f>
        <v/>
      </c>
      <c r="N175" s="26" t="str">
        <f>IF(Products!$A45="","",Products!$V45)</f>
        <v/>
      </c>
      <c r="O175" s="24" t="str">
        <f>IF(Products!$A45="","",Products!$Z45&amp;"")</f>
        <v/>
      </c>
    </row>
    <row r="176">
      <c r="B176" s="24" t="str">
        <f>IF(Products!$A46="","",Products!$A46&amp;"")</f>
        <v/>
      </c>
      <c r="C176" s="24" t="str">
        <f>IF(Products!$A46="","",Products!$B46&amp;"")</f>
        <v/>
      </c>
      <c r="D176" s="26" t="str">
        <f>IF(Products!$A46="","",Products!$H46)</f>
        <v/>
      </c>
      <c r="E176" s="26" t="str">
        <f>IF(Products!$A46="","",Products!$O46)</f>
        <v/>
      </c>
      <c r="F176" s="26" t="str">
        <f>IF(Products!$A46="","",Products!$P46)</f>
        <v/>
      </c>
      <c r="G176" s="25" t="str">
        <f>IF(Products!$A46="","",Products!$Q46)</f>
        <v/>
      </c>
      <c r="H176" s="25" t="str">
        <f>IF(Products!$A46="","",Products!$R46)</f>
        <v/>
      </c>
      <c r="I176" s="26" t="str">
        <f>IF(Products!$A46="","",Products!$S46)</f>
        <v/>
      </c>
      <c r="J176" s="26" t="str">
        <f>IF(Products!$A46="","",Products!$T46)</f>
        <v/>
      </c>
      <c r="K176" s="25" t="str">
        <f>IF(Products!$A46="","",Products!$U46)</f>
        <v/>
      </c>
      <c r="L176" s="26" t="str">
        <f>IF(Products!$A46="","",Products!$I46)</f>
        <v/>
      </c>
      <c r="M176" s="26" t="str">
        <f>IF(Products!$A46="","",Products!$J46)</f>
        <v/>
      </c>
      <c r="N176" s="26" t="str">
        <f>IF(Products!$A46="","",Products!$V46)</f>
        <v/>
      </c>
      <c r="O176" s="24" t="str">
        <f>IF(Products!$A46="","",Products!$Z46&amp;"")</f>
        <v/>
      </c>
    </row>
    <row r="177">
      <c r="B177" s="24" t="str">
        <f>IF(Products!$A47="","",Products!$A47&amp;"")</f>
        <v/>
      </c>
      <c r="C177" s="24" t="str">
        <f>IF(Products!$A47="","",Products!$B47&amp;"")</f>
        <v/>
      </c>
      <c r="D177" s="26" t="str">
        <f>IF(Products!$A47="","",Products!$H47)</f>
        <v/>
      </c>
      <c r="E177" s="26" t="str">
        <f>IF(Products!$A47="","",Products!$O47)</f>
        <v/>
      </c>
      <c r="F177" s="26" t="str">
        <f>IF(Products!$A47="","",Products!$P47)</f>
        <v/>
      </c>
      <c r="G177" s="25" t="str">
        <f>IF(Products!$A47="","",Products!$Q47)</f>
        <v/>
      </c>
      <c r="H177" s="25" t="str">
        <f>IF(Products!$A47="","",Products!$R47)</f>
        <v/>
      </c>
      <c r="I177" s="26" t="str">
        <f>IF(Products!$A47="","",Products!$S47)</f>
        <v/>
      </c>
      <c r="J177" s="26" t="str">
        <f>IF(Products!$A47="","",Products!$T47)</f>
        <v/>
      </c>
      <c r="K177" s="25" t="str">
        <f>IF(Products!$A47="","",Products!$U47)</f>
        <v/>
      </c>
      <c r="L177" s="26" t="str">
        <f>IF(Products!$A47="","",Products!$I47)</f>
        <v/>
      </c>
      <c r="M177" s="26" t="str">
        <f>IF(Products!$A47="","",Products!$J47)</f>
        <v/>
      </c>
      <c r="N177" s="26" t="str">
        <f>IF(Products!$A47="","",Products!$V47)</f>
        <v/>
      </c>
      <c r="O177" s="24" t="str">
        <f>IF(Products!$A47="","",Products!$Z47&amp;"")</f>
        <v/>
      </c>
    </row>
    <row r="178">
      <c r="B178" s="24" t="str">
        <f>IF(Products!$A48="","",Products!$A48&amp;"")</f>
        <v/>
      </c>
      <c r="C178" s="24" t="str">
        <f>IF(Products!$A48="","",Products!$B48&amp;"")</f>
        <v/>
      </c>
      <c r="D178" s="26" t="str">
        <f>IF(Products!$A48="","",Products!$H48)</f>
        <v/>
      </c>
      <c r="E178" s="26" t="str">
        <f>IF(Products!$A48="","",Products!$O48)</f>
        <v/>
      </c>
      <c r="F178" s="26" t="str">
        <f>IF(Products!$A48="","",Products!$P48)</f>
        <v/>
      </c>
      <c r="G178" s="25" t="str">
        <f>IF(Products!$A48="","",Products!$Q48)</f>
        <v/>
      </c>
      <c r="H178" s="25" t="str">
        <f>IF(Products!$A48="","",Products!$R48)</f>
        <v/>
      </c>
      <c r="I178" s="26" t="str">
        <f>IF(Products!$A48="","",Products!$S48)</f>
        <v/>
      </c>
      <c r="J178" s="26" t="str">
        <f>IF(Products!$A48="","",Products!$T48)</f>
        <v/>
      </c>
      <c r="K178" s="25" t="str">
        <f>IF(Products!$A48="","",Products!$U48)</f>
        <v/>
      </c>
      <c r="L178" s="26" t="str">
        <f>IF(Products!$A48="","",Products!$I48)</f>
        <v/>
      </c>
      <c r="M178" s="26" t="str">
        <f>IF(Products!$A48="","",Products!$J48)</f>
        <v/>
      </c>
      <c r="N178" s="26" t="str">
        <f>IF(Products!$A48="","",Products!$V48)</f>
        <v/>
      </c>
      <c r="O178" s="24" t="str">
        <f>IF(Products!$A48="","",Products!$Z48&amp;"")</f>
        <v/>
      </c>
    </row>
    <row r="179">
      <c r="B179" s="24" t="str">
        <f>IF(Products!$A49="","",Products!$A49&amp;"")</f>
        <v/>
      </c>
      <c r="C179" s="24" t="str">
        <f>IF(Products!$A49="","",Products!$B49&amp;"")</f>
        <v/>
      </c>
      <c r="D179" s="26" t="str">
        <f>IF(Products!$A49="","",Products!$H49)</f>
        <v/>
      </c>
      <c r="E179" s="26" t="str">
        <f>IF(Products!$A49="","",Products!$O49)</f>
        <v/>
      </c>
      <c r="F179" s="26" t="str">
        <f>IF(Products!$A49="","",Products!$P49)</f>
        <v/>
      </c>
      <c r="G179" s="25" t="str">
        <f>IF(Products!$A49="","",Products!$Q49)</f>
        <v/>
      </c>
      <c r="H179" s="25" t="str">
        <f>IF(Products!$A49="","",Products!$R49)</f>
        <v/>
      </c>
      <c r="I179" s="26" t="str">
        <f>IF(Products!$A49="","",Products!$S49)</f>
        <v/>
      </c>
      <c r="J179" s="26" t="str">
        <f>IF(Products!$A49="","",Products!$T49)</f>
        <v/>
      </c>
      <c r="K179" s="25" t="str">
        <f>IF(Products!$A49="","",Products!$U49)</f>
        <v/>
      </c>
      <c r="L179" s="26" t="str">
        <f>IF(Products!$A49="","",Products!$I49)</f>
        <v/>
      </c>
      <c r="M179" s="26" t="str">
        <f>IF(Products!$A49="","",Products!$J49)</f>
        <v/>
      </c>
      <c r="N179" s="26" t="str">
        <f>IF(Products!$A49="","",Products!$V49)</f>
        <v/>
      </c>
      <c r="O179" s="24" t="str">
        <f>IF(Products!$A49="","",Products!$Z49&amp;"")</f>
        <v/>
      </c>
    </row>
    <row r="180">
      <c r="B180" s="24" t="str">
        <f>IF(Products!$A50="","",Products!$A50&amp;"")</f>
        <v/>
      </c>
      <c r="C180" s="24" t="str">
        <f>IF(Products!$A50="","",Products!$B50&amp;"")</f>
        <v/>
      </c>
      <c r="D180" s="26" t="str">
        <f>IF(Products!$A50="","",Products!$H50)</f>
        <v/>
      </c>
      <c r="E180" s="26" t="str">
        <f>IF(Products!$A50="","",Products!$O50)</f>
        <v/>
      </c>
      <c r="F180" s="26" t="str">
        <f>IF(Products!$A50="","",Products!$P50)</f>
        <v/>
      </c>
      <c r="G180" s="25" t="str">
        <f>IF(Products!$A50="","",Products!$Q50)</f>
        <v/>
      </c>
      <c r="H180" s="25" t="str">
        <f>IF(Products!$A50="","",Products!$R50)</f>
        <v/>
      </c>
      <c r="I180" s="26" t="str">
        <f>IF(Products!$A50="","",Products!$S50)</f>
        <v/>
      </c>
      <c r="J180" s="26" t="str">
        <f>IF(Products!$A50="","",Products!$T50)</f>
        <v/>
      </c>
      <c r="K180" s="25" t="str">
        <f>IF(Products!$A50="","",Products!$U50)</f>
        <v/>
      </c>
      <c r="L180" s="26" t="str">
        <f>IF(Products!$A50="","",Products!$I50)</f>
        <v/>
      </c>
      <c r="M180" s="26" t="str">
        <f>IF(Products!$A50="","",Products!$J50)</f>
        <v/>
      </c>
      <c r="N180" s="26" t="str">
        <f>IF(Products!$A50="","",Products!$V50)</f>
        <v/>
      </c>
      <c r="O180" s="24" t="str">
        <f>IF(Products!$A50="","",Products!$Z50&amp;"")</f>
        <v/>
      </c>
    </row>
    <row r="181">
      <c r="B181" s="24" t="str">
        <f>IF(Products!$A51="","",Products!$A51&amp;"")</f>
        <v/>
      </c>
      <c r="C181" s="24" t="str">
        <f>IF(Products!$A51="","",Products!$B51&amp;"")</f>
        <v/>
      </c>
      <c r="D181" s="26" t="str">
        <f>IF(Products!$A51="","",Products!$H51)</f>
        <v/>
      </c>
      <c r="E181" s="26" t="str">
        <f>IF(Products!$A51="","",Products!$O51)</f>
        <v/>
      </c>
      <c r="F181" s="26" t="str">
        <f>IF(Products!$A51="","",Products!$P51)</f>
        <v/>
      </c>
      <c r="G181" s="25" t="str">
        <f>IF(Products!$A51="","",Products!$Q51)</f>
        <v/>
      </c>
      <c r="H181" s="25" t="str">
        <f>IF(Products!$A51="","",Products!$R51)</f>
        <v/>
      </c>
      <c r="I181" s="26" t="str">
        <f>IF(Products!$A51="","",Products!$S51)</f>
        <v/>
      </c>
      <c r="J181" s="26" t="str">
        <f>IF(Products!$A51="","",Products!$T51)</f>
        <v/>
      </c>
      <c r="K181" s="25" t="str">
        <f>IF(Products!$A51="","",Products!$U51)</f>
        <v/>
      </c>
      <c r="L181" s="26" t="str">
        <f>IF(Products!$A51="","",Products!$I51)</f>
        <v/>
      </c>
      <c r="M181" s="26" t="str">
        <f>IF(Products!$A51="","",Products!$J51)</f>
        <v/>
      </c>
      <c r="N181" s="26" t="str">
        <f>IF(Products!$A51="","",Products!$V51)</f>
        <v/>
      </c>
      <c r="O181" s="24" t="str">
        <f>IF(Products!$A51="","",Products!$Z51&amp;"")</f>
        <v/>
      </c>
    </row>
    <row r="182">
      <c r="B182" s="24" t="str">
        <f>IF(Products!$A52="","",Products!$A52&amp;"")</f>
        <v/>
      </c>
      <c r="C182" s="24" t="str">
        <f>IF(Products!$A52="","",Products!$B52&amp;"")</f>
        <v/>
      </c>
      <c r="D182" s="26" t="str">
        <f>IF(Products!$A52="","",Products!$H52)</f>
        <v/>
      </c>
      <c r="E182" s="26" t="str">
        <f>IF(Products!$A52="","",Products!$O52)</f>
        <v/>
      </c>
      <c r="F182" s="26" t="str">
        <f>IF(Products!$A52="","",Products!$P52)</f>
        <v/>
      </c>
      <c r="G182" s="25" t="str">
        <f>IF(Products!$A52="","",Products!$Q52)</f>
        <v/>
      </c>
      <c r="H182" s="25" t="str">
        <f>IF(Products!$A52="","",Products!$R52)</f>
        <v/>
      </c>
      <c r="I182" s="26" t="str">
        <f>IF(Products!$A52="","",Products!$S52)</f>
        <v/>
      </c>
      <c r="J182" s="26" t="str">
        <f>IF(Products!$A52="","",Products!$T52)</f>
        <v/>
      </c>
      <c r="K182" s="25" t="str">
        <f>IF(Products!$A52="","",Products!$U52)</f>
        <v/>
      </c>
      <c r="L182" s="26" t="str">
        <f>IF(Products!$A52="","",Products!$I52)</f>
        <v/>
      </c>
      <c r="M182" s="26" t="str">
        <f>IF(Products!$A52="","",Products!$J52)</f>
        <v/>
      </c>
      <c r="N182" s="26" t="str">
        <f>IF(Products!$A52="","",Products!$V52)</f>
        <v/>
      </c>
      <c r="O182" s="24" t="str">
        <f>IF(Products!$A52="","",Products!$Z52&amp;"")</f>
        <v/>
      </c>
    </row>
    <row r="183">
      <c r="B183" s="24" t="str">
        <f>IF(Products!$A53="","",Products!$A53&amp;"")</f>
        <v/>
      </c>
      <c r="C183" s="24" t="str">
        <f>IF(Products!$A53="","",Products!$B53&amp;"")</f>
        <v/>
      </c>
      <c r="D183" s="26" t="str">
        <f>IF(Products!$A53="","",Products!$H53)</f>
        <v/>
      </c>
      <c r="E183" s="26" t="str">
        <f>IF(Products!$A53="","",Products!$O53)</f>
        <v/>
      </c>
      <c r="F183" s="26" t="str">
        <f>IF(Products!$A53="","",Products!$P53)</f>
        <v/>
      </c>
      <c r="G183" s="25" t="str">
        <f>IF(Products!$A53="","",Products!$Q53)</f>
        <v/>
      </c>
      <c r="H183" s="25" t="str">
        <f>IF(Products!$A53="","",Products!$R53)</f>
        <v/>
      </c>
      <c r="I183" s="26" t="str">
        <f>IF(Products!$A53="","",Products!$S53)</f>
        <v/>
      </c>
      <c r="J183" s="26" t="str">
        <f>IF(Products!$A53="","",Products!$T53)</f>
        <v/>
      </c>
      <c r="K183" s="25" t="str">
        <f>IF(Products!$A53="","",Products!$U53)</f>
        <v/>
      </c>
      <c r="L183" s="26" t="str">
        <f>IF(Products!$A53="","",Products!$I53)</f>
        <v/>
      </c>
      <c r="M183" s="26" t="str">
        <f>IF(Products!$A53="","",Products!$J53)</f>
        <v/>
      </c>
      <c r="N183" s="26" t="str">
        <f>IF(Products!$A53="","",Products!$V53)</f>
        <v/>
      </c>
      <c r="O183" s="24" t="str">
        <f>IF(Products!$A53="","",Products!$Z53&amp;"")</f>
        <v/>
      </c>
    </row>
    <row r="184">
      <c r="B184" s="24" t="str">
        <f>IF(Products!$A54="","",Products!$A54&amp;"")</f>
        <v/>
      </c>
      <c r="C184" s="24" t="str">
        <f>IF(Products!$A54="","",Products!$B54&amp;"")</f>
        <v/>
      </c>
      <c r="D184" s="26" t="str">
        <f>IF(Products!$A54="","",Products!$H54)</f>
        <v/>
      </c>
      <c r="E184" s="26" t="str">
        <f>IF(Products!$A54="","",Products!$O54)</f>
        <v/>
      </c>
      <c r="F184" s="26" t="str">
        <f>IF(Products!$A54="","",Products!$P54)</f>
        <v/>
      </c>
      <c r="G184" s="25" t="str">
        <f>IF(Products!$A54="","",Products!$Q54)</f>
        <v/>
      </c>
      <c r="H184" s="25" t="str">
        <f>IF(Products!$A54="","",Products!$R54)</f>
        <v/>
      </c>
      <c r="I184" s="26" t="str">
        <f>IF(Products!$A54="","",Products!$S54)</f>
        <v/>
      </c>
      <c r="J184" s="26" t="str">
        <f>IF(Products!$A54="","",Products!$T54)</f>
        <v/>
      </c>
      <c r="K184" s="25" t="str">
        <f>IF(Products!$A54="","",Products!$U54)</f>
        <v/>
      </c>
      <c r="L184" s="26" t="str">
        <f>IF(Products!$A54="","",Products!$I54)</f>
        <v/>
      </c>
      <c r="M184" s="26" t="str">
        <f>IF(Products!$A54="","",Products!$J54)</f>
        <v/>
      </c>
      <c r="N184" s="26" t="str">
        <f>IF(Products!$A54="","",Products!$V54)</f>
        <v/>
      </c>
      <c r="O184" s="24" t="str">
        <f>IF(Products!$A54="","",Products!$Z54&amp;"")</f>
        <v/>
      </c>
    </row>
    <row r="185">
      <c r="B185" s="24" t="str">
        <f>IF(Products!$A55="","",Products!$A55&amp;"")</f>
        <v/>
      </c>
      <c r="C185" s="24" t="str">
        <f>IF(Products!$A55="","",Products!$B55&amp;"")</f>
        <v/>
      </c>
      <c r="D185" s="26" t="str">
        <f>IF(Products!$A55="","",Products!$H55)</f>
        <v/>
      </c>
      <c r="E185" s="26" t="str">
        <f>IF(Products!$A55="","",Products!$O55)</f>
        <v/>
      </c>
      <c r="F185" s="26" t="str">
        <f>IF(Products!$A55="","",Products!$P55)</f>
        <v/>
      </c>
      <c r="G185" s="25" t="str">
        <f>IF(Products!$A55="","",Products!$Q55)</f>
        <v/>
      </c>
      <c r="H185" s="25" t="str">
        <f>IF(Products!$A55="","",Products!$R55)</f>
        <v/>
      </c>
      <c r="I185" s="26" t="str">
        <f>IF(Products!$A55="","",Products!$S55)</f>
        <v/>
      </c>
      <c r="J185" s="26" t="str">
        <f>IF(Products!$A55="","",Products!$T55)</f>
        <v/>
      </c>
      <c r="K185" s="25" t="str">
        <f>IF(Products!$A55="","",Products!$U55)</f>
        <v/>
      </c>
      <c r="L185" s="26" t="str">
        <f>IF(Products!$A55="","",Products!$I55)</f>
        <v/>
      </c>
      <c r="M185" s="26" t="str">
        <f>IF(Products!$A55="","",Products!$J55)</f>
        <v/>
      </c>
      <c r="N185" s="26" t="str">
        <f>IF(Products!$A55="","",Products!$V55)</f>
        <v/>
      </c>
      <c r="O185" s="24" t="str">
        <f>IF(Products!$A55="","",Products!$Z55&amp;"")</f>
        <v/>
      </c>
    </row>
    <row r="186">
      <c r="B186" s="24" t="str">
        <f>IF(Products!$A56="","",Products!$A56&amp;"")</f>
        <v/>
      </c>
      <c r="C186" s="24" t="str">
        <f>IF(Products!$A56="","",Products!$B56&amp;"")</f>
        <v/>
      </c>
      <c r="D186" s="26" t="str">
        <f>IF(Products!$A56="","",Products!$H56)</f>
        <v/>
      </c>
      <c r="E186" s="26" t="str">
        <f>IF(Products!$A56="","",Products!$O56)</f>
        <v/>
      </c>
      <c r="F186" s="26" t="str">
        <f>IF(Products!$A56="","",Products!$P56)</f>
        <v/>
      </c>
      <c r="G186" s="25" t="str">
        <f>IF(Products!$A56="","",Products!$Q56)</f>
        <v/>
      </c>
      <c r="H186" s="25" t="str">
        <f>IF(Products!$A56="","",Products!$R56)</f>
        <v/>
      </c>
      <c r="I186" s="26" t="str">
        <f>IF(Products!$A56="","",Products!$S56)</f>
        <v/>
      </c>
      <c r="J186" s="26" t="str">
        <f>IF(Products!$A56="","",Products!$T56)</f>
        <v/>
      </c>
      <c r="K186" s="25" t="str">
        <f>IF(Products!$A56="","",Products!$U56)</f>
        <v/>
      </c>
      <c r="L186" s="26" t="str">
        <f>IF(Products!$A56="","",Products!$I56)</f>
        <v/>
      </c>
      <c r="M186" s="26" t="str">
        <f>IF(Products!$A56="","",Products!$J56)</f>
        <v/>
      </c>
      <c r="N186" s="26" t="str">
        <f>IF(Products!$A56="","",Products!$V56)</f>
        <v/>
      </c>
      <c r="O186" s="24" t="str">
        <f>IF(Products!$A56="","",Products!$Z56&amp;"")</f>
        <v/>
      </c>
    </row>
    <row r="187">
      <c r="B187" s="24" t="str">
        <f>IF(Products!$A57="","",Products!$A57&amp;"")</f>
        <v/>
      </c>
      <c r="C187" s="24" t="str">
        <f>IF(Products!$A57="","",Products!$B57&amp;"")</f>
        <v/>
      </c>
      <c r="D187" s="26" t="str">
        <f>IF(Products!$A57="","",Products!$H57)</f>
        <v/>
      </c>
      <c r="E187" s="26" t="str">
        <f>IF(Products!$A57="","",Products!$O57)</f>
        <v/>
      </c>
      <c r="F187" s="26" t="str">
        <f>IF(Products!$A57="","",Products!$P57)</f>
        <v/>
      </c>
      <c r="G187" s="25" t="str">
        <f>IF(Products!$A57="","",Products!$Q57)</f>
        <v/>
      </c>
      <c r="H187" s="25" t="str">
        <f>IF(Products!$A57="","",Products!$R57)</f>
        <v/>
      </c>
      <c r="I187" s="26" t="str">
        <f>IF(Products!$A57="","",Products!$S57)</f>
        <v/>
      </c>
      <c r="J187" s="26" t="str">
        <f>IF(Products!$A57="","",Products!$T57)</f>
        <v/>
      </c>
      <c r="K187" s="25" t="str">
        <f>IF(Products!$A57="","",Products!$U57)</f>
        <v/>
      </c>
      <c r="L187" s="26" t="str">
        <f>IF(Products!$A57="","",Products!$I57)</f>
        <v/>
      </c>
      <c r="M187" s="26" t="str">
        <f>IF(Products!$A57="","",Products!$J57)</f>
        <v/>
      </c>
      <c r="N187" s="26" t="str">
        <f>IF(Products!$A57="","",Products!$V57)</f>
        <v/>
      </c>
      <c r="O187" s="24" t="str">
        <f>IF(Products!$A57="","",Products!$Z57&amp;"")</f>
        <v/>
      </c>
    </row>
    <row r="188">
      <c r="B188" s="24" t="str">
        <f>IF(Products!$A58="","",Products!$A58&amp;"")</f>
        <v/>
      </c>
      <c r="C188" s="24" t="str">
        <f>IF(Products!$A58="","",Products!$B58&amp;"")</f>
        <v/>
      </c>
      <c r="D188" s="26" t="str">
        <f>IF(Products!$A58="","",Products!$H58)</f>
        <v/>
      </c>
      <c r="E188" s="26" t="str">
        <f>IF(Products!$A58="","",Products!$O58)</f>
        <v/>
      </c>
      <c r="F188" s="26" t="str">
        <f>IF(Products!$A58="","",Products!$P58)</f>
        <v/>
      </c>
      <c r="G188" s="25" t="str">
        <f>IF(Products!$A58="","",Products!$Q58)</f>
        <v/>
      </c>
      <c r="H188" s="25" t="str">
        <f>IF(Products!$A58="","",Products!$R58)</f>
        <v/>
      </c>
      <c r="I188" s="26" t="str">
        <f>IF(Products!$A58="","",Products!$S58)</f>
        <v/>
      </c>
      <c r="J188" s="26" t="str">
        <f>IF(Products!$A58="","",Products!$T58)</f>
        <v/>
      </c>
      <c r="K188" s="25" t="str">
        <f>IF(Products!$A58="","",Products!$U58)</f>
        <v/>
      </c>
      <c r="L188" s="26" t="str">
        <f>IF(Products!$A58="","",Products!$I58)</f>
        <v/>
      </c>
      <c r="M188" s="26" t="str">
        <f>IF(Products!$A58="","",Products!$J58)</f>
        <v/>
      </c>
      <c r="N188" s="26" t="str">
        <f>IF(Products!$A58="","",Products!$V58)</f>
        <v/>
      </c>
      <c r="O188" s="24" t="str">
        <f>IF(Products!$A58="","",Products!$Z58&amp;"")</f>
        <v/>
      </c>
    </row>
    <row r="189">
      <c r="B189" s="24" t="str">
        <f>IF(Products!$A59="","",Products!$A59&amp;"")</f>
        <v/>
      </c>
      <c r="C189" s="24" t="str">
        <f>IF(Products!$A59="","",Products!$B59&amp;"")</f>
        <v/>
      </c>
      <c r="D189" s="26" t="str">
        <f>IF(Products!$A59="","",Products!$H59)</f>
        <v/>
      </c>
      <c r="E189" s="26" t="str">
        <f>IF(Products!$A59="","",Products!$O59)</f>
        <v/>
      </c>
      <c r="F189" s="26" t="str">
        <f>IF(Products!$A59="","",Products!$P59)</f>
        <v/>
      </c>
      <c r="G189" s="25" t="str">
        <f>IF(Products!$A59="","",Products!$Q59)</f>
        <v/>
      </c>
      <c r="H189" s="25" t="str">
        <f>IF(Products!$A59="","",Products!$R59)</f>
        <v/>
      </c>
      <c r="I189" s="26" t="str">
        <f>IF(Products!$A59="","",Products!$S59)</f>
        <v/>
      </c>
      <c r="J189" s="26" t="str">
        <f>IF(Products!$A59="","",Products!$T59)</f>
        <v/>
      </c>
      <c r="K189" s="25" t="str">
        <f>IF(Products!$A59="","",Products!$U59)</f>
        <v/>
      </c>
      <c r="L189" s="26" t="str">
        <f>IF(Products!$A59="","",Products!$I59)</f>
        <v/>
      </c>
      <c r="M189" s="26" t="str">
        <f>IF(Products!$A59="","",Products!$J59)</f>
        <v/>
      </c>
      <c r="N189" s="26" t="str">
        <f>IF(Products!$A59="","",Products!$V59)</f>
        <v/>
      </c>
      <c r="O189" s="24" t="str">
        <f>IF(Products!$A59="","",Products!$Z59&amp;"")</f>
        <v/>
      </c>
    </row>
    <row r="190">
      <c r="B190" s="24" t="str">
        <f>IF(Products!$A60="","",Products!$A60&amp;"")</f>
        <v/>
      </c>
      <c r="C190" s="24" t="str">
        <f>IF(Products!$A60="","",Products!$B60&amp;"")</f>
        <v/>
      </c>
      <c r="D190" s="26" t="str">
        <f>IF(Products!$A60="","",Products!$H60)</f>
        <v/>
      </c>
      <c r="E190" s="26" t="str">
        <f>IF(Products!$A60="","",Products!$O60)</f>
        <v/>
      </c>
      <c r="F190" s="26" t="str">
        <f>IF(Products!$A60="","",Products!$P60)</f>
        <v/>
      </c>
      <c r="G190" s="25" t="str">
        <f>IF(Products!$A60="","",Products!$Q60)</f>
        <v/>
      </c>
      <c r="H190" s="25" t="str">
        <f>IF(Products!$A60="","",Products!$R60)</f>
        <v/>
      </c>
      <c r="I190" s="26" t="str">
        <f>IF(Products!$A60="","",Products!$S60)</f>
        <v/>
      </c>
      <c r="J190" s="26" t="str">
        <f>IF(Products!$A60="","",Products!$T60)</f>
        <v/>
      </c>
      <c r="K190" s="25" t="str">
        <f>IF(Products!$A60="","",Products!$U60)</f>
        <v/>
      </c>
      <c r="L190" s="26" t="str">
        <f>IF(Products!$A60="","",Products!$I60)</f>
        <v/>
      </c>
      <c r="M190" s="26" t="str">
        <f>IF(Products!$A60="","",Products!$J60)</f>
        <v/>
      </c>
      <c r="N190" s="26" t="str">
        <f>IF(Products!$A60="","",Products!$V60)</f>
        <v/>
      </c>
      <c r="O190" s="24" t="str">
        <f>IF(Products!$A60="","",Products!$Z60&amp;"")</f>
        <v/>
      </c>
    </row>
    <row r="191">
      <c r="B191" s="24" t="str">
        <f>IF(Products!$A61="","",Products!$A61&amp;"")</f>
        <v/>
      </c>
      <c r="C191" s="24" t="str">
        <f>IF(Products!$A61="","",Products!$B61&amp;"")</f>
        <v/>
      </c>
      <c r="D191" s="26" t="str">
        <f>IF(Products!$A61="","",Products!$H61)</f>
        <v/>
      </c>
      <c r="E191" s="26" t="str">
        <f>IF(Products!$A61="","",Products!$O61)</f>
        <v/>
      </c>
      <c r="F191" s="26" t="str">
        <f>IF(Products!$A61="","",Products!$P61)</f>
        <v/>
      </c>
      <c r="G191" s="25" t="str">
        <f>IF(Products!$A61="","",Products!$Q61)</f>
        <v/>
      </c>
      <c r="H191" s="25" t="str">
        <f>IF(Products!$A61="","",Products!$R61)</f>
        <v/>
      </c>
      <c r="I191" s="26" t="str">
        <f>IF(Products!$A61="","",Products!$S61)</f>
        <v/>
      </c>
      <c r="J191" s="26" t="str">
        <f>IF(Products!$A61="","",Products!$T61)</f>
        <v/>
      </c>
      <c r="K191" s="25" t="str">
        <f>IF(Products!$A61="","",Products!$U61)</f>
        <v/>
      </c>
      <c r="L191" s="26" t="str">
        <f>IF(Products!$A61="","",Products!$I61)</f>
        <v/>
      </c>
      <c r="M191" s="26" t="str">
        <f>IF(Products!$A61="","",Products!$J61)</f>
        <v/>
      </c>
      <c r="N191" s="26" t="str">
        <f>IF(Products!$A61="","",Products!$V61)</f>
        <v/>
      </c>
      <c r="O191" s="24" t="str">
        <f>IF(Products!$A61="","",Products!$Z61&amp;"")</f>
        <v/>
      </c>
    </row>
    <row r="192">
      <c r="B192" s="24" t="str">
        <f>IF(Products!$A62="","",Products!$A62&amp;"")</f>
        <v/>
      </c>
      <c r="C192" s="24" t="str">
        <f>IF(Products!$A62="","",Products!$B62&amp;"")</f>
        <v/>
      </c>
      <c r="D192" s="26" t="str">
        <f>IF(Products!$A62="","",Products!$H62)</f>
        <v/>
      </c>
      <c r="E192" s="26" t="str">
        <f>IF(Products!$A62="","",Products!$O62)</f>
        <v/>
      </c>
      <c r="F192" s="26" t="str">
        <f>IF(Products!$A62="","",Products!$P62)</f>
        <v/>
      </c>
      <c r="G192" s="25" t="str">
        <f>IF(Products!$A62="","",Products!$Q62)</f>
        <v/>
      </c>
      <c r="H192" s="25" t="str">
        <f>IF(Products!$A62="","",Products!$R62)</f>
        <v/>
      </c>
      <c r="I192" s="26" t="str">
        <f>IF(Products!$A62="","",Products!$S62)</f>
        <v/>
      </c>
      <c r="J192" s="26" t="str">
        <f>IF(Products!$A62="","",Products!$T62)</f>
        <v/>
      </c>
      <c r="K192" s="25" t="str">
        <f>IF(Products!$A62="","",Products!$U62)</f>
        <v/>
      </c>
      <c r="L192" s="26" t="str">
        <f>IF(Products!$A62="","",Products!$I62)</f>
        <v/>
      </c>
      <c r="M192" s="26" t="str">
        <f>IF(Products!$A62="","",Products!$J62)</f>
        <v/>
      </c>
      <c r="N192" s="26" t="str">
        <f>IF(Products!$A62="","",Products!$V62)</f>
        <v/>
      </c>
      <c r="O192" s="24" t="str">
        <f>IF(Products!$A62="","",Products!$Z62&amp;"")</f>
        <v/>
      </c>
    </row>
    <row r="193">
      <c r="B193" s="24" t="str">
        <f>IF(Products!$A63="","",Products!$A63&amp;"")</f>
        <v/>
      </c>
      <c r="C193" s="24" t="str">
        <f>IF(Products!$A63="","",Products!$B63&amp;"")</f>
        <v/>
      </c>
      <c r="D193" s="26" t="str">
        <f>IF(Products!$A63="","",Products!$H63)</f>
        <v/>
      </c>
      <c r="E193" s="26" t="str">
        <f>IF(Products!$A63="","",Products!$O63)</f>
        <v/>
      </c>
      <c r="F193" s="26" t="str">
        <f>IF(Products!$A63="","",Products!$P63)</f>
        <v/>
      </c>
      <c r="G193" s="25" t="str">
        <f>IF(Products!$A63="","",Products!$Q63)</f>
        <v/>
      </c>
      <c r="H193" s="25" t="str">
        <f>IF(Products!$A63="","",Products!$R63)</f>
        <v/>
      </c>
      <c r="I193" s="26" t="str">
        <f>IF(Products!$A63="","",Products!$S63)</f>
        <v/>
      </c>
      <c r="J193" s="26" t="str">
        <f>IF(Products!$A63="","",Products!$T63)</f>
        <v/>
      </c>
      <c r="K193" s="25" t="str">
        <f>IF(Products!$A63="","",Products!$U63)</f>
        <v/>
      </c>
      <c r="L193" s="26" t="str">
        <f>IF(Products!$A63="","",Products!$I63)</f>
        <v/>
      </c>
      <c r="M193" s="26" t="str">
        <f>IF(Products!$A63="","",Products!$J63)</f>
        <v/>
      </c>
      <c r="N193" s="26" t="str">
        <f>IF(Products!$A63="","",Products!$V63)</f>
        <v/>
      </c>
      <c r="O193" s="24" t="str">
        <f>IF(Products!$A63="","",Products!$Z63&amp;"")</f>
        <v/>
      </c>
    </row>
    <row r="194">
      <c r="B194" s="24" t="str">
        <f>IF(Products!$A64="","",Products!$A64&amp;"")</f>
        <v/>
      </c>
      <c r="C194" s="24" t="str">
        <f>IF(Products!$A64="","",Products!$B64&amp;"")</f>
        <v/>
      </c>
      <c r="D194" s="26" t="str">
        <f>IF(Products!$A64="","",Products!$H64)</f>
        <v/>
      </c>
      <c r="E194" s="26" t="str">
        <f>IF(Products!$A64="","",Products!$O64)</f>
        <v/>
      </c>
      <c r="F194" s="26" t="str">
        <f>IF(Products!$A64="","",Products!$P64)</f>
        <v/>
      </c>
      <c r="G194" s="25" t="str">
        <f>IF(Products!$A64="","",Products!$Q64)</f>
        <v/>
      </c>
      <c r="H194" s="25" t="str">
        <f>IF(Products!$A64="","",Products!$R64)</f>
        <v/>
      </c>
      <c r="I194" s="26" t="str">
        <f>IF(Products!$A64="","",Products!$S64)</f>
        <v/>
      </c>
      <c r="J194" s="26" t="str">
        <f>IF(Products!$A64="","",Products!$T64)</f>
        <v/>
      </c>
      <c r="K194" s="25" t="str">
        <f>IF(Products!$A64="","",Products!$U64)</f>
        <v/>
      </c>
      <c r="L194" s="26" t="str">
        <f>IF(Products!$A64="","",Products!$I64)</f>
        <v/>
      </c>
      <c r="M194" s="26" t="str">
        <f>IF(Products!$A64="","",Products!$J64)</f>
        <v/>
      </c>
      <c r="N194" s="26" t="str">
        <f>IF(Products!$A64="","",Products!$V64)</f>
        <v/>
      </c>
      <c r="O194" s="24" t="str">
        <f>IF(Products!$A64="","",Products!$Z64&amp;"")</f>
        <v/>
      </c>
    </row>
    <row r="195">
      <c r="B195" s="24" t="str">
        <f>IF(Products!$A65="","",Products!$A65&amp;"")</f>
        <v/>
      </c>
      <c r="C195" s="24" t="str">
        <f>IF(Products!$A65="","",Products!$B65&amp;"")</f>
        <v/>
      </c>
      <c r="D195" s="26" t="str">
        <f>IF(Products!$A65="","",Products!$H65)</f>
        <v/>
      </c>
      <c r="E195" s="26" t="str">
        <f>IF(Products!$A65="","",Products!$O65)</f>
        <v/>
      </c>
      <c r="F195" s="26" t="str">
        <f>IF(Products!$A65="","",Products!$P65)</f>
        <v/>
      </c>
      <c r="G195" s="25" t="str">
        <f>IF(Products!$A65="","",Products!$Q65)</f>
        <v/>
      </c>
      <c r="H195" s="25" t="str">
        <f>IF(Products!$A65="","",Products!$R65)</f>
        <v/>
      </c>
      <c r="I195" s="26" t="str">
        <f>IF(Products!$A65="","",Products!$S65)</f>
        <v/>
      </c>
      <c r="J195" s="26" t="str">
        <f>IF(Products!$A65="","",Products!$T65)</f>
        <v/>
      </c>
      <c r="K195" s="25" t="str">
        <f>IF(Products!$A65="","",Products!$U65)</f>
        <v/>
      </c>
      <c r="L195" s="26" t="str">
        <f>IF(Products!$A65="","",Products!$I65)</f>
        <v/>
      </c>
      <c r="M195" s="26" t="str">
        <f>IF(Products!$A65="","",Products!$J65)</f>
        <v/>
      </c>
      <c r="N195" s="26" t="str">
        <f>IF(Products!$A65="","",Products!$V65)</f>
        <v/>
      </c>
      <c r="O195" s="24" t="str">
        <f>IF(Products!$A65="","",Products!$Z65&amp;"")</f>
        <v/>
      </c>
    </row>
    <row r="196">
      <c r="B196" s="24" t="str">
        <f>IF(Products!$A66="","",Products!$A66&amp;"")</f>
        <v/>
      </c>
      <c r="C196" s="24" t="str">
        <f>IF(Products!$A66="","",Products!$B66&amp;"")</f>
        <v/>
      </c>
      <c r="D196" s="26" t="str">
        <f>IF(Products!$A66="","",Products!$H66)</f>
        <v/>
      </c>
      <c r="E196" s="26" t="str">
        <f>IF(Products!$A66="","",Products!$O66)</f>
        <v/>
      </c>
      <c r="F196" s="26" t="str">
        <f>IF(Products!$A66="","",Products!$P66)</f>
        <v/>
      </c>
      <c r="G196" s="25" t="str">
        <f>IF(Products!$A66="","",Products!$Q66)</f>
        <v/>
      </c>
      <c r="H196" s="25" t="str">
        <f>IF(Products!$A66="","",Products!$R66)</f>
        <v/>
      </c>
      <c r="I196" s="26" t="str">
        <f>IF(Products!$A66="","",Products!$S66)</f>
        <v/>
      </c>
      <c r="J196" s="26" t="str">
        <f>IF(Products!$A66="","",Products!$T66)</f>
        <v/>
      </c>
      <c r="K196" s="25" t="str">
        <f>IF(Products!$A66="","",Products!$U66)</f>
        <v/>
      </c>
      <c r="L196" s="26" t="str">
        <f>IF(Products!$A66="","",Products!$I66)</f>
        <v/>
      </c>
      <c r="M196" s="26" t="str">
        <f>IF(Products!$A66="","",Products!$J66)</f>
        <v/>
      </c>
      <c r="N196" s="26" t="str">
        <f>IF(Products!$A66="","",Products!$V66)</f>
        <v/>
      </c>
      <c r="O196" s="24" t="str">
        <f>IF(Products!$A66="","",Products!$Z66&amp;"")</f>
        <v/>
      </c>
    </row>
    <row r="197">
      <c r="B197" s="24" t="str">
        <f>IF(Products!$A67="","",Products!$A67&amp;"")</f>
        <v/>
      </c>
      <c r="C197" s="24" t="str">
        <f>IF(Products!$A67="","",Products!$B67&amp;"")</f>
        <v/>
      </c>
      <c r="D197" s="26" t="str">
        <f>IF(Products!$A67="","",Products!$H67)</f>
        <v/>
      </c>
      <c r="E197" s="26" t="str">
        <f>IF(Products!$A67="","",Products!$O67)</f>
        <v/>
      </c>
      <c r="F197" s="26" t="str">
        <f>IF(Products!$A67="","",Products!$P67)</f>
        <v/>
      </c>
      <c r="G197" s="25" t="str">
        <f>IF(Products!$A67="","",Products!$Q67)</f>
        <v/>
      </c>
      <c r="H197" s="25" t="str">
        <f>IF(Products!$A67="","",Products!$R67)</f>
        <v/>
      </c>
      <c r="I197" s="26" t="str">
        <f>IF(Products!$A67="","",Products!$S67)</f>
        <v/>
      </c>
      <c r="J197" s="26" t="str">
        <f>IF(Products!$A67="","",Products!$T67)</f>
        <v/>
      </c>
      <c r="K197" s="25" t="str">
        <f>IF(Products!$A67="","",Products!$U67)</f>
        <v/>
      </c>
      <c r="L197" s="26" t="str">
        <f>IF(Products!$A67="","",Products!$I67)</f>
        <v/>
      </c>
      <c r="M197" s="26" t="str">
        <f>IF(Products!$A67="","",Products!$J67)</f>
        <v/>
      </c>
      <c r="N197" s="26" t="str">
        <f>IF(Products!$A67="","",Products!$V67)</f>
        <v/>
      </c>
      <c r="O197" s="24" t="str">
        <f>IF(Products!$A67="","",Products!$Z67&amp;"")</f>
        <v/>
      </c>
    </row>
    <row r="198">
      <c r="B198" s="24" t="str">
        <f>IF(Products!$A68="","",Products!$A68&amp;"")</f>
        <v/>
      </c>
      <c r="C198" s="24" t="str">
        <f>IF(Products!$A68="","",Products!$B68&amp;"")</f>
        <v/>
      </c>
      <c r="D198" s="26" t="str">
        <f>IF(Products!$A68="","",Products!$H68)</f>
        <v/>
      </c>
      <c r="E198" s="26" t="str">
        <f>IF(Products!$A68="","",Products!$O68)</f>
        <v/>
      </c>
      <c r="F198" s="26" t="str">
        <f>IF(Products!$A68="","",Products!$P68)</f>
        <v/>
      </c>
      <c r="G198" s="25" t="str">
        <f>IF(Products!$A68="","",Products!$Q68)</f>
        <v/>
      </c>
      <c r="H198" s="25" t="str">
        <f>IF(Products!$A68="","",Products!$R68)</f>
        <v/>
      </c>
      <c r="I198" s="26" t="str">
        <f>IF(Products!$A68="","",Products!$S68)</f>
        <v/>
      </c>
      <c r="J198" s="26" t="str">
        <f>IF(Products!$A68="","",Products!$T68)</f>
        <v/>
      </c>
      <c r="K198" s="25" t="str">
        <f>IF(Products!$A68="","",Products!$U68)</f>
        <v/>
      </c>
      <c r="L198" s="26" t="str">
        <f>IF(Products!$A68="","",Products!$I68)</f>
        <v/>
      </c>
      <c r="M198" s="26" t="str">
        <f>IF(Products!$A68="","",Products!$J68)</f>
        <v/>
      </c>
      <c r="N198" s="26" t="str">
        <f>IF(Products!$A68="","",Products!$V68)</f>
        <v/>
      </c>
      <c r="O198" s="24" t="str">
        <f>IF(Products!$A68="","",Products!$Z68&amp;"")</f>
        <v/>
      </c>
    </row>
    <row r="199">
      <c r="B199" s="24" t="str">
        <f>IF(Products!$A69="","",Products!$A69&amp;"")</f>
        <v/>
      </c>
      <c r="C199" s="24" t="str">
        <f>IF(Products!$A69="","",Products!$B69&amp;"")</f>
        <v/>
      </c>
      <c r="D199" s="26" t="str">
        <f>IF(Products!$A69="","",Products!$H69)</f>
        <v/>
      </c>
      <c r="E199" s="26" t="str">
        <f>IF(Products!$A69="","",Products!$O69)</f>
        <v/>
      </c>
      <c r="F199" s="26" t="str">
        <f>IF(Products!$A69="","",Products!$P69)</f>
        <v/>
      </c>
      <c r="G199" s="25" t="str">
        <f>IF(Products!$A69="","",Products!$Q69)</f>
        <v/>
      </c>
      <c r="H199" s="25" t="str">
        <f>IF(Products!$A69="","",Products!$R69)</f>
        <v/>
      </c>
      <c r="I199" s="26" t="str">
        <f>IF(Products!$A69="","",Products!$S69)</f>
        <v/>
      </c>
      <c r="J199" s="26" t="str">
        <f>IF(Products!$A69="","",Products!$T69)</f>
        <v/>
      </c>
      <c r="K199" s="25" t="str">
        <f>IF(Products!$A69="","",Products!$U69)</f>
        <v/>
      </c>
      <c r="L199" s="26" t="str">
        <f>IF(Products!$A69="","",Products!$I69)</f>
        <v/>
      </c>
      <c r="M199" s="26" t="str">
        <f>IF(Products!$A69="","",Products!$J69)</f>
        <v/>
      </c>
      <c r="N199" s="26" t="str">
        <f>IF(Products!$A69="","",Products!$V69)</f>
        <v/>
      </c>
      <c r="O199" s="24" t="str">
        <f>IF(Products!$A69="","",Products!$Z69&amp;"")</f>
        <v/>
      </c>
    </row>
    <row r="200">
      <c r="B200" s="24" t="str">
        <f>IF(Products!$A70="","",Products!$A70&amp;"")</f>
        <v/>
      </c>
      <c r="C200" s="24" t="str">
        <f>IF(Products!$A70="","",Products!$B70&amp;"")</f>
        <v/>
      </c>
      <c r="D200" s="26" t="str">
        <f>IF(Products!$A70="","",Products!$H70)</f>
        <v/>
      </c>
      <c r="E200" s="26" t="str">
        <f>IF(Products!$A70="","",Products!$O70)</f>
        <v/>
      </c>
      <c r="F200" s="26" t="str">
        <f>IF(Products!$A70="","",Products!$P70)</f>
        <v/>
      </c>
      <c r="G200" s="25" t="str">
        <f>IF(Products!$A70="","",Products!$Q70)</f>
        <v/>
      </c>
      <c r="H200" s="25" t="str">
        <f>IF(Products!$A70="","",Products!$R70)</f>
        <v/>
      </c>
      <c r="I200" s="26" t="str">
        <f>IF(Products!$A70="","",Products!$S70)</f>
        <v/>
      </c>
      <c r="J200" s="26" t="str">
        <f>IF(Products!$A70="","",Products!$T70)</f>
        <v/>
      </c>
      <c r="K200" s="25" t="str">
        <f>IF(Products!$A70="","",Products!$U70)</f>
        <v/>
      </c>
      <c r="L200" s="26" t="str">
        <f>IF(Products!$A70="","",Products!$I70)</f>
        <v/>
      </c>
      <c r="M200" s="26" t="str">
        <f>IF(Products!$A70="","",Products!$J70)</f>
        <v/>
      </c>
      <c r="N200" s="26" t="str">
        <f>IF(Products!$A70="","",Products!$V70)</f>
        <v/>
      </c>
      <c r="O200" s="24" t="str">
        <f>IF(Products!$A70="","",Products!$Z70&amp;"")</f>
        <v/>
      </c>
    </row>
    <row r="201">
      <c r="B201" s="24" t="str">
        <f>IF(Products!$A71="","",Products!$A71&amp;"")</f>
        <v/>
      </c>
      <c r="C201" s="24" t="str">
        <f>IF(Products!$A71="","",Products!$B71&amp;"")</f>
        <v/>
      </c>
      <c r="D201" s="26" t="str">
        <f>IF(Products!$A71="","",Products!$H71)</f>
        <v/>
      </c>
      <c r="E201" s="26" t="str">
        <f>IF(Products!$A71="","",Products!$O71)</f>
        <v/>
      </c>
      <c r="F201" s="26" t="str">
        <f>IF(Products!$A71="","",Products!$P71)</f>
        <v/>
      </c>
      <c r="G201" s="25" t="str">
        <f>IF(Products!$A71="","",Products!$Q71)</f>
        <v/>
      </c>
      <c r="H201" s="25" t="str">
        <f>IF(Products!$A71="","",Products!$R71)</f>
        <v/>
      </c>
      <c r="I201" s="26" t="str">
        <f>IF(Products!$A71="","",Products!$S71)</f>
        <v/>
      </c>
      <c r="J201" s="26" t="str">
        <f>IF(Products!$A71="","",Products!$T71)</f>
        <v/>
      </c>
      <c r="K201" s="25" t="str">
        <f>IF(Products!$A71="","",Products!$U71)</f>
        <v/>
      </c>
      <c r="L201" s="26" t="str">
        <f>IF(Products!$A71="","",Products!$I71)</f>
        <v/>
      </c>
      <c r="M201" s="26" t="str">
        <f>IF(Products!$A71="","",Products!$J71)</f>
        <v/>
      </c>
      <c r="N201" s="26" t="str">
        <f>IF(Products!$A71="","",Products!$V71)</f>
        <v/>
      </c>
      <c r="O201" s="24" t="str">
        <f>IF(Products!$A71="","",Products!$Z71&amp;"")</f>
        <v/>
      </c>
    </row>
    <row r="202">
      <c r="B202" s="24" t="str">
        <f>IF(Products!$A72="","",Products!$A72&amp;"")</f>
        <v/>
      </c>
      <c r="C202" s="24" t="str">
        <f>IF(Products!$A72="","",Products!$B72&amp;"")</f>
        <v/>
      </c>
      <c r="D202" s="26" t="str">
        <f>IF(Products!$A72="","",Products!$H72)</f>
        <v/>
      </c>
      <c r="E202" s="26" t="str">
        <f>IF(Products!$A72="","",Products!$O72)</f>
        <v/>
      </c>
      <c r="F202" s="26" t="str">
        <f>IF(Products!$A72="","",Products!$P72)</f>
        <v/>
      </c>
      <c r="G202" s="25" t="str">
        <f>IF(Products!$A72="","",Products!$Q72)</f>
        <v/>
      </c>
      <c r="H202" s="25" t="str">
        <f>IF(Products!$A72="","",Products!$R72)</f>
        <v/>
      </c>
      <c r="I202" s="26" t="str">
        <f>IF(Products!$A72="","",Products!$S72)</f>
        <v/>
      </c>
      <c r="J202" s="26" t="str">
        <f>IF(Products!$A72="","",Products!$T72)</f>
        <v/>
      </c>
      <c r="K202" s="25" t="str">
        <f>IF(Products!$A72="","",Products!$U72)</f>
        <v/>
      </c>
      <c r="L202" s="26" t="str">
        <f>IF(Products!$A72="","",Products!$I72)</f>
        <v/>
      </c>
      <c r="M202" s="26" t="str">
        <f>IF(Products!$A72="","",Products!$J72)</f>
        <v/>
      </c>
      <c r="N202" s="26" t="str">
        <f>IF(Products!$A72="","",Products!$V72)</f>
        <v/>
      </c>
      <c r="O202" s="24" t="str">
        <f>IF(Products!$A72="","",Products!$Z72&amp;"")</f>
        <v/>
      </c>
    </row>
    <row r="203">
      <c r="B203" s="24" t="str">
        <f>IF(Products!$A73="","",Products!$A73&amp;"")</f>
        <v/>
      </c>
      <c r="C203" s="24" t="str">
        <f>IF(Products!$A73="","",Products!$B73&amp;"")</f>
        <v/>
      </c>
      <c r="D203" s="26" t="str">
        <f>IF(Products!$A73="","",Products!$H73)</f>
        <v/>
      </c>
      <c r="E203" s="26" t="str">
        <f>IF(Products!$A73="","",Products!$O73)</f>
        <v/>
      </c>
      <c r="F203" s="26" t="str">
        <f>IF(Products!$A73="","",Products!$P73)</f>
        <v/>
      </c>
      <c r="G203" s="25" t="str">
        <f>IF(Products!$A73="","",Products!$Q73)</f>
        <v/>
      </c>
      <c r="H203" s="25" t="str">
        <f>IF(Products!$A73="","",Products!$R73)</f>
        <v/>
      </c>
      <c r="I203" s="26" t="str">
        <f>IF(Products!$A73="","",Products!$S73)</f>
        <v/>
      </c>
      <c r="J203" s="26" t="str">
        <f>IF(Products!$A73="","",Products!$T73)</f>
        <v/>
      </c>
      <c r="K203" s="25" t="str">
        <f>IF(Products!$A73="","",Products!$U73)</f>
        <v/>
      </c>
      <c r="L203" s="26" t="str">
        <f>IF(Products!$A73="","",Products!$I73)</f>
        <v/>
      </c>
      <c r="M203" s="26" t="str">
        <f>IF(Products!$A73="","",Products!$J73)</f>
        <v/>
      </c>
      <c r="N203" s="26" t="str">
        <f>IF(Products!$A73="","",Products!$V73)</f>
        <v/>
      </c>
      <c r="O203" s="24" t="str">
        <f>IF(Products!$A73="","",Products!$Z73&amp;"")</f>
        <v/>
      </c>
    </row>
    <row r="204">
      <c r="B204" s="24" t="str">
        <f>IF(Products!$A74="","",Products!$A74&amp;"")</f>
        <v/>
      </c>
      <c r="C204" s="24" t="str">
        <f>IF(Products!$A74="","",Products!$B74&amp;"")</f>
        <v/>
      </c>
      <c r="D204" s="26" t="str">
        <f>IF(Products!$A74="","",Products!$H74)</f>
        <v/>
      </c>
      <c r="E204" s="26" t="str">
        <f>IF(Products!$A74="","",Products!$O74)</f>
        <v/>
      </c>
      <c r="F204" s="26" t="str">
        <f>IF(Products!$A74="","",Products!$P74)</f>
        <v/>
      </c>
      <c r="G204" s="25" t="str">
        <f>IF(Products!$A74="","",Products!$Q74)</f>
        <v/>
      </c>
      <c r="H204" s="25" t="str">
        <f>IF(Products!$A74="","",Products!$R74)</f>
        <v/>
      </c>
      <c r="I204" s="26" t="str">
        <f>IF(Products!$A74="","",Products!$S74)</f>
        <v/>
      </c>
      <c r="J204" s="26" t="str">
        <f>IF(Products!$A74="","",Products!$T74)</f>
        <v/>
      </c>
      <c r="K204" s="25" t="str">
        <f>IF(Products!$A74="","",Products!$U74)</f>
        <v/>
      </c>
      <c r="L204" s="26" t="str">
        <f>IF(Products!$A74="","",Products!$I74)</f>
        <v/>
      </c>
      <c r="M204" s="26" t="str">
        <f>IF(Products!$A74="","",Products!$J74)</f>
        <v/>
      </c>
      <c r="N204" s="26" t="str">
        <f>IF(Products!$A74="","",Products!$V74)</f>
        <v/>
      </c>
      <c r="O204" s="24" t="str">
        <f>IF(Products!$A74="","",Products!$Z74&amp;"")</f>
        <v/>
      </c>
    </row>
    <row r="205">
      <c r="B205" s="24" t="str">
        <f>IF(Products!$A75="","",Products!$A75&amp;"")</f>
        <v/>
      </c>
      <c r="C205" s="24" t="str">
        <f>IF(Products!$A75="","",Products!$B75&amp;"")</f>
        <v/>
      </c>
      <c r="D205" s="26" t="str">
        <f>IF(Products!$A75="","",Products!$H75)</f>
        <v/>
      </c>
      <c r="E205" s="26" t="str">
        <f>IF(Products!$A75="","",Products!$O75)</f>
        <v/>
      </c>
      <c r="F205" s="26" t="str">
        <f>IF(Products!$A75="","",Products!$P75)</f>
        <v/>
      </c>
      <c r="G205" s="25" t="str">
        <f>IF(Products!$A75="","",Products!$Q75)</f>
        <v/>
      </c>
      <c r="H205" s="25" t="str">
        <f>IF(Products!$A75="","",Products!$R75)</f>
        <v/>
      </c>
      <c r="I205" s="26" t="str">
        <f>IF(Products!$A75="","",Products!$S75)</f>
        <v/>
      </c>
      <c r="J205" s="26" t="str">
        <f>IF(Products!$A75="","",Products!$T75)</f>
        <v/>
      </c>
      <c r="K205" s="25" t="str">
        <f>IF(Products!$A75="","",Products!$U75)</f>
        <v/>
      </c>
      <c r="L205" s="26" t="str">
        <f>IF(Products!$A75="","",Products!$I75)</f>
        <v/>
      </c>
      <c r="M205" s="26" t="str">
        <f>IF(Products!$A75="","",Products!$J75)</f>
        <v/>
      </c>
      <c r="N205" s="26" t="str">
        <f>IF(Products!$A75="","",Products!$V75)</f>
        <v/>
      </c>
      <c r="O205" s="24" t="str">
        <f>IF(Products!$A75="","",Products!$Z75&amp;"")</f>
        <v/>
      </c>
    </row>
    <row r="206">
      <c r="B206" s="24" t="str">
        <f>IF(Products!$A76="","",Products!$A76&amp;"")</f>
        <v/>
      </c>
      <c r="C206" s="24" t="str">
        <f>IF(Products!$A76="","",Products!$B76&amp;"")</f>
        <v/>
      </c>
      <c r="D206" s="26" t="str">
        <f>IF(Products!$A76="","",Products!$H76)</f>
        <v/>
      </c>
      <c r="E206" s="26" t="str">
        <f>IF(Products!$A76="","",Products!$O76)</f>
        <v/>
      </c>
      <c r="F206" s="26" t="str">
        <f>IF(Products!$A76="","",Products!$P76)</f>
        <v/>
      </c>
      <c r="G206" s="25" t="str">
        <f>IF(Products!$A76="","",Products!$Q76)</f>
        <v/>
      </c>
      <c r="H206" s="25" t="str">
        <f>IF(Products!$A76="","",Products!$R76)</f>
        <v/>
      </c>
      <c r="I206" s="26" t="str">
        <f>IF(Products!$A76="","",Products!$S76)</f>
        <v/>
      </c>
      <c r="J206" s="26" t="str">
        <f>IF(Products!$A76="","",Products!$T76)</f>
        <v/>
      </c>
      <c r="K206" s="25" t="str">
        <f>IF(Products!$A76="","",Products!$U76)</f>
        <v/>
      </c>
      <c r="L206" s="26" t="str">
        <f>IF(Products!$A76="","",Products!$I76)</f>
        <v/>
      </c>
      <c r="M206" s="26" t="str">
        <f>IF(Products!$A76="","",Products!$J76)</f>
        <v/>
      </c>
      <c r="N206" s="26" t="str">
        <f>IF(Products!$A76="","",Products!$V76)</f>
        <v/>
      </c>
      <c r="O206" s="24" t="str">
        <f>IF(Products!$A76="","",Products!$Z76&amp;"")</f>
        <v/>
      </c>
    </row>
    <row r="207">
      <c r="B207" s="24" t="str">
        <f>IF(Products!$A77="","",Products!$A77&amp;"")</f>
        <v/>
      </c>
      <c r="C207" s="24" t="str">
        <f>IF(Products!$A77="","",Products!$B77&amp;"")</f>
        <v/>
      </c>
      <c r="D207" s="26" t="str">
        <f>IF(Products!$A77="","",Products!$H77)</f>
        <v/>
      </c>
      <c r="E207" s="26" t="str">
        <f>IF(Products!$A77="","",Products!$O77)</f>
        <v/>
      </c>
      <c r="F207" s="26" t="str">
        <f>IF(Products!$A77="","",Products!$P77)</f>
        <v/>
      </c>
      <c r="G207" s="25" t="str">
        <f>IF(Products!$A77="","",Products!$Q77)</f>
        <v/>
      </c>
      <c r="H207" s="25" t="str">
        <f>IF(Products!$A77="","",Products!$R77)</f>
        <v/>
      </c>
      <c r="I207" s="26" t="str">
        <f>IF(Products!$A77="","",Products!$S77)</f>
        <v/>
      </c>
      <c r="J207" s="26" t="str">
        <f>IF(Products!$A77="","",Products!$T77)</f>
        <v/>
      </c>
      <c r="K207" s="25" t="str">
        <f>IF(Products!$A77="","",Products!$U77)</f>
        <v/>
      </c>
      <c r="L207" s="26" t="str">
        <f>IF(Products!$A77="","",Products!$I77)</f>
        <v/>
      </c>
      <c r="M207" s="26" t="str">
        <f>IF(Products!$A77="","",Products!$J77)</f>
        <v/>
      </c>
      <c r="N207" s="26" t="str">
        <f>IF(Products!$A77="","",Products!$V77)</f>
        <v/>
      </c>
      <c r="O207" s="24" t="str">
        <f>IF(Products!$A77="","",Products!$Z77&amp;"")</f>
        <v/>
      </c>
    </row>
    <row r="208">
      <c r="B208" s="24" t="str">
        <f>IF(Products!$A78="","",Products!$A78&amp;"")</f>
        <v/>
      </c>
      <c r="C208" s="24" t="str">
        <f>IF(Products!$A78="","",Products!$B78&amp;"")</f>
        <v/>
      </c>
      <c r="D208" s="26" t="str">
        <f>IF(Products!$A78="","",Products!$H78)</f>
        <v/>
      </c>
      <c r="E208" s="26" t="str">
        <f>IF(Products!$A78="","",Products!$O78)</f>
        <v/>
      </c>
      <c r="F208" s="26" t="str">
        <f>IF(Products!$A78="","",Products!$P78)</f>
        <v/>
      </c>
      <c r="G208" s="25" t="str">
        <f>IF(Products!$A78="","",Products!$Q78)</f>
        <v/>
      </c>
      <c r="H208" s="25" t="str">
        <f>IF(Products!$A78="","",Products!$R78)</f>
        <v/>
      </c>
      <c r="I208" s="26" t="str">
        <f>IF(Products!$A78="","",Products!$S78)</f>
        <v/>
      </c>
      <c r="J208" s="26" t="str">
        <f>IF(Products!$A78="","",Products!$T78)</f>
        <v/>
      </c>
      <c r="K208" s="25" t="str">
        <f>IF(Products!$A78="","",Products!$U78)</f>
        <v/>
      </c>
      <c r="L208" s="26" t="str">
        <f>IF(Products!$A78="","",Products!$I78)</f>
        <v/>
      </c>
      <c r="M208" s="26" t="str">
        <f>IF(Products!$A78="","",Products!$J78)</f>
        <v/>
      </c>
      <c r="N208" s="26" t="str">
        <f>IF(Products!$A78="","",Products!$V78)</f>
        <v/>
      </c>
      <c r="O208" s="24" t="str">
        <f>IF(Products!$A78="","",Products!$Z78&amp;"")</f>
        <v/>
      </c>
    </row>
    <row r="209">
      <c r="B209" s="24" t="str">
        <f>IF(Products!$A79="","",Products!$A79&amp;"")</f>
        <v/>
      </c>
      <c r="C209" s="24" t="str">
        <f>IF(Products!$A79="","",Products!$B79&amp;"")</f>
        <v/>
      </c>
      <c r="D209" s="26" t="str">
        <f>IF(Products!$A79="","",Products!$H79)</f>
        <v/>
      </c>
      <c r="E209" s="26" t="str">
        <f>IF(Products!$A79="","",Products!$O79)</f>
        <v/>
      </c>
      <c r="F209" s="26" t="str">
        <f>IF(Products!$A79="","",Products!$P79)</f>
        <v/>
      </c>
      <c r="G209" s="25" t="str">
        <f>IF(Products!$A79="","",Products!$Q79)</f>
        <v/>
      </c>
      <c r="H209" s="25" t="str">
        <f>IF(Products!$A79="","",Products!$R79)</f>
        <v/>
      </c>
      <c r="I209" s="26" t="str">
        <f>IF(Products!$A79="","",Products!$S79)</f>
        <v/>
      </c>
      <c r="J209" s="26" t="str">
        <f>IF(Products!$A79="","",Products!$T79)</f>
        <v/>
      </c>
      <c r="K209" s="25" t="str">
        <f>IF(Products!$A79="","",Products!$U79)</f>
        <v/>
      </c>
      <c r="L209" s="26" t="str">
        <f>IF(Products!$A79="","",Products!$I79)</f>
        <v/>
      </c>
      <c r="M209" s="26" t="str">
        <f>IF(Products!$A79="","",Products!$J79)</f>
        <v/>
      </c>
      <c r="N209" s="26" t="str">
        <f>IF(Products!$A79="","",Products!$V79)</f>
        <v/>
      </c>
      <c r="O209" s="24" t="str">
        <f>IF(Products!$A79="","",Products!$Z79&amp;"")</f>
        <v/>
      </c>
    </row>
    <row r="210">
      <c r="B210" s="24" t="str">
        <f>IF(Products!$A80="","",Products!$A80&amp;"")</f>
        <v/>
      </c>
      <c r="C210" s="24" t="str">
        <f>IF(Products!$A80="","",Products!$B80&amp;"")</f>
        <v/>
      </c>
      <c r="D210" s="26" t="str">
        <f>IF(Products!$A80="","",Products!$H80)</f>
        <v/>
      </c>
      <c r="E210" s="26" t="str">
        <f>IF(Products!$A80="","",Products!$O80)</f>
        <v/>
      </c>
      <c r="F210" s="26" t="str">
        <f>IF(Products!$A80="","",Products!$P80)</f>
        <v/>
      </c>
      <c r="G210" s="25" t="str">
        <f>IF(Products!$A80="","",Products!$Q80)</f>
        <v/>
      </c>
      <c r="H210" s="25" t="str">
        <f>IF(Products!$A80="","",Products!$R80)</f>
        <v/>
      </c>
      <c r="I210" s="26" t="str">
        <f>IF(Products!$A80="","",Products!$S80)</f>
        <v/>
      </c>
      <c r="J210" s="26" t="str">
        <f>IF(Products!$A80="","",Products!$T80)</f>
        <v/>
      </c>
      <c r="K210" s="25" t="str">
        <f>IF(Products!$A80="","",Products!$U80)</f>
        <v/>
      </c>
      <c r="L210" s="26" t="str">
        <f>IF(Products!$A80="","",Products!$I80)</f>
        <v/>
      </c>
      <c r="M210" s="26" t="str">
        <f>IF(Products!$A80="","",Products!$J80)</f>
        <v/>
      </c>
      <c r="N210" s="26" t="str">
        <f>IF(Products!$A80="","",Products!$V80)</f>
        <v/>
      </c>
      <c r="O210" s="24" t="str">
        <f>IF(Products!$A80="","",Products!$Z80&amp;"")</f>
        <v/>
      </c>
    </row>
    <row r="211">
      <c r="B211" s="24" t="str">
        <f>IF(Products!$A81="","",Products!$A81&amp;"")</f>
        <v/>
      </c>
      <c r="C211" s="24" t="str">
        <f>IF(Products!$A81="","",Products!$B81&amp;"")</f>
        <v/>
      </c>
      <c r="D211" s="26" t="str">
        <f>IF(Products!$A81="","",Products!$H81)</f>
        <v/>
      </c>
      <c r="E211" s="26" t="str">
        <f>IF(Products!$A81="","",Products!$O81)</f>
        <v/>
      </c>
      <c r="F211" s="26" t="str">
        <f>IF(Products!$A81="","",Products!$P81)</f>
        <v/>
      </c>
      <c r="G211" s="25" t="str">
        <f>IF(Products!$A81="","",Products!$Q81)</f>
        <v/>
      </c>
      <c r="H211" s="25" t="str">
        <f>IF(Products!$A81="","",Products!$R81)</f>
        <v/>
      </c>
      <c r="I211" s="26" t="str">
        <f>IF(Products!$A81="","",Products!$S81)</f>
        <v/>
      </c>
      <c r="J211" s="26" t="str">
        <f>IF(Products!$A81="","",Products!$T81)</f>
        <v/>
      </c>
      <c r="K211" s="25" t="str">
        <f>IF(Products!$A81="","",Products!$U81)</f>
        <v/>
      </c>
      <c r="L211" s="26" t="str">
        <f>IF(Products!$A81="","",Products!$I81)</f>
        <v/>
      </c>
      <c r="M211" s="26" t="str">
        <f>IF(Products!$A81="","",Products!$J81)</f>
        <v/>
      </c>
      <c r="N211" s="26" t="str">
        <f>IF(Products!$A81="","",Products!$V81)</f>
        <v/>
      </c>
      <c r="O211" s="24" t="str">
        <f>IF(Products!$A81="","",Products!$Z81&amp;"")</f>
        <v/>
      </c>
    </row>
    <row r="212">
      <c r="B212" s="24" t="str">
        <f>IF(Products!$A82="","",Products!$A82&amp;"")</f>
        <v/>
      </c>
      <c r="C212" s="24" t="str">
        <f>IF(Products!$A82="","",Products!$B82&amp;"")</f>
        <v/>
      </c>
      <c r="D212" s="26" t="str">
        <f>IF(Products!$A82="","",Products!$H82)</f>
        <v/>
      </c>
      <c r="E212" s="26" t="str">
        <f>IF(Products!$A82="","",Products!$O82)</f>
        <v/>
      </c>
      <c r="F212" s="26" t="str">
        <f>IF(Products!$A82="","",Products!$P82)</f>
        <v/>
      </c>
      <c r="G212" s="25" t="str">
        <f>IF(Products!$A82="","",Products!$Q82)</f>
        <v/>
      </c>
      <c r="H212" s="25" t="str">
        <f>IF(Products!$A82="","",Products!$R82)</f>
        <v/>
      </c>
      <c r="I212" s="26" t="str">
        <f>IF(Products!$A82="","",Products!$S82)</f>
        <v/>
      </c>
      <c r="J212" s="26" t="str">
        <f>IF(Products!$A82="","",Products!$T82)</f>
        <v/>
      </c>
      <c r="K212" s="25" t="str">
        <f>IF(Products!$A82="","",Products!$U82)</f>
        <v/>
      </c>
      <c r="L212" s="26" t="str">
        <f>IF(Products!$A82="","",Products!$I82)</f>
        <v/>
      </c>
      <c r="M212" s="26" t="str">
        <f>IF(Products!$A82="","",Products!$J82)</f>
        <v/>
      </c>
      <c r="N212" s="26" t="str">
        <f>IF(Products!$A82="","",Products!$V82)</f>
        <v/>
      </c>
      <c r="O212" s="24" t="str">
        <f>IF(Products!$A82="","",Products!$Z82&amp;"")</f>
        <v/>
      </c>
    </row>
    <row r="213">
      <c r="B213" s="24" t="str">
        <f>IF(Products!$A83="","",Products!$A83&amp;"")</f>
        <v/>
      </c>
      <c r="C213" s="24" t="str">
        <f>IF(Products!$A83="","",Products!$B83&amp;"")</f>
        <v/>
      </c>
      <c r="D213" s="26" t="str">
        <f>IF(Products!$A83="","",Products!$H83)</f>
        <v/>
      </c>
      <c r="E213" s="26" t="str">
        <f>IF(Products!$A83="","",Products!$O83)</f>
        <v/>
      </c>
      <c r="F213" s="26" t="str">
        <f>IF(Products!$A83="","",Products!$P83)</f>
        <v/>
      </c>
      <c r="G213" s="25" t="str">
        <f>IF(Products!$A83="","",Products!$Q83)</f>
        <v/>
      </c>
      <c r="H213" s="25" t="str">
        <f>IF(Products!$A83="","",Products!$R83)</f>
        <v/>
      </c>
      <c r="I213" s="26" t="str">
        <f>IF(Products!$A83="","",Products!$S83)</f>
        <v/>
      </c>
      <c r="J213" s="26" t="str">
        <f>IF(Products!$A83="","",Products!$T83)</f>
        <v/>
      </c>
      <c r="K213" s="25" t="str">
        <f>IF(Products!$A83="","",Products!$U83)</f>
        <v/>
      </c>
      <c r="L213" s="26" t="str">
        <f>IF(Products!$A83="","",Products!$I83)</f>
        <v/>
      </c>
      <c r="M213" s="26" t="str">
        <f>IF(Products!$A83="","",Products!$J83)</f>
        <v/>
      </c>
      <c r="N213" s="26" t="str">
        <f>IF(Products!$A83="","",Products!$V83)</f>
        <v/>
      </c>
      <c r="O213" s="24" t="str">
        <f>IF(Products!$A83="","",Products!$Z83&amp;"")</f>
        <v/>
      </c>
    </row>
    <row r="214">
      <c r="B214" s="24" t="str">
        <f>IF(Products!$A84="","",Products!$A84&amp;"")</f>
        <v/>
      </c>
      <c r="C214" s="24" t="str">
        <f>IF(Products!$A84="","",Products!$B84&amp;"")</f>
        <v/>
      </c>
      <c r="D214" s="26" t="str">
        <f>IF(Products!$A84="","",Products!$H84)</f>
        <v/>
      </c>
      <c r="E214" s="26" t="str">
        <f>IF(Products!$A84="","",Products!$O84)</f>
        <v/>
      </c>
      <c r="F214" s="26" t="str">
        <f>IF(Products!$A84="","",Products!$P84)</f>
        <v/>
      </c>
      <c r="G214" s="25" t="str">
        <f>IF(Products!$A84="","",Products!$Q84)</f>
        <v/>
      </c>
      <c r="H214" s="25" t="str">
        <f>IF(Products!$A84="","",Products!$R84)</f>
        <v/>
      </c>
      <c r="I214" s="26" t="str">
        <f>IF(Products!$A84="","",Products!$S84)</f>
        <v/>
      </c>
      <c r="J214" s="26" t="str">
        <f>IF(Products!$A84="","",Products!$T84)</f>
        <v/>
      </c>
      <c r="K214" s="25" t="str">
        <f>IF(Products!$A84="","",Products!$U84)</f>
        <v/>
      </c>
      <c r="L214" s="26" t="str">
        <f>IF(Products!$A84="","",Products!$I84)</f>
        <v/>
      </c>
      <c r="M214" s="26" t="str">
        <f>IF(Products!$A84="","",Products!$J84)</f>
        <v/>
      </c>
      <c r="N214" s="26" t="str">
        <f>IF(Products!$A84="","",Products!$V84)</f>
        <v/>
      </c>
      <c r="O214" s="24" t="str">
        <f>IF(Products!$A84="","",Products!$Z84&amp;"")</f>
        <v/>
      </c>
    </row>
    <row r="215">
      <c r="B215" s="24" t="str">
        <f>IF(Products!$A85="","",Products!$A85&amp;"")</f>
        <v/>
      </c>
      <c r="C215" s="24" t="str">
        <f>IF(Products!$A85="","",Products!$B85&amp;"")</f>
        <v/>
      </c>
      <c r="D215" s="26" t="str">
        <f>IF(Products!$A85="","",Products!$H85)</f>
        <v/>
      </c>
      <c r="E215" s="26" t="str">
        <f>IF(Products!$A85="","",Products!$O85)</f>
        <v/>
      </c>
      <c r="F215" s="26" t="str">
        <f>IF(Products!$A85="","",Products!$P85)</f>
        <v/>
      </c>
      <c r="G215" s="25" t="str">
        <f>IF(Products!$A85="","",Products!$Q85)</f>
        <v/>
      </c>
      <c r="H215" s="25" t="str">
        <f>IF(Products!$A85="","",Products!$R85)</f>
        <v/>
      </c>
      <c r="I215" s="26" t="str">
        <f>IF(Products!$A85="","",Products!$S85)</f>
        <v/>
      </c>
      <c r="J215" s="26" t="str">
        <f>IF(Products!$A85="","",Products!$T85)</f>
        <v/>
      </c>
      <c r="K215" s="25" t="str">
        <f>IF(Products!$A85="","",Products!$U85)</f>
        <v/>
      </c>
      <c r="L215" s="26" t="str">
        <f>IF(Products!$A85="","",Products!$I85)</f>
        <v/>
      </c>
      <c r="M215" s="26" t="str">
        <f>IF(Products!$A85="","",Products!$J85)</f>
        <v/>
      </c>
      <c r="N215" s="26" t="str">
        <f>IF(Products!$A85="","",Products!$V85)</f>
        <v/>
      </c>
      <c r="O215" s="24" t="str">
        <f>IF(Products!$A85="","",Products!$Z85&amp;"")</f>
        <v/>
      </c>
    </row>
    <row r="216">
      <c r="B216" s="24" t="str">
        <f>IF(Products!$A86="","",Products!$A86&amp;"")</f>
        <v/>
      </c>
      <c r="C216" s="24" t="str">
        <f>IF(Products!$A86="","",Products!$B86&amp;"")</f>
        <v/>
      </c>
      <c r="D216" s="26" t="str">
        <f>IF(Products!$A86="","",Products!$H86)</f>
        <v/>
      </c>
      <c r="E216" s="26" t="str">
        <f>IF(Products!$A86="","",Products!$O86)</f>
        <v/>
      </c>
      <c r="F216" s="26" t="str">
        <f>IF(Products!$A86="","",Products!$P86)</f>
        <v/>
      </c>
      <c r="G216" s="25" t="str">
        <f>IF(Products!$A86="","",Products!$Q86)</f>
        <v/>
      </c>
      <c r="H216" s="25" t="str">
        <f>IF(Products!$A86="","",Products!$R86)</f>
        <v/>
      </c>
      <c r="I216" s="26" t="str">
        <f>IF(Products!$A86="","",Products!$S86)</f>
        <v/>
      </c>
      <c r="J216" s="26" t="str">
        <f>IF(Products!$A86="","",Products!$T86)</f>
        <v/>
      </c>
      <c r="K216" s="25" t="str">
        <f>IF(Products!$A86="","",Products!$U86)</f>
        <v/>
      </c>
      <c r="L216" s="26" t="str">
        <f>IF(Products!$A86="","",Products!$I86)</f>
        <v/>
      </c>
      <c r="M216" s="26" t="str">
        <f>IF(Products!$A86="","",Products!$J86)</f>
        <v/>
      </c>
      <c r="N216" s="26" t="str">
        <f>IF(Products!$A86="","",Products!$V86)</f>
        <v/>
      </c>
      <c r="O216" s="24" t="str">
        <f>IF(Products!$A86="","",Products!$Z86&amp;"")</f>
        <v/>
      </c>
    </row>
    <row r="217">
      <c r="B217" s="24" t="str">
        <f>IF(Products!$A87="","",Products!$A87&amp;"")</f>
        <v/>
      </c>
      <c r="C217" s="24" t="str">
        <f>IF(Products!$A87="","",Products!$B87&amp;"")</f>
        <v/>
      </c>
      <c r="D217" s="26" t="str">
        <f>IF(Products!$A87="","",Products!$H87)</f>
        <v/>
      </c>
      <c r="E217" s="26" t="str">
        <f>IF(Products!$A87="","",Products!$O87)</f>
        <v/>
      </c>
      <c r="F217" s="26" t="str">
        <f>IF(Products!$A87="","",Products!$P87)</f>
        <v/>
      </c>
      <c r="G217" s="25" t="str">
        <f>IF(Products!$A87="","",Products!$Q87)</f>
        <v/>
      </c>
      <c r="H217" s="25" t="str">
        <f>IF(Products!$A87="","",Products!$R87)</f>
        <v/>
      </c>
      <c r="I217" s="26" t="str">
        <f>IF(Products!$A87="","",Products!$S87)</f>
        <v/>
      </c>
      <c r="J217" s="26" t="str">
        <f>IF(Products!$A87="","",Products!$T87)</f>
        <v/>
      </c>
      <c r="K217" s="25" t="str">
        <f>IF(Products!$A87="","",Products!$U87)</f>
        <v/>
      </c>
      <c r="L217" s="26" t="str">
        <f>IF(Products!$A87="","",Products!$I87)</f>
        <v/>
      </c>
      <c r="M217" s="26" t="str">
        <f>IF(Products!$A87="","",Products!$J87)</f>
        <v/>
      </c>
      <c r="N217" s="26" t="str">
        <f>IF(Products!$A87="","",Products!$V87)</f>
        <v/>
      </c>
      <c r="O217" s="24" t="str">
        <f>IF(Products!$A87="","",Products!$Z87&amp;"")</f>
        <v/>
      </c>
    </row>
    <row r="218">
      <c r="B218" s="24" t="str">
        <f>IF(Products!$A88="","",Products!$A88&amp;"")</f>
        <v/>
      </c>
      <c r="C218" s="24" t="str">
        <f>IF(Products!$A88="","",Products!$B88&amp;"")</f>
        <v/>
      </c>
      <c r="D218" s="26" t="str">
        <f>IF(Products!$A88="","",Products!$H88)</f>
        <v/>
      </c>
      <c r="E218" s="26" t="str">
        <f>IF(Products!$A88="","",Products!$O88)</f>
        <v/>
      </c>
      <c r="F218" s="26" t="str">
        <f>IF(Products!$A88="","",Products!$P88)</f>
        <v/>
      </c>
      <c r="G218" s="25" t="str">
        <f>IF(Products!$A88="","",Products!$Q88)</f>
        <v/>
      </c>
      <c r="H218" s="25" t="str">
        <f>IF(Products!$A88="","",Products!$R88)</f>
        <v/>
      </c>
      <c r="I218" s="26" t="str">
        <f>IF(Products!$A88="","",Products!$S88)</f>
        <v/>
      </c>
      <c r="J218" s="26" t="str">
        <f>IF(Products!$A88="","",Products!$T88)</f>
        <v/>
      </c>
      <c r="K218" s="25" t="str">
        <f>IF(Products!$A88="","",Products!$U88)</f>
        <v/>
      </c>
      <c r="L218" s="26" t="str">
        <f>IF(Products!$A88="","",Products!$I88)</f>
        <v/>
      </c>
      <c r="M218" s="26" t="str">
        <f>IF(Products!$A88="","",Products!$J88)</f>
        <v/>
      </c>
      <c r="N218" s="26" t="str">
        <f>IF(Products!$A88="","",Products!$V88)</f>
        <v/>
      </c>
      <c r="O218" s="24" t="str">
        <f>IF(Products!$A88="","",Products!$Z88&amp;"")</f>
        <v/>
      </c>
    </row>
    <row r="219">
      <c r="B219" s="24" t="str">
        <f>IF(Products!$A89="","",Products!$A89&amp;"")</f>
        <v/>
      </c>
      <c r="C219" s="24" t="str">
        <f>IF(Products!$A89="","",Products!$B89&amp;"")</f>
        <v/>
      </c>
      <c r="D219" s="26" t="str">
        <f>IF(Products!$A89="","",Products!$H89)</f>
        <v/>
      </c>
      <c r="E219" s="26" t="str">
        <f>IF(Products!$A89="","",Products!$O89)</f>
        <v/>
      </c>
      <c r="F219" s="26" t="str">
        <f>IF(Products!$A89="","",Products!$P89)</f>
        <v/>
      </c>
      <c r="G219" s="25" t="str">
        <f>IF(Products!$A89="","",Products!$Q89)</f>
        <v/>
      </c>
      <c r="H219" s="25" t="str">
        <f>IF(Products!$A89="","",Products!$R89)</f>
        <v/>
      </c>
      <c r="I219" s="26" t="str">
        <f>IF(Products!$A89="","",Products!$S89)</f>
        <v/>
      </c>
      <c r="J219" s="26" t="str">
        <f>IF(Products!$A89="","",Products!$T89)</f>
        <v/>
      </c>
      <c r="K219" s="25" t="str">
        <f>IF(Products!$A89="","",Products!$U89)</f>
        <v/>
      </c>
      <c r="L219" s="26" t="str">
        <f>IF(Products!$A89="","",Products!$I89)</f>
        <v/>
      </c>
      <c r="M219" s="26" t="str">
        <f>IF(Products!$A89="","",Products!$J89)</f>
        <v/>
      </c>
      <c r="N219" s="26" t="str">
        <f>IF(Products!$A89="","",Products!$V89)</f>
        <v/>
      </c>
      <c r="O219" s="24" t="str">
        <f>IF(Products!$A89="","",Products!$Z89&amp;"")</f>
        <v/>
      </c>
    </row>
    <row r="220">
      <c r="B220" s="24" t="str">
        <f>IF(Products!$A90="","",Products!$A90&amp;"")</f>
        <v/>
      </c>
      <c r="C220" s="24" t="str">
        <f>IF(Products!$A90="","",Products!$B90&amp;"")</f>
        <v/>
      </c>
      <c r="D220" s="26" t="str">
        <f>IF(Products!$A90="","",Products!$H90)</f>
        <v/>
      </c>
      <c r="E220" s="26" t="str">
        <f>IF(Products!$A90="","",Products!$O90)</f>
        <v/>
      </c>
      <c r="F220" s="26" t="str">
        <f>IF(Products!$A90="","",Products!$P90)</f>
        <v/>
      </c>
      <c r="G220" s="25" t="str">
        <f>IF(Products!$A90="","",Products!$Q90)</f>
        <v/>
      </c>
      <c r="H220" s="25" t="str">
        <f>IF(Products!$A90="","",Products!$R90)</f>
        <v/>
      </c>
      <c r="I220" s="26" t="str">
        <f>IF(Products!$A90="","",Products!$S90)</f>
        <v/>
      </c>
      <c r="J220" s="26" t="str">
        <f>IF(Products!$A90="","",Products!$T90)</f>
        <v/>
      </c>
      <c r="K220" s="25" t="str">
        <f>IF(Products!$A90="","",Products!$U90)</f>
        <v/>
      </c>
      <c r="L220" s="26" t="str">
        <f>IF(Products!$A90="","",Products!$I90)</f>
        <v/>
      </c>
      <c r="M220" s="26" t="str">
        <f>IF(Products!$A90="","",Products!$J90)</f>
        <v/>
      </c>
      <c r="N220" s="26" t="str">
        <f>IF(Products!$A90="","",Products!$V90)</f>
        <v/>
      </c>
      <c r="O220" s="24" t="str">
        <f>IF(Products!$A90="","",Products!$Z90&amp;"")</f>
        <v/>
      </c>
    </row>
    <row r="221">
      <c r="B221" s="24" t="str">
        <f>IF(Products!$A91="","",Products!$A91&amp;"")</f>
        <v/>
      </c>
      <c r="C221" s="24" t="str">
        <f>IF(Products!$A91="","",Products!$B91&amp;"")</f>
        <v/>
      </c>
      <c r="D221" s="26" t="str">
        <f>IF(Products!$A91="","",Products!$H91)</f>
        <v/>
      </c>
      <c r="E221" s="26" t="str">
        <f>IF(Products!$A91="","",Products!$O91)</f>
        <v/>
      </c>
      <c r="F221" s="26" t="str">
        <f>IF(Products!$A91="","",Products!$P91)</f>
        <v/>
      </c>
      <c r="G221" s="25" t="str">
        <f>IF(Products!$A91="","",Products!$Q91)</f>
        <v/>
      </c>
      <c r="H221" s="25" t="str">
        <f>IF(Products!$A91="","",Products!$R91)</f>
        <v/>
      </c>
      <c r="I221" s="26" t="str">
        <f>IF(Products!$A91="","",Products!$S91)</f>
        <v/>
      </c>
      <c r="J221" s="26" t="str">
        <f>IF(Products!$A91="","",Products!$T91)</f>
        <v/>
      </c>
      <c r="K221" s="25" t="str">
        <f>IF(Products!$A91="","",Products!$U91)</f>
        <v/>
      </c>
      <c r="L221" s="26" t="str">
        <f>IF(Products!$A91="","",Products!$I91)</f>
        <v/>
      </c>
      <c r="M221" s="26" t="str">
        <f>IF(Products!$A91="","",Products!$J91)</f>
        <v/>
      </c>
      <c r="N221" s="26" t="str">
        <f>IF(Products!$A91="","",Products!$V91)</f>
        <v/>
      </c>
      <c r="O221" s="24" t="str">
        <f>IF(Products!$A91="","",Products!$Z91&amp;"")</f>
        <v/>
      </c>
    </row>
    <row r="222">
      <c r="B222" s="24" t="str">
        <f>IF(Products!$A92="","",Products!$A92&amp;"")</f>
        <v/>
      </c>
      <c r="C222" s="24" t="str">
        <f>IF(Products!$A92="","",Products!$B92&amp;"")</f>
        <v/>
      </c>
      <c r="D222" s="26" t="str">
        <f>IF(Products!$A92="","",Products!$H92)</f>
        <v/>
      </c>
      <c r="E222" s="26" t="str">
        <f>IF(Products!$A92="","",Products!$O92)</f>
        <v/>
      </c>
      <c r="F222" s="26" t="str">
        <f>IF(Products!$A92="","",Products!$P92)</f>
        <v/>
      </c>
      <c r="G222" s="25" t="str">
        <f>IF(Products!$A92="","",Products!$Q92)</f>
        <v/>
      </c>
      <c r="H222" s="25" t="str">
        <f>IF(Products!$A92="","",Products!$R92)</f>
        <v/>
      </c>
      <c r="I222" s="26" t="str">
        <f>IF(Products!$A92="","",Products!$S92)</f>
        <v/>
      </c>
      <c r="J222" s="26" t="str">
        <f>IF(Products!$A92="","",Products!$T92)</f>
        <v/>
      </c>
      <c r="K222" s="25" t="str">
        <f>IF(Products!$A92="","",Products!$U92)</f>
        <v/>
      </c>
      <c r="L222" s="26" t="str">
        <f>IF(Products!$A92="","",Products!$I92)</f>
        <v/>
      </c>
      <c r="M222" s="26" t="str">
        <f>IF(Products!$A92="","",Products!$J92)</f>
        <v/>
      </c>
      <c r="N222" s="26" t="str">
        <f>IF(Products!$A92="","",Products!$V92)</f>
        <v/>
      </c>
      <c r="O222" s="24" t="str">
        <f>IF(Products!$A92="","",Products!$Z92&amp;"")</f>
        <v/>
      </c>
    </row>
    <row r="223">
      <c r="B223" s="24" t="str">
        <f>IF(Products!$A93="","",Products!$A93&amp;"")</f>
        <v/>
      </c>
      <c r="C223" s="24" t="str">
        <f>IF(Products!$A93="","",Products!$B93&amp;"")</f>
        <v/>
      </c>
      <c r="D223" s="26" t="str">
        <f>IF(Products!$A93="","",Products!$H93)</f>
        <v/>
      </c>
      <c r="E223" s="26" t="str">
        <f>IF(Products!$A93="","",Products!$O93)</f>
        <v/>
      </c>
      <c r="F223" s="26" t="str">
        <f>IF(Products!$A93="","",Products!$P93)</f>
        <v/>
      </c>
      <c r="G223" s="25" t="str">
        <f>IF(Products!$A93="","",Products!$Q93)</f>
        <v/>
      </c>
      <c r="H223" s="25" t="str">
        <f>IF(Products!$A93="","",Products!$R93)</f>
        <v/>
      </c>
      <c r="I223" s="26" t="str">
        <f>IF(Products!$A93="","",Products!$S93)</f>
        <v/>
      </c>
      <c r="J223" s="26" t="str">
        <f>IF(Products!$A93="","",Products!$T93)</f>
        <v/>
      </c>
      <c r="K223" s="25" t="str">
        <f>IF(Products!$A93="","",Products!$U93)</f>
        <v/>
      </c>
      <c r="L223" s="26" t="str">
        <f>IF(Products!$A93="","",Products!$I93)</f>
        <v/>
      </c>
      <c r="M223" s="26" t="str">
        <f>IF(Products!$A93="","",Products!$J93)</f>
        <v/>
      </c>
      <c r="N223" s="26" t="str">
        <f>IF(Products!$A93="","",Products!$V93)</f>
        <v/>
      </c>
      <c r="O223" s="24" t="str">
        <f>IF(Products!$A93="","",Products!$Z93&amp;"")</f>
        <v/>
      </c>
    </row>
    <row r="224">
      <c r="B224" s="24" t="str">
        <f>IF(Products!$A94="","",Products!$A94&amp;"")</f>
        <v/>
      </c>
      <c r="C224" s="24" t="str">
        <f>IF(Products!$A94="","",Products!$B94&amp;"")</f>
        <v/>
      </c>
      <c r="D224" s="26" t="str">
        <f>IF(Products!$A94="","",Products!$H94)</f>
        <v/>
      </c>
      <c r="E224" s="26" t="str">
        <f>IF(Products!$A94="","",Products!$O94)</f>
        <v/>
      </c>
      <c r="F224" s="26" t="str">
        <f>IF(Products!$A94="","",Products!$P94)</f>
        <v/>
      </c>
      <c r="G224" s="25" t="str">
        <f>IF(Products!$A94="","",Products!$Q94)</f>
        <v/>
      </c>
      <c r="H224" s="25" t="str">
        <f>IF(Products!$A94="","",Products!$R94)</f>
        <v/>
      </c>
      <c r="I224" s="26" t="str">
        <f>IF(Products!$A94="","",Products!$S94)</f>
        <v/>
      </c>
      <c r="J224" s="26" t="str">
        <f>IF(Products!$A94="","",Products!$T94)</f>
        <v/>
      </c>
      <c r="K224" s="25" t="str">
        <f>IF(Products!$A94="","",Products!$U94)</f>
        <v/>
      </c>
      <c r="L224" s="26" t="str">
        <f>IF(Products!$A94="","",Products!$I94)</f>
        <v/>
      </c>
      <c r="M224" s="26" t="str">
        <f>IF(Products!$A94="","",Products!$J94)</f>
        <v/>
      </c>
      <c r="N224" s="26" t="str">
        <f>IF(Products!$A94="","",Products!$V94)</f>
        <v/>
      </c>
      <c r="O224" s="24" t="str">
        <f>IF(Products!$A94="","",Products!$Z94&amp;"")</f>
        <v/>
      </c>
    </row>
    <row r="225">
      <c r="B225" s="24" t="str">
        <f>IF(Products!$A95="","",Products!$A95&amp;"")</f>
        <v/>
      </c>
      <c r="C225" s="24" t="str">
        <f>IF(Products!$A95="","",Products!$B95&amp;"")</f>
        <v/>
      </c>
      <c r="D225" s="26" t="str">
        <f>IF(Products!$A95="","",Products!$H95)</f>
        <v/>
      </c>
      <c r="E225" s="26" t="str">
        <f>IF(Products!$A95="","",Products!$O95)</f>
        <v/>
      </c>
      <c r="F225" s="26" t="str">
        <f>IF(Products!$A95="","",Products!$P95)</f>
        <v/>
      </c>
      <c r="G225" s="25" t="str">
        <f>IF(Products!$A95="","",Products!$Q95)</f>
        <v/>
      </c>
      <c r="H225" s="25" t="str">
        <f>IF(Products!$A95="","",Products!$R95)</f>
        <v/>
      </c>
      <c r="I225" s="26" t="str">
        <f>IF(Products!$A95="","",Products!$S95)</f>
        <v/>
      </c>
      <c r="J225" s="26" t="str">
        <f>IF(Products!$A95="","",Products!$T95)</f>
        <v/>
      </c>
      <c r="K225" s="25" t="str">
        <f>IF(Products!$A95="","",Products!$U95)</f>
        <v/>
      </c>
      <c r="L225" s="26" t="str">
        <f>IF(Products!$A95="","",Products!$I95)</f>
        <v/>
      </c>
      <c r="M225" s="26" t="str">
        <f>IF(Products!$A95="","",Products!$J95)</f>
        <v/>
      </c>
      <c r="N225" s="26" t="str">
        <f>IF(Products!$A95="","",Products!$V95)</f>
        <v/>
      </c>
      <c r="O225" s="24" t="str">
        <f>IF(Products!$A95="","",Products!$Z95&amp;"")</f>
        <v/>
      </c>
    </row>
    <row r="226">
      <c r="B226" s="24" t="str">
        <f>IF(Products!$A96="","",Products!$A96&amp;"")</f>
        <v/>
      </c>
      <c r="C226" s="24" t="str">
        <f>IF(Products!$A96="","",Products!$B96&amp;"")</f>
        <v/>
      </c>
      <c r="D226" s="26" t="str">
        <f>IF(Products!$A96="","",Products!$H96)</f>
        <v/>
      </c>
      <c r="E226" s="26" t="str">
        <f>IF(Products!$A96="","",Products!$O96)</f>
        <v/>
      </c>
      <c r="F226" s="26" t="str">
        <f>IF(Products!$A96="","",Products!$P96)</f>
        <v/>
      </c>
      <c r="G226" s="25" t="str">
        <f>IF(Products!$A96="","",Products!$Q96)</f>
        <v/>
      </c>
      <c r="H226" s="25" t="str">
        <f>IF(Products!$A96="","",Products!$R96)</f>
        <v/>
      </c>
      <c r="I226" s="26" t="str">
        <f>IF(Products!$A96="","",Products!$S96)</f>
        <v/>
      </c>
      <c r="J226" s="26" t="str">
        <f>IF(Products!$A96="","",Products!$T96)</f>
        <v/>
      </c>
      <c r="K226" s="25" t="str">
        <f>IF(Products!$A96="","",Products!$U96)</f>
        <v/>
      </c>
      <c r="L226" s="26" t="str">
        <f>IF(Products!$A96="","",Products!$I96)</f>
        <v/>
      </c>
      <c r="M226" s="26" t="str">
        <f>IF(Products!$A96="","",Products!$J96)</f>
        <v/>
      </c>
      <c r="N226" s="26" t="str">
        <f>IF(Products!$A96="","",Products!$V96)</f>
        <v/>
      </c>
      <c r="O226" s="24" t="str">
        <f>IF(Products!$A96="","",Products!$Z96&amp;"")</f>
        <v/>
      </c>
    </row>
    <row r="227">
      <c r="B227" s="24" t="str">
        <f>IF(Products!$A97="","",Products!$A97&amp;"")</f>
        <v/>
      </c>
      <c r="C227" s="24" t="str">
        <f>IF(Products!$A97="","",Products!$B97&amp;"")</f>
        <v/>
      </c>
      <c r="D227" s="26" t="str">
        <f>IF(Products!$A97="","",Products!$H97)</f>
        <v/>
      </c>
      <c r="E227" s="26" t="str">
        <f>IF(Products!$A97="","",Products!$O97)</f>
        <v/>
      </c>
      <c r="F227" s="26" t="str">
        <f>IF(Products!$A97="","",Products!$P97)</f>
        <v/>
      </c>
      <c r="G227" s="25" t="str">
        <f>IF(Products!$A97="","",Products!$Q97)</f>
        <v/>
      </c>
      <c r="H227" s="25" t="str">
        <f>IF(Products!$A97="","",Products!$R97)</f>
        <v/>
      </c>
      <c r="I227" s="26" t="str">
        <f>IF(Products!$A97="","",Products!$S97)</f>
        <v/>
      </c>
      <c r="J227" s="26" t="str">
        <f>IF(Products!$A97="","",Products!$T97)</f>
        <v/>
      </c>
      <c r="K227" s="25" t="str">
        <f>IF(Products!$A97="","",Products!$U97)</f>
        <v/>
      </c>
      <c r="L227" s="26" t="str">
        <f>IF(Products!$A97="","",Products!$I97)</f>
        <v/>
      </c>
      <c r="M227" s="26" t="str">
        <f>IF(Products!$A97="","",Products!$J97)</f>
        <v/>
      </c>
      <c r="N227" s="26" t="str">
        <f>IF(Products!$A97="","",Products!$V97)</f>
        <v/>
      </c>
      <c r="O227" s="24" t="str">
        <f>IF(Products!$A97="","",Products!$Z97&amp;"")</f>
        <v/>
      </c>
    </row>
    <row r="228">
      <c r="B228" s="24" t="str">
        <f>IF(Products!$A98="","",Products!$A98&amp;"")</f>
        <v/>
      </c>
      <c r="C228" s="24" t="str">
        <f>IF(Products!$A98="","",Products!$B98&amp;"")</f>
        <v/>
      </c>
      <c r="D228" s="26" t="str">
        <f>IF(Products!$A98="","",Products!$H98)</f>
        <v/>
      </c>
      <c r="E228" s="26" t="str">
        <f>IF(Products!$A98="","",Products!$O98)</f>
        <v/>
      </c>
      <c r="F228" s="26" t="str">
        <f>IF(Products!$A98="","",Products!$P98)</f>
        <v/>
      </c>
      <c r="G228" s="25" t="str">
        <f>IF(Products!$A98="","",Products!$Q98)</f>
        <v/>
      </c>
      <c r="H228" s="25" t="str">
        <f>IF(Products!$A98="","",Products!$R98)</f>
        <v/>
      </c>
      <c r="I228" s="26" t="str">
        <f>IF(Products!$A98="","",Products!$S98)</f>
        <v/>
      </c>
      <c r="J228" s="26" t="str">
        <f>IF(Products!$A98="","",Products!$T98)</f>
        <v/>
      </c>
      <c r="K228" s="25" t="str">
        <f>IF(Products!$A98="","",Products!$U98)</f>
        <v/>
      </c>
      <c r="L228" s="26" t="str">
        <f>IF(Products!$A98="","",Products!$I98)</f>
        <v/>
      </c>
      <c r="M228" s="26" t="str">
        <f>IF(Products!$A98="","",Products!$J98)</f>
        <v/>
      </c>
      <c r="N228" s="26" t="str">
        <f>IF(Products!$A98="","",Products!$V98)</f>
        <v/>
      </c>
      <c r="O228" s="24" t="str">
        <f>IF(Products!$A98="","",Products!$Z98&amp;"")</f>
        <v/>
      </c>
    </row>
    <row r="229">
      <c r="B229" s="24" t="str">
        <f>IF(Products!$A99="","",Products!$A99&amp;"")</f>
        <v/>
      </c>
      <c r="C229" s="24" t="str">
        <f>IF(Products!$A99="","",Products!$B99&amp;"")</f>
        <v/>
      </c>
      <c r="D229" s="26" t="str">
        <f>IF(Products!$A99="","",Products!$H99)</f>
        <v/>
      </c>
      <c r="E229" s="26" t="str">
        <f>IF(Products!$A99="","",Products!$O99)</f>
        <v/>
      </c>
      <c r="F229" s="26" t="str">
        <f>IF(Products!$A99="","",Products!$P99)</f>
        <v/>
      </c>
      <c r="G229" s="25" t="str">
        <f>IF(Products!$A99="","",Products!$Q99)</f>
        <v/>
      </c>
      <c r="H229" s="25" t="str">
        <f>IF(Products!$A99="","",Products!$R99)</f>
        <v/>
      </c>
      <c r="I229" s="26" t="str">
        <f>IF(Products!$A99="","",Products!$S99)</f>
        <v/>
      </c>
      <c r="J229" s="26" t="str">
        <f>IF(Products!$A99="","",Products!$T99)</f>
        <v/>
      </c>
      <c r="K229" s="25" t="str">
        <f>IF(Products!$A99="","",Products!$U99)</f>
        <v/>
      </c>
      <c r="L229" s="26" t="str">
        <f>IF(Products!$A99="","",Products!$I99)</f>
        <v/>
      </c>
      <c r="M229" s="26" t="str">
        <f>IF(Products!$A99="","",Products!$J99)</f>
        <v/>
      </c>
      <c r="N229" s="26" t="str">
        <f>IF(Products!$A99="","",Products!$V99)</f>
        <v/>
      </c>
      <c r="O229" s="24" t="str">
        <f>IF(Products!$A99="","",Products!$Z99&amp;"")</f>
        <v/>
      </c>
    </row>
    <row r="230">
      <c r="B230" s="24" t="str">
        <f>IF(Products!$A100="","",Products!$A100&amp;"")</f>
        <v/>
      </c>
      <c r="C230" s="24" t="str">
        <f>IF(Products!$A100="","",Products!$B100&amp;"")</f>
        <v/>
      </c>
      <c r="D230" s="26" t="str">
        <f>IF(Products!$A100="","",Products!$H100)</f>
        <v/>
      </c>
      <c r="E230" s="26" t="str">
        <f>IF(Products!$A100="","",Products!$O100)</f>
        <v/>
      </c>
      <c r="F230" s="26" t="str">
        <f>IF(Products!$A100="","",Products!$P100)</f>
        <v/>
      </c>
      <c r="G230" s="25" t="str">
        <f>IF(Products!$A100="","",Products!$Q100)</f>
        <v/>
      </c>
      <c r="H230" s="25" t="str">
        <f>IF(Products!$A100="","",Products!$R100)</f>
        <v/>
      </c>
      <c r="I230" s="26" t="str">
        <f>IF(Products!$A100="","",Products!$S100)</f>
        <v/>
      </c>
      <c r="J230" s="26" t="str">
        <f>IF(Products!$A100="","",Products!$T100)</f>
        <v/>
      </c>
      <c r="K230" s="25" t="str">
        <f>IF(Products!$A100="","",Products!$U100)</f>
        <v/>
      </c>
      <c r="L230" s="26" t="str">
        <f>IF(Products!$A100="","",Products!$I100)</f>
        <v/>
      </c>
      <c r="M230" s="26" t="str">
        <f>IF(Products!$A100="","",Products!$J100)</f>
        <v/>
      </c>
      <c r="N230" s="26" t="str">
        <f>IF(Products!$A100="","",Products!$V100)</f>
        <v/>
      </c>
      <c r="O230" s="24" t="str">
        <f>IF(Products!$A100="","",Products!$Z100&amp;"")</f>
        <v/>
      </c>
    </row>
    <row r="231">
      <c r="B231" s="24" t="str">
        <f>IF(Products!$A101="","",Products!$A101&amp;"")</f>
        <v/>
      </c>
      <c r="C231" s="24" t="str">
        <f>IF(Products!$A101="","",Products!$B101&amp;"")</f>
        <v/>
      </c>
      <c r="D231" s="26" t="str">
        <f>IF(Products!$A101="","",Products!$H101)</f>
        <v/>
      </c>
      <c r="E231" s="26" t="str">
        <f>IF(Products!$A101="","",Products!$O101)</f>
        <v/>
      </c>
      <c r="F231" s="26" t="str">
        <f>IF(Products!$A101="","",Products!$P101)</f>
        <v/>
      </c>
      <c r="G231" s="25" t="str">
        <f>IF(Products!$A101="","",Products!$Q101)</f>
        <v/>
      </c>
      <c r="H231" s="25" t="str">
        <f>IF(Products!$A101="","",Products!$R101)</f>
        <v/>
      </c>
      <c r="I231" s="26" t="str">
        <f>IF(Products!$A101="","",Products!$S101)</f>
        <v/>
      </c>
      <c r="J231" s="26" t="str">
        <f>IF(Products!$A101="","",Products!$T101)</f>
        <v/>
      </c>
      <c r="K231" s="25" t="str">
        <f>IF(Products!$A101="","",Products!$U101)</f>
        <v/>
      </c>
      <c r="L231" s="26" t="str">
        <f>IF(Products!$A101="","",Products!$I101)</f>
        <v/>
      </c>
      <c r="M231" s="26" t="str">
        <f>IF(Products!$A101="","",Products!$J101)</f>
        <v/>
      </c>
      <c r="N231" s="26" t="str">
        <f>IF(Products!$A101="","",Products!$V101)</f>
        <v/>
      </c>
      <c r="O231" s="24" t="str">
        <f>IF(Products!$A101="","",Products!$Z101&amp;"")</f>
        <v/>
      </c>
    </row>
  </sheetData>
  <sheetProtection selectLockedCells="0" selectUnlockedCells="0" sheet="1" objects="0" insertRows="1" insertHyperlinks="1" autoFilter="0" scenarios="0" formatColumns="0" deleteColumns="1" insertColumns="1" pivotTables="1" deleteRows="1" formatCells="1" formatRows="0" sort="0"/>
  <mergeCells count="42">
    <mergeCell ref="F11:G11"/>
    <mergeCell ref="L7:M7"/>
    <mergeCell ref="D10:E10"/>
    <mergeCell ref="J5:K5"/>
    <mergeCell ref="N7:O7"/>
    <mergeCell ref="F10:G10"/>
    <mergeCell ref="H10:I10"/>
    <mergeCell ref="N11:O11"/>
    <mergeCell ref="J10:K10"/>
    <mergeCell ref="P10:Q10"/>
    <mergeCell ref="F6:G6"/>
    <mergeCell ref="H9:I9"/>
    <mergeCell ref="F7:G7"/>
    <mergeCell ref="J9:K9"/>
    <mergeCell ref="P9:Q9"/>
    <mergeCell ref="D6:E6"/>
    <mergeCell ref="H6:I6"/>
    <mergeCell ref="J6:K6"/>
    <mergeCell ref="P6:Q6"/>
    <mergeCell ref="D11:E11"/>
    <mergeCell ref="F5:G5"/>
    <mergeCell ref="P11:Q11"/>
    <mergeCell ref="L5:M5"/>
    <mergeCell ref="N5:O5"/>
    <mergeCell ref="H11:I11"/>
    <mergeCell ref="J11:K11"/>
    <mergeCell ref="D7:E7"/>
    <mergeCell ref="P7:Q7"/>
    <mergeCell ref="H7:I7"/>
    <mergeCell ref="L10:M10"/>
    <mergeCell ref="J7:K7"/>
    <mergeCell ref="N10:O10"/>
    <mergeCell ref="D9:E9"/>
    <mergeCell ref="F9:G9"/>
    <mergeCell ref="L9:M9"/>
    <mergeCell ref="N9:O9"/>
    <mergeCell ref="L6:M6"/>
    <mergeCell ref="N6:O6"/>
    <mergeCell ref="D5:E5"/>
    <mergeCell ref="L11:M11"/>
    <mergeCell ref="H5:I5"/>
    <mergeCell ref="P5:Q5"/>
  </mergeCells>
  <conditionalFormatting sqref="B16:L30">
    <cfRule type="expression" priority="1" dxfId="0">
      <formula>$K16="Negative"</formula>
    </cfRule>
    <cfRule type="expression" priority="2" dxfId="1">
      <formula>$K16="Below reorder"</formula>
    </cfRule>
  </conditionalFormatting>
  <conditionalFormatting sqref="B35:L49">
    <cfRule type="expression" priority="3" dxfId="0">
      <formula>$K35="Yes"</formula>
    </cfRule>
  </conditionalFormatting>
  <conditionalFormatting sqref="B54:J73">
    <cfRule type="expression" priority="4" dxfId="0">
      <formula>AND($B54&lt;&gt;"",$G54&lt;0)</formula>
    </cfRule>
    <cfRule type="expression" priority="5" dxfId="2">
      <formula>AND($B54&lt;&gt;"",$G54&gt;=0,$G54&lt;=$S$1)</formula>
    </cfRule>
    <cfRule type="expression" priority="6" dxfId="1">
      <formula>AND($B54&lt;&gt;"",$G54&gt;$S$1,$G54&lt;=$S$2)</formula>
    </cfRule>
    <cfRule type="expression" priority="7" dxfId="3">
      <formula>AND($B54&lt;&gt;"",$G54&gt;$S$2,$G54&lt;=$S$3)</formula>
    </cfRule>
  </conditionalFormatting>
  <conditionalFormatting sqref="B78:J92">
    <cfRule type="expression" priority="8" dxfId="0">
      <formula>$H78="Yes"</formula>
    </cfRule>
  </conditionalFormatting>
  <conditionalFormatting sqref="E97:E107">
    <cfRule type="expression" priority="9" dxfId="0">
      <formula>$E97&gt;0</formula>
    </cfRule>
  </conditionalFormatting>
  <conditionalFormatting sqref="B132:O231">
    <cfRule type="expression" priority="10" dxfId="0">
      <formula>$O132="Negative"</formula>
    </cfRule>
    <cfRule type="expression" priority="11" dxfId="1">
      <formula>$O132="Below reorder"</formula>
    </cfRule>
  </conditionalFormatting>
  <pageMargins left="0.75" right="0.75" top="1" bottom="1" header="0.5" footer="0.5"/>
</worksheet>
</file>

<file path=xl/worksheets/sheet3.xml><?xml version="1.0" encoding="utf-8"?>
<worksheet xmlns="http://schemas.openxmlformats.org/spreadsheetml/2006/main">
  <sheetPr>
    <tabColor rgb="007A8794"/>
    <outlinePr summaryBelow="1" summaryRight="1"/>
    <pageSetUpPr/>
  </sheetPr>
  <dimension ref="A1:X61"/>
  <sheetViews>
    <sheetView workbookViewId="0">
      <pane ySplit="3" topLeftCell="A4" activePane="bottomLeft" state="frozen"/>
      <selection pane="bottomLeft" activeCell="A1" sqref="A1"/>
    </sheetView>
  </sheetViews>
  <sheetFormatPr baseColWidth="8" defaultRowHeight="15"/>
  <cols>
    <col width="26"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Config: settings, lists and import checks</t>
        </is>
      </c>
    </row>
    <row r="2">
      <c r="A2" s="16" t="inlineStr">
        <is>
          <t>White cells can be changed. Every formula in the workbook reads these settings and lists.</t>
        </is>
      </c>
    </row>
    <row r="3">
      <c r="A3" s="6" t="inlineStr">
        <is>
          <t>Setting</t>
        </is>
      </c>
      <c r="B3" s="6" t="inlineStr">
        <is>
          <t>Value</t>
        </is>
      </c>
      <c r="C3" s="6" t="inlineStr">
        <is>
          <t>What it does</t>
        </is>
      </c>
    </row>
    <row r="4">
      <c r="A4" s="34" t="inlineStr">
        <is>
          <t>As-of date</t>
        </is>
      </c>
      <c r="B4" s="39" t="n">
        <v>46310</v>
      </c>
      <c r="C4" s="20" t="inlineStr">
        <is>
          <t>All day counts, overdue flags and expiry windows use this date. Change it to see the workbook on another day.</t>
        </is>
      </c>
    </row>
    <row r="5">
      <c r="A5" s="34" t="inlineStr">
        <is>
          <t>Opening balance date</t>
        </is>
      </c>
      <c r="B5" s="39" t="n">
        <v>46204</v>
      </c>
      <c r="C5" s="20" t="inlineStr">
        <is>
          <t>Opening balances in Products and Batches are the units on hand on this date.</t>
        </is>
      </c>
    </row>
    <row r="6">
      <c r="A6" s="34" t="inlineStr">
        <is>
          <t>Expiry window 1 (days)</t>
        </is>
      </c>
      <c r="B6" s="40" t="n">
        <v>30</v>
      </c>
      <c r="C6" s="20" t="inlineStr">
        <is>
          <t>First expiry window ends at this many days left.</t>
        </is>
      </c>
    </row>
    <row r="7">
      <c r="A7" s="34" t="inlineStr">
        <is>
          <t>Expiry window 2 (days)</t>
        </is>
      </c>
      <c r="B7" s="40" t="n">
        <v>60</v>
      </c>
      <c r="C7" s="20" t="inlineStr">
        <is>
          <t>Second expiry window ends here.</t>
        </is>
      </c>
    </row>
    <row r="8">
      <c r="A8" s="34" t="inlineStr">
        <is>
          <t>Expiry window 3 (days)</t>
        </is>
      </c>
      <c r="B8" s="40" t="n">
        <v>90</v>
      </c>
      <c r="C8" s="20" t="inlineStr">
        <is>
          <t>Third expiry window ends here. Lots beyond it are not alerted.</t>
        </is>
      </c>
    </row>
    <row r="9">
      <c r="A9" s="34" t="inlineStr">
        <is>
          <t>Reorder test uses</t>
        </is>
      </c>
      <c r="B9" s="40" t="inlineStr">
        <is>
          <t>Available</t>
        </is>
      </c>
      <c r="C9" s="20" t="inlineStr">
        <is>
          <t>Available or Recorded: which stock is compared with the reorder point.</t>
        </is>
      </c>
    </row>
    <row r="10">
      <c r="A10" s="34" t="inlineStr">
        <is>
          <t>Expired lots are held</t>
        </is>
      </c>
      <c r="B10" s="40" t="inlineStr">
        <is>
          <t>Yes</t>
        </is>
      </c>
      <c r="C10" s="20" t="inlineStr">
        <is>
          <t>Yes = units in expired lots are not available.</t>
        </is>
      </c>
    </row>
    <row r="11">
      <c r="A11" s="34" t="inlineStr">
        <is>
          <t>File in Import_Staging</t>
        </is>
      </c>
      <c r="B11" s="40" t="inlineStr">
        <is>
          <t>warehouse-movements-2026-10-14.csv</t>
        </is>
      </c>
      <c r="C11" s="20" t="inlineStr">
        <is>
          <t>Name of the file now pasted in Import_Staging.</t>
        </is>
      </c>
    </row>
    <row r="13">
      <c r="A13" s="17" t="inlineStr">
        <is>
          <t>Lists for dropdowns and rules. Add new values in the empty white cells under a list.</t>
        </is>
      </c>
    </row>
    <row r="14" ht="30" customHeight="1">
      <c r="A14" s="41" t="inlineStr">
        <is>
          <t>Movement types</t>
        </is>
      </c>
      <c r="B14" s="41" t="inlineStr">
        <is>
          <t>Adjustment reasons</t>
        </is>
      </c>
      <c r="C14" s="41" t="inlineStr">
        <is>
          <t>PO statuses</t>
        </is>
      </c>
      <c r="D14" s="41" t="inlineStr">
        <is>
          <t>PO counts as open</t>
        </is>
      </c>
      <c r="E14" s="41" t="inlineStr">
        <is>
          <t>Lot statuses</t>
        </is>
      </c>
      <c r="F14" s="41" t="inlineStr">
        <is>
          <t>Lot holds stock</t>
        </is>
      </c>
      <c r="G14" s="41" t="inlineStr">
        <is>
          <t>Lot allowed on receipt</t>
        </is>
      </c>
      <c r="H14" s="41" t="inlineStr">
        <is>
          <t>Reservation statuses</t>
        </is>
      </c>
      <c r="I14" s="41" t="inlineStr">
        <is>
          <t>Reservation holds stock</t>
        </is>
      </c>
      <c r="J14" s="41" t="inlineStr">
        <is>
          <t>Task statuses</t>
        </is>
      </c>
      <c r="K14" s="41" t="inlineStr">
        <is>
          <t>Task counts as open</t>
        </is>
      </c>
      <c r="L14" s="41" t="inlineStr">
        <is>
          <t>Supplier types</t>
        </is>
      </c>
      <c r="M14" s="41" t="inlineStr">
        <is>
          <t>Supplier statuses</t>
        </is>
      </c>
      <c r="N14" s="41" t="inlineStr">
        <is>
          <t>Product categories</t>
        </is>
      </c>
      <c r="O14" s="41" t="inlineStr">
        <is>
          <t>Product statuses</t>
        </is>
      </c>
      <c r="P14" s="41" t="inlineStr">
        <is>
          <t>Campaign statuses</t>
        </is>
      </c>
      <c r="Q14" s="41" t="inlineStr">
        <is>
          <t>Channels</t>
        </is>
      </c>
      <c r="R14" s="41" t="inlineStr">
        <is>
          <t>Priorities</t>
        </is>
      </c>
      <c r="S14" s="41" t="inlineStr">
        <is>
          <t>Document types</t>
        </is>
      </c>
      <c r="T14" s="41" t="inlineStr">
        <is>
          <t>Document statuses</t>
        </is>
      </c>
      <c r="U14" s="41" t="inlineStr">
        <is>
          <t>Milestone kinds</t>
        </is>
      </c>
      <c r="V14" s="41" t="inlineStr">
        <is>
          <t>Milestone statuses</t>
        </is>
      </c>
      <c r="W14" s="41" t="inlineStr">
        <is>
          <t>Yes/No</t>
        </is>
      </c>
      <c r="X14" s="41" t="inlineStr">
        <is>
          <t>Reorder basis</t>
        </is>
      </c>
    </row>
    <row r="15">
      <c r="A15" s="42" t="inlineStr">
        <is>
          <t>Receipt</t>
        </is>
      </c>
      <c r="B15" s="42" t="inlineStr">
        <is>
          <t>Cycle count</t>
        </is>
      </c>
      <c r="C15" s="42" t="inlineStr">
        <is>
          <t>Draft</t>
        </is>
      </c>
      <c r="D15" s="42" t="inlineStr">
        <is>
          <t>No</t>
        </is>
      </c>
      <c r="E15" s="42" t="inlineStr">
        <is>
          <t>Released</t>
        </is>
      </c>
      <c r="F15" s="42" t="inlineStr">
        <is>
          <t>No</t>
        </is>
      </c>
      <c r="G15" s="42" t="inlineStr">
        <is>
          <t>Yes</t>
        </is>
      </c>
      <c r="H15" s="42" t="inlineStr">
        <is>
          <t>Active</t>
        </is>
      </c>
      <c r="I15" s="42" t="inlineStr">
        <is>
          <t>Yes</t>
        </is>
      </c>
      <c r="J15" s="42" t="inlineStr">
        <is>
          <t>Not started</t>
        </is>
      </c>
      <c r="K15" s="42" t="inlineStr">
        <is>
          <t>Yes</t>
        </is>
      </c>
      <c r="L15" s="42" t="inlineStr">
        <is>
          <t>Manufacturer</t>
        </is>
      </c>
      <c r="M15" s="42" t="inlineStr">
        <is>
          <t>Active</t>
        </is>
      </c>
      <c r="N15" s="42" t="inlineStr">
        <is>
          <t>Whey protein</t>
        </is>
      </c>
      <c r="O15" s="42" t="inlineStr">
        <is>
          <t>Active</t>
        </is>
      </c>
      <c r="P15" s="42" t="inlineStr">
        <is>
          <t>Draft</t>
        </is>
      </c>
      <c r="Q15" s="42" t="inlineStr">
        <is>
          <t>Paid social</t>
        </is>
      </c>
      <c r="R15" s="42" t="inlineStr">
        <is>
          <t>High</t>
        </is>
      </c>
      <c r="S15" s="42" t="inlineStr">
        <is>
          <t>Spec sheet</t>
        </is>
      </c>
      <c r="T15" s="42" t="inlineStr">
        <is>
          <t>Current</t>
        </is>
      </c>
      <c r="U15" s="42" t="inlineStr">
        <is>
          <t>Product</t>
        </is>
      </c>
      <c r="V15" s="42" t="inlineStr">
        <is>
          <t>Planned</t>
        </is>
      </c>
      <c r="W15" s="42" t="inlineStr">
        <is>
          <t>Yes</t>
        </is>
      </c>
      <c r="X15" s="42" t="inlineStr">
        <is>
          <t>Available</t>
        </is>
      </c>
    </row>
    <row r="16">
      <c r="A16" s="42" t="inlineStr">
        <is>
          <t>Shipment</t>
        </is>
      </c>
      <c r="B16" s="42" t="inlineStr">
        <is>
          <t>Damaged in warehouse</t>
        </is>
      </c>
      <c r="C16" s="42" t="inlineStr">
        <is>
          <t>Ordered</t>
        </is>
      </c>
      <c r="D16" s="42" t="inlineStr">
        <is>
          <t>Yes</t>
        </is>
      </c>
      <c r="E16" s="42" t="inlineStr">
        <is>
          <t>Quarantine</t>
        </is>
      </c>
      <c r="F16" s="42" t="inlineStr">
        <is>
          <t>Yes</t>
        </is>
      </c>
      <c r="G16" s="42" t="inlineStr">
        <is>
          <t>Yes</t>
        </is>
      </c>
      <c r="H16" s="42" t="inlineStr">
        <is>
          <t>Pending</t>
        </is>
      </c>
      <c r="I16" s="42" t="inlineStr">
        <is>
          <t>No</t>
        </is>
      </c>
      <c r="J16" s="42" t="inlineStr">
        <is>
          <t>In progress</t>
        </is>
      </c>
      <c r="K16" s="42" t="inlineStr">
        <is>
          <t>Yes</t>
        </is>
      </c>
      <c r="L16" s="42" t="inlineStr">
        <is>
          <t>Co-packer</t>
        </is>
      </c>
      <c r="M16" s="42" t="inlineStr">
        <is>
          <t>On hold</t>
        </is>
      </c>
      <c r="N16" s="42" t="inlineStr">
        <is>
          <t>Plant protein</t>
        </is>
      </c>
      <c r="O16" s="42" t="inlineStr">
        <is>
          <t>Discontinued</t>
        </is>
      </c>
      <c r="P16" s="42" t="inlineStr">
        <is>
          <t>In review</t>
        </is>
      </c>
      <c r="Q16" s="42" t="inlineStr">
        <is>
          <t>Short-form video</t>
        </is>
      </c>
      <c r="R16" s="42" t="inlineStr">
        <is>
          <t>Medium</t>
        </is>
      </c>
      <c r="S16" s="42" t="inlineStr">
        <is>
          <t>Certificate of analysis</t>
        </is>
      </c>
      <c r="T16" s="42" t="inlineStr">
        <is>
          <t>In review</t>
        </is>
      </c>
      <c r="U16" s="42" t="inlineStr">
        <is>
          <t>Campaign</t>
        </is>
      </c>
      <c r="V16" s="42" t="inlineStr">
        <is>
          <t>On track</t>
        </is>
      </c>
      <c r="W16" s="42" t="inlineStr">
        <is>
          <t>No</t>
        </is>
      </c>
      <c r="X16" s="42" t="inlineStr">
        <is>
          <t>Recorded</t>
        </is>
      </c>
    </row>
    <row r="17">
      <c r="A17" s="42" t="inlineStr">
        <is>
          <t>Adjustment</t>
        </is>
      </c>
      <c r="B17" s="42" t="inlineStr">
        <is>
          <t>Expired write-off</t>
        </is>
      </c>
      <c r="C17" s="42" t="inlineStr">
        <is>
          <t>Confirmed</t>
        </is>
      </c>
      <c r="D17" s="42" t="inlineStr">
        <is>
          <t>Yes</t>
        </is>
      </c>
      <c r="E17" s="42" t="inlineStr">
        <is>
          <t>On hold</t>
        </is>
      </c>
      <c r="F17" s="42" t="inlineStr">
        <is>
          <t>Yes</t>
        </is>
      </c>
      <c r="G17" s="42" t="inlineStr">
        <is>
          <t>Yes</t>
        </is>
      </c>
      <c r="H17" s="42" t="inlineStr">
        <is>
          <t>Released</t>
        </is>
      </c>
      <c r="I17" s="42" t="inlineStr">
        <is>
          <t>No</t>
        </is>
      </c>
      <c r="J17" s="42" t="inlineStr">
        <is>
          <t>Blocked</t>
        </is>
      </c>
      <c r="K17" s="42" t="inlineStr">
        <is>
          <t>Yes</t>
        </is>
      </c>
      <c r="L17" s="42" t="inlineStr">
        <is>
          <t>Ingredient supplier</t>
        </is>
      </c>
      <c r="M17" s="42" t="inlineStr">
        <is>
          <t>Inactive</t>
        </is>
      </c>
      <c r="N17" s="42" t="inlineStr">
        <is>
          <t>Casein</t>
        </is>
      </c>
      <c r="O17" s="42" t="n"/>
      <c r="P17" s="42" t="inlineStr">
        <is>
          <t>Approved</t>
        </is>
      </c>
      <c r="Q17" s="42" t="inlineStr">
        <is>
          <t>Email</t>
        </is>
      </c>
      <c r="R17" s="42" t="inlineStr">
        <is>
          <t>Low</t>
        </is>
      </c>
      <c r="S17" s="42" t="inlineStr">
        <is>
          <t>Label artwork</t>
        </is>
      </c>
      <c r="T17" s="42" t="inlineStr">
        <is>
          <t>Superseded</t>
        </is>
      </c>
      <c r="U17" s="42" t="n"/>
      <c r="V17" s="42" t="inlineStr">
        <is>
          <t>At risk</t>
        </is>
      </c>
      <c r="W17" s="42" t="n"/>
      <c r="X17" s="42" t="n"/>
    </row>
    <row r="18">
      <c r="A18" s="42" t="n"/>
      <c r="B18" s="42" t="inlineStr">
        <is>
          <t>Marketing samples</t>
        </is>
      </c>
      <c r="C18" s="42" t="inlineStr">
        <is>
          <t>In transit</t>
        </is>
      </c>
      <c r="D18" s="42" t="inlineStr">
        <is>
          <t>Yes</t>
        </is>
      </c>
      <c r="E18" s="42" t="inlineStr">
        <is>
          <t>Closed</t>
        </is>
      </c>
      <c r="F18" s="42" t="inlineStr">
        <is>
          <t>No</t>
        </is>
      </c>
      <c r="G18" s="42" t="inlineStr">
        <is>
          <t>No</t>
        </is>
      </c>
      <c r="H18" s="42" t="inlineStr">
        <is>
          <t>Cancelled</t>
        </is>
      </c>
      <c r="I18" s="42" t="inlineStr">
        <is>
          <t>No</t>
        </is>
      </c>
      <c r="J18" s="42" t="inlineStr">
        <is>
          <t>Done</t>
        </is>
      </c>
      <c r="K18" s="42" t="inlineStr">
        <is>
          <t>No</t>
        </is>
      </c>
      <c r="L18" s="42" t="inlineStr">
        <is>
          <t>3PL</t>
        </is>
      </c>
      <c r="M18" s="42" t="n"/>
      <c r="N18" s="42" t="inlineStr">
        <is>
          <t>Protein bars</t>
        </is>
      </c>
      <c r="O18" s="42" t="n"/>
      <c r="P18" s="42" t="inlineStr">
        <is>
          <t>Live</t>
        </is>
      </c>
      <c r="Q18" s="42" t="inlineStr">
        <is>
          <t>Influencer</t>
        </is>
      </c>
      <c r="R18" s="42" t="n"/>
      <c r="S18" s="42" t="inlineStr">
        <is>
          <t>Agreement</t>
        </is>
      </c>
      <c r="T18" s="42" t="n"/>
      <c r="U18" s="42" t="n"/>
      <c r="V18" s="42" t="inlineStr">
        <is>
          <t>Late</t>
        </is>
      </c>
      <c r="W18" s="42" t="n"/>
      <c r="X18" s="42" t="n"/>
    </row>
    <row r="19">
      <c r="A19" s="42" t="n"/>
      <c r="B19" s="42" t="inlineStr">
        <is>
          <t>Customer return</t>
        </is>
      </c>
      <c r="C19" s="42" t="inlineStr">
        <is>
          <t>Partially received</t>
        </is>
      </c>
      <c r="D19" s="42" t="inlineStr">
        <is>
          <t>Yes</t>
        </is>
      </c>
      <c r="E19" s="42" t="n"/>
      <c r="F19" s="42" t="n"/>
      <c r="G19" s="42" t="n"/>
      <c r="H19" s="42" t="n"/>
      <c r="I19" s="42" t="n"/>
      <c r="J19" s="42" t="inlineStr">
        <is>
          <t>Cancelled</t>
        </is>
      </c>
      <c r="K19" s="42" t="inlineStr">
        <is>
          <t>No</t>
        </is>
      </c>
      <c r="L19" s="42" t="n"/>
      <c r="M19" s="42" t="n"/>
      <c r="N19" s="42" t="inlineStr">
        <is>
          <t>Creatine</t>
        </is>
      </c>
      <c r="O19" s="42" t="n"/>
      <c r="P19" s="42" t="inlineStr">
        <is>
          <t>Completed</t>
        </is>
      </c>
      <c r="Q19" s="42" t="inlineStr">
        <is>
          <t>Marketplace ads</t>
        </is>
      </c>
      <c r="R19" s="42" t="n"/>
      <c r="S19" s="42" t="inlineStr">
        <is>
          <t>Allergen statement</t>
        </is>
      </c>
      <c r="T19" s="42" t="n"/>
      <c r="U19" s="42" t="n"/>
      <c r="V19" s="42" t="inlineStr">
        <is>
          <t>Done</t>
        </is>
      </c>
      <c r="W19" s="42" t="n"/>
      <c r="X19" s="42" t="n"/>
    </row>
    <row r="20">
      <c r="A20" s="42" t="n"/>
      <c r="B20" s="42" t="inlineStr">
        <is>
          <t>Other</t>
        </is>
      </c>
      <c r="C20" s="42" t="inlineStr">
        <is>
          <t>Received</t>
        </is>
      </c>
      <c r="D20" s="42" t="inlineStr">
        <is>
          <t>No</t>
        </is>
      </c>
      <c r="E20" s="42" t="n"/>
      <c r="F20" s="42" t="n"/>
      <c r="G20" s="42" t="n"/>
      <c r="H20" s="42" t="n"/>
      <c r="I20" s="42" t="n"/>
      <c r="J20" s="42" t="n"/>
      <c r="K20" s="42" t="n"/>
      <c r="L20" s="42" t="n"/>
      <c r="M20" s="42" t="n"/>
      <c r="N20" s="42" t="inlineStr">
        <is>
          <t>Pre-workout</t>
        </is>
      </c>
      <c r="O20" s="42" t="n"/>
      <c r="P20" s="42" t="inlineStr">
        <is>
          <t>Cancelled</t>
        </is>
      </c>
      <c r="Q20" s="42" t="inlineStr">
        <is>
          <t>Search ads</t>
        </is>
      </c>
      <c r="R20" s="42" t="n"/>
      <c r="S20" s="42" t="inlineStr">
        <is>
          <t>SOP</t>
        </is>
      </c>
      <c r="T20" s="42" t="n"/>
      <c r="U20" s="42" t="n"/>
      <c r="V20" s="42" t="n"/>
      <c r="W20" s="42" t="n"/>
      <c r="X20" s="42" t="n"/>
    </row>
    <row r="21">
      <c r="A21" s="42" t="n"/>
      <c r="B21" s="42" t="n"/>
      <c r="C21" s="42" t="inlineStr">
        <is>
          <t>Cancelled</t>
        </is>
      </c>
      <c r="D21" s="42" t="inlineStr">
        <is>
          <t>No</t>
        </is>
      </c>
      <c r="E21" s="42" t="n"/>
      <c r="F21" s="42" t="n"/>
      <c r="G21" s="42" t="n"/>
      <c r="H21" s="42" t="n"/>
      <c r="I21" s="42" t="n"/>
      <c r="J21" s="42" t="n"/>
      <c r="K21" s="42" t="n"/>
      <c r="L21" s="42" t="n"/>
      <c r="M21" s="42" t="n"/>
      <c r="N21" s="42" t="n"/>
      <c r="O21" s="42" t="n"/>
      <c r="P21" s="42" t="n"/>
      <c r="Q21" s="42" t="inlineStr">
        <is>
          <t>Retail promotion</t>
        </is>
      </c>
      <c r="R21" s="42" t="n"/>
      <c r="S21" s="42" t="inlineStr">
        <is>
          <t>Insurance certificate</t>
        </is>
      </c>
      <c r="T21" s="42" t="n"/>
      <c r="U21" s="42" t="n"/>
      <c r="V21" s="42" t="n"/>
      <c r="W21" s="42" t="n"/>
      <c r="X21" s="42" t="n"/>
    </row>
    <row r="22">
      <c r="A22" s="42" t="n"/>
      <c r="B22" s="42" t="n"/>
      <c r="C22" s="42" t="n"/>
      <c r="D22" s="42" t="n"/>
      <c r="E22" s="42" t="n"/>
      <c r="F22" s="42" t="n"/>
      <c r="G22" s="42" t="n"/>
      <c r="H22" s="42" t="n"/>
      <c r="I22" s="42" t="n"/>
      <c r="J22" s="42" t="n"/>
      <c r="K22" s="42" t="n"/>
      <c r="L22" s="42" t="n"/>
      <c r="M22" s="42" t="n"/>
      <c r="N22" s="42" t="n"/>
      <c r="O22" s="42" t="n"/>
      <c r="P22" s="42" t="n"/>
      <c r="Q22" s="42" t="inlineStr">
        <is>
          <t>Affiliate</t>
        </is>
      </c>
      <c r="R22" s="42" t="n"/>
      <c r="S22" s="42" t="inlineStr">
        <is>
          <t>Campaign brief</t>
        </is>
      </c>
      <c r="T22" s="42" t="n"/>
      <c r="U22" s="42" t="n"/>
      <c r="V22" s="42" t="n"/>
      <c r="W22" s="42" t="n"/>
      <c r="X22" s="42" t="n"/>
    </row>
    <row r="23">
      <c r="A23" s="42" t="n"/>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row>
    <row r="24">
      <c r="A24" s="42" t="n"/>
      <c r="B24" s="42"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row>
    <row r="25">
      <c r="A25" s="42" t="n"/>
      <c r="B25" s="42"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row>
    <row r="26">
      <c r="A26" s="42" t="n"/>
      <c r="B26" s="42"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row>
    <row r="27">
      <c r="A27" s="42" t="n"/>
      <c r="B27" s="42"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row>
    <row r="28">
      <c r="A28" s="42" t="n"/>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row>
    <row r="29">
      <c r="A29" s="42" t="n"/>
      <c r="B29" s="42"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row>
    <row r="30">
      <c r="A30" s="42" t="n"/>
      <c r="B30" s="42"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row>
    <row r="31">
      <c r="A31" s="42" t="n"/>
      <c r="B31" s="42"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row>
    <row r="32">
      <c r="A32" s="42" t="n"/>
      <c r="B32" s="42"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row>
    <row r="33">
      <c r="A33" s="42" t="n"/>
      <c r="B33" s="42"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row>
    <row r="34">
      <c r="A34" s="42" t="n"/>
      <c r="B34" s="42"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row>
    <row r="37">
      <c r="A37" s="17" t="inlineStr">
        <is>
          <t>Import checks run on every Import_Staging row (catalog read by the formulas; do not reorder)</t>
        </is>
      </c>
    </row>
    <row r="38">
      <c r="A38" s="43" t="inlineStr">
        <is>
          <t>#</t>
        </is>
      </c>
      <c r="B38" s="43" t="inlineStr">
        <is>
          <t>Code</t>
        </is>
      </c>
      <c r="C38" s="43" t="inlineStr">
        <is>
          <t>Field</t>
        </is>
      </c>
      <c r="D38" s="43" t="inlineStr">
        <is>
          <t>Issue</t>
        </is>
      </c>
      <c r="E38" s="43" t="inlineStr">
        <is>
          <t>Applies to</t>
        </is>
      </c>
      <c r="F38" s="43" t="inlineStr">
        <is>
          <t>What to do</t>
        </is>
      </c>
    </row>
    <row r="39">
      <c r="A39" s="44" t="n">
        <v>1</v>
      </c>
      <c r="B39" s="44" t="inlineStr">
        <is>
          <t>ID_MISSING</t>
        </is>
      </c>
      <c r="C39" s="44" t="inlineStr">
        <is>
          <t>movement_id</t>
        </is>
      </c>
      <c r="D39" s="44" t="inlineStr">
        <is>
          <t>Missing required field</t>
        </is>
      </c>
      <c r="E39" s="44" t="inlineStr">
        <is>
          <t>All rows</t>
        </is>
      </c>
      <c r="F39" s="44" t="inlineStr">
        <is>
          <t>Add a unique movement_id.</t>
        </is>
      </c>
    </row>
    <row r="40">
      <c r="A40" s="44" t="n">
        <v>2</v>
      </c>
      <c r="B40" s="44" t="inlineStr">
        <is>
          <t>ID_DUP_FILE</t>
        </is>
      </c>
      <c r="C40" s="44" t="inlineStr">
        <is>
          <t>movement_id</t>
        </is>
      </c>
      <c r="D40" s="44" t="inlineStr">
        <is>
          <t>Duplicate ID</t>
        </is>
      </c>
      <c r="E40" s="44" t="inlineStr">
        <is>
          <t>All rows</t>
        </is>
      </c>
      <c r="F40" s="44" t="inlineStr">
        <is>
          <t>Give the row its own ID, or delete it if it repeats an earlier row.</t>
        </is>
      </c>
    </row>
    <row r="41">
      <c r="A41" s="44" t="n">
        <v>3</v>
      </c>
      <c r="B41" s="44" t="inlineStr">
        <is>
          <t>ID_DUP_LEDGER</t>
        </is>
      </c>
      <c r="C41" s="44" t="inlineStr">
        <is>
          <t>movement_id</t>
        </is>
      </c>
      <c r="D41" s="44" t="inlineStr">
        <is>
          <t>Duplicate ID</t>
        </is>
      </c>
      <c r="E41" s="44" t="inlineStr">
        <is>
          <t>All rows</t>
        </is>
      </c>
      <c r="F41" s="44" t="inlineStr">
        <is>
          <t>Delete the row if it was posted before; a new movement needs a new ID.</t>
        </is>
      </c>
    </row>
    <row r="42">
      <c r="A42" s="44" t="n">
        <v>4</v>
      </c>
      <c r="B42" s="44" t="inlineStr">
        <is>
          <t>DATE_MISSING</t>
        </is>
      </c>
      <c r="C42" s="44" t="inlineStr">
        <is>
          <t>date</t>
        </is>
      </c>
      <c r="D42" s="44" t="inlineStr">
        <is>
          <t>Missing required field</t>
        </is>
      </c>
      <c r="E42" s="44" t="inlineStr">
        <is>
          <t>All rows</t>
        </is>
      </c>
      <c r="F42" s="44" t="inlineStr">
        <is>
          <t>Add the movement date (yyyy-mm-dd).</t>
        </is>
      </c>
    </row>
    <row r="43">
      <c r="A43" s="44" t="n">
        <v>5</v>
      </c>
      <c r="B43" s="44" t="inlineStr">
        <is>
          <t>DATE_INVALID</t>
        </is>
      </c>
      <c r="C43" s="44" t="inlineStr">
        <is>
          <t>date</t>
        </is>
      </c>
      <c r="D43" s="44" t="inlineStr">
        <is>
          <t>Invalid date</t>
        </is>
      </c>
      <c r="E43" s="44" t="inlineStr">
        <is>
          <t>All rows</t>
        </is>
      </c>
      <c r="F43" s="44" t="inlineStr">
        <is>
          <t>Fix the date (yyyy-mm-dd).</t>
        </is>
      </c>
    </row>
    <row r="44">
      <c r="A44" s="44" t="n">
        <v>6</v>
      </c>
      <c r="B44" s="44" t="inlineStr">
        <is>
          <t>DATE_FUTURE</t>
        </is>
      </c>
      <c r="C44" s="44" t="inlineStr">
        <is>
          <t>date</t>
        </is>
      </c>
      <c r="D44" s="44" t="inlineStr">
        <is>
          <t>Invalid date</t>
        </is>
      </c>
      <c r="E44" s="44" t="inlineStr">
        <is>
          <t>All rows</t>
        </is>
      </c>
      <c r="F44" s="44" t="inlineStr">
        <is>
          <t>Check the date; a movement cannot be after the as-of date.</t>
        </is>
      </c>
    </row>
    <row r="45">
      <c r="A45" s="44" t="n">
        <v>7</v>
      </c>
      <c r="B45" s="44" t="inlineStr">
        <is>
          <t>TYPE_MISSING</t>
        </is>
      </c>
      <c r="C45" s="44" t="inlineStr">
        <is>
          <t>type</t>
        </is>
      </c>
      <c r="D45" s="44" t="inlineStr">
        <is>
          <t>Missing required field</t>
        </is>
      </c>
      <c r="E45" s="44" t="inlineStr">
        <is>
          <t>All rows</t>
        </is>
      </c>
      <c r="F45" s="44" t="inlineStr">
        <is>
          <t>Add the type: Receipt, Shipment or Adjustment.</t>
        </is>
      </c>
    </row>
    <row r="46">
      <c r="A46" s="44" t="n">
        <v>8</v>
      </c>
      <c r="B46" s="44" t="inlineStr">
        <is>
          <t>TYPE_UNSUPPORTED</t>
        </is>
      </c>
      <c r="C46" s="44" t="inlineStr">
        <is>
          <t>type</t>
        </is>
      </c>
      <c r="D46" s="44" t="inlineStr">
        <is>
          <t>Unsupported type</t>
        </is>
      </c>
      <c r="E46" s="44" t="inlineStr">
        <is>
          <t>All rows</t>
        </is>
      </c>
      <c r="F46" s="44" t="inlineStr">
        <is>
          <t>Use a movement type listed on Config.</t>
        </is>
      </c>
    </row>
    <row r="47">
      <c r="A47" s="44" t="n">
        <v>9</v>
      </c>
      <c r="B47" s="44" t="inlineStr">
        <is>
          <t>SKU_MISSING</t>
        </is>
      </c>
      <c r="C47" s="44" t="inlineStr">
        <is>
          <t>sku</t>
        </is>
      </c>
      <c r="D47" s="44" t="inlineStr">
        <is>
          <t>Missing required field</t>
        </is>
      </c>
      <c r="E47" s="44" t="inlineStr">
        <is>
          <t>All rows</t>
        </is>
      </c>
      <c r="F47" s="44" t="inlineStr">
        <is>
          <t>Add the SKU.</t>
        </is>
      </c>
    </row>
    <row r="48">
      <c r="A48" s="44" t="n">
        <v>10</v>
      </c>
      <c r="B48" s="44" t="inlineStr">
        <is>
          <t>SKU_UNKNOWN</t>
        </is>
      </c>
      <c r="C48" s="44" t="inlineStr">
        <is>
          <t>sku</t>
        </is>
      </c>
      <c r="D48" s="44" t="inlineStr">
        <is>
          <t>Unknown product</t>
        </is>
      </c>
      <c r="E48" s="44" t="inlineStr">
        <is>
          <t>All rows</t>
        </is>
      </c>
      <c r="F48" s="44" t="inlineStr">
        <is>
          <t>Add the product in Products first, or correct the SKU.</t>
        </is>
      </c>
    </row>
    <row r="49">
      <c r="A49" s="44" t="n">
        <v>11</v>
      </c>
      <c r="B49" s="44" t="inlineStr">
        <is>
          <t>SUP_MISSING</t>
        </is>
      </c>
      <c r="C49" s="44" t="inlineStr">
        <is>
          <t>supplier_id</t>
        </is>
      </c>
      <c r="D49" s="44" t="inlineStr">
        <is>
          <t>Missing required field</t>
        </is>
      </c>
      <c r="E49" s="44" t="inlineStr">
        <is>
          <t>Receipts</t>
        </is>
      </c>
      <c r="F49" s="44" t="inlineStr">
        <is>
          <t>Add the supplier ID.</t>
        </is>
      </c>
    </row>
    <row r="50">
      <c r="A50" s="44" t="n">
        <v>12</v>
      </c>
      <c r="B50" s="44" t="inlineStr">
        <is>
          <t>SUP_UNKNOWN</t>
        </is>
      </c>
      <c r="C50" s="44" t="inlineStr">
        <is>
          <t>supplier_id</t>
        </is>
      </c>
      <c r="D50" s="44" t="inlineStr">
        <is>
          <t>Unknown supplier</t>
        </is>
      </c>
      <c r="E50" s="44" t="inlineStr">
        <is>
          <t>Rows with a supplier_id</t>
        </is>
      </c>
      <c r="F50" s="44" t="inlineStr">
        <is>
          <t>Add the supplier in Suppliers first, or correct the ID.</t>
        </is>
      </c>
    </row>
    <row r="51">
      <c r="A51" s="44" t="n">
        <v>13</v>
      </c>
      <c r="B51" s="44" t="inlineStr">
        <is>
          <t>LOT_MISSING</t>
        </is>
      </c>
      <c r="C51" s="44" t="inlineStr">
        <is>
          <t>lot</t>
        </is>
      </c>
      <c r="D51" s="44" t="inlineStr">
        <is>
          <t>Missing required field</t>
        </is>
      </c>
      <c r="E51" s="44" t="inlineStr">
        <is>
          <t>All rows</t>
        </is>
      </c>
      <c r="F51" s="44" t="inlineStr">
        <is>
          <t>Add the lot code.</t>
        </is>
      </c>
    </row>
    <row r="52">
      <c r="A52" s="44" t="n">
        <v>14</v>
      </c>
      <c r="B52" s="44" t="inlineStr">
        <is>
          <t>LOT_UNKNOWN</t>
        </is>
      </c>
      <c r="C52" s="44" t="inlineStr">
        <is>
          <t>lot</t>
        </is>
      </c>
      <c r="D52" s="44" t="inlineStr">
        <is>
          <t>Unknown lot</t>
        </is>
      </c>
      <c r="E52" s="44" t="inlineStr">
        <is>
          <t>Shipments and adjustments</t>
        </is>
      </c>
      <c r="F52" s="44" t="inlineStr">
        <is>
          <t>Check the lot code; a shipped lot must exist in Batches for this SKU.</t>
        </is>
      </c>
    </row>
    <row r="53">
      <c r="A53" s="44" t="n">
        <v>15</v>
      </c>
      <c r="B53" s="44" t="inlineStr">
        <is>
          <t>EXP_MISSING</t>
        </is>
      </c>
      <c r="C53" s="44" t="inlineStr">
        <is>
          <t>expiry</t>
        </is>
      </c>
      <c r="D53" s="44" t="inlineStr">
        <is>
          <t>Missing required field</t>
        </is>
      </c>
      <c r="E53" s="44" t="inlineStr">
        <is>
          <t>Receipts</t>
        </is>
      </c>
      <c r="F53" s="44" t="inlineStr">
        <is>
          <t>Add the company-supplied expiry date.</t>
        </is>
      </c>
    </row>
    <row r="54">
      <c r="A54" s="44" t="n">
        <v>16</v>
      </c>
      <c r="B54" s="44" t="inlineStr">
        <is>
          <t>EXP_INVALID</t>
        </is>
      </c>
      <c r="C54" s="44" t="inlineStr">
        <is>
          <t>expiry</t>
        </is>
      </c>
      <c r="D54" s="44" t="inlineStr">
        <is>
          <t>Invalid date</t>
        </is>
      </c>
      <c r="E54" s="44" t="inlineStr">
        <is>
          <t>Rows with an expiry</t>
        </is>
      </c>
      <c r="F54" s="44" t="inlineStr">
        <is>
          <t>Fix the expiry date (yyyy-mm-dd).</t>
        </is>
      </c>
    </row>
    <row r="55">
      <c r="A55" s="44" t="n">
        <v>17</v>
      </c>
      <c r="B55" s="44" t="inlineStr">
        <is>
          <t>QTY_MISSING</t>
        </is>
      </c>
      <c r="C55" s="44" t="inlineStr">
        <is>
          <t>qty</t>
        </is>
      </c>
      <c r="D55" s="44" t="inlineStr">
        <is>
          <t>Missing required field</t>
        </is>
      </c>
      <c r="E55" s="44" t="inlineStr">
        <is>
          <t>All rows</t>
        </is>
      </c>
      <c r="F55" s="44" t="inlineStr">
        <is>
          <t>Add the quantity.</t>
        </is>
      </c>
    </row>
    <row r="56">
      <c r="A56" s="44" t="n">
        <v>18</v>
      </c>
      <c r="B56" s="44" t="inlineStr">
        <is>
          <t>QTY_INVALID</t>
        </is>
      </c>
      <c r="C56" s="44" t="inlineStr">
        <is>
          <t>qty</t>
        </is>
      </c>
      <c r="D56" s="44" t="inlineStr">
        <is>
          <t>Invalid quantity</t>
        </is>
      </c>
      <c r="E56" s="44" t="inlineStr">
        <is>
          <t>All rows</t>
        </is>
      </c>
      <c r="F56" s="44" t="inlineStr">
        <is>
          <t>Use a whole number: above 0 for receipts and shipments, not 0 for adjustments.</t>
        </is>
      </c>
    </row>
    <row r="57">
      <c r="A57" s="44" t="n">
        <v>19</v>
      </c>
      <c r="B57" s="44" t="inlineStr">
        <is>
          <t>STATUS_MISSING</t>
        </is>
      </c>
      <c r="C57" s="44" t="inlineStr">
        <is>
          <t>lot_status</t>
        </is>
      </c>
      <c r="D57" s="44" t="inlineStr">
        <is>
          <t>Missing required field</t>
        </is>
      </c>
      <c r="E57" s="44" t="inlineStr">
        <is>
          <t>Receipts</t>
        </is>
      </c>
      <c r="F57" s="44" t="inlineStr">
        <is>
          <t>Add the lot status.</t>
        </is>
      </c>
    </row>
    <row r="58">
      <c r="A58" s="44" t="n">
        <v>20</v>
      </c>
      <c r="B58" s="44" t="inlineStr">
        <is>
          <t>STATUS_UNSUPPORTED</t>
        </is>
      </c>
      <c r="C58" s="44" t="inlineStr">
        <is>
          <t>lot_status</t>
        </is>
      </c>
      <c r="D58" s="44" t="inlineStr">
        <is>
          <t>Unsupported status</t>
        </is>
      </c>
      <c r="E58" s="44" t="inlineStr">
        <is>
          <t>Rows with a lot_status</t>
        </is>
      </c>
      <c r="F58" s="44" t="inlineStr">
        <is>
          <t>Use a lot status allowed on receipt (Config), or add it there first.</t>
        </is>
      </c>
    </row>
    <row r="59">
      <c r="A59" s="44" t="n">
        <v>21</v>
      </c>
      <c r="B59" s="44" t="inlineStr">
        <is>
          <t>REASON_MISSING</t>
        </is>
      </c>
      <c r="C59" s="44" t="inlineStr">
        <is>
          <t>reason</t>
        </is>
      </c>
      <c r="D59" s="44" t="inlineStr">
        <is>
          <t>Missing required field</t>
        </is>
      </c>
      <c r="E59" s="44" t="inlineStr">
        <is>
          <t>Adjustments</t>
        </is>
      </c>
      <c r="F59" s="44" t="inlineStr">
        <is>
          <t>Add the adjustment reason.</t>
        </is>
      </c>
    </row>
    <row r="60">
      <c r="A60" s="44" t="n">
        <v>22</v>
      </c>
      <c r="B60" s="44" t="inlineStr">
        <is>
          <t>LINK_MISSING</t>
        </is>
      </c>
      <c r="C60" s="44" t="inlineStr">
        <is>
          <t>source_link</t>
        </is>
      </c>
      <c r="D60" s="44" t="inlineStr">
        <is>
          <t>Missing source link</t>
        </is>
      </c>
      <c r="E60" s="44" t="inlineStr">
        <is>
          <t>All rows</t>
        </is>
      </c>
      <c r="F60" s="44" t="inlineStr">
        <is>
          <t>Add the link to the source document.</t>
        </is>
      </c>
    </row>
    <row r="61">
      <c r="A61" s="44" t="n">
        <v>23</v>
      </c>
      <c r="B61" s="44" t="inlineStr">
        <is>
          <t>NEG_STOCK</t>
        </is>
      </c>
      <c r="C61" s="44" t="inlineStr">
        <is>
          <t>qty</t>
        </is>
      </c>
      <c r="D61" s="44" t="inlineStr">
        <is>
          <t>Negative inventory</t>
        </is>
      </c>
      <c r="E61" s="44" t="inlineStr">
        <is>
          <t>Rows that change stock</t>
        </is>
      </c>
      <c r="F61" s="44" t="inlineStr">
        <is>
          <t>Check the quantity and sign against the warehouse count before posting.</t>
        </is>
      </c>
    </row>
  </sheetData>
  <sheetProtection selectLockedCells="0" selectUnlockedCells="0" sheet="1" objects="0" insertRows="1" insertHyperlinks="1" autoFilter="0" scenarios="0" formatColumns="0" deleteColumns="1" insertColumns="1" pivotTables="1" deleteRows="1" formatCells="1" formatRows="0" sort="0"/>
  <dataValidations count="9">
    <dataValidation sqref="B4:B5" showDropDown="0" showInputMessage="0" showErrorMessage="1" allowBlank="0" error="Enter a date." type="date" operator="greaterThan">
      <formula1>36526</formula1>
    </dataValidation>
    <dataValidation sqref="B6:B8" showDropDown="0" showInputMessage="0" showErrorMessage="1" allowBlank="0" error="Whole number of days." type="whole" operator="between">
      <formula1>0</formula1>
      <formula2>3650</formula2>
    </dataValidation>
    <dataValidation sqref="B9" showDropDown="0" showInputMessage="0" showErrorMessage="1" allowBlank="0" error="Available or Recorded." type="list">
      <formula1>Config!$X$15:$X$34</formula1>
    </dataValidation>
    <dataValidation sqref="B10" showDropDown="0" showInputMessage="0" showErrorMessage="1" allowBlank="0" error="Yes or No." type="list">
      <formula1>Config!$W$15:$W$34</formula1>
    </dataValidation>
    <dataValidation sqref="D15:D34" showDropDown="0" showInputMessage="0" showErrorMessage="0" allowBlank="1" type="list">
      <formula1>Config!$W$15:$W$34</formula1>
    </dataValidation>
    <dataValidation sqref="F15:F34" showDropDown="0" showInputMessage="0" showErrorMessage="0" allowBlank="1" type="list">
      <formula1>Config!$W$15:$W$34</formula1>
    </dataValidation>
    <dataValidation sqref="G15:G34" showDropDown="0" showInputMessage="0" showErrorMessage="0" allowBlank="1" type="list">
      <formula1>Config!$W$15:$W$34</formula1>
    </dataValidation>
    <dataValidation sqref="I15:I34" showDropDown="0" showInputMessage="0" showErrorMessage="0" allowBlank="1" type="list">
      <formula1>Config!$W$15:$W$34</formula1>
    </dataValidation>
    <dataValidation sqref="K15:K34" showDropDown="0" showInputMessage="0" showErrorMessage="0" allowBlank="1" type="list">
      <formula1>Config!$W$15:$W$34</formula1>
    </dataValidation>
  </dataValidations>
  <pageMargins left="0.75" right="0.75" top="1" bottom="1" header="0.5" footer="0.5"/>
</worksheet>
</file>

<file path=xl/worksheets/sheet4.xml><?xml version="1.0" encoding="utf-8"?>
<worksheet xmlns="http://schemas.openxmlformats.org/spreadsheetml/2006/main">
  <sheetPr>
    <tabColor rgb="001F3A5F"/>
    <outlinePr summaryBelow="1" summaryRight="1"/>
    <pageSetUpPr/>
  </sheetPr>
  <dimension ref="A1:AC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15" customWidth="1" min="3" max="3"/>
    <col width="18" customWidth="1" min="4" max="4"/>
    <col width="10" customWidth="1" min="5" max="5"/>
    <col width="11" customWidth="1" min="6" max="6"/>
    <col width="10" customWidth="1" min="7" max="7"/>
    <col width="10" customWidth="1" min="8" max="8"/>
    <col width="9" customWidth="1" min="9" max="9"/>
    <col width="9" customWidth="1" min="10" max="10"/>
    <col width="9" customWidth="1" min="11" max="11"/>
    <col width="11" customWidth="1" min="12" max="12"/>
    <col width="24" customWidth="1" min="13" max="13"/>
    <col width="26"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9" customWidth="1" min="25" max="25"/>
    <col width="13" customWidth="1" min="26" max="26"/>
    <col width="12" customWidth="1" min="27" max="27"/>
    <col width="34" customWidth="1" min="28" max="28"/>
    <col width="7" customWidth="1" min="29" max="29"/>
  </cols>
  <sheetData>
    <row r="1" ht="42" customHeight="1">
      <c r="A1" s="41" t="inlineStr">
        <is>
          <t>SKU *</t>
        </is>
      </c>
      <c r="B1" s="41" t="inlineStr">
        <is>
          <t>Product name *</t>
        </is>
      </c>
      <c r="C1" s="41" t="inlineStr">
        <is>
          <t>Category *</t>
        </is>
      </c>
      <c r="D1" s="41" t="inlineStr">
        <is>
          <t>Flavour</t>
        </is>
      </c>
      <c r="E1" s="41" t="inlineStr">
        <is>
          <t>Size</t>
        </is>
      </c>
      <c r="F1" s="41" t="inlineStr">
        <is>
          <t>Primary supplier ID *</t>
        </is>
      </c>
      <c r="G1" s="41" t="inlineStr">
        <is>
          <t>Unit cost (USD)</t>
        </is>
      </c>
      <c r="H1" s="41" t="inlineStr">
        <is>
          <t>Opening balance *</t>
        </is>
      </c>
      <c r="I1" s="41" t="inlineStr">
        <is>
          <t>Reorder point *</t>
        </is>
      </c>
      <c r="J1" s="41" t="inlineStr">
        <is>
          <t>Reorder qty *</t>
        </is>
      </c>
      <c r="K1" s="41" t="inlineStr">
        <is>
          <t>Shelf life (months)</t>
        </is>
      </c>
      <c r="L1" s="41" t="inlineStr">
        <is>
          <t>Status *</t>
        </is>
      </c>
      <c r="M1" s="41" t="inlineStr">
        <is>
          <t>Notes</t>
        </is>
      </c>
      <c r="N1" s="23" t="inlineStr">
        <is>
          <t>Supplier name</t>
        </is>
      </c>
      <c r="O1" s="23" t="inlineStr">
        <is>
          <t>Receipts</t>
        </is>
      </c>
      <c r="P1" s="23" t="inlineStr">
        <is>
          <t>Shipments</t>
        </is>
      </c>
      <c r="Q1" s="23" t="inlineStr">
        <is>
          <t>Adjustments</t>
        </is>
      </c>
      <c r="R1" s="23" t="inlineStr">
        <is>
          <t>Recorded stock</t>
        </is>
      </c>
      <c r="S1" s="23" t="inlineStr">
        <is>
          <t>Reserved</t>
        </is>
      </c>
      <c r="T1" s="23" t="inlineStr">
        <is>
          <t>Held in lots</t>
        </is>
      </c>
      <c r="U1" s="23" t="inlineStr">
        <is>
          <t>Available</t>
        </is>
      </c>
      <c r="V1" s="23" t="inlineStr">
        <is>
          <t>On order (open POs)</t>
        </is>
      </c>
      <c r="W1" s="23" t="inlineStr">
        <is>
          <t>Lot balances total</t>
        </is>
      </c>
      <c r="X1" s="23" t="inlineStr">
        <is>
          <t>Lot openings total</t>
        </is>
      </c>
      <c r="Y1" s="23" t="inlineStr">
        <is>
          <t>Below reorder (1 = yes)</t>
        </is>
      </c>
      <c r="Z1" s="23" t="inlineStr">
        <is>
          <t>Stock status</t>
        </is>
      </c>
      <c r="AA1" s="23" t="inlineStr">
        <is>
          <t>Stock value (USD)</t>
        </is>
      </c>
      <c r="AB1" s="23" t="inlineStr">
        <is>
          <t>Record check</t>
        </is>
      </c>
      <c r="AC1" s="45" t="inlineStr">
        <is>
          <t>Alert order</t>
        </is>
      </c>
    </row>
    <row r="2">
      <c r="A2" s="46" t="inlineStr">
        <is>
          <t>WPI-CHO-2LB</t>
        </is>
      </c>
      <c r="B2" s="46" t="inlineStr">
        <is>
          <t>Whey Protein Isolate, Chocolate, 2 lb</t>
        </is>
      </c>
      <c r="C2" s="46" t="inlineStr">
        <is>
          <t>Whey protein</t>
        </is>
      </c>
      <c r="D2" s="46" t="inlineStr">
        <is>
          <t>Chocolate</t>
        </is>
      </c>
      <c r="E2" s="46" t="inlineStr">
        <is>
          <t>2 lb</t>
        </is>
      </c>
      <c r="F2" s="46" t="inlineStr">
        <is>
          <t>SUP-01</t>
        </is>
      </c>
      <c r="G2" s="47" t="n">
        <v>18.4</v>
      </c>
      <c r="H2" s="48" t="n">
        <v>1240</v>
      </c>
      <c r="I2" s="48" t="n">
        <v>600</v>
      </c>
      <c r="J2" s="48" t="n">
        <v>1500</v>
      </c>
      <c r="K2" s="48" t="n">
        <v>24</v>
      </c>
      <c r="L2" s="46" t="inlineStr">
        <is>
          <t>Active</t>
        </is>
      </c>
      <c r="M2" s="46" t="n"/>
      <c r="N2" s="49" t="str">
        <f>IF($A2="","",IFERROR(INDEX(Suppliers!$B$2:$B$51,MATCH($F2,Suppliers!$A$2:$A$51,0))&amp;"","(not found)"))</f>
        <v>Alder Creek Dairy Proteins</v>
      </c>
      <c r="O2" s="50">
        <f>IF($A2="","",SUMIFS(Inventory_Ledger!$E$2:$E$2001,Inventory_Ledger!$D$2:$D$2001,$A2,Inventory_Ledger!$C$2:$C$2001,"Receipt"))</f>
        <v>1500</v>
      </c>
      <c r="P2" s="50">
        <f>IF($A2="","",SUMIFS(Inventory_Ledger!$E$2:$E$2001,Inventory_Ledger!$D$2:$D$2001,$A2,Inventory_Ledger!$C$2:$C$2001,"Shipment"))</f>
        <v>2305</v>
      </c>
      <c r="Q2" s="51">
        <f>IF($A2="","",SUMIFS(Inventory_Ledger!$E$2:$E$2001,Inventory_Ledger!$D$2:$D$2001,$A2,Inventory_Ledger!$C$2:$C$2001,"Adjustment"))</f>
        <v>-6</v>
      </c>
      <c r="R2" s="51">
        <f>IF($A2="","",IF(ISNUMBER($H2),$H2,0)+$O2-$P2+$Q2)</f>
        <v>429</v>
      </c>
      <c r="S2" s="50">
        <f>IF($A2="","",SUMIFS(Reservations!$L$2:$L$201,Reservations!$B$2:$B$201,$A2))</f>
        <v>120</v>
      </c>
      <c r="T2" s="50">
        <f>IF($A2="","",SUMIFS(Batches!$P$2:$P$301,Batches!$B$2:$B$301,$A2))</f>
        <v>0</v>
      </c>
      <c r="U2" s="51">
        <f>IF($A2="","",$R2-$S2-$T2)</f>
        <v>309</v>
      </c>
      <c r="V2" s="50">
        <f>IF($A2="","",SUMIFS(Purchase_Orders!$N$2:$N$301,Purchase_Orders!$C$2:$C$301,$A2,Purchase_Orders!$O$2:$O$301,1))</f>
        <v>1500</v>
      </c>
      <c r="W2" s="51">
        <f>IF($A2="","",SUMIFS(Batches!$L$2:$L$301,Batches!$B$2:$B$301,$A2))</f>
        <v>429</v>
      </c>
      <c r="X2" s="50">
        <f>IF($A2="","",SUMIFS(Batches!$F$2:$F$301,Batches!$B$2:$B$301,$A2))</f>
        <v>1240</v>
      </c>
      <c r="Y2" s="52">
        <f>IF($A2="","",IF(ISNUMBER($I2),IF(IF(Config!$B$9="Recorded",$R2,$U2)&lt;$I2,1,0),0))</f>
        <v>1</v>
      </c>
      <c r="Z2" s="49" t="str">
        <f>IF($A2="","",IF($R2&lt;0,"Negative",IF($Y2=1,"Below reorder","OK")))</f>
        <v>Below reorder</v>
      </c>
      <c r="AA2" s="53">
        <f>IF($A2="","",IF(ISNUMBER($G2),$R2*$G2,""))</f>
        <v>7893.6</v>
      </c>
      <c r="AB2" s="49" t="str">
        <f>IF(COUNTA($A2:$M2)=0,"",IF($A2="","Missing: SKU",IF(COUNTIF($A$2:$A$101,$A2)&gt;1,"Duplicate SKU",IF($B2="","Missing: product name",IF($C2="","Missing: category",IF($F2="","Missing: primary supplier",IF(NOT(ISNUMBER($H2)),"Missing: opening balance",IF(NOT(ISNUMBER($I2)),"Missing: reorder point",IF(NOT(ISNUMBER($J2)),"Missing: reorder qty",IF($L2="","Missing: status",IF(COUNTIF(Suppliers!$A$2:$A$51,$F2)=0,"Unknown supplier",IF(COUNTIF(Config!$N$15:$N$34,$C2)=0,"Unsupported category",IF(COUNTIF(Config!$O$15:$O$34,$L2)=0,"Unsupported status",IF($X2&lt;&gt;$H2,"Opening balance differs from lot openings",IF($W2&lt;&gt;$R2,"Lot balances differ from recorded stock",IF($R2&lt;0,"Negative recorded stock","OK"))))))))))))))))</f>
        <v>OK</v>
      </c>
      <c r="AC2" s="52">
        <f>IF($Y2=1,COUNTIF($Y$2:$Y2,1),"")</f>
        <v>1</v>
      </c>
    </row>
    <row r="3">
      <c r="A3" s="46" t="inlineStr">
        <is>
          <t>WPI-VAN-2LB</t>
        </is>
      </c>
      <c r="B3" s="46" t="inlineStr">
        <is>
          <t>Whey Protein Isolate, Vanilla, 2 lb</t>
        </is>
      </c>
      <c r="C3" s="46" t="inlineStr">
        <is>
          <t>Whey protein</t>
        </is>
      </c>
      <c r="D3" s="46" t="inlineStr">
        <is>
          <t>Vanilla</t>
        </is>
      </c>
      <c r="E3" s="46" t="inlineStr">
        <is>
          <t>2 lb</t>
        </is>
      </c>
      <c r="F3" s="46" t="inlineStr">
        <is>
          <t>SUP-01</t>
        </is>
      </c>
      <c r="G3" s="47" t="n">
        <v>18.4</v>
      </c>
      <c r="H3" s="48" t="n">
        <v>846</v>
      </c>
      <c r="I3" s="48" t="n">
        <v>450</v>
      </c>
      <c r="J3" s="48" t="n">
        <v>1200</v>
      </c>
      <c r="K3" s="48" t="n">
        <v>24</v>
      </c>
      <c r="L3" s="46" t="inlineStr">
        <is>
          <t>Active</t>
        </is>
      </c>
      <c r="M3" s="46" t="n"/>
      <c r="N3" s="49" t="str">
        <f>IF($A3="","",IFERROR(INDEX(Suppliers!$B$2:$B$51,MATCH($F3,Suppliers!$A$2:$A$51,0))&amp;"","(not found)"))</f>
        <v>Alder Creek Dairy Proteins</v>
      </c>
      <c r="O3" s="50">
        <f>IF($A3="","",SUMIFS(Inventory_Ledger!$E$2:$E$2001,Inventory_Ledger!$D$2:$D$2001,$A3,Inventory_Ledger!$C$2:$C$2001,"Receipt"))</f>
        <v>600</v>
      </c>
      <c r="P3" s="50">
        <f>IF($A3="","",SUMIFS(Inventory_Ledger!$E$2:$E$2001,Inventory_Ledger!$D$2:$D$2001,$A3,Inventory_Ledger!$C$2:$C$2001,"Shipment"))</f>
        <v>638</v>
      </c>
      <c r="Q3" s="51">
        <f>IF($A3="","",SUMIFS(Inventory_Ledger!$E$2:$E$2001,Inventory_Ledger!$D$2:$D$2001,$A3,Inventory_Ledger!$C$2:$C$2001,"Adjustment"))</f>
        <v>0</v>
      </c>
      <c r="R3" s="51">
        <f>IF($A3="","",IF(ISNUMBER($H3),$H3,0)+$O3-$P3+$Q3)</f>
        <v>808</v>
      </c>
      <c r="S3" s="50">
        <f>IF($A3="","",SUMIFS(Reservations!$L$2:$L$201,Reservations!$B$2:$B$201,$A3))</f>
        <v>0</v>
      </c>
      <c r="T3" s="50">
        <f>IF($A3="","",SUMIFS(Batches!$P$2:$P$301,Batches!$B$2:$B$301,$A3))</f>
        <v>600</v>
      </c>
      <c r="U3" s="51">
        <f>IF($A3="","",$R3-$S3-$T3)</f>
        <v>208</v>
      </c>
      <c r="V3" s="50">
        <f>IF($A3="","",SUMIFS(Purchase_Orders!$N$2:$N$301,Purchase_Orders!$C$2:$C$301,$A3,Purchase_Orders!$O$2:$O$301,1))</f>
        <v>600</v>
      </c>
      <c r="W3" s="51">
        <f>IF($A3="","",SUMIFS(Batches!$L$2:$L$301,Batches!$B$2:$B$301,$A3))</f>
        <v>808</v>
      </c>
      <c r="X3" s="50">
        <f>IF($A3="","",SUMIFS(Batches!$F$2:$F$301,Batches!$B$2:$B$301,$A3))</f>
        <v>846</v>
      </c>
      <c r="Y3" s="52">
        <f>IF($A3="","",IF(ISNUMBER($I3),IF(IF(Config!$B$9="Recorded",$R3,$U3)&lt;$I3,1,0),0))</f>
        <v>1</v>
      </c>
      <c r="Z3" s="49" t="str">
        <f>IF($A3="","",IF($R3&lt;0,"Negative",IF($Y3=1,"Below reorder","OK")))</f>
        <v>Below reorder</v>
      </c>
      <c r="AA3" s="53">
        <f>IF($A3="","",IF(ISNUMBER($G3),$R3*$G3,""))</f>
        <v>14867.2</v>
      </c>
      <c r="AB3" s="49" t="str">
        <f>IF(COUNTA($A3:$M3)=0,"",IF($A3="","Missing: SKU",IF(COUNTIF($A$2:$A$101,$A3)&gt;1,"Duplicate SKU",IF($B3="","Missing: product name",IF($C3="","Missing: category",IF($F3="","Missing: primary supplier",IF(NOT(ISNUMBER($H3)),"Missing: opening balance",IF(NOT(ISNUMBER($I3)),"Missing: reorder point",IF(NOT(ISNUMBER($J3)),"Missing: reorder qty",IF($L3="","Missing: status",IF(COUNTIF(Suppliers!$A$2:$A$51,$F3)=0,"Unknown supplier",IF(COUNTIF(Config!$N$15:$N$34,$C3)=0,"Unsupported category",IF(COUNTIF(Config!$O$15:$O$34,$L3)=0,"Unsupported status",IF($X3&lt;&gt;$H3,"Opening balance differs from lot openings",IF($W3&lt;&gt;$R3,"Lot balances differ from recorded stock",IF($R3&lt;0,"Negative recorded stock","OK"))))))))))))))))</f>
        <v>OK</v>
      </c>
      <c r="AC3" s="52">
        <f>IF($Y3=1,COUNTIF($Y$2:$Y3,1),"")</f>
        <v>2</v>
      </c>
    </row>
    <row r="4">
      <c r="A4" s="46" t="inlineStr">
        <is>
          <t>WPI-CHO-5LB</t>
        </is>
      </c>
      <c r="B4" s="46" t="inlineStr">
        <is>
          <t>Whey Protein Isolate, Chocolate, 5 lb</t>
        </is>
      </c>
      <c r="C4" s="46" t="inlineStr">
        <is>
          <t>Whey protein</t>
        </is>
      </c>
      <c r="D4" s="46" t="inlineStr">
        <is>
          <t>Chocolate</t>
        </is>
      </c>
      <c r="E4" s="46" t="inlineStr">
        <is>
          <t>5 lb</t>
        </is>
      </c>
      <c r="F4" s="46" t="inlineStr">
        <is>
          <t>SUP-05</t>
        </is>
      </c>
      <c r="G4" s="47" t="n">
        <v>39.8</v>
      </c>
      <c r="H4" s="48" t="n">
        <v>467</v>
      </c>
      <c r="I4" s="48" t="n">
        <v>150</v>
      </c>
      <c r="J4" s="48" t="n">
        <v>400</v>
      </c>
      <c r="K4" s="48" t="n">
        <v>24</v>
      </c>
      <c r="L4" s="46" t="inlineStr">
        <is>
          <t>Active</t>
        </is>
      </c>
      <c r="M4" s="46" t="n"/>
      <c r="N4" s="49" t="str">
        <f>IF($A4="","",IFERROR(INDEX(Suppliers!$B$2:$B$51,MATCH($F4,Suppliers!$A$2:$A$51,0))&amp;"","(not found)"))</f>
        <v>Elmstead Co-Packing</v>
      </c>
      <c r="O4" s="50">
        <f>IF($A4="","",SUMIFS(Inventory_Ledger!$E$2:$E$2001,Inventory_Ledger!$D$2:$D$2001,$A4,Inventory_Ledger!$C$2:$C$2001,"Receipt"))</f>
        <v>0</v>
      </c>
      <c r="P4" s="50">
        <f>IF($A4="","",SUMIFS(Inventory_Ledger!$E$2:$E$2001,Inventory_Ledger!$D$2:$D$2001,$A4,Inventory_Ledger!$C$2:$C$2001,"Shipment"))</f>
        <v>203</v>
      </c>
      <c r="Q4" s="51">
        <f>IF($A4="","",SUMIFS(Inventory_Ledger!$E$2:$E$2001,Inventory_Ledger!$D$2:$D$2001,$A4,Inventory_Ledger!$C$2:$C$2001,"Adjustment"))</f>
        <v>0</v>
      </c>
      <c r="R4" s="51">
        <f>IF($A4="","",IF(ISNUMBER($H4),$H4,0)+$O4-$P4+$Q4)</f>
        <v>264</v>
      </c>
      <c r="S4" s="50">
        <f>IF($A4="","",SUMIFS(Reservations!$L$2:$L$201,Reservations!$B$2:$B$201,$A4))</f>
        <v>0</v>
      </c>
      <c r="T4" s="50">
        <f>IF($A4="","",SUMIFS(Batches!$P$2:$P$301,Batches!$B$2:$B$301,$A4))</f>
        <v>0</v>
      </c>
      <c r="U4" s="51">
        <f>IF($A4="","",$R4-$S4-$T4)</f>
        <v>264</v>
      </c>
      <c r="V4" s="50">
        <f>IF($A4="","",SUMIFS(Purchase_Orders!$N$2:$N$301,Purchase_Orders!$C$2:$C$301,$A4,Purchase_Orders!$O$2:$O$301,1))</f>
        <v>0</v>
      </c>
      <c r="W4" s="51">
        <f>IF($A4="","",SUMIFS(Batches!$L$2:$L$301,Batches!$B$2:$B$301,$A4))</f>
        <v>264</v>
      </c>
      <c r="X4" s="50">
        <f>IF($A4="","",SUMIFS(Batches!$F$2:$F$301,Batches!$B$2:$B$301,$A4))</f>
        <v>467</v>
      </c>
      <c r="Y4" s="52">
        <f>IF($A4="","",IF(ISNUMBER($I4),IF(IF(Config!$B$9="Recorded",$R4,$U4)&lt;$I4,1,0),0))</f>
        <v>0</v>
      </c>
      <c r="Z4" s="49" t="str">
        <f>IF($A4="","",IF($R4&lt;0,"Negative",IF($Y4=1,"Below reorder","OK")))</f>
        <v>OK</v>
      </c>
      <c r="AA4" s="53">
        <f>IF($A4="","",IF(ISNUMBER($G4),$R4*$G4,""))</f>
        <v>10507.2</v>
      </c>
      <c r="AB4" s="49" t="str">
        <f>IF(COUNTA($A4:$M4)=0,"",IF($A4="","Missing: SKU",IF(COUNTIF($A$2:$A$101,$A4)&gt;1,"Duplicate SKU",IF($B4="","Missing: product name",IF($C4="","Missing: category",IF($F4="","Missing: primary supplier",IF(NOT(ISNUMBER($H4)),"Missing: opening balance",IF(NOT(ISNUMBER($I4)),"Missing: reorder point",IF(NOT(ISNUMBER($J4)),"Missing: reorder qty",IF($L4="","Missing: status",IF(COUNTIF(Suppliers!$A$2:$A$51,$F4)=0,"Unknown supplier",IF(COUNTIF(Config!$N$15:$N$34,$C4)=0,"Unsupported category",IF(COUNTIF(Config!$O$15:$O$34,$L4)=0,"Unsupported status",IF($X4&lt;&gt;$H4,"Opening balance differs from lot openings",IF($W4&lt;&gt;$R4,"Lot balances differ from recorded stock",IF($R4&lt;0,"Negative recorded stock","OK"))))))))))))))))</f>
        <v>OK</v>
      </c>
      <c r="AC4" s="52" t="str">
        <f>IF($Y4=1,COUNTIF($Y$2:$Y4,1),"")</f>
        <v/>
      </c>
    </row>
    <row r="5">
      <c r="A5" s="46" t="inlineStr">
        <is>
          <t>PLT-CHO-2LB</t>
        </is>
      </c>
      <c r="B5" s="46" t="inlineStr">
        <is>
          <t>Plant Protein, Chocolate, 2 lb</t>
        </is>
      </c>
      <c r="C5" s="46" t="inlineStr">
        <is>
          <t>Plant protein</t>
        </is>
      </c>
      <c r="D5" s="46" t="inlineStr">
        <is>
          <t>Chocolate</t>
        </is>
      </c>
      <c r="E5" s="46" t="inlineStr">
        <is>
          <t>2 lb</t>
        </is>
      </c>
      <c r="F5" s="46" t="inlineStr">
        <is>
          <t>SUP-03</t>
        </is>
      </c>
      <c r="G5" s="47" t="n">
        <v>16.1</v>
      </c>
      <c r="H5" s="48" t="n">
        <v>850</v>
      </c>
      <c r="I5" s="48" t="n">
        <v>250</v>
      </c>
      <c r="J5" s="48" t="n">
        <v>600</v>
      </c>
      <c r="K5" s="48" t="n">
        <v>24</v>
      </c>
      <c r="L5" s="46" t="inlineStr">
        <is>
          <t>Active</t>
        </is>
      </c>
      <c r="M5" s="46" t="n"/>
      <c r="N5" s="49" t="str">
        <f>IF($A5="","",IFERROR(INDEX(Suppliers!$B$2:$B$51,MATCH($F5,Suppliers!$A$2:$A$51,0))&amp;"","(not found)"))</f>
        <v>Corliss Plant Proteins</v>
      </c>
      <c r="O5" s="50">
        <f>IF($A5="","",SUMIFS(Inventory_Ledger!$E$2:$E$2001,Inventory_Ledger!$D$2:$D$2001,$A5,Inventory_Ledger!$C$2:$C$2001,"Receipt"))</f>
        <v>0</v>
      </c>
      <c r="P5" s="50">
        <f>IF($A5="","",SUMIFS(Inventory_Ledger!$E$2:$E$2001,Inventory_Ledger!$D$2:$D$2001,$A5,Inventory_Ledger!$C$2:$C$2001,"Shipment"))</f>
        <v>451</v>
      </c>
      <c r="Q5" s="51">
        <f>IF($A5="","",SUMIFS(Inventory_Ledger!$E$2:$E$2001,Inventory_Ledger!$D$2:$D$2001,$A5,Inventory_Ledger!$C$2:$C$2001,"Adjustment"))</f>
        <v>-3</v>
      </c>
      <c r="R5" s="51">
        <f>IF($A5="","",IF(ISNUMBER($H5),$H5,0)+$O5-$P5+$Q5)</f>
        <v>396</v>
      </c>
      <c r="S5" s="50">
        <f>IF($A5="","",SUMIFS(Reservations!$L$2:$L$201,Reservations!$B$2:$B$201,$A5))</f>
        <v>0</v>
      </c>
      <c r="T5" s="50">
        <f>IF($A5="","",SUMIFS(Batches!$P$2:$P$301,Batches!$B$2:$B$301,$A5))</f>
        <v>0</v>
      </c>
      <c r="U5" s="51">
        <f>IF($A5="","",$R5-$S5-$T5)</f>
        <v>396</v>
      </c>
      <c r="V5" s="50">
        <f>IF($A5="","",SUMIFS(Purchase_Orders!$N$2:$N$301,Purchase_Orders!$C$2:$C$301,$A5,Purchase_Orders!$O$2:$O$301,1))</f>
        <v>0</v>
      </c>
      <c r="W5" s="51">
        <f>IF($A5="","",SUMIFS(Batches!$L$2:$L$301,Batches!$B$2:$B$301,$A5))</f>
        <v>396</v>
      </c>
      <c r="X5" s="50">
        <f>IF($A5="","",SUMIFS(Batches!$F$2:$F$301,Batches!$B$2:$B$301,$A5))</f>
        <v>850</v>
      </c>
      <c r="Y5" s="52">
        <f>IF($A5="","",IF(ISNUMBER($I5),IF(IF(Config!$B$9="Recorded",$R5,$U5)&lt;$I5,1,0),0))</f>
        <v>0</v>
      </c>
      <c r="Z5" s="49" t="str">
        <f>IF($A5="","",IF($R5&lt;0,"Negative",IF($Y5=1,"Below reorder","OK")))</f>
        <v>OK</v>
      </c>
      <c r="AA5" s="53">
        <f>IF($A5="","",IF(ISNUMBER($G5),$R5*$G5,""))</f>
        <v>6375.6</v>
      </c>
      <c r="AB5" s="49" t="str">
        <f>IF(COUNTA($A5:$M5)=0,"",IF($A5="","Missing: SKU",IF(COUNTIF($A$2:$A$101,$A5)&gt;1,"Duplicate SKU",IF($B5="","Missing: product name",IF($C5="","Missing: category",IF($F5="","Missing: primary supplier",IF(NOT(ISNUMBER($H5)),"Missing: opening balance",IF(NOT(ISNUMBER($I5)),"Missing: reorder point",IF(NOT(ISNUMBER($J5)),"Missing: reorder qty",IF($L5="","Missing: status",IF(COUNTIF(Suppliers!$A$2:$A$51,$F5)=0,"Unknown supplier",IF(COUNTIF(Config!$N$15:$N$34,$C5)=0,"Unsupported category",IF(COUNTIF(Config!$O$15:$O$34,$L5)=0,"Unsupported status",IF($X5&lt;&gt;$H5,"Opening balance differs from lot openings",IF($W5&lt;&gt;$R5,"Lot balances differ from recorded stock",IF($R5&lt;0,"Negative recorded stock","OK"))))))))))))))))</f>
        <v>OK</v>
      </c>
      <c r="AC5" s="52" t="str">
        <f>IF($Y5=1,COUNTIF($Y$2:$Y5,1),"")</f>
        <v/>
      </c>
    </row>
    <row r="6">
      <c r="A6" s="46" t="inlineStr">
        <is>
          <t>PLT-VAN-2LB</t>
        </is>
      </c>
      <c r="B6" s="46" t="inlineStr">
        <is>
          <t>Plant Protein, Vanilla, 2 lb</t>
        </is>
      </c>
      <c r="C6" s="46" t="inlineStr">
        <is>
          <t>Plant protein</t>
        </is>
      </c>
      <c r="D6" s="46" t="inlineStr">
        <is>
          <t>Vanilla</t>
        </is>
      </c>
      <c r="E6" s="46" t="inlineStr">
        <is>
          <t>2 lb</t>
        </is>
      </c>
      <c r="F6" s="46" t="inlineStr">
        <is>
          <t>SUP-03</t>
        </is>
      </c>
      <c r="G6" s="47" t="n">
        <v>16.1</v>
      </c>
      <c r="H6" s="48" t="n">
        <v>407</v>
      </c>
      <c r="I6" s="48" t="n">
        <v>200</v>
      </c>
      <c r="J6" s="48" t="n">
        <v>500</v>
      </c>
      <c r="K6" s="48" t="n">
        <v>24</v>
      </c>
      <c r="L6" s="46" t="inlineStr">
        <is>
          <t>Active</t>
        </is>
      </c>
      <c r="M6" s="46" t="n"/>
      <c r="N6" s="49" t="str">
        <f>IF($A6="","",IFERROR(INDEX(Suppliers!$B$2:$B$51,MATCH($F6,Suppliers!$A$2:$A$51,0))&amp;"","(not found)"))</f>
        <v>Corliss Plant Proteins</v>
      </c>
      <c r="O6" s="50">
        <f>IF($A6="","",SUMIFS(Inventory_Ledger!$E$2:$E$2001,Inventory_Ledger!$D$2:$D$2001,$A6,Inventory_Ledger!$C$2:$C$2001,"Receipt"))</f>
        <v>0</v>
      </c>
      <c r="P6" s="50">
        <f>IF($A6="","",SUMIFS(Inventory_Ledger!$E$2:$E$2001,Inventory_Ledger!$D$2:$D$2001,$A6,Inventory_Ledger!$C$2:$C$2001,"Shipment"))</f>
        <v>274</v>
      </c>
      <c r="Q6" s="51">
        <f>IF($A6="","",SUMIFS(Inventory_Ledger!$E$2:$E$2001,Inventory_Ledger!$D$2:$D$2001,$A6,Inventory_Ledger!$C$2:$C$2001,"Adjustment"))</f>
        <v>0</v>
      </c>
      <c r="R6" s="51">
        <f>IF($A6="","",IF(ISNUMBER($H6),$H6,0)+$O6-$P6+$Q6)</f>
        <v>133</v>
      </c>
      <c r="S6" s="50">
        <f>IF($A6="","",SUMIFS(Reservations!$L$2:$L$201,Reservations!$B$2:$B$201,$A6))</f>
        <v>0</v>
      </c>
      <c r="T6" s="50">
        <f>IF($A6="","",SUMIFS(Batches!$P$2:$P$301,Batches!$B$2:$B$301,$A6))</f>
        <v>0</v>
      </c>
      <c r="U6" s="51">
        <f>IF($A6="","",$R6-$S6-$T6)</f>
        <v>133</v>
      </c>
      <c r="V6" s="50">
        <f>IF($A6="","",SUMIFS(Purchase_Orders!$N$2:$N$301,Purchase_Orders!$C$2:$C$301,$A6,Purchase_Orders!$O$2:$O$301,1))</f>
        <v>500</v>
      </c>
      <c r="W6" s="51">
        <f>IF($A6="","",SUMIFS(Batches!$L$2:$L$301,Batches!$B$2:$B$301,$A6))</f>
        <v>133</v>
      </c>
      <c r="X6" s="50">
        <f>IF($A6="","",SUMIFS(Batches!$F$2:$F$301,Batches!$B$2:$B$301,$A6))</f>
        <v>407</v>
      </c>
      <c r="Y6" s="52">
        <f>IF($A6="","",IF(ISNUMBER($I6),IF(IF(Config!$B$9="Recorded",$R6,$U6)&lt;$I6,1,0),0))</f>
        <v>1</v>
      </c>
      <c r="Z6" s="49" t="str">
        <f>IF($A6="","",IF($R6&lt;0,"Negative",IF($Y6=1,"Below reorder","OK")))</f>
        <v>Below reorder</v>
      </c>
      <c r="AA6" s="53">
        <f>IF($A6="","",IF(ISNUMBER($G6),$R6*$G6,""))</f>
        <v>2141.3</v>
      </c>
      <c r="AB6" s="49" t="str">
        <f>IF(COUNTA($A6:$M6)=0,"",IF($A6="","Missing: SKU",IF(COUNTIF($A$2:$A$101,$A6)&gt;1,"Duplicate SKU",IF($B6="","Missing: product name",IF($C6="","Missing: category",IF($F6="","Missing: primary supplier",IF(NOT(ISNUMBER($H6)),"Missing: opening balance",IF(NOT(ISNUMBER($I6)),"Missing: reorder point",IF(NOT(ISNUMBER($J6)),"Missing: reorder qty",IF($L6="","Missing: status",IF(COUNTIF(Suppliers!$A$2:$A$51,$F6)=0,"Unknown supplier",IF(COUNTIF(Config!$N$15:$N$34,$C6)=0,"Unsupported category",IF(COUNTIF(Config!$O$15:$O$34,$L6)=0,"Unsupported status",IF($X6&lt;&gt;$H6,"Opening balance differs from lot openings",IF($W6&lt;&gt;$R6,"Lot balances differ from recorded stock",IF($R6&lt;0,"Negative recorded stock","OK"))))))))))))))))</f>
        <v>OK</v>
      </c>
      <c r="AC6" s="52">
        <f>IF($Y6=1,COUNTIF($Y$2:$Y6,1),"")</f>
        <v>3</v>
      </c>
    </row>
    <row r="7">
      <c r="A7" s="46" t="inlineStr">
        <is>
          <t>BAR-PBC-12</t>
        </is>
      </c>
      <c r="B7" s="46" t="inlineStr">
        <is>
          <t>Protein Bar, Peanut Butter Chocolate, 12-pack</t>
        </is>
      </c>
      <c r="C7" s="46" t="inlineStr">
        <is>
          <t>Protein bars</t>
        </is>
      </c>
      <c r="D7" s="46" t="inlineStr">
        <is>
          <t>Peanut butter chocolate</t>
        </is>
      </c>
      <c r="E7" s="46" t="inlineStr">
        <is>
          <t>12-pack</t>
        </is>
      </c>
      <c r="F7" s="46" t="inlineStr">
        <is>
          <t>SUP-02</t>
        </is>
      </c>
      <c r="G7" s="47" t="n">
        <v>11.2</v>
      </c>
      <c r="H7" s="48" t="n">
        <v>2288</v>
      </c>
      <c r="I7" s="48" t="n">
        <v>900</v>
      </c>
      <c r="J7" s="48" t="n">
        <v>2400</v>
      </c>
      <c r="K7" s="48" t="n">
        <v>12</v>
      </c>
      <c r="L7" s="46" t="inlineStr">
        <is>
          <t>Active</t>
        </is>
      </c>
      <c r="M7" s="46" t="n"/>
      <c r="N7" s="49" t="str">
        <f>IF($A7="","",IFERROR(INDEX(Suppliers!$B$2:$B$51,MATCH($F7,Suppliers!$A$2:$A$51,0))&amp;"","(not found)"))</f>
        <v>Bramwell Bar Works</v>
      </c>
      <c r="O7" s="50">
        <f>IF($A7="","",SUMIFS(Inventory_Ledger!$E$2:$E$2001,Inventory_Ledger!$D$2:$D$2001,$A7,Inventory_Ledger!$C$2:$C$2001,"Receipt"))</f>
        <v>2400</v>
      </c>
      <c r="P7" s="50">
        <f>IF($A7="","",SUMIFS(Inventory_Ledger!$E$2:$E$2001,Inventory_Ledger!$D$2:$D$2001,$A7,Inventory_Ledger!$C$2:$C$2001,"Shipment"))</f>
        <v>1944</v>
      </c>
      <c r="Q7" s="51">
        <f>IF($A7="","",SUMIFS(Inventory_Ledger!$E$2:$E$2001,Inventory_Ledger!$D$2:$D$2001,$A7,Inventory_Ledger!$C$2:$C$2001,"Adjustment"))</f>
        <v>0</v>
      </c>
      <c r="R7" s="51">
        <f>IF($A7="","",IF(ISNUMBER($H7),$H7,0)+$O7-$P7+$Q7)</f>
        <v>2744</v>
      </c>
      <c r="S7" s="50">
        <f>IF($A7="","",SUMIFS(Reservations!$L$2:$L$201,Reservations!$B$2:$B$201,$A7))</f>
        <v>200</v>
      </c>
      <c r="T7" s="50">
        <f>IF($A7="","",SUMIFS(Batches!$P$2:$P$301,Batches!$B$2:$B$301,$A7))</f>
        <v>0</v>
      </c>
      <c r="U7" s="51">
        <f>IF($A7="","",$R7-$S7-$T7)</f>
        <v>2544</v>
      </c>
      <c r="V7" s="50">
        <f>IF($A7="","",SUMIFS(Purchase_Orders!$N$2:$N$301,Purchase_Orders!$C$2:$C$301,$A7,Purchase_Orders!$O$2:$O$301,1))</f>
        <v>0</v>
      </c>
      <c r="W7" s="51">
        <f>IF($A7="","",SUMIFS(Batches!$L$2:$L$301,Batches!$B$2:$B$301,$A7))</f>
        <v>2744</v>
      </c>
      <c r="X7" s="50">
        <f>IF($A7="","",SUMIFS(Batches!$F$2:$F$301,Batches!$B$2:$B$301,$A7))</f>
        <v>2288</v>
      </c>
      <c r="Y7" s="52">
        <f>IF($A7="","",IF(ISNUMBER($I7),IF(IF(Config!$B$9="Recorded",$R7,$U7)&lt;$I7,1,0),0))</f>
        <v>0</v>
      </c>
      <c r="Z7" s="49" t="str">
        <f>IF($A7="","",IF($R7&lt;0,"Negative",IF($Y7=1,"Below reorder","OK")))</f>
        <v>OK</v>
      </c>
      <c r="AA7" s="53">
        <f>IF($A7="","",IF(ISNUMBER($G7),$R7*$G7,""))</f>
        <v>30732.8</v>
      </c>
      <c r="AB7" s="49" t="str">
        <f>IF(COUNTA($A7:$M7)=0,"",IF($A7="","Missing: SKU",IF(COUNTIF($A$2:$A$101,$A7)&gt;1,"Duplicate SKU",IF($B7="","Missing: product name",IF($C7="","Missing: category",IF($F7="","Missing: primary supplier",IF(NOT(ISNUMBER($H7)),"Missing: opening balance",IF(NOT(ISNUMBER($I7)),"Missing: reorder point",IF(NOT(ISNUMBER($J7)),"Missing: reorder qty",IF($L7="","Missing: status",IF(COUNTIF(Suppliers!$A$2:$A$51,$F7)=0,"Unknown supplier",IF(COUNTIF(Config!$N$15:$N$34,$C7)=0,"Unsupported category",IF(COUNTIF(Config!$O$15:$O$34,$L7)=0,"Unsupported status",IF($X7&lt;&gt;$H7,"Opening balance differs from lot openings",IF($W7&lt;&gt;$R7,"Lot balances differ from recorded stock",IF($R7&lt;0,"Negative recorded stock","OK"))))))))))))))))</f>
        <v>OK</v>
      </c>
      <c r="AC7" s="52" t="str">
        <f>IF($Y7=1,COUNTIF($Y$2:$Y7,1),"")</f>
        <v/>
      </c>
    </row>
    <row r="8">
      <c r="A8" s="46" t="inlineStr">
        <is>
          <t>BAR-CKD-12</t>
        </is>
      </c>
      <c r="B8" s="46" t="inlineStr">
        <is>
          <t>Protein Bar, Cookie Dough, 12-pack</t>
        </is>
      </c>
      <c r="C8" s="46" t="inlineStr">
        <is>
          <t>Protein bars</t>
        </is>
      </c>
      <c r="D8" s="46" t="inlineStr">
        <is>
          <t>Cookie dough</t>
        </is>
      </c>
      <c r="E8" s="46" t="inlineStr">
        <is>
          <t>12-pack</t>
        </is>
      </c>
      <c r="F8" s="46" t="inlineStr">
        <is>
          <t>SUP-02</t>
        </is>
      </c>
      <c r="G8" s="47" t="n">
        <v>11.2</v>
      </c>
      <c r="H8" s="48" t="n">
        <v>1889</v>
      </c>
      <c r="I8" s="48" t="n">
        <v>700</v>
      </c>
      <c r="J8" s="48" t="n">
        <v>1500</v>
      </c>
      <c r="K8" s="48" t="n">
        <v>12</v>
      </c>
      <c r="L8" s="46" t="inlineStr">
        <is>
          <t>Active</t>
        </is>
      </c>
      <c r="M8" s="46" t="n"/>
      <c r="N8" s="49" t="str">
        <f>IF($A8="","",IFERROR(INDEX(Suppliers!$B$2:$B$51,MATCH($F8,Suppliers!$A$2:$A$51,0))&amp;"","(not found)"))</f>
        <v>Bramwell Bar Works</v>
      </c>
      <c r="O8" s="50">
        <f>IF($A8="","",SUMIFS(Inventory_Ledger!$E$2:$E$2001,Inventory_Ledger!$D$2:$D$2001,$A8,Inventory_Ledger!$C$2:$C$2001,"Receipt"))</f>
        <v>1500</v>
      </c>
      <c r="P8" s="50">
        <f>IF($A8="","",SUMIFS(Inventory_Ledger!$E$2:$E$2001,Inventory_Ledger!$D$2:$D$2001,$A8,Inventory_Ledger!$C$2:$C$2001,"Shipment"))</f>
        <v>1581</v>
      </c>
      <c r="Q8" s="51">
        <f>IF($A8="","",SUMIFS(Inventory_Ledger!$E$2:$E$2001,Inventory_Ledger!$D$2:$D$2001,$A8,Inventory_Ledger!$C$2:$C$2001,"Adjustment"))</f>
        <v>-60</v>
      </c>
      <c r="R8" s="51">
        <f>IF($A8="","",IF(ISNUMBER($H8),$H8,0)+$O8-$P8+$Q8)</f>
        <v>1748</v>
      </c>
      <c r="S8" s="50">
        <f>IF($A8="","",SUMIFS(Reservations!$L$2:$L$201,Reservations!$B$2:$B$201,$A8))</f>
        <v>150</v>
      </c>
      <c r="T8" s="50">
        <f>IF($A8="","",SUMIFS(Batches!$P$2:$P$301,Batches!$B$2:$B$301,$A8))</f>
        <v>36</v>
      </c>
      <c r="U8" s="51">
        <f>IF($A8="","",$R8-$S8-$T8)</f>
        <v>1562</v>
      </c>
      <c r="V8" s="50">
        <f>IF($A8="","",SUMIFS(Purchase_Orders!$N$2:$N$301,Purchase_Orders!$C$2:$C$301,$A8,Purchase_Orders!$O$2:$O$301,1))</f>
        <v>0</v>
      </c>
      <c r="W8" s="51">
        <f>IF($A8="","",SUMIFS(Batches!$L$2:$L$301,Batches!$B$2:$B$301,$A8))</f>
        <v>1748</v>
      </c>
      <c r="X8" s="50">
        <f>IF($A8="","",SUMIFS(Batches!$F$2:$F$301,Batches!$B$2:$B$301,$A8))</f>
        <v>1889</v>
      </c>
      <c r="Y8" s="52">
        <f>IF($A8="","",IF(ISNUMBER($I8),IF(IF(Config!$B$9="Recorded",$R8,$U8)&lt;$I8,1,0),0))</f>
        <v>0</v>
      </c>
      <c r="Z8" s="49" t="str">
        <f>IF($A8="","",IF($R8&lt;0,"Negative",IF($Y8=1,"Below reorder","OK")))</f>
        <v>OK</v>
      </c>
      <c r="AA8" s="53">
        <f>IF($A8="","",IF(ISNUMBER($G8),$R8*$G8,""))</f>
        <v>19577.6</v>
      </c>
      <c r="AB8" s="49" t="str">
        <f>IF(COUNTA($A8:$M8)=0,"",IF($A8="","Missing: SKU",IF(COUNTIF($A$2:$A$101,$A8)&gt;1,"Duplicate SKU",IF($B8="","Missing: product name",IF($C8="","Missing: category",IF($F8="","Missing: primary supplier",IF(NOT(ISNUMBER($H8)),"Missing: opening balance",IF(NOT(ISNUMBER($I8)),"Missing: reorder point",IF(NOT(ISNUMBER($J8)),"Missing: reorder qty",IF($L8="","Missing: status",IF(COUNTIF(Suppliers!$A$2:$A$51,$F8)=0,"Unknown supplier",IF(COUNTIF(Config!$N$15:$N$34,$C8)=0,"Unsupported category",IF(COUNTIF(Config!$O$15:$O$34,$L8)=0,"Unsupported status",IF($X8&lt;&gt;$H8,"Opening balance differs from lot openings",IF($W8&lt;&gt;$R8,"Lot balances differ from recorded stock",IF($R8&lt;0,"Negative recorded stock","OK"))))))))))))))))</f>
        <v>OK</v>
      </c>
      <c r="AC8" s="52" t="str">
        <f>IF($Y8=1,COUNTIF($Y$2:$Y8,1),"")</f>
        <v/>
      </c>
    </row>
    <row r="9">
      <c r="A9" s="46" t="inlineStr">
        <is>
          <t>CRE-UNF-300G</t>
        </is>
      </c>
      <c r="B9" s="46" t="inlineStr">
        <is>
          <t>Creatine Monohydrate, Unflavoured, 300 g</t>
        </is>
      </c>
      <c r="C9" s="46" t="inlineStr">
        <is>
          <t>Creatine</t>
        </is>
      </c>
      <c r="D9" s="46" t="inlineStr">
        <is>
          <t>Unflavoured</t>
        </is>
      </c>
      <c r="E9" s="46" t="inlineStr">
        <is>
          <t>300 g</t>
        </is>
      </c>
      <c r="F9" s="46" t="inlineStr">
        <is>
          <t>SUP-04</t>
        </is>
      </c>
      <c r="G9" s="47" t="n">
        <v>6.9</v>
      </c>
      <c r="H9" s="48" t="n">
        <v>980</v>
      </c>
      <c r="I9" s="48" t="n">
        <v>400</v>
      </c>
      <c r="J9" s="48" t="n">
        <v>1000</v>
      </c>
      <c r="K9" s="48" t="n">
        <v>36</v>
      </c>
      <c r="L9" s="46" t="inlineStr">
        <is>
          <t>Active</t>
        </is>
      </c>
      <c r="M9" s="46" t="n"/>
      <c r="N9" s="49" t="str">
        <f>IF($A9="","",IFERROR(INDEX(Suppliers!$B$2:$B$51,MATCH($F9,Suppliers!$A$2:$A$51,0))&amp;"","(not found)"))</f>
        <v>Dunmore Powder Labs</v>
      </c>
      <c r="O9" s="50">
        <f>IF($A9="","",SUMIFS(Inventory_Ledger!$E$2:$E$2001,Inventory_Ledger!$D$2:$D$2001,$A9,Inventory_Ledger!$C$2:$C$2001,"Receipt"))</f>
        <v>1000</v>
      </c>
      <c r="P9" s="50">
        <f>IF($A9="","",SUMIFS(Inventory_Ledger!$E$2:$E$2001,Inventory_Ledger!$D$2:$D$2001,$A9,Inventory_Ledger!$C$2:$C$2001,"Shipment"))</f>
        <v>865</v>
      </c>
      <c r="Q9" s="51">
        <f>IF($A9="","",SUMIFS(Inventory_Ledger!$E$2:$E$2001,Inventory_Ledger!$D$2:$D$2001,$A9,Inventory_Ledger!$C$2:$C$2001,"Adjustment"))</f>
        <v>4</v>
      </c>
      <c r="R9" s="51">
        <f>IF($A9="","",IF(ISNUMBER($H9),$H9,0)+$O9-$P9+$Q9)</f>
        <v>1119</v>
      </c>
      <c r="S9" s="50">
        <f>IF($A9="","",SUMIFS(Reservations!$L$2:$L$201,Reservations!$B$2:$B$201,$A9))</f>
        <v>0</v>
      </c>
      <c r="T9" s="50">
        <f>IF($A9="","",SUMIFS(Batches!$P$2:$P$301,Batches!$B$2:$B$301,$A9))</f>
        <v>0</v>
      </c>
      <c r="U9" s="51">
        <f>IF($A9="","",$R9-$S9-$T9)</f>
        <v>1119</v>
      </c>
      <c r="V9" s="50">
        <f>IF($A9="","",SUMIFS(Purchase_Orders!$N$2:$N$301,Purchase_Orders!$C$2:$C$301,$A9,Purchase_Orders!$O$2:$O$301,1))</f>
        <v>0</v>
      </c>
      <c r="W9" s="51">
        <f>IF($A9="","",SUMIFS(Batches!$L$2:$L$301,Batches!$B$2:$B$301,$A9))</f>
        <v>1119</v>
      </c>
      <c r="X9" s="50">
        <f>IF($A9="","",SUMIFS(Batches!$F$2:$F$301,Batches!$B$2:$B$301,$A9))</f>
        <v>980</v>
      </c>
      <c r="Y9" s="52">
        <f>IF($A9="","",IF(ISNUMBER($I9),IF(IF(Config!$B$9="Recorded",$R9,$U9)&lt;$I9,1,0),0))</f>
        <v>0</v>
      </c>
      <c r="Z9" s="49" t="str">
        <f>IF($A9="","",IF($R9&lt;0,"Negative",IF($Y9=1,"Below reorder","OK")))</f>
        <v>OK</v>
      </c>
      <c r="AA9" s="53">
        <f>IF($A9="","",IF(ISNUMBER($G9),$R9*$G9,""))</f>
        <v>7721.1</v>
      </c>
      <c r="AB9" s="49" t="str">
        <f>IF(COUNTA($A9:$M9)=0,"",IF($A9="","Missing: SKU",IF(COUNTIF($A$2:$A$101,$A9)&gt;1,"Duplicate SKU",IF($B9="","Missing: product name",IF($C9="","Missing: category",IF($F9="","Missing: primary supplier",IF(NOT(ISNUMBER($H9)),"Missing: opening balance",IF(NOT(ISNUMBER($I9)),"Missing: reorder point",IF(NOT(ISNUMBER($J9)),"Missing: reorder qty",IF($L9="","Missing: status",IF(COUNTIF(Suppliers!$A$2:$A$51,$F9)=0,"Unknown supplier",IF(COUNTIF(Config!$N$15:$N$34,$C9)=0,"Unsupported category",IF(COUNTIF(Config!$O$15:$O$34,$L9)=0,"Unsupported status",IF($X9&lt;&gt;$H9,"Opening balance differs from lot openings",IF($W9&lt;&gt;$R9,"Lot balances differ from recorded stock",IF($R9&lt;0,"Negative recorded stock","OK"))))))))))))))))</f>
        <v>OK</v>
      </c>
      <c r="AC9" s="52" t="str">
        <f>IF($Y9=1,COUNTIF($Y$2:$Y9,1),"")</f>
        <v/>
      </c>
    </row>
    <row r="10">
      <c r="A10" s="46" t="inlineStr">
        <is>
          <t>CRE-UNF-500G</t>
        </is>
      </c>
      <c r="B10" s="46" t="inlineStr">
        <is>
          <t>Creatine Monohydrate, Unflavoured, 500 g</t>
        </is>
      </c>
      <c r="C10" s="46" t="inlineStr">
        <is>
          <t>Creatine</t>
        </is>
      </c>
      <c r="D10" s="46" t="inlineStr">
        <is>
          <t>Unflavoured</t>
        </is>
      </c>
      <c r="E10" s="46" t="inlineStr">
        <is>
          <t>500 g</t>
        </is>
      </c>
      <c r="F10" s="46" t="inlineStr">
        <is>
          <t>SUP-04</t>
        </is>
      </c>
      <c r="G10" s="47" t="n">
        <v>10.3</v>
      </c>
      <c r="H10" s="48" t="n">
        <v>640</v>
      </c>
      <c r="I10" s="48" t="n">
        <v>250</v>
      </c>
      <c r="J10" s="48" t="n">
        <v>700</v>
      </c>
      <c r="K10" s="48" t="n">
        <v>36</v>
      </c>
      <c r="L10" s="46" t="inlineStr">
        <is>
          <t>Active</t>
        </is>
      </c>
      <c r="M10" s="46" t="n"/>
      <c r="N10" s="49" t="str">
        <f>IF($A10="","",IFERROR(INDEX(Suppliers!$B$2:$B$51,MATCH($F10,Suppliers!$A$2:$A$51,0))&amp;"","(not found)"))</f>
        <v>Dunmore Powder Labs</v>
      </c>
      <c r="O10" s="50">
        <f>IF($A10="","",SUMIFS(Inventory_Ledger!$E$2:$E$2001,Inventory_Ledger!$D$2:$D$2001,$A10,Inventory_Ledger!$C$2:$C$2001,"Receipt"))</f>
        <v>0</v>
      </c>
      <c r="P10" s="50">
        <f>IF($A10="","",SUMIFS(Inventory_Ledger!$E$2:$E$2001,Inventory_Ledger!$D$2:$D$2001,$A10,Inventory_Ledger!$C$2:$C$2001,"Shipment"))</f>
        <v>350</v>
      </c>
      <c r="Q10" s="51">
        <f>IF($A10="","",SUMIFS(Inventory_Ledger!$E$2:$E$2001,Inventory_Ledger!$D$2:$D$2001,$A10,Inventory_Ledger!$C$2:$C$2001,"Adjustment"))</f>
        <v>0</v>
      </c>
      <c r="R10" s="51">
        <f>IF($A10="","",IF(ISNUMBER($H10),$H10,0)+$O10-$P10+$Q10)</f>
        <v>290</v>
      </c>
      <c r="S10" s="50">
        <f>IF($A10="","",SUMIFS(Reservations!$L$2:$L$201,Reservations!$B$2:$B$201,$A10))</f>
        <v>80</v>
      </c>
      <c r="T10" s="50">
        <f>IF($A10="","",SUMIFS(Batches!$P$2:$P$301,Batches!$B$2:$B$301,$A10))</f>
        <v>0</v>
      </c>
      <c r="U10" s="51">
        <f>IF($A10="","",$R10-$S10-$T10)</f>
        <v>210</v>
      </c>
      <c r="V10" s="50">
        <f>IF($A10="","",SUMIFS(Purchase_Orders!$N$2:$N$301,Purchase_Orders!$C$2:$C$301,$A10,Purchase_Orders!$O$2:$O$301,1))</f>
        <v>0</v>
      </c>
      <c r="W10" s="51">
        <f>IF($A10="","",SUMIFS(Batches!$L$2:$L$301,Batches!$B$2:$B$301,$A10))</f>
        <v>290</v>
      </c>
      <c r="X10" s="50">
        <f>IF($A10="","",SUMIFS(Batches!$F$2:$F$301,Batches!$B$2:$B$301,$A10))</f>
        <v>640</v>
      </c>
      <c r="Y10" s="52">
        <f>IF($A10="","",IF(ISNUMBER($I10),IF(IF(Config!$B$9="Recorded",$R10,$U10)&lt;$I10,1,0),0))</f>
        <v>1</v>
      </c>
      <c r="Z10" s="49" t="str">
        <f>IF($A10="","",IF($R10&lt;0,"Negative",IF($Y10=1,"Below reorder","OK")))</f>
        <v>Below reorder</v>
      </c>
      <c r="AA10" s="53">
        <f>IF($A10="","",IF(ISNUMBER($G10),$R10*$G10,""))</f>
        <v>2987</v>
      </c>
      <c r="AB10" s="49" t="str">
        <f>IF(COUNTA($A10:$M10)=0,"",IF($A10="","Missing: SKU",IF(COUNTIF($A$2:$A$101,$A10)&gt;1,"Duplicate SKU",IF($B10="","Missing: product name",IF($C10="","Missing: category",IF($F10="","Missing: primary supplier",IF(NOT(ISNUMBER($H10)),"Missing: opening balance",IF(NOT(ISNUMBER($I10)),"Missing: reorder point",IF(NOT(ISNUMBER($J10)),"Missing: reorder qty",IF($L10="","Missing: status",IF(COUNTIF(Suppliers!$A$2:$A$51,$F10)=0,"Unknown supplier",IF(COUNTIF(Config!$N$15:$N$34,$C10)=0,"Unsupported category",IF(COUNTIF(Config!$O$15:$O$34,$L10)=0,"Unsupported status",IF($X10&lt;&gt;$H10,"Opening balance differs from lot openings",IF($W10&lt;&gt;$R10,"Lot balances differ from recorded stock",IF($R10&lt;0,"Negative recorded stock","OK"))))))))))))))))</f>
        <v>OK</v>
      </c>
      <c r="AC10" s="52">
        <f>IF($Y10=1,COUNTIF($Y$2:$Y10,1),"")</f>
        <v>4</v>
      </c>
    </row>
    <row r="11">
      <c r="A11" s="46" t="inlineStr">
        <is>
          <t>PRE-BRZ-30</t>
        </is>
      </c>
      <c r="B11" s="46" t="inlineStr">
        <is>
          <t>Pre-Workout, Blue Raspberry, 30 servings</t>
        </is>
      </c>
      <c r="C11" s="46" t="inlineStr">
        <is>
          <t>Pre-workout</t>
        </is>
      </c>
      <c r="D11" s="46" t="inlineStr">
        <is>
          <t>Blue raspberry</t>
        </is>
      </c>
      <c r="E11" s="46" t="inlineStr">
        <is>
          <t>30 servings</t>
        </is>
      </c>
      <c r="F11" s="46" t="inlineStr">
        <is>
          <t>SUP-04</t>
        </is>
      </c>
      <c r="G11" s="47" t="n">
        <v>9.6</v>
      </c>
      <c r="H11" s="48" t="n">
        <v>746</v>
      </c>
      <c r="I11" s="48" t="n">
        <v>300</v>
      </c>
      <c r="J11" s="48" t="n">
        <v>800</v>
      </c>
      <c r="K11" s="48" t="n">
        <v>24</v>
      </c>
      <c r="L11" s="46" t="inlineStr">
        <is>
          <t>Active</t>
        </is>
      </c>
      <c r="M11" s="46" t="n"/>
      <c r="N11" s="49" t="str">
        <f>IF($A11="","",IFERROR(INDEX(Suppliers!$B$2:$B$51,MATCH($F11,Suppliers!$A$2:$A$51,0))&amp;"","(not found)"))</f>
        <v>Dunmore Powder Labs</v>
      </c>
      <c r="O11" s="50">
        <f>IF($A11="","",SUMIFS(Inventory_Ledger!$E$2:$E$2001,Inventory_Ledger!$D$2:$D$2001,$A11,Inventory_Ledger!$C$2:$C$2001,"Receipt"))</f>
        <v>800</v>
      </c>
      <c r="P11" s="50">
        <f>IF($A11="","",SUMIFS(Inventory_Ledger!$E$2:$E$2001,Inventory_Ledger!$D$2:$D$2001,$A11,Inventory_Ledger!$C$2:$C$2001,"Shipment"))</f>
        <v>671</v>
      </c>
      <c r="Q11" s="51">
        <f>IF($A11="","",SUMIFS(Inventory_Ledger!$E$2:$E$2001,Inventory_Ledger!$D$2:$D$2001,$A11,Inventory_Ledger!$C$2:$C$2001,"Adjustment"))</f>
        <v>0</v>
      </c>
      <c r="R11" s="51">
        <f>IF($A11="","",IF(ISNUMBER($H11),$H11,0)+$O11-$P11+$Q11)</f>
        <v>875</v>
      </c>
      <c r="S11" s="50">
        <f>IF($A11="","",SUMIFS(Reservations!$L$2:$L$201,Reservations!$B$2:$B$201,$A11))</f>
        <v>0</v>
      </c>
      <c r="T11" s="50">
        <f>IF($A11="","",SUMIFS(Batches!$P$2:$P$301,Batches!$B$2:$B$301,$A11))</f>
        <v>0</v>
      </c>
      <c r="U11" s="51">
        <f>IF($A11="","",$R11-$S11-$T11)</f>
        <v>875</v>
      </c>
      <c r="V11" s="50">
        <f>IF($A11="","",SUMIFS(Purchase_Orders!$N$2:$N$301,Purchase_Orders!$C$2:$C$301,$A11,Purchase_Orders!$O$2:$O$301,1))</f>
        <v>0</v>
      </c>
      <c r="W11" s="51">
        <f>IF($A11="","",SUMIFS(Batches!$L$2:$L$301,Batches!$B$2:$B$301,$A11))</f>
        <v>875</v>
      </c>
      <c r="X11" s="50">
        <f>IF($A11="","",SUMIFS(Batches!$F$2:$F$301,Batches!$B$2:$B$301,$A11))</f>
        <v>746</v>
      </c>
      <c r="Y11" s="52">
        <f>IF($A11="","",IF(ISNUMBER($I11),IF(IF(Config!$B$9="Recorded",$R11,$U11)&lt;$I11,1,0),0))</f>
        <v>0</v>
      </c>
      <c r="Z11" s="49" t="str">
        <f>IF($A11="","",IF($R11&lt;0,"Negative",IF($Y11=1,"Below reorder","OK")))</f>
        <v>OK</v>
      </c>
      <c r="AA11" s="53">
        <f>IF($A11="","",IF(ISNUMBER($G11),$R11*$G11,""))</f>
        <v>8400</v>
      </c>
      <c r="AB11" s="49" t="str">
        <f>IF(COUNTA($A11:$M11)=0,"",IF($A11="","Missing: SKU",IF(COUNTIF($A$2:$A$101,$A11)&gt;1,"Duplicate SKU",IF($B11="","Missing: product name",IF($C11="","Missing: category",IF($F11="","Missing: primary supplier",IF(NOT(ISNUMBER($H11)),"Missing: opening balance",IF(NOT(ISNUMBER($I11)),"Missing: reorder point",IF(NOT(ISNUMBER($J11)),"Missing: reorder qty",IF($L11="","Missing: status",IF(COUNTIF(Suppliers!$A$2:$A$51,$F11)=0,"Unknown supplier",IF(COUNTIF(Config!$N$15:$N$34,$C11)=0,"Unsupported category",IF(COUNTIF(Config!$O$15:$O$34,$L11)=0,"Unsupported status",IF($X11&lt;&gt;$H11,"Opening balance differs from lot openings",IF($W11&lt;&gt;$R11,"Lot balances differ from recorded stock",IF($R11&lt;0,"Negative recorded stock","OK"))))))))))))))))</f>
        <v>OK</v>
      </c>
      <c r="AC11" s="52" t="str">
        <f>IF($Y11=1,COUNTIF($Y$2:$Y11,1),"")</f>
        <v/>
      </c>
    </row>
    <row r="12">
      <c r="A12" s="46" t="inlineStr">
        <is>
          <t>PRE-WTM-30</t>
        </is>
      </c>
      <c r="B12" s="46" t="inlineStr">
        <is>
          <t>Pre-Workout, Watermelon, 30 servings</t>
        </is>
      </c>
      <c r="C12" s="46" t="inlineStr">
        <is>
          <t>Pre-workout</t>
        </is>
      </c>
      <c r="D12" s="46" t="inlineStr">
        <is>
          <t>Watermelon</t>
        </is>
      </c>
      <c r="E12" s="46" t="inlineStr">
        <is>
          <t>30 servings</t>
        </is>
      </c>
      <c r="F12" s="46" t="inlineStr">
        <is>
          <t>SUP-04</t>
        </is>
      </c>
      <c r="G12" s="47" t="n">
        <v>9.6</v>
      </c>
      <c r="H12" s="48" t="n">
        <v>626</v>
      </c>
      <c r="I12" s="48" t="n">
        <v>200</v>
      </c>
      <c r="J12" s="48" t="n">
        <v>600</v>
      </c>
      <c r="K12" s="48" t="n">
        <v>24</v>
      </c>
      <c r="L12" s="46" t="inlineStr">
        <is>
          <t>Active</t>
        </is>
      </c>
      <c r="M12" s="46" t="n"/>
      <c r="N12" s="49" t="str">
        <f>IF($A12="","",IFERROR(INDEX(Suppliers!$B$2:$B$51,MATCH($F12,Suppliers!$A$2:$A$51,0))&amp;"","(not found)"))</f>
        <v>Dunmore Powder Labs</v>
      </c>
      <c r="O12" s="50">
        <f>IF($A12="","",SUMIFS(Inventory_Ledger!$E$2:$E$2001,Inventory_Ledger!$D$2:$D$2001,$A12,Inventory_Ledger!$C$2:$C$2001,"Receipt"))</f>
        <v>0</v>
      </c>
      <c r="P12" s="50">
        <f>IF($A12="","",SUMIFS(Inventory_Ledger!$E$2:$E$2001,Inventory_Ledger!$D$2:$D$2001,$A12,Inventory_Ledger!$C$2:$C$2001,"Shipment"))</f>
        <v>374</v>
      </c>
      <c r="Q12" s="51">
        <f>IF($A12="","",SUMIFS(Inventory_Ledger!$E$2:$E$2001,Inventory_Ledger!$D$2:$D$2001,$A12,Inventory_Ledger!$C$2:$C$2001,"Adjustment"))</f>
        <v>-24</v>
      </c>
      <c r="R12" s="51">
        <f>IF($A12="","",IF(ISNUMBER($H12),$H12,0)+$O12-$P12+$Q12)</f>
        <v>228</v>
      </c>
      <c r="S12" s="50">
        <f>IF($A12="","",SUMIFS(Reservations!$L$2:$L$201,Reservations!$B$2:$B$201,$A12))</f>
        <v>0</v>
      </c>
      <c r="T12" s="50">
        <f>IF($A12="","",SUMIFS(Batches!$P$2:$P$301,Batches!$B$2:$B$301,$A12))</f>
        <v>0</v>
      </c>
      <c r="U12" s="51">
        <f>IF($A12="","",$R12-$S12-$T12)</f>
        <v>228</v>
      </c>
      <c r="V12" s="50">
        <f>IF($A12="","",SUMIFS(Purchase_Orders!$N$2:$N$301,Purchase_Orders!$C$2:$C$301,$A12,Purchase_Orders!$O$2:$O$301,1))</f>
        <v>600</v>
      </c>
      <c r="W12" s="51">
        <f>IF($A12="","",SUMIFS(Batches!$L$2:$L$301,Batches!$B$2:$B$301,$A12))</f>
        <v>228</v>
      </c>
      <c r="X12" s="50">
        <f>IF($A12="","",SUMIFS(Batches!$F$2:$F$301,Batches!$B$2:$B$301,$A12))</f>
        <v>626</v>
      </c>
      <c r="Y12" s="52">
        <f>IF($A12="","",IF(ISNUMBER($I12),IF(IF(Config!$B$9="Recorded",$R12,$U12)&lt;$I12,1,0),0))</f>
        <v>0</v>
      </c>
      <c r="Z12" s="49" t="str">
        <f>IF($A12="","",IF($R12&lt;0,"Negative",IF($Y12=1,"Below reorder","OK")))</f>
        <v>OK</v>
      </c>
      <c r="AA12" s="53">
        <f>IF($A12="","",IF(ISNUMBER($G12),$R12*$G12,""))</f>
        <v>2188.8</v>
      </c>
      <c r="AB12" s="49" t="str">
        <f>IF(COUNTA($A12:$M12)=0,"",IF($A12="","Missing: SKU",IF(COUNTIF($A$2:$A$101,$A12)&gt;1,"Duplicate SKU",IF($B12="","Missing: product name",IF($C12="","Missing: category",IF($F12="","Missing: primary supplier",IF(NOT(ISNUMBER($H12)),"Missing: opening balance",IF(NOT(ISNUMBER($I12)),"Missing: reorder point",IF(NOT(ISNUMBER($J12)),"Missing: reorder qty",IF($L12="","Missing: status",IF(COUNTIF(Suppliers!$A$2:$A$51,$F12)=0,"Unknown supplier",IF(COUNTIF(Config!$N$15:$N$34,$C12)=0,"Unsupported category",IF(COUNTIF(Config!$O$15:$O$34,$L12)=0,"Unsupported status",IF($X12&lt;&gt;$H12,"Opening balance differs from lot openings",IF($W12&lt;&gt;$R12,"Lot balances differ from recorded stock",IF($R12&lt;0,"Negative recorded stock","OK"))))))))))))))))</f>
        <v>OK</v>
      </c>
      <c r="AC12" s="52" t="str">
        <f>IF($Y12=1,COUNTIF($Y$2:$Y12,1),"")</f>
        <v/>
      </c>
    </row>
    <row r="13">
      <c r="A13" s="46" t="inlineStr">
        <is>
          <t>CAS-CHO-2LB</t>
        </is>
      </c>
      <c r="B13" s="46" t="inlineStr">
        <is>
          <t>Micellar Casein, Chocolate, 2 lb</t>
        </is>
      </c>
      <c r="C13" s="46" t="inlineStr">
        <is>
          <t>Casein</t>
        </is>
      </c>
      <c r="D13" s="46" t="inlineStr">
        <is>
          <t>Chocolate</t>
        </is>
      </c>
      <c r="E13" s="46" t="inlineStr">
        <is>
          <t>2 lb</t>
        </is>
      </c>
      <c r="F13" s="46" t="inlineStr">
        <is>
          <t>SUP-05</t>
        </is>
      </c>
      <c r="G13" s="47" t="n">
        <v>19.7</v>
      </c>
      <c r="H13" s="48" t="n">
        <v>423</v>
      </c>
      <c r="I13" s="48" t="n">
        <v>200</v>
      </c>
      <c r="J13" s="48" t="n">
        <v>360</v>
      </c>
      <c r="K13" s="48" t="n">
        <v>24</v>
      </c>
      <c r="L13" s="46" t="inlineStr">
        <is>
          <t>Active</t>
        </is>
      </c>
      <c r="M13" s="46" t="n"/>
      <c r="N13" s="49" t="str">
        <f>IF($A13="","",IFERROR(INDEX(Suppliers!$B$2:$B$51,MATCH($F13,Suppliers!$A$2:$A$51,0))&amp;"","(not found)"))</f>
        <v>Elmstead Co-Packing</v>
      </c>
      <c r="O13" s="50">
        <f>IF($A13="","",SUMIFS(Inventory_Ledger!$E$2:$E$2001,Inventory_Ledger!$D$2:$D$2001,$A13,Inventory_Ledger!$C$2:$C$2001,"Receipt"))</f>
        <v>0</v>
      </c>
      <c r="P13" s="50">
        <f>IF($A13="","",SUMIFS(Inventory_Ledger!$E$2:$E$2001,Inventory_Ledger!$D$2:$D$2001,$A13,Inventory_Ledger!$C$2:$C$2001,"Shipment"))</f>
        <v>223</v>
      </c>
      <c r="Q13" s="51">
        <f>IF($A13="","",SUMIFS(Inventory_Ledger!$E$2:$E$2001,Inventory_Ledger!$D$2:$D$2001,$A13,Inventory_Ledger!$C$2:$C$2001,"Adjustment"))</f>
        <v>0</v>
      </c>
      <c r="R13" s="51">
        <f>IF($A13="","",IF(ISNUMBER($H13),$H13,0)+$O13-$P13+$Q13)</f>
        <v>200</v>
      </c>
      <c r="S13" s="50">
        <f>IF($A13="","",SUMIFS(Reservations!$L$2:$L$201,Reservations!$B$2:$B$201,$A13))</f>
        <v>0</v>
      </c>
      <c r="T13" s="50">
        <f>IF($A13="","",SUMIFS(Batches!$P$2:$P$301,Batches!$B$2:$B$301,$A13))</f>
        <v>0</v>
      </c>
      <c r="U13" s="51">
        <f>IF($A13="","",$R13-$S13-$T13)</f>
        <v>200</v>
      </c>
      <c r="V13" s="50">
        <f>IF($A13="","",SUMIFS(Purchase_Orders!$N$2:$N$301,Purchase_Orders!$C$2:$C$301,$A13,Purchase_Orders!$O$2:$O$301,1))</f>
        <v>360</v>
      </c>
      <c r="W13" s="51">
        <f>IF($A13="","",SUMIFS(Batches!$L$2:$L$301,Batches!$B$2:$B$301,$A13))</f>
        <v>200</v>
      </c>
      <c r="X13" s="50">
        <f>IF($A13="","",SUMIFS(Batches!$F$2:$F$301,Batches!$B$2:$B$301,$A13))</f>
        <v>423</v>
      </c>
      <c r="Y13" s="52">
        <f>IF($A13="","",IF(ISNUMBER($I13),IF(IF(Config!$B$9="Recorded",$R13,$U13)&lt;$I13,1,0),0))</f>
        <v>0</v>
      </c>
      <c r="Z13" s="49" t="str">
        <f>IF($A13="","",IF($R13&lt;0,"Negative",IF($Y13=1,"Below reorder","OK")))</f>
        <v>OK</v>
      </c>
      <c r="AA13" s="53">
        <f>IF($A13="","",IF(ISNUMBER($G13),$R13*$G13,""))</f>
        <v>3940</v>
      </c>
      <c r="AB13" s="49" t="str">
        <f>IF(COUNTA($A13:$M13)=0,"",IF($A13="","Missing: SKU",IF(COUNTIF($A$2:$A$101,$A13)&gt;1,"Duplicate SKU",IF($B13="","Missing: product name",IF($C13="","Missing: category",IF($F13="","Missing: primary supplier",IF(NOT(ISNUMBER($H13)),"Missing: opening balance",IF(NOT(ISNUMBER($I13)),"Missing: reorder point",IF(NOT(ISNUMBER($J13)),"Missing: reorder qty",IF($L13="","Missing: status",IF(COUNTIF(Suppliers!$A$2:$A$51,$F13)=0,"Unknown supplier",IF(COUNTIF(Config!$N$15:$N$34,$C13)=0,"Unsupported category",IF(COUNTIF(Config!$O$15:$O$34,$L13)=0,"Unsupported status",IF($X13&lt;&gt;$H13,"Opening balance differs from lot openings",IF($W13&lt;&gt;$R13,"Lot balances differ from recorded stock",IF($R13&lt;0,"Negative recorded stock","OK"))))))))))))))))</f>
        <v>OK</v>
      </c>
      <c r="AC13" s="52" t="str">
        <f>IF($Y13=1,COUNTIF($Y$2:$Y13,1),"")</f>
        <v/>
      </c>
    </row>
    <row r="14">
      <c r="A14" s="46" t="n"/>
      <c r="B14" s="46" t="n"/>
      <c r="C14" s="46" t="n"/>
      <c r="D14" s="46" t="n"/>
      <c r="E14" s="46" t="n"/>
      <c r="F14" s="46" t="n"/>
      <c r="G14" s="47" t="n"/>
      <c r="H14" s="48" t="n"/>
      <c r="I14" s="48" t="n"/>
      <c r="J14" s="48" t="n"/>
      <c r="K14" s="48" t="n"/>
      <c r="L14" s="46" t="n"/>
      <c r="M14" s="46" t="n"/>
      <c r="N14" s="49" t="str">
        <f>IF($A14="","",IFERROR(INDEX(Suppliers!$B$2:$B$51,MATCH($F14,Suppliers!$A$2:$A$51,0))&amp;"","(not found)"))</f>
        <v/>
      </c>
      <c r="O14" s="50" t="str">
        <f>IF($A14="","",SUMIFS(Inventory_Ledger!$E$2:$E$2001,Inventory_Ledger!$D$2:$D$2001,$A14,Inventory_Ledger!$C$2:$C$2001,"Receipt"))</f>
        <v/>
      </c>
      <c r="P14" s="50" t="str">
        <f>IF($A14="","",SUMIFS(Inventory_Ledger!$E$2:$E$2001,Inventory_Ledger!$D$2:$D$2001,$A14,Inventory_Ledger!$C$2:$C$2001,"Shipment"))</f>
        <v/>
      </c>
      <c r="Q14" s="51" t="str">
        <f>IF($A14="","",SUMIFS(Inventory_Ledger!$E$2:$E$2001,Inventory_Ledger!$D$2:$D$2001,$A14,Inventory_Ledger!$C$2:$C$2001,"Adjustment"))</f>
        <v/>
      </c>
      <c r="R14" s="51" t="str">
        <f>IF($A14="","",IF(ISNUMBER($H14),$H14,0)+$O14-$P14+$Q14)</f>
        <v/>
      </c>
      <c r="S14" s="50" t="str">
        <f>IF($A14="","",SUMIFS(Reservations!$L$2:$L$201,Reservations!$B$2:$B$201,$A14))</f>
        <v/>
      </c>
      <c r="T14" s="50" t="str">
        <f>IF($A14="","",SUMIFS(Batches!$P$2:$P$301,Batches!$B$2:$B$301,$A14))</f>
        <v/>
      </c>
      <c r="U14" s="51" t="str">
        <f>IF($A14="","",$R14-$S14-$T14)</f>
        <v/>
      </c>
      <c r="V14" s="50" t="str">
        <f>IF($A14="","",SUMIFS(Purchase_Orders!$N$2:$N$301,Purchase_Orders!$C$2:$C$301,$A14,Purchase_Orders!$O$2:$O$301,1))</f>
        <v/>
      </c>
      <c r="W14" s="51" t="str">
        <f>IF($A14="","",SUMIFS(Batches!$L$2:$L$301,Batches!$B$2:$B$301,$A14))</f>
        <v/>
      </c>
      <c r="X14" s="50" t="str">
        <f>IF($A14="","",SUMIFS(Batches!$F$2:$F$301,Batches!$B$2:$B$301,$A14))</f>
        <v/>
      </c>
      <c r="Y14" s="52" t="str">
        <f>IF($A14="","",IF(ISNUMBER($I14),IF(IF(Config!$B$9="Recorded",$R14,$U14)&lt;$I14,1,0),0))</f>
        <v/>
      </c>
      <c r="Z14" s="49" t="str">
        <f>IF($A14="","",IF($R14&lt;0,"Negative",IF($Y14=1,"Below reorder","OK")))</f>
        <v/>
      </c>
      <c r="AA14" s="53" t="str">
        <f>IF($A14="","",IF(ISNUMBER($G14),$R14*$G14,""))</f>
        <v/>
      </c>
      <c r="AB14" s="49" t="str">
        <f>IF(COUNTA($A14:$M14)=0,"",IF($A14="","Missing: SKU",IF(COUNTIF($A$2:$A$101,$A14)&gt;1,"Duplicate SKU",IF($B14="","Missing: product name",IF($C14="","Missing: category",IF($F14="","Missing: primary supplier",IF(NOT(ISNUMBER($H14)),"Missing: opening balance",IF(NOT(ISNUMBER($I14)),"Missing: reorder point",IF(NOT(ISNUMBER($J14)),"Missing: reorder qty",IF($L14="","Missing: status",IF(COUNTIF(Suppliers!$A$2:$A$51,$F14)=0,"Unknown supplier",IF(COUNTIF(Config!$N$15:$N$34,$C14)=0,"Unsupported category",IF(COUNTIF(Config!$O$15:$O$34,$L14)=0,"Unsupported status",IF($X14&lt;&gt;$H14,"Opening balance differs from lot openings",IF($W14&lt;&gt;$R14,"Lot balances differ from recorded stock",IF($R14&lt;0,"Negative recorded stock","OK"))))))))))))))))</f>
        <v/>
      </c>
      <c r="AC14" s="52" t="str">
        <f>IF($Y14=1,COUNTIF($Y$2:$Y14,1),"")</f>
        <v/>
      </c>
    </row>
    <row r="15">
      <c r="A15" s="46" t="n"/>
      <c r="B15" s="46" t="n"/>
      <c r="C15" s="46" t="n"/>
      <c r="D15" s="46" t="n"/>
      <c r="E15" s="46" t="n"/>
      <c r="F15" s="46" t="n"/>
      <c r="G15" s="47" t="n"/>
      <c r="H15" s="48" t="n"/>
      <c r="I15" s="48" t="n"/>
      <c r="J15" s="48" t="n"/>
      <c r="K15" s="48" t="n"/>
      <c r="L15" s="46" t="n"/>
      <c r="M15" s="46" t="n"/>
      <c r="N15" s="49" t="str">
        <f>IF($A15="","",IFERROR(INDEX(Suppliers!$B$2:$B$51,MATCH($F15,Suppliers!$A$2:$A$51,0))&amp;"","(not found)"))</f>
        <v/>
      </c>
      <c r="O15" s="50" t="str">
        <f>IF($A15="","",SUMIFS(Inventory_Ledger!$E$2:$E$2001,Inventory_Ledger!$D$2:$D$2001,$A15,Inventory_Ledger!$C$2:$C$2001,"Receipt"))</f>
        <v/>
      </c>
      <c r="P15" s="50" t="str">
        <f>IF($A15="","",SUMIFS(Inventory_Ledger!$E$2:$E$2001,Inventory_Ledger!$D$2:$D$2001,$A15,Inventory_Ledger!$C$2:$C$2001,"Shipment"))</f>
        <v/>
      </c>
      <c r="Q15" s="51" t="str">
        <f>IF($A15="","",SUMIFS(Inventory_Ledger!$E$2:$E$2001,Inventory_Ledger!$D$2:$D$2001,$A15,Inventory_Ledger!$C$2:$C$2001,"Adjustment"))</f>
        <v/>
      </c>
      <c r="R15" s="51" t="str">
        <f>IF($A15="","",IF(ISNUMBER($H15),$H15,0)+$O15-$P15+$Q15)</f>
        <v/>
      </c>
      <c r="S15" s="50" t="str">
        <f>IF($A15="","",SUMIFS(Reservations!$L$2:$L$201,Reservations!$B$2:$B$201,$A15))</f>
        <v/>
      </c>
      <c r="T15" s="50" t="str">
        <f>IF($A15="","",SUMIFS(Batches!$P$2:$P$301,Batches!$B$2:$B$301,$A15))</f>
        <v/>
      </c>
      <c r="U15" s="51" t="str">
        <f>IF($A15="","",$R15-$S15-$T15)</f>
        <v/>
      </c>
      <c r="V15" s="50" t="str">
        <f>IF($A15="","",SUMIFS(Purchase_Orders!$N$2:$N$301,Purchase_Orders!$C$2:$C$301,$A15,Purchase_Orders!$O$2:$O$301,1))</f>
        <v/>
      </c>
      <c r="W15" s="51" t="str">
        <f>IF($A15="","",SUMIFS(Batches!$L$2:$L$301,Batches!$B$2:$B$301,$A15))</f>
        <v/>
      </c>
      <c r="X15" s="50" t="str">
        <f>IF($A15="","",SUMIFS(Batches!$F$2:$F$301,Batches!$B$2:$B$301,$A15))</f>
        <v/>
      </c>
      <c r="Y15" s="52" t="str">
        <f>IF($A15="","",IF(ISNUMBER($I15),IF(IF(Config!$B$9="Recorded",$R15,$U15)&lt;$I15,1,0),0))</f>
        <v/>
      </c>
      <c r="Z15" s="49" t="str">
        <f>IF($A15="","",IF($R15&lt;0,"Negative",IF($Y15=1,"Below reorder","OK")))</f>
        <v/>
      </c>
      <c r="AA15" s="53" t="str">
        <f>IF($A15="","",IF(ISNUMBER($G15),$R15*$G15,""))</f>
        <v/>
      </c>
      <c r="AB15" s="49" t="str">
        <f>IF(COUNTA($A15:$M15)=0,"",IF($A15="","Missing: SKU",IF(COUNTIF($A$2:$A$101,$A15)&gt;1,"Duplicate SKU",IF($B15="","Missing: product name",IF($C15="","Missing: category",IF($F15="","Missing: primary supplier",IF(NOT(ISNUMBER($H15)),"Missing: opening balance",IF(NOT(ISNUMBER($I15)),"Missing: reorder point",IF(NOT(ISNUMBER($J15)),"Missing: reorder qty",IF($L15="","Missing: status",IF(COUNTIF(Suppliers!$A$2:$A$51,$F15)=0,"Unknown supplier",IF(COUNTIF(Config!$N$15:$N$34,$C15)=0,"Unsupported category",IF(COUNTIF(Config!$O$15:$O$34,$L15)=0,"Unsupported status",IF($X15&lt;&gt;$H15,"Opening balance differs from lot openings",IF($W15&lt;&gt;$R15,"Lot balances differ from recorded stock",IF($R15&lt;0,"Negative recorded stock","OK"))))))))))))))))</f>
        <v/>
      </c>
      <c r="AC15" s="52" t="str">
        <f>IF($Y15=1,COUNTIF($Y$2:$Y15,1),"")</f>
        <v/>
      </c>
    </row>
    <row r="16">
      <c r="A16" s="46" t="n"/>
      <c r="B16" s="46" t="n"/>
      <c r="C16" s="46" t="n"/>
      <c r="D16" s="46" t="n"/>
      <c r="E16" s="46" t="n"/>
      <c r="F16" s="46" t="n"/>
      <c r="G16" s="47" t="n"/>
      <c r="H16" s="48" t="n"/>
      <c r="I16" s="48" t="n"/>
      <c r="J16" s="48" t="n"/>
      <c r="K16" s="48" t="n"/>
      <c r="L16" s="46" t="n"/>
      <c r="M16" s="46" t="n"/>
      <c r="N16" s="49" t="str">
        <f>IF($A16="","",IFERROR(INDEX(Suppliers!$B$2:$B$51,MATCH($F16,Suppliers!$A$2:$A$51,0))&amp;"","(not found)"))</f>
        <v/>
      </c>
      <c r="O16" s="50" t="str">
        <f>IF($A16="","",SUMIFS(Inventory_Ledger!$E$2:$E$2001,Inventory_Ledger!$D$2:$D$2001,$A16,Inventory_Ledger!$C$2:$C$2001,"Receipt"))</f>
        <v/>
      </c>
      <c r="P16" s="50" t="str">
        <f>IF($A16="","",SUMIFS(Inventory_Ledger!$E$2:$E$2001,Inventory_Ledger!$D$2:$D$2001,$A16,Inventory_Ledger!$C$2:$C$2001,"Shipment"))</f>
        <v/>
      </c>
      <c r="Q16" s="51" t="str">
        <f>IF($A16="","",SUMIFS(Inventory_Ledger!$E$2:$E$2001,Inventory_Ledger!$D$2:$D$2001,$A16,Inventory_Ledger!$C$2:$C$2001,"Adjustment"))</f>
        <v/>
      </c>
      <c r="R16" s="51" t="str">
        <f>IF($A16="","",IF(ISNUMBER($H16),$H16,0)+$O16-$P16+$Q16)</f>
        <v/>
      </c>
      <c r="S16" s="50" t="str">
        <f>IF($A16="","",SUMIFS(Reservations!$L$2:$L$201,Reservations!$B$2:$B$201,$A16))</f>
        <v/>
      </c>
      <c r="T16" s="50" t="str">
        <f>IF($A16="","",SUMIFS(Batches!$P$2:$P$301,Batches!$B$2:$B$301,$A16))</f>
        <v/>
      </c>
      <c r="U16" s="51" t="str">
        <f>IF($A16="","",$R16-$S16-$T16)</f>
        <v/>
      </c>
      <c r="V16" s="50" t="str">
        <f>IF($A16="","",SUMIFS(Purchase_Orders!$N$2:$N$301,Purchase_Orders!$C$2:$C$301,$A16,Purchase_Orders!$O$2:$O$301,1))</f>
        <v/>
      </c>
      <c r="W16" s="51" t="str">
        <f>IF($A16="","",SUMIFS(Batches!$L$2:$L$301,Batches!$B$2:$B$301,$A16))</f>
        <v/>
      </c>
      <c r="X16" s="50" t="str">
        <f>IF($A16="","",SUMIFS(Batches!$F$2:$F$301,Batches!$B$2:$B$301,$A16))</f>
        <v/>
      </c>
      <c r="Y16" s="52" t="str">
        <f>IF($A16="","",IF(ISNUMBER($I16),IF(IF(Config!$B$9="Recorded",$R16,$U16)&lt;$I16,1,0),0))</f>
        <v/>
      </c>
      <c r="Z16" s="49" t="str">
        <f>IF($A16="","",IF($R16&lt;0,"Negative",IF($Y16=1,"Below reorder","OK")))</f>
        <v/>
      </c>
      <c r="AA16" s="53" t="str">
        <f>IF($A16="","",IF(ISNUMBER($G16),$R16*$G16,""))</f>
        <v/>
      </c>
      <c r="AB16" s="49" t="str">
        <f>IF(COUNTA($A16:$M16)=0,"",IF($A16="","Missing: SKU",IF(COUNTIF($A$2:$A$101,$A16)&gt;1,"Duplicate SKU",IF($B16="","Missing: product name",IF($C16="","Missing: category",IF($F16="","Missing: primary supplier",IF(NOT(ISNUMBER($H16)),"Missing: opening balance",IF(NOT(ISNUMBER($I16)),"Missing: reorder point",IF(NOT(ISNUMBER($J16)),"Missing: reorder qty",IF($L16="","Missing: status",IF(COUNTIF(Suppliers!$A$2:$A$51,$F16)=0,"Unknown supplier",IF(COUNTIF(Config!$N$15:$N$34,$C16)=0,"Unsupported category",IF(COUNTIF(Config!$O$15:$O$34,$L16)=0,"Unsupported status",IF($X16&lt;&gt;$H16,"Opening balance differs from lot openings",IF($W16&lt;&gt;$R16,"Lot balances differ from recorded stock",IF($R16&lt;0,"Negative recorded stock","OK"))))))))))))))))</f>
        <v/>
      </c>
      <c r="AC16" s="52" t="str">
        <f>IF($Y16=1,COUNTIF($Y$2:$Y16,1),"")</f>
        <v/>
      </c>
    </row>
    <row r="17">
      <c r="A17" s="46" t="n"/>
      <c r="B17" s="46" t="n"/>
      <c r="C17" s="46" t="n"/>
      <c r="D17" s="46" t="n"/>
      <c r="E17" s="46" t="n"/>
      <c r="F17" s="46" t="n"/>
      <c r="G17" s="47" t="n"/>
      <c r="H17" s="48" t="n"/>
      <c r="I17" s="48" t="n"/>
      <c r="J17" s="48" t="n"/>
      <c r="K17" s="48" t="n"/>
      <c r="L17" s="46" t="n"/>
      <c r="M17" s="46" t="n"/>
      <c r="N17" s="49" t="str">
        <f>IF($A17="","",IFERROR(INDEX(Suppliers!$B$2:$B$51,MATCH($F17,Suppliers!$A$2:$A$51,0))&amp;"","(not found)"))</f>
        <v/>
      </c>
      <c r="O17" s="50" t="str">
        <f>IF($A17="","",SUMIFS(Inventory_Ledger!$E$2:$E$2001,Inventory_Ledger!$D$2:$D$2001,$A17,Inventory_Ledger!$C$2:$C$2001,"Receipt"))</f>
        <v/>
      </c>
      <c r="P17" s="50" t="str">
        <f>IF($A17="","",SUMIFS(Inventory_Ledger!$E$2:$E$2001,Inventory_Ledger!$D$2:$D$2001,$A17,Inventory_Ledger!$C$2:$C$2001,"Shipment"))</f>
        <v/>
      </c>
      <c r="Q17" s="51" t="str">
        <f>IF($A17="","",SUMIFS(Inventory_Ledger!$E$2:$E$2001,Inventory_Ledger!$D$2:$D$2001,$A17,Inventory_Ledger!$C$2:$C$2001,"Adjustment"))</f>
        <v/>
      </c>
      <c r="R17" s="51" t="str">
        <f>IF($A17="","",IF(ISNUMBER($H17),$H17,0)+$O17-$P17+$Q17)</f>
        <v/>
      </c>
      <c r="S17" s="50" t="str">
        <f>IF($A17="","",SUMIFS(Reservations!$L$2:$L$201,Reservations!$B$2:$B$201,$A17))</f>
        <v/>
      </c>
      <c r="T17" s="50" t="str">
        <f>IF($A17="","",SUMIFS(Batches!$P$2:$P$301,Batches!$B$2:$B$301,$A17))</f>
        <v/>
      </c>
      <c r="U17" s="51" t="str">
        <f>IF($A17="","",$R17-$S17-$T17)</f>
        <v/>
      </c>
      <c r="V17" s="50" t="str">
        <f>IF($A17="","",SUMIFS(Purchase_Orders!$N$2:$N$301,Purchase_Orders!$C$2:$C$301,$A17,Purchase_Orders!$O$2:$O$301,1))</f>
        <v/>
      </c>
      <c r="W17" s="51" t="str">
        <f>IF($A17="","",SUMIFS(Batches!$L$2:$L$301,Batches!$B$2:$B$301,$A17))</f>
        <v/>
      </c>
      <c r="X17" s="50" t="str">
        <f>IF($A17="","",SUMIFS(Batches!$F$2:$F$301,Batches!$B$2:$B$301,$A17))</f>
        <v/>
      </c>
      <c r="Y17" s="52" t="str">
        <f>IF($A17="","",IF(ISNUMBER($I17),IF(IF(Config!$B$9="Recorded",$R17,$U17)&lt;$I17,1,0),0))</f>
        <v/>
      </c>
      <c r="Z17" s="49" t="str">
        <f>IF($A17="","",IF($R17&lt;0,"Negative",IF($Y17=1,"Below reorder","OK")))</f>
        <v/>
      </c>
      <c r="AA17" s="53" t="str">
        <f>IF($A17="","",IF(ISNUMBER($G17),$R17*$G17,""))</f>
        <v/>
      </c>
      <c r="AB17" s="49" t="str">
        <f>IF(COUNTA($A17:$M17)=0,"",IF($A17="","Missing: SKU",IF(COUNTIF($A$2:$A$101,$A17)&gt;1,"Duplicate SKU",IF($B17="","Missing: product name",IF($C17="","Missing: category",IF($F17="","Missing: primary supplier",IF(NOT(ISNUMBER($H17)),"Missing: opening balance",IF(NOT(ISNUMBER($I17)),"Missing: reorder point",IF(NOT(ISNUMBER($J17)),"Missing: reorder qty",IF($L17="","Missing: status",IF(COUNTIF(Suppliers!$A$2:$A$51,$F17)=0,"Unknown supplier",IF(COUNTIF(Config!$N$15:$N$34,$C17)=0,"Unsupported category",IF(COUNTIF(Config!$O$15:$O$34,$L17)=0,"Unsupported status",IF($X17&lt;&gt;$H17,"Opening balance differs from lot openings",IF($W17&lt;&gt;$R17,"Lot balances differ from recorded stock",IF($R17&lt;0,"Negative recorded stock","OK"))))))))))))))))</f>
        <v/>
      </c>
      <c r="AC17" s="52" t="str">
        <f>IF($Y17=1,COUNTIF($Y$2:$Y17,1),"")</f>
        <v/>
      </c>
    </row>
    <row r="18">
      <c r="A18" s="46" t="n"/>
      <c r="B18" s="46" t="n"/>
      <c r="C18" s="46" t="n"/>
      <c r="D18" s="46" t="n"/>
      <c r="E18" s="46" t="n"/>
      <c r="F18" s="46" t="n"/>
      <c r="G18" s="47" t="n"/>
      <c r="H18" s="48" t="n"/>
      <c r="I18" s="48" t="n"/>
      <c r="J18" s="48" t="n"/>
      <c r="K18" s="48" t="n"/>
      <c r="L18" s="46" t="n"/>
      <c r="M18" s="46" t="n"/>
      <c r="N18" s="49" t="str">
        <f>IF($A18="","",IFERROR(INDEX(Suppliers!$B$2:$B$51,MATCH($F18,Suppliers!$A$2:$A$51,0))&amp;"","(not found)"))</f>
        <v/>
      </c>
      <c r="O18" s="50" t="str">
        <f>IF($A18="","",SUMIFS(Inventory_Ledger!$E$2:$E$2001,Inventory_Ledger!$D$2:$D$2001,$A18,Inventory_Ledger!$C$2:$C$2001,"Receipt"))</f>
        <v/>
      </c>
      <c r="P18" s="50" t="str">
        <f>IF($A18="","",SUMIFS(Inventory_Ledger!$E$2:$E$2001,Inventory_Ledger!$D$2:$D$2001,$A18,Inventory_Ledger!$C$2:$C$2001,"Shipment"))</f>
        <v/>
      </c>
      <c r="Q18" s="51" t="str">
        <f>IF($A18="","",SUMIFS(Inventory_Ledger!$E$2:$E$2001,Inventory_Ledger!$D$2:$D$2001,$A18,Inventory_Ledger!$C$2:$C$2001,"Adjustment"))</f>
        <v/>
      </c>
      <c r="R18" s="51" t="str">
        <f>IF($A18="","",IF(ISNUMBER($H18),$H18,0)+$O18-$P18+$Q18)</f>
        <v/>
      </c>
      <c r="S18" s="50" t="str">
        <f>IF($A18="","",SUMIFS(Reservations!$L$2:$L$201,Reservations!$B$2:$B$201,$A18))</f>
        <v/>
      </c>
      <c r="T18" s="50" t="str">
        <f>IF($A18="","",SUMIFS(Batches!$P$2:$P$301,Batches!$B$2:$B$301,$A18))</f>
        <v/>
      </c>
      <c r="U18" s="51" t="str">
        <f>IF($A18="","",$R18-$S18-$T18)</f>
        <v/>
      </c>
      <c r="V18" s="50" t="str">
        <f>IF($A18="","",SUMIFS(Purchase_Orders!$N$2:$N$301,Purchase_Orders!$C$2:$C$301,$A18,Purchase_Orders!$O$2:$O$301,1))</f>
        <v/>
      </c>
      <c r="W18" s="51" t="str">
        <f>IF($A18="","",SUMIFS(Batches!$L$2:$L$301,Batches!$B$2:$B$301,$A18))</f>
        <v/>
      </c>
      <c r="X18" s="50" t="str">
        <f>IF($A18="","",SUMIFS(Batches!$F$2:$F$301,Batches!$B$2:$B$301,$A18))</f>
        <v/>
      </c>
      <c r="Y18" s="52" t="str">
        <f>IF($A18="","",IF(ISNUMBER($I18),IF(IF(Config!$B$9="Recorded",$R18,$U18)&lt;$I18,1,0),0))</f>
        <v/>
      </c>
      <c r="Z18" s="49" t="str">
        <f>IF($A18="","",IF($R18&lt;0,"Negative",IF($Y18=1,"Below reorder","OK")))</f>
        <v/>
      </c>
      <c r="AA18" s="53" t="str">
        <f>IF($A18="","",IF(ISNUMBER($G18),$R18*$G18,""))</f>
        <v/>
      </c>
      <c r="AB18" s="49" t="str">
        <f>IF(COUNTA($A18:$M18)=0,"",IF($A18="","Missing: SKU",IF(COUNTIF($A$2:$A$101,$A18)&gt;1,"Duplicate SKU",IF($B18="","Missing: product name",IF($C18="","Missing: category",IF($F18="","Missing: primary supplier",IF(NOT(ISNUMBER($H18)),"Missing: opening balance",IF(NOT(ISNUMBER($I18)),"Missing: reorder point",IF(NOT(ISNUMBER($J18)),"Missing: reorder qty",IF($L18="","Missing: status",IF(COUNTIF(Suppliers!$A$2:$A$51,$F18)=0,"Unknown supplier",IF(COUNTIF(Config!$N$15:$N$34,$C18)=0,"Unsupported category",IF(COUNTIF(Config!$O$15:$O$34,$L18)=0,"Unsupported status",IF($X18&lt;&gt;$H18,"Opening balance differs from lot openings",IF($W18&lt;&gt;$R18,"Lot balances differ from recorded stock",IF($R18&lt;0,"Negative recorded stock","OK"))))))))))))))))</f>
        <v/>
      </c>
      <c r="AC18" s="52" t="str">
        <f>IF($Y18=1,COUNTIF($Y$2:$Y18,1),"")</f>
        <v/>
      </c>
    </row>
    <row r="19">
      <c r="A19" s="46" t="n"/>
      <c r="B19" s="46" t="n"/>
      <c r="C19" s="46" t="n"/>
      <c r="D19" s="46" t="n"/>
      <c r="E19" s="46" t="n"/>
      <c r="F19" s="46" t="n"/>
      <c r="G19" s="47" t="n"/>
      <c r="H19" s="48" t="n"/>
      <c r="I19" s="48" t="n"/>
      <c r="J19" s="48" t="n"/>
      <c r="K19" s="48" t="n"/>
      <c r="L19" s="46" t="n"/>
      <c r="M19" s="46" t="n"/>
      <c r="N19" s="49" t="str">
        <f>IF($A19="","",IFERROR(INDEX(Suppliers!$B$2:$B$51,MATCH($F19,Suppliers!$A$2:$A$51,0))&amp;"","(not found)"))</f>
        <v/>
      </c>
      <c r="O19" s="50" t="str">
        <f>IF($A19="","",SUMIFS(Inventory_Ledger!$E$2:$E$2001,Inventory_Ledger!$D$2:$D$2001,$A19,Inventory_Ledger!$C$2:$C$2001,"Receipt"))</f>
        <v/>
      </c>
      <c r="P19" s="50" t="str">
        <f>IF($A19="","",SUMIFS(Inventory_Ledger!$E$2:$E$2001,Inventory_Ledger!$D$2:$D$2001,$A19,Inventory_Ledger!$C$2:$C$2001,"Shipment"))</f>
        <v/>
      </c>
      <c r="Q19" s="51" t="str">
        <f>IF($A19="","",SUMIFS(Inventory_Ledger!$E$2:$E$2001,Inventory_Ledger!$D$2:$D$2001,$A19,Inventory_Ledger!$C$2:$C$2001,"Adjustment"))</f>
        <v/>
      </c>
      <c r="R19" s="51" t="str">
        <f>IF($A19="","",IF(ISNUMBER($H19),$H19,0)+$O19-$P19+$Q19)</f>
        <v/>
      </c>
      <c r="S19" s="50" t="str">
        <f>IF($A19="","",SUMIFS(Reservations!$L$2:$L$201,Reservations!$B$2:$B$201,$A19))</f>
        <v/>
      </c>
      <c r="T19" s="50" t="str">
        <f>IF($A19="","",SUMIFS(Batches!$P$2:$P$301,Batches!$B$2:$B$301,$A19))</f>
        <v/>
      </c>
      <c r="U19" s="51" t="str">
        <f>IF($A19="","",$R19-$S19-$T19)</f>
        <v/>
      </c>
      <c r="V19" s="50" t="str">
        <f>IF($A19="","",SUMIFS(Purchase_Orders!$N$2:$N$301,Purchase_Orders!$C$2:$C$301,$A19,Purchase_Orders!$O$2:$O$301,1))</f>
        <v/>
      </c>
      <c r="W19" s="51" t="str">
        <f>IF($A19="","",SUMIFS(Batches!$L$2:$L$301,Batches!$B$2:$B$301,$A19))</f>
        <v/>
      </c>
      <c r="X19" s="50" t="str">
        <f>IF($A19="","",SUMIFS(Batches!$F$2:$F$301,Batches!$B$2:$B$301,$A19))</f>
        <v/>
      </c>
      <c r="Y19" s="52" t="str">
        <f>IF($A19="","",IF(ISNUMBER($I19),IF(IF(Config!$B$9="Recorded",$R19,$U19)&lt;$I19,1,0),0))</f>
        <v/>
      </c>
      <c r="Z19" s="49" t="str">
        <f>IF($A19="","",IF($R19&lt;0,"Negative",IF($Y19=1,"Below reorder","OK")))</f>
        <v/>
      </c>
      <c r="AA19" s="53" t="str">
        <f>IF($A19="","",IF(ISNUMBER($G19),$R19*$G19,""))</f>
        <v/>
      </c>
      <c r="AB19" s="49" t="str">
        <f>IF(COUNTA($A19:$M19)=0,"",IF($A19="","Missing: SKU",IF(COUNTIF($A$2:$A$101,$A19)&gt;1,"Duplicate SKU",IF($B19="","Missing: product name",IF($C19="","Missing: category",IF($F19="","Missing: primary supplier",IF(NOT(ISNUMBER($H19)),"Missing: opening balance",IF(NOT(ISNUMBER($I19)),"Missing: reorder point",IF(NOT(ISNUMBER($J19)),"Missing: reorder qty",IF($L19="","Missing: status",IF(COUNTIF(Suppliers!$A$2:$A$51,$F19)=0,"Unknown supplier",IF(COUNTIF(Config!$N$15:$N$34,$C19)=0,"Unsupported category",IF(COUNTIF(Config!$O$15:$O$34,$L19)=0,"Unsupported status",IF($X19&lt;&gt;$H19,"Opening balance differs from lot openings",IF($W19&lt;&gt;$R19,"Lot balances differ from recorded stock",IF($R19&lt;0,"Negative recorded stock","OK"))))))))))))))))</f>
        <v/>
      </c>
      <c r="AC19" s="52" t="str">
        <f>IF($Y19=1,COUNTIF($Y$2:$Y19,1),"")</f>
        <v/>
      </c>
    </row>
    <row r="20">
      <c r="A20" s="46" t="n"/>
      <c r="B20" s="46" t="n"/>
      <c r="C20" s="46" t="n"/>
      <c r="D20" s="46" t="n"/>
      <c r="E20" s="46" t="n"/>
      <c r="F20" s="46" t="n"/>
      <c r="G20" s="47" t="n"/>
      <c r="H20" s="48" t="n"/>
      <c r="I20" s="48" t="n"/>
      <c r="J20" s="48" t="n"/>
      <c r="K20" s="48" t="n"/>
      <c r="L20" s="46" t="n"/>
      <c r="M20" s="46" t="n"/>
      <c r="N20" s="49" t="str">
        <f>IF($A20="","",IFERROR(INDEX(Suppliers!$B$2:$B$51,MATCH($F20,Suppliers!$A$2:$A$51,0))&amp;"","(not found)"))</f>
        <v/>
      </c>
      <c r="O20" s="50" t="str">
        <f>IF($A20="","",SUMIFS(Inventory_Ledger!$E$2:$E$2001,Inventory_Ledger!$D$2:$D$2001,$A20,Inventory_Ledger!$C$2:$C$2001,"Receipt"))</f>
        <v/>
      </c>
      <c r="P20" s="50" t="str">
        <f>IF($A20="","",SUMIFS(Inventory_Ledger!$E$2:$E$2001,Inventory_Ledger!$D$2:$D$2001,$A20,Inventory_Ledger!$C$2:$C$2001,"Shipment"))</f>
        <v/>
      </c>
      <c r="Q20" s="51" t="str">
        <f>IF($A20="","",SUMIFS(Inventory_Ledger!$E$2:$E$2001,Inventory_Ledger!$D$2:$D$2001,$A20,Inventory_Ledger!$C$2:$C$2001,"Adjustment"))</f>
        <v/>
      </c>
      <c r="R20" s="51" t="str">
        <f>IF($A20="","",IF(ISNUMBER($H20),$H20,0)+$O20-$P20+$Q20)</f>
        <v/>
      </c>
      <c r="S20" s="50" t="str">
        <f>IF($A20="","",SUMIFS(Reservations!$L$2:$L$201,Reservations!$B$2:$B$201,$A20))</f>
        <v/>
      </c>
      <c r="T20" s="50" t="str">
        <f>IF($A20="","",SUMIFS(Batches!$P$2:$P$301,Batches!$B$2:$B$301,$A20))</f>
        <v/>
      </c>
      <c r="U20" s="51" t="str">
        <f>IF($A20="","",$R20-$S20-$T20)</f>
        <v/>
      </c>
      <c r="V20" s="50" t="str">
        <f>IF($A20="","",SUMIFS(Purchase_Orders!$N$2:$N$301,Purchase_Orders!$C$2:$C$301,$A20,Purchase_Orders!$O$2:$O$301,1))</f>
        <v/>
      </c>
      <c r="W20" s="51" t="str">
        <f>IF($A20="","",SUMIFS(Batches!$L$2:$L$301,Batches!$B$2:$B$301,$A20))</f>
        <v/>
      </c>
      <c r="X20" s="50" t="str">
        <f>IF($A20="","",SUMIFS(Batches!$F$2:$F$301,Batches!$B$2:$B$301,$A20))</f>
        <v/>
      </c>
      <c r="Y20" s="52" t="str">
        <f>IF($A20="","",IF(ISNUMBER($I20),IF(IF(Config!$B$9="Recorded",$R20,$U20)&lt;$I20,1,0),0))</f>
        <v/>
      </c>
      <c r="Z20" s="49" t="str">
        <f>IF($A20="","",IF($R20&lt;0,"Negative",IF($Y20=1,"Below reorder","OK")))</f>
        <v/>
      </c>
      <c r="AA20" s="53" t="str">
        <f>IF($A20="","",IF(ISNUMBER($G20),$R20*$G20,""))</f>
        <v/>
      </c>
      <c r="AB20" s="49" t="str">
        <f>IF(COUNTA($A20:$M20)=0,"",IF($A20="","Missing: SKU",IF(COUNTIF($A$2:$A$101,$A20)&gt;1,"Duplicate SKU",IF($B20="","Missing: product name",IF($C20="","Missing: category",IF($F20="","Missing: primary supplier",IF(NOT(ISNUMBER($H20)),"Missing: opening balance",IF(NOT(ISNUMBER($I20)),"Missing: reorder point",IF(NOT(ISNUMBER($J20)),"Missing: reorder qty",IF($L20="","Missing: status",IF(COUNTIF(Suppliers!$A$2:$A$51,$F20)=0,"Unknown supplier",IF(COUNTIF(Config!$N$15:$N$34,$C20)=0,"Unsupported category",IF(COUNTIF(Config!$O$15:$O$34,$L20)=0,"Unsupported status",IF($X20&lt;&gt;$H20,"Opening balance differs from lot openings",IF($W20&lt;&gt;$R20,"Lot balances differ from recorded stock",IF($R20&lt;0,"Negative recorded stock","OK"))))))))))))))))</f>
        <v/>
      </c>
      <c r="AC20" s="52" t="str">
        <f>IF($Y20=1,COUNTIF($Y$2:$Y20,1),"")</f>
        <v/>
      </c>
    </row>
    <row r="21">
      <c r="A21" s="46" t="n"/>
      <c r="B21" s="46" t="n"/>
      <c r="C21" s="46" t="n"/>
      <c r="D21" s="46" t="n"/>
      <c r="E21" s="46" t="n"/>
      <c r="F21" s="46" t="n"/>
      <c r="G21" s="47" t="n"/>
      <c r="H21" s="48" t="n"/>
      <c r="I21" s="48" t="n"/>
      <c r="J21" s="48" t="n"/>
      <c r="K21" s="48" t="n"/>
      <c r="L21" s="46" t="n"/>
      <c r="M21" s="46" t="n"/>
      <c r="N21" s="49" t="str">
        <f>IF($A21="","",IFERROR(INDEX(Suppliers!$B$2:$B$51,MATCH($F21,Suppliers!$A$2:$A$51,0))&amp;"","(not found)"))</f>
        <v/>
      </c>
      <c r="O21" s="50" t="str">
        <f>IF($A21="","",SUMIFS(Inventory_Ledger!$E$2:$E$2001,Inventory_Ledger!$D$2:$D$2001,$A21,Inventory_Ledger!$C$2:$C$2001,"Receipt"))</f>
        <v/>
      </c>
      <c r="P21" s="50" t="str">
        <f>IF($A21="","",SUMIFS(Inventory_Ledger!$E$2:$E$2001,Inventory_Ledger!$D$2:$D$2001,$A21,Inventory_Ledger!$C$2:$C$2001,"Shipment"))</f>
        <v/>
      </c>
      <c r="Q21" s="51" t="str">
        <f>IF($A21="","",SUMIFS(Inventory_Ledger!$E$2:$E$2001,Inventory_Ledger!$D$2:$D$2001,$A21,Inventory_Ledger!$C$2:$C$2001,"Adjustment"))</f>
        <v/>
      </c>
      <c r="R21" s="51" t="str">
        <f>IF($A21="","",IF(ISNUMBER($H21),$H21,0)+$O21-$P21+$Q21)</f>
        <v/>
      </c>
      <c r="S21" s="50" t="str">
        <f>IF($A21="","",SUMIFS(Reservations!$L$2:$L$201,Reservations!$B$2:$B$201,$A21))</f>
        <v/>
      </c>
      <c r="T21" s="50" t="str">
        <f>IF($A21="","",SUMIFS(Batches!$P$2:$P$301,Batches!$B$2:$B$301,$A21))</f>
        <v/>
      </c>
      <c r="U21" s="51" t="str">
        <f>IF($A21="","",$R21-$S21-$T21)</f>
        <v/>
      </c>
      <c r="V21" s="50" t="str">
        <f>IF($A21="","",SUMIFS(Purchase_Orders!$N$2:$N$301,Purchase_Orders!$C$2:$C$301,$A21,Purchase_Orders!$O$2:$O$301,1))</f>
        <v/>
      </c>
      <c r="W21" s="51" t="str">
        <f>IF($A21="","",SUMIFS(Batches!$L$2:$L$301,Batches!$B$2:$B$301,$A21))</f>
        <v/>
      </c>
      <c r="X21" s="50" t="str">
        <f>IF($A21="","",SUMIFS(Batches!$F$2:$F$301,Batches!$B$2:$B$301,$A21))</f>
        <v/>
      </c>
      <c r="Y21" s="52" t="str">
        <f>IF($A21="","",IF(ISNUMBER($I21),IF(IF(Config!$B$9="Recorded",$R21,$U21)&lt;$I21,1,0),0))</f>
        <v/>
      </c>
      <c r="Z21" s="49" t="str">
        <f>IF($A21="","",IF($R21&lt;0,"Negative",IF($Y21=1,"Below reorder","OK")))</f>
        <v/>
      </c>
      <c r="AA21" s="53" t="str">
        <f>IF($A21="","",IF(ISNUMBER($G21),$R21*$G21,""))</f>
        <v/>
      </c>
      <c r="AB21" s="49" t="str">
        <f>IF(COUNTA($A21:$M21)=0,"",IF($A21="","Missing: SKU",IF(COUNTIF($A$2:$A$101,$A21)&gt;1,"Duplicate SKU",IF($B21="","Missing: product name",IF($C21="","Missing: category",IF($F21="","Missing: primary supplier",IF(NOT(ISNUMBER($H21)),"Missing: opening balance",IF(NOT(ISNUMBER($I21)),"Missing: reorder point",IF(NOT(ISNUMBER($J21)),"Missing: reorder qty",IF($L21="","Missing: status",IF(COUNTIF(Suppliers!$A$2:$A$51,$F21)=0,"Unknown supplier",IF(COUNTIF(Config!$N$15:$N$34,$C21)=0,"Unsupported category",IF(COUNTIF(Config!$O$15:$O$34,$L21)=0,"Unsupported status",IF($X21&lt;&gt;$H21,"Opening balance differs from lot openings",IF($W21&lt;&gt;$R21,"Lot balances differ from recorded stock",IF($R21&lt;0,"Negative recorded stock","OK"))))))))))))))))</f>
        <v/>
      </c>
      <c r="AC21" s="52" t="str">
        <f>IF($Y21=1,COUNTIF($Y$2:$Y21,1),"")</f>
        <v/>
      </c>
    </row>
    <row r="22">
      <c r="A22" s="46" t="n"/>
      <c r="B22" s="46" t="n"/>
      <c r="C22" s="46" t="n"/>
      <c r="D22" s="46" t="n"/>
      <c r="E22" s="46" t="n"/>
      <c r="F22" s="46" t="n"/>
      <c r="G22" s="47" t="n"/>
      <c r="H22" s="48" t="n"/>
      <c r="I22" s="48" t="n"/>
      <c r="J22" s="48" t="n"/>
      <c r="K22" s="48" t="n"/>
      <c r="L22" s="46" t="n"/>
      <c r="M22" s="46" t="n"/>
      <c r="N22" s="49" t="str">
        <f>IF($A22="","",IFERROR(INDEX(Suppliers!$B$2:$B$51,MATCH($F22,Suppliers!$A$2:$A$51,0))&amp;"","(not found)"))</f>
        <v/>
      </c>
      <c r="O22" s="50" t="str">
        <f>IF($A22="","",SUMIFS(Inventory_Ledger!$E$2:$E$2001,Inventory_Ledger!$D$2:$D$2001,$A22,Inventory_Ledger!$C$2:$C$2001,"Receipt"))</f>
        <v/>
      </c>
      <c r="P22" s="50" t="str">
        <f>IF($A22="","",SUMIFS(Inventory_Ledger!$E$2:$E$2001,Inventory_Ledger!$D$2:$D$2001,$A22,Inventory_Ledger!$C$2:$C$2001,"Shipment"))</f>
        <v/>
      </c>
      <c r="Q22" s="51" t="str">
        <f>IF($A22="","",SUMIFS(Inventory_Ledger!$E$2:$E$2001,Inventory_Ledger!$D$2:$D$2001,$A22,Inventory_Ledger!$C$2:$C$2001,"Adjustment"))</f>
        <v/>
      </c>
      <c r="R22" s="51" t="str">
        <f>IF($A22="","",IF(ISNUMBER($H22),$H22,0)+$O22-$P22+$Q22)</f>
        <v/>
      </c>
      <c r="S22" s="50" t="str">
        <f>IF($A22="","",SUMIFS(Reservations!$L$2:$L$201,Reservations!$B$2:$B$201,$A22))</f>
        <v/>
      </c>
      <c r="T22" s="50" t="str">
        <f>IF($A22="","",SUMIFS(Batches!$P$2:$P$301,Batches!$B$2:$B$301,$A22))</f>
        <v/>
      </c>
      <c r="U22" s="51" t="str">
        <f>IF($A22="","",$R22-$S22-$T22)</f>
        <v/>
      </c>
      <c r="V22" s="50" t="str">
        <f>IF($A22="","",SUMIFS(Purchase_Orders!$N$2:$N$301,Purchase_Orders!$C$2:$C$301,$A22,Purchase_Orders!$O$2:$O$301,1))</f>
        <v/>
      </c>
      <c r="W22" s="51" t="str">
        <f>IF($A22="","",SUMIFS(Batches!$L$2:$L$301,Batches!$B$2:$B$301,$A22))</f>
        <v/>
      </c>
      <c r="X22" s="50" t="str">
        <f>IF($A22="","",SUMIFS(Batches!$F$2:$F$301,Batches!$B$2:$B$301,$A22))</f>
        <v/>
      </c>
      <c r="Y22" s="52" t="str">
        <f>IF($A22="","",IF(ISNUMBER($I22),IF(IF(Config!$B$9="Recorded",$R22,$U22)&lt;$I22,1,0),0))</f>
        <v/>
      </c>
      <c r="Z22" s="49" t="str">
        <f>IF($A22="","",IF($R22&lt;0,"Negative",IF($Y22=1,"Below reorder","OK")))</f>
        <v/>
      </c>
      <c r="AA22" s="53" t="str">
        <f>IF($A22="","",IF(ISNUMBER($G22),$R22*$G22,""))</f>
        <v/>
      </c>
      <c r="AB22" s="49" t="str">
        <f>IF(COUNTA($A22:$M22)=0,"",IF($A22="","Missing: SKU",IF(COUNTIF($A$2:$A$101,$A22)&gt;1,"Duplicate SKU",IF($B22="","Missing: product name",IF($C22="","Missing: category",IF($F22="","Missing: primary supplier",IF(NOT(ISNUMBER($H22)),"Missing: opening balance",IF(NOT(ISNUMBER($I22)),"Missing: reorder point",IF(NOT(ISNUMBER($J22)),"Missing: reorder qty",IF($L22="","Missing: status",IF(COUNTIF(Suppliers!$A$2:$A$51,$F22)=0,"Unknown supplier",IF(COUNTIF(Config!$N$15:$N$34,$C22)=0,"Unsupported category",IF(COUNTIF(Config!$O$15:$O$34,$L22)=0,"Unsupported status",IF($X22&lt;&gt;$H22,"Opening balance differs from lot openings",IF($W22&lt;&gt;$R22,"Lot balances differ from recorded stock",IF($R22&lt;0,"Negative recorded stock","OK"))))))))))))))))</f>
        <v/>
      </c>
      <c r="AC22" s="52" t="str">
        <f>IF($Y22=1,COUNTIF($Y$2:$Y22,1),"")</f>
        <v/>
      </c>
    </row>
    <row r="23">
      <c r="A23" s="46" t="n"/>
      <c r="B23" s="46" t="n"/>
      <c r="C23" s="46" t="n"/>
      <c r="D23" s="46" t="n"/>
      <c r="E23" s="46" t="n"/>
      <c r="F23" s="46" t="n"/>
      <c r="G23" s="47" t="n"/>
      <c r="H23" s="48" t="n"/>
      <c r="I23" s="48" t="n"/>
      <c r="J23" s="48" t="n"/>
      <c r="K23" s="48" t="n"/>
      <c r="L23" s="46" t="n"/>
      <c r="M23" s="46" t="n"/>
      <c r="N23" s="49" t="str">
        <f>IF($A23="","",IFERROR(INDEX(Suppliers!$B$2:$B$51,MATCH($F23,Suppliers!$A$2:$A$51,0))&amp;"","(not found)"))</f>
        <v/>
      </c>
      <c r="O23" s="50" t="str">
        <f>IF($A23="","",SUMIFS(Inventory_Ledger!$E$2:$E$2001,Inventory_Ledger!$D$2:$D$2001,$A23,Inventory_Ledger!$C$2:$C$2001,"Receipt"))</f>
        <v/>
      </c>
      <c r="P23" s="50" t="str">
        <f>IF($A23="","",SUMIFS(Inventory_Ledger!$E$2:$E$2001,Inventory_Ledger!$D$2:$D$2001,$A23,Inventory_Ledger!$C$2:$C$2001,"Shipment"))</f>
        <v/>
      </c>
      <c r="Q23" s="51" t="str">
        <f>IF($A23="","",SUMIFS(Inventory_Ledger!$E$2:$E$2001,Inventory_Ledger!$D$2:$D$2001,$A23,Inventory_Ledger!$C$2:$C$2001,"Adjustment"))</f>
        <v/>
      </c>
      <c r="R23" s="51" t="str">
        <f>IF($A23="","",IF(ISNUMBER($H23),$H23,0)+$O23-$P23+$Q23)</f>
        <v/>
      </c>
      <c r="S23" s="50" t="str">
        <f>IF($A23="","",SUMIFS(Reservations!$L$2:$L$201,Reservations!$B$2:$B$201,$A23))</f>
        <v/>
      </c>
      <c r="T23" s="50" t="str">
        <f>IF($A23="","",SUMIFS(Batches!$P$2:$P$301,Batches!$B$2:$B$301,$A23))</f>
        <v/>
      </c>
      <c r="U23" s="51" t="str">
        <f>IF($A23="","",$R23-$S23-$T23)</f>
        <v/>
      </c>
      <c r="V23" s="50" t="str">
        <f>IF($A23="","",SUMIFS(Purchase_Orders!$N$2:$N$301,Purchase_Orders!$C$2:$C$301,$A23,Purchase_Orders!$O$2:$O$301,1))</f>
        <v/>
      </c>
      <c r="W23" s="51" t="str">
        <f>IF($A23="","",SUMIFS(Batches!$L$2:$L$301,Batches!$B$2:$B$301,$A23))</f>
        <v/>
      </c>
      <c r="X23" s="50" t="str">
        <f>IF($A23="","",SUMIFS(Batches!$F$2:$F$301,Batches!$B$2:$B$301,$A23))</f>
        <v/>
      </c>
      <c r="Y23" s="52" t="str">
        <f>IF($A23="","",IF(ISNUMBER($I23),IF(IF(Config!$B$9="Recorded",$R23,$U23)&lt;$I23,1,0),0))</f>
        <v/>
      </c>
      <c r="Z23" s="49" t="str">
        <f>IF($A23="","",IF($R23&lt;0,"Negative",IF($Y23=1,"Below reorder","OK")))</f>
        <v/>
      </c>
      <c r="AA23" s="53" t="str">
        <f>IF($A23="","",IF(ISNUMBER($G23),$R23*$G23,""))</f>
        <v/>
      </c>
      <c r="AB23" s="49" t="str">
        <f>IF(COUNTA($A23:$M23)=0,"",IF($A23="","Missing: SKU",IF(COUNTIF($A$2:$A$101,$A23)&gt;1,"Duplicate SKU",IF($B23="","Missing: product name",IF($C23="","Missing: category",IF($F23="","Missing: primary supplier",IF(NOT(ISNUMBER($H23)),"Missing: opening balance",IF(NOT(ISNUMBER($I23)),"Missing: reorder point",IF(NOT(ISNUMBER($J23)),"Missing: reorder qty",IF($L23="","Missing: status",IF(COUNTIF(Suppliers!$A$2:$A$51,$F23)=0,"Unknown supplier",IF(COUNTIF(Config!$N$15:$N$34,$C23)=0,"Unsupported category",IF(COUNTIF(Config!$O$15:$O$34,$L23)=0,"Unsupported status",IF($X23&lt;&gt;$H23,"Opening balance differs from lot openings",IF($W23&lt;&gt;$R23,"Lot balances differ from recorded stock",IF($R23&lt;0,"Negative recorded stock","OK"))))))))))))))))</f>
        <v/>
      </c>
      <c r="AC23" s="52" t="str">
        <f>IF($Y23=1,COUNTIF($Y$2:$Y23,1),"")</f>
        <v/>
      </c>
    </row>
    <row r="24">
      <c r="A24" s="46" t="n"/>
      <c r="B24" s="46" t="n"/>
      <c r="C24" s="46" t="n"/>
      <c r="D24" s="46" t="n"/>
      <c r="E24" s="46" t="n"/>
      <c r="F24" s="46" t="n"/>
      <c r="G24" s="47" t="n"/>
      <c r="H24" s="48" t="n"/>
      <c r="I24" s="48" t="n"/>
      <c r="J24" s="48" t="n"/>
      <c r="K24" s="48" t="n"/>
      <c r="L24" s="46" t="n"/>
      <c r="M24" s="46" t="n"/>
      <c r="N24" s="49" t="str">
        <f>IF($A24="","",IFERROR(INDEX(Suppliers!$B$2:$B$51,MATCH($F24,Suppliers!$A$2:$A$51,0))&amp;"","(not found)"))</f>
        <v/>
      </c>
      <c r="O24" s="50" t="str">
        <f>IF($A24="","",SUMIFS(Inventory_Ledger!$E$2:$E$2001,Inventory_Ledger!$D$2:$D$2001,$A24,Inventory_Ledger!$C$2:$C$2001,"Receipt"))</f>
        <v/>
      </c>
      <c r="P24" s="50" t="str">
        <f>IF($A24="","",SUMIFS(Inventory_Ledger!$E$2:$E$2001,Inventory_Ledger!$D$2:$D$2001,$A24,Inventory_Ledger!$C$2:$C$2001,"Shipment"))</f>
        <v/>
      </c>
      <c r="Q24" s="51" t="str">
        <f>IF($A24="","",SUMIFS(Inventory_Ledger!$E$2:$E$2001,Inventory_Ledger!$D$2:$D$2001,$A24,Inventory_Ledger!$C$2:$C$2001,"Adjustment"))</f>
        <v/>
      </c>
      <c r="R24" s="51" t="str">
        <f>IF($A24="","",IF(ISNUMBER($H24),$H24,0)+$O24-$P24+$Q24)</f>
        <v/>
      </c>
      <c r="S24" s="50" t="str">
        <f>IF($A24="","",SUMIFS(Reservations!$L$2:$L$201,Reservations!$B$2:$B$201,$A24))</f>
        <v/>
      </c>
      <c r="T24" s="50" t="str">
        <f>IF($A24="","",SUMIFS(Batches!$P$2:$P$301,Batches!$B$2:$B$301,$A24))</f>
        <v/>
      </c>
      <c r="U24" s="51" t="str">
        <f>IF($A24="","",$R24-$S24-$T24)</f>
        <v/>
      </c>
      <c r="V24" s="50" t="str">
        <f>IF($A24="","",SUMIFS(Purchase_Orders!$N$2:$N$301,Purchase_Orders!$C$2:$C$301,$A24,Purchase_Orders!$O$2:$O$301,1))</f>
        <v/>
      </c>
      <c r="W24" s="51" t="str">
        <f>IF($A24="","",SUMIFS(Batches!$L$2:$L$301,Batches!$B$2:$B$301,$A24))</f>
        <v/>
      </c>
      <c r="X24" s="50" t="str">
        <f>IF($A24="","",SUMIFS(Batches!$F$2:$F$301,Batches!$B$2:$B$301,$A24))</f>
        <v/>
      </c>
      <c r="Y24" s="52" t="str">
        <f>IF($A24="","",IF(ISNUMBER($I24),IF(IF(Config!$B$9="Recorded",$R24,$U24)&lt;$I24,1,0),0))</f>
        <v/>
      </c>
      <c r="Z24" s="49" t="str">
        <f>IF($A24="","",IF($R24&lt;0,"Negative",IF($Y24=1,"Below reorder","OK")))</f>
        <v/>
      </c>
      <c r="AA24" s="53" t="str">
        <f>IF($A24="","",IF(ISNUMBER($G24),$R24*$G24,""))</f>
        <v/>
      </c>
      <c r="AB24" s="49" t="str">
        <f>IF(COUNTA($A24:$M24)=0,"",IF($A24="","Missing: SKU",IF(COUNTIF($A$2:$A$101,$A24)&gt;1,"Duplicate SKU",IF($B24="","Missing: product name",IF($C24="","Missing: category",IF($F24="","Missing: primary supplier",IF(NOT(ISNUMBER($H24)),"Missing: opening balance",IF(NOT(ISNUMBER($I24)),"Missing: reorder point",IF(NOT(ISNUMBER($J24)),"Missing: reorder qty",IF($L24="","Missing: status",IF(COUNTIF(Suppliers!$A$2:$A$51,$F24)=0,"Unknown supplier",IF(COUNTIF(Config!$N$15:$N$34,$C24)=0,"Unsupported category",IF(COUNTIF(Config!$O$15:$O$34,$L24)=0,"Unsupported status",IF($X24&lt;&gt;$H24,"Opening balance differs from lot openings",IF($W24&lt;&gt;$R24,"Lot balances differ from recorded stock",IF($R24&lt;0,"Negative recorded stock","OK"))))))))))))))))</f>
        <v/>
      </c>
      <c r="AC24" s="52" t="str">
        <f>IF($Y24=1,COUNTIF($Y$2:$Y24,1),"")</f>
        <v/>
      </c>
    </row>
    <row r="25">
      <c r="A25" s="46" t="n"/>
      <c r="B25" s="46" t="n"/>
      <c r="C25" s="46" t="n"/>
      <c r="D25" s="46" t="n"/>
      <c r="E25" s="46" t="n"/>
      <c r="F25" s="46" t="n"/>
      <c r="G25" s="47" t="n"/>
      <c r="H25" s="48" t="n"/>
      <c r="I25" s="48" t="n"/>
      <c r="J25" s="48" t="n"/>
      <c r="K25" s="48" t="n"/>
      <c r="L25" s="46" t="n"/>
      <c r="M25" s="46" t="n"/>
      <c r="N25" s="49" t="str">
        <f>IF($A25="","",IFERROR(INDEX(Suppliers!$B$2:$B$51,MATCH($F25,Suppliers!$A$2:$A$51,0))&amp;"","(not found)"))</f>
        <v/>
      </c>
      <c r="O25" s="50" t="str">
        <f>IF($A25="","",SUMIFS(Inventory_Ledger!$E$2:$E$2001,Inventory_Ledger!$D$2:$D$2001,$A25,Inventory_Ledger!$C$2:$C$2001,"Receipt"))</f>
        <v/>
      </c>
      <c r="P25" s="50" t="str">
        <f>IF($A25="","",SUMIFS(Inventory_Ledger!$E$2:$E$2001,Inventory_Ledger!$D$2:$D$2001,$A25,Inventory_Ledger!$C$2:$C$2001,"Shipment"))</f>
        <v/>
      </c>
      <c r="Q25" s="51" t="str">
        <f>IF($A25="","",SUMIFS(Inventory_Ledger!$E$2:$E$2001,Inventory_Ledger!$D$2:$D$2001,$A25,Inventory_Ledger!$C$2:$C$2001,"Adjustment"))</f>
        <v/>
      </c>
      <c r="R25" s="51" t="str">
        <f>IF($A25="","",IF(ISNUMBER($H25),$H25,0)+$O25-$P25+$Q25)</f>
        <v/>
      </c>
      <c r="S25" s="50" t="str">
        <f>IF($A25="","",SUMIFS(Reservations!$L$2:$L$201,Reservations!$B$2:$B$201,$A25))</f>
        <v/>
      </c>
      <c r="T25" s="50" t="str">
        <f>IF($A25="","",SUMIFS(Batches!$P$2:$P$301,Batches!$B$2:$B$301,$A25))</f>
        <v/>
      </c>
      <c r="U25" s="51" t="str">
        <f>IF($A25="","",$R25-$S25-$T25)</f>
        <v/>
      </c>
      <c r="V25" s="50" t="str">
        <f>IF($A25="","",SUMIFS(Purchase_Orders!$N$2:$N$301,Purchase_Orders!$C$2:$C$301,$A25,Purchase_Orders!$O$2:$O$301,1))</f>
        <v/>
      </c>
      <c r="W25" s="51" t="str">
        <f>IF($A25="","",SUMIFS(Batches!$L$2:$L$301,Batches!$B$2:$B$301,$A25))</f>
        <v/>
      </c>
      <c r="X25" s="50" t="str">
        <f>IF($A25="","",SUMIFS(Batches!$F$2:$F$301,Batches!$B$2:$B$301,$A25))</f>
        <v/>
      </c>
      <c r="Y25" s="52" t="str">
        <f>IF($A25="","",IF(ISNUMBER($I25),IF(IF(Config!$B$9="Recorded",$R25,$U25)&lt;$I25,1,0),0))</f>
        <v/>
      </c>
      <c r="Z25" s="49" t="str">
        <f>IF($A25="","",IF($R25&lt;0,"Negative",IF($Y25=1,"Below reorder","OK")))</f>
        <v/>
      </c>
      <c r="AA25" s="53" t="str">
        <f>IF($A25="","",IF(ISNUMBER($G25),$R25*$G25,""))</f>
        <v/>
      </c>
      <c r="AB25" s="49" t="str">
        <f>IF(COUNTA($A25:$M25)=0,"",IF($A25="","Missing: SKU",IF(COUNTIF($A$2:$A$101,$A25)&gt;1,"Duplicate SKU",IF($B25="","Missing: product name",IF($C25="","Missing: category",IF($F25="","Missing: primary supplier",IF(NOT(ISNUMBER($H25)),"Missing: opening balance",IF(NOT(ISNUMBER($I25)),"Missing: reorder point",IF(NOT(ISNUMBER($J25)),"Missing: reorder qty",IF($L25="","Missing: status",IF(COUNTIF(Suppliers!$A$2:$A$51,$F25)=0,"Unknown supplier",IF(COUNTIF(Config!$N$15:$N$34,$C25)=0,"Unsupported category",IF(COUNTIF(Config!$O$15:$O$34,$L25)=0,"Unsupported status",IF($X25&lt;&gt;$H25,"Opening balance differs from lot openings",IF($W25&lt;&gt;$R25,"Lot balances differ from recorded stock",IF($R25&lt;0,"Negative recorded stock","OK"))))))))))))))))</f>
        <v/>
      </c>
      <c r="AC25" s="52" t="str">
        <f>IF($Y25=1,COUNTIF($Y$2:$Y25,1),"")</f>
        <v/>
      </c>
    </row>
    <row r="26">
      <c r="A26" s="46" t="n"/>
      <c r="B26" s="46" t="n"/>
      <c r="C26" s="46" t="n"/>
      <c r="D26" s="46" t="n"/>
      <c r="E26" s="46" t="n"/>
      <c r="F26" s="46" t="n"/>
      <c r="G26" s="47" t="n"/>
      <c r="H26" s="48" t="n"/>
      <c r="I26" s="48" t="n"/>
      <c r="J26" s="48" t="n"/>
      <c r="K26" s="48" t="n"/>
      <c r="L26" s="46" t="n"/>
      <c r="M26" s="46" t="n"/>
      <c r="N26" s="49" t="str">
        <f>IF($A26="","",IFERROR(INDEX(Suppliers!$B$2:$B$51,MATCH($F26,Suppliers!$A$2:$A$51,0))&amp;"","(not found)"))</f>
        <v/>
      </c>
      <c r="O26" s="50" t="str">
        <f>IF($A26="","",SUMIFS(Inventory_Ledger!$E$2:$E$2001,Inventory_Ledger!$D$2:$D$2001,$A26,Inventory_Ledger!$C$2:$C$2001,"Receipt"))</f>
        <v/>
      </c>
      <c r="P26" s="50" t="str">
        <f>IF($A26="","",SUMIFS(Inventory_Ledger!$E$2:$E$2001,Inventory_Ledger!$D$2:$D$2001,$A26,Inventory_Ledger!$C$2:$C$2001,"Shipment"))</f>
        <v/>
      </c>
      <c r="Q26" s="51" t="str">
        <f>IF($A26="","",SUMIFS(Inventory_Ledger!$E$2:$E$2001,Inventory_Ledger!$D$2:$D$2001,$A26,Inventory_Ledger!$C$2:$C$2001,"Adjustment"))</f>
        <v/>
      </c>
      <c r="R26" s="51" t="str">
        <f>IF($A26="","",IF(ISNUMBER($H26),$H26,0)+$O26-$P26+$Q26)</f>
        <v/>
      </c>
      <c r="S26" s="50" t="str">
        <f>IF($A26="","",SUMIFS(Reservations!$L$2:$L$201,Reservations!$B$2:$B$201,$A26))</f>
        <v/>
      </c>
      <c r="T26" s="50" t="str">
        <f>IF($A26="","",SUMIFS(Batches!$P$2:$P$301,Batches!$B$2:$B$301,$A26))</f>
        <v/>
      </c>
      <c r="U26" s="51" t="str">
        <f>IF($A26="","",$R26-$S26-$T26)</f>
        <v/>
      </c>
      <c r="V26" s="50" t="str">
        <f>IF($A26="","",SUMIFS(Purchase_Orders!$N$2:$N$301,Purchase_Orders!$C$2:$C$301,$A26,Purchase_Orders!$O$2:$O$301,1))</f>
        <v/>
      </c>
      <c r="W26" s="51" t="str">
        <f>IF($A26="","",SUMIFS(Batches!$L$2:$L$301,Batches!$B$2:$B$301,$A26))</f>
        <v/>
      </c>
      <c r="X26" s="50" t="str">
        <f>IF($A26="","",SUMIFS(Batches!$F$2:$F$301,Batches!$B$2:$B$301,$A26))</f>
        <v/>
      </c>
      <c r="Y26" s="52" t="str">
        <f>IF($A26="","",IF(ISNUMBER($I26),IF(IF(Config!$B$9="Recorded",$R26,$U26)&lt;$I26,1,0),0))</f>
        <v/>
      </c>
      <c r="Z26" s="49" t="str">
        <f>IF($A26="","",IF($R26&lt;0,"Negative",IF($Y26=1,"Below reorder","OK")))</f>
        <v/>
      </c>
      <c r="AA26" s="53" t="str">
        <f>IF($A26="","",IF(ISNUMBER($G26),$R26*$G26,""))</f>
        <v/>
      </c>
      <c r="AB26" s="49" t="str">
        <f>IF(COUNTA($A26:$M26)=0,"",IF($A26="","Missing: SKU",IF(COUNTIF($A$2:$A$101,$A26)&gt;1,"Duplicate SKU",IF($B26="","Missing: product name",IF($C26="","Missing: category",IF($F26="","Missing: primary supplier",IF(NOT(ISNUMBER($H26)),"Missing: opening balance",IF(NOT(ISNUMBER($I26)),"Missing: reorder point",IF(NOT(ISNUMBER($J26)),"Missing: reorder qty",IF($L26="","Missing: status",IF(COUNTIF(Suppliers!$A$2:$A$51,$F26)=0,"Unknown supplier",IF(COUNTIF(Config!$N$15:$N$34,$C26)=0,"Unsupported category",IF(COUNTIF(Config!$O$15:$O$34,$L26)=0,"Unsupported status",IF($X26&lt;&gt;$H26,"Opening balance differs from lot openings",IF($W26&lt;&gt;$R26,"Lot balances differ from recorded stock",IF($R26&lt;0,"Negative recorded stock","OK"))))))))))))))))</f>
        <v/>
      </c>
      <c r="AC26" s="52" t="str">
        <f>IF($Y26=1,COUNTIF($Y$2:$Y26,1),"")</f>
        <v/>
      </c>
    </row>
    <row r="27">
      <c r="A27" s="46" t="n"/>
      <c r="B27" s="46" t="n"/>
      <c r="C27" s="46" t="n"/>
      <c r="D27" s="46" t="n"/>
      <c r="E27" s="46" t="n"/>
      <c r="F27" s="46" t="n"/>
      <c r="G27" s="47" t="n"/>
      <c r="H27" s="48" t="n"/>
      <c r="I27" s="48" t="n"/>
      <c r="J27" s="48" t="n"/>
      <c r="K27" s="48" t="n"/>
      <c r="L27" s="46" t="n"/>
      <c r="M27" s="46" t="n"/>
      <c r="N27" s="49" t="str">
        <f>IF($A27="","",IFERROR(INDEX(Suppliers!$B$2:$B$51,MATCH($F27,Suppliers!$A$2:$A$51,0))&amp;"","(not found)"))</f>
        <v/>
      </c>
      <c r="O27" s="50" t="str">
        <f>IF($A27="","",SUMIFS(Inventory_Ledger!$E$2:$E$2001,Inventory_Ledger!$D$2:$D$2001,$A27,Inventory_Ledger!$C$2:$C$2001,"Receipt"))</f>
        <v/>
      </c>
      <c r="P27" s="50" t="str">
        <f>IF($A27="","",SUMIFS(Inventory_Ledger!$E$2:$E$2001,Inventory_Ledger!$D$2:$D$2001,$A27,Inventory_Ledger!$C$2:$C$2001,"Shipment"))</f>
        <v/>
      </c>
      <c r="Q27" s="51" t="str">
        <f>IF($A27="","",SUMIFS(Inventory_Ledger!$E$2:$E$2001,Inventory_Ledger!$D$2:$D$2001,$A27,Inventory_Ledger!$C$2:$C$2001,"Adjustment"))</f>
        <v/>
      </c>
      <c r="R27" s="51" t="str">
        <f>IF($A27="","",IF(ISNUMBER($H27),$H27,0)+$O27-$P27+$Q27)</f>
        <v/>
      </c>
      <c r="S27" s="50" t="str">
        <f>IF($A27="","",SUMIFS(Reservations!$L$2:$L$201,Reservations!$B$2:$B$201,$A27))</f>
        <v/>
      </c>
      <c r="T27" s="50" t="str">
        <f>IF($A27="","",SUMIFS(Batches!$P$2:$P$301,Batches!$B$2:$B$301,$A27))</f>
        <v/>
      </c>
      <c r="U27" s="51" t="str">
        <f>IF($A27="","",$R27-$S27-$T27)</f>
        <v/>
      </c>
      <c r="V27" s="50" t="str">
        <f>IF($A27="","",SUMIFS(Purchase_Orders!$N$2:$N$301,Purchase_Orders!$C$2:$C$301,$A27,Purchase_Orders!$O$2:$O$301,1))</f>
        <v/>
      </c>
      <c r="W27" s="51" t="str">
        <f>IF($A27="","",SUMIFS(Batches!$L$2:$L$301,Batches!$B$2:$B$301,$A27))</f>
        <v/>
      </c>
      <c r="X27" s="50" t="str">
        <f>IF($A27="","",SUMIFS(Batches!$F$2:$F$301,Batches!$B$2:$B$301,$A27))</f>
        <v/>
      </c>
      <c r="Y27" s="52" t="str">
        <f>IF($A27="","",IF(ISNUMBER($I27),IF(IF(Config!$B$9="Recorded",$R27,$U27)&lt;$I27,1,0),0))</f>
        <v/>
      </c>
      <c r="Z27" s="49" t="str">
        <f>IF($A27="","",IF($R27&lt;0,"Negative",IF($Y27=1,"Below reorder","OK")))</f>
        <v/>
      </c>
      <c r="AA27" s="53" t="str">
        <f>IF($A27="","",IF(ISNUMBER($G27),$R27*$G27,""))</f>
        <v/>
      </c>
      <c r="AB27" s="49" t="str">
        <f>IF(COUNTA($A27:$M27)=0,"",IF($A27="","Missing: SKU",IF(COUNTIF($A$2:$A$101,$A27)&gt;1,"Duplicate SKU",IF($B27="","Missing: product name",IF($C27="","Missing: category",IF($F27="","Missing: primary supplier",IF(NOT(ISNUMBER($H27)),"Missing: opening balance",IF(NOT(ISNUMBER($I27)),"Missing: reorder point",IF(NOT(ISNUMBER($J27)),"Missing: reorder qty",IF($L27="","Missing: status",IF(COUNTIF(Suppliers!$A$2:$A$51,$F27)=0,"Unknown supplier",IF(COUNTIF(Config!$N$15:$N$34,$C27)=0,"Unsupported category",IF(COUNTIF(Config!$O$15:$O$34,$L27)=0,"Unsupported status",IF($X27&lt;&gt;$H27,"Opening balance differs from lot openings",IF($W27&lt;&gt;$R27,"Lot balances differ from recorded stock",IF($R27&lt;0,"Negative recorded stock","OK"))))))))))))))))</f>
        <v/>
      </c>
      <c r="AC27" s="52" t="str">
        <f>IF($Y27=1,COUNTIF($Y$2:$Y27,1),"")</f>
        <v/>
      </c>
    </row>
    <row r="28">
      <c r="A28" s="46" t="n"/>
      <c r="B28" s="46" t="n"/>
      <c r="C28" s="46" t="n"/>
      <c r="D28" s="46" t="n"/>
      <c r="E28" s="46" t="n"/>
      <c r="F28" s="46" t="n"/>
      <c r="G28" s="47" t="n"/>
      <c r="H28" s="48" t="n"/>
      <c r="I28" s="48" t="n"/>
      <c r="J28" s="48" t="n"/>
      <c r="K28" s="48" t="n"/>
      <c r="L28" s="46" t="n"/>
      <c r="M28" s="46" t="n"/>
      <c r="N28" s="49" t="str">
        <f>IF($A28="","",IFERROR(INDEX(Suppliers!$B$2:$B$51,MATCH($F28,Suppliers!$A$2:$A$51,0))&amp;"","(not found)"))</f>
        <v/>
      </c>
      <c r="O28" s="50" t="str">
        <f>IF($A28="","",SUMIFS(Inventory_Ledger!$E$2:$E$2001,Inventory_Ledger!$D$2:$D$2001,$A28,Inventory_Ledger!$C$2:$C$2001,"Receipt"))</f>
        <v/>
      </c>
      <c r="P28" s="50" t="str">
        <f>IF($A28="","",SUMIFS(Inventory_Ledger!$E$2:$E$2001,Inventory_Ledger!$D$2:$D$2001,$A28,Inventory_Ledger!$C$2:$C$2001,"Shipment"))</f>
        <v/>
      </c>
      <c r="Q28" s="51" t="str">
        <f>IF($A28="","",SUMIFS(Inventory_Ledger!$E$2:$E$2001,Inventory_Ledger!$D$2:$D$2001,$A28,Inventory_Ledger!$C$2:$C$2001,"Adjustment"))</f>
        <v/>
      </c>
      <c r="R28" s="51" t="str">
        <f>IF($A28="","",IF(ISNUMBER($H28),$H28,0)+$O28-$P28+$Q28)</f>
        <v/>
      </c>
      <c r="S28" s="50" t="str">
        <f>IF($A28="","",SUMIFS(Reservations!$L$2:$L$201,Reservations!$B$2:$B$201,$A28))</f>
        <v/>
      </c>
      <c r="T28" s="50" t="str">
        <f>IF($A28="","",SUMIFS(Batches!$P$2:$P$301,Batches!$B$2:$B$301,$A28))</f>
        <v/>
      </c>
      <c r="U28" s="51" t="str">
        <f>IF($A28="","",$R28-$S28-$T28)</f>
        <v/>
      </c>
      <c r="V28" s="50" t="str">
        <f>IF($A28="","",SUMIFS(Purchase_Orders!$N$2:$N$301,Purchase_Orders!$C$2:$C$301,$A28,Purchase_Orders!$O$2:$O$301,1))</f>
        <v/>
      </c>
      <c r="W28" s="51" t="str">
        <f>IF($A28="","",SUMIFS(Batches!$L$2:$L$301,Batches!$B$2:$B$301,$A28))</f>
        <v/>
      </c>
      <c r="X28" s="50" t="str">
        <f>IF($A28="","",SUMIFS(Batches!$F$2:$F$301,Batches!$B$2:$B$301,$A28))</f>
        <v/>
      </c>
      <c r="Y28" s="52" t="str">
        <f>IF($A28="","",IF(ISNUMBER($I28),IF(IF(Config!$B$9="Recorded",$R28,$U28)&lt;$I28,1,0),0))</f>
        <v/>
      </c>
      <c r="Z28" s="49" t="str">
        <f>IF($A28="","",IF($R28&lt;0,"Negative",IF($Y28=1,"Below reorder","OK")))</f>
        <v/>
      </c>
      <c r="AA28" s="53" t="str">
        <f>IF($A28="","",IF(ISNUMBER($G28),$R28*$G28,""))</f>
        <v/>
      </c>
      <c r="AB28" s="49" t="str">
        <f>IF(COUNTA($A28:$M28)=0,"",IF($A28="","Missing: SKU",IF(COUNTIF($A$2:$A$101,$A28)&gt;1,"Duplicate SKU",IF($B28="","Missing: product name",IF($C28="","Missing: category",IF($F28="","Missing: primary supplier",IF(NOT(ISNUMBER($H28)),"Missing: opening balance",IF(NOT(ISNUMBER($I28)),"Missing: reorder point",IF(NOT(ISNUMBER($J28)),"Missing: reorder qty",IF($L28="","Missing: status",IF(COUNTIF(Suppliers!$A$2:$A$51,$F28)=0,"Unknown supplier",IF(COUNTIF(Config!$N$15:$N$34,$C28)=0,"Unsupported category",IF(COUNTIF(Config!$O$15:$O$34,$L28)=0,"Unsupported status",IF($X28&lt;&gt;$H28,"Opening balance differs from lot openings",IF($W28&lt;&gt;$R28,"Lot balances differ from recorded stock",IF($R28&lt;0,"Negative recorded stock","OK"))))))))))))))))</f>
        <v/>
      </c>
      <c r="AC28" s="52" t="str">
        <f>IF($Y28=1,COUNTIF($Y$2:$Y28,1),"")</f>
        <v/>
      </c>
    </row>
    <row r="29">
      <c r="A29" s="46" t="n"/>
      <c r="B29" s="46" t="n"/>
      <c r="C29" s="46" t="n"/>
      <c r="D29" s="46" t="n"/>
      <c r="E29" s="46" t="n"/>
      <c r="F29" s="46" t="n"/>
      <c r="G29" s="47" t="n"/>
      <c r="H29" s="48" t="n"/>
      <c r="I29" s="48" t="n"/>
      <c r="J29" s="48" t="n"/>
      <c r="K29" s="48" t="n"/>
      <c r="L29" s="46" t="n"/>
      <c r="M29" s="46" t="n"/>
      <c r="N29" s="49" t="str">
        <f>IF($A29="","",IFERROR(INDEX(Suppliers!$B$2:$B$51,MATCH($F29,Suppliers!$A$2:$A$51,0))&amp;"","(not found)"))</f>
        <v/>
      </c>
      <c r="O29" s="50" t="str">
        <f>IF($A29="","",SUMIFS(Inventory_Ledger!$E$2:$E$2001,Inventory_Ledger!$D$2:$D$2001,$A29,Inventory_Ledger!$C$2:$C$2001,"Receipt"))</f>
        <v/>
      </c>
      <c r="P29" s="50" t="str">
        <f>IF($A29="","",SUMIFS(Inventory_Ledger!$E$2:$E$2001,Inventory_Ledger!$D$2:$D$2001,$A29,Inventory_Ledger!$C$2:$C$2001,"Shipment"))</f>
        <v/>
      </c>
      <c r="Q29" s="51" t="str">
        <f>IF($A29="","",SUMIFS(Inventory_Ledger!$E$2:$E$2001,Inventory_Ledger!$D$2:$D$2001,$A29,Inventory_Ledger!$C$2:$C$2001,"Adjustment"))</f>
        <v/>
      </c>
      <c r="R29" s="51" t="str">
        <f>IF($A29="","",IF(ISNUMBER($H29),$H29,0)+$O29-$P29+$Q29)</f>
        <v/>
      </c>
      <c r="S29" s="50" t="str">
        <f>IF($A29="","",SUMIFS(Reservations!$L$2:$L$201,Reservations!$B$2:$B$201,$A29))</f>
        <v/>
      </c>
      <c r="T29" s="50" t="str">
        <f>IF($A29="","",SUMIFS(Batches!$P$2:$P$301,Batches!$B$2:$B$301,$A29))</f>
        <v/>
      </c>
      <c r="U29" s="51" t="str">
        <f>IF($A29="","",$R29-$S29-$T29)</f>
        <v/>
      </c>
      <c r="V29" s="50" t="str">
        <f>IF($A29="","",SUMIFS(Purchase_Orders!$N$2:$N$301,Purchase_Orders!$C$2:$C$301,$A29,Purchase_Orders!$O$2:$O$301,1))</f>
        <v/>
      </c>
      <c r="W29" s="51" t="str">
        <f>IF($A29="","",SUMIFS(Batches!$L$2:$L$301,Batches!$B$2:$B$301,$A29))</f>
        <v/>
      </c>
      <c r="X29" s="50" t="str">
        <f>IF($A29="","",SUMIFS(Batches!$F$2:$F$301,Batches!$B$2:$B$301,$A29))</f>
        <v/>
      </c>
      <c r="Y29" s="52" t="str">
        <f>IF($A29="","",IF(ISNUMBER($I29),IF(IF(Config!$B$9="Recorded",$R29,$U29)&lt;$I29,1,0),0))</f>
        <v/>
      </c>
      <c r="Z29" s="49" t="str">
        <f>IF($A29="","",IF($R29&lt;0,"Negative",IF($Y29=1,"Below reorder","OK")))</f>
        <v/>
      </c>
      <c r="AA29" s="53" t="str">
        <f>IF($A29="","",IF(ISNUMBER($G29),$R29*$G29,""))</f>
        <v/>
      </c>
      <c r="AB29" s="49" t="str">
        <f>IF(COUNTA($A29:$M29)=0,"",IF($A29="","Missing: SKU",IF(COUNTIF($A$2:$A$101,$A29)&gt;1,"Duplicate SKU",IF($B29="","Missing: product name",IF($C29="","Missing: category",IF($F29="","Missing: primary supplier",IF(NOT(ISNUMBER($H29)),"Missing: opening balance",IF(NOT(ISNUMBER($I29)),"Missing: reorder point",IF(NOT(ISNUMBER($J29)),"Missing: reorder qty",IF($L29="","Missing: status",IF(COUNTIF(Suppliers!$A$2:$A$51,$F29)=0,"Unknown supplier",IF(COUNTIF(Config!$N$15:$N$34,$C29)=0,"Unsupported category",IF(COUNTIF(Config!$O$15:$O$34,$L29)=0,"Unsupported status",IF($X29&lt;&gt;$H29,"Opening balance differs from lot openings",IF($W29&lt;&gt;$R29,"Lot balances differ from recorded stock",IF($R29&lt;0,"Negative recorded stock","OK"))))))))))))))))</f>
        <v/>
      </c>
      <c r="AC29" s="52" t="str">
        <f>IF($Y29=1,COUNTIF($Y$2:$Y29,1),"")</f>
        <v/>
      </c>
    </row>
    <row r="30">
      <c r="A30" s="46" t="n"/>
      <c r="B30" s="46" t="n"/>
      <c r="C30" s="46" t="n"/>
      <c r="D30" s="46" t="n"/>
      <c r="E30" s="46" t="n"/>
      <c r="F30" s="46" t="n"/>
      <c r="G30" s="47" t="n"/>
      <c r="H30" s="48" t="n"/>
      <c r="I30" s="48" t="n"/>
      <c r="J30" s="48" t="n"/>
      <c r="K30" s="48" t="n"/>
      <c r="L30" s="46" t="n"/>
      <c r="M30" s="46" t="n"/>
      <c r="N30" s="49" t="str">
        <f>IF($A30="","",IFERROR(INDEX(Suppliers!$B$2:$B$51,MATCH($F30,Suppliers!$A$2:$A$51,0))&amp;"","(not found)"))</f>
        <v/>
      </c>
      <c r="O30" s="50" t="str">
        <f>IF($A30="","",SUMIFS(Inventory_Ledger!$E$2:$E$2001,Inventory_Ledger!$D$2:$D$2001,$A30,Inventory_Ledger!$C$2:$C$2001,"Receipt"))</f>
        <v/>
      </c>
      <c r="P30" s="50" t="str">
        <f>IF($A30="","",SUMIFS(Inventory_Ledger!$E$2:$E$2001,Inventory_Ledger!$D$2:$D$2001,$A30,Inventory_Ledger!$C$2:$C$2001,"Shipment"))</f>
        <v/>
      </c>
      <c r="Q30" s="51" t="str">
        <f>IF($A30="","",SUMIFS(Inventory_Ledger!$E$2:$E$2001,Inventory_Ledger!$D$2:$D$2001,$A30,Inventory_Ledger!$C$2:$C$2001,"Adjustment"))</f>
        <v/>
      </c>
      <c r="R30" s="51" t="str">
        <f>IF($A30="","",IF(ISNUMBER($H30),$H30,0)+$O30-$P30+$Q30)</f>
        <v/>
      </c>
      <c r="S30" s="50" t="str">
        <f>IF($A30="","",SUMIFS(Reservations!$L$2:$L$201,Reservations!$B$2:$B$201,$A30))</f>
        <v/>
      </c>
      <c r="T30" s="50" t="str">
        <f>IF($A30="","",SUMIFS(Batches!$P$2:$P$301,Batches!$B$2:$B$301,$A30))</f>
        <v/>
      </c>
      <c r="U30" s="51" t="str">
        <f>IF($A30="","",$R30-$S30-$T30)</f>
        <v/>
      </c>
      <c r="V30" s="50" t="str">
        <f>IF($A30="","",SUMIFS(Purchase_Orders!$N$2:$N$301,Purchase_Orders!$C$2:$C$301,$A30,Purchase_Orders!$O$2:$O$301,1))</f>
        <v/>
      </c>
      <c r="W30" s="51" t="str">
        <f>IF($A30="","",SUMIFS(Batches!$L$2:$L$301,Batches!$B$2:$B$301,$A30))</f>
        <v/>
      </c>
      <c r="X30" s="50" t="str">
        <f>IF($A30="","",SUMIFS(Batches!$F$2:$F$301,Batches!$B$2:$B$301,$A30))</f>
        <v/>
      </c>
      <c r="Y30" s="52" t="str">
        <f>IF($A30="","",IF(ISNUMBER($I30),IF(IF(Config!$B$9="Recorded",$R30,$U30)&lt;$I30,1,0),0))</f>
        <v/>
      </c>
      <c r="Z30" s="49" t="str">
        <f>IF($A30="","",IF($R30&lt;0,"Negative",IF($Y30=1,"Below reorder","OK")))</f>
        <v/>
      </c>
      <c r="AA30" s="53" t="str">
        <f>IF($A30="","",IF(ISNUMBER($G30),$R30*$G30,""))</f>
        <v/>
      </c>
      <c r="AB30" s="49" t="str">
        <f>IF(COUNTA($A30:$M30)=0,"",IF($A30="","Missing: SKU",IF(COUNTIF($A$2:$A$101,$A30)&gt;1,"Duplicate SKU",IF($B30="","Missing: product name",IF($C30="","Missing: category",IF($F30="","Missing: primary supplier",IF(NOT(ISNUMBER($H30)),"Missing: opening balance",IF(NOT(ISNUMBER($I30)),"Missing: reorder point",IF(NOT(ISNUMBER($J30)),"Missing: reorder qty",IF($L30="","Missing: status",IF(COUNTIF(Suppliers!$A$2:$A$51,$F30)=0,"Unknown supplier",IF(COUNTIF(Config!$N$15:$N$34,$C30)=0,"Unsupported category",IF(COUNTIF(Config!$O$15:$O$34,$L30)=0,"Unsupported status",IF($X30&lt;&gt;$H30,"Opening balance differs from lot openings",IF($W30&lt;&gt;$R30,"Lot balances differ from recorded stock",IF($R30&lt;0,"Negative recorded stock","OK"))))))))))))))))</f>
        <v/>
      </c>
      <c r="AC30" s="52" t="str">
        <f>IF($Y30=1,COUNTIF($Y$2:$Y30,1),"")</f>
        <v/>
      </c>
    </row>
    <row r="31">
      <c r="A31" s="46" t="n"/>
      <c r="B31" s="46" t="n"/>
      <c r="C31" s="46" t="n"/>
      <c r="D31" s="46" t="n"/>
      <c r="E31" s="46" t="n"/>
      <c r="F31" s="46" t="n"/>
      <c r="G31" s="47" t="n"/>
      <c r="H31" s="48" t="n"/>
      <c r="I31" s="48" t="n"/>
      <c r="J31" s="48" t="n"/>
      <c r="K31" s="48" t="n"/>
      <c r="L31" s="46" t="n"/>
      <c r="M31" s="46" t="n"/>
      <c r="N31" s="49" t="str">
        <f>IF($A31="","",IFERROR(INDEX(Suppliers!$B$2:$B$51,MATCH($F31,Suppliers!$A$2:$A$51,0))&amp;"","(not found)"))</f>
        <v/>
      </c>
      <c r="O31" s="50" t="str">
        <f>IF($A31="","",SUMIFS(Inventory_Ledger!$E$2:$E$2001,Inventory_Ledger!$D$2:$D$2001,$A31,Inventory_Ledger!$C$2:$C$2001,"Receipt"))</f>
        <v/>
      </c>
      <c r="P31" s="50" t="str">
        <f>IF($A31="","",SUMIFS(Inventory_Ledger!$E$2:$E$2001,Inventory_Ledger!$D$2:$D$2001,$A31,Inventory_Ledger!$C$2:$C$2001,"Shipment"))</f>
        <v/>
      </c>
      <c r="Q31" s="51" t="str">
        <f>IF($A31="","",SUMIFS(Inventory_Ledger!$E$2:$E$2001,Inventory_Ledger!$D$2:$D$2001,$A31,Inventory_Ledger!$C$2:$C$2001,"Adjustment"))</f>
        <v/>
      </c>
      <c r="R31" s="51" t="str">
        <f>IF($A31="","",IF(ISNUMBER($H31),$H31,0)+$O31-$P31+$Q31)</f>
        <v/>
      </c>
      <c r="S31" s="50" t="str">
        <f>IF($A31="","",SUMIFS(Reservations!$L$2:$L$201,Reservations!$B$2:$B$201,$A31))</f>
        <v/>
      </c>
      <c r="T31" s="50" t="str">
        <f>IF($A31="","",SUMIFS(Batches!$P$2:$P$301,Batches!$B$2:$B$301,$A31))</f>
        <v/>
      </c>
      <c r="U31" s="51" t="str">
        <f>IF($A31="","",$R31-$S31-$T31)</f>
        <v/>
      </c>
      <c r="V31" s="50" t="str">
        <f>IF($A31="","",SUMIFS(Purchase_Orders!$N$2:$N$301,Purchase_Orders!$C$2:$C$301,$A31,Purchase_Orders!$O$2:$O$301,1))</f>
        <v/>
      </c>
      <c r="W31" s="51" t="str">
        <f>IF($A31="","",SUMIFS(Batches!$L$2:$L$301,Batches!$B$2:$B$301,$A31))</f>
        <v/>
      </c>
      <c r="X31" s="50" t="str">
        <f>IF($A31="","",SUMIFS(Batches!$F$2:$F$301,Batches!$B$2:$B$301,$A31))</f>
        <v/>
      </c>
      <c r="Y31" s="52" t="str">
        <f>IF($A31="","",IF(ISNUMBER($I31),IF(IF(Config!$B$9="Recorded",$R31,$U31)&lt;$I31,1,0),0))</f>
        <v/>
      </c>
      <c r="Z31" s="49" t="str">
        <f>IF($A31="","",IF($R31&lt;0,"Negative",IF($Y31=1,"Below reorder","OK")))</f>
        <v/>
      </c>
      <c r="AA31" s="53" t="str">
        <f>IF($A31="","",IF(ISNUMBER($G31),$R31*$G31,""))</f>
        <v/>
      </c>
      <c r="AB31" s="49" t="str">
        <f>IF(COUNTA($A31:$M31)=0,"",IF($A31="","Missing: SKU",IF(COUNTIF($A$2:$A$101,$A31)&gt;1,"Duplicate SKU",IF($B31="","Missing: product name",IF($C31="","Missing: category",IF($F31="","Missing: primary supplier",IF(NOT(ISNUMBER($H31)),"Missing: opening balance",IF(NOT(ISNUMBER($I31)),"Missing: reorder point",IF(NOT(ISNUMBER($J31)),"Missing: reorder qty",IF($L31="","Missing: status",IF(COUNTIF(Suppliers!$A$2:$A$51,$F31)=0,"Unknown supplier",IF(COUNTIF(Config!$N$15:$N$34,$C31)=0,"Unsupported category",IF(COUNTIF(Config!$O$15:$O$34,$L31)=0,"Unsupported status",IF($X31&lt;&gt;$H31,"Opening balance differs from lot openings",IF($W31&lt;&gt;$R31,"Lot balances differ from recorded stock",IF($R31&lt;0,"Negative recorded stock","OK"))))))))))))))))</f>
        <v/>
      </c>
      <c r="AC31" s="52" t="str">
        <f>IF($Y31=1,COUNTIF($Y$2:$Y31,1),"")</f>
        <v/>
      </c>
    </row>
    <row r="32">
      <c r="A32" s="46" t="n"/>
      <c r="B32" s="46" t="n"/>
      <c r="C32" s="46" t="n"/>
      <c r="D32" s="46" t="n"/>
      <c r="E32" s="46" t="n"/>
      <c r="F32" s="46" t="n"/>
      <c r="G32" s="47" t="n"/>
      <c r="H32" s="48" t="n"/>
      <c r="I32" s="48" t="n"/>
      <c r="J32" s="48" t="n"/>
      <c r="K32" s="48" t="n"/>
      <c r="L32" s="46" t="n"/>
      <c r="M32" s="46" t="n"/>
      <c r="N32" s="49" t="str">
        <f>IF($A32="","",IFERROR(INDEX(Suppliers!$B$2:$B$51,MATCH($F32,Suppliers!$A$2:$A$51,0))&amp;"","(not found)"))</f>
        <v/>
      </c>
      <c r="O32" s="50" t="str">
        <f>IF($A32="","",SUMIFS(Inventory_Ledger!$E$2:$E$2001,Inventory_Ledger!$D$2:$D$2001,$A32,Inventory_Ledger!$C$2:$C$2001,"Receipt"))</f>
        <v/>
      </c>
      <c r="P32" s="50" t="str">
        <f>IF($A32="","",SUMIFS(Inventory_Ledger!$E$2:$E$2001,Inventory_Ledger!$D$2:$D$2001,$A32,Inventory_Ledger!$C$2:$C$2001,"Shipment"))</f>
        <v/>
      </c>
      <c r="Q32" s="51" t="str">
        <f>IF($A32="","",SUMIFS(Inventory_Ledger!$E$2:$E$2001,Inventory_Ledger!$D$2:$D$2001,$A32,Inventory_Ledger!$C$2:$C$2001,"Adjustment"))</f>
        <v/>
      </c>
      <c r="R32" s="51" t="str">
        <f>IF($A32="","",IF(ISNUMBER($H32),$H32,0)+$O32-$P32+$Q32)</f>
        <v/>
      </c>
      <c r="S32" s="50" t="str">
        <f>IF($A32="","",SUMIFS(Reservations!$L$2:$L$201,Reservations!$B$2:$B$201,$A32))</f>
        <v/>
      </c>
      <c r="T32" s="50" t="str">
        <f>IF($A32="","",SUMIFS(Batches!$P$2:$P$301,Batches!$B$2:$B$301,$A32))</f>
        <v/>
      </c>
      <c r="U32" s="51" t="str">
        <f>IF($A32="","",$R32-$S32-$T32)</f>
        <v/>
      </c>
      <c r="V32" s="50" t="str">
        <f>IF($A32="","",SUMIFS(Purchase_Orders!$N$2:$N$301,Purchase_Orders!$C$2:$C$301,$A32,Purchase_Orders!$O$2:$O$301,1))</f>
        <v/>
      </c>
      <c r="W32" s="51" t="str">
        <f>IF($A32="","",SUMIFS(Batches!$L$2:$L$301,Batches!$B$2:$B$301,$A32))</f>
        <v/>
      </c>
      <c r="X32" s="50" t="str">
        <f>IF($A32="","",SUMIFS(Batches!$F$2:$F$301,Batches!$B$2:$B$301,$A32))</f>
        <v/>
      </c>
      <c r="Y32" s="52" t="str">
        <f>IF($A32="","",IF(ISNUMBER($I32),IF(IF(Config!$B$9="Recorded",$R32,$U32)&lt;$I32,1,0),0))</f>
        <v/>
      </c>
      <c r="Z32" s="49" t="str">
        <f>IF($A32="","",IF($R32&lt;0,"Negative",IF($Y32=1,"Below reorder","OK")))</f>
        <v/>
      </c>
      <c r="AA32" s="53" t="str">
        <f>IF($A32="","",IF(ISNUMBER($G32),$R32*$G32,""))</f>
        <v/>
      </c>
      <c r="AB32" s="49" t="str">
        <f>IF(COUNTA($A32:$M32)=0,"",IF($A32="","Missing: SKU",IF(COUNTIF($A$2:$A$101,$A32)&gt;1,"Duplicate SKU",IF($B32="","Missing: product name",IF($C32="","Missing: category",IF($F32="","Missing: primary supplier",IF(NOT(ISNUMBER($H32)),"Missing: opening balance",IF(NOT(ISNUMBER($I32)),"Missing: reorder point",IF(NOT(ISNUMBER($J32)),"Missing: reorder qty",IF($L32="","Missing: status",IF(COUNTIF(Suppliers!$A$2:$A$51,$F32)=0,"Unknown supplier",IF(COUNTIF(Config!$N$15:$N$34,$C32)=0,"Unsupported category",IF(COUNTIF(Config!$O$15:$O$34,$L32)=0,"Unsupported status",IF($X32&lt;&gt;$H32,"Opening balance differs from lot openings",IF($W32&lt;&gt;$R32,"Lot balances differ from recorded stock",IF($R32&lt;0,"Negative recorded stock","OK"))))))))))))))))</f>
        <v/>
      </c>
      <c r="AC32" s="52" t="str">
        <f>IF($Y32=1,COUNTIF($Y$2:$Y32,1),"")</f>
        <v/>
      </c>
    </row>
    <row r="33">
      <c r="A33" s="46" t="n"/>
      <c r="B33" s="46" t="n"/>
      <c r="C33" s="46" t="n"/>
      <c r="D33" s="46" t="n"/>
      <c r="E33" s="46" t="n"/>
      <c r="F33" s="46" t="n"/>
      <c r="G33" s="47" t="n"/>
      <c r="H33" s="48" t="n"/>
      <c r="I33" s="48" t="n"/>
      <c r="J33" s="48" t="n"/>
      <c r="K33" s="48" t="n"/>
      <c r="L33" s="46" t="n"/>
      <c r="M33" s="46" t="n"/>
      <c r="N33" s="49" t="str">
        <f>IF($A33="","",IFERROR(INDEX(Suppliers!$B$2:$B$51,MATCH($F33,Suppliers!$A$2:$A$51,0))&amp;"","(not found)"))</f>
        <v/>
      </c>
      <c r="O33" s="50" t="str">
        <f>IF($A33="","",SUMIFS(Inventory_Ledger!$E$2:$E$2001,Inventory_Ledger!$D$2:$D$2001,$A33,Inventory_Ledger!$C$2:$C$2001,"Receipt"))</f>
        <v/>
      </c>
      <c r="P33" s="50" t="str">
        <f>IF($A33="","",SUMIFS(Inventory_Ledger!$E$2:$E$2001,Inventory_Ledger!$D$2:$D$2001,$A33,Inventory_Ledger!$C$2:$C$2001,"Shipment"))</f>
        <v/>
      </c>
      <c r="Q33" s="51" t="str">
        <f>IF($A33="","",SUMIFS(Inventory_Ledger!$E$2:$E$2001,Inventory_Ledger!$D$2:$D$2001,$A33,Inventory_Ledger!$C$2:$C$2001,"Adjustment"))</f>
        <v/>
      </c>
      <c r="R33" s="51" t="str">
        <f>IF($A33="","",IF(ISNUMBER($H33),$H33,0)+$O33-$P33+$Q33)</f>
        <v/>
      </c>
      <c r="S33" s="50" t="str">
        <f>IF($A33="","",SUMIFS(Reservations!$L$2:$L$201,Reservations!$B$2:$B$201,$A33))</f>
        <v/>
      </c>
      <c r="T33" s="50" t="str">
        <f>IF($A33="","",SUMIFS(Batches!$P$2:$P$301,Batches!$B$2:$B$301,$A33))</f>
        <v/>
      </c>
      <c r="U33" s="51" t="str">
        <f>IF($A33="","",$R33-$S33-$T33)</f>
        <v/>
      </c>
      <c r="V33" s="50" t="str">
        <f>IF($A33="","",SUMIFS(Purchase_Orders!$N$2:$N$301,Purchase_Orders!$C$2:$C$301,$A33,Purchase_Orders!$O$2:$O$301,1))</f>
        <v/>
      </c>
      <c r="W33" s="51" t="str">
        <f>IF($A33="","",SUMIFS(Batches!$L$2:$L$301,Batches!$B$2:$B$301,$A33))</f>
        <v/>
      </c>
      <c r="X33" s="50" t="str">
        <f>IF($A33="","",SUMIFS(Batches!$F$2:$F$301,Batches!$B$2:$B$301,$A33))</f>
        <v/>
      </c>
      <c r="Y33" s="52" t="str">
        <f>IF($A33="","",IF(ISNUMBER($I33),IF(IF(Config!$B$9="Recorded",$R33,$U33)&lt;$I33,1,0),0))</f>
        <v/>
      </c>
      <c r="Z33" s="49" t="str">
        <f>IF($A33="","",IF($R33&lt;0,"Negative",IF($Y33=1,"Below reorder","OK")))</f>
        <v/>
      </c>
      <c r="AA33" s="53" t="str">
        <f>IF($A33="","",IF(ISNUMBER($G33),$R33*$G33,""))</f>
        <v/>
      </c>
      <c r="AB33" s="49" t="str">
        <f>IF(COUNTA($A33:$M33)=0,"",IF($A33="","Missing: SKU",IF(COUNTIF($A$2:$A$101,$A33)&gt;1,"Duplicate SKU",IF($B33="","Missing: product name",IF($C33="","Missing: category",IF($F33="","Missing: primary supplier",IF(NOT(ISNUMBER($H33)),"Missing: opening balance",IF(NOT(ISNUMBER($I33)),"Missing: reorder point",IF(NOT(ISNUMBER($J33)),"Missing: reorder qty",IF($L33="","Missing: status",IF(COUNTIF(Suppliers!$A$2:$A$51,$F33)=0,"Unknown supplier",IF(COUNTIF(Config!$N$15:$N$34,$C33)=0,"Unsupported category",IF(COUNTIF(Config!$O$15:$O$34,$L33)=0,"Unsupported status",IF($X33&lt;&gt;$H33,"Opening balance differs from lot openings",IF($W33&lt;&gt;$R33,"Lot balances differ from recorded stock",IF($R33&lt;0,"Negative recorded stock","OK"))))))))))))))))</f>
        <v/>
      </c>
      <c r="AC33" s="52" t="str">
        <f>IF($Y33=1,COUNTIF($Y$2:$Y33,1),"")</f>
        <v/>
      </c>
    </row>
    <row r="34">
      <c r="A34" s="46" t="n"/>
      <c r="B34" s="46" t="n"/>
      <c r="C34" s="46" t="n"/>
      <c r="D34" s="46" t="n"/>
      <c r="E34" s="46" t="n"/>
      <c r="F34" s="46" t="n"/>
      <c r="G34" s="47" t="n"/>
      <c r="H34" s="48" t="n"/>
      <c r="I34" s="48" t="n"/>
      <c r="J34" s="48" t="n"/>
      <c r="K34" s="48" t="n"/>
      <c r="L34" s="46" t="n"/>
      <c r="M34" s="46" t="n"/>
      <c r="N34" s="49" t="str">
        <f>IF($A34="","",IFERROR(INDEX(Suppliers!$B$2:$B$51,MATCH($F34,Suppliers!$A$2:$A$51,0))&amp;"","(not found)"))</f>
        <v/>
      </c>
      <c r="O34" s="50" t="str">
        <f>IF($A34="","",SUMIFS(Inventory_Ledger!$E$2:$E$2001,Inventory_Ledger!$D$2:$D$2001,$A34,Inventory_Ledger!$C$2:$C$2001,"Receipt"))</f>
        <v/>
      </c>
      <c r="P34" s="50" t="str">
        <f>IF($A34="","",SUMIFS(Inventory_Ledger!$E$2:$E$2001,Inventory_Ledger!$D$2:$D$2001,$A34,Inventory_Ledger!$C$2:$C$2001,"Shipment"))</f>
        <v/>
      </c>
      <c r="Q34" s="51" t="str">
        <f>IF($A34="","",SUMIFS(Inventory_Ledger!$E$2:$E$2001,Inventory_Ledger!$D$2:$D$2001,$A34,Inventory_Ledger!$C$2:$C$2001,"Adjustment"))</f>
        <v/>
      </c>
      <c r="R34" s="51" t="str">
        <f>IF($A34="","",IF(ISNUMBER($H34),$H34,0)+$O34-$P34+$Q34)</f>
        <v/>
      </c>
      <c r="S34" s="50" t="str">
        <f>IF($A34="","",SUMIFS(Reservations!$L$2:$L$201,Reservations!$B$2:$B$201,$A34))</f>
        <v/>
      </c>
      <c r="T34" s="50" t="str">
        <f>IF($A34="","",SUMIFS(Batches!$P$2:$P$301,Batches!$B$2:$B$301,$A34))</f>
        <v/>
      </c>
      <c r="U34" s="51" t="str">
        <f>IF($A34="","",$R34-$S34-$T34)</f>
        <v/>
      </c>
      <c r="V34" s="50" t="str">
        <f>IF($A34="","",SUMIFS(Purchase_Orders!$N$2:$N$301,Purchase_Orders!$C$2:$C$301,$A34,Purchase_Orders!$O$2:$O$301,1))</f>
        <v/>
      </c>
      <c r="W34" s="51" t="str">
        <f>IF($A34="","",SUMIFS(Batches!$L$2:$L$301,Batches!$B$2:$B$301,$A34))</f>
        <v/>
      </c>
      <c r="X34" s="50" t="str">
        <f>IF($A34="","",SUMIFS(Batches!$F$2:$F$301,Batches!$B$2:$B$301,$A34))</f>
        <v/>
      </c>
      <c r="Y34" s="52" t="str">
        <f>IF($A34="","",IF(ISNUMBER($I34),IF(IF(Config!$B$9="Recorded",$R34,$U34)&lt;$I34,1,0),0))</f>
        <v/>
      </c>
      <c r="Z34" s="49" t="str">
        <f>IF($A34="","",IF($R34&lt;0,"Negative",IF($Y34=1,"Below reorder","OK")))</f>
        <v/>
      </c>
      <c r="AA34" s="53" t="str">
        <f>IF($A34="","",IF(ISNUMBER($G34),$R34*$G34,""))</f>
        <v/>
      </c>
      <c r="AB34" s="49" t="str">
        <f>IF(COUNTA($A34:$M34)=0,"",IF($A34="","Missing: SKU",IF(COUNTIF($A$2:$A$101,$A34)&gt;1,"Duplicate SKU",IF($B34="","Missing: product name",IF($C34="","Missing: category",IF($F34="","Missing: primary supplier",IF(NOT(ISNUMBER($H34)),"Missing: opening balance",IF(NOT(ISNUMBER($I34)),"Missing: reorder point",IF(NOT(ISNUMBER($J34)),"Missing: reorder qty",IF($L34="","Missing: status",IF(COUNTIF(Suppliers!$A$2:$A$51,$F34)=0,"Unknown supplier",IF(COUNTIF(Config!$N$15:$N$34,$C34)=0,"Unsupported category",IF(COUNTIF(Config!$O$15:$O$34,$L34)=0,"Unsupported status",IF($X34&lt;&gt;$H34,"Opening balance differs from lot openings",IF($W34&lt;&gt;$R34,"Lot balances differ from recorded stock",IF($R34&lt;0,"Negative recorded stock","OK"))))))))))))))))</f>
        <v/>
      </c>
      <c r="AC34" s="52" t="str">
        <f>IF($Y34=1,COUNTIF($Y$2:$Y34,1),"")</f>
        <v/>
      </c>
    </row>
    <row r="35">
      <c r="A35" s="46" t="n"/>
      <c r="B35" s="46" t="n"/>
      <c r="C35" s="46" t="n"/>
      <c r="D35" s="46" t="n"/>
      <c r="E35" s="46" t="n"/>
      <c r="F35" s="46" t="n"/>
      <c r="G35" s="47" t="n"/>
      <c r="H35" s="48" t="n"/>
      <c r="I35" s="48" t="n"/>
      <c r="J35" s="48" t="n"/>
      <c r="K35" s="48" t="n"/>
      <c r="L35" s="46" t="n"/>
      <c r="M35" s="46" t="n"/>
      <c r="N35" s="49" t="str">
        <f>IF($A35="","",IFERROR(INDEX(Suppliers!$B$2:$B$51,MATCH($F35,Suppliers!$A$2:$A$51,0))&amp;"","(not found)"))</f>
        <v/>
      </c>
      <c r="O35" s="50" t="str">
        <f>IF($A35="","",SUMIFS(Inventory_Ledger!$E$2:$E$2001,Inventory_Ledger!$D$2:$D$2001,$A35,Inventory_Ledger!$C$2:$C$2001,"Receipt"))</f>
        <v/>
      </c>
      <c r="P35" s="50" t="str">
        <f>IF($A35="","",SUMIFS(Inventory_Ledger!$E$2:$E$2001,Inventory_Ledger!$D$2:$D$2001,$A35,Inventory_Ledger!$C$2:$C$2001,"Shipment"))</f>
        <v/>
      </c>
      <c r="Q35" s="51" t="str">
        <f>IF($A35="","",SUMIFS(Inventory_Ledger!$E$2:$E$2001,Inventory_Ledger!$D$2:$D$2001,$A35,Inventory_Ledger!$C$2:$C$2001,"Adjustment"))</f>
        <v/>
      </c>
      <c r="R35" s="51" t="str">
        <f>IF($A35="","",IF(ISNUMBER($H35),$H35,0)+$O35-$P35+$Q35)</f>
        <v/>
      </c>
      <c r="S35" s="50" t="str">
        <f>IF($A35="","",SUMIFS(Reservations!$L$2:$L$201,Reservations!$B$2:$B$201,$A35))</f>
        <v/>
      </c>
      <c r="T35" s="50" t="str">
        <f>IF($A35="","",SUMIFS(Batches!$P$2:$P$301,Batches!$B$2:$B$301,$A35))</f>
        <v/>
      </c>
      <c r="U35" s="51" t="str">
        <f>IF($A35="","",$R35-$S35-$T35)</f>
        <v/>
      </c>
      <c r="V35" s="50" t="str">
        <f>IF($A35="","",SUMIFS(Purchase_Orders!$N$2:$N$301,Purchase_Orders!$C$2:$C$301,$A35,Purchase_Orders!$O$2:$O$301,1))</f>
        <v/>
      </c>
      <c r="W35" s="51" t="str">
        <f>IF($A35="","",SUMIFS(Batches!$L$2:$L$301,Batches!$B$2:$B$301,$A35))</f>
        <v/>
      </c>
      <c r="X35" s="50" t="str">
        <f>IF($A35="","",SUMIFS(Batches!$F$2:$F$301,Batches!$B$2:$B$301,$A35))</f>
        <v/>
      </c>
      <c r="Y35" s="52" t="str">
        <f>IF($A35="","",IF(ISNUMBER($I35),IF(IF(Config!$B$9="Recorded",$R35,$U35)&lt;$I35,1,0),0))</f>
        <v/>
      </c>
      <c r="Z35" s="49" t="str">
        <f>IF($A35="","",IF($R35&lt;0,"Negative",IF($Y35=1,"Below reorder","OK")))</f>
        <v/>
      </c>
      <c r="AA35" s="53" t="str">
        <f>IF($A35="","",IF(ISNUMBER($G35),$R35*$G35,""))</f>
        <v/>
      </c>
      <c r="AB35" s="49" t="str">
        <f>IF(COUNTA($A35:$M35)=0,"",IF($A35="","Missing: SKU",IF(COUNTIF($A$2:$A$101,$A35)&gt;1,"Duplicate SKU",IF($B35="","Missing: product name",IF($C35="","Missing: category",IF($F35="","Missing: primary supplier",IF(NOT(ISNUMBER($H35)),"Missing: opening balance",IF(NOT(ISNUMBER($I35)),"Missing: reorder point",IF(NOT(ISNUMBER($J35)),"Missing: reorder qty",IF($L35="","Missing: status",IF(COUNTIF(Suppliers!$A$2:$A$51,$F35)=0,"Unknown supplier",IF(COUNTIF(Config!$N$15:$N$34,$C35)=0,"Unsupported category",IF(COUNTIF(Config!$O$15:$O$34,$L35)=0,"Unsupported status",IF($X35&lt;&gt;$H35,"Opening balance differs from lot openings",IF($W35&lt;&gt;$R35,"Lot balances differ from recorded stock",IF($R35&lt;0,"Negative recorded stock","OK"))))))))))))))))</f>
        <v/>
      </c>
      <c r="AC35" s="52" t="str">
        <f>IF($Y35=1,COUNTIF($Y$2:$Y35,1),"")</f>
        <v/>
      </c>
    </row>
    <row r="36">
      <c r="A36" s="46" t="n"/>
      <c r="B36" s="46" t="n"/>
      <c r="C36" s="46" t="n"/>
      <c r="D36" s="46" t="n"/>
      <c r="E36" s="46" t="n"/>
      <c r="F36" s="46" t="n"/>
      <c r="G36" s="47" t="n"/>
      <c r="H36" s="48" t="n"/>
      <c r="I36" s="48" t="n"/>
      <c r="J36" s="48" t="n"/>
      <c r="K36" s="48" t="n"/>
      <c r="L36" s="46" t="n"/>
      <c r="M36" s="46" t="n"/>
      <c r="N36" s="49" t="str">
        <f>IF($A36="","",IFERROR(INDEX(Suppliers!$B$2:$B$51,MATCH($F36,Suppliers!$A$2:$A$51,0))&amp;"","(not found)"))</f>
        <v/>
      </c>
      <c r="O36" s="50" t="str">
        <f>IF($A36="","",SUMIFS(Inventory_Ledger!$E$2:$E$2001,Inventory_Ledger!$D$2:$D$2001,$A36,Inventory_Ledger!$C$2:$C$2001,"Receipt"))</f>
        <v/>
      </c>
      <c r="P36" s="50" t="str">
        <f>IF($A36="","",SUMIFS(Inventory_Ledger!$E$2:$E$2001,Inventory_Ledger!$D$2:$D$2001,$A36,Inventory_Ledger!$C$2:$C$2001,"Shipment"))</f>
        <v/>
      </c>
      <c r="Q36" s="51" t="str">
        <f>IF($A36="","",SUMIFS(Inventory_Ledger!$E$2:$E$2001,Inventory_Ledger!$D$2:$D$2001,$A36,Inventory_Ledger!$C$2:$C$2001,"Adjustment"))</f>
        <v/>
      </c>
      <c r="R36" s="51" t="str">
        <f>IF($A36="","",IF(ISNUMBER($H36),$H36,0)+$O36-$P36+$Q36)</f>
        <v/>
      </c>
      <c r="S36" s="50" t="str">
        <f>IF($A36="","",SUMIFS(Reservations!$L$2:$L$201,Reservations!$B$2:$B$201,$A36))</f>
        <v/>
      </c>
      <c r="T36" s="50" t="str">
        <f>IF($A36="","",SUMIFS(Batches!$P$2:$P$301,Batches!$B$2:$B$301,$A36))</f>
        <v/>
      </c>
      <c r="U36" s="51" t="str">
        <f>IF($A36="","",$R36-$S36-$T36)</f>
        <v/>
      </c>
      <c r="V36" s="50" t="str">
        <f>IF($A36="","",SUMIFS(Purchase_Orders!$N$2:$N$301,Purchase_Orders!$C$2:$C$301,$A36,Purchase_Orders!$O$2:$O$301,1))</f>
        <v/>
      </c>
      <c r="W36" s="51" t="str">
        <f>IF($A36="","",SUMIFS(Batches!$L$2:$L$301,Batches!$B$2:$B$301,$A36))</f>
        <v/>
      </c>
      <c r="X36" s="50" t="str">
        <f>IF($A36="","",SUMIFS(Batches!$F$2:$F$301,Batches!$B$2:$B$301,$A36))</f>
        <v/>
      </c>
      <c r="Y36" s="52" t="str">
        <f>IF($A36="","",IF(ISNUMBER($I36),IF(IF(Config!$B$9="Recorded",$R36,$U36)&lt;$I36,1,0),0))</f>
        <v/>
      </c>
      <c r="Z36" s="49" t="str">
        <f>IF($A36="","",IF($R36&lt;0,"Negative",IF($Y36=1,"Below reorder","OK")))</f>
        <v/>
      </c>
      <c r="AA36" s="53" t="str">
        <f>IF($A36="","",IF(ISNUMBER($G36),$R36*$G36,""))</f>
        <v/>
      </c>
      <c r="AB36" s="49" t="str">
        <f>IF(COUNTA($A36:$M36)=0,"",IF($A36="","Missing: SKU",IF(COUNTIF($A$2:$A$101,$A36)&gt;1,"Duplicate SKU",IF($B36="","Missing: product name",IF($C36="","Missing: category",IF($F36="","Missing: primary supplier",IF(NOT(ISNUMBER($H36)),"Missing: opening balance",IF(NOT(ISNUMBER($I36)),"Missing: reorder point",IF(NOT(ISNUMBER($J36)),"Missing: reorder qty",IF($L36="","Missing: status",IF(COUNTIF(Suppliers!$A$2:$A$51,$F36)=0,"Unknown supplier",IF(COUNTIF(Config!$N$15:$N$34,$C36)=0,"Unsupported category",IF(COUNTIF(Config!$O$15:$O$34,$L36)=0,"Unsupported status",IF($X36&lt;&gt;$H36,"Opening balance differs from lot openings",IF($W36&lt;&gt;$R36,"Lot balances differ from recorded stock",IF($R36&lt;0,"Negative recorded stock","OK"))))))))))))))))</f>
        <v/>
      </c>
      <c r="AC36" s="52" t="str">
        <f>IF($Y36=1,COUNTIF($Y$2:$Y36,1),"")</f>
        <v/>
      </c>
    </row>
    <row r="37">
      <c r="A37" s="46" t="n"/>
      <c r="B37" s="46" t="n"/>
      <c r="C37" s="46" t="n"/>
      <c r="D37" s="46" t="n"/>
      <c r="E37" s="46" t="n"/>
      <c r="F37" s="46" t="n"/>
      <c r="G37" s="47" t="n"/>
      <c r="H37" s="48" t="n"/>
      <c r="I37" s="48" t="n"/>
      <c r="J37" s="48" t="n"/>
      <c r="K37" s="48" t="n"/>
      <c r="L37" s="46" t="n"/>
      <c r="M37" s="46" t="n"/>
      <c r="N37" s="49" t="str">
        <f>IF($A37="","",IFERROR(INDEX(Suppliers!$B$2:$B$51,MATCH($F37,Suppliers!$A$2:$A$51,0))&amp;"","(not found)"))</f>
        <v/>
      </c>
      <c r="O37" s="50" t="str">
        <f>IF($A37="","",SUMIFS(Inventory_Ledger!$E$2:$E$2001,Inventory_Ledger!$D$2:$D$2001,$A37,Inventory_Ledger!$C$2:$C$2001,"Receipt"))</f>
        <v/>
      </c>
      <c r="P37" s="50" t="str">
        <f>IF($A37="","",SUMIFS(Inventory_Ledger!$E$2:$E$2001,Inventory_Ledger!$D$2:$D$2001,$A37,Inventory_Ledger!$C$2:$C$2001,"Shipment"))</f>
        <v/>
      </c>
      <c r="Q37" s="51" t="str">
        <f>IF($A37="","",SUMIFS(Inventory_Ledger!$E$2:$E$2001,Inventory_Ledger!$D$2:$D$2001,$A37,Inventory_Ledger!$C$2:$C$2001,"Adjustment"))</f>
        <v/>
      </c>
      <c r="R37" s="51" t="str">
        <f>IF($A37="","",IF(ISNUMBER($H37),$H37,0)+$O37-$P37+$Q37)</f>
        <v/>
      </c>
      <c r="S37" s="50" t="str">
        <f>IF($A37="","",SUMIFS(Reservations!$L$2:$L$201,Reservations!$B$2:$B$201,$A37))</f>
        <v/>
      </c>
      <c r="T37" s="50" t="str">
        <f>IF($A37="","",SUMIFS(Batches!$P$2:$P$301,Batches!$B$2:$B$301,$A37))</f>
        <v/>
      </c>
      <c r="U37" s="51" t="str">
        <f>IF($A37="","",$R37-$S37-$T37)</f>
        <v/>
      </c>
      <c r="V37" s="50" t="str">
        <f>IF($A37="","",SUMIFS(Purchase_Orders!$N$2:$N$301,Purchase_Orders!$C$2:$C$301,$A37,Purchase_Orders!$O$2:$O$301,1))</f>
        <v/>
      </c>
      <c r="W37" s="51" t="str">
        <f>IF($A37="","",SUMIFS(Batches!$L$2:$L$301,Batches!$B$2:$B$301,$A37))</f>
        <v/>
      </c>
      <c r="X37" s="50" t="str">
        <f>IF($A37="","",SUMIFS(Batches!$F$2:$F$301,Batches!$B$2:$B$301,$A37))</f>
        <v/>
      </c>
      <c r="Y37" s="52" t="str">
        <f>IF($A37="","",IF(ISNUMBER($I37),IF(IF(Config!$B$9="Recorded",$R37,$U37)&lt;$I37,1,0),0))</f>
        <v/>
      </c>
      <c r="Z37" s="49" t="str">
        <f>IF($A37="","",IF($R37&lt;0,"Negative",IF($Y37=1,"Below reorder","OK")))</f>
        <v/>
      </c>
      <c r="AA37" s="53" t="str">
        <f>IF($A37="","",IF(ISNUMBER($G37),$R37*$G37,""))</f>
        <v/>
      </c>
      <c r="AB37" s="49" t="str">
        <f>IF(COUNTA($A37:$M37)=0,"",IF($A37="","Missing: SKU",IF(COUNTIF($A$2:$A$101,$A37)&gt;1,"Duplicate SKU",IF($B37="","Missing: product name",IF($C37="","Missing: category",IF($F37="","Missing: primary supplier",IF(NOT(ISNUMBER($H37)),"Missing: opening balance",IF(NOT(ISNUMBER($I37)),"Missing: reorder point",IF(NOT(ISNUMBER($J37)),"Missing: reorder qty",IF($L37="","Missing: status",IF(COUNTIF(Suppliers!$A$2:$A$51,$F37)=0,"Unknown supplier",IF(COUNTIF(Config!$N$15:$N$34,$C37)=0,"Unsupported category",IF(COUNTIF(Config!$O$15:$O$34,$L37)=0,"Unsupported status",IF($X37&lt;&gt;$H37,"Opening balance differs from lot openings",IF($W37&lt;&gt;$R37,"Lot balances differ from recorded stock",IF($R37&lt;0,"Negative recorded stock","OK"))))))))))))))))</f>
        <v/>
      </c>
      <c r="AC37" s="52" t="str">
        <f>IF($Y37=1,COUNTIF($Y$2:$Y37,1),"")</f>
        <v/>
      </c>
    </row>
    <row r="38">
      <c r="A38" s="46" t="n"/>
      <c r="B38" s="46" t="n"/>
      <c r="C38" s="46" t="n"/>
      <c r="D38" s="46" t="n"/>
      <c r="E38" s="46" t="n"/>
      <c r="F38" s="46" t="n"/>
      <c r="G38" s="47" t="n"/>
      <c r="H38" s="48" t="n"/>
      <c r="I38" s="48" t="n"/>
      <c r="J38" s="48" t="n"/>
      <c r="K38" s="48" t="n"/>
      <c r="L38" s="46" t="n"/>
      <c r="M38" s="46" t="n"/>
      <c r="N38" s="49" t="str">
        <f>IF($A38="","",IFERROR(INDEX(Suppliers!$B$2:$B$51,MATCH($F38,Suppliers!$A$2:$A$51,0))&amp;"","(not found)"))</f>
        <v/>
      </c>
      <c r="O38" s="50" t="str">
        <f>IF($A38="","",SUMIFS(Inventory_Ledger!$E$2:$E$2001,Inventory_Ledger!$D$2:$D$2001,$A38,Inventory_Ledger!$C$2:$C$2001,"Receipt"))</f>
        <v/>
      </c>
      <c r="P38" s="50" t="str">
        <f>IF($A38="","",SUMIFS(Inventory_Ledger!$E$2:$E$2001,Inventory_Ledger!$D$2:$D$2001,$A38,Inventory_Ledger!$C$2:$C$2001,"Shipment"))</f>
        <v/>
      </c>
      <c r="Q38" s="51" t="str">
        <f>IF($A38="","",SUMIFS(Inventory_Ledger!$E$2:$E$2001,Inventory_Ledger!$D$2:$D$2001,$A38,Inventory_Ledger!$C$2:$C$2001,"Adjustment"))</f>
        <v/>
      </c>
      <c r="R38" s="51" t="str">
        <f>IF($A38="","",IF(ISNUMBER($H38),$H38,0)+$O38-$P38+$Q38)</f>
        <v/>
      </c>
      <c r="S38" s="50" t="str">
        <f>IF($A38="","",SUMIFS(Reservations!$L$2:$L$201,Reservations!$B$2:$B$201,$A38))</f>
        <v/>
      </c>
      <c r="T38" s="50" t="str">
        <f>IF($A38="","",SUMIFS(Batches!$P$2:$P$301,Batches!$B$2:$B$301,$A38))</f>
        <v/>
      </c>
      <c r="U38" s="51" t="str">
        <f>IF($A38="","",$R38-$S38-$T38)</f>
        <v/>
      </c>
      <c r="V38" s="50" t="str">
        <f>IF($A38="","",SUMIFS(Purchase_Orders!$N$2:$N$301,Purchase_Orders!$C$2:$C$301,$A38,Purchase_Orders!$O$2:$O$301,1))</f>
        <v/>
      </c>
      <c r="W38" s="51" t="str">
        <f>IF($A38="","",SUMIFS(Batches!$L$2:$L$301,Batches!$B$2:$B$301,$A38))</f>
        <v/>
      </c>
      <c r="X38" s="50" t="str">
        <f>IF($A38="","",SUMIFS(Batches!$F$2:$F$301,Batches!$B$2:$B$301,$A38))</f>
        <v/>
      </c>
      <c r="Y38" s="52" t="str">
        <f>IF($A38="","",IF(ISNUMBER($I38),IF(IF(Config!$B$9="Recorded",$R38,$U38)&lt;$I38,1,0),0))</f>
        <v/>
      </c>
      <c r="Z38" s="49" t="str">
        <f>IF($A38="","",IF($R38&lt;0,"Negative",IF($Y38=1,"Below reorder","OK")))</f>
        <v/>
      </c>
      <c r="AA38" s="53" t="str">
        <f>IF($A38="","",IF(ISNUMBER($G38),$R38*$G38,""))</f>
        <v/>
      </c>
      <c r="AB38" s="49" t="str">
        <f>IF(COUNTA($A38:$M38)=0,"",IF($A38="","Missing: SKU",IF(COUNTIF($A$2:$A$101,$A38)&gt;1,"Duplicate SKU",IF($B38="","Missing: product name",IF($C38="","Missing: category",IF($F38="","Missing: primary supplier",IF(NOT(ISNUMBER($H38)),"Missing: opening balance",IF(NOT(ISNUMBER($I38)),"Missing: reorder point",IF(NOT(ISNUMBER($J38)),"Missing: reorder qty",IF($L38="","Missing: status",IF(COUNTIF(Suppliers!$A$2:$A$51,$F38)=0,"Unknown supplier",IF(COUNTIF(Config!$N$15:$N$34,$C38)=0,"Unsupported category",IF(COUNTIF(Config!$O$15:$O$34,$L38)=0,"Unsupported status",IF($X38&lt;&gt;$H38,"Opening balance differs from lot openings",IF($W38&lt;&gt;$R38,"Lot balances differ from recorded stock",IF($R38&lt;0,"Negative recorded stock","OK"))))))))))))))))</f>
        <v/>
      </c>
      <c r="AC38" s="52" t="str">
        <f>IF($Y38=1,COUNTIF($Y$2:$Y38,1),"")</f>
        <v/>
      </c>
    </row>
    <row r="39">
      <c r="A39" s="46" t="n"/>
      <c r="B39" s="46" t="n"/>
      <c r="C39" s="46" t="n"/>
      <c r="D39" s="46" t="n"/>
      <c r="E39" s="46" t="n"/>
      <c r="F39" s="46" t="n"/>
      <c r="G39" s="47" t="n"/>
      <c r="H39" s="48" t="n"/>
      <c r="I39" s="48" t="n"/>
      <c r="J39" s="48" t="n"/>
      <c r="K39" s="48" t="n"/>
      <c r="L39" s="46" t="n"/>
      <c r="M39" s="46" t="n"/>
      <c r="N39" s="49" t="str">
        <f>IF($A39="","",IFERROR(INDEX(Suppliers!$B$2:$B$51,MATCH($F39,Suppliers!$A$2:$A$51,0))&amp;"","(not found)"))</f>
        <v/>
      </c>
      <c r="O39" s="50" t="str">
        <f>IF($A39="","",SUMIFS(Inventory_Ledger!$E$2:$E$2001,Inventory_Ledger!$D$2:$D$2001,$A39,Inventory_Ledger!$C$2:$C$2001,"Receipt"))</f>
        <v/>
      </c>
      <c r="P39" s="50" t="str">
        <f>IF($A39="","",SUMIFS(Inventory_Ledger!$E$2:$E$2001,Inventory_Ledger!$D$2:$D$2001,$A39,Inventory_Ledger!$C$2:$C$2001,"Shipment"))</f>
        <v/>
      </c>
      <c r="Q39" s="51" t="str">
        <f>IF($A39="","",SUMIFS(Inventory_Ledger!$E$2:$E$2001,Inventory_Ledger!$D$2:$D$2001,$A39,Inventory_Ledger!$C$2:$C$2001,"Adjustment"))</f>
        <v/>
      </c>
      <c r="R39" s="51" t="str">
        <f>IF($A39="","",IF(ISNUMBER($H39),$H39,0)+$O39-$P39+$Q39)</f>
        <v/>
      </c>
      <c r="S39" s="50" t="str">
        <f>IF($A39="","",SUMIFS(Reservations!$L$2:$L$201,Reservations!$B$2:$B$201,$A39))</f>
        <v/>
      </c>
      <c r="T39" s="50" t="str">
        <f>IF($A39="","",SUMIFS(Batches!$P$2:$P$301,Batches!$B$2:$B$301,$A39))</f>
        <v/>
      </c>
      <c r="U39" s="51" t="str">
        <f>IF($A39="","",$R39-$S39-$T39)</f>
        <v/>
      </c>
      <c r="V39" s="50" t="str">
        <f>IF($A39="","",SUMIFS(Purchase_Orders!$N$2:$N$301,Purchase_Orders!$C$2:$C$301,$A39,Purchase_Orders!$O$2:$O$301,1))</f>
        <v/>
      </c>
      <c r="W39" s="51" t="str">
        <f>IF($A39="","",SUMIFS(Batches!$L$2:$L$301,Batches!$B$2:$B$301,$A39))</f>
        <v/>
      </c>
      <c r="X39" s="50" t="str">
        <f>IF($A39="","",SUMIFS(Batches!$F$2:$F$301,Batches!$B$2:$B$301,$A39))</f>
        <v/>
      </c>
      <c r="Y39" s="52" t="str">
        <f>IF($A39="","",IF(ISNUMBER($I39),IF(IF(Config!$B$9="Recorded",$R39,$U39)&lt;$I39,1,0),0))</f>
        <v/>
      </c>
      <c r="Z39" s="49" t="str">
        <f>IF($A39="","",IF($R39&lt;0,"Negative",IF($Y39=1,"Below reorder","OK")))</f>
        <v/>
      </c>
      <c r="AA39" s="53" t="str">
        <f>IF($A39="","",IF(ISNUMBER($G39),$R39*$G39,""))</f>
        <v/>
      </c>
      <c r="AB39" s="49" t="str">
        <f>IF(COUNTA($A39:$M39)=0,"",IF($A39="","Missing: SKU",IF(COUNTIF($A$2:$A$101,$A39)&gt;1,"Duplicate SKU",IF($B39="","Missing: product name",IF($C39="","Missing: category",IF($F39="","Missing: primary supplier",IF(NOT(ISNUMBER($H39)),"Missing: opening balance",IF(NOT(ISNUMBER($I39)),"Missing: reorder point",IF(NOT(ISNUMBER($J39)),"Missing: reorder qty",IF($L39="","Missing: status",IF(COUNTIF(Suppliers!$A$2:$A$51,$F39)=0,"Unknown supplier",IF(COUNTIF(Config!$N$15:$N$34,$C39)=0,"Unsupported category",IF(COUNTIF(Config!$O$15:$O$34,$L39)=0,"Unsupported status",IF($X39&lt;&gt;$H39,"Opening balance differs from lot openings",IF($W39&lt;&gt;$R39,"Lot balances differ from recorded stock",IF($R39&lt;0,"Negative recorded stock","OK"))))))))))))))))</f>
        <v/>
      </c>
      <c r="AC39" s="52" t="str">
        <f>IF($Y39=1,COUNTIF($Y$2:$Y39,1),"")</f>
        <v/>
      </c>
    </row>
    <row r="40">
      <c r="A40" s="46" t="n"/>
      <c r="B40" s="46" t="n"/>
      <c r="C40" s="46" t="n"/>
      <c r="D40" s="46" t="n"/>
      <c r="E40" s="46" t="n"/>
      <c r="F40" s="46" t="n"/>
      <c r="G40" s="47" t="n"/>
      <c r="H40" s="48" t="n"/>
      <c r="I40" s="48" t="n"/>
      <c r="J40" s="48" t="n"/>
      <c r="K40" s="48" t="n"/>
      <c r="L40" s="46" t="n"/>
      <c r="M40" s="46" t="n"/>
      <c r="N40" s="49" t="str">
        <f>IF($A40="","",IFERROR(INDEX(Suppliers!$B$2:$B$51,MATCH($F40,Suppliers!$A$2:$A$51,0))&amp;"","(not found)"))</f>
        <v/>
      </c>
      <c r="O40" s="50" t="str">
        <f>IF($A40="","",SUMIFS(Inventory_Ledger!$E$2:$E$2001,Inventory_Ledger!$D$2:$D$2001,$A40,Inventory_Ledger!$C$2:$C$2001,"Receipt"))</f>
        <v/>
      </c>
      <c r="P40" s="50" t="str">
        <f>IF($A40="","",SUMIFS(Inventory_Ledger!$E$2:$E$2001,Inventory_Ledger!$D$2:$D$2001,$A40,Inventory_Ledger!$C$2:$C$2001,"Shipment"))</f>
        <v/>
      </c>
      <c r="Q40" s="51" t="str">
        <f>IF($A40="","",SUMIFS(Inventory_Ledger!$E$2:$E$2001,Inventory_Ledger!$D$2:$D$2001,$A40,Inventory_Ledger!$C$2:$C$2001,"Adjustment"))</f>
        <v/>
      </c>
      <c r="R40" s="51" t="str">
        <f>IF($A40="","",IF(ISNUMBER($H40),$H40,0)+$O40-$P40+$Q40)</f>
        <v/>
      </c>
      <c r="S40" s="50" t="str">
        <f>IF($A40="","",SUMIFS(Reservations!$L$2:$L$201,Reservations!$B$2:$B$201,$A40))</f>
        <v/>
      </c>
      <c r="T40" s="50" t="str">
        <f>IF($A40="","",SUMIFS(Batches!$P$2:$P$301,Batches!$B$2:$B$301,$A40))</f>
        <v/>
      </c>
      <c r="U40" s="51" t="str">
        <f>IF($A40="","",$R40-$S40-$T40)</f>
        <v/>
      </c>
      <c r="V40" s="50" t="str">
        <f>IF($A40="","",SUMIFS(Purchase_Orders!$N$2:$N$301,Purchase_Orders!$C$2:$C$301,$A40,Purchase_Orders!$O$2:$O$301,1))</f>
        <v/>
      </c>
      <c r="W40" s="51" t="str">
        <f>IF($A40="","",SUMIFS(Batches!$L$2:$L$301,Batches!$B$2:$B$301,$A40))</f>
        <v/>
      </c>
      <c r="X40" s="50" t="str">
        <f>IF($A40="","",SUMIFS(Batches!$F$2:$F$301,Batches!$B$2:$B$301,$A40))</f>
        <v/>
      </c>
      <c r="Y40" s="52" t="str">
        <f>IF($A40="","",IF(ISNUMBER($I40),IF(IF(Config!$B$9="Recorded",$R40,$U40)&lt;$I40,1,0),0))</f>
        <v/>
      </c>
      <c r="Z40" s="49" t="str">
        <f>IF($A40="","",IF($R40&lt;0,"Negative",IF($Y40=1,"Below reorder","OK")))</f>
        <v/>
      </c>
      <c r="AA40" s="53" t="str">
        <f>IF($A40="","",IF(ISNUMBER($G40),$R40*$G40,""))</f>
        <v/>
      </c>
      <c r="AB40" s="49" t="str">
        <f>IF(COUNTA($A40:$M40)=0,"",IF($A40="","Missing: SKU",IF(COUNTIF($A$2:$A$101,$A40)&gt;1,"Duplicate SKU",IF($B40="","Missing: product name",IF($C40="","Missing: category",IF($F40="","Missing: primary supplier",IF(NOT(ISNUMBER($H40)),"Missing: opening balance",IF(NOT(ISNUMBER($I40)),"Missing: reorder point",IF(NOT(ISNUMBER($J40)),"Missing: reorder qty",IF($L40="","Missing: status",IF(COUNTIF(Suppliers!$A$2:$A$51,$F40)=0,"Unknown supplier",IF(COUNTIF(Config!$N$15:$N$34,$C40)=0,"Unsupported category",IF(COUNTIF(Config!$O$15:$O$34,$L40)=0,"Unsupported status",IF($X40&lt;&gt;$H40,"Opening balance differs from lot openings",IF($W40&lt;&gt;$R40,"Lot balances differ from recorded stock",IF($R40&lt;0,"Negative recorded stock","OK"))))))))))))))))</f>
        <v/>
      </c>
      <c r="AC40" s="52" t="str">
        <f>IF($Y40=1,COUNTIF($Y$2:$Y40,1),"")</f>
        <v/>
      </c>
    </row>
    <row r="41">
      <c r="A41" s="46" t="n"/>
      <c r="B41" s="46" t="n"/>
      <c r="C41" s="46" t="n"/>
      <c r="D41" s="46" t="n"/>
      <c r="E41" s="46" t="n"/>
      <c r="F41" s="46" t="n"/>
      <c r="G41" s="47" t="n"/>
      <c r="H41" s="48" t="n"/>
      <c r="I41" s="48" t="n"/>
      <c r="J41" s="48" t="n"/>
      <c r="K41" s="48" t="n"/>
      <c r="L41" s="46" t="n"/>
      <c r="M41" s="46" t="n"/>
      <c r="N41" s="49" t="str">
        <f>IF($A41="","",IFERROR(INDEX(Suppliers!$B$2:$B$51,MATCH($F41,Suppliers!$A$2:$A$51,0))&amp;"","(not found)"))</f>
        <v/>
      </c>
      <c r="O41" s="50" t="str">
        <f>IF($A41="","",SUMIFS(Inventory_Ledger!$E$2:$E$2001,Inventory_Ledger!$D$2:$D$2001,$A41,Inventory_Ledger!$C$2:$C$2001,"Receipt"))</f>
        <v/>
      </c>
      <c r="P41" s="50" t="str">
        <f>IF($A41="","",SUMIFS(Inventory_Ledger!$E$2:$E$2001,Inventory_Ledger!$D$2:$D$2001,$A41,Inventory_Ledger!$C$2:$C$2001,"Shipment"))</f>
        <v/>
      </c>
      <c r="Q41" s="51" t="str">
        <f>IF($A41="","",SUMIFS(Inventory_Ledger!$E$2:$E$2001,Inventory_Ledger!$D$2:$D$2001,$A41,Inventory_Ledger!$C$2:$C$2001,"Adjustment"))</f>
        <v/>
      </c>
      <c r="R41" s="51" t="str">
        <f>IF($A41="","",IF(ISNUMBER($H41),$H41,0)+$O41-$P41+$Q41)</f>
        <v/>
      </c>
      <c r="S41" s="50" t="str">
        <f>IF($A41="","",SUMIFS(Reservations!$L$2:$L$201,Reservations!$B$2:$B$201,$A41))</f>
        <v/>
      </c>
      <c r="T41" s="50" t="str">
        <f>IF($A41="","",SUMIFS(Batches!$P$2:$P$301,Batches!$B$2:$B$301,$A41))</f>
        <v/>
      </c>
      <c r="U41" s="51" t="str">
        <f>IF($A41="","",$R41-$S41-$T41)</f>
        <v/>
      </c>
      <c r="V41" s="50" t="str">
        <f>IF($A41="","",SUMIFS(Purchase_Orders!$N$2:$N$301,Purchase_Orders!$C$2:$C$301,$A41,Purchase_Orders!$O$2:$O$301,1))</f>
        <v/>
      </c>
      <c r="W41" s="51" t="str">
        <f>IF($A41="","",SUMIFS(Batches!$L$2:$L$301,Batches!$B$2:$B$301,$A41))</f>
        <v/>
      </c>
      <c r="X41" s="50" t="str">
        <f>IF($A41="","",SUMIFS(Batches!$F$2:$F$301,Batches!$B$2:$B$301,$A41))</f>
        <v/>
      </c>
      <c r="Y41" s="52" t="str">
        <f>IF($A41="","",IF(ISNUMBER($I41),IF(IF(Config!$B$9="Recorded",$R41,$U41)&lt;$I41,1,0),0))</f>
        <v/>
      </c>
      <c r="Z41" s="49" t="str">
        <f>IF($A41="","",IF($R41&lt;0,"Negative",IF($Y41=1,"Below reorder","OK")))</f>
        <v/>
      </c>
      <c r="AA41" s="53" t="str">
        <f>IF($A41="","",IF(ISNUMBER($G41),$R41*$G41,""))</f>
        <v/>
      </c>
      <c r="AB41" s="49" t="str">
        <f>IF(COUNTA($A41:$M41)=0,"",IF($A41="","Missing: SKU",IF(COUNTIF($A$2:$A$101,$A41)&gt;1,"Duplicate SKU",IF($B41="","Missing: product name",IF($C41="","Missing: category",IF($F41="","Missing: primary supplier",IF(NOT(ISNUMBER($H41)),"Missing: opening balance",IF(NOT(ISNUMBER($I41)),"Missing: reorder point",IF(NOT(ISNUMBER($J41)),"Missing: reorder qty",IF($L41="","Missing: status",IF(COUNTIF(Suppliers!$A$2:$A$51,$F41)=0,"Unknown supplier",IF(COUNTIF(Config!$N$15:$N$34,$C41)=0,"Unsupported category",IF(COUNTIF(Config!$O$15:$O$34,$L41)=0,"Unsupported status",IF($X41&lt;&gt;$H41,"Opening balance differs from lot openings",IF($W41&lt;&gt;$R41,"Lot balances differ from recorded stock",IF($R41&lt;0,"Negative recorded stock","OK"))))))))))))))))</f>
        <v/>
      </c>
      <c r="AC41" s="52" t="str">
        <f>IF($Y41=1,COUNTIF($Y$2:$Y41,1),"")</f>
        <v/>
      </c>
    </row>
    <row r="42">
      <c r="A42" s="46" t="n"/>
      <c r="B42" s="46" t="n"/>
      <c r="C42" s="46" t="n"/>
      <c r="D42" s="46" t="n"/>
      <c r="E42" s="46" t="n"/>
      <c r="F42" s="46" t="n"/>
      <c r="G42" s="47" t="n"/>
      <c r="H42" s="48" t="n"/>
      <c r="I42" s="48" t="n"/>
      <c r="J42" s="48" t="n"/>
      <c r="K42" s="48" t="n"/>
      <c r="L42" s="46" t="n"/>
      <c r="M42" s="46" t="n"/>
      <c r="N42" s="49" t="str">
        <f>IF($A42="","",IFERROR(INDEX(Suppliers!$B$2:$B$51,MATCH($F42,Suppliers!$A$2:$A$51,0))&amp;"","(not found)"))</f>
        <v/>
      </c>
      <c r="O42" s="50" t="str">
        <f>IF($A42="","",SUMIFS(Inventory_Ledger!$E$2:$E$2001,Inventory_Ledger!$D$2:$D$2001,$A42,Inventory_Ledger!$C$2:$C$2001,"Receipt"))</f>
        <v/>
      </c>
      <c r="P42" s="50" t="str">
        <f>IF($A42="","",SUMIFS(Inventory_Ledger!$E$2:$E$2001,Inventory_Ledger!$D$2:$D$2001,$A42,Inventory_Ledger!$C$2:$C$2001,"Shipment"))</f>
        <v/>
      </c>
      <c r="Q42" s="51" t="str">
        <f>IF($A42="","",SUMIFS(Inventory_Ledger!$E$2:$E$2001,Inventory_Ledger!$D$2:$D$2001,$A42,Inventory_Ledger!$C$2:$C$2001,"Adjustment"))</f>
        <v/>
      </c>
      <c r="R42" s="51" t="str">
        <f>IF($A42="","",IF(ISNUMBER($H42),$H42,0)+$O42-$P42+$Q42)</f>
        <v/>
      </c>
      <c r="S42" s="50" t="str">
        <f>IF($A42="","",SUMIFS(Reservations!$L$2:$L$201,Reservations!$B$2:$B$201,$A42))</f>
        <v/>
      </c>
      <c r="T42" s="50" t="str">
        <f>IF($A42="","",SUMIFS(Batches!$P$2:$P$301,Batches!$B$2:$B$301,$A42))</f>
        <v/>
      </c>
      <c r="U42" s="51" t="str">
        <f>IF($A42="","",$R42-$S42-$T42)</f>
        <v/>
      </c>
      <c r="V42" s="50" t="str">
        <f>IF($A42="","",SUMIFS(Purchase_Orders!$N$2:$N$301,Purchase_Orders!$C$2:$C$301,$A42,Purchase_Orders!$O$2:$O$301,1))</f>
        <v/>
      </c>
      <c r="W42" s="51" t="str">
        <f>IF($A42="","",SUMIFS(Batches!$L$2:$L$301,Batches!$B$2:$B$301,$A42))</f>
        <v/>
      </c>
      <c r="X42" s="50" t="str">
        <f>IF($A42="","",SUMIFS(Batches!$F$2:$F$301,Batches!$B$2:$B$301,$A42))</f>
        <v/>
      </c>
      <c r="Y42" s="52" t="str">
        <f>IF($A42="","",IF(ISNUMBER($I42),IF(IF(Config!$B$9="Recorded",$R42,$U42)&lt;$I42,1,0),0))</f>
        <v/>
      </c>
      <c r="Z42" s="49" t="str">
        <f>IF($A42="","",IF($R42&lt;0,"Negative",IF($Y42=1,"Below reorder","OK")))</f>
        <v/>
      </c>
      <c r="AA42" s="53" t="str">
        <f>IF($A42="","",IF(ISNUMBER($G42),$R42*$G42,""))</f>
        <v/>
      </c>
      <c r="AB42" s="49" t="str">
        <f>IF(COUNTA($A42:$M42)=0,"",IF($A42="","Missing: SKU",IF(COUNTIF($A$2:$A$101,$A42)&gt;1,"Duplicate SKU",IF($B42="","Missing: product name",IF($C42="","Missing: category",IF($F42="","Missing: primary supplier",IF(NOT(ISNUMBER($H42)),"Missing: opening balance",IF(NOT(ISNUMBER($I42)),"Missing: reorder point",IF(NOT(ISNUMBER($J42)),"Missing: reorder qty",IF($L42="","Missing: status",IF(COUNTIF(Suppliers!$A$2:$A$51,$F42)=0,"Unknown supplier",IF(COUNTIF(Config!$N$15:$N$34,$C42)=0,"Unsupported category",IF(COUNTIF(Config!$O$15:$O$34,$L42)=0,"Unsupported status",IF($X42&lt;&gt;$H42,"Opening balance differs from lot openings",IF($W42&lt;&gt;$R42,"Lot balances differ from recorded stock",IF($R42&lt;0,"Negative recorded stock","OK"))))))))))))))))</f>
        <v/>
      </c>
      <c r="AC42" s="52" t="str">
        <f>IF($Y42=1,COUNTIF($Y$2:$Y42,1),"")</f>
        <v/>
      </c>
    </row>
    <row r="43">
      <c r="A43" s="46" t="n"/>
      <c r="B43" s="46" t="n"/>
      <c r="C43" s="46" t="n"/>
      <c r="D43" s="46" t="n"/>
      <c r="E43" s="46" t="n"/>
      <c r="F43" s="46" t="n"/>
      <c r="G43" s="47" t="n"/>
      <c r="H43" s="48" t="n"/>
      <c r="I43" s="48" t="n"/>
      <c r="J43" s="48" t="n"/>
      <c r="K43" s="48" t="n"/>
      <c r="L43" s="46" t="n"/>
      <c r="M43" s="46" t="n"/>
      <c r="N43" s="49" t="str">
        <f>IF($A43="","",IFERROR(INDEX(Suppliers!$B$2:$B$51,MATCH($F43,Suppliers!$A$2:$A$51,0))&amp;"","(not found)"))</f>
        <v/>
      </c>
      <c r="O43" s="50" t="str">
        <f>IF($A43="","",SUMIFS(Inventory_Ledger!$E$2:$E$2001,Inventory_Ledger!$D$2:$D$2001,$A43,Inventory_Ledger!$C$2:$C$2001,"Receipt"))</f>
        <v/>
      </c>
      <c r="P43" s="50" t="str">
        <f>IF($A43="","",SUMIFS(Inventory_Ledger!$E$2:$E$2001,Inventory_Ledger!$D$2:$D$2001,$A43,Inventory_Ledger!$C$2:$C$2001,"Shipment"))</f>
        <v/>
      </c>
      <c r="Q43" s="51" t="str">
        <f>IF($A43="","",SUMIFS(Inventory_Ledger!$E$2:$E$2001,Inventory_Ledger!$D$2:$D$2001,$A43,Inventory_Ledger!$C$2:$C$2001,"Adjustment"))</f>
        <v/>
      </c>
      <c r="R43" s="51" t="str">
        <f>IF($A43="","",IF(ISNUMBER($H43),$H43,0)+$O43-$P43+$Q43)</f>
        <v/>
      </c>
      <c r="S43" s="50" t="str">
        <f>IF($A43="","",SUMIFS(Reservations!$L$2:$L$201,Reservations!$B$2:$B$201,$A43))</f>
        <v/>
      </c>
      <c r="T43" s="50" t="str">
        <f>IF($A43="","",SUMIFS(Batches!$P$2:$P$301,Batches!$B$2:$B$301,$A43))</f>
        <v/>
      </c>
      <c r="U43" s="51" t="str">
        <f>IF($A43="","",$R43-$S43-$T43)</f>
        <v/>
      </c>
      <c r="V43" s="50" t="str">
        <f>IF($A43="","",SUMIFS(Purchase_Orders!$N$2:$N$301,Purchase_Orders!$C$2:$C$301,$A43,Purchase_Orders!$O$2:$O$301,1))</f>
        <v/>
      </c>
      <c r="W43" s="51" t="str">
        <f>IF($A43="","",SUMIFS(Batches!$L$2:$L$301,Batches!$B$2:$B$301,$A43))</f>
        <v/>
      </c>
      <c r="X43" s="50" t="str">
        <f>IF($A43="","",SUMIFS(Batches!$F$2:$F$301,Batches!$B$2:$B$301,$A43))</f>
        <v/>
      </c>
      <c r="Y43" s="52" t="str">
        <f>IF($A43="","",IF(ISNUMBER($I43),IF(IF(Config!$B$9="Recorded",$R43,$U43)&lt;$I43,1,0),0))</f>
        <v/>
      </c>
      <c r="Z43" s="49" t="str">
        <f>IF($A43="","",IF($R43&lt;0,"Negative",IF($Y43=1,"Below reorder","OK")))</f>
        <v/>
      </c>
      <c r="AA43" s="53" t="str">
        <f>IF($A43="","",IF(ISNUMBER($G43),$R43*$G43,""))</f>
        <v/>
      </c>
      <c r="AB43" s="49" t="str">
        <f>IF(COUNTA($A43:$M43)=0,"",IF($A43="","Missing: SKU",IF(COUNTIF($A$2:$A$101,$A43)&gt;1,"Duplicate SKU",IF($B43="","Missing: product name",IF($C43="","Missing: category",IF($F43="","Missing: primary supplier",IF(NOT(ISNUMBER($H43)),"Missing: opening balance",IF(NOT(ISNUMBER($I43)),"Missing: reorder point",IF(NOT(ISNUMBER($J43)),"Missing: reorder qty",IF($L43="","Missing: status",IF(COUNTIF(Suppliers!$A$2:$A$51,$F43)=0,"Unknown supplier",IF(COUNTIF(Config!$N$15:$N$34,$C43)=0,"Unsupported category",IF(COUNTIF(Config!$O$15:$O$34,$L43)=0,"Unsupported status",IF($X43&lt;&gt;$H43,"Opening balance differs from lot openings",IF($W43&lt;&gt;$R43,"Lot balances differ from recorded stock",IF($R43&lt;0,"Negative recorded stock","OK"))))))))))))))))</f>
        <v/>
      </c>
      <c r="AC43" s="52" t="str">
        <f>IF($Y43=1,COUNTIF($Y$2:$Y43,1),"")</f>
        <v/>
      </c>
    </row>
    <row r="44">
      <c r="A44" s="46" t="n"/>
      <c r="B44" s="46" t="n"/>
      <c r="C44" s="46" t="n"/>
      <c r="D44" s="46" t="n"/>
      <c r="E44" s="46" t="n"/>
      <c r="F44" s="46" t="n"/>
      <c r="G44" s="47" t="n"/>
      <c r="H44" s="48" t="n"/>
      <c r="I44" s="48" t="n"/>
      <c r="J44" s="48" t="n"/>
      <c r="K44" s="48" t="n"/>
      <c r="L44" s="46" t="n"/>
      <c r="M44" s="46" t="n"/>
      <c r="N44" s="49" t="str">
        <f>IF($A44="","",IFERROR(INDEX(Suppliers!$B$2:$B$51,MATCH($F44,Suppliers!$A$2:$A$51,0))&amp;"","(not found)"))</f>
        <v/>
      </c>
      <c r="O44" s="50" t="str">
        <f>IF($A44="","",SUMIFS(Inventory_Ledger!$E$2:$E$2001,Inventory_Ledger!$D$2:$D$2001,$A44,Inventory_Ledger!$C$2:$C$2001,"Receipt"))</f>
        <v/>
      </c>
      <c r="P44" s="50" t="str">
        <f>IF($A44="","",SUMIFS(Inventory_Ledger!$E$2:$E$2001,Inventory_Ledger!$D$2:$D$2001,$A44,Inventory_Ledger!$C$2:$C$2001,"Shipment"))</f>
        <v/>
      </c>
      <c r="Q44" s="51" t="str">
        <f>IF($A44="","",SUMIFS(Inventory_Ledger!$E$2:$E$2001,Inventory_Ledger!$D$2:$D$2001,$A44,Inventory_Ledger!$C$2:$C$2001,"Adjustment"))</f>
        <v/>
      </c>
      <c r="R44" s="51" t="str">
        <f>IF($A44="","",IF(ISNUMBER($H44),$H44,0)+$O44-$P44+$Q44)</f>
        <v/>
      </c>
      <c r="S44" s="50" t="str">
        <f>IF($A44="","",SUMIFS(Reservations!$L$2:$L$201,Reservations!$B$2:$B$201,$A44))</f>
        <v/>
      </c>
      <c r="T44" s="50" t="str">
        <f>IF($A44="","",SUMIFS(Batches!$P$2:$P$301,Batches!$B$2:$B$301,$A44))</f>
        <v/>
      </c>
      <c r="U44" s="51" t="str">
        <f>IF($A44="","",$R44-$S44-$T44)</f>
        <v/>
      </c>
      <c r="V44" s="50" t="str">
        <f>IF($A44="","",SUMIFS(Purchase_Orders!$N$2:$N$301,Purchase_Orders!$C$2:$C$301,$A44,Purchase_Orders!$O$2:$O$301,1))</f>
        <v/>
      </c>
      <c r="W44" s="51" t="str">
        <f>IF($A44="","",SUMIFS(Batches!$L$2:$L$301,Batches!$B$2:$B$301,$A44))</f>
        <v/>
      </c>
      <c r="X44" s="50" t="str">
        <f>IF($A44="","",SUMIFS(Batches!$F$2:$F$301,Batches!$B$2:$B$301,$A44))</f>
        <v/>
      </c>
      <c r="Y44" s="52" t="str">
        <f>IF($A44="","",IF(ISNUMBER($I44),IF(IF(Config!$B$9="Recorded",$R44,$U44)&lt;$I44,1,0),0))</f>
        <v/>
      </c>
      <c r="Z44" s="49" t="str">
        <f>IF($A44="","",IF($R44&lt;0,"Negative",IF($Y44=1,"Below reorder","OK")))</f>
        <v/>
      </c>
      <c r="AA44" s="53" t="str">
        <f>IF($A44="","",IF(ISNUMBER($G44),$R44*$G44,""))</f>
        <v/>
      </c>
      <c r="AB44" s="49" t="str">
        <f>IF(COUNTA($A44:$M44)=0,"",IF($A44="","Missing: SKU",IF(COUNTIF($A$2:$A$101,$A44)&gt;1,"Duplicate SKU",IF($B44="","Missing: product name",IF($C44="","Missing: category",IF($F44="","Missing: primary supplier",IF(NOT(ISNUMBER($H44)),"Missing: opening balance",IF(NOT(ISNUMBER($I44)),"Missing: reorder point",IF(NOT(ISNUMBER($J44)),"Missing: reorder qty",IF($L44="","Missing: status",IF(COUNTIF(Suppliers!$A$2:$A$51,$F44)=0,"Unknown supplier",IF(COUNTIF(Config!$N$15:$N$34,$C44)=0,"Unsupported category",IF(COUNTIF(Config!$O$15:$O$34,$L44)=0,"Unsupported status",IF($X44&lt;&gt;$H44,"Opening balance differs from lot openings",IF($W44&lt;&gt;$R44,"Lot balances differ from recorded stock",IF($R44&lt;0,"Negative recorded stock","OK"))))))))))))))))</f>
        <v/>
      </c>
      <c r="AC44" s="52" t="str">
        <f>IF($Y44=1,COUNTIF($Y$2:$Y44,1),"")</f>
        <v/>
      </c>
    </row>
    <row r="45">
      <c r="A45" s="46" t="n"/>
      <c r="B45" s="46" t="n"/>
      <c r="C45" s="46" t="n"/>
      <c r="D45" s="46" t="n"/>
      <c r="E45" s="46" t="n"/>
      <c r="F45" s="46" t="n"/>
      <c r="G45" s="47" t="n"/>
      <c r="H45" s="48" t="n"/>
      <c r="I45" s="48" t="n"/>
      <c r="J45" s="48" t="n"/>
      <c r="K45" s="48" t="n"/>
      <c r="L45" s="46" t="n"/>
      <c r="M45" s="46" t="n"/>
      <c r="N45" s="49" t="str">
        <f>IF($A45="","",IFERROR(INDEX(Suppliers!$B$2:$B$51,MATCH($F45,Suppliers!$A$2:$A$51,0))&amp;"","(not found)"))</f>
        <v/>
      </c>
      <c r="O45" s="50" t="str">
        <f>IF($A45="","",SUMIFS(Inventory_Ledger!$E$2:$E$2001,Inventory_Ledger!$D$2:$D$2001,$A45,Inventory_Ledger!$C$2:$C$2001,"Receipt"))</f>
        <v/>
      </c>
      <c r="P45" s="50" t="str">
        <f>IF($A45="","",SUMIFS(Inventory_Ledger!$E$2:$E$2001,Inventory_Ledger!$D$2:$D$2001,$A45,Inventory_Ledger!$C$2:$C$2001,"Shipment"))</f>
        <v/>
      </c>
      <c r="Q45" s="51" t="str">
        <f>IF($A45="","",SUMIFS(Inventory_Ledger!$E$2:$E$2001,Inventory_Ledger!$D$2:$D$2001,$A45,Inventory_Ledger!$C$2:$C$2001,"Adjustment"))</f>
        <v/>
      </c>
      <c r="R45" s="51" t="str">
        <f>IF($A45="","",IF(ISNUMBER($H45),$H45,0)+$O45-$P45+$Q45)</f>
        <v/>
      </c>
      <c r="S45" s="50" t="str">
        <f>IF($A45="","",SUMIFS(Reservations!$L$2:$L$201,Reservations!$B$2:$B$201,$A45))</f>
        <v/>
      </c>
      <c r="T45" s="50" t="str">
        <f>IF($A45="","",SUMIFS(Batches!$P$2:$P$301,Batches!$B$2:$B$301,$A45))</f>
        <v/>
      </c>
      <c r="U45" s="51" t="str">
        <f>IF($A45="","",$R45-$S45-$T45)</f>
        <v/>
      </c>
      <c r="V45" s="50" t="str">
        <f>IF($A45="","",SUMIFS(Purchase_Orders!$N$2:$N$301,Purchase_Orders!$C$2:$C$301,$A45,Purchase_Orders!$O$2:$O$301,1))</f>
        <v/>
      </c>
      <c r="W45" s="51" t="str">
        <f>IF($A45="","",SUMIFS(Batches!$L$2:$L$301,Batches!$B$2:$B$301,$A45))</f>
        <v/>
      </c>
      <c r="X45" s="50" t="str">
        <f>IF($A45="","",SUMIFS(Batches!$F$2:$F$301,Batches!$B$2:$B$301,$A45))</f>
        <v/>
      </c>
      <c r="Y45" s="52" t="str">
        <f>IF($A45="","",IF(ISNUMBER($I45),IF(IF(Config!$B$9="Recorded",$R45,$U45)&lt;$I45,1,0),0))</f>
        <v/>
      </c>
      <c r="Z45" s="49" t="str">
        <f>IF($A45="","",IF($R45&lt;0,"Negative",IF($Y45=1,"Below reorder","OK")))</f>
        <v/>
      </c>
      <c r="AA45" s="53" t="str">
        <f>IF($A45="","",IF(ISNUMBER($G45),$R45*$G45,""))</f>
        <v/>
      </c>
      <c r="AB45" s="49" t="str">
        <f>IF(COUNTA($A45:$M45)=0,"",IF($A45="","Missing: SKU",IF(COUNTIF($A$2:$A$101,$A45)&gt;1,"Duplicate SKU",IF($B45="","Missing: product name",IF($C45="","Missing: category",IF($F45="","Missing: primary supplier",IF(NOT(ISNUMBER($H45)),"Missing: opening balance",IF(NOT(ISNUMBER($I45)),"Missing: reorder point",IF(NOT(ISNUMBER($J45)),"Missing: reorder qty",IF($L45="","Missing: status",IF(COUNTIF(Suppliers!$A$2:$A$51,$F45)=0,"Unknown supplier",IF(COUNTIF(Config!$N$15:$N$34,$C45)=0,"Unsupported category",IF(COUNTIF(Config!$O$15:$O$34,$L45)=0,"Unsupported status",IF($X45&lt;&gt;$H45,"Opening balance differs from lot openings",IF($W45&lt;&gt;$R45,"Lot balances differ from recorded stock",IF($R45&lt;0,"Negative recorded stock","OK"))))))))))))))))</f>
        <v/>
      </c>
      <c r="AC45" s="52" t="str">
        <f>IF($Y45=1,COUNTIF($Y$2:$Y45,1),"")</f>
        <v/>
      </c>
    </row>
    <row r="46">
      <c r="A46" s="46" t="n"/>
      <c r="B46" s="46" t="n"/>
      <c r="C46" s="46" t="n"/>
      <c r="D46" s="46" t="n"/>
      <c r="E46" s="46" t="n"/>
      <c r="F46" s="46" t="n"/>
      <c r="G46" s="47" t="n"/>
      <c r="H46" s="48" t="n"/>
      <c r="I46" s="48" t="n"/>
      <c r="J46" s="48" t="n"/>
      <c r="K46" s="48" t="n"/>
      <c r="L46" s="46" t="n"/>
      <c r="M46" s="46" t="n"/>
      <c r="N46" s="49" t="str">
        <f>IF($A46="","",IFERROR(INDEX(Suppliers!$B$2:$B$51,MATCH($F46,Suppliers!$A$2:$A$51,0))&amp;"","(not found)"))</f>
        <v/>
      </c>
      <c r="O46" s="50" t="str">
        <f>IF($A46="","",SUMIFS(Inventory_Ledger!$E$2:$E$2001,Inventory_Ledger!$D$2:$D$2001,$A46,Inventory_Ledger!$C$2:$C$2001,"Receipt"))</f>
        <v/>
      </c>
      <c r="P46" s="50" t="str">
        <f>IF($A46="","",SUMIFS(Inventory_Ledger!$E$2:$E$2001,Inventory_Ledger!$D$2:$D$2001,$A46,Inventory_Ledger!$C$2:$C$2001,"Shipment"))</f>
        <v/>
      </c>
      <c r="Q46" s="51" t="str">
        <f>IF($A46="","",SUMIFS(Inventory_Ledger!$E$2:$E$2001,Inventory_Ledger!$D$2:$D$2001,$A46,Inventory_Ledger!$C$2:$C$2001,"Adjustment"))</f>
        <v/>
      </c>
      <c r="R46" s="51" t="str">
        <f>IF($A46="","",IF(ISNUMBER($H46),$H46,0)+$O46-$P46+$Q46)</f>
        <v/>
      </c>
      <c r="S46" s="50" t="str">
        <f>IF($A46="","",SUMIFS(Reservations!$L$2:$L$201,Reservations!$B$2:$B$201,$A46))</f>
        <v/>
      </c>
      <c r="T46" s="50" t="str">
        <f>IF($A46="","",SUMIFS(Batches!$P$2:$P$301,Batches!$B$2:$B$301,$A46))</f>
        <v/>
      </c>
      <c r="U46" s="51" t="str">
        <f>IF($A46="","",$R46-$S46-$T46)</f>
        <v/>
      </c>
      <c r="V46" s="50" t="str">
        <f>IF($A46="","",SUMIFS(Purchase_Orders!$N$2:$N$301,Purchase_Orders!$C$2:$C$301,$A46,Purchase_Orders!$O$2:$O$301,1))</f>
        <v/>
      </c>
      <c r="W46" s="51" t="str">
        <f>IF($A46="","",SUMIFS(Batches!$L$2:$L$301,Batches!$B$2:$B$301,$A46))</f>
        <v/>
      </c>
      <c r="X46" s="50" t="str">
        <f>IF($A46="","",SUMIFS(Batches!$F$2:$F$301,Batches!$B$2:$B$301,$A46))</f>
        <v/>
      </c>
      <c r="Y46" s="52" t="str">
        <f>IF($A46="","",IF(ISNUMBER($I46),IF(IF(Config!$B$9="Recorded",$R46,$U46)&lt;$I46,1,0),0))</f>
        <v/>
      </c>
      <c r="Z46" s="49" t="str">
        <f>IF($A46="","",IF($R46&lt;0,"Negative",IF($Y46=1,"Below reorder","OK")))</f>
        <v/>
      </c>
      <c r="AA46" s="53" t="str">
        <f>IF($A46="","",IF(ISNUMBER($G46),$R46*$G46,""))</f>
        <v/>
      </c>
      <c r="AB46" s="49" t="str">
        <f>IF(COUNTA($A46:$M46)=0,"",IF($A46="","Missing: SKU",IF(COUNTIF($A$2:$A$101,$A46)&gt;1,"Duplicate SKU",IF($B46="","Missing: product name",IF($C46="","Missing: category",IF($F46="","Missing: primary supplier",IF(NOT(ISNUMBER($H46)),"Missing: opening balance",IF(NOT(ISNUMBER($I46)),"Missing: reorder point",IF(NOT(ISNUMBER($J46)),"Missing: reorder qty",IF($L46="","Missing: status",IF(COUNTIF(Suppliers!$A$2:$A$51,$F46)=0,"Unknown supplier",IF(COUNTIF(Config!$N$15:$N$34,$C46)=0,"Unsupported category",IF(COUNTIF(Config!$O$15:$O$34,$L46)=0,"Unsupported status",IF($X46&lt;&gt;$H46,"Opening balance differs from lot openings",IF($W46&lt;&gt;$R46,"Lot balances differ from recorded stock",IF($R46&lt;0,"Negative recorded stock","OK"))))))))))))))))</f>
        <v/>
      </c>
      <c r="AC46" s="52" t="str">
        <f>IF($Y46=1,COUNTIF($Y$2:$Y46,1),"")</f>
        <v/>
      </c>
    </row>
    <row r="47">
      <c r="A47" s="46" t="n"/>
      <c r="B47" s="46" t="n"/>
      <c r="C47" s="46" t="n"/>
      <c r="D47" s="46" t="n"/>
      <c r="E47" s="46" t="n"/>
      <c r="F47" s="46" t="n"/>
      <c r="G47" s="47" t="n"/>
      <c r="H47" s="48" t="n"/>
      <c r="I47" s="48" t="n"/>
      <c r="J47" s="48" t="n"/>
      <c r="K47" s="48" t="n"/>
      <c r="L47" s="46" t="n"/>
      <c r="M47" s="46" t="n"/>
      <c r="N47" s="49" t="str">
        <f>IF($A47="","",IFERROR(INDEX(Suppliers!$B$2:$B$51,MATCH($F47,Suppliers!$A$2:$A$51,0))&amp;"","(not found)"))</f>
        <v/>
      </c>
      <c r="O47" s="50" t="str">
        <f>IF($A47="","",SUMIFS(Inventory_Ledger!$E$2:$E$2001,Inventory_Ledger!$D$2:$D$2001,$A47,Inventory_Ledger!$C$2:$C$2001,"Receipt"))</f>
        <v/>
      </c>
      <c r="P47" s="50" t="str">
        <f>IF($A47="","",SUMIFS(Inventory_Ledger!$E$2:$E$2001,Inventory_Ledger!$D$2:$D$2001,$A47,Inventory_Ledger!$C$2:$C$2001,"Shipment"))</f>
        <v/>
      </c>
      <c r="Q47" s="51" t="str">
        <f>IF($A47="","",SUMIFS(Inventory_Ledger!$E$2:$E$2001,Inventory_Ledger!$D$2:$D$2001,$A47,Inventory_Ledger!$C$2:$C$2001,"Adjustment"))</f>
        <v/>
      </c>
      <c r="R47" s="51" t="str">
        <f>IF($A47="","",IF(ISNUMBER($H47),$H47,0)+$O47-$P47+$Q47)</f>
        <v/>
      </c>
      <c r="S47" s="50" t="str">
        <f>IF($A47="","",SUMIFS(Reservations!$L$2:$L$201,Reservations!$B$2:$B$201,$A47))</f>
        <v/>
      </c>
      <c r="T47" s="50" t="str">
        <f>IF($A47="","",SUMIFS(Batches!$P$2:$P$301,Batches!$B$2:$B$301,$A47))</f>
        <v/>
      </c>
      <c r="U47" s="51" t="str">
        <f>IF($A47="","",$R47-$S47-$T47)</f>
        <v/>
      </c>
      <c r="V47" s="50" t="str">
        <f>IF($A47="","",SUMIFS(Purchase_Orders!$N$2:$N$301,Purchase_Orders!$C$2:$C$301,$A47,Purchase_Orders!$O$2:$O$301,1))</f>
        <v/>
      </c>
      <c r="W47" s="51" t="str">
        <f>IF($A47="","",SUMIFS(Batches!$L$2:$L$301,Batches!$B$2:$B$301,$A47))</f>
        <v/>
      </c>
      <c r="X47" s="50" t="str">
        <f>IF($A47="","",SUMIFS(Batches!$F$2:$F$301,Batches!$B$2:$B$301,$A47))</f>
        <v/>
      </c>
      <c r="Y47" s="52" t="str">
        <f>IF($A47="","",IF(ISNUMBER($I47),IF(IF(Config!$B$9="Recorded",$R47,$U47)&lt;$I47,1,0),0))</f>
        <v/>
      </c>
      <c r="Z47" s="49" t="str">
        <f>IF($A47="","",IF($R47&lt;0,"Negative",IF($Y47=1,"Below reorder","OK")))</f>
        <v/>
      </c>
      <c r="AA47" s="53" t="str">
        <f>IF($A47="","",IF(ISNUMBER($G47),$R47*$G47,""))</f>
        <v/>
      </c>
      <c r="AB47" s="49" t="str">
        <f>IF(COUNTA($A47:$M47)=0,"",IF($A47="","Missing: SKU",IF(COUNTIF($A$2:$A$101,$A47)&gt;1,"Duplicate SKU",IF($B47="","Missing: product name",IF($C47="","Missing: category",IF($F47="","Missing: primary supplier",IF(NOT(ISNUMBER($H47)),"Missing: opening balance",IF(NOT(ISNUMBER($I47)),"Missing: reorder point",IF(NOT(ISNUMBER($J47)),"Missing: reorder qty",IF($L47="","Missing: status",IF(COUNTIF(Suppliers!$A$2:$A$51,$F47)=0,"Unknown supplier",IF(COUNTIF(Config!$N$15:$N$34,$C47)=0,"Unsupported category",IF(COUNTIF(Config!$O$15:$O$34,$L47)=0,"Unsupported status",IF($X47&lt;&gt;$H47,"Opening balance differs from lot openings",IF($W47&lt;&gt;$R47,"Lot balances differ from recorded stock",IF($R47&lt;0,"Negative recorded stock","OK"))))))))))))))))</f>
        <v/>
      </c>
      <c r="AC47" s="52" t="str">
        <f>IF($Y47=1,COUNTIF($Y$2:$Y47,1),"")</f>
        <v/>
      </c>
    </row>
    <row r="48">
      <c r="A48" s="46" t="n"/>
      <c r="B48" s="46" t="n"/>
      <c r="C48" s="46" t="n"/>
      <c r="D48" s="46" t="n"/>
      <c r="E48" s="46" t="n"/>
      <c r="F48" s="46" t="n"/>
      <c r="G48" s="47" t="n"/>
      <c r="H48" s="48" t="n"/>
      <c r="I48" s="48" t="n"/>
      <c r="J48" s="48" t="n"/>
      <c r="K48" s="48" t="n"/>
      <c r="L48" s="46" t="n"/>
      <c r="M48" s="46" t="n"/>
      <c r="N48" s="49" t="str">
        <f>IF($A48="","",IFERROR(INDEX(Suppliers!$B$2:$B$51,MATCH($F48,Suppliers!$A$2:$A$51,0))&amp;"","(not found)"))</f>
        <v/>
      </c>
      <c r="O48" s="50" t="str">
        <f>IF($A48="","",SUMIFS(Inventory_Ledger!$E$2:$E$2001,Inventory_Ledger!$D$2:$D$2001,$A48,Inventory_Ledger!$C$2:$C$2001,"Receipt"))</f>
        <v/>
      </c>
      <c r="P48" s="50" t="str">
        <f>IF($A48="","",SUMIFS(Inventory_Ledger!$E$2:$E$2001,Inventory_Ledger!$D$2:$D$2001,$A48,Inventory_Ledger!$C$2:$C$2001,"Shipment"))</f>
        <v/>
      </c>
      <c r="Q48" s="51" t="str">
        <f>IF($A48="","",SUMIFS(Inventory_Ledger!$E$2:$E$2001,Inventory_Ledger!$D$2:$D$2001,$A48,Inventory_Ledger!$C$2:$C$2001,"Adjustment"))</f>
        <v/>
      </c>
      <c r="R48" s="51" t="str">
        <f>IF($A48="","",IF(ISNUMBER($H48),$H48,0)+$O48-$P48+$Q48)</f>
        <v/>
      </c>
      <c r="S48" s="50" t="str">
        <f>IF($A48="","",SUMIFS(Reservations!$L$2:$L$201,Reservations!$B$2:$B$201,$A48))</f>
        <v/>
      </c>
      <c r="T48" s="50" t="str">
        <f>IF($A48="","",SUMIFS(Batches!$P$2:$P$301,Batches!$B$2:$B$301,$A48))</f>
        <v/>
      </c>
      <c r="U48" s="51" t="str">
        <f>IF($A48="","",$R48-$S48-$T48)</f>
        <v/>
      </c>
      <c r="V48" s="50" t="str">
        <f>IF($A48="","",SUMIFS(Purchase_Orders!$N$2:$N$301,Purchase_Orders!$C$2:$C$301,$A48,Purchase_Orders!$O$2:$O$301,1))</f>
        <v/>
      </c>
      <c r="W48" s="51" t="str">
        <f>IF($A48="","",SUMIFS(Batches!$L$2:$L$301,Batches!$B$2:$B$301,$A48))</f>
        <v/>
      </c>
      <c r="X48" s="50" t="str">
        <f>IF($A48="","",SUMIFS(Batches!$F$2:$F$301,Batches!$B$2:$B$301,$A48))</f>
        <v/>
      </c>
      <c r="Y48" s="52" t="str">
        <f>IF($A48="","",IF(ISNUMBER($I48),IF(IF(Config!$B$9="Recorded",$R48,$U48)&lt;$I48,1,0),0))</f>
        <v/>
      </c>
      <c r="Z48" s="49" t="str">
        <f>IF($A48="","",IF($R48&lt;0,"Negative",IF($Y48=1,"Below reorder","OK")))</f>
        <v/>
      </c>
      <c r="AA48" s="53" t="str">
        <f>IF($A48="","",IF(ISNUMBER($G48),$R48*$G48,""))</f>
        <v/>
      </c>
      <c r="AB48" s="49" t="str">
        <f>IF(COUNTA($A48:$M48)=0,"",IF($A48="","Missing: SKU",IF(COUNTIF($A$2:$A$101,$A48)&gt;1,"Duplicate SKU",IF($B48="","Missing: product name",IF($C48="","Missing: category",IF($F48="","Missing: primary supplier",IF(NOT(ISNUMBER($H48)),"Missing: opening balance",IF(NOT(ISNUMBER($I48)),"Missing: reorder point",IF(NOT(ISNUMBER($J48)),"Missing: reorder qty",IF($L48="","Missing: status",IF(COUNTIF(Suppliers!$A$2:$A$51,$F48)=0,"Unknown supplier",IF(COUNTIF(Config!$N$15:$N$34,$C48)=0,"Unsupported category",IF(COUNTIF(Config!$O$15:$O$34,$L48)=0,"Unsupported status",IF($X48&lt;&gt;$H48,"Opening balance differs from lot openings",IF($W48&lt;&gt;$R48,"Lot balances differ from recorded stock",IF($R48&lt;0,"Negative recorded stock","OK"))))))))))))))))</f>
        <v/>
      </c>
      <c r="AC48" s="52" t="str">
        <f>IF($Y48=1,COUNTIF($Y$2:$Y48,1),"")</f>
        <v/>
      </c>
    </row>
    <row r="49">
      <c r="A49" s="46" t="n"/>
      <c r="B49" s="46" t="n"/>
      <c r="C49" s="46" t="n"/>
      <c r="D49" s="46" t="n"/>
      <c r="E49" s="46" t="n"/>
      <c r="F49" s="46" t="n"/>
      <c r="G49" s="47" t="n"/>
      <c r="H49" s="48" t="n"/>
      <c r="I49" s="48" t="n"/>
      <c r="J49" s="48" t="n"/>
      <c r="K49" s="48" t="n"/>
      <c r="L49" s="46" t="n"/>
      <c r="M49" s="46" t="n"/>
      <c r="N49" s="49" t="str">
        <f>IF($A49="","",IFERROR(INDEX(Suppliers!$B$2:$B$51,MATCH($F49,Suppliers!$A$2:$A$51,0))&amp;"","(not found)"))</f>
        <v/>
      </c>
      <c r="O49" s="50" t="str">
        <f>IF($A49="","",SUMIFS(Inventory_Ledger!$E$2:$E$2001,Inventory_Ledger!$D$2:$D$2001,$A49,Inventory_Ledger!$C$2:$C$2001,"Receipt"))</f>
        <v/>
      </c>
      <c r="P49" s="50" t="str">
        <f>IF($A49="","",SUMIFS(Inventory_Ledger!$E$2:$E$2001,Inventory_Ledger!$D$2:$D$2001,$A49,Inventory_Ledger!$C$2:$C$2001,"Shipment"))</f>
        <v/>
      </c>
      <c r="Q49" s="51" t="str">
        <f>IF($A49="","",SUMIFS(Inventory_Ledger!$E$2:$E$2001,Inventory_Ledger!$D$2:$D$2001,$A49,Inventory_Ledger!$C$2:$C$2001,"Adjustment"))</f>
        <v/>
      </c>
      <c r="R49" s="51" t="str">
        <f>IF($A49="","",IF(ISNUMBER($H49),$H49,0)+$O49-$P49+$Q49)</f>
        <v/>
      </c>
      <c r="S49" s="50" t="str">
        <f>IF($A49="","",SUMIFS(Reservations!$L$2:$L$201,Reservations!$B$2:$B$201,$A49))</f>
        <v/>
      </c>
      <c r="T49" s="50" t="str">
        <f>IF($A49="","",SUMIFS(Batches!$P$2:$P$301,Batches!$B$2:$B$301,$A49))</f>
        <v/>
      </c>
      <c r="U49" s="51" t="str">
        <f>IF($A49="","",$R49-$S49-$T49)</f>
        <v/>
      </c>
      <c r="V49" s="50" t="str">
        <f>IF($A49="","",SUMIFS(Purchase_Orders!$N$2:$N$301,Purchase_Orders!$C$2:$C$301,$A49,Purchase_Orders!$O$2:$O$301,1))</f>
        <v/>
      </c>
      <c r="W49" s="51" t="str">
        <f>IF($A49="","",SUMIFS(Batches!$L$2:$L$301,Batches!$B$2:$B$301,$A49))</f>
        <v/>
      </c>
      <c r="X49" s="50" t="str">
        <f>IF($A49="","",SUMIFS(Batches!$F$2:$F$301,Batches!$B$2:$B$301,$A49))</f>
        <v/>
      </c>
      <c r="Y49" s="52" t="str">
        <f>IF($A49="","",IF(ISNUMBER($I49),IF(IF(Config!$B$9="Recorded",$R49,$U49)&lt;$I49,1,0),0))</f>
        <v/>
      </c>
      <c r="Z49" s="49" t="str">
        <f>IF($A49="","",IF($R49&lt;0,"Negative",IF($Y49=1,"Below reorder","OK")))</f>
        <v/>
      </c>
      <c r="AA49" s="53" t="str">
        <f>IF($A49="","",IF(ISNUMBER($G49),$R49*$G49,""))</f>
        <v/>
      </c>
      <c r="AB49" s="49" t="str">
        <f>IF(COUNTA($A49:$M49)=0,"",IF($A49="","Missing: SKU",IF(COUNTIF($A$2:$A$101,$A49)&gt;1,"Duplicate SKU",IF($B49="","Missing: product name",IF($C49="","Missing: category",IF($F49="","Missing: primary supplier",IF(NOT(ISNUMBER($H49)),"Missing: opening balance",IF(NOT(ISNUMBER($I49)),"Missing: reorder point",IF(NOT(ISNUMBER($J49)),"Missing: reorder qty",IF($L49="","Missing: status",IF(COUNTIF(Suppliers!$A$2:$A$51,$F49)=0,"Unknown supplier",IF(COUNTIF(Config!$N$15:$N$34,$C49)=0,"Unsupported category",IF(COUNTIF(Config!$O$15:$O$34,$L49)=0,"Unsupported status",IF($X49&lt;&gt;$H49,"Opening balance differs from lot openings",IF($W49&lt;&gt;$R49,"Lot balances differ from recorded stock",IF($R49&lt;0,"Negative recorded stock","OK"))))))))))))))))</f>
        <v/>
      </c>
      <c r="AC49" s="52" t="str">
        <f>IF($Y49=1,COUNTIF($Y$2:$Y49,1),"")</f>
        <v/>
      </c>
    </row>
    <row r="50">
      <c r="A50" s="46" t="n"/>
      <c r="B50" s="46" t="n"/>
      <c r="C50" s="46" t="n"/>
      <c r="D50" s="46" t="n"/>
      <c r="E50" s="46" t="n"/>
      <c r="F50" s="46" t="n"/>
      <c r="G50" s="47" t="n"/>
      <c r="H50" s="48" t="n"/>
      <c r="I50" s="48" t="n"/>
      <c r="J50" s="48" t="n"/>
      <c r="K50" s="48" t="n"/>
      <c r="L50" s="46" t="n"/>
      <c r="M50" s="46" t="n"/>
      <c r="N50" s="49" t="str">
        <f>IF($A50="","",IFERROR(INDEX(Suppliers!$B$2:$B$51,MATCH($F50,Suppliers!$A$2:$A$51,0))&amp;"","(not found)"))</f>
        <v/>
      </c>
      <c r="O50" s="50" t="str">
        <f>IF($A50="","",SUMIFS(Inventory_Ledger!$E$2:$E$2001,Inventory_Ledger!$D$2:$D$2001,$A50,Inventory_Ledger!$C$2:$C$2001,"Receipt"))</f>
        <v/>
      </c>
      <c r="P50" s="50" t="str">
        <f>IF($A50="","",SUMIFS(Inventory_Ledger!$E$2:$E$2001,Inventory_Ledger!$D$2:$D$2001,$A50,Inventory_Ledger!$C$2:$C$2001,"Shipment"))</f>
        <v/>
      </c>
      <c r="Q50" s="51" t="str">
        <f>IF($A50="","",SUMIFS(Inventory_Ledger!$E$2:$E$2001,Inventory_Ledger!$D$2:$D$2001,$A50,Inventory_Ledger!$C$2:$C$2001,"Adjustment"))</f>
        <v/>
      </c>
      <c r="R50" s="51" t="str">
        <f>IF($A50="","",IF(ISNUMBER($H50),$H50,0)+$O50-$P50+$Q50)</f>
        <v/>
      </c>
      <c r="S50" s="50" t="str">
        <f>IF($A50="","",SUMIFS(Reservations!$L$2:$L$201,Reservations!$B$2:$B$201,$A50))</f>
        <v/>
      </c>
      <c r="T50" s="50" t="str">
        <f>IF($A50="","",SUMIFS(Batches!$P$2:$P$301,Batches!$B$2:$B$301,$A50))</f>
        <v/>
      </c>
      <c r="U50" s="51" t="str">
        <f>IF($A50="","",$R50-$S50-$T50)</f>
        <v/>
      </c>
      <c r="V50" s="50" t="str">
        <f>IF($A50="","",SUMIFS(Purchase_Orders!$N$2:$N$301,Purchase_Orders!$C$2:$C$301,$A50,Purchase_Orders!$O$2:$O$301,1))</f>
        <v/>
      </c>
      <c r="W50" s="51" t="str">
        <f>IF($A50="","",SUMIFS(Batches!$L$2:$L$301,Batches!$B$2:$B$301,$A50))</f>
        <v/>
      </c>
      <c r="X50" s="50" t="str">
        <f>IF($A50="","",SUMIFS(Batches!$F$2:$F$301,Batches!$B$2:$B$301,$A50))</f>
        <v/>
      </c>
      <c r="Y50" s="52" t="str">
        <f>IF($A50="","",IF(ISNUMBER($I50),IF(IF(Config!$B$9="Recorded",$R50,$U50)&lt;$I50,1,0),0))</f>
        <v/>
      </c>
      <c r="Z50" s="49" t="str">
        <f>IF($A50="","",IF($R50&lt;0,"Negative",IF($Y50=1,"Below reorder","OK")))</f>
        <v/>
      </c>
      <c r="AA50" s="53" t="str">
        <f>IF($A50="","",IF(ISNUMBER($G50),$R50*$G50,""))</f>
        <v/>
      </c>
      <c r="AB50" s="49" t="str">
        <f>IF(COUNTA($A50:$M50)=0,"",IF($A50="","Missing: SKU",IF(COUNTIF($A$2:$A$101,$A50)&gt;1,"Duplicate SKU",IF($B50="","Missing: product name",IF($C50="","Missing: category",IF($F50="","Missing: primary supplier",IF(NOT(ISNUMBER($H50)),"Missing: opening balance",IF(NOT(ISNUMBER($I50)),"Missing: reorder point",IF(NOT(ISNUMBER($J50)),"Missing: reorder qty",IF($L50="","Missing: status",IF(COUNTIF(Suppliers!$A$2:$A$51,$F50)=0,"Unknown supplier",IF(COUNTIF(Config!$N$15:$N$34,$C50)=0,"Unsupported category",IF(COUNTIF(Config!$O$15:$O$34,$L50)=0,"Unsupported status",IF($X50&lt;&gt;$H50,"Opening balance differs from lot openings",IF($W50&lt;&gt;$R50,"Lot balances differ from recorded stock",IF($R50&lt;0,"Negative recorded stock","OK"))))))))))))))))</f>
        <v/>
      </c>
      <c r="AC50" s="52" t="str">
        <f>IF($Y50=1,COUNTIF($Y$2:$Y50,1),"")</f>
        <v/>
      </c>
    </row>
    <row r="51">
      <c r="A51" s="46" t="n"/>
      <c r="B51" s="46" t="n"/>
      <c r="C51" s="46" t="n"/>
      <c r="D51" s="46" t="n"/>
      <c r="E51" s="46" t="n"/>
      <c r="F51" s="46" t="n"/>
      <c r="G51" s="47" t="n"/>
      <c r="H51" s="48" t="n"/>
      <c r="I51" s="48" t="n"/>
      <c r="J51" s="48" t="n"/>
      <c r="K51" s="48" t="n"/>
      <c r="L51" s="46" t="n"/>
      <c r="M51" s="46" t="n"/>
      <c r="N51" s="49" t="str">
        <f>IF($A51="","",IFERROR(INDEX(Suppliers!$B$2:$B$51,MATCH($F51,Suppliers!$A$2:$A$51,0))&amp;"","(not found)"))</f>
        <v/>
      </c>
      <c r="O51" s="50" t="str">
        <f>IF($A51="","",SUMIFS(Inventory_Ledger!$E$2:$E$2001,Inventory_Ledger!$D$2:$D$2001,$A51,Inventory_Ledger!$C$2:$C$2001,"Receipt"))</f>
        <v/>
      </c>
      <c r="P51" s="50" t="str">
        <f>IF($A51="","",SUMIFS(Inventory_Ledger!$E$2:$E$2001,Inventory_Ledger!$D$2:$D$2001,$A51,Inventory_Ledger!$C$2:$C$2001,"Shipment"))</f>
        <v/>
      </c>
      <c r="Q51" s="51" t="str">
        <f>IF($A51="","",SUMIFS(Inventory_Ledger!$E$2:$E$2001,Inventory_Ledger!$D$2:$D$2001,$A51,Inventory_Ledger!$C$2:$C$2001,"Adjustment"))</f>
        <v/>
      </c>
      <c r="R51" s="51" t="str">
        <f>IF($A51="","",IF(ISNUMBER($H51),$H51,0)+$O51-$P51+$Q51)</f>
        <v/>
      </c>
      <c r="S51" s="50" t="str">
        <f>IF($A51="","",SUMIFS(Reservations!$L$2:$L$201,Reservations!$B$2:$B$201,$A51))</f>
        <v/>
      </c>
      <c r="T51" s="50" t="str">
        <f>IF($A51="","",SUMIFS(Batches!$P$2:$P$301,Batches!$B$2:$B$301,$A51))</f>
        <v/>
      </c>
      <c r="U51" s="51" t="str">
        <f>IF($A51="","",$R51-$S51-$T51)</f>
        <v/>
      </c>
      <c r="V51" s="50" t="str">
        <f>IF($A51="","",SUMIFS(Purchase_Orders!$N$2:$N$301,Purchase_Orders!$C$2:$C$301,$A51,Purchase_Orders!$O$2:$O$301,1))</f>
        <v/>
      </c>
      <c r="W51" s="51" t="str">
        <f>IF($A51="","",SUMIFS(Batches!$L$2:$L$301,Batches!$B$2:$B$301,$A51))</f>
        <v/>
      </c>
      <c r="X51" s="50" t="str">
        <f>IF($A51="","",SUMIFS(Batches!$F$2:$F$301,Batches!$B$2:$B$301,$A51))</f>
        <v/>
      </c>
      <c r="Y51" s="52" t="str">
        <f>IF($A51="","",IF(ISNUMBER($I51),IF(IF(Config!$B$9="Recorded",$R51,$U51)&lt;$I51,1,0),0))</f>
        <v/>
      </c>
      <c r="Z51" s="49" t="str">
        <f>IF($A51="","",IF($R51&lt;0,"Negative",IF($Y51=1,"Below reorder","OK")))</f>
        <v/>
      </c>
      <c r="AA51" s="53" t="str">
        <f>IF($A51="","",IF(ISNUMBER($G51),$R51*$G51,""))</f>
        <v/>
      </c>
      <c r="AB51" s="49" t="str">
        <f>IF(COUNTA($A51:$M51)=0,"",IF($A51="","Missing: SKU",IF(COUNTIF($A$2:$A$101,$A51)&gt;1,"Duplicate SKU",IF($B51="","Missing: product name",IF($C51="","Missing: category",IF($F51="","Missing: primary supplier",IF(NOT(ISNUMBER($H51)),"Missing: opening balance",IF(NOT(ISNUMBER($I51)),"Missing: reorder point",IF(NOT(ISNUMBER($J51)),"Missing: reorder qty",IF($L51="","Missing: status",IF(COUNTIF(Suppliers!$A$2:$A$51,$F51)=0,"Unknown supplier",IF(COUNTIF(Config!$N$15:$N$34,$C51)=0,"Unsupported category",IF(COUNTIF(Config!$O$15:$O$34,$L51)=0,"Unsupported status",IF($X51&lt;&gt;$H51,"Opening balance differs from lot openings",IF($W51&lt;&gt;$R51,"Lot balances differ from recorded stock",IF($R51&lt;0,"Negative recorded stock","OK"))))))))))))))))</f>
        <v/>
      </c>
      <c r="AC51" s="52" t="str">
        <f>IF($Y51=1,COUNTIF($Y$2:$Y51,1),"")</f>
        <v/>
      </c>
    </row>
    <row r="52">
      <c r="A52" s="46" t="n"/>
      <c r="B52" s="46" t="n"/>
      <c r="C52" s="46" t="n"/>
      <c r="D52" s="46" t="n"/>
      <c r="E52" s="46" t="n"/>
      <c r="F52" s="46" t="n"/>
      <c r="G52" s="47" t="n"/>
      <c r="H52" s="48" t="n"/>
      <c r="I52" s="48" t="n"/>
      <c r="J52" s="48" t="n"/>
      <c r="K52" s="48" t="n"/>
      <c r="L52" s="46" t="n"/>
      <c r="M52" s="46" t="n"/>
      <c r="N52" s="49" t="str">
        <f>IF($A52="","",IFERROR(INDEX(Suppliers!$B$2:$B$51,MATCH($F52,Suppliers!$A$2:$A$51,0))&amp;"","(not found)"))</f>
        <v/>
      </c>
      <c r="O52" s="50" t="str">
        <f>IF($A52="","",SUMIFS(Inventory_Ledger!$E$2:$E$2001,Inventory_Ledger!$D$2:$D$2001,$A52,Inventory_Ledger!$C$2:$C$2001,"Receipt"))</f>
        <v/>
      </c>
      <c r="P52" s="50" t="str">
        <f>IF($A52="","",SUMIFS(Inventory_Ledger!$E$2:$E$2001,Inventory_Ledger!$D$2:$D$2001,$A52,Inventory_Ledger!$C$2:$C$2001,"Shipment"))</f>
        <v/>
      </c>
      <c r="Q52" s="51" t="str">
        <f>IF($A52="","",SUMIFS(Inventory_Ledger!$E$2:$E$2001,Inventory_Ledger!$D$2:$D$2001,$A52,Inventory_Ledger!$C$2:$C$2001,"Adjustment"))</f>
        <v/>
      </c>
      <c r="R52" s="51" t="str">
        <f>IF($A52="","",IF(ISNUMBER($H52),$H52,0)+$O52-$P52+$Q52)</f>
        <v/>
      </c>
      <c r="S52" s="50" t="str">
        <f>IF($A52="","",SUMIFS(Reservations!$L$2:$L$201,Reservations!$B$2:$B$201,$A52))</f>
        <v/>
      </c>
      <c r="T52" s="50" t="str">
        <f>IF($A52="","",SUMIFS(Batches!$P$2:$P$301,Batches!$B$2:$B$301,$A52))</f>
        <v/>
      </c>
      <c r="U52" s="51" t="str">
        <f>IF($A52="","",$R52-$S52-$T52)</f>
        <v/>
      </c>
      <c r="V52" s="50" t="str">
        <f>IF($A52="","",SUMIFS(Purchase_Orders!$N$2:$N$301,Purchase_Orders!$C$2:$C$301,$A52,Purchase_Orders!$O$2:$O$301,1))</f>
        <v/>
      </c>
      <c r="W52" s="51" t="str">
        <f>IF($A52="","",SUMIFS(Batches!$L$2:$L$301,Batches!$B$2:$B$301,$A52))</f>
        <v/>
      </c>
      <c r="X52" s="50" t="str">
        <f>IF($A52="","",SUMIFS(Batches!$F$2:$F$301,Batches!$B$2:$B$301,$A52))</f>
        <v/>
      </c>
      <c r="Y52" s="52" t="str">
        <f>IF($A52="","",IF(ISNUMBER($I52),IF(IF(Config!$B$9="Recorded",$R52,$U52)&lt;$I52,1,0),0))</f>
        <v/>
      </c>
      <c r="Z52" s="49" t="str">
        <f>IF($A52="","",IF($R52&lt;0,"Negative",IF($Y52=1,"Below reorder","OK")))</f>
        <v/>
      </c>
      <c r="AA52" s="53" t="str">
        <f>IF($A52="","",IF(ISNUMBER($G52),$R52*$G52,""))</f>
        <v/>
      </c>
      <c r="AB52" s="49" t="str">
        <f>IF(COUNTA($A52:$M52)=0,"",IF($A52="","Missing: SKU",IF(COUNTIF($A$2:$A$101,$A52)&gt;1,"Duplicate SKU",IF($B52="","Missing: product name",IF($C52="","Missing: category",IF($F52="","Missing: primary supplier",IF(NOT(ISNUMBER($H52)),"Missing: opening balance",IF(NOT(ISNUMBER($I52)),"Missing: reorder point",IF(NOT(ISNUMBER($J52)),"Missing: reorder qty",IF($L52="","Missing: status",IF(COUNTIF(Suppliers!$A$2:$A$51,$F52)=0,"Unknown supplier",IF(COUNTIF(Config!$N$15:$N$34,$C52)=0,"Unsupported category",IF(COUNTIF(Config!$O$15:$O$34,$L52)=0,"Unsupported status",IF($X52&lt;&gt;$H52,"Opening balance differs from lot openings",IF($W52&lt;&gt;$R52,"Lot balances differ from recorded stock",IF($R52&lt;0,"Negative recorded stock","OK"))))))))))))))))</f>
        <v/>
      </c>
      <c r="AC52" s="52" t="str">
        <f>IF($Y52=1,COUNTIF($Y$2:$Y52,1),"")</f>
        <v/>
      </c>
    </row>
    <row r="53">
      <c r="A53" s="46" t="n"/>
      <c r="B53" s="46" t="n"/>
      <c r="C53" s="46" t="n"/>
      <c r="D53" s="46" t="n"/>
      <c r="E53" s="46" t="n"/>
      <c r="F53" s="46" t="n"/>
      <c r="G53" s="47" t="n"/>
      <c r="H53" s="48" t="n"/>
      <c r="I53" s="48" t="n"/>
      <c r="J53" s="48" t="n"/>
      <c r="K53" s="48" t="n"/>
      <c r="L53" s="46" t="n"/>
      <c r="M53" s="46" t="n"/>
      <c r="N53" s="49" t="str">
        <f>IF($A53="","",IFERROR(INDEX(Suppliers!$B$2:$B$51,MATCH($F53,Suppliers!$A$2:$A$51,0))&amp;"","(not found)"))</f>
        <v/>
      </c>
      <c r="O53" s="50" t="str">
        <f>IF($A53="","",SUMIFS(Inventory_Ledger!$E$2:$E$2001,Inventory_Ledger!$D$2:$D$2001,$A53,Inventory_Ledger!$C$2:$C$2001,"Receipt"))</f>
        <v/>
      </c>
      <c r="P53" s="50" t="str">
        <f>IF($A53="","",SUMIFS(Inventory_Ledger!$E$2:$E$2001,Inventory_Ledger!$D$2:$D$2001,$A53,Inventory_Ledger!$C$2:$C$2001,"Shipment"))</f>
        <v/>
      </c>
      <c r="Q53" s="51" t="str">
        <f>IF($A53="","",SUMIFS(Inventory_Ledger!$E$2:$E$2001,Inventory_Ledger!$D$2:$D$2001,$A53,Inventory_Ledger!$C$2:$C$2001,"Adjustment"))</f>
        <v/>
      </c>
      <c r="R53" s="51" t="str">
        <f>IF($A53="","",IF(ISNUMBER($H53),$H53,0)+$O53-$P53+$Q53)</f>
        <v/>
      </c>
      <c r="S53" s="50" t="str">
        <f>IF($A53="","",SUMIFS(Reservations!$L$2:$L$201,Reservations!$B$2:$B$201,$A53))</f>
        <v/>
      </c>
      <c r="T53" s="50" t="str">
        <f>IF($A53="","",SUMIFS(Batches!$P$2:$P$301,Batches!$B$2:$B$301,$A53))</f>
        <v/>
      </c>
      <c r="U53" s="51" t="str">
        <f>IF($A53="","",$R53-$S53-$T53)</f>
        <v/>
      </c>
      <c r="V53" s="50" t="str">
        <f>IF($A53="","",SUMIFS(Purchase_Orders!$N$2:$N$301,Purchase_Orders!$C$2:$C$301,$A53,Purchase_Orders!$O$2:$O$301,1))</f>
        <v/>
      </c>
      <c r="W53" s="51" t="str">
        <f>IF($A53="","",SUMIFS(Batches!$L$2:$L$301,Batches!$B$2:$B$301,$A53))</f>
        <v/>
      </c>
      <c r="X53" s="50" t="str">
        <f>IF($A53="","",SUMIFS(Batches!$F$2:$F$301,Batches!$B$2:$B$301,$A53))</f>
        <v/>
      </c>
      <c r="Y53" s="52" t="str">
        <f>IF($A53="","",IF(ISNUMBER($I53),IF(IF(Config!$B$9="Recorded",$R53,$U53)&lt;$I53,1,0),0))</f>
        <v/>
      </c>
      <c r="Z53" s="49" t="str">
        <f>IF($A53="","",IF($R53&lt;0,"Negative",IF($Y53=1,"Below reorder","OK")))</f>
        <v/>
      </c>
      <c r="AA53" s="53" t="str">
        <f>IF($A53="","",IF(ISNUMBER($G53),$R53*$G53,""))</f>
        <v/>
      </c>
      <c r="AB53" s="49" t="str">
        <f>IF(COUNTA($A53:$M53)=0,"",IF($A53="","Missing: SKU",IF(COUNTIF($A$2:$A$101,$A53)&gt;1,"Duplicate SKU",IF($B53="","Missing: product name",IF($C53="","Missing: category",IF($F53="","Missing: primary supplier",IF(NOT(ISNUMBER($H53)),"Missing: opening balance",IF(NOT(ISNUMBER($I53)),"Missing: reorder point",IF(NOT(ISNUMBER($J53)),"Missing: reorder qty",IF($L53="","Missing: status",IF(COUNTIF(Suppliers!$A$2:$A$51,$F53)=0,"Unknown supplier",IF(COUNTIF(Config!$N$15:$N$34,$C53)=0,"Unsupported category",IF(COUNTIF(Config!$O$15:$O$34,$L53)=0,"Unsupported status",IF($X53&lt;&gt;$H53,"Opening balance differs from lot openings",IF($W53&lt;&gt;$R53,"Lot balances differ from recorded stock",IF($R53&lt;0,"Negative recorded stock","OK"))))))))))))))))</f>
        <v/>
      </c>
      <c r="AC53" s="52" t="str">
        <f>IF($Y53=1,COUNTIF($Y$2:$Y53,1),"")</f>
        <v/>
      </c>
    </row>
    <row r="54">
      <c r="A54" s="46" t="n"/>
      <c r="B54" s="46" t="n"/>
      <c r="C54" s="46" t="n"/>
      <c r="D54" s="46" t="n"/>
      <c r="E54" s="46" t="n"/>
      <c r="F54" s="46" t="n"/>
      <c r="G54" s="47" t="n"/>
      <c r="H54" s="48" t="n"/>
      <c r="I54" s="48" t="n"/>
      <c r="J54" s="48" t="n"/>
      <c r="K54" s="48" t="n"/>
      <c r="L54" s="46" t="n"/>
      <c r="M54" s="46" t="n"/>
      <c r="N54" s="49" t="str">
        <f>IF($A54="","",IFERROR(INDEX(Suppliers!$B$2:$B$51,MATCH($F54,Suppliers!$A$2:$A$51,0))&amp;"","(not found)"))</f>
        <v/>
      </c>
      <c r="O54" s="50" t="str">
        <f>IF($A54="","",SUMIFS(Inventory_Ledger!$E$2:$E$2001,Inventory_Ledger!$D$2:$D$2001,$A54,Inventory_Ledger!$C$2:$C$2001,"Receipt"))</f>
        <v/>
      </c>
      <c r="P54" s="50" t="str">
        <f>IF($A54="","",SUMIFS(Inventory_Ledger!$E$2:$E$2001,Inventory_Ledger!$D$2:$D$2001,$A54,Inventory_Ledger!$C$2:$C$2001,"Shipment"))</f>
        <v/>
      </c>
      <c r="Q54" s="51" t="str">
        <f>IF($A54="","",SUMIFS(Inventory_Ledger!$E$2:$E$2001,Inventory_Ledger!$D$2:$D$2001,$A54,Inventory_Ledger!$C$2:$C$2001,"Adjustment"))</f>
        <v/>
      </c>
      <c r="R54" s="51" t="str">
        <f>IF($A54="","",IF(ISNUMBER($H54),$H54,0)+$O54-$P54+$Q54)</f>
        <v/>
      </c>
      <c r="S54" s="50" t="str">
        <f>IF($A54="","",SUMIFS(Reservations!$L$2:$L$201,Reservations!$B$2:$B$201,$A54))</f>
        <v/>
      </c>
      <c r="T54" s="50" t="str">
        <f>IF($A54="","",SUMIFS(Batches!$P$2:$P$301,Batches!$B$2:$B$301,$A54))</f>
        <v/>
      </c>
      <c r="U54" s="51" t="str">
        <f>IF($A54="","",$R54-$S54-$T54)</f>
        <v/>
      </c>
      <c r="V54" s="50" t="str">
        <f>IF($A54="","",SUMIFS(Purchase_Orders!$N$2:$N$301,Purchase_Orders!$C$2:$C$301,$A54,Purchase_Orders!$O$2:$O$301,1))</f>
        <v/>
      </c>
      <c r="W54" s="51" t="str">
        <f>IF($A54="","",SUMIFS(Batches!$L$2:$L$301,Batches!$B$2:$B$301,$A54))</f>
        <v/>
      </c>
      <c r="X54" s="50" t="str">
        <f>IF($A54="","",SUMIFS(Batches!$F$2:$F$301,Batches!$B$2:$B$301,$A54))</f>
        <v/>
      </c>
      <c r="Y54" s="52" t="str">
        <f>IF($A54="","",IF(ISNUMBER($I54),IF(IF(Config!$B$9="Recorded",$R54,$U54)&lt;$I54,1,0),0))</f>
        <v/>
      </c>
      <c r="Z54" s="49" t="str">
        <f>IF($A54="","",IF($R54&lt;0,"Negative",IF($Y54=1,"Below reorder","OK")))</f>
        <v/>
      </c>
      <c r="AA54" s="53" t="str">
        <f>IF($A54="","",IF(ISNUMBER($G54),$R54*$G54,""))</f>
        <v/>
      </c>
      <c r="AB54" s="49" t="str">
        <f>IF(COUNTA($A54:$M54)=0,"",IF($A54="","Missing: SKU",IF(COUNTIF($A$2:$A$101,$A54)&gt;1,"Duplicate SKU",IF($B54="","Missing: product name",IF($C54="","Missing: category",IF($F54="","Missing: primary supplier",IF(NOT(ISNUMBER($H54)),"Missing: opening balance",IF(NOT(ISNUMBER($I54)),"Missing: reorder point",IF(NOT(ISNUMBER($J54)),"Missing: reorder qty",IF($L54="","Missing: status",IF(COUNTIF(Suppliers!$A$2:$A$51,$F54)=0,"Unknown supplier",IF(COUNTIF(Config!$N$15:$N$34,$C54)=0,"Unsupported category",IF(COUNTIF(Config!$O$15:$O$34,$L54)=0,"Unsupported status",IF($X54&lt;&gt;$H54,"Opening balance differs from lot openings",IF($W54&lt;&gt;$R54,"Lot balances differ from recorded stock",IF($R54&lt;0,"Negative recorded stock","OK"))))))))))))))))</f>
        <v/>
      </c>
      <c r="AC54" s="52" t="str">
        <f>IF($Y54=1,COUNTIF($Y$2:$Y54,1),"")</f>
        <v/>
      </c>
    </row>
    <row r="55">
      <c r="A55" s="46" t="n"/>
      <c r="B55" s="46" t="n"/>
      <c r="C55" s="46" t="n"/>
      <c r="D55" s="46" t="n"/>
      <c r="E55" s="46" t="n"/>
      <c r="F55" s="46" t="n"/>
      <c r="G55" s="47" t="n"/>
      <c r="H55" s="48" t="n"/>
      <c r="I55" s="48" t="n"/>
      <c r="J55" s="48" t="n"/>
      <c r="K55" s="48" t="n"/>
      <c r="L55" s="46" t="n"/>
      <c r="M55" s="46" t="n"/>
      <c r="N55" s="49" t="str">
        <f>IF($A55="","",IFERROR(INDEX(Suppliers!$B$2:$B$51,MATCH($F55,Suppliers!$A$2:$A$51,0))&amp;"","(not found)"))</f>
        <v/>
      </c>
      <c r="O55" s="50" t="str">
        <f>IF($A55="","",SUMIFS(Inventory_Ledger!$E$2:$E$2001,Inventory_Ledger!$D$2:$D$2001,$A55,Inventory_Ledger!$C$2:$C$2001,"Receipt"))</f>
        <v/>
      </c>
      <c r="P55" s="50" t="str">
        <f>IF($A55="","",SUMIFS(Inventory_Ledger!$E$2:$E$2001,Inventory_Ledger!$D$2:$D$2001,$A55,Inventory_Ledger!$C$2:$C$2001,"Shipment"))</f>
        <v/>
      </c>
      <c r="Q55" s="51" t="str">
        <f>IF($A55="","",SUMIFS(Inventory_Ledger!$E$2:$E$2001,Inventory_Ledger!$D$2:$D$2001,$A55,Inventory_Ledger!$C$2:$C$2001,"Adjustment"))</f>
        <v/>
      </c>
      <c r="R55" s="51" t="str">
        <f>IF($A55="","",IF(ISNUMBER($H55),$H55,0)+$O55-$P55+$Q55)</f>
        <v/>
      </c>
      <c r="S55" s="50" t="str">
        <f>IF($A55="","",SUMIFS(Reservations!$L$2:$L$201,Reservations!$B$2:$B$201,$A55))</f>
        <v/>
      </c>
      <c r="T55" s="50" t="str">
        <f>IF($A55="","",SUMIFS(Batches!$P$2:$P$301,Batches!$B$2:$B$301,$A55))</f>
        <v/>
      </c>
      <c r="U55" s="51" t="str">
        <f>IF($A55="","",$R55-$S55-$T55)</f>
        <v/>
      </c>
      <c r="V55" s="50" t="str">
        <f>IF($A55="","",SUMIFS(Purchase_Orders!$N$2:$N$301,Purchase_Orders!$C$2:$C$301,$A55,Purchase_Orders!$O$2:$O$301,1))</f>
        <v/>
      </c>
      <c r="W55" s="51" t="str">
        <f>IF($A55="","",SUMIFS(Batches!$L$2:$L$301,Batches!$B$2:$B$301,$A55))</f>
        <v/>
      </c>
      <c r="X55" s="50" t="str">
        <f>IF($A55="","",SUMIFS(Batches!$F$2:$F$301,Batches!$B$2:$B$301,$A55))</f>
        <v/>
      </c>
      <c r="Y55" s="52" t="str">
        <f>IF($A55="","",IF(ISNUMBER($I55),IF(IF(Config!$B$9="Recorded",$R55,$U55)&lt;$I55,1,0),0))</f>
        <v/>
      </c>
      <c r="Z55" s="49" t="str">
        <f>IF($A55="","",IF($R55&lt;0,"Negative",IF($Y55=1,"Below reorder","OK")))</f>
        <v/>
      </c>
      <c r="AA55" s="53" t="str">
        <f>IF($A55="","",IF(ISNUMBER($G55),$R55*$G55,""))</f>
        <v/>
      </c>
      <c r="AB55" s="49" t="str">
        <f>IF(COUNTA($A55:$M55)=0,"",IF($A55="","Missing: SKU",IF(COUNTIF($A$2:$A$101,$A55)&gt;1,"Duplicate SKU",IF($B55="","Missing: product name",IF($C55="","Missing: category",IF($F55="","Missing: primary supplier",IF(NOT(ISNUMBER($H55)),"Missing: opening balance",IF(NOT(ISNUMBER($I55)),"Missing: reorder point",IF(NOT(ISNUMBER($J55)),"Missing: reorder qty",IF($L55="","Missing: status",IF(COUNTIF(Suppliers!$A$2:$A$51,$F55)=0,"Unknown supplier",IF(COUNTIF(Config!$N$15:$N$34,$C55)=0,"Unsupported category",IF(COUNTIF(Config!$O$15:$O$34,$L55)=0,"Unsupported status",IF($X55&lt;&gt;$H55,"Opening balance differs from lot openings",IF($W55&lt;&gt;$R55,"Lot balances differ from recorded stock",IF($R55&lt;0,"Negative recorded stock","OK"))))))))))))))))</f>
        <v/>
      </c>
      <c r="AC55" s="52" t="str">
        <f>IF($Y55=1,COUNTIF($Y$2:$Y55,1),"")</f>
        <v/>
      </c>
    </row>
    <row r="56">
      <c r="A56" s="46" t="n"/>
      <c r="B56" s="46" t="n"/>
      <c r="C56" s="46" t="n"/>
      <c r="D56" s="46" t="n"/>
      <c r="E56" s="46" t="n"/>
      <c r="F56" s="46" t="n"/>
      <c r="G56" s="47" t="n"/>
      <c r="H56" s="48" t="n"/>
      <c r="I56" s="48" t="n"/>
      <c r="J56" s="48" t="n"/>
      <c r="K56" s="48" t="n"/>
      <c r="L56" s="46" t="n"/>
      <c r="M56" s="46" t="n"/>
      <c r="N56" s="49" t="str">
        <f>IF($A56="","",IFERROR(INDEX(Suppliers!$B$2:$B$51,MATCH($F56,Suppliers!$A$2:$A$51,0))&amp;"","(not found)"))</f>
        <v/>
      </c>
      <c r="O56" s="50" t="str">
        <f>IF($A56="","",SUMIFS(Inventory_Ledger!$E$2:$E$2001,Inventory_Ledger!$D$2:$D$2001,$A56,Inventory_Ledger!$C$2:$C$2001,"Receipt"))</f>
        <v/>
      </c>
      <c r="P56" s="50" t="str">
        <f>IF($A56="","",SUMIFS(Inventory_Ledger!$E$2:$E$2001,Inventory_Ledger!$D$2:$D$2001,$A56,Inventory_Ledger!$C$2:$C$2001,"Shipment"))</f>
        <v/>
      </c>
      <c r="Q56" s="51" t="str">
        <f>IF($A56="","",SUMIFS(Inventory_Ledger!$E$2:$E$2001,Inventory_Ledger!$D$2:$D$2001,$A56,Inventory_Ledger!$C$2:$C$2001,"Adjustment"))</f>
        <v/>
      </c>
      <c r="R56" s="51" t="str">
        <f>IF($A56="","",IF(ISNUMBER($H56),$H56,0)+$O56-$P56+$Q56)</f>
        <v/>
      </c>
      <c r="S56" s="50" t="str">
        <f>IF($A56="","",SUMIFS(Reservations!$L$2:$L$201,Reservations!$B$2:$B$201,$A56))</f>
        <v/>
      </c>
      <c r="T56" s="50" t="str">
        <f>IF($A56="","",SUMIFS(Batches!$P$2:$P$301,Batches!$B$2:$B$301,$A56))</f>
        <v/>
      </c>
      <c r="U56" s="51" t="str">
        <f>IF($A56="","",$R56-$S56-$T56)</f>
        <v/>
      </c>
      <c r="V56" s="50" t="str">
        <f>IF($A56="","",SUMIFS(Purchase_Orders!$N$2:$N$301,Purchase_Orders!$C$2:$C$301,$A56,Purchase_Orders!$O$2:$O$301,1))</f>
        <v/>
      </c>
      <c r="W56" s="51" t="str">
        <f>IF($A56="","",SUMIFS(Batches!$L$2:$L$301,Batches!$B$2:$B$301,$A56))</f>
        <v/>
      </c>
      <c r="X56" s="50" t="str">
        <f>IF($A56="","",SUMIFS(Batches!$F$2:$F$301,Batches!$B$2:$B$301,$A56))</f>
        <v/>
      </c>
      <c r="Y56" s="52" t="str">
        <f>IF($A56="","",IF(ISNUMBER($I56),IF(IF(Config!$B$9="Recorded",$R56,$U56)&lt;$I56,1,0),0))</f>
        <v/>
      </c>
      <c r="Z56" s="49" t="str">
        <f>IF($A56="","",IF($R56&lt;0,"Negative",IF($Y56=1,"Below reorder","OK")))</f>
        <v/>
      </c>
      <c r="AA56" s="53" t="str">
        <f>IF($A56="","",IF(ISNUMBER($G56),$R56*$G56,""))</f>
        <v/>
      </c>
      <c r="AB56" s="49" t="str">
        <f>IF(COUNTA($A56:$M56)=0,"",IF($A56="","Missing: SKU",IF(COUNTIF($A$2:$A$101,$A56)&gt;1,"Duplicate SKU",IF($B56="","Missing: product name",IF($C56="","Missing: category",IF($F56="","Missing: primary supplier",IF(NOT(ISNUMBER($H56)),"Missing: opening balance",IF(NOT(ISNUMBER($I56)),"Missing: reorder point",IF(NOT(ISNUMBER($J56)),"Missing: reorder qty",IF($L56="","Missing: status",IF(COUNTIF(Suppliers!$A$2:$A$51,$F56)=0,"Unknown supplier",IF(COUNTIF(Config!$N$15:$N$34,$C56)=0,"Unsupported category",IF(COUNTIF(Config!$O$15:$O$34,$L56)=0,"Unsupported status",IF($X56&lt;&gt;$H56,"Opening balance differs from lot openings",IF($W56&lt;&gt;$R56,"Lot balances differ from recorded stock",IF($R56&lt;0,"Negative recorded stock","OK"))))))))))))))))</f>
        <v/>
      </c>
      <c r="AC56" s="52" t="str">
        <f>IF($Y56=1,COUNTIF($Y$2:$Y56,1),"")</f>
        <v/>
      </c>
    </row>
    <row r="57">
      <c r="A57" s="46" t="n"/>
      <c r="B57" s="46" t="n"/>
      <c r="C57" s="46" t="n"/>
      <c r="D57" s="46" t="n"/>
      <c r="E57" s="46" t="n"/>
      <c r="F57" s="46" t="n"/>
      <c r="G57" s="47" t="n"/>
      <c r="H57" s="48" t="n"/>
      <c r="I57" s="48" t="n"/>
      <c r="J57" s="48" t="n"/>
      <c r="K57" s="48" t="n"/>
      <c r="L57" s="46" t="n"/>
      <c r="M57" s="46" t="n"/>
      <c r="N57" s="49" t="str">
        <f>IF($A57="","",IFERROR(INDEX(Suppliers!$B$2:$B$51,MATCH($F57,Suppliers!$A$2:$A$51,0))&amp;"","(not found)"))</f>
        <v/>
      </c>
      <c r="O57" s="50" t="str">
        <f>IF($A57="","",SUMIFS(Inventory_Ledger!$E$2:$E$2001,Inventory_Ledger!$D$2:$D$2001,$A57,Inventory_Ledger!$C$2:$C$2001,"Receipt"))</f>
        <v/>
      </c>
      <c r="P57" s="50" t="str">
        <f>IF($A57="","",SUMIFS(Inventory_Ledger!$E$2:$E$2001,Inventory_Ledger!$D$2:$D$2001,$A57,Inventory_Ledger!$C$2:$C$2001,"Shipment"))</f>
        <v/>
      </c>
      <c r="Q57" s="51" t="str">
        <f>IF($A57="","",SUMIFS(Inventory_Ledger!$E$2:$E$2001,Inventory_Ledger!$D$2:$D$2001,$A57,Inventory_Ledger!$C$2:$C$2001,"Adjustment"))</f>
        <v/>
      </c>
      <c r="R57" s="51" t="str">
        <f>IF($A57="","",IF(ISNUMBER($H57),$H57,0)+$O57-$P57+$Q57)</f>
        <v/>
      </c>
      <c r="S57" s="50" t="str">
        <f>IF($A57="","",SUMIFS(Reservations!$L$2:$L$201,Reservations!$B$2:$B$201,$A57))</f>
        <v/>
      </c>
      <c r="T57" s="50" t="str">
        <f>IF($A57="","",SUMIFS(Batches!$P$2:$P$301,Batches!$B$2:$B$301,$A57))</f>
        <v/>
      </c>
      <c r="U57" s="51" t="str">
        <f>IF($A57="","",$R57-$S57-$T57)</f>
        <v/>
      </c>
      <c r="V57" s="50" t="str">
        <f>IF($A57="","",SUMIFS(Purchase_Orders!$N$2:$N$301,Purchase_Orders!$C$2:$C$301,$A57,Purchase_Orders!$O$2:$O$301,1))</f>
        <v/>
      </c>
      <c r="W57" s="51" t="str">
        <f>IF($A57="","",SUMIFS(Batches!$L$2:$L$301,Batches!$B$2:$B$301,$A57))</f>
        <v/>
      </c>
      <c r="X57" s="50" t="str">
        <f>IF($A57="","",SUMIFS(Batches!$F$2:$F$301,Batches!$B$2:$B$301,$A57))</f>
        <v/>
      </c>
      <c r="Y57" s="52" t="str">
        <f>IF($A57="","",IF(ISNUMBER($I57),IF(IF(Config!$B$9="Recorded",$R57,$U57)&lt;$I57,1,0),0))</f>
        <v/>
      </c>
      <c r="Z57" s="49" t="str">
        <f>IF($A57="","",IF($R57&lt;0,"Negative",IF($Y57=1,"Below reorder","OK")))</f>
        <v/>
      </c>
      <c r="AA57" s="53" t="str">
        <f>IF($A57="","",IF(ISNUMBER($G57),$R57*$G57,""))</f>
        <v/>
      </c>
      <c r="AB57" s="49" t="str">
        <f>IF(COUNTA($A57:$M57)=0,"",IF($A57="","Missing: SKU",IF(COUNTIF($A$2:$A$101,$A57)&gt;1,"Duplicate SKU",IF($B57="","Missing: product name",IF($C57="","Missing: category",IF($F57="","Missing: primary supplier",IF(NOT(ISNUMBER($H57)),"Missing: opening balance",IF(NOT(ISNUMBER($I57)),"Missing: reorder point",IF(NOT(ISNUMBER($J57)),"Missing: reorder qty",IF($L57="","Missing: status",IF(COUNTIF(Suppliers!$A$2:$A$51,$F57)=0,"Unknown supplier",IF(COUNTIF(Config!$N$15:$N$34,$C57)=0,"Unsupported category",IF(COUNTIF(Config!$O$15:$O$34,$L57)=0,"Unsupported status",IF($X57&lt;&gt;$H57,"Opening balance differs from lot openings",IF($W57&lt;&gt;$R57,"Lot balances differ from recorded stock",IF($R57&lt;0,"Negative recorded stock","OK"))))))))))))))))</f>
        <v/>
      </c>
      <c r="AC57" s="52" t="str">
        <f>IF($Y57=1,COUNTIF($Y$2:$Y57,1),"")</f>
        <v/>
      </c>
    </row>
    <row r="58">
      <c r="A58" s="46" t="n"/>
      <c r="B58" s="46" t="n"/>
      <c r="C58" s="46" t="n"/>
      <c r="D58" s="46" t="n"/>
      <c r="E58" s="46" t="n"/>
      <c r="F58" s="46" t="n"/>
      <c r="G58" s="47" t="n"/>
      <c r="H58" s="48" t="n"/>
      <c r="I58" s="48" t="n"/>
      <c r="J58" s="48" t="n"/>
      <c r="K58" s="48" t="n"/>
      <c r="L58" s="46" t="n"/>
      <c r="M58" s="46" t="n"/>
      <c r="N58" s="49" t="str">
        <f>IF($A58="","",IFERROR(INDEX(Suppliers!$B$2:$B$51,MATCH($F58,Suppliers!$A$2:$A$51,0))&amp;"","(not found)"))</f>
        <v/>
      </c>
      <c r="O58" s="50" t="str">
        <f>IF($A58="","",SUMIFS(Inventory_Ledger!$E$2:$E$2001,Inventory_Ledger!$D$2:$D$2001,$A58,Inventory_Ledger!$C$2:$C$2001,"Receipt"))</f>
        <v/>
      </c>
      <c r="P58" s="50" t="str">
        <f>IF($A58="","",SUMIFS(Inventory_Ledger!$E$2:$E$2001,Inventory_Ledger!$D$2:$D$2001,$A58,Inventory_Ledger!$C$2:$C$2001,"Shipment"))</f>
        <v/>
      </c>
      <c r="Q58" s="51" t="str">
        <f>IF($A58="","",SUMIFS(Inventory_Ledger!$E$2:$E$2001,Inventory_Ledger!$D$2:$D$2001,$A58,Inventory_Ledger!$C$2:$C$2001,"Adjustment"))</f>
        <v/>
      </c>
      <c r="R58" s="51" t="str">
        <f>IF($A58="","",IF(ISNUMBER($H58),$H58,0)+$O58-$P58+$Q58)</f>
        <v/>
      </c>
      <c r="S58" s="50" t="str">
        <f>IF($A58="","",SUMIFS(Reservations!$L$2:$L$201,Reservations!$B$2:$B$201,$A58))</f>
        <v/>
      </c>
      <c r="T58" s="50" t="str">
        <f>IF($A58="","",SUMIFS(Batches!$P$2:$P$301,Batches!$B$2:$B$301,$A58))</f>
        <v/>
      </c>
      <c r="U58" s="51" t="str">
        <f>IF($A58="","",$R58-$S58-$T58)</f>
        <v/>
      </c>
      <c r="V58" s="50" t="str">
        <f>IF($A58="","",SUMIFS(Purchase_Orders!$N$2:$N$301,Purchase_Orders!$C$2:$C$301,$A58,Purchase_Orders!$O$2:$O$301,1))</f>
        <v/>
      </c>
      <c r="W58" s="51" t="str">
        <f>IF($A58="","",SUMIFS(Batches!$L$2:$L$301,Batches!$B$2:$B$301,$A58))</f>
        <v/>
      </c>
      <c r="X58" s="50" t="str">
        <f>IF($A58="","",SUMIFS(Batches!$F$2:$F$301,Batches!$B$2:$B$301,$A58))</f>
        <v/>
      </c>
      <c r="Y58" s="52" t="str">
        <f>IF($A58="","",IF(ISNUMBER($I58),IF(IF(Config!$B$9="Recorded",$R58,$U58)&lt;$I58,1,0),0))</f>
        <v/>
      </c>
      <c r="Z58" s="49" t="str">
        <f>IF($A58="","",IF($R58&lt;0,"Negative",IF($Y58=1,"Below reorder","OK")))</f>
        <v/>
      </c>
      <c r="AA58" s="53" t="str">
        <f>IF($A58="","",IF(ISNUMBER($G58),$R58*$G58,""))</f>
        <v/>
      </c>
      <c r="AB58" s="49" t="str">
        <f>IF(COUNTA($A58:$M58)=0,"",IF($A58="","Missing: SKU",IF(COUNTIF($A$2:$A$101,$A58)&gt;1,"Duplicate SKU",IF($B58="","Missing: product name",IF($C58="","Missing: category",IF($F58="","Missing: primary supplier",IF(NOT(ISNUMBER($H58)),"Missing: opening balance",IF(NOT(ISNUMBER($I58)),"Missing: reorder point",IF(NOT(ISNUMBER($J58)),"Missing: reorder qty",IF($L58="","Missing: status",IF(COUNTIF(Suppliers!$A$2:$A$51,$F58)=0,"Unknown supplier",IF(COUNTIF(Config!$N$15:$N$34,$C58)=0,"Unsupported category",IF(COUNTIF(Config!$O$15:$O$34,$L58)=0,"Unsupported status",IF($X58&lt;&gt;$H58,"Opening balance differs from lot openings",IF($W58&lt;&gt;$R58,"Lot balances differ from recorded stock",IF($R58&lt;0,"Negative recorded stock","OK"))))))))))))))))</f>
        <v/>
      </c>
      <c r="AC58" s="52" t="str">
        <f>IF($Y58=1,COUNTIF($Y$2:$Y58,1),"")</f>
        <v/>
      </c>
    </row>
    <row r="59">
      <c r="A59" s="46" t="n"/>
      <c r="B59" s="46" t="n"/>
      <c r="C59" s="46" t="n"/>
      <c r="D59" s="46" t="n"/>
      <c r="E59" s="46" t="n"/>
      <c r="F59" s="46" t="n"/>
      <c r="G59" s="47" t="n"/>
      <c r="H59" s="48" t="n"/>
      <c r="I59" s="48" t="n"/>
      <c r="J59" s="48" t="n"/>
      <c r="K59" s="48" t="n"/>
      <c r="L59" s="46" t="n"/>
      <c r="M59" s="46" t="n"/>
      <c r="N59" s="49" t="str">
        <f>IF($A59="","",IFERROR(INDEX(Suppliers!$B$2:$B$51,MATCH($F59,Suppliers!$A$2:$A$51,0))&amp;"","(not found)"))</f>
        <v/>
      </c>
      <c r="O59" s="50" t="str">
        <f>IF($A59="","",SUMIFS(Inventory_Ledger!$E$2:$E$2001,Inventory_Ledger!$D$2:$D$2001,$A59,Inventory_Ledger!$C$2:$C$2001,"Receipt"))</f>
        <v/>
      </c>
      <c r="P59" s="50" t="str">
        <f>IF($A59="","",SUMIFS(Inventory_Ledger!$E$2:$E$2001,Inventory_Ledger!$D$2:$D$2001,$A59,Inventory_Ledger!$C$2:$C$2001,"Shipment"))</f>
        <v/>
      </c>
      <c r="Q59" s="51" t="str">
        <f>IF($A59="","",SUMIFS(Inventory_Ledger!$E$2:$E$2001,Inventory_Ledger!$D$2:$D$2001,$A59,Inventory_Ledger!$C$2:$C$2001,"Adjustment"))</f>
        <v/>
      </c>
      <c r="R59" s="51" t="str">
        <f>IF($A59="","",IF(ISNUMBER($H59),$H59,0)+$O59-$P59+$Q59)</f>
        <v/>
      </c>
      <c r="S59" s="50" t="str">
        <f>IF($A59="","",SUMIFS(Reservations!$L$2:$L$201,Reservations!$B$2:$B$201,$A59))</f>
        <v/>
      </c>
      <c r="T59" s="50" t="str">
        <f>IF($A59="","",SUMIFS(Batches!$P$2:$P$301,Batches!$B$2:$B$301,$A59))</f>
        <v/>
      </c>
      <c r="U59" s="51" t="str">
        <f>IF($A59="","",$R59-$S59-$T59)</f>
        <v/>
      </c>
      <c r="V59" s="50" t="str">
        <f>IF($A59="","",SUMIFS(Purchase_Orders!$N$2:$N$301,Purchase_Orders!$C$2:$C$301,$A59,Purchase_Orders!$O$2:$O$301,1))</f>
        <v/>
      </c>
      <c r="W59" s="51" t="str">
        <f>IF($A59="","",SUMIFS(Batches!$L$2:$L$301,Batches!$B$2:$B$301,$A59))</f>
        <v/>
      </c>
      <c r="X59" s="50" t="str">
        <f>IF($A59="","",SUMIFS(Batches!$F$2:$F$301,Batches!$B$2:$B$301,$A59))</f>
        <v/>
      </c>
      <c r="Y59" s="52" t="str">
        <f>IF($A59="","",IF(ISNUMBER($I59),IF(IF(Config!$B$9="Recorded",$R59,$U59)&lt;$I59,1,0),0))</f>
        <v/>
      </c>
      <c r="Z59" s="49" t="str">
        <f>IF($A59="","",IF($R59&lt;0,"Negative",IF($Y59=1,"Below reorder","OK")))</f>
        <v/>
      </c>
      <c r="AA59" s="53" t="str">
        <f>IF($A59="","",IF(ISNUMBER($G59),$R59*$G59,""))</f>
        <v/>
      </c>
      <c r="AB59" s="49" t="str">
        <f>IF(COUNTA($A59:$M59)=0,"",IF($A59="","Missing: SKU",IF(COUNTIF($A$2:$A$101,$A59)&gt;1,"Duplicate SKU",IF($B59="","Missing: product name",IF($C59="","Missing: category",IF($F59="","Missing: primary supplier",IF(NOT(ISNUMBER($H59)),"Missing: opening balance",IF(NOT(ISNUMBER($I59)),"Missing: reorder point",IF(NOT(ISNUMBER($J59)),"Missing: reorder qty",IF($L59="","Missing: status",IF(COUNTIF(Suppliers!$A$2:$A$51,$F59)=0,"Unknown supplier",IF(COUNTIF(Config!$N$15:$N$34,$C59)=0,"Unsupported category",IF(COUNTIF(Config!$O$15:$O$34,$L59)=0,"Unsupported status",IF($X59&lt;&gt;$H59,"Opening balance differs from lot openings",IF($W59&lt;&gt;$R59,"Lot balances differ from recorded stock",IF($R59&lt;0,"Negative recorded stock","OK"))))))))))))))))</f>
        <v/>
      </c>
      <c r="AC59" s="52" t="str">
        <f>IF($Y59=1,COUNTIF($Y$2:$Y59,1),"")</f>
        <v/>
      </c>
    </row>
    <row r="60">
      <c r="A60" s="46" t="n"/>
      <c r="B60" s="46" t="n"/>
      <c r="C60" s="46" t="n"/>
      <c r="D60" s="46" t="n"/>
      <c r="E60" s="46" t="n"/>
      <c r="F60" s="46" t="n"/>
      <c r="G60" s="47" t="n"/>
      <c r="H60" s="48" t="n"/>
      <c r="I60" s="48" t="n"/>
      <c r="J60" s="48" t="n"/>
      <c r="K60" s="48" t="n"/>
      <c r="L60" s="46" t="n"/>
      <c r="M60" s="46" t="n"/>
      <c r="N60" s="49" t="str">
        <f>IF($A60="","",IFERROR(INDEX(Suppliers!$B$2:$B$51,MATCH($F60,Suppliers!$A$2:$A$51,0))&amp;"","(not found)"))</f>
        <v/>
      </c>
      <c r="O60" s="50" t="str">
        <f>IF($A60="","",SUMIFS(Inventory_Ledger!$E$2:$E$2001,Inventory_Ledger!$D$2:$D$2001,$A60,Inventory_Ledger!$C$2:$C$2001,"Receipt"))</f>
        <v/>
      </c>
      <c r="P60" s="50" t="str">
        <f>IF($A60="","",SUMIFS(Inventory_Ledger!$E$2:$E$2001,Inventory_Ledger!$D$2:$D$2001,$A60,Inventory_Ledger!$C$2:$C$2001,"Shipment"))</f>
        <v/>
      </c>
      <c r="Q60" s="51" t="str">
        <f>IF($A60="","",SUMIFS(Inventory_Ledger!$E$2:$E$2001,Inventory_Ledger!$D$2:$D$2001,$A60,Inventory_Ledger!$C$2:$C$2001,"Adjustment"))</f>
        <v/>
      </c>
      <c r="R60" s="51" t="str">
        <f>IF($A60="","",IF(ISNUMBER($H60),$H60,0)+$O60-$P60+$Q60)</f>
        <v/>
      </c>
      <c r="S60" s="50" t="str">
        <f>IF($A60="","",SUMIFS(Reservations!$L$2:$L$201,Reservations!$B$2:$B$201,$A60))</f>
        <v/>
      </c>
      <c r="T60" s="50" t="str">
        <f>IF($A60="","",SUMIFS(Batches!$P$2:$P$301,Batches!$B$2:$B$301,$A60))</f>
        <v/>
      </c>
      <c r="U60" s="51" t="str">
        <f>IF($A60="","",$R60-$S60-$T60)</f>
        <v/>
      </c>
      <c r="V60" s="50" t="str">
        <f>IF($A60="","",SUMIFS(Purchase_Orders!$N$2:$N$301,Purchase_Orders!$C$2:$C$301,$A60,Purchase_Orders!$O$2:$O$301,1))</f>
        <v/>
      </c>
      <c r="W60" s="51" t="str">
        <f>IF($A60="","",SUMIFS(Batches!$L$2:$L$301,Batches!$B$2:$B$301,$A60))</f>
        <v/>
      </c>
      <c r="X60" s="50" t="str">
        <f>IF($A60="","",SUMIFS(Batches!$F$2:$F$301,Batches!$B$2:$B$301,$A60))</f>
        <v/>
      </c>
      <c r="Y60" s="52" t="str">
        <f>IF($A60="","",IF(ISNUMBER($I60),IF(IF(Config!$B$9="Recorded",$R60,$U60)&lt;$I60,1,0),0))</f>
        <v/>
      </c>
      <c r="Z60" s="49" t="str">
        <f>IF($A60="","",IF($R60&lt;0,"Negative",IF($Y60=1,"Below reorder","OK")))</f>
        <v/>
      </c>
      <c r="AA60" s="53" t="str">
        <f>IF($A60="","",IF(ISNUMBER($G60),$R60*$G60,""))</f>
        <v/>
      </c>
      <c r="AB60" s="49" t="str">
        <f>IF(COUNTA($A60:$M60)=0,"",IF($A60="","Missing: SKU",IF(COUNTIF($A$2:$A$101,$A60)&gt;1,"Duplicate SKU",IF($B60="","Missing: product name",IF($C60="","Missing: category",IF($F60="","Missing: primary supplier",IF(NOT(ISNUMBER($H60)),"Missing: opening balance",IF(NOT(ISNUMBER($I60)),"Missing: reorder point",IF(NOT(ISNUMBER($J60)),"Missing: reorder qty",IF($L60="","Missing: status",IF(COUNTIF(Suppliers!$A$2:$A$51,$F60)=0,"Unknown supplier",IF(COUNTIF(Config!$N$15:$N$34,$C60)=0,"Unsupported category",IF(COUNTIF(Config!$O$15:$O$34,$L60)=0,"Unsupported status",IF($X60&lt;&gt;$H60,"Opening balance differs from lot openings",IF($W60&lt;&gt;$R60,"Lot balances differ from recorded stock",IF($R60&lt;0,"Negative recorded stock","OK"))))))))))))))))</f>
        <v/>
      </c>
      <c r="AC60" s="52" t="str">
        <f>IF($Y60=1,COUNTIF($Y$2:$Y60,1),"")</f>
        <v/>
      </c>
    </row>
    <row r="61">
      <c r="A61" s="46" t="n"/>
      <c r="B61" s="46" t="n"/>
      <c r="C61" s="46" t="n"/>
      <c r="D61" s="46" t="n"/>
      <c r="E61" s="46" t="n"/>
      <c r="F61" s="46" t="n"/>
      <c r="G61" s="47" t="n"/>
      <c r="H61" s="48" t="n"/>
      <c r="I61" s="48" t="n"/>
      <c r="J61" s="48" t="n"/>
      <c r="K61" s="48" t="n"/>
      <c r="L61" s="46" t="n"/>
      <c r="M61" s="46" t="n"/>
      <c r="N61" s="49" t="str">
        <f>IF($A61="","",IFERROR(INDEX(Suppliers!$B$2:$B$51,MATCH($F61,Suppliers!$A$2:$A$51,0))&amp;"","(not found)"))</f>
        <v/>
      </c>
      <c r="O61" s="50" t="str">
        <f>IF($A61="","",SUMIFS(Inventory_Ledger!$E$2:$E$2001,Inventory_Ledger!$D$2:$D$2001,$A61,Inventory_Ledger!$C$2:$C$2001,"Receipt"))</f>
        <v/>
      </c>
      <c r="P61" s="50" t="str">
        <f>IF($A61="","",SUMIFS(Inventory_Ledger!$E$2:$E$2001,Inventory_Ledger!$D$2:$D$2001,$A61,Inventory_Ledger!$C$2:$C$2001,"Shipment"))</f>
        <v/>
      </c>
      <c r="Q61" s="51" t="str">
        <f>IF($A61="","",SUMIFS(Inventory_Ledger!$E$2:$E$2001,Inventory_Ledger!$D$2:$D$2001,$A61,Inventory_Ledger!$C$2:$C$2001,"Adjustment"))</f>
        <v/>
      </c>
      <c r="R61" s="51" t="str">
        <f>IF($A61="","",IF(ISNUMBER($H61),$H61,0)+$O61-$P61+$Q61)</f>
        <v/>
      </c>
      <c r="S61" s="50" t="str">
        <f>IF($A61="","",SUMIFS(Reservations!$L$2:$L$201,Reservations!$B$2:$B$201,$A61))</f>
        <v/>
      </c>
      <c r="T61" s="50" t="str">
        <f>IF($A61="","",SUMIFS(Batches!$P$2:$P$301,Batches!$B$2:$B$301,$A61))</f>
        <v/>
      </c>
      <c r="U61" s="51" t="str">
        <f>IF($A61="","",$R61-$S61-$T61)</f>
        <v/>
      </c>
      <c r="V61" s="50" t="str">
        <f>IF($A61="","",SUMIFS(Purchase_Orders!$N$2:$N$301,Purchase_Orders!$C$2:$C$301,$A61,Purchase_Orders!$O$2:$O$301,1))</f>
        <v/>
      </c>
      <c r="W61" s="51" t="str">
        <f>IF($A61="","",SUMIFS(Batches!$L$2:$L$301,Batches!$B$2:$B$301,$A61))</f>
        <v/>
      </c>
      <c r="X61" s="50" t="str">
        <f>IF($A61="","",SUMIFS(Batches!$F$2:$F$301,Batches!$B$2:$B$301,$A61))</f>
        <v/>
      </c>
      <c r="Y61" s="52" t="str">
        <f>IF($A61="","",IF(ISNUMBER($I61),IF(IF(Config!$B$9="Recorded",$R61,$U61)&lt;$I61,1,0),0))</f>
        <v/>
      </c>
      <c r="Z61" s="49" t="str">
        <f>IF($A61="","",IF($R61&lt;0,"Negative",IF($Y61=1,"Below reorder","OK")))</f>
        <v/>
      </c>
      <c r="AA61" s="53" t="str">
        <f>IF($A61="","",IF(ISNUMBER($G61),$R61*$G61,""))</f>
        <v/>
      </c>
      <c r="AB61" s="49" t="str">
        <f>IF(COUNTA($A61:$M61)=0,"",IF($A61="","Missing: SKU",IF(COUNTIF($A$2:$A$101,$A61)&gt;1,"Duplicate SKU",IF($B61="","Missing: product name",IF($C61="","Missing: category",IF($F61="","Missing: primary supplier",IF(NOT(ISNUMBER($H61)),"Missing: opening balance",IF(NOT(ISNUMBER($I61)),"Missing: reorder point",IF(NOT(ISNUMBER($J61)),"Missing: reorder qty",IF($L61="","Missing: status",IF(COUNTIF(Suppliers!$A$2:$A$51,$F61)=0,"Unknown supplier",IF(COUNTIF(Config!$N$15:$N$34,$C61)=0,"Unsupported category",IF(COUNTIF(Config!$O$15:$O$34,$L61)=0,"Unsupported status",IF($X61&lt;&gt;$H61,"Opening balance differs from lot openings",IF($W61&lt;&gt;$R61,"Lot balances differ from recorded stock",IF($R61&lt;0,"Negative recorded stock","OK"))))))))))))))))</f>
        <v/>
      </c>
      <c r="AC61" s="52" t="str">
        <f>IF($Y61=1,COUNTIF($Y$2:$Y61,1),"")</f>
        <v/>
      </c>
    </row>
    <row r="62">
      <c r="A62" s="46" t="n"/>
      <c r="B62" s="46" t="n"/>
      <c r="C62" s="46" t="n"/>
      <c r="D62" s="46" t="n"/>
      <c r="E62" s="46" t="n"/>
      <c r="F62" s="46" t="n"/>
      <c r="G62" s="47" t="n"/>
      <c r="H62" s="48" t="n"/>
      <c r="I62" s="48" t="n"/>
      <c r="J62" s="48" t="n"/>
      <c r="K62" s="48" t="n"/>
      <c r="L62" s="46" t="n"/>
      <c r="M62" s="46" t="n"/>
      <c r="N62" s="49" t="str">
        <f>IF($A62="","",IFERROR(INDEX(Suppliers!$B$2:$B$51,MATCH($F62,Suppliers!$A$2:$A$51,0))&amp;"","(not found)"))</f>
        <v/>
      </c>
      <c r="O62" s="50" t="str">
        <f>IF($A62="","",SUMIFS(Inventory_Ledger!$E$2:$E$2001,Inventory_Ledger!$D$2:$D$2001,$A62,Inventory_Ledger!$C$2:$C$2001,"Receipt"))</f>
        <v/>
      </c>
      <c r="P62" s="50" t="str">
        <f>IF($A62="","",SUMIFS(Inventory_Ledger!$E$2:$E$2001,Inventory_Ledger!$D$2:$D$2001,$A62,Inventory_Ledger!$C$2:$C$2001,"Shipment"))</f>
        <v/>
      </c>
      <c r="Q62" s="51" t="str">
        <f>IF($A62="","",SUMIFS(Inventory_Ledger!$E$2:$E$2001,Inventory_Ledger!$D$2:$D$2001,$A62,Inventory_Ledger!$C$2:$C$2001,"Adjustment"))</f>
        <v/>
      </c>
      <c r="R62" s="51" t="str">
        <f>IF($A62="","",IF(ISNUMBER($H62),$H62,0)+$O62-$P62+$Q62)</f>
        <v/>
      </c>
      <c r="S62" s="50" t="str">
        <f>IF($A62="","",SUMIFS(Reservations!$L$2:$L$201,Reservations!$B$2:$B$201,$A62))</f>
        <v/>
      </c>
      <c r="T62" s="50" t="str">
        <f>IF($A62="","",SUMIFS(Batches!$P$2:$P$301,Batches!$B$2:$B$301,$A62))</f>
        <v/>
      </c>
      <c r="U62" s="51" t="str">
        <f>IF($A62="","",$R62-$S62-$T62)</f>
        <v/>
      </c>
      <c r="V62" s="50" t="str">
        <f>IF($A62="","",SUMIFS(Purchase_Orders!$N$2:$N$301,Purchase_Orders!$C$2:$C$301,$A62,Purchase_Orders!$O$2:$O$301,1))</f>
        <v/>
      </c>
      <c r="W62" s="51" t="str">
        <f>IF($A62="","",SUMIFS(Batches!$L$2:$L$301,Batches!$B$2:$B$301,$A62))</f>
        <v/>
      </c>
      <c r="X62" s="50" t="str">
        <f>IF($A62="","",SUMIFS(Batches!$F$2:$F$301,Batches!$B$2:$B$301,$A62))</f>
        <v/>
      </c>
      <c r="Y62" s="52" t="str">
        <f>IF($A62="","",IF(ISNUMBER($I62),IF(IF(Config!$B$9="Recorded",$R62,$U62)&lt;$I62,1,0),0))</f>
        <v/>
      </c>
      <c r="Z62" s="49" t="str">
        <f>IF($A62="","",IF($R62&lt;0,"Negative",IF($Y62=1,"Below reorder","OK")))</f>
        <v/>
      </c>
      <c r="AA62" s="53" t="str">
        <f>IF($A62="","",IF(ISNUMBER($G62),$R62*$G62,""))</f>
        <v/>
      </c>
      <c r="AB62" s="49" t="str">
        <f>IF(COUNTA($A62:$M62)=0,"",IF($A62="","Missing: SKU",IF(COUNTIF($A$2:$A$101,$A62)&gt;1,"Duplicate SKU",IF($B62="","Missing: product name",IF($C62="","Missing: category",IF($F62="","Missing: primary supplier",IF(NOT(ISNUMBER($H62)),"Missing: opening balance",IF(NOT(ISNUMBER($I62)),"Missing: reorder point",IF(NOT(ISNUMBER($J62)),"Missing: reorder qty",IF($L62="","Missing: status",IF(COUNTIF(Suppliers!$A$2:$A$51,$F62)=0,"Unknown supplier",IF(COUNTIF(Config!$N$15:$N$34,$C62)=0,"Unsupported category",IF(COUNTIF(Config!$O$15:$O$34,$L62)=0,"Unsupported status",IF($X62&lt;&gt;$H62,"Opening balance differs from lot openings",IF($W62&lt;&gt;$R62,"Lot balances differ from recorded stock",IF($R62&lt;0,"Negative recorded stock","OK"))))))))))))))))</f>
        <v/>
      </c>
      <c r="AC62" s="52" t="str">
        <f>IF($Y62=1,COUNTIF($Y$2:$Y62,1),"")</f>
        <v/>
      </c>
    </row>
    <row r="63">
      <c r="A63" s="46" t="n"/>
      <c r="B63" s="46" t="n"/>
      <c r="C63" s="46" t="n"/>
      <c r="D63" s="46" t="n"/>
      <c r="E63" s="46" t="n"/>
      <c r="F63" s="46" t="n"/>
      <c r="G63" s="47" t="n"/>
      <c r="H63" s="48" t="n"/>
      <c r="I63" s="48" t="n"/>
      <c r="J63" s="48" t="n"/>
      <c r="K63" s="48" t="n"/>
      <c r="L63" s="46" t="n"/>
      <c r="M63" s="46" t="n"/>
      <c r="N63" s="49" t="str">
        <f>IF($A63="","",IFERROR(INDEX(Suppliers!$B$2:$B$51,MATCH($F63,Suppliers!$A$2:$A$51,0))&amp;"","(not found)"))</f>
        <v/>
      </c>
      <c r="O63" s="50" t="str">
        <f>IF($A63="","",SUMIFS(Inventory_Ledger!$E$2:$E$2001,Inventory_Ledger!$D$2:$D$2001,$A63,Inventory_Ledger!$C$2:$C$2001,"Receipt"))</f>
        <v/>
      </c>
      <c r="P63" s="50" t="str">
        <f>IF($A63="","",SUMIFS(Inventory_Ledger!$E$2:$E$2001,Inventory_Ledger!$D$2:$D$2001,$A63,Inventory_Ledger!$C$2:$C$2001,"Shipment"))</f>
        <v/>
      </c>
      <c r="Q63" s="51" t="str">
        <f>IF($A63="","",SUMIFS(Inventory_Ledger!$E$2:$E$2001,Inventory_Ledger!$D$2:$D$2001,$A63,Inventory_Ledger!$C$2:$C$2001,"Adjustment"))</f>
        <v/>
      </c>
      <c r="R63" s="51" t="str">
        <f>IF($A63="","",IF(ISNUMBER($H63),$H63,0)+$O63-$P63+$Q63)</f>
        <v/>
      </c>
      <c r="S63" s="50" t="str">
        <f>IF($A63="","",SUMIFS(Reservations!$L$2:$L$201,Reservations!$B$2:$B$201,$A63))</f>
        <v/>
      </c>
      <c r="T63" s="50" t="str">
        <f>IF($A63="","",SUMIFS(Batches!$P$2:$P$301,Batches!$B$2:$B$301,$A63))</f>
        <v/>
      </c>
      <c r="U63" s="51" t="str">
        <f>IF($A63="","",$R63-$S63-$T63)</f>
        <v/>
      </c>
      <c r="V63" s="50" t="str">
        <f>IF($A63="","",SUMIFS(Purchase_Orders!$N$2:$N$301,Purchase_Orders!$C$2:$C$301,$A63,Purchase_Orders!$O$2:$O$301,1))</f>
        <v/>
      </c>
      <c r="W63" s="51" t="str">
        <f>IF($A63="","",SUMIFS(Batches!$L$2:$L$301,Batches!$B$2:$B$301,$A63))</f>
        <v/>
      </c>
      <c r="X63" s="50" t="str">
        <f>IF($A63="","",SUMIFS(Batches!$F$2:$F$301,Batches!$B$2:$B$301,$A63))</f>
        <v/>
      </c>
      <c r="Y63" s="52" t="str">
        <f>IF($A63="","",IF(ISNUMBER($I63),IF(IF(Config!$B$9="Recorded",$R63,$U63)&lt;$I63,1,0),0))</f>
        <v/>
      </c>
      <c r="Z63" s="49" t="str">
        <f>IF($A63="","",IF($R63&lt;0,"Negative",IF($Y63=1,"Below reorder","OK")))</f>
        <v/>
      </c>
      <c r="AA63" s="53" t="str">
        <f>IF($A63="","",IF(ISNUMBER($G63),$R63*$G63,""))</f>
        <v/>
      </c>
      <c r="AB63" s="49" t="str">
        <f>IF(COUNTA($A63:$M63)=0,"",IF($A63="","Missing: SKU",IF(COUNTIF($A$2:$A$101,$A63)&gt;1,"Duplicate SKU",IF($B63="","Missing: product name",IF($C63="","Missing: category",IF($F63="","Missing: primary supplier",IF(NOT(ISNUMBER($H63)),"Missing: opening balance",IF(NOT(ISNUMBER($I63)),"Missing: reorder point",IF(NOT(ISNUMBER($J63)),"Missing: reorder qty",IF($L63="","Missing: status",IF(COUNTIF(Suppliers!$A$2:$A$51,$F63)=0,"Unknown supplier",IF(COUNTIF(Config!$N$15:$N$34,$C63)=0,"Unsupported category",IF(COUNTIF(Config!$O$15:$O$34,$L63)=0,"Unsupported status",IF($X63&lt;&gt;$H63,"Opening balance differs from lot openings",IF($W63&lt;&gt;$R63,"Lot balances differ from recorded stock",IF($R63&lt;0,"Negative recorded stock","OK"))))))))))))))))</f>
        <v/>
      </c>
      <c r="AC63" s="52" t="str">
        <f>IF($Y63=1,COUNTIF($Y$2:$Y63,1),"")</f>
        <v/>
      </c>
    </row>
    <row r="64">
      <c r="A64" s="46" t="n"/>
      <c r="B64" s="46" t="n"/>
      <c r="C64" s="46" t="n"/>
      <c r="D64" s="46" t="n"/>
      <c r="E64" s="46" t="n"/>
      <c r="F64" s="46" t="n"/>
      <c r="G64" s="47" t="n"/>
      <c r="H64" s="48" t="n"/>
      <c r="I64" s="48" t="n"/>
      <c r="J64" s="48" t="n"/>
      <c r="K64" s="48" t="n"/>
      <c r="L64" s="46" t="n"/>
      <c r="M64" s="46" t="n"/>
      <c r="N64" s="49" t="str">
        <f>IF($A64="","",IFERROR(INDEX(Suppliers!$B$2:$B$51,MATCH($F64,Suppliers!$A$2:$A$51,0))&amp;"","(not found)"))</f>
        <v/>
      </c>
      <c r="O64" s="50" t="str">
        <f>IF($A64="","",SUMIFS(Inventory_Ledger!$E$2:$E$2001,Inventory_Ledger!$D$2:$D$2001,$A64,Inventory_Ledger!$C$2:$C$2001,"Receipt"))</f>
        <v/>
      </c>
      <c r="P64" s="50" t="str">
        <f>IF($A64="","",SUMIFS(Inventory_Ledger!$E$2:$E$2001,Inventory_Ledger!$D$2:$D$2001,$A64,Inventory_Ledger!$C$2:$C$2001,"Shipment"))</f>
        <v/>
      </c>
      <c r="Q64" s="51" t="str">
        <f>IF($A64="","",SUMIFS(Inventory_Ledger!$E$2:$E$2001,Inventory_Ledger!$D$2:$D$2001,$A64,Inventory_Ledger!$C$2:$C$2001,"Adjustment"))</f>
        <v/>
      </c>
      <c r="R64" s="51" t="str">
        <f>IF($A64="","",IF(ISNUMBER($H64),$H64,0)+$O64-$P64+$Q64)</f>
        <v/>
      </c>
      <c r="S64" s="50" t="str">
        <f>IF($A64="","",SUMIFS(Reservations!$L$2:$L$201,Reservations!$B$2:$B$201,$A64))</f>
        <v/>
      </c>
      <c r="T64" s="50" t="str">
        <f>IF($A64="","",SUMIFS(Batches!$P$2:$P$301,Batches!$B$2:$B$301,$A64))</f>
        <v/>
      </c>
      <c r="U64" s="51" t="str">
        <f>IF($A64="","",$R64-$S64-$T64)</f>
        <v/>
      </c>
      <c r="V64" s="50" t="str">
        <f>IF($A64="","",SUMIFS(Purchase_Orders!$N$2:$N$301,Purchase_Orders!$C$2:$C$301,$A64,Purchase_Orders!$O$2:$O$301,1))</f>
        <v/>
      </c>
      <c r="W64" s="51" t="str">
        <f>IF($A64="","",SUMIFS(Batches!$L$2:$L$301,Batches!$B$2:$B$301,$A64))</f>
        <v/>
      </c>
      <c r="X64" s="50" t="str">
        <f>IF($A64="","",SUMIFS(Batches!$F$2:$F$301,Batches!$B$2:$B$301,$A64))</f>
        <v/>
      </c>
      <c r="Y64" s="52" t="str">
        <f>IF($A64="","",IF(ISNUMBER($I64),IF(IF(Config!$B$9="Recorded",$R64,$U64)&lt;$I64,1,0),0))</f>
        <v/>
      </c>
      <c r="Z64" s="49" t="str">
        <f>IF($A64="","",IF($R64&lt;0,"Negative",IF($Y64=1,"Below reorder","OK")))</f>
        <v/>
      </c>
      <c r="AA64" s="53" t="str">
        <f>IF($A64="","",IF(ISNUMBER($G64),$R64*$G64,""))</f>
        <v/>
      </c>
      <c r="AB64" s="49" t="str">
        <f>IF(COUNTA($A64:$M64)=0,"",IF($A64="","Missing: SKU",IF(COUNTIF($A$2:$A$101,$A64)&gt;1,"Duplicate SKU",IF($B64="","Missing: product name",IF($C64="","Missing: category",IF($F64="","Missing: primary supplier",IF(NOT(ISNUMBER($H64)),"Missing: opening balance",IF(NOT(ISNUMBER($I64)),"Missing: reorder point",IF(NOT(ISNUMBER($J64)),"Missing: reorder qty",IF($L64="","Missing: status",IF(COUNTIF(Suppliers!$A$2:$A$51,$F64)=0,"Unknown supplier",IF(COUNTIF(Config!$N$15:$N$34,$C64)=0,"Unsupported category",IF(COUNTIF(Config!$O$15:$O$34,$L64)=0,"Unsupported status",IF($X64&lt;&gt;$H64,"Opening balance differs from lot openings",IF($W64&lt;&gt;$R64,"Lot balances differ from recorded stock",IF($R64&lt;0,"Negative recorded stock","OK"))))))))))))))))</f>
        <v/>
      </c>
      <c r="AC64" s="52" t="str">
        <f>IF($Y64=1,COUNTIF($Y$2:$Y64,1),"")</f>
        <v/>
      </c>
    </row>
    <row r="65">
      <c r="A65" s="46" t="n"/>
      <c r="B65" s="46" t="n"/>
      <c r="C65" s="46" t="n"/>
      <c r="D65" s="46" t="n"/>
      <c r="E65" s="46" t="n"/>
      <c r="F65" s="46" t="n"/>
      <c r="G65" s="47" t="n"/>
      <c r="H65" s="48" t="n"/>
      <c r="I65" s="48" t="n"/>
      <c r="J65" s="48" t="n"/>
      <c r="K65" s="48" t="n"/>
      <c r="L65" s="46" t="n"/>
      <c r="M65" s="46" t="n"/>
      <c r="N65" s="49" t="str">
        <f>IF($A65="","",IFERROR(INDEX(Suppliers!$B$2:$B$51,MATCH($F65,Suppliers!$A$2:$A$51,0))&amp;"","(not found)"))</f>
        <v/>
      </c>
      <c r="O65" s="50" t="str">
        <f>IF($A65="","",SUMIFS(Inventory_Ledger!$E$2:$E$2001,Inventory_Ledger!$D$2:$D$2001,$A65,Inventory_Ledger!$C$2:$C$2001,"Receipt"))</f>
        <v/>
      </c>
      <c r="P65" s="50" t="str">
        <f>IF($A65="","",SUMIFS(Inventory_Ledger!$E$2:$E$2001,Inventory_Ledger!$D$2:$D$2001,$A65,Inventory_Ledger!$C$2:$C$2001,"Shipment"))</f>
        <v/>
      </c>
      <c r="Q65" s="51" t="str">
        <f>IF($A65="","",SUMIFS(Inventory_Ledger!$E$2:$E$2001,Inventory_Ledger!$D$2:$D$2001,$A65,Inventory_Ledger!$C$2:$C$2001,"Adjustment"))</f>
        <v/>
      </c>
      <c r="R65" s="51" t="str">
        <f>IF($A65="","",IF(ISNUMBER($H65),$H65,0)+$O65-$P65+$Q65)</f>
        <v/>
      </c>
      <c r="S65" s="50" t="str">
        <f>IF($A65="","",SUMIFS(Reservations!$L$2:$L$201,Reservations!$B$2:$B$201,$A65))</f>
        <v/>
      </c>
      <c r="T65" s="50" t="str">
        <f>IF($A65="","",SUMIFS(Batches!$P$2:$P$301,Batches!$B$2:$B$301,$A65))</f>
        <v/>
      </c>
      <c r="U65" s="51" t="str">
        <f>IF($A65="","",$R65-$S65-$T65)</f>
        <v/>
      </c>
      <c r="V65" s="50" t="str">
        <f>IF($A65="","",SUMIFS(Purchase_Orders!$N$2:$N$301,Purchase_Orders!$C$2:$C$301,$A65,Purchase_Orders!$O$2:$O$301,1))</f>
        <v/>
      </c>
      <c r="W65" s="51" t="str">
        <f>IF($A65="","",SUMIFS(Batches!$L$2:$L$301,Batches!$B$2:$B$301,$A65))</f>
        <v/>
      </c>
      <c r="X65" s="50" t="str">
        <f>IF($A65="","",SUMIFS(Batches!$F$2:$F$301,Batches!$B$2:$B$301,$A65))</f>
        <v/>
      </c>
      <c r="Y65" s="52" t="str">
        <f>IF($A65="","",IF(ISNUMBER($I65),IF(IF(Config!$B$9="Recorded",$R65,$U65)&lt;$I65,1,0),0))</f>
        <v/>
      </c>
      <c r="Z65" s="49" t="str">
        <f>IF($A65="","",IF($R65&lt;0,"Negative",IF($Y65=1,"Below reorder","OK")))</f>
        <v/>
      </c>
      <c r="AA65" s="53" t="str">
        <f>IF($A65="","",IF(ISNUMBER($G65),$R65*$G65,""))</f>
        <v/>
      </c>
      <c r="AB65" s="49" t="str">
        <f>IF(COUNTA($A65:$M65)=0,"",IF($A65="","Missing: SKU",IF(COUNTIF($A$2:$A$101,$A65)&gt;1,"Duplicate SKU",IF($B65="","Missing: product name",IF($C65="","Missing: category",IF($F65="","Missing: primary supplier",IF(NOT(ISNUMBER($H65)),"Missing: opening balance",IF(NOT(ISNUMBER($I65)),"Missing: reorder point",IF(NOT(ISNUMBER($J65)),"Missing: reorder qty",IF($L65="","Missing: status",IF(COUNTIF(Suppliers!$A$2:$A$51,$F65)=0,"Unknown supplier",IF(COUNTIF(Config!$N$15:$N$34,$C65)=0,"Unsupported category",IF(COUNTIF(Config!$O$15:$O$34,$L65)=0,"Unsupported status",IF($X65&lt;&gt;$H65,"Opening balance differs from lot openings",IF($W65&lt;&gt;$R65,"Lot balances differ from recorded stock",IF($R65&lt;0,"Negative recorded stock","OK"))))))))))))))))</f>
        <v/>
      </c>
      <c r="AC65" s="52" t="str">
        <f>IF($Y65=1,COUNTIF($Y$2:$Y65,1),"")</f>
        <v/>
      </c>
    </row>
    <row r="66">
      <c r="A66" s="46" t="n"/>
      <c r="B66" s="46" t="n"/>
      <c r="C66" s="46" t="n"/>
      <c r="D66" s="46" t="n"/>
      <c r="E66" s="46" t="n"/>
      <c r="F66" s="46" t="n"/>
      <c r="G66" s="47" t="n"/>
      <c r="H66" s="48" t="n"/>
      <c r="I66" s="48" t="n"/>
      <c r="J66" s="48" t="n"/>
      <c r="K66" s="48" t="n"/>
      <c r="L66" s="46" t="n"/>
      <c r="M66" s="46" t="n"/>
      <c r="N66" s="49" t="str">
        <f>IF($A66="","",IFERROR(INDEX(Suppliers!$B$2:$B$51,MATCH($F66,Suppliers!$A$2:$A$51,0))&amp;"","(not found)"))</f>
        <v/>
      </c>
      <c r="O66" s="50" t="str">
        <f>IF($A66="","",SUMIFS(Inventory_Ledger!$E$2:$E$2001,Inventory_Ledger!$D$2:$D$2001,$A66,Inventory_Ledger!$C$2:$C$2001,"Receipt"))</f>
        <v/>
      </c>
      <c r="P66" s="50" t="str">
        <f>IF($A66="","",SUMIFS(Inventory_Ledger!$E$2:$E$2001,Inventory_Ledger!$D$2:$D$2001,$A66,Inventory_Ledger!$C$2:$C$2001,"Shipment"))</f>
        <v/>
      </c>
      <c r="Q66" s="51" t="str">
        <f>IF($A66="","",SUMIFS(Inventory_Ledger!$E$2:$E$2001,Inventory_Ledger!$D$2:$D$2001,$A66,Inventory_Ledger!$C$2:$C$2001,"Adjustment"))</f>
        <v/>
      </c>
      <c r="R66" s="51" t="str">
        <f>IF($A66="","",IF(ISNUMBER($H66),$H66,0)+$O66-$P66+$Q66)</f>
        <v/>
      </c>
      <c r="S66" s="50" t="str">
        <f>IF($A66="","",SUMIFS(Reservations!$L$2:$L$201,Reservations!$B$2:$B$201,$A66))</f>
        <v/>
      </c>
      <c r="T66" s="50" t="str">
        <f>IF($A66="","",SUMIFS(Batches!$P$2:$P$301,Batches!$B$2:$B$301,$A66))</f>
        <v/>
      </c>
      <c r="U66" s="51" t="str">
        <f>IF($A66="","",$R66-$S66-$T66)</f>
        <v/>
      </c>
      <c r="V66" s="50" t="str">
        <f>IF($A66="","",SUMIFS(Purchase_Orders!$N$2:$N$301,Purchase_Orders!$C$2:$C$301,$A66,Purchase_Orders!$O$2:$O$301,1))</f>
        <v/>
      </c>
      <c r="W66" s="51" t="str">
        <f>IF($A66="","",SUMIFS(Batches!$L$2:$L$301,Batches!$B$2:$B$301,$A66))</f>
        <v/>
      </c>
      <c r="X66" s="50" t="str">
        <f>IF($A66="","",SUMIFS(Batches!$F$2:$F$301,Batches!$B$2:$B$301,$A66))</f>
        <v/>
      </c>
      <c r="Y66" s="52" t="str">
        <f>IF($A66="","",IF(ISNUMBER($I66),IF(IF(Config!$B$9="Recorded",$R66,$U66)&lt;$I66,1,0),0))</f>
        <v/>
      </c>
      <c r="Z66" s="49" t="str">
        <f>IF($A66="","",IF($R66&lt;0,"Negative",IF($Y66=1,"Below reorder","OK")))</f>
        <v/>
      </c>
      <c r="AA66" s="53" t="str">
        <f>IF($A66="","",IF(ISNUMBER($G66),$R66*$G66,""))</f>
        <v/>
      </c>
      <c r="AB66" s="49" t="str">
        <f>IF(COUNTA($A66:$M66)=0,"",IF($A66="","Missing: SKU",IF(COUNTIF($A$2:$A$101,$A66)&gt;1,"Duplicate SKU",IF($B66="","Missing: product name",IF($C66="","Missing: category",IF($F66="","Missing: primary supplier",IF(NOT(ISNUMBER($H66)),"Missing: opening balance",IF(NOT(ISNUMBER($I66)),"Missing: reorder point",IF(NOT(ISNUMBER($J66)),"Missing: reorder qty",IF($L66="","Missing: status",IF(COUNTIF(Suppliers!$A$2:$A$51,$F66)=0,"Unknown supplier",IF(COUNTIF(Config!$N$15:$N$34,$C66)=0,"Unsupported category",IF(COUNTIF(Config!$O$15:$O$34,$L66)=0,"Unsupported status",IF($X66&lt;&gt;$H66,"Opening balance differs from lot openings",IF($W66&lt;&gt;$R66,"Lot balances differ from recorded stock",IF($R66&lt;0,"Negative recorded stock","OK"))))))))))))))))</f>
        <v/>
      </c>
      <c r="AC66" s="52" t="str">
        <f>IF($Y66=1,COUNTIF($Y$2:$Y66,1),"")</f>
        <v/>
      </c>
    </row>
    <row r="67">
      <c r="A67" s="46" t="n"/>
      <c r="B67" s="46" t="n"/>
      <c r="C67" s="46" t="n"/>
      <c r="D67" s="46" t="n"/>
      <c r="E67" s="46" t="n"/>
      <c r="F67" s="46" t="n"/>
      <c r="G67" s="47" t="n"/>
      <c r="H67" s="48" t="n"/>
      <c r="I67" s="48" t="n"/>
      <c r="J67" s="48" t="n"/>
      <c r="K67" s="48" t="n"/>
      <c r="L67" s="46" t="n"/>
      <c r="M67" s="46" t="n"/>
      <c r="N67" s="49" t="str">
        <f>IF($A67="","",IFERROR(INDEX(Suppliers!$B$2:$B$51,MATCH($F67,Suppliers!$A$2:$A$51,0))&amp;"","(not found)"))</f>
        <v/>
      </c>
      <c r="O67" s="50" t="str">
        <f>IF($A67="","",SUMIFS(Inventory_Ledger!$E$2:$E$2001,Inventory_Ledger!$D$2:$D$2001,$A67,Inventory_Ledger!$C$2:$C$2001,"Receipt"))</f>
        <v/>
      </c>
      <c r="P67" s="50" t="str">
        <f>IF($A67="","",SUMIFS(Inventory_Ledger!$E$2:$E$2001,Inventory_Ledger!$D$2:$D$2001,$A67,Inventory_Ledger!$C$2:$C$2001,"Shipment"))</f>
        <v/>
      </c>
      <c r="Q67" s="51" t="str">
        <f>IF($A67="","",SUMIFS(Inventory_Ledger!$E$2:$E$2001,Inventory_Ledger!$D$2:$D$2001,$A67,Inventory_Ledger!$C$2:$C$2001,"Adjustment"))</f>
        <v/>
      </c>
      <c r="R67" s="51" t="str">
        <f>IF($A67="","",IF(ISNUMBER($H67),$H67,0)+$O67-$P67+$Q67)</f>
        <v/>
      </c>
      <c r="S67" s="50" t="str">
        <f>IF($A67="","",SUMIFS(Reservations!$L$2:$L$201,Reservations!$B$2:$B$201,$A67))</f>
        <v/>
      </c>
      <c r="T67" s="50" t="str">
        <f>IF($A67="","",SUMIFS(Batches!$P$2:$P$301,Batches!$B$2:$B$301,$A67))</f>
        <v/>
      </c>
      <c r="U67" s="51" t="str">
        <f>IF($A67="","",$R67-$S67-$T67)</f>
        <v/>
      </c>
      <c r="V67" s="50" t="str">
        <f>IF($A67="","",SUMIFS(Purchase_Orders!$N$2:$N$301,Purchase_Orders!$C$2:$C$301,$A67,Purchase_Orders!$O$2:$O$301,1))</f>
        <v/>
      </c>
      <c r="W67" s="51" t="str">
        <f>IF($A67="","",SUMIFS(Batches!$L$2:$L$301,Batches!$B$2:$B$301,$A67))</f>
        <v/>
      </c>
      <c r="X67" s="50" t="str">
        <f>IF($A67="","",SUMIFS(Batches!$F$2:$F$301,Batches!$B$2:$B$301,$A67))</f>
        <v/>
      </c>
      <c r="Y67" s="52" t="str">
        <f>IF($A67="","",IF(ISNUMBER($I67),IF(IF(Config!$B$9="Recorded",$R67,$U67)&lt;$I67,1,0),0))</f>
        <v/>
      </c>
      <c r="Z67" s="49" t="str">
        <f>IF($A67="","",IF($R67&lt;0,"Negative",IF($Y67=1,"Below reorder","OK")))</f>
        <v/>
      </c>
      <c r="AA67" s="53" t="str">
        <f>IF($A67="","",IF(ISNUMBER($G67),$R67*$G67,""))</f>
        <v/>
      </c>
      <c r="AB67" s="49" t="str">
        <f>IF(COUNTA($A67:$M67)=0,"",IF($A67="","Missing: SKU",IF(COUNTIF($A$2:$A$101,$A67)&gt;1,"Duplicate SKU",IF($B67="","Missing: product name",IF($C67="","Missing: category",IF($F67="","Missing: primary supplier",IF(NOT(ISNUMBER($H67)),"Missing: opening balance",IF(NOT(ISNUMBER($I67)),"Missing: reorder point",IF(NOT(ISNUMBER($J67)),"Missing: reorder qty",IF($L67="","Missing: status",IF(COUNTIF(Suppliers!$A$2:$A$51,$F67)=0,"Unknown supplier",IF(COUNTIF(Config!$N$15:$N$34,$C67)=0,"Unsupported category",IF(COUNTIF(Config!$O$15:$O$34,$L67)=0,"Unsupported status",IF($X67&lt;&gt;$H67,"Opening balance differs from lot openings",IF($W67&lt;&gt;$R67,"Lot balances differ from recorded stock",IF($R67&lt;0,"Negative recorded stock","OK"))))))))))))))))</f>
        <v/>
      </c>
      <c r="AC67" s="52" t="str">
        <f>IF($Y67=1,COUNTIF($Y$2:$Y67,1),"")</f>
        <v/>
      </c>
    </row>
    <row r="68">
      <c r="A68" s="46" t="n"/>
      <c r="B68" s="46" t="n"/>
      <c r="C68" s="46" t="n"/>
      <c r="D68" s="46" t="n"/>
      <c r="E68" s="46" t="n"/>
      <c r="F68" s="46" t="n"/>
      <c r="G68" s="47" t="n"/>
      <c r="H68" s="48" t="n"/>
      <c r="I68" s="48" t="n"/>
      <c r="J68" s="48" t="n"/>
      <c r="K68" s="48" t="n"/>
      <c r="L68" s="46" t="n"/>
      <c r="M68" s="46" t="n"/>
      <c r="N68" s="49" t="str">
        <f>IF($A68="","",IFERROR(INDEX(Suppliers!$B$2:$B$51,MATCH($F68,Suppliers!$A$2:$A$51,0))&amp;"","(not found)"))</f>
        <v/>
      </c>
      <c r="O68" s="50" t="str">
        <f>IF($A68="","",SUMIFS(Inventory_Ledger!$E$2:$E$2001,Inventory_Ledger!$D$2:$D$2001,$A68,Inventory_Ledger!$C$2:$C$2001,"Receipt"))</f>
        <v/>
      </c>
      <c r="P68" s="50" t="str">
        <f>IF($A68="","",SUMIFS(Inventory_Ledger!$E$2:$E$2001,Inventory_Ledger!$D$2:$D$2001,$A68,Inventory_Ledger!$C$2:$C$2001,"Shipment"))</f>
        <v/>
      </c>
      <c r="Q68" s="51" t="str">
        <f>IF($A68="","",SUMIFS(Inventory_Ledger!$E$2:$E$2001,Inventory_Ledger!$D$2:$D$2001,$A68,Inventory_Ledger!$C$2:$C$2001,"Adjustment"))</f>
        <v/>
      </c>
      <c r="R68" s="51" t="str">
        <f>IF($A68="","",IF(ISNUMBER($H68),$H68,0)+$O68-$P68+$Q68)</f>
        <v/>
      </c>
      <c r="S68" s="50" t="str">
        <f>IF($A68="","",SUMIFS(Reservations!$L$2:$L$201,Reservations!$B$2:$B$201,$A68))</f>
        <v/>
      </c>
      <c r="T68" s="50" t="str">
        <f>IF($A68="","",SUMIFS(Batches!$P$2:$P$301,Batches!$B$2:$B$301,$A68))</f>
        <v/>
      </c>
      <c r="U68" s="51" t="str">
        <f>IF($A68="","",$R68-$S68-$T68)</f>
        <v/>
      </c>
      <c r="V68" s="50" t="str">
        <f>IF($A68="","",SUMIFS(Purchase_Orders!$N$2:$N$301,Purchase_Orders!$C$2:$C$301,$A68,Purchase_Orders!$O$2:$O$301,1))</f>
        <v/>
      </c>
      <c r="W68" s="51" t="str">
        <f>IF($A68="","",SUMIFS(Batches!$L$2:$L$301,Batches!$B$2:$B$301,$A68))</f>
        <v/>
      </c>
      <c r="X68" s="50" t="str">
        <f>IF($A68="","",SUMIFS(Batches!$F$2:$F$301,Batches!$B$2:$B$301,$A68))</f>
        <v/>
      </c>
      <c r="Y68" s="52" t="str">
        <f>IF($A68="","",IF(ISNUMBER($I68),IF(IF(Config!$B$9="Recorded",$R68,$U68)&lt;$I68,1,0),0))</f>
        <v/>
      </c>
      <c r="Z68" s="49" t="str">
        <f>IF($A68="","",IF($R68&lt;0,"Negative",IF($Y68=1,"Below reorder","OK")))</f>
        <v/>
      </c>
      <c r="AA68" s="53" t="str">
        <f>IF($A68="","",IF(ISNUMBER($G68),$R68*$G68,""))</f>
        <v/>
      </c>
      <c r="AB68" s="49" t="str">
        <f>IF(COUNTA($A68:$M68)=0,"",IF($A68="","Missing: SKU",IF(COUNTIF($A$2:$A$101,$A68)&gt;1,"Duplicate SKU",IF($B68="","Missing: product name",IF($C68="","Missing: category",IF($F68="","Missing: primary supplier",IF(NOT(ISNUMBER($H68)),"Missing: opening balance",IF(NOT(ISNUMBER($I68)),"Missing: reorder point",IF(NOT(ISNUMBER($J68)),"Missing: reorder qty",IF($L68="","Missing: status",IF(COUNTIF(Suppliers!$A$2:$A$51,$F68)=0,"Unknown supplier",IF(COUNTIF(Config!$N$15:$N$34,$C68)=0,"Unsupported category",IF(COUNTIF(Config!$O$15:$O$34,$L68)=0,"Unsupported status",IF($X68&lt;&gt;$H68,"Opening balance differs from lot openings",IF($W68&lt;&gt;$R68,"Lot balances differ from recorded stock",IF($R68&lt;0,"Negative recorded stock","OK"))))))))))))))))</f>
        <v/>
      </c>
      <c r="AC68" s="52" t="str">
        <f>IF($Y68=1,COUNTIF($Y$2:$Y68,1),"")</f>
        <v/>
      </c>
    </row>
    <row r="69">
      <c r="A69" s="46" t="n"/>
      <c r="B69" s="46" t="n"/>
      <c r="C69" s="46" t="n"/>
      <c r="D69" s="46" t="n"/>
      <c r="E69" s="46" t="n"/>
      <c r="F69" s="46" t="n"/>
      <c r="G69" s="47" t="n"/>
      <c r="H69" s="48" t="n"/>
      <c r="I69" s="48" t="n"/>
      <c r="J69" s="48" t="n"/>
      <c r="K69" s="48" t="n"/>
      <c r="L69" s="46" t="n"/>
      <c r="M69" s="46" t="n"/>
      <c r="N69" s="49" t="str">
        <f>IF($A69="","",IFERROR(INDEX(Suppliers!$B$2:$B$51,MATCH($F69,Suppliers!$A$2:$A$51,0))&amp;"","(not found)"))</f>
        <v/>
      </c>
      <c r="O69" s="50" t="str">
        <f>IF($A69="","",SUMIFS(Inventory_Ledger!$E$2:$E$2001,Inventory_Ledger!$D$2:$D$2001,$A69,Inventory_Ledger!$C$2:$C$2001,"Receipt"))</f>
        <v/>
      </c>
      <c r="P69" s="50" t="str">
        <f>IF($A69="","",SUMIFS(Inventory_Ledger!$E$2:$E$2001,Inventory_Ledger!$D$2:$D$2001,$A69,Inventory_Ledger!$C$2:$C$2001,"Shipment"))</f>
        <v/>
      </c>
      <c r="Q69" s="51" t="str">
        <f>IF($A69="","",SUMIFS(Inventory_Ledger!$E$2:$E$2001,Inventory_Ledger!$D$2:$D$2001,$A69,Inventory_Ledger!$C$2:$C$2001,"Adjustment"))</f>
        <v/>
      </c>
      <c r="R69" s="51" t="str">
        <f>IF($A69="","",IF(ISNUMBER($H69),$H69,0)+$O69-$P69+$Q69)</f>
        <v/>
      </c>
      <c r="S69" s="50" t="str">
        <f>IF($A69="","",SUMIFS(Reservations!$L$2:$L$201,Reservations!$B$2:$B$201,$A69))</f>
        <v/>
      </c>
      <c r="T69" s="50" t="str">
        <f>IF($A69="","",SUMIFS(Batches!$P$2:$P$301,Batches!$B$2:$B$301,$A69))</f>
        <v/>
      </c>
      <c r="U69" s="51" t="str">
        <f>IF($A69="","",$R69-$S69-$T69)</f>
        <v/>
      </c>
      <c r="V69" s="50" t="str">
        <f>IF($A69="","",SUMIFS(Purchase_Orders!$N$2:$N$301,Purchase_Orders!$C$2:$C$301,$A69,Purchase_Orders!$O$2:$O$301,1))</f>
        <v/>
      </c>
      <c r="W69" s="51" t="str">
        <f>IF($A69="","",SUMIFS(Batches!$L$2:$L$301,Batches!$B$2:$B$301,$A69))</f>
        <v/>
      </c>
      <c r="X69" s="50" t="str">
        <f>IF($A69="","",SUMIFS(Batches!$F$2:$F$301,Batches!$B$2:$B$301,$A69))</f>
        <v/>
      </c>
      <c r="Y69" s="52" t="str">
        <f>IF($A69="","",IF(ISNUMBER($I69),IF(IF(Config!$B$9="Recorded",$R69,$U69)&lt;$I69,1,0),0))</f>
        <v/>
      </c>
      <c r="Z69" s="49" t="str">
        <f>IF($A69="","",IF($R69&lt;0,"Negative",IF($Y69=1,"Below reorder","OK")))</f>
        <v/>
      </c>
      <c r="AA69" s="53" t="str">
        <f>IF($A69="","",IF(ISNUMBER($G69),$R69*$G69,""))</f>
        <v/>
      </c>
      <c r="AB69" s="49" t="str">
        <f>IF(COUNTA($A69:$M69)=0,"",IF($A69="","Missing: SKU",IF(COUNTIF($A$2:$A$101,$A69)&gt;1,"Duplicate SKU",IF($B69="","Missing: product name",IF($C69="","Missing: category",IF($F69="","Missing: primary supplier",IF(NOT(ISNUMBER($H69)),"Missing: opening balance",IF(NOT(ISNUMBER($I69)),"Missing: reorder point",IF(NOT(ISNUMBER($J69)),"Missing: reorder qty",IF($L69="","Missing: status",IF(COUNTIF(Suppliers!$A$2:$A$51,$F69)=0,"Unknown supplier",IF(COUNTIF(Config!$N$15:$N$34,$C69)=0,"Unsupported category",IF(COUNTIF(Config!$O$15:$O$34,$L69)=0,"Unsupported status",IF($X69&lt;&gt;$H69,"Opening balance differs from lot openings",IF($W69&lt;&gt;$R69,"Lot balances differ from recorded stock",IF($R69&lt;0,"Negative recorded stock","OK"))))))))))))))))</f>
        <v/>
      </c>
      <c r="AC69" s="52" t="str">
        <f>IF($Y69=1,COUNTIF($Y$2:$Y69,1),"")</f>
        <v/>
      </c>
    </row>
    <row r="70">
      <c r="A70" s="46" t="n"/>
      <c r="B70" s="46" t="n"/>
      <c r="C70" s="46" t="n"/>
      <c r="D70" s="46" t="n"/>
      <c r="E70" s="46" t="n"/>
      <c r="F70" s="46" t="n"/>
      <c r="G70" s="47" t="n"/>
      <c r="H70" s="48" t="n"/>
      <c r="I70" s="48" t="n"/>
      <c r="J70" s="48" t="n"/>
      <c r="K70" s="48" t="n"/>
      <c r="L70" s="46" t="n"/>
      <c r="M70" s="46" t="n"/>
      <c r="N70" s="49" t="str">
        <f>IF($A70="","",IFERROR(INDEX(Suppliers!$B$2:$B$51,MATCH($F70,Suppliers!$A$2:$A$51,0))&amp;"","(not found)"))</f>
        <v/>
      </c>
      <c r="O70" s="50" t="str">
        <f>IF($A70="","",SUMIFS(Inventory_Ledger!$E$2:$E$2001,Inventory_Ledger!$D$2:$D$2001,$A70,Inventory_Ledger!$C$2:$C$2001,"Receipt"))</f>
        <v/>
      </c>
      <c r="P70" s="50" t="str">
        <f>IF($A70="","",SUMIFS(Inventory_Ledger!$E$2:$E$2001,Inventory_Ledger!$D$2:$D$2001,$A70,Inventory_Ledger!$C$2:$C$2001,"Shipment"))</f>
        <v/>
      </c>
      <c r="Q70" s="51" t="str">
        <f>IF($A70="","",SUMIFS(Inventory_Ledger!$E$2:$E$2001,Inventory_Ledger!$D$2:$D$2001,$A70,Inventory_Ledger!$C$2:$C$2001,"Adjustment"))</f>
        <v/>
      </c>
      <c r="R70" s="51" t="str">
        <f>IF($A70="","",IF(ISNUMBER($H70),$H70,0)+$O70-$P70+$Q70)</f>
        <v/>
      </c>
      <c r="S70" s="50" t="str">
        <f>IF($A70="","",SUMIFS(Reservations!$L$2:$L$201,Reservations!$B$2:$B$201,$A70))</f>
        <v/>
      </c>
      <c r="T70" s="50" t="str">
        <f>IF($A70="","",SUMIFS(Batches!$P$2:$P$301,Batches!$B$2:$B$301,$A70))</f>
        <v/>
      </c>
      <c r="U70" s="51" t="str">
        <f>IF($A70="","",$R70-$S70-$T70)</f>
        <v/>
      </c>
      <c r="V70" s="50" t="str">
        <f>IF($A70="","",SUMIFS(Purchase_Orders!$N$2:$N$301,Purchase_Orders!$C$2:$C$301,$A70,Purchase_Orders!$O$2:$O$301,1))</f>
        <v/>
      </c>
      <c r="W70" s="51" t="str">
        <f>IF($A70="","",SUMIFS(Batches!$L$2:$L$301,Batches!$B$2:$B$301,$A70))</f>
        <v/>
      </c>
      <c r="X70" s="50" t="str">
        <f>IF($A70="","",SUMIFS(Batches!$F$2:$F$301,Batches!$B$2:$B$301,$A70))</f>
        <v/>
      </c>
      <c r="Y70" s="52" t="str">
        <f>IF($A70="","",IF(ISNUMBER($I70),IF(IF(Config!$B$9="Recorded",$R70,$U70)&lt;$I70,1,0),0))</f>
        <v/>
      </c>
      <c r="Z70" s="49" t="str">
        <f>IF($A70="","",IF($R70&lt;0,"Negative",IF($Y70=1,"Below reorder","OK")))</f>
        <v/>
      </c>
      <c r="AA70" s="53" t="str">
        <f>IF($A70="","",IF(ISNUMBER($G70),$R70*$G70,""))</f>
        <v/>
      </c>
      <c r="AB70" s="49" t="str">
        <f>IF(COUNTA($A70:$M70)=0,"",IF($A70="","Missing: SKU",IF(COUNTIF($A$2:$A$101,$A70)&gt;1,"Duplicate SKU",IF($B70="","Missing: product name",IF($C70="","Missing: category",IF($F70="","Missing: primary supplier",IF(NOT(ISNUMBER($H70)),"Missing: opening balance",IF(NOT(ISNUMBER($I70)),"Missing: reorder point",IF(NOT(ISNUMBER($J70)),"Missing: reorder qty",IF($L70="","Missing: status",IF(COUNTIF(Suppliers!$A$2:$A$51,$F70)=0,"Unknown supplier",IF(COUNTIF(Config!$N$15:$N$34,$C70)=0,"Unsupported category",IF(COUNTIF(Config!$O$15:$O$34,$L70)=0,"Unsupported status",IF($X70&lt;&gt;$H70,"Opening balance differs from lot openings",IF($W70&lt;&gt;$R70,"Lot balances differ from recorded stock",IF($R70&lt;0,"Negative recorded stock","OK"))))))))))))))))</f>
        <v/>
      </c>
      <c r="AC70" s="52" t="str">
        <f>IF($Y70=1,COUNTIF($Y$2:$Y70,1),"")</f>
        <v/>
      </c>
    </row>
    <row r="71">
      <c r="A71" s="46" t="n"/>
      <c r="B71" s="46" t="n"/>
      <c r="C71" s="46" t="n"/>
      <c r="D71" s="46" t="n"/>
      <c r="E71" s="46" t="n"/>
      <c r="F71" s="46" t="n"/>
      <c r="G71" s="47" t="n"/>
      <c r="H71" s="48" t="n"/>
      <c r="I71" s="48" t="n"/>
      <c r="J71" s="48" t="n"/>
      <c r="K71" s="48" t="n"/>
      <c r="L71" s="46" t="n"/>
      <c r="M71" s="46" t="n"/>
      <c r="N71" s="49" t="str">
        <f>IF($A71="","",IFERROR(INDEX(Suppliers!$B$2:$B$51,MATCH($F71,Suppliers!$A$2:$A$51,0))&amp;"","(not found)"))</f>
        <v/>
      </c>
      <c r="O71" s="50" t="str">
        <f>IF($A71="","",SUMIFS(Inventory_Ledger!$E$2:$E$2001,Inventory_Ledger!$D$2:$D$2001,$A71,Inventory_Ledger!$C$2:$C$2001,"Receipt"))</f>
        <v/>
      </c>
      <c r="P71" s="50" t="str">
        <f>IF($A71="","",SUMIFS(Inventory_Ledger!$E$2:$E$2001,Inventory_Ledger!$D$2:$D$2001,$A71,Inventory_Ledger!$C$2:$C$2001,"Shipment"))</f>
        <v/>
      </c>
      <c r="Q71" s="51" t="str">
        <f>IF($A71="","",SUMIFS(Inventory_Ledger!$E$2:$E$2001,Inventory_Ledger!$D$2:$D$2001,$A71,Inventory_Ledger!$C$2:$C$2001,"Adjustment"))</f>
        <v/>
      </c>
      <c r="R71" s="51" t="str">
        <f>IF($A71="","",IF(ISNUMBER($H71),$H71,0)+$O71-$P71+$Q71)</f>
        <v/>
      </c>
      <c r="S71" s="50" t="str">
        <f>IF($A71="","",SUMIFS(Reservations!$L$2:$L$201,Reservations!$B$2:$B$201,$A71))</f>
        <v/>
      </c>
      <c r="T71" s="50" t="str">
        <f>IF($A71="","",SUMIFS(Batches!$P$2:$P$301,Batches!$B$2:$B$301,$A71))</f>
        <v/>
      </c>
      <c r="U71" s="51" t="str">
        <f>IF($A71="","",$R71-$S71-$T71)</f>
        <v/>
      </c>
      <c r="V71" s="50" t="str">
        <f>IF($A71="","",SUMIFS(Purchase_Orders!$N$2:$N$301,Purchase_Orders!$C$2:$C$301,$A71,Purchase_Orders!$O$2:$O$301,1))</f>
        <v/>
      </c>
      <c r="W71" s="51" t="str">
        <f>IF($A71="","",SUMIFS(Batches!$L$2:$L$301,Batches!$B$2:$B$301,$A71))</f>
        <v/>
      </c>
      <c r="X71" s="50" t="str">
        <f>IF($A71="","",SUMIFS(Batches!$F$2:$F$301,Batches!$B$2:$B$301,$A71))</f>
        <v/>
      </c>
      <c r="Y71" s="52" t="str">
        <f>IF($A71="","",IF(ISNUMBER($I71),IF(IF(Config!$B$9="Recorded",$R71,$U71)&lt;$I71,1,0),0))</f>
        <v/>
      </c>
      <c r="Z71" s="49" t="str">
        <f>IF($A71="","",IF($R71&lt;0,"Negative",IF($Y71=1,"Below reorder","OK")))</f>
        <v/>
      </c>
      <c r="AA71" s="53" t="str">
        <f>IF($A71="","",IF(ISNUMBER($G71),$R71*$G71,""))</f>
        <v/>
      </c>
      <c r="AB71" s="49" t="str">
        <f>IF(COUNTA($A71:$M71)=0,"",IF($A71="","Missing: SKU",IF(COUNTIF($A$2:$A$101,$A71)&gt;1,"Duplicate SKU",IF($B71="","Missing: product name",IF($C71="","Missing: category",IF($F71="","Missing: primary supplier",IF(NOT(ISNUMBER($H71)),"Missing: opening balance",IF(NOT(ISNUMBER($I71)),"Missing: reorder point",IF(NOT(ISNUMBER($J71)),"Missing: reorder qty",IF($L71="","Missing: status",IF(COUNTIF(Suppliers!$A$2:$A$51,$F71)=0,"Unknown supplier",IF(COUNTIF(Config!$N$15:$N$34,$C71)=0,"Unsupported category",IF(COUNTIF(Config!$O$15:$O$34,$L71)=0,"Unsupported status",IF($X71&lt;&gt;$H71,"Opening balance differs from lot openings",IF($W71&lt;&gt;$R71,"Lot balances differ from recorded stock",IF($R71&lt;0,"Negative recorded stock","OK"))))))))))))))))</f>
        <v/>
      </c>
      <c r="AC71" s="52" t="str">
        <f>IF($Y71=1,COUNTIF($Y$2:$Y71,1),"")</f>
        <v/>
      </c>
    </row>
    <row r="72">
      <c r="A72" s="46" t="n"/>
      <c r="B72" s="46" t="n"/>
      <c r="C72" s="46" t="n"/>
      <c r="D72" s="46" t="n"/>
      <c r="E72" s="46" t="n"/>
      <c r="F72" s="46" t="n"/>
      <c r="G72" s="47" t="n"/>
      <c r="H72" s="48" t="n"/>
      <c r="I72" s="48" t="n"/>
      <c r="J72" s="48" t="n"/>
      <c r="K72" s="48" t="n"/>
      <c r="L72" s="46" t="n"/>
      <c r="M72" s="46" t="n"/>
      <c r="N72" s="49" t="str">
        <f>IF($A72="","",IFERROR(INDEX(Suppliers!$B$2:$B$51,MATCH($F72,Suppliers!$A$2:$A$51,0))&amp;"","(not found)"))</f>
        <v/>
      </c>
      <c r="O72" s="50" t="str">
        <f>IF($A72="","",SUMIFS(Inventory_Ledger!$E$2:$E$2001,Inventory_Ledger!$D$2:$D$2001,$A72,Inventory_Ledger!$C$2:$C$2001,"Receipt"))</f>
        <v/>
      </c>
      <c r="P72" s="50" t="str">
        <f>IF($A72="","",SUMIFS(Inventory_Ledger!$E$2:$E$2001,Inventory_Ledger!$D$2:$D$2001,$A72,Inventory_Ledger!$C$2:$C$2001,"Shipment"))</f>
        <v/>
      </c>
      <c r="Q72" s="51" t="str">
        <f>IF($A72="","",SUMIFS(Inventory_Ledger!$E$2:$E$2001,Inventory_Ledger!$D$2:$D$2001,$A72,Inventory_Ledger!$C$2:$C$2001,"Adjustment"))</f>
        <v/>
      </c>
      <c r="R72" s="51" t="str">
        <f>IF($A72="","",IF(ISNUMBER($H72),$H72,0)+$O72-$P72+$Q72)</f>
        <v/>
      </c>
      <c r="S72" s="50" t="str">
        <f>IF($A72="","",SUMIFS(Reservations!$L$2:$L$201,Reservations!$B$2:$B$201,$A72))</f>
        <v/>
      </c>
      <c r="T72" s="50" t="str">
        <f>IF($A72="","",SUMIFS(Batches!$P$2:$P$301,Batches!$B$2:$B$301,$A72))</f>
        <v/>
      </c>
      <c r="U72" s="51" t="str">
        <f>IF($A72="","",$R72-$S72-$T72)</f>
        <v/>
      </c>
      <c r="V72" s="50" t="str">
        <f>IF($A72="","",SUMIFS(Purchase_Orders!$N$2:$N$301,Purchase_Orders!$C$2:$C$301,$A72,Purchase_Orders!$O$2:$O$301,1))</f>
        <v/>
      </c>
      <c r="W72" s="51" t="str">
        <f>IF($A72="","",SUMIFS(Batches!$L$2:$L$301,Batches!$B$2:$B$301,$A72))</f>
        <v/>
      </c>
      <c r="X72" s="50" t="str">
        <f>IF($A72="","",SUMIFS(Batches!$F$2:$F$301,Batches!$B$2:$B$301,$A72))</f>
        <v/>
      </c>
      <c r="Y72" s="52" t="str">
        <f>IF($A72="","",IF(ISNUMBER($I72),IF(IF(Config!$B$9="Recorded",$R72,$U72)&lt;$I72,1,0),0))</f>
        <v/>
      </c>
      <c r="Z72" s="49" t="str">
        <f>IF($A72="","",IF($R72&lt;0,"Negative",IF($Y72=1,"Below reorder","OK")))</f>
        <v/>
      </c>
      <c r="AA72" s="53" t="str">
        <f>IF($A72="","",IF(ISNUMBER($G72),$R72*$G72,""))</f>
        <v/>
      </c>
      <c r="AB72" s="49" t="str">
        <f>IF(COUNTA($A72:$M72)=0,"",IF($A72="","Missing: SKU",IF(COUNTIF($A$2:$A$101,$A72)&gt;1,"Duplicate SKU",IF($B72="","Missing: product name",IF($C72="","Missing: category",IF($F72="","Missing: primary supplier",IF(NOT(ISNUMBER($H72)),"Missing: opening balance",IF(NOT(ISNUMBER($I72)),"Missing: reorder point",IF(NOT(ISNUMBER($J72)),"Missing: reorder qty",IF($L72="","Missing: status",IF(COUNTIF(Suppliers!$A$2:$A$51,$F72)=0,"Unknown supplier",IF(COUNTIF(Config!$N$15:$N$34,$C72)=0,"Unsupported category",IF(COUNTIF(Config!$O$15:$O$34,$L72)=0,"Unsupported status",IF($X72&lt;&gt;$H72,"Opening balance differs from lot openings",IF($W72&lt;&gt;$R72,"Lot balances differ from recorded stock",IF($R72&lt;0,"Negative recorded stock","OK"))))))))))))))))</f>
        <v/>
      </c>
      <c r="AC72" s="52" t="str">
        <f>IF($Y72=1,COUNTIF($Y$2:$Y72,1),"")</f>
        <v/>
      </c>
    </row>
    <row r="73">
      <c r="A73" s="46" t="n"/>
      <c r="B73" s="46" t="n"/>
      <c r="C73" s="46" t="n"/>
      <c r="D73" s="46" t="n"/>
      <c r="E73" s="46" t="n"/>
      <c r="F73" s="46" t="n"/>
      <c r="G73" s="47" t="n"/>
      <c r="H73" s="48" t="n"/>
      <c r="I73" s="48" t="n"/>
      <c r="J73" s="48" t="n"/>
      <c r="K73" s="48" t="n"/>
      <c r="L73" s="46" t="n"/>
      <c r="M73" s="46" t="n"/>
      <c r="N73" s="49" t="str">
        <f>IF($A73="","",IFERROR(INDEX(Suppliers!$B$2:$B$51,MATCH($F73,Suppliers!$A$2:$A$51,0))&amp;"","(not found)"))</f>
        <v/>
      </c>
      <c r="O73" s="50" t="str">
        <f>IF($A73="","",SUMIFS(Inventory_Ledger!$E$2:$E$2001,Inventory_Ledger!$D$2:$D$2001,$A73,Inventory_Ledger!$C$2:$C$2001,"Receipt"))</f>
        <v/>
      </c>
      <c r="P73" s="50" t="str">
        <f>IF($A73="","",SUMIFS(Inventory_Ledger!$E$2:$E$2001,Inventory_Ledger!$D$2:$D$2001,$A73,Inventory_Ledger!$C$2:$C$2001,"Shipment"))</f>
        <v/>
      </c>
      <c r="Q73" s="51" t="str">
        <f>IF($A73="","",SUMIFS(Inventory_Ledger!$E$2:$E$2001,Inventory_Ledger!$D$2:$D$2001,$A73,Inventory_Ledger!$C$2:$C$2001,"Adjustment"))</f>
        <v/>
      </c>
      <c r="R73" s="51" t="str">
        <f>IF($A73="","",IF(ISNUMBER($H73),$H73,0)+$O73-$P73+$Q73)</f>
        <v/>
      </c>
      <c r="S73" s="50" t="str">
        <f>IF($A73="","",SUMIFS(Reservations!$L$2:$L$201,Reservations!$B$2:$B$201,$A73))</f>
        <v/>
      </c>
      <c r="T73" s="50" t="str">
        <f>IF($A73="","",SUMIFS(Batches!$P$2:$P$301,Batches!$B$2:$B$301,$A73))</f>
        <v/>
      </c>
      <c r="U73" s="51" t="str">
        <f>IF($A73="","",$R73-$S73-$T73)</f>
        <v/>
      </c>
      <c r="V73" s="50" t="str">
        <f>IF($A73="","",SUMIFS(Purchase_Orders!$N$2:$N$301,Purchase_Orders!$C$2:$C$301,$A73,Purchase_Orders!$O$2:$O$301,1))</f>
        <v/>
      </c>
      <c r="W73" s="51" t="str">
        <f>IF($A73="","",SUMIFS(Batches!$L$2:$L$301,Batches!$B$2:$B$301,$A73))</f>
        <v/>
      </c>
      <c r="X73" s="50" t="str">
        <f>IF($A73="","",SUMIFS(Batches!$F$2:$F$301,Batches!$B$2:$B$301,$A73))</f>
        <v/>
      </c>
      <c r="Y73" s="52" t="str">
        <f>IF($A73="","",IF(ISNUMBER($I73),IF(IF(Config!$B$9="Recorded",$R73,$U73)&lt;$I73,1,0),0))</f>
        <v/>
      </c>
      <c r="Z73" s="49" t="str">
        <f>IF($A73="","",IF($R73&lt;0,"Negative",IF($Y73=1,"Below reorder","OK")))</f>
        <v/>
      </c>
      <c r="AA73" s="53" t="str">
        <f>IF($A73="","",IF(ISNUMBER($G73),$R73*$G73,""))</f>
        <v/>
      </c>
      <c r="AB73" s="49" t="str">
        <f>IF(COUNTA($A73:$M73)=0,"",IF($A73="","Missing: SKU",IF(COUNTIF($A$2:$A$101,$A73)&gt;1,"Duplicate SKU",IF($B73="","Missing: product name",IF($C73="","Missing: category",IF($F73="","Missing: primary supplier",IF(NOT(ISNUMBER($H73)),"Missing: opening balance",IF(NOT(ISNUMBER($I73)),"Missing: reorder point",IF(NOT(ISNUMBER($J73)),"Missing: reorder qty",IF($L73="","Missing: status",IF(COUNTIF(Suppliers!$A$2:$A$51,$F73)=0,"Unknown supplier",IF(COUNTIF(Config!$N$15:$N$34,$C73)=0,"Unsupported category",IF(COUNTIF(Config!$O$15:$O$34,$L73)=0,"Unsupported status",IF($X73&lt;&gt;$H73,"Opening balance differs from lot openings",IF($W73&lt;&gt;$R73,"Lot balances differ from recorded stock",IF($R73&lt;0,"Negative recorded stock","OK"))))))))))))))))</f>
        <v/>
      </c>
      <c r="AC73" s="52" t="str">
        <f>IF($Y73=1,COUNTIF($Y$2:$Y73,1),"")</f>
        <v/>
      </c>
    </row>
    <row r="74">
      <c r="A74" s="46" t="n"/>
      <c r="B74" s="46" t="n"/>
      <c r="C74" s="46" t="n"/>
      <c r="D74" s="46" t="n"/>
      <c r="E74" s="46" t="n"/>
      <c r="F74" s="46" t="n"/>
      <c r="G74" s="47" t="n"/>
      <c r="H74" s="48" t="n"/>
      <c r="I74" s="48" t="n"/>
      <c r="J74" s="48" t="n"/>
      <c r="K74" s="48" t="n"/>
      <c r="L74" s="46" t="n"/>
      <c r="M74" s="46" t="n"/>
      <c r="N74" s="49" t="str">
        <f>IF($A74="","",IFERROR(INDEX(Suppliers!$B$2:$B$51,MATCH($F74,Suppliers!$A$2:$A$51,0))&amp;"","(not found)"))</f>
        <v/>
      </c>
      <c r="O74" s="50" t="str">
        <f>IF($A74="","",SUMIFS(Inventory_Ledger!$E$2:$E$2001,Inventory_Ledger!$D$2:$D$2001,$A74,Inventory_Ledger!$C$2:$C$2001,"Receipt"))</f>
        <v/>
      </c>
      <c r="P74" s="50" t="str">
        <f>IF($A74="","",SUMIFS(Inventory_Ledger!$E$2:$E$2001,Inventory_Ledger!$D$2:$D$2001,$A74,Inventory_Ledger!$C$2:$C$2001,"Shipment"))</f>
        <v/>
      </c>
      <c r="Q74" s="51" t="str">
        <f>IF($A74="","",SUMIFS(Inventory_Ledger!$E$2:$E$2001,Inventory_Ledger!$D$2:$D$2001,$A74,Inventory_Ledger!$C$2:$C$2001,"Adjustment"))</f>
        <v/>
      </c>
      <c r="R74" s="51" t="str">
        <f>IF($A74="","",IF(ISNUMBER($H74),$H74,0)+$O74-$P74+$Q74)</f>
        <v/>
      </c>
      <c r="S74" s="50" t="str">
        <f>IF($A74="","",SUMIFS(Reservations!$L$2:$L$201,Reservations!$B$2:$B$201,$A74))</f>
        <v/>
      </c>
      <c r="T74" s="50" t="str">
        <f>IF($A74="","",SUMIFS(Batches!$P$2:$P$301,Batches!$B$2:$B$301,$A74))</f>
        <v/>
      </c>
      <c r="U74" s="51" t="str">
        <f>IF($A74="","",$R74-$S74-$T74)</f>
        <v/>
      </c>
      <c r="V74" s="50" t="str">
        <f>IF($A74="","",SUMIFS(Purchase_Orders!$N$2:$N$301,Purchase_Orders!$C$2:$C$301,$A74,Purchase_Orders!$O$2:$O$301,1))</f>
        <v/>
      </c>
      <c r="W74" s="51" t="str">
        <f>IF($A74="","",SUMIFS(Batches!$L$2:$L$301,Batches!$B$2:$B$301,$A74))</f>
        <v/>
      </c>
      <c r="X74" s="50" t="str">
        <f>IF($A74="","",SUMIFS(Batches!$F$2:$F$301,Batches!$B$2:$B$301,$A74))</f>
        <v/>
      </c>
      <c r="Y74" s="52" t="str">
        <f>IF($A74="","",IF(ISNUMBER($I74),IF(IF(Config!$B$9="Recorded",$R74,$U74)&lt;$I74,1,0),0))</f>
        <v/>
      </c>
      <c r="Z74" s="49" t="str">
        <f>IF($A74="","",IF($R74&lt;0,"Negative",IF($Y74=1,"Below reorder","OK")))</f>
        <v/>
      </c>
      <c r="AA74" s="53" t="str">
        <f>IF($A74="","",IF(ISNUMBER($G74),$R74*$G74,""))</f>
        <v/>
      </c>
      <c r="AB74" s="49" t="str">
        <f>IF(COUNTA($A74:$M74)=0,"",IF($A74="","Missing: SKU",IF(COUNTIF($A$2:$A$101,$A74)&gt;1,"Duplicate SKU",IF($B74="","Missing: product name",IF($C74="","Missing: category",IF($F74="","Missing: primary supplier",IF(NOT(ISNUMBER($H74)),"Missing: opening balance",IF(NOT(ISNUMBER($I74)),"Missing: reorder point",IF(NOT(ISNUMBER($J74)),"Missing: reorder qty",IF($L74="","Missing: status",IF(COUNTIF(Suppliers!$A$2:$A$51,$F74)=0,"Unknown supplier",IF(COUNTIF(Config!$N$15:$N$34,$C74)=0,"Unsupported category",IF(COUNTIF(Config!$O$15:$O$34,$L74)=0,"Unsupported status",IF($X74&lt;&gt;$H74,"Opening balance differs from lot openings",IF($W74&lt;&gt;$R74,"Lot balances differ from recorded stock",IF($R74&lt;0,"Negative recorded stock","OK"))))))))))))))))</f>
        <v/>
      </c>
      <c r="AC74" s="52" t="str">
        <f>IF($Y74=1,COUNTIF($Y$2:$Y74,1),"")</f>
        <v/>
      </c>
    </row>
    <row r="75">
      <c r="A75" s="46" t="n"/>
      <c r="B75" s="46" t="n"/>
      <c r="C75" s="46" t="n"/>
      <c r="D75" s="46" t="n"/>
      <c r="E75" s="46" t="n"/>
      <c r="F75" s="46" t="n"/>
      <c r="G75" s="47" t="n"/>
      <c r="H75" s="48" t="n"/>
      <c r="I75" s="48" t="n"/>
      <c r="J75" s="48" t="n"/>
      <c r="K75" s="48" t="n"/>
      <c r="L75" s="46" t="n"/>
      <c r="M75" s="46" t="n"/>
      <c r="N75" s="49" t="str">
        <f>IF($A75="","",IFERROR(INDEX(Suppliers!$B$2:$B$51,MATCH($F75,Suppliers!$A$2:$A$51,0))&amp;"","(not found)"))</f>
        <v/>
      </c>
      <c r="O75" s="50" t="str">
        <f>IF($A75="","",SUMIFS(Inventory_Ledger!$E$2:$E$2001,Inventory_Ledger!$D$2:$D$2001,$A75,Inventory_Ledger!$C$2:$C$2001,"Receipt"))</f>
        <v/>
      </c>
      <c r="P75" s="50" t="str">
        <f>IF($A75="","",SUMIFS(Inventory_Ledger!$E$2:$E$2001,Inventory_Ledger!$D$2:$D$2001,$A75,Inventory_Ledger!$C$2:$C$2001,"Shipment"))</f>
        <v/>
      </c>
      <c r="Q75" s="51" t="str">
        <f>IF($A75="","",SUMIFS(Inventory_Ledger!$E$2:$E$2001,Inventory_Ledger!$D$2:$D$2001,$A75,Inventory_Ledger!$C$2:$C$2001,"Adjustment"))</f>
        <v/>
      </c>
      <c r="R75" s="51" t="str">
        <f>IF($A75="","",IF(ISNUMBER($H75),$H75,0)+$O75-$P75+$Q75)</f>
        <v/>
      </c>
      <c r="S75" s="50" t="str">
        <f>IF($A75="","",SUMIFS(Reservations!$L$2:$L$201,Reservations!$B$2:$B$201,$A75))</f>
        <v/>
      </c>
      <c r="T75" s="50" t="str">
        <f>IF($A75="","",SUMIFS(Batches!$P$2:$P$301,Batches!$B$2:$B$301,$A75))</f>
        <v/>
      </c>
      <c r="U75" s="51" t="str">
        <f>IF($A75="","",$R75-$S75-$T75)</f>
        <v/>
      </c>
      <c r="V75" s="50" t="str">
        <f>IF($A75="","",SUMIFS(Purchase_Orders!$N$2:$N$301,Purchase_Orders!$C$2:$C$301,$A75,Purchase_Orders!$O$2:$O$301,1))</f>
        <v/>
      </c>
      <c r="W75" s="51" t="str">
        <f>IF($A75="","",SUMIFS(Batches!$L$2:$L$301,Batches!$B$2:$B$301,$A75))</f>
        <v/>
      </c>
      <c r="X75" s="50" t="str">
        <f>IF($A75="","",SUMIFS(Batches!$F$2:$F$301,Batches!$B$2:$B$301,$A75))</f>
        <v/>
      </c>
      <c r="Y75" s="52" t="str">
        <f>IF($A75="","",IF(ISNUMBER($I75),IF(IF(Config!$B$9="Recorded",$R75,$U75)&lt;$I75,1,0),0))</f>
        <v/>
      </c>
      <c r="Z75" s="49" t="str">
        <f>IF($A75="","",IF($R75&lt;0,"Negative",IF($Y75=1,"Below reorder","OK")))</f>
        <v/>
      </c>
      <c r="AA75" s="53" t="str">
        <f>IF($A75="","",IF(ISNUMBER($G75),$R75*$G75,""))</f>
        <v/>
      </c>
      <c r="AB75" s="49" t="str">
        <f>IF(COUNTA($A75:$M75)=0,"",IF($A75="","Missing: SKU",IF(COUNTIF($A$2:$A$101,$A75)&gt;1,"Duplicate SKU",IF($B75="","Missing: product name",IF($C75="","Missing: category",IF($F75="","Missing: primary supplier",IF(NOT(ISNUMBER($H75)),"Missing: opening balance",IF(NOT(ISNUMBER($I75)),"Missing: reorder point",IF(NOT(ISNUMBER($J75)),"Missing: reorder qty",IF($L75="","Missing: status",IF(COUNTIF(Suppliers!$A$2:$A$51,$F75)=0,"Unknown supplier",IF(COUNTIF(Config!$N$15:$N$34,$C75)=0,"Unsupported category",IF(COUNTIF(Config!$O$15:$O$34,$L75)=0,"Unsupported status",IF($X75&lt;&gt;$H75,"Opening balance differs from lot openings",IF($W75&lt;&gt;$R75,"Lot balances differ from recorded stock",IF($R75&lt;0,"Negative recorded stock","OK"))))))))))))))))</f>
        <v/>
      </c>
      <c r="AC75" s="52" t="str">
        <f>IF($Y75=1,COUNTIF($Y$2:$Y75,1),"")</f>
        <v/>
      </c>
    </row>
    <row r="76">
      <c r="A76" s="46" t="n"/>
      <c r="B76" s="46" t="n"/>
      <c r="C76" s="46" t="n"/>
      <c r="D76" s="46" t="n"/>
      <c r="E76" s="46" t="n"/>
      <c r="F76" s="46" t="n"/>
      <c r="G76" s="47" t="n"/>
      <c r="H76" s="48" t="n"/>
      <c r="I76" s="48" t="n"/>
      <c r="J76" s="48" t="n"/>
      <c r="K76" s="48" t="n"/>
      <c r="L76" s="46" t="n"/>
      <c r="M76" s="46" t="n"/>
      <c r="N76" s="49" t="str">
        <f>IF($A76="","",IFERROR(INDEX(Suppliers!$B$2:$B$51,MATCH($F76,Suppliers!$A$2:$A$51,0))&amp;"","(not found)"))</f>
        <v/>
      </c>
      <c r="O76" s="50" t="str">
        <f>IF($A76="","",SUMIFS(Inventory_Ledger!$E$2:$E$2001,Inventory_Ledger!$D$2:$D$2001,$A76,Inventory_Ledger!$C$2:$C$2001,"Receipt"))</f>
        <v/>
      </c>
      <c r="P76" s="50" t="str">
        <f>IF($A76="","",SUMIFS(Inventory_Ledger!$E$2:$E$2001,Inventory_Ledger!$D$2:$D$2001,$A76,Inventory_Ledger!$C$2:$C$2001,"Shipment"))</f>
        <v/>
      </c>
      <c r="Q76" s="51" t="str">
        <f>IF($A76="","",SUMIFS(Inventory_Ledger!$E$2:$E$2001,Inventory_Ledger!$D$2:$D$2001,$A76,Inventory_Ledger!$C$2:$C$2001,"Adjustment"))</f>
        <v/>
      </c>
      <c r="R76" s="51" t="str">
        <f>IF($A76="","",IF(ISNUMBER($H76),$H76,0)+$O76-$P76+$Q76)</f>
        <v/>
      </c>
      <c r="S76" s="50" t="str">
        <f>IF($A76="","",SUMIFS(Reservations!$L$2:$L$201,Reservations!$B$2:$B$201,$A76))</f>
        <v/>
      </c>
      <c r="T76" s="50" t="str">
        <f>IF($A76="","",SUMIFS(Batches!$P$2:$P$301,Batches!$B$2:$B$301,$A76))</f>
        <v/>
      </c>
      <c r="U76" s="51" t="str">
        <f>IF($A76="","",$R76-$S76-$T76)</f>
        <v/>
      </c>
      <c r="V76" s="50" t="str">
        <f>IF($A76="","",SUMIFS(Purchase_Orders!$N$2:$N$301,Purchase_Orders!$C$2:$C$301,$A76,Purchase_Orders!$O$2:$O$301,1))</f>
        <v/>
      </c>
      <c r="W76" s="51" t="str">
        <f>IF($A76="","",SUMIFS(Batches!$L$2:$L$301,Batches!$B$2:$B$301,$A76))</f>
        <v/>
      </c>
      <c r="X76" s="50" t="str">
        <f>IF($A76="","",SUMIFS(Batches!$F$2:$F$301,Batches!$B$2:$B$301,$A76))</f>
        <v/>
      </c>
      <c r="Y76" s="52" t="str">
        <f>IF($A76="","",IF(ISNUMBER($I76),IF(IF(Config!$B$9="Recorded",$R76,$U76)&lt;$I76,1,0),0))</f>
        <v/>
      </c>
      <c r="Z76" s="49" t="str">
        <f>IF($A76="","",IF($R76&lt;0,"Negative",IF($Y76=1,"Below reorder","OK")))</f>
        <v/>
      </c>
      <c r="AA76" s="53" t="str">
        <f>IF($A76="","",IF(ISNUMBER($G76),$R76*$G76,""))</f>
        <v/>
      </c>
      <c r="AB76" s="49" t="str">
        <f>IF(COUNTA($A76:$M76)=0,"",IF($A76="","Missing: SKU",IF(COUNTIF($A$2:$A$101,$A76)&gt;1,"Duplicate SKU",IF($B76="","Missing: product name",IF($C76="","Missing: category",IF($F76="","Missing: primary supplier",IF(NOT(ISNUMBER($H76)),"Missing: opening balance",IF(NOT(ISNUMBER($I76)),"Missing: reorder point",IF(NOT(ISNUMBER($J76)),"Missing: reorder qty",IF($L76="","Missing: status",IF(COUNTIF(Suppliers!$A$2:$A$51,$F76)=0,"Unknown supplier",IF(COUNTIF(Config!$N$15:$N$34,$C76)=0,"Unsupported category",IF(COUNTIF(Config!$O$15:$O$34,$L76)=0,"Unsupported status",IF($X76&lt;&gt;$H76,"Opening balance differs from lot openings",IF($W76&lt;&gt;$R76,"Lot balances differ from recorded stock",IF($R76&lt;0,"Negative recorded stock","OK"))))))))))))))))</f>
        <v/>
      </c>
      <c r="AC76" s="52" t="str">
        <f>IF($Y76=1,COUNTIF($Y$2:$Y76,1),"")</f>
        <v/>
      </c>
    </row>
    <row r="77">
      <c r="A77" s="46" t="n"/>
      <c r="B77" s="46" t="n"/>
      <c r="C77" s="46" t="n"/>
      <c r="D77" s="46" t="n"/>
      <c r="E77" s="46" t="n"/>
      <c r="F77" s="46" t="n"/>
      <c r="G77" s="47" t="n"/>
      <c r="H77" s="48" t="n"/>
      <c r="I77" s="48" t="n"/>
      <c r="J77" s="48" t="n"/>
      <c r="K77" s="48" t="n"/>
      <c r="L77" s="46" t="n"/>
      <c r="M77" s="46" t="n"/>
      <c r="N77" s="49" t="str">
        <f>IF($A77="","",IFERROR(INDEX(Suppliers!$B$2:$B$51,MATCH($F77,Suppliers!$A$2:$A$51,0))&amp;"","(not found)"))</f>
        <v/>
      </c>
      <c r="O77" s="50" t="str">
        <f>IF($A77="","",SUMIFS(Inventory_Ledger!$E$2:$E$2001,Inventory_Ledger!$D$2:$D$2001,$A77,Inventory_Ledger!$C$2:$C$2001,"Receipt"))</f>
        <v/>
      </c>
      <c r="P77" s="50" t="str">
        <f>IF($A77="","",SUMIFS(Inventory_Ledger!$E$2:$E$2001,Inventory_Ledger!$D$2:$D$2001,$A77,Inventory_Ledger!$C$2:$C$2001,"Shipment"))</f>
        <v/>
      </c>
      <c r="Q77" s="51" t="str">
        <f>IF($A77="","",SUMIFS(Inventory_Ledger!$E$2:$E$2001,Inventory_Ledger!$D$2:$D$2001,$A77,Inventory_Ledger!$C$2:$C$2001,"Adjustment"))</f>
        <v/>
      </c>
      <c r="R77" s="51" t="str">
        <f>IF($A77="","",IF(ISNUMBER($H77),$H77,0)+$O77-$P77+$Q77)</f>
        <v/>
      </c>
      <c r="S77" s="50" t="str">
        <f>IF($A77="","",SUMIFS(Reservations!$L$2:$L$201,Reservations!$B$2:$B$201,$A77))</f>
        <v/>
      </c>
      <c r="T77" s="50" t="str">
        <f>IF($A77="","",SUMIFS(Batches!$P$2:$P$301,Batches!$B$2:$B$301,$A77))</f>
        <v/>
      </c>
      <c r="U77" s="51" t="str">
        <f>IF($A77="","",$R77-$S77-$T77)</f>
        <v/>
      </c>
      <c r="V77" s="50" t="str">
        <f>IF($A77="","",SUMIFS(Purchase_Orders!$N$2:$N$301,Purchase_Orders!$C$2:$C$301,$A77,Purchase_Orders!$O$2:$O$301,1))</f>
        <v/>
      </c>
      <c r="W77" s="51" t="str">
        <f>IF($A77="","",SUMIFS(Batches!$L$2:$L$301,Batches!$B$2:$B$301,$A77))</f>
        <v/>
      </c>
      <c r="X77" s="50" t="str">
        <f>IF($A77="","",SUMIFS(Batches!$F$2:$F$301,Batches!$B$2:$B$301,$A77))</f>
        <v/>
      </c>
      <c r="Y77" s="52" t="str">
        <f>IF($A77="","",IF(ISNUMBER($I77),IF(IF(Config!$B$9="Recorded",$R77,$U77)&lt;$I77,1,0),0))</f>
        <v/>
      </c>
      <c r="Z77" s="49" t="str">
        <f>IF($A77="","",IF($R77&lt;0,"Negative",IF($Y77=1,"Below reorder","OK")))</f>
        <v/>
      </c>
      <c r="AA77" s="53" t="str">
        <f>IF($A77="","",IF(ISNUMBER($G77),$R77*$G77,""))</f>
        <v/>
      </c>
      <c r="AB77" s="49" t="str">
        <f>IF(COUNTA($A77:$M77)=0,"",IF($A77="","Missing: SKU",IF(COUNTIF($A$2:$A$101,$A77)&gt;1,"Duplicate SKU",IF($B77="","Missing: product name",IF($C77="","Missing: category",IF($F77="","Missing: primary supplier",IF(NOT(ISNUMBER($H77)),"Missing: opening balance",IF(NOT(ISNUMBER($I77)),"Missing: reorder point",IF(NOT(ISNUMBER($J77)),"Missing: reorder qty",IF($L77="","Missing: status",IF(COUNTIF(Suppliers!$A$2:$A$51,$F77)=0,"Unknown supplier",IF(COUNTIF(Config!$N$15:$N$34,$C77)=0,"Unsupported category",IF(COUNTIF(Config!$O$15:$O$34,$L77)=0,"Unsupported status",IF($X77&lt;&gt;$H77,"Opening balance differs from lot openings",IF($W77&lt;&gt;$R77,"Lot balances differ from recorded stock",IF($R77&lt;0,"Negative recorded stock","OK"))))))))))))))))</f>
        <v/>
      </c>
      <c r="AC77" s="52" t="str">
        <f>IF($Y77=1,COUNTIF($Y$2:$Y77,1),"")</f>
        <v/>
      </c>
    </row>
    <row r="78">
      <c r="A78" s="46" t="n"/>
      <c r="B78" s="46" t="n"/>
      <c r="C78" s="46" t="n"/>
      <c r="D78" s="46" t="n"/>
      <c r="E78" s="46" t="n"/>
      <c r="F78" s="46" t="n"/>
      <c r="G78" s="47" t="n"/>
      <c r="H78" s="48" t="n"/>
      <c r="I78" s="48" t="n"/>
      <c r="J78" s="48" t="n"/>
      <c r="K78" s="48" t="n"/>
      <c r="L78" s="46" t="n"/>
      <c r="M78" s="46" t="n"/>
      <c r="N78" s="49" t="str">
        <f>IF($A78="","",IFERROR(INDEX(Suppliers!$B$2:$B$51,MATCH($F78,Suppliers!$A$2:$A$51,0))&amp;"","(not found)"))</f>
        <v/>
      </c>
      <c r="O78" s="50" t="str">
        <f>IF($A78="","",SUMIFS(Inventory_Ledger!$E$2:$E$2001,Inventory_Ledger!$D$2:$D$2001,$A78,Inventory_Ledger!$C$2:$C$2001,"Receipt"))</f>
        <v/>
      </c>
      <c r="P78" s="50" t="str">
        <f>IF($A78="","",SUMIFS(Inventory_Ledger!$E$2:$E$2001,Inventory_Ledger!$D$2:$D$2001,$A78,Inventory_Ledger!$C$2:$C$2001,"Shipment"))</f>
        <v/>
      </c>
      <c r="Q78" s="51" t="str">
        <f>IF($A78="","",SUMIFS(Inventory_Ledger!$E$2:$E$2001,Inventory_Ledger!$D$2:$D$2001,$A78,Inventory_Ledger!$C$2:$C$2001,"Adjustment"))</f>
        <v/>
      </c>
      <c r="R78" s="51" t="str">
        <f>IF($A78="","",IF(ISNUMBER($H78),$H78,0)+$O78-$P78+$Q78)</f>
        <v/>
      </c>
      <c r="S78" s="50" t="str">
        <f>IF($A78="","",SUMIFS(Reservations!$L$2:$L$201,Reservations!$B$2:$B$201,$A78))</f>
        <v/>
      </c>
      <c r="T78" s="50" t="str">
        <f>IF($A78="","",SUMIFS(Batches!$P$2:$P$301,Batches!$B$2:$B$301,$A78))</f>
        <v/>
      </c>
      <c r="U78" s="51" t="str">
        <f>IF($A78="","",$R78-$S78-$T78)</f>
        <v/>
      </c>
      <c r="V78" s="50" t="str">
        <f>IF($A78="","",SUMIFS(Purchase_Orders!$N$2:$N$301,Purchase_Orders!$C$2:$C$301,$A78,Purchase_Orders!$O$2:$O$301,1))</f>
        <v/>
      </c>
      <c r="W78" s="51" t="str">
        <f>IF($A78="","",SUMIFS(Batches!$L$2:$L$301,Batches!$B$2:$B$301,$A78))</f>
        <v/>
      </c>
      <c r="X78" s="50" t="str">
        <f>IF($A78="","",SUMIFS(Batches!$F$2:$F$301,Batches!$B$2:$B$301,$A78))</f>
        <v/>
      </c>
      <c r="Y78" s="52" t="str">
        <f>IF($A78="","",IF(ISNUMBER($I78),IF(IF(Config!$B$9="Recorded",$R78,$U78)&lt;$I78,1,0),0))</f>
        <v/>
      </c>
      <c r="Z78" s="49" t="str">
        <f>IF($A78="","",IF($R78&lt;0,"Negative",IF($Y78=1,"Below reorder","OK")))</f>
        <v/>
      </c>
      <c r="AA78" s="53" t="str">
        <f>IF($A78="","",IF(ISNUMBER($G78),$R78*$G78,""))</f>
        <v/>
      </c>
      <c r="AB78" s="49" t="str">
        <f>IF(COUNTA($A78:$M78)=0,"",IF($A78="","Missing: SKU",IF(COUNTIF($A$2:$A$101,$A78)&gt;1,"Duplicate SKU",IF($B78="","Missing: product name",IF($C78="","Missing: category",IF($F78="","Missing: primary supplier",IF(NOT(ISNUMBER($H78)),"Missing: opening balance",IF(NOT(ISNUMBER($I78)),"Missing: reorder point",IF(NOT(ISNUMBER($J78)),"Missing: reorder qty",IF($L78="","Missing: status",IF(COUNTIF(Suppliers!$A$2:$A$51,$F78)=0,"Unknown supplier",IF(COUNTIF(Config!$N$15:$N$34,$C78)=0,"Unsupported category",IF(COUNTIF(Config!$O$15:$O$34,$L78)=0,"Unsupported status",IF($X78&lt;&gt;$H78,"Opening balance differs from lot openings",IF($W78&lt;&gt;$R78,"Lot balances differ from recorded stock",IF($R78&lt;0,"Negative recorded stock","OK"))))))))))))))))</f>
        <v/>
      </c>
      <c r="AC78" s="52" t="str">
        <f>IF($Y78=1,COUNTIF($Y$2:$Y78,1),"")</f>
        <v/>
      </c>
    </row>
    <row r="79">
      <c r="A79" s="46" t="n"/>
      <c r="B79" s="46" t="n"/>
      <c r="C79" s="46" t="n"/>
      <c r="D79" s="46" t="n"/>
      <c r="E79" s="46" t="n"/>
      <c r="F79" s="46" t="n"/>
      <c r="G79" s="47" t="n"/>
      <c r="H79" s="48" t="n"/>
      <c r="I79" s="48" t="n"/>
      <c r="J79" s="48" t="n"/>
      <c r="K79" s="48" t="n"/>
      <c r="L79" s="46" t="n"/>
      <c r="M79" s="46" t="n"/>
      <c r="N79" s="49" t="str">
        <f>IF($A79="","",IFERROR(INDEX(Suppliers!$B$2:$B$51,MATCH($F79,Suppliers!$A$2:$A$51,0))&amp;"","(not found)"))</f>
        <v/>
      </c>
      <c r="O79" s="50" t="str">
        <f>IF($A79="","",SUMIFS(Inventory_Ledger!$E$2:$E$2001,Inventory_Ledger!$D$2:$D$2001,$A79,Inventory_Ledger!$C$2:$C$2001,"Receipt"))</f>
        <v/>
      </c>
      <c r="P79" s="50" t="str">
        <f>IF($A79="","",SUMIFS(Inventory_Ledger!$E$2:$E$2001,Inventory_Ledger!$D$2:$D$2001,$A79,Inventory_Ledger!$C$2:$C$2001,"Shipment"))</f>
        <v/>
      </c>
      <c r="Q79" s="51" t="str">
        <f>IF($A79="","",SUMIFS(Inventory_Ledger!$E$2:$E$2001,Inventory_Ledger!$D$2:$D$2001,$A79,Inventory_Ledger!$C$2:$C$2001,"Adjustment"))</f>
        <v/>
      </c>
      <c r="R79" s="51" t="str">
        <f>IF($A79="","",IF(ISNUMBER($H79),$H79,0)+$O79-$P79+$Q79)</f>
        <v/>
      </c>
      <c r="S79" s="50" t="str">
        <f>IF($A79="","",SUMIFS(Reservations!$L$2:$L$201,Reservations!$B$2:$B$201,$A79))</f>
        <v/>
      </c>
      <c r="T79" s="50" t="str">
        <f>IF($A79="","",SUMIFS(Batches!$P$2:$P$301,Batches!$B$2:$B$301,$A79))</f>
        <v/>
      </c>
      <c r="U79" s="51" t="str">
        <f>IF($A79="","",$R79-$S79-$T79)</f>
        <v/>
      </c>
      <c r="V79" s="50" t="str">
        <f>IF($A79="","",SUMIFS(Purchase_Orders!$N$2:$N$301,Purchase_Orders!$C$2:$C$301,$A79,Purchase_Orders!$O$2:$O$301,1))</f>
        <v/>
      </c>
      <c r="W79" s="51" t="str">
        <f>IF($A79="","",SUMIFS(Batches!$L$2:$L$301,Batches!$B$2:$B$301,$A79))</f>
        <v/>
      </c>
      <c r="X79" s="50" t="str">
        <f>IF($A79="","",SUMIFS(Batches!$F$2:$F$301,Batches!$B$2:$B$301,$A79))</f>
        <v/>
      </c>
      <c r="Y79" s="52" t="str">
        <f>IF($A79="","",IF(ISNUMBER($I79),IF(IF(Config!$B$9="Recorded",$R79,$U79)&lt;$I79,1,0),0))</f>
        <v/>
      </c>
      <c r="Z79" s="49" t="str">
        <f>IF($A79="","",IF($R79&lt;0,"Negative",IF($Y79=1,"Below reorder","OK")))</f>
        <v/>
      </c>
      <c r="AA79" s="53" t="str">
        <f>IF($A79="","",IF(ISNUMBER($G79),$R79*$G79,""))</f>
        <v/>
      </c>
      <c r="AB79" s="49" t="str">
        <f>IF(COUNTA($A79:$M79)=0,"",IF($A79="","Missing: SKU",IF(COUNTIF($A$2:$A$101,$A79)&gt;1,"Duplicate SKU",IF($B79="","Missing: product name",IF($C79="","Missing: category",IF($F79="","Missing: primary supplier",IF(NOT(ISNUMBER($H79)),"Missing: opening balance",IF(NOT(ISNUMBER($I79)),"Missing: reorder point",IF(NOT(ISNUMBER($J79)),"Missing: reorder qty",IF($L79="","Missing: status",IF(COUNTIF(Suppliers!$A$2:$A$51,$F79)=0,"Unknown supplier",IF(COUNTIF(Config!$N$15:$N$34,$C79)=0,"Unsupported category",IF(COUNTIF(Config!$O$15:$O$34,$L79)=0,"Unsupported status",IF($X79&lt;&gt;$H79,"Opening balance differs from lot openings",IF($W79&lt;&gt;$R79,"Lot balances differ from recorded stock",IF($R79&lt;0,"Negative recorded stock","OK"))))))))))))))))</f>
        <v/>
      </c>
      <c r="AC79" s="52" t="str">
        <f>IF($Y79=1,COUNTIF($Y$2:$Y79,1),"")</f>
        <v/>
      </c>
    </row>
    <row r="80">
      <c r="A80" s="46" t="n"/>
      <c r="B80" s="46" t="n"/>
      <c r="C80" s="46" t="n"/>
      <c r="D80" s="46" t="n"/>
      <c r="E80" s="46" t="n"/>
      <c r="F80" s="46" t="n"/>
      <c r="G80" s="47" t="n"/>
      <c r="H80" s="48" t="n"/>
      <c r="I80" s="48" t="n"/>
      <c r="J80" s="48" t="n"/>
      <c r="K80" s="48" t="n"/>
      <c r="L80" s="46" t="n"/>
      <c r="M80" s="46" t="n"/>
      <c r="N80" s="49" t="str">
        <f>IF($A80="","",IFERROR(INDEX(Suppliers!$B$2:$B$51,MATCH($F80,Suppliers!$A$2:$A$51,0))&amp;"","(not found)"))</f>
        <v/>
      </c>
      <c r="O80" s="50" t="str">
        <f>IF($A80="","",SUMIFS(Inventory_Ledger!$E$2:$E$2001,Inventory_Ledger!$D$2:$D$2001,$A80,Inventory_Ledger!$C$2:$C$2001,"Receipt"))</f>
        <v/>
      </c>
      <c r="P80" s="50" t="str">
        <f>IF($A80="","",SUMIFS(Inventory_Ledger!$E$2:$E$2001,Inventory_Ledger!$D$2:$D$2001,$A80,Inventory_Ledger!$C$2:$C$2001,"Shipment"))</f>
        <v/>
      </c>
      <c r="Q80" s="51" t="str">
        <f>IF($A80="","",SUMIFS(Inventory_Ledger!$E$2:$E$2001,Inventory_Ledger!$D$2:$D$2001,$A80,Inventory_Ledger!$C$2:$C$2001,"Adjustment"))</f>
        <v/>
      </c>
      <c r="R80" s="51" t="str">
        <f>IF($A80="","",IF(ISNUMBER($H80),$H80,0)+$O80-$P80+$Q80)</f>
        <v/>
      </c>
      <c r="S80" s="50" t="str">
        <f>IF($A80="","",SUMIFS(Reservations!$L$2:$L$201,Reservations!$B$2:$B$201,$A80))</f>
        <v/>
      </c>
      <c r="T80" s="50" t="str">
        <f>IF($A80="","",SUMIFS(Batches!$P$2:$P$301,Batches!$B$2:$B$301,$A80))</f>
        <v/>
      </c>
      <c r="U80" s="51" t="str">
        <f>IF($A80="","",$R80-$S80-$T80)</f>
        <v/>
      </c>
      <c r="V80" s="50" t="str">
        <f>IF($A80="","",SUMIFS(Purchase_Orders!$N$2:$N$301,Purchase_Orders!$C$2:$C$301,$A80,Purchase_Orders!$O$2:$O$301,1))</f>
        <v/>
      </c>
      <c r="W80" s="51" t="str">
        <f>IF($A80="","",SUMIFS(Batches!$L$2:$L$301,Batches!$B$2:$B$301,$A80))</f>
        <v/>
      </c>
      <c r="X80" s="50" t="str">
        <f>IF($A80="","",SUMIFS(Batches!$F$2:$F$301,Batches!$B$2:$B$301,$A80))</f>
        <v/>
      </c>
      <c r="Y80" s="52" t="str">
        <f>IF($A80="","",IF(ISNUMBER($I80),IF(IF(Config!$B$9="Recorded",$R80,$U80)&lt;$I80,1,0),0))</f>
        <v/>
      </c>
      <c r="Z80" s="49" t="str">
        <f>IF($A80="","",IF($R80&lt;0,"Negative",IF($Y80=1,"Below reorder","OK")))</f>
        <v/>
      </c>
      <c r="AA80" s="53" t="str">
        <f>IF($A80="","",IF(ISNUMBER($G80),$R80*$G80,""))</f>
        <v/>
      </c>
      <c r="AB80" s="49" t="str">
        <f>IF(COUNTA($A80:$M80)=0,"",IF($A80="","Missing: SKU",IF(COUNTIF($A$2:$A$101,$A80)&gt;1,"Duplicate SKU",IF($B80="","Missing: product name",IF($C80="","Missing: category",IF($F80="","Missing: primary supplier",IF(NOT(ISNUMBER($H80)),"Missing: opening balance",IF(NOT(ISNUMBER($I80)),"Missing: reorder point",IF(NOT(ISNUMBER($J80)),"Missing: reorder qty",IF($L80="","Missing: status",IF(COUNTIF(Suppliers!$A$2:$A$51,$F80)=0,"Unknown supplier",IF(COUNTIF(Config!$N$15:$N$34,$C80)=0,"Unsupported category",IF(COUNTIF(Config!$O$15:$O$34,$L80)=0,"Unsupported status",IF($X80&lt;&gt;$H80,"Opening balance differs from lot openings",IF($W80&lt;&gt;$R80,"Lot balances differ from recorded stock",IF($R80&lt;0,"Negative recorded stock","OK"))))))))))))))))</f>
        <v/>
      </c>
      <c r="AC80" s="52" t="str">
        <f>IF($Y80=1,COUNTIF($Y$2:$Y80,1),"")</f>
        <v/>
      </c>
    </row>
    <row r="81">
      <c r="A81" s="46" t="n"/>
      <c r="B81" s="46" t="n"/>
      <c r="C81" s="46" t="n"/>
      <c r="D81" s="46" t="n"/>
      <c r="E81" s="46" t="n"/>
      <c r="F81" s="46" t="n"/>
      <c r="G81" s="47" t="n"/>
      <c r="H81" s="48" t="n"/>
      <c r="I81" s="48" t="n"/>
      <c r="J81" s="48" t="n"/>
      <c r="K81" s="48" t="n"/>
      <c r="L81" s="46" t="n"/>
      <c r="M81" s="46" t="n"/>
      <c r="N81" s="49" t="str">
        <f>IF($A81="","",IFERROR(INDEX(Suppliers!$B$2:$B$51,MATCH($F81,Suppliers!$A$2:$A$51,0))&amp;"","(not found)"))</f>
        <v/>
      </c>
      <c r="O81" s="50" t="str">
        <f>IF($A81="","",SUMIFS(Inventory_Ledger!$E$2:$E$2001,Inventory_Ledger!$D$2:$D$2001,$A81,Inventory_Ledger!$C$2:$C$2001,"Receipt"))</f>
        <v/>
      </c>
      <c r="P81" s="50" t="str">
        <f>IF($A81="","",SUMIFS(Inventory_Ledger!$E$2:$E$2001,Inventory_Ledger!$D$2:$D$2001,$A81,Inventory_Ledger!$C$2:$C$2001,"Shipment"))</f>
        <v/>
      </c>
      <c r="Q81" s="51" t="str">
        <f>IF($A81="","",SUMIFS(Inventory_Ledger!$E$2:$E$2001,Inventory_Ledger!$D$2:$D$2001,$A81,Inventory_Ledger!$C$2:$C$2001,"Adjustment"))</f>
        <v/>
      </c>
      <c r="R81" s="51" t="str">
        <f>IF($A81="","",IF(ISNUMBER($H81),$H81,0)+$O81-$P81+$Q81)</f>
        <v/>
      </c>
      <c r="S81" s="50" t="str">
        <f>IF($A81="","",SUMIFS(Reservations!$L$2:$L$201,Reservations!$B$2:$B$201,$A81))</f>
        <v/>
      </c>
      <c r="T81" s="50" t="str">
        <f>IF($A81="","",SUMIFS(Batches!$P$2:$P$301,Batches!$B$2:$B$301,$A81))</f>
        <v/>
      </c>
      <c r="U81" s="51" t="str">
        <f>IF($A81="","",$R81-$S81-$T81)</f>
        <v/>
      </c>
      <c r="V81" s="50" t="str">
        <f>IF($A81="","",SUMIFS(Purchase_Orders!$N$2:$N$301,Purchase_Orders!$C$2:$C$301,$A81,Purchase_Orders!$O$2:$O$301,1))</f>
        <v/>
      </c>
      <c r="W81" s="51" t="str">
        <f>IF($A81="","",SUMIFS(Batches!$L$2:$L$301,Batches!$B$2:$B$301,$A81))</f>
        <v/>
      </c>
      <c r="X81" s="50" t="str">
        <f>IF($A81="","",SUMIFS(Batches!$F$2:$F$301,Batches!$B$2:$B$301,$A81))</f>
        <v/>
      </c>
      <c r="Y81" s="52" t="str">
        <f>IF($A81="","",IF(ISNUMBER($I81),IF(IF(Config!$B$9="Recorded",$R81,$U81)&lt;$I81,1,0),0))</f>
        <v/>
      </c>
      <c r="Z81" s="49" t="str">
        <f>IF($A81="","",IF($R81&lt;0,"Negative",IF($Y81=1,"Below reorder","OK")))</f>
        <v/>
      </c>
      <c r="AA81" s="53" t="str">
        <f>IF($A81="","",IF(ISNUMBER($G81),$R81*$G81,""))</f>
        <v/>
      </c>
      <c r="AB81" s="49" t="str">
        <f>IF(COUNTA($A81:$M81)=0,"",IF($A81="","Missing: SKU",IF(COUNTIF($A$2:$A$101,$A81)&gt;1,"Duplicate SKU",IF($B81="","Missing: product name",IF($C81="","Missing: category",IF($F81="","Missing: primary supplier",IF(NOT(ISNUMBER($H81)),"Missing: opening balance",IF(NOT(ISNUMBER($I81)),"Missing: reorder point",IF(NOT(ISNUMBER($J81)),"Missing: reorder qty",IF($L81="","Missing: status",IF(COUNTIF(Suppliers!$A$2:$A$51,$F81)=0,"Unknown supplier",IF(COUNTIF(Config!$N$15:$N$34,$C81)=0,"Unsupported category",IF(COUNTIF(Config!$O$15:$O$34,$L81)=0,"Unsupported status",IF($X81&lt;&gt;$H81,"Opening balance differs from lot openings",IF($W81&lt;&gt;$R81,"Lot balances differ from recorded stock",IF($R81&lt;0,"Negative recorded stock","OK"))))))))))))))))</f>
        <v/>
      </c>
      <c r="AC81" s="52" t="str">
        <f>IF($Y81=1,COUNTIF($Y$2:$Y81,1),"")</f>
        <v/>
      </c>
    </row>
    <row r="82">
      <c r="A82" s="46" t="n"/>
      <c r="B82" s="46" t="n"/>
      <c r="C82" s="46" t="n"/>
      <c r="D82" s="46" t="n"/>
      <c r="E82" s="46" t="n"/>
      <c r="F82" s="46" t="n"/>
      <c r="G82" s="47" t="n"/>
      <c r="H82" s="48" t="n"/>
      <c r="I82" s="48" t="n"/>
      <c r="J82" s="48" t="n"/>
      <c r="K82" s="48" t="n"/>
      <c r="L82" s="46" t="n"/>
      <c r="M82" s="46" t="n"/>
      <c r="N82" s="49" t="str">
        <f>IF($A82="","",IFERROR(INDEX(Suppliers!$B$2:$B$51,MATCH($F82,Suppliers!$A$2:$A$51,0))&amp;"","(not found)"))</f>
        <v/>
      </c>
      <c r="O82" s="50" t="str">
        <f>IF($A82="","",SUMIFS(Inventory_Ledger!$E$2:$E$2001,Inventory_Ledger!$D$2:$D$2001,$A82,Inventory_Ledger!$C$2:$C$2001,"Receipt"))</f>
        <v/>
      </c>
      <c r="P82" s="50" t="str">
        <f>IF($A82="","",SUMIFS(Inventory_Ledger!$E$2:$E$2001,Inventory_Ledger!$D$2:$D$2001,$A82,Inventory_Ledger!$C$2:$C$2001,"Shipment"))</f>
        <v/>
      </c>
      <c r="Q82" s="51" t="str">
        <f>IF($A82="","",SUMIFS(Inventory_Ledger!$E$2:$E$2001,Inventory_Ledger!$D$2:$D$2001,$A82,Inventory_Ledger!$C$2:$C$2001,"Adjustment"))</f>
        <v/>
      </c>
      <c r="R82" s="51" t="str">
        <f>IF($A82="","",IF(ISNUMBER($H82),$H82,0)+$O82-$P82+$Q82)</f>
        <v/>
      </c>
      <c r="S82" s="50" t="str">
        <f>IF($A82="","",SUMIFS(Reservations!$L$2:$L$201,Reservations!$B$2:$B$201,$A82))</f>
        <v/>
      </c>
      <c r="T82" s="50" t="str">
        <f>IF($A82="","",SUMIFS(Batches!$P$2:$P$301,Batches!$B$2:$B$301,$A82))</f>
        <v/>
      </c>
      <c r="U82" s="51" t="str">
        <f>IF($A82="","",$R82-$S82-$T82)</f>
        <v/>
      </c>
      <c r="V82" s="50" t="str">
        <f>IF($A82="","",SUMIFS(Purchase_Orders!$N$2:$N$301,Purchase_Orders!$C$2:$C$301,$A82,Purchase_Orders!$O$2:$O$301,1))</f>
        <v/>
      </c>
      <c r="W82" s="51" t="str">
        <f>IF($A82="","",SUMIFS(Batches!$L$2:$L$301,Batches!$B$2:$B$301,$A82))</f>
        <v/>
      </c>
      <c r="X82" s="50" t="str">
        <f>IF($A82="","",SUMIFS(Batches!$F$2:$F$301,Batches!$B$2:$B$301,$A82))</f>
        <v/>
      </c>
      <c r="Y82" s="52" t="str">
        <f>IF($A82="","",IF(ISNUMBER($I82),IF(IF(Config!$B$9="Recorded",$R82,$U82)&lt;$I82,1,0),0))</f>
        <v/>
      </c>
      <c r="Z82" s="49" t="str">
        <f>IF($A82="","",IF($R82&lt;0,"Negative",IF($Y82=1,"Below reorder","OK")))</f>
        <v/>
      </c>
      <c r="AA82" s="53" t="str">
        <f>IF($A82="","",IF(ISNUMBER($G82),$R82*$G82,""))</f>
        <v/>
      </c>
      <c r="AB82" s="49" t="str">
        <f>IF(COUNTA($A82:$M82)=0,"",IF($A82="","Missing: SKU",IF(COUNTIF($A$2:$A$101,$A82)&gt;1,"Duplicate SKU",IF($B82="","Missing: product name",IF($C82="","Missing: category",IF($F82="","Missing: primary supplier",IF(NOT(ISNUMBER($H82)),"Missing: opening balance",IF(NOT(ISNUMBER($I82)),"Missing: reorder point",IF(NOT(ISNUMBER($J82)),"Missing: reorder qty",IF($L82="","Missing: status",IF(COUNTIF(Suppliers!$A$2:$A$51,$F82)=0,"Unknown supplier",IF(COUNTIF(Config!$N$15:$N$34,$C82)=0,"Unsupported category",IF(COUNTIF(Config!$O$15:$O$34,$L82)=0,"Unsupported status",IF($X82&lt;&gt;$H82,"Opening balance differs from lot openings",IF($W82&lt;&gt;$R82,"Lot balances differ from recorded stock",IF($R82&lt;0,"Negative recorded stock","OK"))))))))))))))))</f>
        <v/>
      </c>
      <c r="AC82" s="52" t="str">
        <f>IF($Y82=1,COUNTIF($Y$2:$Y82,1),"")</f>
        <v/>
      </c>
    </row>
    <row r="83">
      <c r="A83" s="46" t="n"/>
      <c r="B83" s="46" t="n"/>
      <c r="C83" s="46" t="n"/>
      <c r="D83" s="46" t="n"/>
      <c r="E83" s="46" t="n"/>
      <c r="F83" s="46" t="n"/>
      <c r="G83" s="47" t="n"/>
      <c r="H83" s="48" t="n"/>
      <c r="I83" s="48" t="n"/>
      <c r="J83" s="48" t="n"/>
      <c r="K83" s="48" t="n"/>
      <c r="L83" s="46" t="n"/>
      <c r="M83" s="46" t="n"/>
      <c r="N83" s="49" t="str">
        <f>IF($A83="","",IFERROR(INDEX(Suppliers!$B$2:$B$51,MATCH($F83,Suppliers!$A$2:$A$51,0))&amp;"","(not found)"))</f>
        <v/>
      </c>
      <c r="O83" s="50" t="str">
        <f>IF($A83="","",SUMIFS(Inventory_Ledger!$E$2:$E$2001,Inventory_Ledger!$D$2:$D$2001,$A83,Inventory_Ledger!$C$2:$C$2001,"Receipt"))</f>
        <v/>
      </c>
      <c r="P83" s="50" t="str">
        <f>IF($A83="","",SUMIFS(Inventory_Ledger!$E$2:$E$2001,Inventory_Ledger!$D$2:$D$2001,$A83,Inventory_Ledger!$C$2:$C$2001,"Shipment"))</f>
        <v/>
      </c>
      <c r="Q83" s="51" t="str">
        <f>IF($A83="","",SUMIFS(Inventory_Ledger!$E$2:$E$2001,Inventory_Ledger!$D$2:$D$2001,$A83,Inventory_Ledger!$C$2:$C$2001,"Adjustment"))</f>
        <v/>
      </c>
      <c r="R83" s="51" t="str">
        <f>IF($A83="","",IF(ISNUMBER($H83),$H83,0)+$O83-$P83+$Q83)</f>
        <v/>
      </c>
      <c r="S83" s="50" t="str">
        <f>IF($A83="","",SUMIFS(Reservations!$L$2:$L$201,Reservations!$B$2:$B$201,$A83))</f>
        <v/>
      </c>
      <c r="T83" s="50" t="str">
        <f>IF($A83="","",SUMIFS(Batches!$P$2:$P$301,Batches!$B$2:$B$301,$A83))</f>
        <v/>
      </c>
      <c r="U83" s="51" t="str">
        <f>IF($A83="","",$R83-$S83-$T83)</f>
        <v/>
      </c>
      <c r="V83" s="50" t="str">
        <f>IF($A83="","",SUMIFS(Purchase_Orders!$N$2:$N$301,Purchase_Orders!$C$2:$C$301,$A83,Purchase_Orders!$O$2:$O$301,1))</f>
        <v/>
      </c>
      <c r="W83" s="51" t="str">
        <f>IF($A83="","",SUMIFS(Batches!$L$2:$L$301,Batches!$B$2:$B$301,$A83))</f>
        <v/>
      </c>
      <c r="X83" s="50" t="str">
        <f>IF($A83="","",SUMIFS(Batches!$F$2:$F$301,Batches!$B$2:$B$301,$A83))</f>
        <v/>
      </c>
      <c r="Y83" s="52" t="str">
        <f>IF($A83="","",IF(ISNUMBER($I83),IF(IF(Config!$B$9="Recorded",$R83,$U83)&lt;$I83,1,0),0))</f>
        <v/>
      </c>
      <c r="Z83" s="49" t="str">
        <f>IF($A83="","",IF($R83&lt;0,"Negative",IF($Y83=1,"Below reorder","OK")))</f>
        <v/>
      </c>
      <c r="AA83" s="53" t="str">
        <f>IF($A83="","",IF(ISNUMBER($G83),$R83*$G83,""))</f>
        <v/>
      </c>
      <c r="AB83" s="49" t="str">
        <f>IF(COUNTA($A83:$M83)=0,"",IF($A83="","Missing: SKU",IF(COUNTIF($A$2:$A$101,$A83)&gt;1,"Duplicate SKU",IF($B83="","Missing: product name",IF($C83="","Missing: category",IF($F83="","Missing: primary supplier",IF(NOT(ISNUMBER($H83)),"Missing: opening balance",IF(NOT(ISNUMBER($I83)),"Missing: reorder point",IF(NOT(ISNUMBER($J83)),"Missing: reorder qty",IF($L83="","Missing: status",IF(COUNTIF(Suppliers!$A$2:$A$51,$F83)=0,"Unknown supplier",IF(COUNTIF(Config!$N$15:$N$34,$C83)=0,"Unsupported category",IF(COUNTIF(Config!$O$15:$O$34,$L83)=0,"Unsupported status",IF($X83&lt;&gt;$H83,"Opening balance differs from lot openings",IF($W83&lt;&gt;$R83,"Lot balances differ from recorded stock",IF($R83&lt;0,"Negative recorded stock","OK"))))))))))))))))</f>
        <v/>
      </c>
      <c r="AC83" s="52" t="str">
        <f>IF($Y83=1,COUNTIF($Y$2:$Y83,1),"")</f>
        <v/>
      </c>
    </row>
    <row r="84">
      <c r="A84" s="46" t="n"/>
      <c r="B84" s="46" t="n"/>
      <c r="C84" s="46" t="n"/>
      <c r="D84" s="46" t="n"/>
      <c r="E84" s="46" t="n"/>
      <c r="F84" s="46" t="n"/>
      <c r="G84" s="47" t="n"/>
      <c r="H84" s="48" t="n"/>
      <c r="I84" s="48" t="n"/>
      <c r="J84" s="48" t="n"/>
      <c r="K84" s="48" t="n"/>
      <c r="L84" s="46" t="n"/>
      <c r="M84" s="46" t="n"/>
      <c r="N84" s="49" t="str">
        <f>IF($A84="","",IFERROR(INDEX(Suppliers!$B$2:$B$51,MATCH($F84,Suppliers!$A$2:$A$51,0))&amp;"","(not found)"))</f>
        <v/>
      </c>
      <c r="O84" s="50" t="str">
        <f>IF($A84="","",SUMIFS(Inventory_Ledger!$E$2:$E$2001,Inventory_Ledger!$D$2:$D$2001,$A84,Inventory_Ledger!$C$2:$C$2001,"Receipt"))</f>
        <v/>
      </c>
      <c r="P84" s="50" t="str">
        <f>IF($A84="","",SUMIFS(Inventory_Ledger!$E$2:$E$2001,Inventory_Ledger!$D$2:$D$2001,$A84,Inventory_Ledger!$C$2:$C$2001,"Shipment"))</f>
        <v/>
      </c>
      <c r="Q84" s="51" t="str">
        <f>IF($A84="","",SUMIFS(Inventory_Ledger!$E$2:$E$2001,Inventory_Ledger!$D$2:$D$2001,$A84,Inventory_Ledger!$C$2:$C$2001,"Adjustment"))</f>
        <v/>
      </c>
      <c r="R84" s="51" t="str">
        <f>IF($A84="","",IF(ISNUMBER($H84),$H84,0)+$O84-$P84+$Q84)</f>
        <v/>
      </c>
      <c r="S84" s="50" t="str">
        <f>IF($A84="","",SUMIFS(Reservations!$L$2:$L$201,Reservations!$B$2:$B$201,$A84))</f>
        <v/>
      </c>
      <c r="T84" s="50" t="str">
        <f>IF($A84="","",SUMIFS(Batches!$P$2:$P$301,Batches!$B$2:$B$301,$A84))</f>
        <v/>
      </c>
      <c r="U84" s="51" t="str">
        <f>IF($A84="","",$R84-$S84-$T84)</f>
        <v/>
      </c>
      <c r="V84" s="50" t="str">
        <f>IF($A84="","",SUMIFS(Purchase_Orders!$N$2:$N$301,Purchase_Orders!$C$2:$C$301,$A84,Purchase_Orders!$O$2:$O$301,1))</f>
        <v/>
      </c>
      <c r="W84" s="51" t="str">
        <f>IF($A84="","",SUMIFS(Batches!$L$2:$L$301,Batches!$B$2:$B$301,$A84))</f>
        <v/>
      </c>
      <c r="X84" s="50" t="str">
        <f>IF($A84="","",SUMIFS(Batches!$F$2:$F$301,Batches!$B$2:$B$301,$A84))</f>
        <v/>
      </c>
      <c r="Y84" s="52" t="str">
        <f>IF($A84="","",IF(ISNUMBER($I84),IF(IF(Config!$B$9="Recorded",$R84,$U84)&lt;$I84,1,0),0))</f>
        <v/>
      </c>
      <c r="Z84" s="49" t="str">
        <f>IF($A84="","",IF($R84&lt;0,"Negative",IF($Y84=1,"Below reorder","OK")))</f>
        <v/>
      </c>
      <c r="AA84" s="53" t="str">
        <f>IF($A84="","",IF(ISNUMBER($G84),$R84*$G84,""))</f>
        <v/>
      </c>
      <c r="AB84" s="49" t="str">
        <f>IF(COUNTA($A84:$M84)=0,"",IF($A84="","Missing: SKU",IF(COUNTIF($A$2:$A$101,$A84)&gt;1,"Duplicate SKU",IF($B84="","Missing: product name",IF($C84="","Missing: category",IF($F84="","Missing: primary supplier",IF(NOT(ISNUMBER($H84)),"Missing: opening balance",IF(NOT(ISNUMBER($I84)),"Missing: reorder point",IF(NOT(ISNUMBER($J84)),"Missing: reorder qty",IF($L84="","Missing: status",IF(COUNTIF(Suppliers!$A$2:$A$51,$F84)=0,"Unknown supplier",IF(COUNTIF(Config!$N$15:$N$34,$C84)=0,"Unsupported category",IF(COUNTIF(Config!$O$15:$O$34,$L84)=0,"Unsupported status",IF($X84&lt;&gt;$H84,"Opening balance differs from lot openings",IF($W84&lt;&gt;$R84,"Lot balances differ from recorded stock",IF($R84&lt;0,"Negative recorded stock","OK"))))))))))))))))</f>
        <v/>
      </c>
      <c r="AC84" s="52" t="str">
        <f>IF($Y84=1,COUNTIF($Y$2:$Y84,1),"")</f>
        <v/>
      </c>
    </row>
    <row r="85">
      <c r="A85" s="46" t="n"/>
      <c r="B85" s="46" t="n"/>
      <c r="C85" s="46" t="n"/>
      <c r="D85" s="46" t="n"/>
      <c r="E85" s="46" t="n"/>
      <c r="F85" s="46" t="n"/>
      <c r="G85" s="47" t="n"/>
      <c r="H85" s="48" t="n"/>
      <c r="I85" s="48" t="n"/>
      <c r="J85" s="48" t="n"/>
      <c r="K85" s="48" t="n"/>
      <c r="L85" s="46" t="n"/>
      <c r="M85" s="46" t="n"/>
      <c r="N85" s="49" t="str">
        <f>IF($A85="","",IFERROR(INDEX(Suppliers!$B$2:$B$51,MATCH($F85,Suppliers!$A$2:$A$51,0))&amp;"","(not found)"))</f>
        <v/>
      </c>
      <c r="O85" s="50" t="str">
        <f>IF($A85="","",SUMIFS(Inventory_Ledger!$E$2:$E$2001,Inventory_Ledger!$D$2:$D$2001,$A85,Inventory_Ledger!$C$2:$C$2001,"Receipt"))</f>
        <v/>
      </c>
      <c r="P85" s="50" t="str">
        <f>IF($A85="","",SUMIFS(Inventory_Ledger!$E$2:$E$2001,Inventory_Ledger!$D$2:$D$2001,$A85,Inventory_Ledger!$C$2:$C$2001,"Shipment"))</f>
        <v/>
      </c>
      <c r="Q85" s="51" t="str">
        <f>IF($A85="","",SUMIFS(Inventory_Ledger!$E$2:$E$2001,Inventory_Ledger!$D$2:$D$2001,$A85,Inventory_Ledger!$C$2:$C$2001,"Adjustment"))</f>
        <v/>
      </c>
      <c r="R85" s="51" t="str">
        <f>IF($A85="","",IF(ISNUMBER($H85),$H85,0)+$O85-$P85+$Q85)</f>
        <v/>
      </c>
      <c r="S85" s="50" t="str">
        <f>IF($A85="","",SUMIFS(Reservations!$L$2:$L$201,Reservations!$B$2:$B$201,$A85))</f>
        <v/>
      </c>
      <c r="T85" s="50" t="str">
        <f>IF($A85="","",SUMIFS(Batches!$P$2:$P$301,Batches!$B$2:$B$301,$A85))</f>
        <v/>
      </c>
      <c r="U85" s="51" t="str">
        <f>IF($A85="","",$R85-$S85-$T85)</f>
        <v/>
      </c>
      <c r="V85" s="50" t="str">
        <f>IF($A85="","",SUMIFS(Purchase_Orders!$N$2:$N$301,Purchase_Orders!$C$2:$C$301,$A85,Purchase_Orders!$O$2:$O$301,1))</f>
        <v/>
      </c>
      <c r="W85" s="51" t="str">
        <f>IF($A85="","",SUMIFS(Batches!$L$2:$L$301,Batches!$B$2:$B$301,$A85))</f>
        <v/>
      </c>
      <c r="X85" s="50" t="str">
        <f>IF($A85="","",SUMIFS(Batches!$F$2:$F$301,Batches!$B$2:$B$301,$A85))</f>
        <v/>
      </c>
      <c r="Y85" s="52" t="str">
        <f>IF($A85="","",IF(ISNUMBER($I85),IF(IF(Config!$B$9="Recorded",$R85,$U85)&lt;$I85,1,0),0))</f>
        <v/>
      </c>
      <c r="Z85" s="49" t="str">
        <f>IF($A85="","",IF($R85&lt;0,"Negative",IF($Y85=1,"Below reorder","OK")))</f>
        <v/>
      </c>
      <c r="AA85" s="53" t="str">
        <f>IF($A85="","",IF(ISNUMBER($G85),$R85*$G85,""))</f>
        <v/>
      </c>
      <c r="AB85" s="49" t="str">
        <f>IF(COUNTA($A85:$M85)=0,"",IF($A85="","Missing: SKU",IF(COUNTIF($A$2:$A$101,$A85)&gt;1,"Duplicate SKU",IF($B85="","Missing: product name",IF($C85="","Missing: category",IF($F85="","Missing: primary supplier",IF(NOT(ISNUMBER($H85)),"Missing: opening balance",IF(NOT(ISNUMBER($I85)),"Missing: reorder point",IF(NOT(ISNUMBER($J85)),"Missing: reorder qty",IF($L85="","Missing: status",IF(COUNTIF(Suppliers!$A$2:$A$51,$F85)=0,"Unknown supplier",IF(COUNTIF(Config!$N$15:$N$34,$C85)=0,"Unsupported category",IF(COUNTIF(Config!$O$15:$O$34,$L85)=0,"Unsupported status",IF($X85&lt;&gt;$H85,"Opening balance differs from lot openings",IF($W85&lt;&gt;$R85,"Lot balances differ from recorded stock",IF($R85&lt;0,"Negative recorded stock","OK"))))))))))))))))</f>
        <v/>
      </c>
      <c r="AC85" s="52" t="str">
        <f>IF($Y85=1,COUNTIF($Y$2:$Y85,1),"")</f>
        <v/>
      </c>
    </row>
    <row r="86">
      <c r="A86" s="46" t="n"/>
      <c r="B86" s="46" t="n"/>
      <c r="C86" s="46" t="n"/>
      <c r="D86" s="46" t="n"/>
      <c r="E86" s="46" t="n"/>
      <c r="F86" s="46" t="n"/>
      <c r="G86" s="47" t="n"/>
      <c r="H86" s="48" t="n"/>
      <c r="I86" s="48" t="n"/>
      <c r="J86" s="48" t="n"/>
      <c r="K86" s="48" t="n"/>
      <c r="L86" s="46" t="n"/>
      <c r="M86" s="46" t="n"/>
      <c r="N86" s="49" t="str">
        <f>IF($A86="","",IFERROR(INDEX(Suppliers!$B$2:$B$51,MATCH($F86,Suppliers!$A$2:$A$51,0))&amp;"","(not found)"))</f>
        <v/>
      </c>
      <c r="O86" s="50" t="str">
        <f>IF($A86="","",SUMIFS(Inventory_Ledger!$E$2:$E$2001,Inventory_Ledger!$D$2:$D$2001,$A86,Inventory_Ledger!$C$2:$C$2001,"Receipt"))</f>
        <v/>
      </c>
      <c r="P86" s="50" t="str">
        <f>IF($A86="","",SUMIFS(Inventory_Ledger!$E$2:$E$2001,Inventory_Ledger!$D$2:$D$2001,$A86,Inventory_Ledger!$C$2:$C$2001,"Shipment"))</f>
        <v/>
      </c>
      <c r="Q86" s="51" t="str">
        <f>IF($A86="","",SUMIFS(Inventory_Ledger!$E$2:$E$2001,Inventory_Ledger!$D$2:$D$2001,$A86,Inventory_Ledger!$C$2:$C$2001,"Adjustment"))</f>
        <v/>
      </c>
      <c r="R86" s="51" t="str">
        <f>IF($A86="","",IF(ISNUMBER($H86),$H86,0)+$O86-$P86+$Q86)</f>
        <v/>
      </c>
      <c r="S86" s="50" t="str">
        <f>IF($A86="","",SUMIFS(Reservations!$L$2:$L$201,Reservations!$B$2:$B$201,$A86))</f>
        <v/>
      </c>
      <c r="T86" s="50" t="str">
        <f>IF($A86="","",SUMIFS(Batches!$P$2:$P$301,Batches!$B$2:$B$301,$A86))</f>
        <v/>
      </c>
      <c r="U86" s="51" t="str">
        <f>IF($A86="","",$R86-$S86-$T86)</f>
        <v/>
      </c>
      <c r="V86" s="50" t="str">
        <f>IF($A86="","",SUMIFS(Purchase_Orders!$N$2:$N$301,Purchase_Orders!$C$2:$C$301,$A86,Purchase_Orders!$O$2:$O$301,1))</f>
        <v/>
      </c>
      <c r="W86" s="51" t="str">
        <f>IF($A86="","",SUMIFS(Batches!$L$2:$L$301,Batches!$B$2:$B$301,$A86))</f>
        <v/>
      </c>
      <c r="X86" s="50" t="str">
        <f>IF($A86="","",SUMIFS(Batches!$F$2:$F$301,Batches!$B$2:$B$301,$A86))</f>
        <v/>
      </c>
      <c r="Y86" s="52" t="str">
        <f>IF($A86="","",IF(ISNUMBER($I86),IF(IF(Config!$B$9="Recorded",$R86,$U86)&lt;$I86,1,0),0))</f>
        <v/>
      </c>
      <c r="Z86" s="49" t="str">
        <f>IF($A86="","",IF($R86&lt;0,"Negative",IF($Y86=1,"Below reorder","OK")))</f>
        <v/>
      </c>
      <c r="AA86" s="53" t="str">
        <f>IF($A86="","",IF(ISNUMBER($G86),$R86*$G86,""))</f>
        <v/>
      </c>
      <c r="AB86" s="49" t="str">
        <f>IF(COUNTA($A86:$M86)=0,"",IF($A86="","Missing: SKU",IF(COUNTIF($A$2:$A$101,$A86)&gt;1,"Duplicate SKU",IF($B86="","Missing: product name",IF($C86="","Missing: category",IF($F86="","Missing: primary supplier",IF(NOT(ISNUMBER($H86)),"Missing: opening balance",IF(NOT(ISNUMBER($I86)),"Missing: reorder point",IF(NOT(ISNUMBER($J86)),"Missing: reorder qty",IF($L86="","Missing: status",IF(COUNTIF(Suppliers!$A$2:$A$51,$F86)=0,"Unknown supplier",IF(COUNTIF(Config!$N$15:$N$34,$C86)=0,"Unsupported category",IF(COUNTIF(Config!$O$15:$O$34,$L86)=0,"Unsupported status",IF($X86&lt;&gt;$H86,"Opening balance differs from lot openings",IF($W86&lt;&gt;$R86,"Lot balances differ from recorded stock",IF($R86&lt;0,"Negative recorded stock","OK"))))))))))))))))</f>
        <v/>
      </c>
      <c r="AC86" s="52" t="str">
        <f>IF($Y86=1,COUNTIF($Y$2:$Y86,1),"")</f>
        <v/>
      </c>
    </row>
    <row r="87">
      <c r="A87" s="46" t="n"/>
      <c r="B87" s="46" t="n"/>
      <c r="C87" s="46" t="n"/>
      <c r="D87" s="46" t="n"/>
      <c r="E87" s="46" t="n"/>
      <c r="F87" s="46" t="n"/>
      <c r="G87" s="47" t="n"/>
      <c r="H87" s="48" t="n"/>
      <c r="I87" s="48" t="n"/>
      <c r="J87" s="48" t="n"/>
      <c r="K87" s="48" t="n"/>
      <c r="L87" s="46" t="n"/>
      <c r="M87" s="46" t="n"/>
      <c r="N87" s="49" t="str">
        <f>IF($A87="","",IFERROR(INDEX(Suppliers!$B$2:$B$51,MATCH($F87,Suppliers!$A$2:$A$51,0))&amp;"","(not found)"))</f>
        <v/>
      </c>
      <c r="O87" s="50" t="str">
        <f>IF($A87="","",SUMIFS(Inventory_Ledger!$E$2:$E$2001,Inventory_Ledger!$D$2:$D$2001,$A87,Inventory_Ledger!$C$2:$C$2001,"Receipt"))</f>
        <v/>
      </c>
      <c r="P87" s="50" t="str">
        <f>IF($A87="","",SUMIFS(Inventory_Ledger!$E$2:$E$2001,Inventory_Ledger!$D$2:$D$2001,$A87,Inventory_Ledger!$C$2:$C$2001,"Shipment"))</f>
        <v/>
      </c>
      <c r="Q87" s="51" t="str">
        <f>IF($A87="","",SUMIFS(Inventory_Ledger!$E$2:$E$2001,Inventory_Ledger!$D$2:$D$2001,$A87,Inventory_Ledger!$C$2:$C$2001,"Adjustment"))</f>
        <v/>
      </c>
      <c r="R87" s="51" t="str">
        <f>IF($A87="","",IF(ISNUMBER($H87),$H87,0)+$O87-$P87+$Q87)</f>
        <v/>
      </c>
      <c r="S87" s="50" t="str">
        <f>IF($A87="","",SUMIFS(Reservations!$L$2:$L$201,Reservations!$B$2:$B$201,$A87))</f>
        <v/>
      </c>
      <c r="T87" s="50" t="str">
        <f>IF($A87="","",SUMIFS(Batches!$P$2:$P$301,Batches!$B$2:$B$301,$A87))</f>
        <v/>
      </c>
      <c r="U87" s="51" t="str">
        <f>IF($A87="","",$R87-$S87-$T87)</f>
        <v/>
      </c>
      <c r="V87" s="50" t="str">
        <f>IF($A87="","",SUMIFS(Purchase_Orders!$N$2:$N$301,Purchase_Orders!$C$2:$C$301,$A87,Purchase_Orders!$O$2:$O$301,1))</f>
        <v/>
      </c>
      <c r="W87" s="51" t="str">
        <f>IF($A87="","",SUMIFS(Batches!$L$2:$L$301,Batches!$B$2:$B$301,$A87))</f>
        <v/>
      </c>
      <c r="X87" s="50" t="str">
        <f>IF($A87="","",SUMIFS(Batches!$F$2:$F$301,Batches!$B$2:$B$301,$A87))</f>
        <v/>
      </c>
      <c r="Y87" s="52" t="str">
        <f>IF($A87="","",IF(ISNUMBER($I87),IF(IF(Config!$B$9="Recorded",$R87,$U87)&lt;$I87,1,0),0))</f>
        <v/>
      </c>
      <c r="Z87" s="49" t="str">
        <f>IF($A87="","",IF($R87&lt;0,"Negative",IF($Y87=1,"Below reorder","OK")))</f>
        <v/>
      </c>
      <c r="AA87" s="53" t="str">
        <f>IF($A87="","",IF(ISNUMBER($G87),$R87*$G87,""))</f>
        <v/>
      </c>
      <c r="AB87" s="49" t="str">
        <f>IF(COUNTA($A87:$M87)=0,"",IF($A87="","Missing: SKU",IF(COUNTIF($A$2:$A$101,$A87)&gt;1,"Duplicate SKU",IF($B87="","Missing: product name",IF($C87="","Missing: category",IF($F87="","Missing: primary supplier",IF(NOT(ISNUMBER($H87)),"Missing: opening balance",IF(NOT(ISNUMBER($I87)),"Missing: reorder point",IF(NOT(ISNUMBER($J87)),"Missing: reorder qty",IF($L87="","Missing: status",IF(COUNTIF(Suppliers!$A$2:$A$51,$F87)=0,"Unknown supplier",IF(COUNTIF(Config!$N$15:$N$34,$C87)=0,"Unsupported category",IF(COUNTIF(Config!$O$15:$O$34,$L87)=0,"Unsupported status",IF($X87&lt;&gt;$H87,"Opening balance differs from lot openings",IF($W87&lt;&gt;$R87,"Lot balances differ from recorded stock",IF($R87&lt;0,"Negative recorded stock","OK"))))))))))))))))</f>
        <v/>
      </c>
      <c r="AC87" s="52" t="str">
        <f>IF($Y87=1,COUNTIF($Y$2:$Y87,1),"")</f>
        <v/>
      </c>
    </row>
    <row r="88">
      <c r="A88" s="46" t="n"/>
      <c r="B88" s="46" t="n"/>
      <c r="C88" s="46" t="n"/>
      <c r="D88" s="46" t="n"/>
      <c r="E88" s="46" t="n"/>
      <c r="F88" s="46" t="n"/>
      <c r="G88" s="47" t="n"/>
      <c r="H88" s="48" t="n"/>
      <c r="I88" s="48" t="n"/>
      <c r="J88" s="48" t="n"/>
      <c r="K88" s="48" t="n"/>
      <c r="L88" s="46" t="n"/>
      <c r="M88" s="46" t="n"/>
      <c r="N88" s="49" t="str">
        <f>IF($A88="","",IFERROR(INDEX(Suppliers!$B$2:$B$51,MATCH($F88,Suppliers!$A$2:$A$51,0))&amp;"","(not found)"))</f>
        <v/>
      </c>
      <c r="O88" s="50" t="str">
        <f>IF($A88="","",SUMIFS(Inventory_Ledger!$E$2:$E$2001,Inventory_Ledger!$D$2:$D$2001,$A88,Inventory_Ledger!$C$2:$C$2001,"Receipt"))</f>
        <v/>
      </c>
      <c r="P88" s="50" t="str">
        <f>IF($A88="","",SUMIFS(Inventory_Ledger!$E$2:$E$2001,Inventory_Ledger!$D$2:$D$2001,$A88,Inventory_Ledger!$C$2:$C$2001,"Shipment"))</f>
        <v/>
      </c>
      <c r="Q88" s="51" t="str">
        <f>IF($A88="","",SUMIFS(Inventory_Ledger!$E$2:$E$2001,Inventory_Ledger!$D$2:$D$2001,$A88,Inventory_Ledger!$C$2:$C$2001,"Adjustment"))</f>
        <v/>
      </c>
      <c r="R88" s="51" t="str">
        <f>IF($A88="","",IF(ISNUMBER($H88),$H88,0)+$O88-$P88+$Q88)</f>
        <v/>
      </c>
      <c r="S88" s="50" t="str">
        <f>IF($A88="","",SUMIFS(Reservations!$L$2:$L$201,Reservations!$B$2:$B$201,$A88))</f>
        <v/>
      </c>
      <c r="T88" s="50" t="str">
        <f>IF($A88="","",SUMIFS(Batches!$P$2:$P$301,Batches!$B$2:$B$301,$A88))</f>
        <v/>
      </c>
      <c r="U88" s="51" t="str">
        <f>IF($A88="","",$R88-$S88-$T88)</f>
        <v/>
      </c>
      <c r="V88" s="50" t="str">
        <f>IF($A88="","",SUMIFS(Purchase_Orders!$N$2:$N$301,Purchase_Orders!$C$2:$C$301,$A88,Purchase_Orders!$O$2:$O$301,1))</f>
        <v/>
      </c>
      <c r="W88" s="51" t="str">
        <f>IF($A88="","",SUMIFS(Batches!$L$2:$L$301,Batches!$B$2:$B$301,$A88))</f>
        <v/>
      </c>
      <c r="X88" s="50" t="str">
        <f>IF($A88="","",SUMIFS(Batches!$F$2:$F$301,Batches!$B$2:$B$301,$A88))</f>
        <v/>
      </c>
      <c r="Y88" s="52" t="str">
        <f>IF($A88="","",IF(ISNUMBER($I88),IF(IF(Config!$B$9="Recorded",$R88,$U88)&lt;$I88,1,0),0))</f>
        <v/>
      </c>
      <c r="Z88" s="49" t="str">
        <f>IF($A88="","",IF($R88&lt;0,"Negative",IF($Y88=1,"Below reorder","OK")))</f>
        <v/>
      </c>
      <c r="AA88" s="53" t="str">
        <f>IF($A88="","",IF(ISNUMBER($G88),$R88*$G88,""))</f>
        <v/>
      </c>
      <c r="AB88" s="49" t="str">
        <f>IF(COUNTA($A88:$M88)=0,"",IF($A88="","Missing: SKU",IF(COUNTIF($A$2:$A$101,$A88)&gt;1,"Duplicate SKU",IF($B88="","Missing: product name",IF($C88="","Missing: category",IF($F88="","Missing: primary supplier",IF(NOT(ISNUMBER($H88)),"Missing: opening balance",IF(NOT(ISNUMBER($I88)),"Missing: reorder point",IF(NOT(ISNUMBER($J88)),"Missing: reorder qty",IF($L88="","Missing: status",IF(COUNTIF(Suppliers!$A$2:$A$51,$F88)=0,"Unknown supplier",IF(COUNTIF(Config!$N$15:$N$34,$C88)=0,"Unsupported category",IF(COUNTIF(Config!$O$15:$O$34,$L88)=0,"Unsupported status",IF($X88&lt;&gt;$H88,"Opening balance differs from lot openings",IF($W88&lt;&gt;$R88,"Lot balances differ from recorded stock",IF($R88&lt;0,"Negative recorded stock","OK"))))))))))))))))</f>
        <v/>
      </c>
      <c r="AC88" s="52" t="str">
        <f>IF($Y88=1,COUNTIF($Y$2:$Y88,1),"")</f>
        <v/>
      </c>
    </row>
    <row r="89">
      <c r="A89" s="46" t="n"/>
      <c r="B89" s="46" t="n"/>
      <c r="C89" s="46" t="n"/>
      <c r="D89" s="46" t="n"/>
      <c r="E89" s="46" t="n"/>
      <c r="F89" s="46" t="n"/>
      <c r="G89" s="47" t="n"/>
      <c r="H89" s="48" t="n"/>
      <c r="I89" s="48" t="n"/>
      <c r="J89" s="48" t="n"/>
      <c r="K89" s="48" t="n"/>
      <c r="L89" s="46" t="n"/>
      <c r="M89" s="46" t="n"/>
      <c r="N89" s="49" t="str">
        <f>IF($A89="","",IFERROR(INDEX(Suppliers!$B$2:$B$51,MATCH($F89,Suppliers!$A$2:$A$51,0))&amp;"","(not found)"))</f>
        <v/>
      </c>
      <c r="O89" s="50" t="str">
        <f>IF($A89="","",SUMIFS(Inventory_Ledger!$E$2:$E$2001,Inventory_Ledger!$D$2:$D$2001,$A89,Inventory_Ledger!$C$2:$C$2001,"Receipt"))</f>
        <v/>
      </c>
      <c r="P89" s="50" t="str">
        <f>IF($A89="","",SUMIFS(Inventory_Ledger!$E$2:$E$2001,Inventory_Ledger!$D$2:$D$2001,$A89,Inventory_Ledger!$C$2:$C$2001,"Shipment"))</f>
        <v/>
      </c>
      <c r="Q89" s="51" t="str">
        <f>IF($A89="","",SUMIFS(Inventory_Ledger!$E$2:$E$2001,Inventory_Ledger!$D$2:$D$2001,$A89,Inventory_Ledger!$C$2:$C$2001,"Adjustment"))</f>
        <v/>
      </c>
      <c r="R89" s="51" t="str">
        <f>IF($A89="","",IF(ISNUMBER($H89),$H89,0)+$O89-$P89+$Q89)</f>
        <v/>
      </c>
      <c r="S89" s="50" t="str">
        <f>IF($A89="","",SUMIFS(Reservations!$L$2:$L$201,Reservations!$B$2:$B$201,$A89))</f>
        <v/>
      </c>
      <c r="T89" s="50" t="str">
        <f>IF($A89="","",SUMIFS(Batches!$P$2:$P$301,Batches!$B$2:$B$301,$A89))</f>
        <v/>
      </c>
      <c r="U89" s="51" t="str">
        <f>IF($A89="","",$R89-$S89-$T89)</f>
        <v/>
      </c>
      <c r="V89" s="50" t="str">
        <f>IF($A89="","",SUMIFS(Purchase_Orders!$N$2:$N$301,Purchase_Orders!$C$2:$C$301,$A89,Purchase_Orders!$O$2:$O$301,1))</f>
        <v/>
      </c>
      <c r="W89" s="51" t="str">
        <f>IF($A89="","",SUMIFS(Batches!$L$2:$L$301,Batches!$B$2:$B$301,$A89))</f>
        <v/>
      </c>
      <c r="X89" s="50" t="str">
        <f>IF($A89="","",SUMIFS(Batches!$F$2:$F$301,Batches!$B$2:$B$301,$A89))</f>
        <v/>
      </c>
      <c r="Y89" s="52" t="str">
        <f>IF($A89="","",IF(ISNUMBER($I89),IF(IF(Config!$B$9="Recorded",$R89,$U89)&lt;$I89,1,0),0))</f>
        <v/>
      </c>
      <c r="Z89" s="49" t="str">
        <f>IF($A89="","",IF($R89&lt;0,"Negative",IF($Y89=1,"Below reorder","OK")))</f>
        <v/>
      </c>
      <c r="AA89" s="53" t="str">
        <f>IF($A89="","",IF(ISNUMBER($G89),$R89*$G89,""))</f>
        <v/>
      </c>
      <c r="AB89" s="49" t="str">
        <f>IF(COUNTA($A89:$M89)=0,"",IF($A89="","Missing: SKU",IF(COUNTIF($A$2:$A$101,$A89)&gt;1,"Duplicate SKU",IF($B89="","Missing: product name",IF($C89="","Missing: category",IF($F89="","Missing: primary supplier",IF(NOT(ISNUMBER($H89)),"Missing: opening balance",IF(NOT(ISNUMBER($I89)),"Missing: reorder point",IF(NOT(ISNUMBER($J89)),"Missing: reorder qty",IF($L89="","Missing: status",IF(COUNTIF(Suppliers!$A$2:$A$51,$F89)=0,"Unknown supplier",IF(COUNTIF(Config!$N$15:$N$34,$C89)=0,"Unsupported category",IF(COUNTIF(Config!$O$15:$O$34,$L89)=0,"Unsupported status",IF($X89&lt;&gt;$H89,"Opening balance differs from lot openings",IF($W89&lt;&gt;$R89,"Lot balances differ from recorded stock",IF($R89&lt;0,"Negative recorded stock","OK"))))))))))))))))</f>
        <v/>
      </c>
      <c r="AC89" s="52" t="str">
        <f>IF($Y89=1,COUNTIF($Y$2:$Y89,1),"")</f>
        <v/>
      </c>
    </row>
    <row r="90">
      <c r="A90" s="46" t="n"/>
      <c r="B90" s="46" t="n"/>
      <c r="C90" s="46" t="n"/>
      <c r="D90" s="46" t="n"/>
      <c r="E90" s="46" t="n"/>
      <c r="F90" s="46" t="n"/>
      <c r="G90" s="47" t="n"/>
      <c r="H90" s="48" t="n"/>
      <c r="I90" s="48" t="n"/>
      <c r="J90" s="48" t="n"/>
      <c r="K90" s="48" t="n"/>
      <c r="L90" s="46" t="n"/>
      <c r="M90" s="46" t="n"/>
      <c r="N90" s="49" t="str">
        <f>IF($A90="","",IFERROR(INDEX(Suppliers!$B$2:$B$51,MATCH($F90,Suppliers!$A$2:$A$51,0))&amp;"","(not found)"))</f>
        <v/>
      </c>
      <c r="O90" s="50" t="str">
        <f>IF($A90="","",SUMIFS(Inventory_Ledger!$E$2:$E$2001,Inventory_Ledger!$D$2:$D$2001,$A90,Inventory_Ledger!$C$2:$C$2001,"Receipt"))</f>
        <v/>
      </c>
      <c r="P90" s="50" t="str">
        <f>IF($A90="","",SUMIFS(Inventory_Ledger!$E$2:$E$2001,Inventory_Ledger!$D$2:$D$2001,$A90,Inventory_Ledger!$C$2:$C$2001,"Shipment"))</f>
        <v/>
      </c>
      <c r="Q90" s="51" t="str">
        <f>IF($A90="","",SUMIFS(Inventory_Ledger!$E$2:$E$2001,Inventory_Ledger!$D$2:$D$2001,$A90,Inventory_Ledger!$C$2:$C$2001,"Adjustment"))</f>
        <v/>
      </c>
      <c r="R90" s="51" t="str">
        <f>IF($A90="","",IF(ISNUMBER($H90),$H90,0)+$O90-$P90+$Q90)</f>
        <v/>
      </c>
      <c r="S90" s="50" t="str">
        <f>IF($A90="","",SUMIFS(Reservations!$L$2:$L$201,Reservations!$B$2:$B$201,$A90))</f>
        <v/>
      </c>
      <c r="T90" s="50" t="str">
        <f>IF($A90="","",SUMIFS(Batches!$P$2:$P$301,Batches!$B$2:$B$301,$A90))</f>
        <v/>
      </c>
      <c r="U90" s="51" t="str">
        <f>IF($A90="","",$R90-$S90-$T90)</f>
        <v/>
      </c>
      <c r="V90" s="50" t="str">
        <f>IF($A90="","",SUMIFS(Purchase_Orders!$N$2:$N$301,Purchase_Orders!$C$2:$C$301,$A90,Purchase_Orders!$O$2:$O$301,1))</f>
        <v/>
      </c>
      <c r="W90" s="51" t="str">
        <f>IF($A90="","",SUMIFS(Batches!$L$2:$L$301,Batches!$B$2:$B$301,$A90))</f>
        <v/>
      </c>
      <c r="X90" s="50" t="str">
        <f>IF($A90="","",SUMIFS(Batches!$F$2:$F$301,Batches!$B$2:$B$301,$A90))</f>
        <v/>
      </c>
      <c r="Y90" s="52" t="str">
        <f>IF($A90="","",IF(ISNUMBER($I90),IF(IF(Config!$B$9="Recorded",$R90,$U90)&lt;$I90,1,0),0))</f>
        <v/>
      </c>
      <c r="Z90" s="49" t="str">
        <f>IF($A90="","",IF($R90&lt;0,"Negative",IF($Y90=1,"Below reorder","OK")))</f>
        <v/>
      </c>
      <c r="AA90" s="53" t="str">
        <f>IF($A90="","",IF(ISNUMBER($G90),$R90*$G90,""))</f>
        <v/>
      </c>
      <c r="AB90" s="49" t="str">
        <f>IF(COUNTA($A90:$M90)=0,"",IF($A90="","Missing: SKU",IF(COUNTIF($A$2:$A$101,$A90)&gt;1,"Duplicate SKU",IF($B90="","Missing: product name",IF($C90="","Missing: category",IF($F90="","Missing: primary supplier",IF(NOT(ISNUMBER($H90)),"Missing: opening balance",IF(NOT(ISNUMBER($I90)),"Missing: reorder point",IF(NOT(ISNUMBER($J90)),"Missing: reorder qty",IF($L90="","Missing: status",IF(COUNTIF(Suppliers!$A$2:$A$51,$F90)=0,"Unknown supplier",IF(COUNTIF(Config!$N$15:$N$34,$C90)=0,"Unsupported category",IF(COUNTIF(Config!$O$15:$O$34,$L90)=0,"Unsupported status",IF($X90&lt;&gt;$H90,"Opening balance differs from lot openings",IF($W90&lt;&gt;$R90,"Lot balances differ from recorded stock",IF($R90&lt;0,"Negative recorded stock","OK"))))))))))))))))</f>
        <v/>
      </c>
      <c r="AC90" s="52" t="str">
        <f>IF($Y90=1,COUNTIF($Y$2:$Y90,1),"")</f>
        <v/>
      </c>
    </row>
    <row r="91">
      <c r="A91" s="46" t="n"/>
      <c r="B91" s="46" t="n"/>
      <c r="C91" s="46" t="n"/>
      <c r="D91" s="46" t="n"/>
      <c r="E91" s="46" t="n"/>
      <c r="F91" s="46" t="n"/>
      <c r="G91" s="47" t="n"/>
      <c r="H91" s="48" t="n"/>
      <c r="I91" s="48" t="n"/>
      <c r="J91" s="48" t="n"/>
      <c r="K91" s="48" t="n"/>
      <c r="L91" s="46" t="n"/>
      <c r="M91" s="46" t="n"/>
      <c r="N91" s="49" t="str">
        <f>IF($A91="","",IFERROR(INDEX(Suppliers!$B$2:$B$51,MATCH($F91,Suppliers!$A$2:$A$51,0))&amp;"","(not found)"))</f>
        <v/>
      </c>
      <c r="O91" s="50" t="str">
        <f>IF($A91="","",SUMIFS(Inventory_Ledger!$E$2:$E$2001,Inventory_Ledger!$D$2:$D$2001,$A91,Inventory_Ledger!$C$2:$C$2001,"Receipt"))</f>
        <v/>
      </c>
      <c r="P91" s="50" t="str">
        <f>IF($A91="","",SUMIFS(Inventory_Ledger!$E$2:$E$2001,Inventory_Ledger!$D$2:$D$2001,$A91,Inventory_Ledger!$C$2:$C$2001,"Shipment"))</f>
        <v/>
      </c>
      <c r="Q91" s="51" t="str">
        <f>IF($A91="","",SUMIFS(Inventory_Ledger!$E$2:$E$2001,Inventory_Ledger!$D$2:$D$2001,$A91,Inventory_Ledger!$C$2:$C$2001,"Adjustment"))</f>
        <v/>
      </c>
      <c r="R91" s="51" t="str">
        <f>IF($A91="","",IF(ISNUMBER($H91),$H91,0)+$O91-$P91+$Q91)</f>
        <v/>
      </c>
      <c r="S91" s="50" t="str">
        <f>IF($A91="","",SUMIFS(Reservations!$L$2:$L$201,Reservations!$B$2:$B$201,$A91))</f>
        <v/>
      </c>
      <c r="T91" s="50" t="str">
        <f>IF($A91="","",SUMIFS(Batches!$P$2:$P$301,Batches!$B$2:$B$301,$A91))</f>
        <v/>
      </c>
      <c r="U91" s="51" t="str">
        <f>IF($A91="","",$R91-$S91-$T91)</f>
        <v/>
      </c>
      <c r="V91" s="50" t="str">
        <f>IF($A91="","",SUMIFS(Purchase_Orders!$N$2:$N$301,Purchase_Orders!$C$2:$C$301,$A91,Purchase_Orders!$O$2:$O$301,1))</f>
        <v/>
      </c>
      <c r="W91" s="51" t="str">
        <f>IF($A91="","",SUMIFS(Batches!$L$2:$L$301,Batches!$B$2:$B$301,$A91))</f>
        <v/>
      </c>
      <c r="X91" s="50" t="str">
        <f>IF($A91="","",SUMIFS(Batches!$F$2:$F$301,Batches!$B$2:$B$301,$A91))</f>
        <v/>
      </c>
      <c r="Y91" s="52" t="str">
        <f>IF($A91="","",IF(ISNUMBER($I91),IF(IF(Config!$B$9="Recorded",$R91,$U91)&lt;$I91,1,0),0))</f>
        <v/>
      </c>
      <c r="Z91" s="49" t="str">
        <f>IF($A91="","",IF($R91&lt;0,"Negative",IF($Y91=1,"Below reorder","OK")))</f>
        <v/>
      </c>
      <c r="AA91" s="53" t="str">
        <f>IF($A91="","",IF(ISNUMBER($G91),$R91*$G91,""))</f>
        <v/>
      </c>
      <c r="AB91" s="49" t="str">
        <f>IF(COUNTA($A91:$M91)=0,"",IF($A91="","Missing: SKU",IF(COUNTIF($A$2:$A$101,$A91)&gt;1,"Duplicate SKU",IF($B91="","Missing: product name",IF($C91="","Missing: category",IF($F91="","Missing: primary supplier",IF(NOT(ISNUMBER($H91)),"Missing: opening balance",IF(NOT(ISNUMBER($I91)),"Missing: reorder point",IF(NOT(ISNUMBER($J91)),"Missing: reorder qty",IF($L91="","Missing: status",IF(COUNTIF(Suppliers!$A$2:$A$51,$F91)=0,"Unknown supplier",IF(COUNTIF(Config!$N$15:$N$34,$C91)=0,"Unsupported category",IF(COUNTIF(Config!$O$15:$O$34,$L91)=0,"Unsupported status",IF($X91&lt;&gt;$H91,"Opening balance differs from lot openings",IF($W91&lt;&gt;$R91,"Lot balances differ from recorded stock",IF($R91&lt;0,"Negative recorded stock","OK"))))))))))))))))</f>
        <v/>
      </c>
      <c r="AC91" s="52" t="str">
        <f>IF($Y91=1,COUNTIF($Y$2:$Y91,1),"")</f>
        <v/>
      </c>
    </row>
    <row r="92">
      <c r="A92" s="46" t="n"/>
      <c r="B92" s="46" t="n"/>
      <c r="C92" s="46" t="n"/>
      <c r="D92" s="46" t="n"/>
      <c r="E92" s="46" t="n"/>
      <c r="F92" s="46" t="n"/>
      <c r="G92" s="47" t="n"/>
      <c r="H92" s="48" t="n"/>
      <c r="I92" s="48" t="n"/>
      <c r="J92" s="48" t="n"/>
      <c r="K92" s="48" t="n"/>
      <c r="L92" s="46" t="n"/>
      <c r="M92" s="46" t="n"/>
      <c r="N92" s="49" t="str">
        <f>IF($A92="","",IFERROR(INDEX(Suppliers!$B$2:$B$51,MATCH($F92,Suppliers!$A$2:$A$51,0))&amp;"","(not found)"))</f>
        <v/>
      </c>
      <c r="O92" s="50" t="str">
        <f>IF($A92="","",SUMIFS(Inventory_Ledger!$E$2:$E$2001,Inventory_Ledger!$D$2:$D$2001,$A92,Inventory_Ledger!$C$2:$C$2001,"Receipt"))</f>
        <v/>
      </c>
      <c r="P92" s="50" t="str">
        <f>IF($A92="","",SUMIFS(Inventory_Ledger!$E$2:$E$2001,Inventory_Ledger!$D$2:$D$2001,$A92,Inventory_Ledger!$C$2:$C$2001,"Shipment"))</f>
        <v/>
      </c>
      <c r="Q92" s="51" t="str">
        <f>IF($A92="","",SUMIFS(Inventory_Ledger!$E$2:$E$2001,Inventory_Ledger!$D$2:$D$2001,$A92,Inventory_Ledger!$C$2:$C$2001,"Adjustment"))</f>
        <v/>
      </c>
      <c r="R92" s="51" t="str">
        <f>IF($A92="","",IF(ISNUMBER($H92),$H92,0)+$O92-$P92+$Q92)</f>
        <v/>
      </c>
      <c r="S92" s="50" t="str">
        <f>IF($A92="","",SUMIFS(Reservations!$L$2:$L$201,Reservations!$B$2:$B$201,$A92))</f>
        <v/>
      </c>
      <c r="T92" s="50" t="str">
        <f>IF($A92="","",SUMIFS(Batches!$P$2:$P$301,Batches!$B$2:$B$301,$A92))</f>
        <v/>
      </c>
      <c r="U92" s="51" t="str">
        <f>IF($A92="","",$R92-$S92-$T92)</f>
        <v/>
      </c>
      <c r="V92" s="50" t="str">
        <f>IF($A92="","",SUMIFS(Purchase_Orders!$N$2:$N$301,Purchase_Orders!$C$2:$C$301,$A92,Purchase_Orders!$O$2:$O$301,1))</f>
        <v/>
      </c>
      <c r="W92" s="51" t="str">
        <f>IF($A92="","",SUMIFS(Batches!$L$2:$L$301,Batches!$B$2:$B$301,$A92))</f>
        <v/>
      </c>
      <c r="X92" s="50" t="str">
        <f>IF($A92="","",SUMIFS(Batches!$F$2:$F$301,Batches!$B$2:$B$301,$A92))</f>
        <v/>
      </c>
      <c r="Y92" s="52" t="str">
        <f>IF($A92="","",IF(ISNUMBER($I92),IF(IF(Config!$B$9="Recorded",$R92,$U92)&lt;$I92,1,0),0))</f>
        <v/>
      </c>
      <c r="Z92" s="49" t="str">
        <f>IF($A92="","",IF($R92&lt;0,"Negative",IF($Y92=1,"Below reorder","OK")))</f>
        <v/>
      </c>
      <c r="AA92" s="53" t="str">
        <f>IF($A92="","",IF(ISNUMBER($G92),$R92*$G92,""))</f>
        <v/>
      </c>
      <c r="AB92" s="49" t="str">
        <f>IF(COUNTA($A92:$M92)=0,"",IF($A92="","Missing: SKU",IF(COUNTIF($A$2:$A$101,$A92)&gt;1,"Duplicate SKU",IF($B92="","Missing: product name",IF($C92="","Missing: category",IF($F92="","Missing: primary supplier",IF(NOT(ISNUMBER($H92)),"Missing: opening balance",IF(NOT(ISNUMBER($I92)),"Missing: reorder point",IF(NOT(ISNUMBER($J92)),"Missing: reorder qty",IF($L92="","Missing: status",IF(COUNTIF(Suppliers!$A$2:$A$51,$F92)=0,"Unknown supplier",IF(COUNTIF(Config!$N$15:$N$34,$C92)=0,"Unsupported category",IF(COUNTIF(Config!$O$15:$O$34,$L92)=0,"Unsupported status",IF($X92&lt;&gt;$H92,"Opening balance differs from lot openings",IF($W92&lt;&gt;$R92,"Lot balances differ from recorded stock",IF($R92&lt;0,"Negative recorded stock","OK"))))))))))))))))</f>
        <v/>
      </c>
      <c r="AC92" s="52" t="str">
        <f>IF($Y92=1,COUNTIF($Y$2:$Y92,1),"")</f>
        <v/>
      </c>
    </row>
    <row r="93">
      <c r="A93" s="46" t="n"/>
      <c r="B93" s="46" t="n"/>
      <c r="C93" s="46" t="n"/>
      <c r="D93" s="46" t="n"/>
      <c r="E93" s="46" t="n"/>
      <c r="F93" s="46" t="n"/>
      <c r="G93" s="47" t="n"/>
      <c r="H93" s="48" t="n"/>
      <c r="I93" s="48" t="n"/>
      <c r="J93" s="48" t="n"/>
      <c r="K93" s="48" t="n"/>
      <c r="L93" s="46" t="n"/>
      <c r="M93" s="46" t="n"/>
      <c r="N93" s="49" t="str">
        <f>IF($A93="","",IFERROR(INDEX(Suppliers!$B$2:$B$51,MATCH($F93,Suppliers!$A$2:$A$51,0))&amp;"","(not found)"))</f>
        <v/>
      </c>
      <c r="O93" s="50" t="str">
        <f>IF($A93="","",SUMIFS(Inventory_Ledger!$E$2:$E$2001,Inventory_Ledger!$D$2:$D$2001,$A93,Inventory_Ledger!$C$2:$C$2001,"Receipt"))</f>
        <v/>
      </c>
      <c r="P93" s="50" t="str">
        <f>IF($A93="","",SUMIFS(Inventory_Ledger!$E$2:$E$2001,Inventory_Ledger!$D$2:$D$2001,$A93,Inventory_Ledger!$C$2:$C$2001,"Shipment"))</f>
        <v/>
      </c>
      <c r="Q93" s="51" t="str">
        <f>IF($A93="","",SUMIFS(Inventory_Ledger!$E$2:$E$2001,Inventory_Ledger!$D$2:$D$2001,$A93,Inventory_Ledger!$C$2:$C$2001,"Adjustment"))</f>
        <v/>
      </c>
      <c r="R93" s="51" t="str">
        <f>IF($A93="","",IF(ISNUMBER($H93),$H93,0)+$O93-$P93+$Q93)</f>
        <v/>
      </c>
      <c r="S93" s="50" t="str">
        <f>IF($A93="","",SUMIFS(Reservations!$L$2:$L$201,Reservations!$B$2:$B$201,$A93))</f>
        <v/>
      </c>
      <c r="T93" s="50" t="str">
        <f>IF($A93="","",SUMIFS(Batches!$P$2:$P$301,Batches!$B$2:$B$301,$A93))</f>
        <v/>
      </c>
      <c r="U93" s="51" t="str">
        <f>IF($A93="","",$R93-$S93-$T93)</f>
        <v/>
      </c>
      <c r="V93" s="50" t="str">
        <f>IF($A93="","",SUMIFS(Purchase_Orders!$N$2:$N$301,Purchase_Orders!$C$2:$C$301,$A93,Purchase_Orders!$O$2:$O$301,1))</f>
        <v/>
      </c>
      <c r="W93" s="51" t="str">
        <f>IF($A93="","",SUMIFS(Batches!$L$2:$L$301,Batches!$B$2:$B$301,$A93))</f>
        <v/>
      </c>
      <c r="X93" s="50" t="str">
        <f>IF($A93="","",SUMIFS(Batches!$F$2:$F$301,Batches!$B$2:$B$301,$A93))</f>
        <v/>
      </c>
      <c r="Y93" s="52" t="str">
        <f>IF($A93="","",IF(ISNUMBER($I93),IF(IF(Config!$B$9="Recorded",$R93,$U93)&lt;$I93,1,0),0))</f>
        <v/>
      </c>
      <c r="Z93" s="49" t="str">
        <f>IF($A93="","",IF($R93&lt;0,"Negative",IF($Y93=1,"Below reorder","OK")))</f>
        <v/>
      </c>
      <c r="AA93" s="53" t="str">
        <f>IF($A93="","",IF(ISNUMBER($G93),$R93*$G93,""))</f>
        <v/>
      </c>
      <c r="AB93" s="49" t="str">
        <f>IF(COUNTA($A93:$M93)=0,"",IF($A93="","Missing: SKU",IF(COUNTIF($A$2:$A$101,$A93)&gt;1,"Duplicate SKU",IF($B93="","Missing: product name",IF($C93="","Missing: category",IF($F93="","Missing: primary supplier",IF(NOT(ISNUMBER($H93)),"Missing: opening balance",IF(NOT(ISNUMBER($I93)),"Missing: reorder point",IF(NOT(ISNUMBER($J93)),"Missing: reorder qty",IF($L93="","Missing: status",IF(COUNTIF(Suppliers!$A$2:$A$51,$F93)=0,"Unknown supplier",IF(COUNTIF(Config!$N$15:$N$34,$C93)=0,"Unsupported category",IF(COUNTIF(Config!$O$15:$O$34,$L93)=0,"Unsupported status",IF($X93&lt;&gt;$H93,"Opening balance differs from lot openings",IF($W93&lt;&gt;$R93,"Lot balances differ from recorded stock",IF($R93&lt;0,"Negative recorded stock","OK"))))))))))))))))</f>
        <v/>
      </c>
      <c r="AC93" s="52" t="str">
        <f>IF($Y93=1,COUNTIF($Y$2:$Y93,1),"")</f>
        <v/>
      </c>
    </row>
    <row r="94">
      <c r="A94" s="46" t="n"/>
      <c r="B94" s="46" t="n"/>
      <c r="C94" s="46" t="n"/>
      <c r="D94" s="46" t="n"/>
      <c r="E94" s="46" t="n"/>
      <c r="F94" s="46" t="n"/>
      <c r="G94" s="47" t="n"/>
      <c r="H94" s="48" t="n"/>
      <c r="I94" s="48" t="n"/>
      <c r="J94" s="48" t="n"/>
      <c r="K94" s="48" t="n"/>
      <c r="L94" s="46" t="n"/>
      <c r="M94" s="46" t="n"/>
      <c r="N94" s="49" t="str">
        <f>IF($A94="","",IFERROR(INDEX(Suppliers!$B$2:$B$51,MATCH($F94,Suppliers!$A$2:$A$51,0))&amp;"","(not found)"))</f>
        <v/>
      </c>
      <c r="O94" s="50" t="str">
        <f>IF($A94="","",SUMIFS(Inventory_Ledger!$E$2:$E$2001,Inventory_Ledger!$D$2:$D$2001,$A94,Inventory_Ledger!$C$2:$C$2001,"Receipt"))</f>
        <v/>
      </c>
      <c r="P94" s="50" t="str">
        <f>IF($A94="","",SUMIFS(Inventory_Ledger!$E$2:$E$2001,Inventory_Ledger!$D$2:$D$2001,$A94,Inventory_Ledger!$C$2:$C$2001,"Shipment"))</f>
        <v/>
      </c>
      <c r="Q94" s="51" t="str">
        <f>IF($A94="","",SUMIFS(Inventory_Ledger!$E$2:$E$2001,Inventory_Ledger!$D$2:$D$2001,$A94,Inventory_Ledger!$C$2:$C$2001,"Adjustment"))</f>
        <v/>
      </c>
      <c r="R94" s="51" t="str">
        <f>IF($A94="","",IF(ISNUMBER($H94),$H94,0)+$O94-$P94+$Q94)</f>
        <v/>
      </c>
      <c r="S94" s="50" t="str">
        <f>IF($A94="","",SUMIFS(Reservations!$L$2:$L$201,Reservations!$B$2:$B$201,$A94))</f>
        <v/>
      </c>
      <c r="T94" s="50" t="str">
        <f>IF($A94="","",SUMIFS(Batches!$P$2:$P$301,Batches!$B$2:$B$301,$A94))</f>
        <v/>
      </c>
      <c r="U94" s="51" t="str">
        <f>IF($A94="","",$R94-$S94-$T94)</f>
        <v/>
      </c>
      <c r="V94" s="50" t="str">
        <f>IF($A94="","",SUMIFS(Purchase_Orders!$N$2:$N$301,Purchase_Orders!$C$2:$C$301,$A94,Purchase_Orders!$O$2:$O$301,1))</f>
        <v/>
      </c>
      <c r="W94" s="51" t="str">
        <f>IF($A94="","",SUMIFS(Batches!$L$2:$L$301,Batches!$B$2:$B$301,$A94))</f>
        <v/>
      </c>
      <c r="X94" s="50" t="str">
        <f>IF($A94="","",SUMIFS(Batches!$F$2:$F$301,Batches!$B$2:$B$301,$A94))</f>
        <v/>
      </c>
      <c r="Y94" s="52" t="str">
        <f>IF($A94="","",IF(ISNUMBER($I94),IF(IF(Config!$B$9="Recorded",$R94,$U94)&lt;$I94,1,0),0))</f>
        <v/>
      </c>
      <c r="Z94" s="49" t="str">
        <f>IF($A94="","",IF($R94&lt;0,"Negative",IF($Y94=1,"Below reorder","OK")))</f>
        <v/>
      </c>
      <c r="AA94" s="53" t="str">
        <f>IF($A94="","",IF(ISNUMBER($G94),$R94*$G94,""))</f>
        <v/>
      </c>
      <c r="AB94" s="49" t="str">
        <f>IF(COUNTA($A94:$M94)=0,"",IF($A94="","Missing: SKU",IF(COUNTIF($A$2:$A$101,$A94)&gt;1,"Duplicate SKU",IF($B94="","Missing: product name",IF($C94="","Missing: category",IF($F94="","Missing: primary supplier",IF(NOT(ISNUMBER($H94)),"Missing: opening balance",IF(NOT(ISNUMBER($I94)),"Missing: reorder point",IF(NOT(ISNUMBER($J94)),"Missing: reorder qty",IF($L94="","Missing: status",IF(COUNTIF(Suppliers!$A$2:$A$51,$F94)=0,"Unknown supplier",IF(COUNTIF(Config!$N$15:$N$34,$C94)=0,"Unsupported category",IF(COUNTIF(Config!$O$15:$O$34,$L94)=0,"Unsupported status",IF($X94&lt;&gt;$H94,"Opening balance differs from lot openings",IF($W94&lt;&gt;$R94,"Lot balances differ from recorded stock",IF($R94&lt;0,"Negative recorded stock","OK"))))))))))))))))</f>
        <v/>
      </c>
      <c r="AC94" s="52" t="str">
        <f>IF($Y94=1,COUNTIF($Y$2:$Y94,1),"")</f>
        <v/>
      </c>
    </row>
    <row r="95">
      <c r="A95" s="46" t="n"/>
      <c r="B95" s="46" t="n"/>
      <c r="C95" s="46" t="n"/>
      <c r="D95" s="46" t="n"/>
      <c r="E95" s="46" t="n"/>
      <c r="F95" s="46" t="n"/>
      <c r="G95" s="47" t="n"/>
      <c r="H95" s="48" t="n"/>
      <c r="I95" s="48" t="n"/>
      <c r="J95" s="48" t="n"/>
      <c r="K95" s="48" t="n"/>
      <c r="L95" s="46" t="n"/>
      <c r="M95" s="46" t="n"/>
      <c r="N95" s="49" t="str">
        <f>IF($A95="","",IFERROR(INDEX(Suppliers!$B$2:$B$51,MATCH($F95,Suppliers!$A$2:$A$51,0))&amp;"","(not found)"))</f>
        <v/>
      </c>
      <c r="O95" s="50" t="str">
        <f>IF($A95="","",SUMIFS(Inventory_Ledger!$E$2:$E$2001,Inventory_Ledger!$D$2:$D$2001,$A95,Inventory_Ledger!$C$2:$C$2001,"Receipt"))</f>
        <v/>
      </c>
      <c r="P95" s="50" t="str">
        <f>IF($A95="","",SUMIFS(Inventory_Ledger!$E$2:$E$2001,Inventory_Ledger!$D$2:$D$2001,$A95,Inventory_Ledger!$C$2:$C$2001,"Shipment"))</f>
        <v/>
      </c>
      <c r="Q95" s="51" t="str">
        <f>IF($A95="","",SUMIFS(Inventory_Ledger!$E$2:$E$2001,Inventory_Ledger!$D$2:$D$2001,$A95,Inventory_Ledger!$C$2:$C$2001,"Adjustment"))</f>
        <v/>
      </c>
      <c r="R95" s="51" t="str">
        <f>IF($A95="","",IF(ISNUMBER($H95),$H95,0)+$O95-$P95+$Q95)</f>
        <v/>
      </c>
      <c r="S95" s="50" t="str">
        <f>IF($A95="","",SUMIFS(Reservations!$L$2:$L$201,Reservations!$B$2:$B$201,$A95))</f>
        <v/>
      </c>
      <c r="T95" s="50" t="str">
        <f>IF($A95="","",SUMIFS(Batches!$P$2:$P$301,Batches!$B$2:$B$301,$A95))</f>
        <v/>
      </c>
      <c r="U95" s="51" t="str">
        <f>IF($A95="","",$R95-$S95-$T95)</f>
        <v/>
      </c>
      <c r="V95" s="50" t="str">
        <f>IF($A95="","",SUMIFS(Purchase_Orders!$N$2:$N$301,Purchase_Orders!$C$2:$C$301,$A95,Purchase_Orders!$O$2:$O$301,1))</f>
        <v/>
      </c>
      <c r="W95" s="51" t="str">
        <f>IF($A95="","",SUMIFS(Batches!$L$2:$L$301,Batches!$B$2:$B$301,$A95))</f>
        <v/>
      </c>
      <c r="X95" s="50" t="str">
        <f>IF($A95="","",SUMIFS(Batches!$F$2:$F$301,Batches!$B$2:$B$301,$A95))</f>
        <v/>
      </c>
      <c r="Y95" s="52" t="str">
        <f>IF($A95="","",IF(ISNUMBER($I95),IF(IF(Config!$B$9="Recorded",$R95,$U95)&lt;$I95,1,0),0))</f>
        <v/>
      </c>
      <c r="Z95" s="49" t="str">
        <f>IF($A95="","",IF($R95&lt;0,"Negative",IF($Y95=1,"Below reorder","OK")))</f>
        <v/>
      </c>
      <c r="AA95" s="53" t="str">
        <f>IF($A95="","",IF(ISNUMBER($G95),$R95*$G95,""))</f>
        <v/>
      </c>
      <c r="AB95" s="49" t="str">
        <f>IF(COUNTA($A95:$M95)=0,"",IF($A95="","Missing: SKU",IF(COUNTIF($A$2:$A$101,$A95)&gt;1,"Duplicate SKU",IF($B95="","Missing: product name",IF($C95="","Missing: category",IF($F95="","Missing: primary supplier",IF(NOT(ISNUMBER($H95)),"Missing: opening balance",IF(NOT(ISNUMBER($I95)),"Missing: reorder point",IF(NOT(ISNUMBER($J95)),"Missing: reorder qty",IF($L95="","Missing: status",IF(COUNTIF(Suppliers!$A$2:$A$51,$F95)=0,"Unknown supplier",IF(COUNTIF(Config!$N$15:$N$34,$C95)=0,"Unsupported category",IF(COUNTIF(Config!$O$15:$O$34,$L95)=0,"Unsupported status",IF($X95&lt;&gt;$H95,"Opening balance differs from lot openings",IF($W95&lt;&gt;$R95,"Lot balances differ from recorded stock",IF($R95&lt;0,"Negative recorded stock","OK"))))))))))))))))</f>
        <v/>
      </c>
      <c r="AC95" s="52" t="str">
        <f>IF($Y95=1,COUNTIF($Y$2:$Y95,1),"")</f>
        <v/>
      </c>
    </row>
    <row r="96">
      <c r="A96" s="46" t="n"/>
      <c r="B96" s="46" t="n"/>
      <c r="C96" s="46" t="n"/>
      <c r="D96" s="46" t="n"/>
      <c r="E96" s="46" t="n"/>
      <c r="F96" s="46" t="n"/>
      <c r="G96" s="47" t="n"/>
      <c r="H96" s="48" t="n"/>
      <c r="I96" s="48" t="n"/>
      <c r="J96" s="48" t="n"/>
      <c r="K96" s="48" t="n"/>
      <c r="L96" s="46" t="n"/>
      <c r="M96" s="46" t="n"/>
      <c r="N96" s="49" t="str">
        <f>IF($A96="","",IFERROR(INDEX(Suppliers!$B$2:$B$51,MATCH($F96,Suppliers!$A$2:$A$51,0))&amp;"","(not found)"))</f>
        <v/>
      </c>
      <c r="O96" s="50" t="str">
        <f>IF($A96="","",SUMIFS(Inventory_Ledger!$E$2:$E$2001,Inventory_Ledger!$D$2:$D$2001,$A96,Inventory_Ledger!$C$2:$C$2001,"Receipt"))</f>
        <v/>
      </c>
      <c r="P96" s="50" t="str">
        <f>IF($A96="","",SUMIFS(Inventory_Ledger!$E$2:$E$2001,Inventory_Ledger!$D$2:$D$2001,$A96,Inventory_Ledger!$C$2:$C$2001,"Shipment"))</f>
        <v/>
      </c>
      <c r="Q96" s="51" t="str">
        <f>IF($A96="","",SUMIFS(Inventory_Ledger!$E$2:$E$2001,Inventory_Ledger!$D$2:$D$2001,$A96,Inventory_Ledger!$C$2:$C$2001,"Adjustment"))</f>
        <v/>
      </c>
      <c r="R96" s="51" t="str">
        <f>IF($A96="","",IF(ISNUMBER($H96),$H96,0)+$O96-$P96+$Q96)</f>
        <v/>
      </c>
      <c r="S96" s="50" t="str">
        <f>IF($A96="","",SUMIFS(Reservations!$L$2:$L$201,Reservations!$B$2:$B$201,$A96))</f>
        <v/>
      </c>
      <c r="T96" s="50" t="str">
        <f>IF($A96="","",SUMIFS(Batches!$P$2:$P$301,Batches!$B$2:$B$301,$A96))</f>
        <v/>
      </c>
      <c r="U96" s="51" t="str">
        <f>IF($A96="","",$R96-$S96-$T96)</f>
        <v/>
      </c>
      <c r="V96" s="50" t="str">
        <f>IF($A96="","",SUMIFS(Purchase_Orders!$N$2:$N$301,Purchase_Orders!$C$2:$C$301,$A96,Purchase_Orders!$O$2:$O$301,1))</f>
        <v/>
      </c>
      <c r="W96" s="51" t="str">
        <f>IF($A96="","",SUMIFS(Batches!$L$2:$L$301,Batches!$B$2:$B$301,$A96))</f>
        <v/>
      </c>
      <c r="X96" s="50" t="str">
        <f>IF($A96="","",SUMIFS(Batches!$F$2:$F$301,Batches!$B$2:$B$301,$A96))</f>
        <v/>
      </c>
      <c r="Y96" s="52" t="str">
        <f>IF($A96="","",IF(ISNUMBER($I96),IF(IF(Config!$B$9="Recorded",$R96,$U96)&lt;$I96,1,0),0))</f>
        <v/>
      </c>
      <c r="Z96" s="49" t="str">
        <f>IF($A96="","",IF($R96&lt;0,"Negative",IF($Y96=1,"Below reorder","OK")))</f>
        <v/>
      </c>
      <c r="AA96" s="53" t="str">
        <f>IF($A96="","",IF(ISNUMBER($G96),$R96*$G96,""))</f>
        <v/>
      </c>
      <c r="AB96" s="49" t="str">
        <f>IF(COUNTA($A96:$M96)=0,"",IF($A96="","Missing: SKU",IF(COUNTIF($A$2:$A$101,$A96)&gt;1,"Duplicate SKU",IF($B96="","Missing: product name",IF($C96="","Missing: category",IF($F96="","Missing: primary supplier",IF(NOT(ISNUMBER($H96)),"Missing: opening balance",IF(NOT(ISNUMBER($I96)),"Missing: reorder point",IF(NOT(ISNUMBER($J96)),"Missing: reorder qty",IF($L96="","Missing: status",IF(COUNTIF(Suppliers!$A$2:$A$51,$F96)=0,"Unknown supplier",IF(COUNTIF(Config!$N$15:$N$34,$C96)=0,"Unsupported category",IF(COUNTIF(Config!$O$15:$O$34,$L96)=0,"Unsupported status",IF($X96&lt;&gt;$H96,"Opening balance differs from lot openings",IF($W96&lt;&gt;$R96,"Lot balances differ from recorded stock",IF($R96&lt;0,"Negative recorded stock","OK"))))))))))))))))</f>
        <v/>
      </c>
      <c r="AC96" s="52" t="str">
        <f>IF($Y96=1,COUNTIF($Y$2:$Y96,1),"")</f>
        <v/>
      </c>
    </row>
    <row r="97">
      <c r="A97" s="46" t="n"/>
      <c r="B97" s="46" t="n"/>
      <c r="C97" s="46" t="n"/>
      <c r="D97" s="46" t="n"/>
      <c r="E97" s="46" t="n"/>
      <c r="F97" s="46" t="n"/>
      <c r="G97" s="47" t="n"/>
      <c r="H97" s="48" t="n"/>
      <c r="I97" s="48" t="n"/>
      <c r="J97" s="48" t="n"/>
      <c r="K97" s="48" t="n"/>
      <c r="L97" s="46" t="n"/>
      <c r="M97" s="46" t="n"/>
      <c r="N97" s="49" t="str">
        <f>IF($A97="","",IFERROR(INDEX(Suppliers!$B$2:$B$51,MATCH($F97,Suppliers!$A$2:$A$51,0))&amp;"","(not found)"))</f>
        <v/>
      </c>
      <c r="O97" s="50" t="str">
        <f>IF($A97="","",SUMIFS(Inventory_Ledger!$E$2:$E$2001,Inventory_Ledger!$D$2:$D$2001,$A97,Inventory_Ledger!$C$2:$C$2001,"Receipt"))</f>
        <v/>
      </c>
      <c r="P97" s="50" t="str">
        <f>IF($A97="","",SUMIFS(Inventory_Ledger!$E$2:$E$2001,Inventory_Ledger!$D$2:$D$2001,$A97,Inventory_Ledger!$C$2:$C$2001,"Shipment"))</f>
        <v/>
      </c>
      <c r="Q97" s="51" t="str">
        <f>IF($A97="","",SUMIFS(Inventory_Ledger!$E$2:$E$2001,Inventory_Ledger!$D$2:$D$2001,$A97,Inventory_Ledger!$C$2:$C$2001,"Adjustment"))</f>
        <v/>
      </c>
      <c r="R97" s="51" t="str">
        <f>IF($A97="","",IF(ISNUMBER($H97),$H97,0)+$O97-$P97+$Q97)</f>
        <v/>
      </c>
      <c r="S97" s="50" t="str">
        <f>IF($A97="","",SUMIFS(Reservations!$L$2:$L$201,Reservations!$B$2:$B$201,$A97))</f>
        <v/>
      </c>
      <c r="T97" s="50" t="str">
        <f>IF($A97="","",SUMIFS(Batches!$P$2:$P$301,Batches!$B$2:$B$301,$A97))</f>
        <v/>
      </c>
      <c r="U97" s="51" t="str">
        <f>IF($A97="","",$R97-$S97-$T97)</f>
        <v/>
      </c>
      <c r="V97" s="50" t="str">
        <f>IF($A97="","",SUMIFS(Purchase_Orders!$N$2:$N$301,Purchase_Orders!$C$2:$C$301,$A97,Purchase_Orders!$O$2:$O$301,1))</f>
        <v/>
      </c>
      <c r="W97" s="51" t="str">
        <f>IF($A97="","",SUMIFS(Batches!$L$2:$L$301,Batches!$B$2:$B$301,$A97))</f>
        <v/>
      </c>
      <c r="X97" s="50" t="str">
        <f>IF($A97="","",SUMIFS(Batches!$F$2:$F$301,Batches!$B$2:$B$301,$A97))</f>
        <v/>
      </c>
      <c r="Y97" s="52" t="str">
        <f>IF($A97="","",IF(ISNUMBER($I97),IF(IF(Config!$B$9="Recorded",$R97,$U97)&lt;$I97,1,0),0))</f>
        <v/>
      </c>
      <c r="Z97" s="49" t="str">
        <f>IF($A97="","",IF($R97&lt;0,"Negative",IF($Y97=1,"Below reorder","OK")))</f>
        <v/>
      </c>
      <c r="AA97" s="53" t="str">
        <f>IF($A97="","",IF(ISNUMBER($G97),$R97*$G97,""))</f>
        <v/>
      </c>
      <c r="AB97" s="49" t="str">
        <f>IF(COUNTA($A97:$M97)=0,"",IF($A97="","Missing: SKU",IF(COUNTIF($A$2:$A$101,$A97)&gt;1,"Duplicate SKU",IF($B97="","Missing: product name",IF($C97="","Missing: category",IF($F97="","Missing: primary supplier",IF(NOT(ISNUMBER($H97)),"Missing: opening balance",IF(NOT(ISNUMBER($I97)),"Missing: reorder point",IF(NOT(ISNUMBER($J97)),"Missing: reorder qty",IF($L97="","Missing: status",IF(COUNTIF(Suppliers!$A$2:$A$51,$F97)=0,"Unknown supplier",IF(COUNTIF(Config!$N$15:$N$34,$C97)=0,"Unsupported category",IF(COUNTIF(Config!$O$15:$O$34,$L97)=0,"Unsupported status",IF($X97&lt;&gt;$H97,"Opening balance differs from lot openings",IF($W97&lt;&gt;$R97,"Lot balances differ from recorded stock",IF($R97&lt;0,"Negative recorded stock","OK"))))))))))))))))</f>
        <v/>
      </c>
      <c r="AC97" s="52" t="str">
        <f>IF($Y97=1,COUNTIF($Y$2:$Y97,1),"")</f>
        <v/>
      </c>
    </row>
    <row r="98">
      <c r="A98" s="46" t="n"/>
      <c r="B98" s="46" t="n"/>
      <c r="C98" s="46" t="n"/>
      <c r="D98" s="46" t="n"/>
      <c r="E98" s="46" t="n"/>
      <c r="F98" s="46" t="n"/>
      <c r="G98" s="47" t="n"/>
      <c r="H98" s="48" t="n"/>
      <c r="I98" s="48" t="n"/>
      <c r="J98" s="48" t="n"/>
      <c r="K98" s="48" t="n"/>
      <c r="L98" s="46" t="n"/>
      <c r="M98" s="46" t="n"/>
      <c r="N98" s="49" t="str">
        <f>IF($A98="","",IFERROR(INDEX(Suppliers!$B$2:$B$51,MATCH($F98,Suppliers!$A$2:$A$51,0))&amp;"","(not found)"))</f>
        <v/>
      </c>
      <c r="O98" s="50" t="str">
        <f>IF($A98="","",SUMIFS(Inventory_Ledger!$E$2:$E$2001,Inventory_Ledger!$D$2:$D$2001,$A98,Inventory_Ledger!$C$2:$C$2001,"Receipt"))</f>
        <v/>
      </c>
      <c r="P98" s="50" t="str">
        <f>IF($A98="","",SUMIFS(Inventory_Ledger!$E$2:$E$2001,Inventory_Ledger!$D$2:$D$2001,$A98,Inventory_Ledger!$C$2:$C$2001,"Shipment"))</f>
        <v/>
      </c>
      <c r="Q98" s="51" t="str">
        <f>IF($A98="","",SUMIFS(Inventory_Ledger!$E$2:$E$2001,Inventory_Ledger!$D$2:$D$2001,$A98,Inventory_Ledger!$C$2:$C$2001,"Adjustment"))</f>
        <v/>
      </c>
      <c r="R98" s="51" t="str">
        <f>IF($A98="","",IF(ISNUMBER($H98),$H98,0)+$O98-$P98+$Q98)</f>
        <v/>
      </c>
      <c r="S98" s="50" t="str">
        <f>IF($A98="","",SUMIFS(Reservations!$L$2:$L$201,Reservations!$B$2:$B$201,$A98))</f>
        <v/>
      </c>
      <c r="T98" s="50" t="str">
        <f>IF($A98="","",SUMIFS(Batches!$P$2:$P$301,Batches!$B$2:$B$301,$A98))</f>
        <v/>
      </c>
      <c r="U98" s="51" t="str">
        <f>IF($A98="","",$R98-$S98-$T98)</f>
        <v/>
      </c>
      <c r="V98" s="50" t="str">
        <f>IF($A98="","",SUMIFS(Purchase_Orders!$N$2:$N$301,Purchase_Orders!$C$2:$C$301,$A98,Purchase_Orders!$O$2:$O$301,1))</f>
        <v/>
      </c>
      <c r="W98" s="51" t="str">
        <f>IF($A98="","",SUMIFS(Batches!$L$2:$L$301,Batches!$B$2:$B$301,$A98))</f>
        <v/>
      </c>
      <c r="X98" s="50" t="str">
        <f>IF($A98="","",SUMIFS(Batches!$F$2:$F$301,Batches!$B$2:$B$301,$A98))</f>
        <v/>
      </c>
      <c r="Y98" s="52" t="str">
        <f>IF($A98="","",IF(ISNUMBER($I98),IF(IF(Config!$B$9="Recorded",$R98,$U98)&lt;$I98,1,0),0))</f>
        <v/>
      </c>
      <c r="Z98" s="49" t="str">
        <f>IF($A98="","",IF($R98&lt;0,"Negative",IF($Y98=1,"Below reorder","OK")))</f>
        <v/>
      </c>
      <c r="AA98" s="53" t="str">
        <f>IF($A98="","",IF(ISNUMBER($G98),$R98*$G98,""))</f>
        <v/>
      </c>
      <c r="AB98" s="49" t="str">
        <f>IF(COUNTA($A98:$M98)=0,"",IF($A98="","Missing: SKU",IF(COUNTIF($A$2:$A$101,$A98)&gt;1,"Duplicate SKU",IF($B98="","Missing: product name",IF($C98="","Missing: category",IF($F98="","Missing: primary supplier",IF(NOT(ISNUMBER($H98)),"Missing: opening balance",IF(NOT(ISNUMBER($I98)),"Missing: reorder point",IF(NOT(ISNUMBER($J98)),"Missing: reorder qty",IF($L98="","Missing: status",IF(COUNTIF(Suppliers!$A$2:$A$51,$F98)=0,"Unknown supplier",IF(COUNTIF(Config!$N$15:$N$34,$C98)=0,"Unsupported category",IF(COUNTIF(Config!$O$15:$O$34,$L98)=0,"Unsupported status",IF($X98&lt;&gt;$H98,"Opening balance differs from lot openings",IF($W98&lt;&gt;$R98,"Lot balances differ from recorded stock",IF($R98&lt;0,"Negative recorded stock","OK"))))))))))))))))</f>
        <v/>
      </c>
      <c r="AC98" s="52" t="str">
        <f>IF($Y98=1,COUNTIF($Y$2:$Y98,1),"")</f>
        <v/>
      </c>
    </row>
    <row r="99">
      <c r="A99" s="46" t="n"/>
      <c r="B99" s="46" t="n"/>
      <c r="C99" s="46" t="n"/>
      <c r="D99" s="46" t="n"/>
      <c r="E99" s="46" t="n"/>
      <c r="F99" s="46" t="n"/>
      <c r="G99" s="47" t="n"/>
      <c r="H99" s="48" t="n"/>
      <c r="I99" s="48" t="n"/>
      <c r="J99" s="48" t="n"/>
      <c r="K99" s="48" t="n"/>
      <c r="L99" s="46" t="n"/>
      <c r="M99" s="46" t="n"/>
      <c r="N99" s="49" t="str">
        <f>IF($A99="","",IFERROR(INDEX(Suppliers!$B$2:$B$51,MATCH($F99,Suppliers!$A$2:$A$51,0))&amp;"","(not found)"))</f>
        <v/>
      </c>
      <c r="O99" s="50" t="str">
        <f>IF($A99="","",SUMIFS(Inventory_Ledger!$E$2:$E$2001,Inventory_Ledger!$D$2:$D$2001,$A99,Inventory_Ledger!$C$2:$C$2001,"Receipt"))</f>
        <v/>
      </c>
      <c r="P99" s="50" t="str">
        <f>IF($A99="","",SUMIFS(Inventory_Ledger!$E$2:$E$2001,Inventory_Ledger!$D$2:$D$2001,$A99,Inventory_Ledger!$C$2:$C$2001,"Shipment"))</f>
        <v/>
      </c>
      <c r="Q99" s="51" t="str">
        <f>IF($A99="","",SUMIFS(Inventory_Ledger!$E$2:$E$2001,Inventory_Ledger!$D$2:$D$2001,$A99,Inventory_Ledger!$C$2:$C$2001,"Adjustment"))</f>
        <v/>
      </c>
      <c r="R99" s="51" t="str">
        <f>IF($A99="","",IF(ISNUMBER($H99),$H99,0)+$O99-$P99+$Q99)</f>
        <v/>
      </c>
      <c r="S99" s="50" t="str">
        <f>IF($A99="","",SUMIFS(Reservations!$L$2:$L$201,Reservations!$B$2:$B$201,$A99))</f>
        <v/>
      </c>
      <c r="T99" s="50" t="str">
        <f>IF($A99="","",SUMIFS(Batches!$P$2:$P$301,Batches!$B$2:$B$301,$A99))</f>
        <v/>
      </c>
      <c r="U99" s="51" t="str">
        <f>IF($A99="","",$R99-$S99-$T99)</f>
        <v/>
      </c>
      <c r="V99" s="50" t="str">
        <f>IF($A99="","",SUMIFS(Purchase_Orders!$N$2:$N$301,Purchase_Orders!$C$2:$C$301,$A99,Purchase_Orders!$O$2:$O$301,1))</f>
        <v/>
      </c>
      <c r="W99" s="51" t="str">
        <f>IF($A99="","",SUMIFS(Batches!$L$2:$L$301,Batches!$B$2:$B$301,$A99))</f>
        <v/>
      </c>
      <c r="X99" s="50" t="str">
        <f>IF($A99="","",SUMIFS(Batches!$F$2:$F$301,Batches!$B$2:$B$301,$A99))</f>
        <v/>
      </c>
      <c r="Y99" s="52" t="str">
        <f>IF($A99="","",IF(ISNUMBER($I99),IF(IF(Config!$B$9="Recorded",$R99,$U99)&lt;$I99,1,0),0))</f>
        <v/>
      </c>
      <c r="Z99" s="49" t="str">
        <f>IF($A99="","",IF($R99&lt;0,"Negative",IF($Y99=1,"Below reorder","OK")))</f>
        <v/>
      </c>
      <c r="AA99" s="53" t="str">
        <f>IF($A99="","",IF(ISNUMBER($G99),$R99*$G99,""))</f>
        <v/>
      </c>
      <c r="AB99" s="49" t="str">
        <f>IF(COUNTA($A99:$M99)=0,"",IF($A99="","Missing: SKU",IF(COUNTIF($A$2:$A$101,$A99)&gt;1,"Duplicate SKU",IF($B99="","Missing: product name",IF($C99="","Missing: category",IF($F99="","Missing: primary supplier",IF(NOT(ISNUMBER($H99)),"Missing: opening balance",IF(NOT(ISNUMBER($I99)),"Missing: reorder point",IF(NOT(ISNUMBER($J99)),"Missing: reorder qty",IF($L99="","Missing: status",IF(COUNTIF(Suppliers!$A$2:$A$51,$F99)=0,"Unknown supplier",IF(COUNTIF(Config!$N$15:$N$34,$C99)=0,"Unsupported category",IF(COUNTIF(Config!$O$15:$O$34,$L99)=0,"Unsupported status",IF($X99&lt;&gt;$H99,"Opening balance differs from lot openings",IF($W99&lt;&gt;$R99,"Lot balances differ from recorded stock",IF($R99&lt;0,"Negative recorded stock","OK"))))))))))))))))</f>
        <v/>
      </c>
      <c r="AC99" s="52" t="str">
        <f>IF($Y99=1,COUNTIF($Y$2:$Y99,1),"")</f>
        <v/>
      </c>
    </row>
    <row r="100">
      <c r="A100" s="46" t="n"/>
      <c r="B100" s="46" t="n"/>
      <c r="C100" s="46" t="n"/>
      <c r="D100" s="46" t="n"/>
      <c r="E100" s="46" t="n"/>
      <c r="F100" s="46" t="n"/>
      <c r="G100" s="47" t="n"/>
      <c r="H100" s="48" t="n"/>
      <c r="I100" s="48" t="n"/>
      <c r="J100" s="48" t="n"/>
      <c r="K100" s="48" t="n"/>
      <c r="L100" s="46" t="n"/>
      <c r="M100" s="46" t="n"/>
      <c r="N100" s="49" t="str">
        <f>IF($A100="","",IFERROR(INDEX(Suppliers!$B$2:$B$51,MATCH($F100,Suppliers!$A$2:$A$51,0))&amp;"","(not found)"))</f>
        <v/>
      </c>
      <c r="O100" s="50" t="str">
        <f>IF($A100="","",SUMIFS(Inventory_Ledger!$E$2:$E$2001,Inventory_Ledger!$D$2:$D$2001,$A100,Inventory_Ledger!$C$2:$C$2001,"Receipt"))</f>
        <v/>
      </c>
      <c r="P100" s="50" t="str">
        <f>IF($A100="","",SUMIFS(Inventory_Ledger!$E$2:$E$2001,Inventory_Ledger!$D$2:$D$2001,$A100,Inventory_Ledger!$C$2:$C$2001,"Shipment"))</f>
        <v/>
      </c>
      <c r="Q100" s="51" t="str">
        <f>IF($A100="","",SUMIFS(Inventory_Ledger!$E$2:$E$2001,Inventory_Ledger!$D$2:$D$2001,$A100,Inventory_Ledger!$C$2:$C$2001,"Adjustment"))</f>
        <v/>
      </c>
      <c r="R100" s="51" t="str">
        <f>IF($A100="","",IF(ISNUMBER($H100),$H100,0)+$O100-$P100+$Q100)</f>
        <v/>
      </c>
      <c r="S100" s="50" t="str">
        <f>IF($A100="","",SUMIFS(Reservations!$L$2:$L$201,Reservations!$B$2:$B$201,$A100))</f>
        <v/>
      </c>
      <c r="T100" s="50" t="str">
        <f>IF($A100="","",SUMIFS(Batches!$P$2:$P$301,Batches!$B$2:$B$301,$A100))</f>
        <v/>
      </c>
      <c r="U100" s="51" t="str">
        <f>IF($A100="","",$R100-$S100-$T100)</f>
        <v/>
      </c>
      <c r="V100" s="50" t="str">
        <f>IF($A100="","",SUMIFS(Purchase_Orders!$N$2:$N$301,Purchase_Orders!$C$2:$C$301,$A100,Purchase_Orders!$O$2:$O$301,1))</f>
        <v/>
      </c>
      <c r="W100" s="51" t="str">
        <f>IF($A100="","",SUMIFS(Batches!$L$2:$L$301,Batches!$B$2:$B$301,$A100))</f>
        <v/>
      </c>
      <c r="X100" s="50" t="str">
        <f>IF($A100="","",SUMIFS(Batches!$F$2:$F$301,Batches!$B$2:$B$301,$A100))</f>
        <v/>
      </c>
      <c r="Y100" s="52" t="str">
        <f>IF($A100="","",IF(ISNUMBER($I100),IF(IF(Config!$B$9="Recorded",$R100,$U100)&lt;$I100,1,0),0))</f>
        <v/>
      </c>
      <c r="Z100" s="49" t="str">
        <f>IF($A100="","",IF($R100&lt;0,"Negative",IF($Y100=1,"Below reorder","OK")))</f>
        <v/>
      </c>
      <c r="AA100" s="53" t="str">
        <f>IF($A100="","",IF(ISNUMBER($G100),$R100*$G100,""))</f>
        <v/>
      </c>
      <c r="AB100" s="49" t="str">
        <f>IF(COUNTA($A100:$M100)=0,"",IF($A100="","Missing: SKU",IF(COUNTIF($A$2:$A$101,$A100)&gt;1,"Duplicate SKU",IF($B100="","Missing: product name",IF($C100="","Missing: category",IF($F100="","Missing: primary supplier",IF(NOT(ISNUMBER($H100)),"Missing: opening balance",IF(NOT(ISNUMBER($I100)),"Missing: reorder point",IF(NOT(ISNUMBER($J100)),"Missing: reorder qty",IF($L100="","Missing: status",IF(COUNTIF(Suppliers!$A$2:$A$51,$F100)=0,"Unknown supplier",IF(COUNTIF(Config!$N$15:$N$34,$C100)=0,"Unsupported category",IF(COUNTIF(Config!$O$15:$O$34,$L100)=0,"Unsupported status",IF($X100&lt;&gt;$H100,"Opening balance differs from lot openings",IF($W100&lt;&gt;$R100,"Lot balances differ from recorded stock",IF($R100&lt;0,"Negative recorded stock","OK"))))))))))))))))</f>
        <v/>
      </c>
      <c r="AC100" s="52" t="str">
        <f>IF($Y100=1,COUNTIF($Y$2:$Y100,1),"")</f>
        <v/>
      </c>
    </row>
    <row r="101">
      <c r="A101" s="46" t="n"/>
      <c r="B101" s="46" t="n"/>
      <c r="C101" s="46" t="n"/>
      <c r="D101" s="46" t="n"/>
      <c r="E101" s="46" t="n"/>
      <c r="F101" s="46" t="n"/>
      <c r="G101" s="47" t="n"/>
      <c r="H101" s="48" t="n"/>
      <c r="I101" s="48" t="n"/>
      <c r="J101" s="48" t="n"/>
      <c r="K101" s="48" t="n"/>
      <c r="L101" s="46" t="n"/>
      <c r="M101" s="46" t="n"/>
      <c r="N101" s="49" t="str">
        <f>IF($A101="","",IFERROR(INDEX(Suppliers!$B$2:$B$51,MATCH($F101,Suppliers!$A$2:$A$51,0))&amp;"","(not found)"))</f>
        <v/>
      </c>
      <c r="O101" s="50" t="str">
        <f>IF($A101="","",SUMIFS(Inventory_Ledger!$E$2:$E$2001,Inventory_Ledger!$D$2:$D$2001,$A101,Inventory_Ledger!$C$2:$C$2001,"Receipt"))</f>
        <v/>
      </c>
      <c r="P101" s="50" t="str">
        <f>IF($A101="","",SUMIFS(Inventory_Ledger!$E$2:$E$2001,Inventory_Ledger!$D$2:$D$2001,$A101,Inventory_Ledger!$C$2:$C$2001,"Shipment"))</f>
        <v/>
      </c>
      <c r="Q101" s="51" t="str">
        <f>IF($A101="","",SUMIFS(Inventory_Ledger!$E$2:$E$2001,Inventory_Ledger!$D$2:$D$2001,$A101,Inventory_Ledger!$C$2:$C$2001,"Adjustment"))</f>
        <v/>
      </c>
      <c r="R101" s="51" t="str">
        <f>IF($A101="","",IF(ISNUMBER($H101),$H101,0)+$O101-$P101+$Q101)</f>
        <v/>
      </c>
      <c r="S101" s="50" t="str">
        <f>IF($A101="","",SUMIFS(Reservations!$L$2:$L$201,Reservations!$B$2:$B$201,$A101))</f>
        <v/>
      </c>
      <c r="T101" s="50" t="str">
        <f>IF($A101="","",SUMIFS(Batches!$P$2:$P$301,Batches!$B$2:$B$301,$A101))</f>
        <v/>
      </c>
      <c r="U101" s="51" t="str">
        <f>IF($A101="","",$R101-$S101-$T101)</f>
        <v/>
      </c>
      <c r="V101" s="50" t="str">
        <f>IF($A101="","",SUMIFS(Purchase_Orders!$N$2:$N$301,Purchase_Orders!$C$2:$C$301,$A101,Purchase_Orders!$O$2:$O$301,1))</f>
        <v/>
      </c>
      <c r="W101" s="51" t="str">
        <f>IF($A101="","",SUMIFS(Batches!$L$2:$L$301,Batches!$B$2:$B$301,$A101))</f>
        <v/>
      </c>
      <c r="X101" s="50" t="str">
        <f>IF($A101="","",SUMIFS(Batches!$F$2:$F$301,Batches!$B$2:$B$301,$A101))</f>
        <v/>
      </c>
      <c r="Y101" s="52" t="str">
        <f>IF($A101="","",IF(ISNUMBER($I101),IF(IF(Config!$B$9="Recorded",$R101,$U101)&lt;$I101,1,0),0))</f>
        <v/>
      </c>
      <c r="Z101" s="49" t="str">
        <f>IF($A101="","",IF($R101&lt;0,"Negative",IF($Y101=1,"Below reorder","OK")))</f>
        <v/>
      </c>
      <c r="AA101" s="53" t="str">
        <f>IF($A101="","",IF(ISNUMBER($G101),$R101*$G101,""))</f>
        <v/>
      </c>
      <c r="AB101" s="49" t="str">
        <f>IF(COUNTA($A101:$M101)=0,"",IF($A101="","Missing: SKU",IF(COUNTIF($A$2:$A$101,$A101)&gt;1,"Duplicate SKU",IF($B101="","Missing: product name",IF($C101="","Missing: category",IF($F101="","Missing: primary supplier",IF(NOT(ISNUMBER($H101)),"Missing: opening balance",IF(NOT(ISNUMBER($I101)),"Missing: reorder point",IF(NOT(ISNUMBER($J101)),"Missing: reorder qty",IF($L101="","Missing: status",IF(COUNTIF(Suppliers!$A$2:$A$51,$F101)=0,"Unknown supplier",IF(COUNTIF(Config!$N$15:$N$34,$C101)=0,"Unsupported category",IF(COUNTIF(Config!$O$15:$O$34,$L101)=0,"Unsupported status",IF($X101&lt;&gt;$H101,"Opening balance differs from lot openings",IF($W101&lt;&gt;$R101,"Lot balances differ from recorded stock",IF($R101&lt;0,"Negative recorded stock","OK"))))))))))))))))</f>
        <v/>
      </c>
      <c r="AC101" s="52" t="str">
        <f>IF($Y101=1,COUNTIF($Y$2:$Y101,1),"")</f>
        <v/>
      </c>
    </row>
  </sheetData>
  <sheetProtection selectLockedCells="0" selectUnlockedCells="0" sheet="1" objects="0" insertRows="1" insertHyperlinks="1" autoFilter="0" scenarios="0" formatColumns="0" deleteColumns="1" insertColumns="1" pivotTables="1" deleteRows="1" formatCells="1" formatRows="0" sort="0"/>
  <autoFilter ref="A1:AC101"/>
  <conditionalFormatting sqref="AB2:AB101">
    <cfRule type="expression" priority="1" dxfId="4">
      <formula>AND($AB2&lt;&gt;"",$AB2&lt;&gt;"OK")</formula>
    </cfRule>
  </conditionalFormatting>
  <conditionalFormatting sqref="A2:AC101">
    <cfRule type="expression" priority="2" dxfId="0">
      <formula>$Z2="Negative"</formula>
    </cfRule>
    <cfRule type="expression" priority="3" dxfId="1">
      <formula>$Z2="Below reorder"</formula>
    </cfRule>
  </conditionalFormatting>
  <dataValidations count="9">
    <dataValidation sqref="A2:A101" showDropDown="0" showInputMessage="1" showErrorMessage="1" allowBlank="1" errorTitle="Duplicate ID" error="This ID is already used in this sheet. IDs must be unique." promptTitle="SKU" prompt="Required. Must be unique in this sheet." type="custom">
      <formula1>COUNTIF($A$2:$A$101,A2)&lt;=1</formula1>
    </dataValidation>
    <dataValidation sqref="C2:C101" showDropDown="0" showInputMessage="1" showErrorMessage="1" allowBlank="1" errorTitle="Not in the list" error="Pick a value from the dropdown list." promptTitle="Category" prompt="Required. Pick from the list." type="list">
      <formula1>Config!$N$15:$N$34</formula1>
    </dataValidation>
    <dataValidation sqref="F2:F101" showDropDown="0" showInputMessage="1" showErrorMessage="1" allowBlank="1" errorTitle="Not in the list" error="Pick a value from the dropdown list." promptTitle="Primary supplier ID" prompt="Required. Pick from the list." type="list">
      <formula1>Suppliers!$A$2:$A$51</formula1>
    </dataValidation>
    <dataValidation sqref="G2:G101" showDropDown="0" showInputMessage="1" showErrorMessage="1" allowBlank="1" errorTitle="Number needed" error="Enter a number of 0 or more." promptTitle="Unit cost (USD)" prompt="Optional. Number, USD. Leave blank if not supplied." type="decimal" operator="greaterThanOrEqual">
      <formula1>0</formula1>
    </dataValidation>
    <dataValidation sqref="H2:H101" showDropDown="0" showInputMessage="1" showErrorMessage="1" allowBlank="1" errorTitle="Whole number needed" error="Enter a whole number of 0 or more." promptTitle="Opening balance" prompt="Required. Whole number." type="whole" operator="between">
      <formula1>0</formula1>
      <formula2>10000000</formula2>
    </dataValidation>
    <dataValidation sqref="I2:I101" showDropDown="0" showInputMessage="1" showErrorMessage="1" allowBlank="1" errorTitle="Whole number needed" error="Enter a whole number of 0 or more." promptTitle="Reorder point" prompt="Required. Whole number." type="whole" operator="between">
      <formula1>0</formula1>
      <formula2>10000000</formula2>
    </dataValidation>
    <dataValidation sqref="J2:J101" showDropDown="0" showInputMessage="1" showErrorMessage="1" allowBlank="1" errorTitle="Whole number needed" error="Enter a whole number of 0 or more." promptTitle="Reorder qty" prompt="Required. Whole number." type="whole" operator="between">
      <formula1>0</formula1>
      <formula2>10000000</formula2>
    </dataValidation>
    <dataValidation sqref="K2:K101" showDropDown="0" showInputMessage="1" showErrorMessage="1" allowBlank="1" errorTitle="Whole number needed" error="Enter a whole number of 0 or more." promptTitle="Shelf life (months)" prompt="Optional. Whole number." type="whole" operator="between">
      <formula1>0</formula1>
      <formula2>10000000</formula2>
    </dataValidation>
    <dataValidation sqref="L2:L101" showDropDown="0" showInputMessage="1" showErrorMessage="1" allowBlank="1" errorTitle="Not in the list" error="Pick a value from the dropdown list." promptTitle="Status" prompt="Required. Pick from the list." type="list">
      <formula1>Config!$O$15:$O$34</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3A5F"/>
    <outlinePr summaryBelow="1" summaryRight="1"/>
    <pageSetUpPr/>
  </sheetPr>
  <dimension ref="A1:P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13" customWidth="1" min="3" max="3"/>
    <col width="34" customWidth="1" min="4" max="4"/>
    <col width="16" customWidth="1" min="5" max="5"/>
    <col width="26" customWidth="1" min="6" max="6"/>
    <col width="10" customWidth="1" min="7" max="7"/>
    <col width="9" customWidth="1" min="8" max="8"/>
    <col width="10" customWidth="1" min="9" max="9"/>
    <col width="15" customWidth="1" min="10" max="10"/>
    <col width="9" customWidth="1" min="11" max="11"/>
    <col width="34" customWidth="1" min="12" max="12"/>
    <col width="30" customWidth="1" min="13" max="13"/>
    <col width="10" customWidth="1" min="14" max="14"/>
    <col width="8" customWidth="1" min="15" max="15"/>
    <col width="30" customWidth="1" min="16" max="16"/>
  </cols>
  <sheetData>
    <row r="1" ht="42" customHeight="1">
      <c r="A1" s="41" t="inlineStr">
        <is>
          <t>Supplier ID *</t>
        </is>
      </c>
      <c r="B1" s="41" t="inlineStr">
        <is>
          <t>Name *</t>
        </is>
      </c>
      <c r="C1" s="41" t="inlineStr">
        <is>
          <t>Type *</t>
        </is>
      </c>
      <c r="D1" s="41" t="inlineStr">
        <is>
          <t>Supplies</t>
        </is>
      </c>
      <c r="E1" s="41" t="inlineStr">
        <is>
          <t>Contact</t>
        </is>
      </c>
      <c r="F1" s="41" t="inlineStr">
        <is>
          <t>Email</t>
        </is>
      </c>
      <c r="G1" s="41" t="inlineStr">
        <is>
          <t>Phone</t>
        </is>
      </c>
      <c r="H1" s="41" t="inlineStr">
        <is>
          <t>Lead time (days)</t>
        </is>
      </c>
      <c r="I1" s="41" t="inlineStr">
        <is>
          <t>Payment terms</t>
        </is>
      </c>
      <c r="J1" s="41" t="inlineStr">
        <is>
          <t>Location</t>
        </is>
      </c>
      <c r="K1" s="41" t="inlineStr">
        <is>
          <t>Status *</t>
        </is>
      </c>
      <c r="L1" s="41" t="inlineStr">
        <is>
          <t>Agreement link</t>
        </is>
      </c>
      <c r="M1" s="41" t="inlineStr">
        <is>
          <t>Notes</t>
        </is>
      </c>
      <c r="N1" s="23" t="inlineStr">
        <is>
          <t>Products (primary)</t>
        </is>
      </c>
      <c r="O1" s="23" t="inlineStr">
        <is>
          <t>Open POs</t>
        </is>
      </c>
      <c r="P1" s="23" t="inlineStr">
        <is>
          <t>Record check</t>
        </is>
      </c>
    </row>
    <row r="2">
      <c r="A2" s="46" t="inlineStr">
        <is>
          <t>SUP-01</t>
        </is>
      </c>
      <c r="B2" s="46" t="inlineStr">
        <is>
          <t>Alder Creek Dairy Proteins</t>
        </is>
      </c>
      <c r="C2" s="46" t="inlineStr">
        <is>
          <t>Manufacturer</t>
        </is>
      </c>
      <c r="D2" s="46" t="inlineStr">
        <is>
          <t>Whey protein isolate (2 lb)</t>
        </is>
      </c>
      <c r="E2" s="46" t="inlineStr">
        <is>
          <t>Dana Whitlock</t>
        </is>
      </c>
      <c r="F2" s="46" t="inlineStr">
        <is>
          <t>dana.whitlock@example.com</t>
        </is>
      </c>
      <c r="G2" s="46" t="inlineStr">
        <is>
          <t>555-0101</t>
        </is>
      </c>
      <c r="H2" s="48" t="n">
        <v>35</v>
      </c>
      <c r="I2" s="46" t="inlineStr">
        <is>
          <t>Net 30</t>
        </is>
      </c>
      <c r="J2" s="46" t="inlineStr">
        <is>
          <t>Wisconsin, US</t>
        </is>
      </c>
      <c r="K2" s="46" t="inlineStr">
        <is>
          <t>Active</t>
        </is>
      </c>
      <c r="L2" s="46" t="inlineStr">
        <is>
          <t>https://example.com/suppliers/SUP-01/agreement</t>
        </is>
      </c>
      <c r="M2" s="46" t="inlineStr">
        <is>
          <t>Minimum run 1,200 tubs</t>
        </is>
      </c>
      <c r="N2" s="52">
        <f>IF($A2="","",COUNTIF(Products!$F$2:$F$101,$A2))</f>
        <v>2</v>
      </c>
      <c r="O2" s="52">
        <f>IF($A2="","",SUMIFS(Purchase_Orders!$O$2:$O$301,Purchase_Orders!$B$2:$B$301,$A2))</f>
        <v>2</v>
      </c>
      <c r="P2" s="49" t="str">
        <f>IF(COUNTA($A2:$M2)=0,"",IF($A2="","Missing: supplier ID",IF(COUNTIF($A$2:$A$51,$A2)&gt;1,"Duplicate supplier ID",IF($B2="","Missing: name",IF($C2="","Missing: type",IF($K2="","Missing: status",IF(COUNTIF(Config!$L$15:$L$34,$C2)=0,"Unsupported type",IF(COUNTIF(Config!$M$15:$M$34,$K2)=0,"Unsupported status","OK"))))))))</f>
        <v>OK</v>
      </c>
    </row>
    <row r="3">
      <c r="A3" s="46" t="inlineStr">
        <is>
          <t>SUP-02</t>
        </is>
      </c>
      <c r="B3" s="46" t="inlineStr">
        <is>
          <t>Bramwell Bar Works</t>
        </is>
      </c>
      <c r="C3" s="46" t="inlineStr">
        <is>
          <t>Co-packer</t>
        </is>
      </c>
      <c r="D3" s="46" t="inlineStr">
        <is>
          <t>Protein bars (12-pack)</t>
        </is>
      </c>
      <c r="E3" s="46" t="inlineStr">
        <is>
          <t>Marcus Hale</t>
        </is>
      </c>
      <c r="F3" s="46" t="inlineStr">
        <is>
          <t>marcus.hale@example.com</t>
        </is>
      </c>
      <c r="G3" s="46" t="inlineStr">
        <is>
          <t>555-0102</t>
        </is>
      </c>
      <c r="H3" s="48" t="n">
        <v>30</v>
      </c>
      <c r="I3" s="46" t="inlineStr">
        <is>
          <t>Net 30</t>
        </is>
      </c>
      <c r="J3" s="46" t="inlineStr">
        <is>
          <t>Minnesota, US</t>
        </is>
      </c>
      <c r="K3" s="46" t="inlineStr">
        <is>
          <t>Active</t>
        </is>
      </c>
      <c r="L3" s="46" t="inlineStr">
        <is>
          <t>https://example.com/suppliers/SUP-02/agreement</t>
        </is>
      </c>
      <c r="M3" s="46" t="inlineStr">
        <is>
          <t>Bars ship in master cases of 12 boxes</t>
        </is>
      </c>
      <c r="N3" s="52">
        <f>IF($A3="","",COUNTIF(Products!$F$2:$F$101,$A3))</f>
        <v>2</v>
      </c>
      <c r="O3" s="52">
        <f>IF($A3="","",SUMIFS(Purchase_Orders!$O$2:$O$301,Purchase_Orders!$B$2:$B$301,$A3))</f>
        <v>0</v>
      </c>
      <c r="P3" s="49" t="str">
        <f>IF(COUNTA($A3:$M3)=0,"",IF($A3="","Missing: supplier ID",IF(COUNTIF($A$2:$A$51,$A3)&gt;1,"Duplicate supplier ID",IF($B3="","Missing: name",IF($C3="","Missing: type",IF($K3="","Missing: status",IF(COUNTIF(Config!$L$15:$L$34,$C3)=0,"Unsupported type",IF(COUNTIF(Config!$M$15:$M$34,$K3)=0,"Unsupported status","OK"))))))))</f>
        <v>OK</v>
      </c>
    </row>
    <row r="4">
      <c r="A4" s="46" t="inlineStr">
        <is>
          <t>SUP-03</t>
        </is>
      </c>
      <c r="B4" s="46" t="inlineStr">
        <is>
          <t>Corliss Plant Proteins</t>
        </is>
      </c>
      <c r="C4" s="46" t="inlineStr">
        <is>
          <t>Manufacturer</t>
        </is>
      </c>
      <c r="D4" s="46" t="inlineStr">
        <is>
          <t>Plant protein blends</t>
        </is>
      </c>
      <c r="E4" s="46" t="inlineStr">
        <is>
          <t>Elena Vidal</t>
        </is>
      </c>
      <c r="F4" s="46" t="inlineStr">
        <is>
          <t>elena.vidal@example.com</t>
        </is>
      </c>
      <c r="G4" s="46" t="inlineStr">
        <is>
          <t>555-0103</t>
        </is>
      </c>
      <c r="H4" s="48" t="n">
        <v>40</v>
      </c>
      <c r="I4" s="46" t="inlineStr">
        <is>
          <t>Net 45</t>
        </is>
      </c>
      <c r="J4" s="46" t="inlineStr">
        <is>
          <t>Iowa, US</t>
        </is>
      </c>
      <c r="K4" s="46" t="inlineStr">
        <is>
          <t>Active</t>
        </is>
      </c>
      <c r="L4" s="46" t="inlineStr">
        <is>
          <t>https://example.com/suppliers/SUP-03/agreement</t>
        </is>
      </c>
      <c r="M4" s="46" t="inlineStr">
        <is>
          <t>Pea and rice protein blend</t>
        </is>
      </c>
      <c r="N4" s="52">
        <f>IF($A4="","",COUNTIF(Products!$F$2:$F$101,$A4))</f>
        <v>2</v>
      </c>
      <c r="O4" s="52">
        <f>IF($A4="","",SUMIFS(Purchase_Orders!$O$2:$O$301,Purchase_Orders!$B$2:$B$301,$A4))</f>
        <v>1</v>
      </c>
      <c r="P4" s="49" t="str">
        <f>IF(COUNTA($A4:$M4)=0,"",IF($A4="","Missing: supplier ID",IF(COUNTIF($A$2:$A$51,$A4)&gt;1,"Duplicate supplier ID",IF($B4="","Missing: name",IF($C4="","Missing: type",IF($K4="","Missing: status",IF(COUNTIF(Config!$L$15:$L$34,$C4)=0,"Unsupported type",IF(COUNTIF(Config!$M$15:$M$34,$K4)=0,"Unsupported status","OK"))))))))</f>
        <v>OK</v>
      </c>
    </row>
    <row r="5">
      <c r="A5" s="46" t="inlineStr">
        <is>
          <t>SUP-04</t>
        </is>
      </c>
      <c r="B5" s="46" t="inlineStr">
        <is>
          <t>Dunmore Powder Labs</t>
        </is>
      </c>
      <c r="C5" s="46" t="inlineStr">
        <is>
          <t>Co-packer</t>
        </is>
      </c>
      <c r="D5" s="46" t="inlineStr">
        <is>
          <t>Creatine and pre-workout blending and filling</t>
        </is>
      </c>
      <c r="E5" s="46" t="inlineStr">
        <is>
          <t>Raj Patel</t>
        </is>
      </c>
      <c r="F5" s="46" t="inlineStr">
        <is>
          <t>raj.patel@example.com</t>
        </is>
      </c>
      <c r="G5" s="46" t="inlineStr">
        <is>
          <t>555-0104</t>
        </is>
      </c>
      <c r="H5" s="48" t="n">
        <v>30</v>
      </c>
      <c r="I5" s="46" t="inlineStr">
        <is>
          <t>Net 30</t>
        </is>
      </c>
      <c r="J5" s="46" t="inlineStr">
        <is>
          <t>New Jersey, US</t>
        </is>
      </c>
      <c r="K5" s="46" t="inlineStr">
        <is>
          <t>Active</t>
        </is>
      </c>
      <c r="L5" s="46" t="inlineStr">
        <is>
          <t>https://example.com/suppliers/SUP-04/agreement</t>
        </is>
      </c>
      <c r="M5" s="46" t="n"/>
      <c r="N5" s="52">
        <f>IF($A5="","",COUNTIF(Products!$F$2:$F$101,$A5))</f>
        <v>4</v>
      </c>
      <c r="O5" s="52">
        <f>IF($A5="","",SUMIFS(Purchase_Orders!$O$2:$O$301,Purchase_Orders!$B$2:$B$301,$A5))</f>
        <v>1</v>
      </c>
      <c r="P5" s="49" t="str">
        <f>IF(COUNTA($A5:$M5)=0,"",IF($A5="","Missing: supplier ID",IF(COUNTIF($A$2:$A$51,$A5)&gt;1,"Duplicate supplier ID",IF($B5="","Missing: name",IF($C5="","Missing: type",IF($K5="","Missing: status",IF(COUNTIF(Config!$L$15:$L$34,$C5)=0,"Unsupported type",IF(COUNTIF(Config!$M$15:$M$34,$K5)=0,"Unsupported status","OK"))))))))</f>
        <v>OK</v>
      </c>
    </row>
    <row r="6">
      <c r="A6" s="46" t="inlineStr">
        <is>
          <t>SUP-05</t>
        </is>
      </c>
      <c r="B6" s="46" t="inlineStr">
        <is>
          <t>Elmstead Co-Packing</t>
        </is>
      </c>
      <c r="C6" s="46" t="inlineStr">
        <is>
          <t>Co-packer</t>
        </is>
      </c>
      <c r="D6" s="46" t="inlineStr">
        <is>
          <t>Whey 5 lb and micellar casein</t>
        </is>
      </c>
      <c r="E6" s="46" t="inlineStr">
        <is>
          <t>Grace Lindqvist</t>
        </is>
      </c>
      <c r="F6" s="46" t="inlineStr">
        <is>
          <t>grace.lindqvist@example.com</t>
        </is>
      </c>
      <c r="G6" s="46" t="inlineStr">
        <is>
          <t>555-0105</t>
        </is>
      </c>
      <c r="H6" s="48" t="n">
        <v>45</v>
      </c>
      <c r="I6" s="46" t="inlineStr">
        <is>
          <t>Net 30</t>
        </is>
      </c>
      <c r="J6" s="46" t="inlineStr">
        <is>
          <t>Utah, US</t>
        </is>
      </c>
      <c r="K6" s="46" t="inlineStr">
        <is>
          <t>Active</t>
        </is>
      </c>
      <c r="L6" s="46" t="inlineStr">
        <is>
          <t>https://example.com/suppliers/SUP-05/agreement</t>
        </is>
      </c>
      <c r="M6" s="46" t="inlineStr">
        <is>
          <t>Second source for powders</t>
        </is>
      </c>
      <c r="N6" s="52">
        <f>IF($A6="","",COUNTIF(Products!$F$2:$F$101,$A6))</f>
        <v>2</v>
      </c>
      <c r="O6" s="52">
        <f>IF($A6="","",SUMIFS(Purchase_Orders!$O$2:$O$301,Purchase_Orders!$B$2:$B$301,$A6))</f>
        <v>1</v>
      </c>
      <c r="P6" s="49" t="str">
        <f>IF(COUNTA($A6:$M6)=0,"",IF($A6="","Missing: supplier ID",IF(COUNTIF($A$2:$A$51,$A6)&gt;1,"Duplicate supplier ID",IF($B6="","Missing: name",IF($C6="","Missing: type",IF($K6="","Missing: status",IF(COUNTIF(Config!$L$15:$L$34,$C6)=0,"Unsupported type",IF(COUNTIF(Config!$M$15:$M$34,$K6)=0,"Unsupported status","OK"))))))))</f>
        <v>OK</v>
      </c>
    </row>
    <row r="7">
      <c r="A7" s="46" t="n"/>
      <c r="B7" s="46" t="n"/>
      <c r="C7" s="46" t="n"/>
      <c r="D7" s="46" t="n"/>
      <c r="E7" s="46" t="n"/>
      <c r="F7" s="46" t="n"/>
      <c r="G7" s="46" t="n"/>
      <c r="H7" s="48" t="n"/>
      <c r="I7" s="46" t="n"/>
      <c r="J7" s="46" t="n"/>
      <c r="K7" s="46" t="n"/>
      <c r="L7" s="46" t="n"/>
      <c r="M7" s="46" t="n"/>
      <c r="N7" s="52" t="str">
        <f>IF($A7="","",COUNTIF(Products!$F$2:$F$101,$A7))</f>
        <v/>
      </c>
      <c r="O7" s="52" t="str">
        <f>IF($A7="","",SUMIFS(Purchase_Orders!$O$2:$O$301,Purchase_Orders!$B$2:$B$301,$A7))</f>
        <v/>
      </c>
      <c r="P7" s="49" t="str">
        <f>IF(COUNTA($A7:$M7)=0,"",IF($A7="","Missing: supplier ID",IF(COUNTIF($A$2:$A$51,$A7)&gt;1,"Duplicate supplier ID",IF($B7="","Missing: name",IF($C7="","Missing: type",IF($K7="","Missing: status",IF(COUNTIF(Config!$L$15:$L$34,$C7)=0,"Unsupported type",IF(COUNTIF(Config!$M$15:$M$34,$K7)=0,"Unsupported status","OK"))))))))</f>
        <v/>
      </c>
    </row>
    <row r="8">
      <c r="A8" s="46" t="n"/>
      <c r="B8" s="46" t="n"/>
      <c r="C8" s="46" t="n"/>
      <c r="D8" s="46" t="n"/>
      <c r="E8" s="46" t="n"/>
      <c r="F8" s="46" t="n"/>
      <c r="G8" s="46" t="n"/>
      <c r="H8" s="48" t="n"/>
      <c r="I8" s="46" t="n"/>
      <c r="J8" s="46" t="n"/>
      <c r="K8" s="46" t="n"/>
      <c r="L8" s="46" t="n"/>
      <c r="M8" s="46" t="n"/>
      <c r="N8" s="52" t="str">
        <f>IF($A8="","",COUNTIF(Products!$F$2:$F$101,$A8))</f>
        <v/>
      </c>
      <c r="O8" s="52" t="str">
        <f>IF($A8="","",SUMIFS(Purchase_Orders!$O$2:$O$301,Purchase_Orders!$B$2:$B$301,$A8))</f>
        <v/>
      </c>
      <c r="P8" s="49" t="str">
        <f>IF(COUNTA($A8:$M8)=0,"",IF($A8="","Missing: supplier ID",IF(COUNTIF($A$2:$A$51,$A8)&gt;1,"Duplicate supplier ID",IF($B8="","Missing: name",IF($C8="","Missing: type",IF($K8="","Missing: status",IF(COUNTIF(Config!$L$15:$L$34,$C8)=0,"Unsupported type",IF(COUNTIF(Config!$M$15:$M$34,$K8)=0,"Unsupported status","OK"))))))))</f>
        <v/>
      </c>
    </row>
    <row r="9">
      <c r="A9" s="46" t="n"/>
      <c r="B9" s="46" t="n"/>
      <c r="C9" s="46" t="n"/>
      <c r="D9" s="46" t="n"/>
      <c r="E9" s="46" t="n"/>
      <c r="F9" s="46" t="n"/>
      <c r="G9" s="46" t="n"/>
      <c r="H9" s="48" t="n"/>
      <c r="I9" s="46" t="n"/>
      <c r="J9" s="46" t="n"/>
      <c r="K9" s="46" t="n"/>
      <c r="L9" s="46" t="n"/>
      <c r="M9" s="46" t="n"/>
      <c r="N9" s="52" t="str">
        <f>IF($A9="","",COUNTIF(Products!$F$2:$F$101,$A9))</f>
        <v/>
      </c>
      <c r="O9" s="52" t="str">
        <f>IF($A9="","",SUMIFS(Purchase_Orders!$O$2:$O$301,Purchase_Orders!$B$2:$B$301,$A9))</f>
        <v/>
      </c>
      <c r="P9" s="49" t="str">
        <f>IF(COUNTA($A9:$M9)=0,"",IF($A9="","Missing: supplier ID",IF(COUNTIF($A$2:$A$51,$A9)&gt;1,"Duplicate supplier ID",IF($B9="","Missing: name",IF($C9="","Missing: type",IF($K9="","Missing: status",IF(COUNTIF(Config!$L$15:$L$34,$C9)=0,"Unsupported type",IF(COUNTIF(Config!$M$15:$M$34,$K9)=0,"Unsupported status","OK"))))))))</f>
        <v/>
      </c>
    </row>
    <row r="10">
      <c r="A10" s="46" t="n"/>
      <c r="B10" s="46" t="n"/>
      <c r="C10" s="46" t="n"/>
      <c r="D10" s="46" t="n"/>
      <c r="E10" s="46" t="n"/>
      <c r="F10" s="46" t="n"/>
      <c r="G10" s="46" t="n"/>
      <c r="H10" s="48" t="n"/>
      <c r="I10" s="46" t="n"/>
      <c r="J10" s="46" t="n"/>
      <c r="K10" s="46" t="n"/>
      <c r="L10" s="46" t="n"/>
      <c r="M10" s="46" t="n"/>
      <c r="N10" s="52" t="str">
        <f>IF($A10="","",COUNTIF(Products!$F$2:$F$101,$A10))</f>
        <v/>
      </c>
      <c r="O10" s="52" t="str">
        <f>IF($A10="","",SUMIFS(Purchase_Orders!$O$2:$O$301,Purchase_Orders!$B$2:$B$301,$A10))</f>
        <v/>
      </c>
      <c r="P10" s="49" t="str">
        <f>IF(COUNTA($A10:$M10)=0,"",IF($A10="","Missing: supplier ID",IF(COUNTIF($A$2:$A$51,$A10)&gt;1,"Duplicate supplier ID",IF($B10="","Missing: name",IF($C10="","Missing: type",IF($K10="","Missing: status",IF(COUNTIF(Config!$L$15:$L$34,$C10)=0,"Unsupported type",IF(COUNTIF(Config!$M$15:$M$34,$K10)=0,"Unsupported status","OK"))))))))</f>
        <v/>
      </c>
    </row>
    <row r="11">
      <c r="A11" s="46" t="n"/>
      <c r="B11" s="46" t="n"/>
      <c r="C11" s="46" t="n"/>
      <c r="D11" s="46" t="n"/>
      <c r="E11" s="46" t="n"/>
      <c r="F11" s="46" t="n"/>
      <c r="G11" s="46" t="n"/>
      <c r="H11" s="48" t="n"/>
      <c r="I11" s="46" t="n"/>
      <c r="J11" s="46" t="n"/>
      <c r="K11" s="46" t="n"/>
      <c r="L11" s="46" t="n"/>
      <c r="M11" s="46" t="n"/>
      <c r="N11" s="52" t="str">
        <f>IF($A11="","",COUNTIF(Products!$F$2:$F$101,$A11))</f>
        <v/>
      </c>
      <c r="O11" s="52" t="str">
        <f>IF($A11="","",SUMIFS(Purchase_Orders!$O$2:$O$301,Purchase_Orders!$B$2:$B$301,$A11))</f>
        <v/>
      </c>
      <c r="P11" s="49" t="str">
        <f>IF(COUNTA($A11:$M11)=0,"",IF($A11="","Missing: supplier ID",IF(COUNTIF($A$2:$A$51,$A11)&gt;1,"Duplicate supplier ID",IF($B11="","Missing: name",IF($C11="","Missing: type",IF($K11="","Missing: status",IF(COUNTIF(Config!$L$15:$L$34,$C11)=0,"Unsupported type",IF(COUNTIF(Config!$M$15:$M$34,$K11)=0,"Unsupported status","OK"))))))))</f>
        <v/>
      </c>
    </row>
    <row r="12">
      <c r="A12" s="46" t="n"/>
      <c r="B12" s="46" t="n"/>
      <c r="C12" s="46" t="n"/>
      <c r="D12" s="46" t="n"/>
      <c r="E12" s="46" t="n"/>
      <c r="F12" s="46" t="n"/>
      <c r="G12" s="46" t="n"/>
      <c r="H12" s="48" t="n"/>
      <c r="I12" s="46" t="n"/>
      <c r="J12" s="46" t="n"/>
      <c r="K12" s="46" t="n"/>
      <c r="L12" s="46" t="n"/>
      <c r="M12" s="46" t="n"/>
      <c r="N12" s="52" t="str">
        <f>IF($A12="","",COUNTIF(Products!$F$2:$F$101,$A12))</f>
        <v/>
      </c>
      <c r="O12" s="52" t="str">
        <f>IF($A12="","",SUMIFS(Purchase_Orders!$O$2:$O$301,Purchase_Orders!$B$2:$B$301,$A12))</f>
        <v/>
      </c>
      <c r="P12" s="49" t="str">
        <f>IF(COUNTA($A12:$M12)=0,"",IF($A12="","Missing: supplier ID",IF(COUNTIF($A$2:$A$51,$A12)&gt;1,"Duplicate supplier ID",IF($B12="","Missing: name",IF($C12="","Missing: type",IF($K12="","Missing: status",IF(COUNTIF(Config!$L$15:$L$34,$C12)=0,"Unsupported type",IF(COUNTIF(Config!$M$15:$M$34,$K12)=0,"Unsupported status","OK"))))))))</f>
        <v/>
      </c>
    </row>
    <row r="13">
      <c r="A13" s="46" t="n"/>
      <c r="B13" s="46" t="n"/>
      <c r="C13" s="46" t="n"/>
      <c r="D13" s="46" t="n"/>
      <c r="E13" s="46" t="n"/>
      <c r="F13" s="46" t="n"/>
      <c r="G13" s="46" t="n"/>
      <c r="H13" s="48" t="n"/>
      <c r="I13" s="46" t="n"/>
      <c r="J13" s="46" t="n"/>
      <c r="K13" s="46" t="n"/>
      <c r="L13" s="46" t="n"/>
      <c r="M13" s="46" t="n"/>
      <c r="N13" s="52" t="str">
        <f>IF($A13="","",COUNTIF(Products!$F$2:$F$101,$A13))</f>
        <v/>
      </c>
      <c r="O13" s="52" t="str">
        <f>IF($A13="","",SUMIFS(Purchase_Orders!$O$2:$O$301,Purchase_Orders!$B$2:$B$301,$A13))</f>
        <v/>
      </c>
      <c r="P13" s="49" t="str">
        <f>IF(COUNTA($A13:$M13)=0,"",IF($A13="","Missing: supplier ID",IF(COUNTIF($A$2:$A$51,$A13)&gt;1,"Duplicate supplier ID",IF($B13="","Missing: name",IF($C13="","Missing: type",IF($K13="","Missing: status",IF(COUNTIF(Config!$L$15:$L$34,$C13)=0,"Unsupported type",IF(COUNTIF(Config!$M$15:$M$34,$K13)=0,"Unsupported status","OK"))))))))</f>
        <v/>
      </c>
    </row>
    <row r="14">
      <c r="A14" s="46" t="n"/>
      <c r="B14" s="46" t="n"/>
      <c r="C14" s="46" t="n"/>
      <c r="D14" s="46" t="n"/>
      <c r="E14" s="46" t="n"/>
      <c r="F14" s="46" t="n"/>
      <c r="G14" s="46" t="n"/>
      <c r="H14" s="48" t="n"/>
      <c r="I14" s="46" t="n"/>
      <c r="J14" s="46" t="n"/>
      <c r="K14" s="46" t="n"/>
      <c r="L14" s="46" t="n"/>
      <c r="M14" s="46" t="n"/>
      <c r="N14" s="52" t="str">
        <f>IF($A14="","",COUNTIF(Products!$F$2:$F$101,$A14))</f>
        <v/>
      </c>
      <c r="O14" s="52" t="str">
        <f>IF($A14="","",SUMIFS(Purchase_Orders!$O$2:$O$301,Purchase_Orders!$B$2:$B$301,$A14))</f>
        <v/>
      </c>
      <c r="P14" s="49" t="str">
        <f>IF(COUNTA($A14:$M14)=0,"",IF($A14="","Missing: supplier ID",IF(COUNTIF($A$2:$A$51,$A14)&gt;1,"Duplicate supplier ID",IF($B14="","Missing: name",IF($C14="","Missing: type",IF($K14="","Missing: status",IF(COUNTIF(Config!$L$15:$L$34,$C14)=0,"Unsupported type",IF(COUNTIF(Config!$M$15:$M$34,$K14)=0,"Unsupported status","OK"))))))))</f>
        <v/>
      </c>
    </row>
    <row r="15">
      <c r="A15" s="46" t="n"/>
      <c r="B15" s="46" t="n"/>
      <c r="C15" s="46" t="n"/>
      <c r="D15" s="46" t="n"/>
      <c r="E15" s="46" t="n"/>
      <c r="F15" s="46" t="n"/>
      <c r="G15" s="46" t="n"/>
      <c r="H15" s="48" t="n"/>
      <c r="I15" s="46" t="n"/>
      <c r="J15" s="46" t="n"/>
      <c r="K15" s="46" t="n"/>
      <c r="L15" s="46" t="n"/>
      <c r="M15" s="46" t="n"/>
      <c r="N15" s="52" t="str">
        <f>IF($A15="","",COUNTIF(Products!$F$2:$F$101,$A15))</f>
        <v/>
      </c>
      <c r="O15" s="52" t="str">
        <f>IF($A15="","",SUMIFS(Purchase_Orders!$O$2:$O$301,Purchase_Orders!$B$2:$B$301,$A15))</f>
        <v/>
      </c>
      <c r="P15" s="49" t="str">
        <f>IF(COUNTA($A15:$M15)=0,"",IF($A15="","Missing: supplier ID",IF(COUNTIF($A$2:$A$51,$A15)&gt;1,"Duplicate supplier ID",IF($B15="","Missing: name",IF($C15="","Missing: type",IF($K15="","Missing: status",IF(COUNTIF(Config!$L$15:$L$34,$C15)=0,"Unsupported type",IF(COUNTIF(Config!$M$15:$M$34,$K15)=0,"Unsupported status","OK"))))))))</f>
        <v/>
      </c>
    </row>
    <row r="16">
      <c r="A16" s="46" t="n"/>
      <c r="B16" s="46" t="n"/>
      <c r="C16" s="46" t="n"/>
      <c r="D16" s="46" t="n"/>
      <c r="E16" s="46" t="n"/>
      <c r="F16" s="46" t="n"/>
      <c r="G16" s="46" t="n"/>
      <c r="H16" s="48" t="n"/>
      <c r="I16" s="46" t="n"/>
      <c r="J16" s="46" t="n"/>
      <c r="K16" s="46" t="n"/>
      <c r="L16" s="46" t="n"/>
      <c r="M16" s="46" t="n"/>
      <c r="N16" s="52" t="str">
        <f>IF($A16="","",COUNTIF(Products!$F$2:$F$101,$A16))</f>
        <v/>
      </c>
      <c r="O16" s="52" t="str">
        <f>IF($A16="","",SUMIFS(Purchase_Orders!$O$2:$O$301,Purchase_Orders!$B$2:$B$301,$A16))</f>
        <v/>
      </c>
      <c r="P16" s="49" t="str">
        <f>IF(COUNTA($A16:$M16)=0,"",IF($A16="","Missing: supplier ID",IF(COUNTIF($A$2:$A$51,$A16)&gt;1,"Duplicate supplier ID",IF($B16="","Missing: name",IF($C16="","Missing: type",IF($K16="","Missing: status",IF(COUNTIF(Config!$L$15:$L$34,$C16)=0,"Unsupported type",IF(COUNTIF(Config!$M$15:$M$34,$K16)=0,"Unsupported status","OK"))))))))</f>
        <v/>
      </c>
    </row>
    <row r="17">
      <c r="A17" s="46" t="n"/>
      <c r="B17" s="46" t="n"/>
      <c r="C17" s="46" t="n"/>
      <c r="D17" s="46" t="n"/>
      <c r="E17" s="46" t="n"/>
      <c r="F17" s="46" t="n"/>
      <c r="G17" s="46" t="n"/>
      <c r="H17" s="48" t="n"/>
      <c r="I17" s="46" t="n"/>
      <c r="J17" s="46" t="n"/>
      <c r="K17" s="46" t="n"/>
      <c r="L17" s="46" t="n"/>
      <c r="M17" s="46" t="n"/>
      <c r="N17" s="52" t="str">
        <f>IF($A17="","",COUNTIF(Products!$F$2:$F$101,$A17))</f>
        <v/>
      </c>
      <c r="O17" s="52" t="str">
        <f>IF($A17="","",SUMIFS(Purchase_Orders!$O$2:$O$301,Purchase_Orders!$B$2:$B$301,$A17))</f>
        <v/>
      </c>
      <c r="P17" s="49" t="str">
        <f>IF(COUNTA($A17:$M17)=0,"",IF($A17="","Missing: supplier ID",IF(COUNTIF($A$2:$A$51,$A17)&gt;1,"Duplicate supplier ID",IF($B17="","Missing: name",IF($C17="","Missing: type",IF($K17="","Missing: status",IF(COUNTIF(Config!$L$15:$L$34,$C17)=0,"Unsupported type",IF(COUNTIF(Config!$M$15:$M$34,$K17)=0,"Unsupported status","OK"))))))))</f>
        <v/>
      </c>
    </row>
    <row r="18">
      <c r="A18" s="46" t="n"/>
      <c r="B18" s="46" t="n"/>
      <c r="C18" s="46" t="n"/>
      <c r="D18" s="46" t="n"/>
      <c r="E18" s="46" t="n"/>
      <c r="F18" s="46" t="n"/>
      <c r="G18" s="46" t="n"/>
      <c r="H18" s="48" t="n"/>
      <c r="I18" s="46" t="n"/>
      <c r="J18" s="46" t="n"/>
      <c r="K18" s="46" t="n"/>
      <c r="L18" s="46" t="n"/>
      <c r="M18" s="46" t="n"/>
      <c r="N18" s="52" t="str">
        <f>IF($A18="","",COUNTIF(Products!$F$2:$F$101,$A18))</f>
        <v/>
      </c>
      <c r="O18" s="52" t="str">
        <f>IF($A18="","",SUMIFS(Purchase_Orders!$O$2:$O$301,Purchase_Orders!$B$2:$B$301,$A18))</f>
        <v/>
      </c>
      <c r="P18" s="49" t="str">
        <f>IF(COUNTA($A18:$M18)=0,"",IF($A18="","Missing: supplier ID",IF(COUNTIF($A$2:$A$51,$A18)&gt;1,"Duplicate supplier ID",IF($B18="","Missing: name",IF($C18="","Missing: type",IF($K18="","Missing: status",IF(COUNTIF(Config!$L$15:$L$34,$C18)=0,"Unsupported type",IF(COUNTIF(Config!$M$15:$M$34,$K18)=0,"Unsupported status","OK"))))))))</f>
        <v/>
      </c>
    </row>
    <row r="19">
      <c r="A19" s="46" t="n"/>
      <c r="B19" s="46" t="n"/>
      <c r="C19" s="46" t="n"/>
      <c r="D19" s="46" t="n"/>
      <c r="E19" s="46" t="n"/>
      <c r="F19" s="46" t="n"/>
      <c r="G19" s="46" t="n"/>
      <c r="H19" s="48" t="n"/>
      <c r="I19" s="46" t="n"/>
      <c r="J19" s="46" t="n"/>
      <c r="K19" s="46" t="n"/>
      <c r="L19" s="46" t="n"/>
      <c r="M19" s="46" t="n"/>
      <c r="N19" s="52" t="str">
        <f>IF($A19="","",COUNTIF(Products!$F$2:$F$101,$A19))</f>
        <v/>
      </c>
      <c r="O19" s="52" t="str">
        <f>IF($A19="","",SUMIFS(Purchase_Orders!$O$2:$O$301,Purchase_Orders!$B$2:$B$301,$A19))</f>
        <v/>
      </c>
      <c r="P19" s="49" t="str">
        <f>IF(COUNTA($A19:$M19)=0,"",IF($A19="","Missing: supplier ID",IF(COUNTIF($A$2:$A$51,$A19)&gt;1,"Duplicate supplier ID",IF($B19="","Missing: name",IF($C19="","Missing: type",IF($K19="","Missing: status",IF(COUNTIF(Config!$L$15:$L$34,$C19)=0,"Unsupported type",IF(COUNTIF(Config!$M$15:$M$34,$K19)=0,"Unsupported status","OK"))))))))</f>
        <v/>
      </c>
    </row>
    <row r="20">
      <c r="A20" s="46" t="n"/>
      <c r="B20" s="46" t="n"/>
      <c r="C20" s="46" t="n"/>
      <c r="D20" s="46" t="n"/>
      <c r="E20" s="46" t="n"/>
      <c r="F20" s="46" t="n"/>
      <c r="G20" s="46" t="n"/>
      <c r="H20" s="48" t="n"/>
      <c r="I20" s="46" t="n"/>
      <c r="J20" s="46" t="n"/>
      <c r="K20" s="46" t="n"/>
      <c r="L20" s="46" t="n"/>
      <c r="M20" s="46" t="n"/>
      <c r="N20" s="52" t="str">
        <f>IF($A20="","",COUNTIF(Products!$F$2:$F$101,$A20))</f>
        <v/>
      </c>
      <c r="O20" s="52" t="str">
        <f>IF($A20="","",SUMIFS(Purchase_Orders!$O$2:$O$301,Purchase_Orders!$B$2:$B$301,$A20))</f>
        <v/>
      </c>
      <c r="P20" s="49" t="str">
        <f>IF(COUNTA($A20:$M20)=0,"",IF($A20="","Missing: supplier ID",IF(COUNTIF($A$2:$A$51,$A20)&gt;1,"Duplicate supplier ID",IF($B20="","Missing: name",IF($C20="","Missing: type",IF($K20="","Missing: status",IF(COUNTIF(Config!$L$15:$L$34,$C20)=0,"Unsupported type",IF(COUNTIF(Config!$M$15:$M$34,$K20)=0,"Unsupported status","OK"))))))))</f>
        <v/>
      </c>
    </row>
    <row r="21">
      <c r="A21" s="46" t="n"/>
      <c r="B21" s="46" t="n"/>
      <c r="C21" s="46" t="n"/>
      <c r="D21" s="46" t="n"/>
      <c r="E21" s="46" t="n"/>
      <c r="F21" s="46" t="n"/>
      <c r="G21" s="46" t="n"/>
      <c r="H21" s="48" t="n"/>
      <c r="I21" s="46" t="n"/>
      <c r="J21" s="46" t="n"/>
      <c r="K21" s="46" t="n"/>
      <c r="L21" s="46" t="n"/>
      <c r="M21" s="46" t="n"/>
      <c r="N21" s="52" t="str">
        <f>IF($A21="","",COUNTIF(Products!$F$2:$F$101,$A21))</f>
        <v/>
      </c>
      <c r="O21" s="52" t="str">
        <f>IF($A21="","",SUMIFS(Purchase_Orders!$O$2:$O$301,Purchase_Orders!$B$2:$B$301,$A21))</f>
        <v/>
      </c>
      <c r="P21" s="49" t="str">
        <f>IF(COUNTA($A21:$M21)=0,"",IF($A21="","Missing: supplier ID",IF(COUNTIF($A$2:$A$51,$A21)&gt;1,"Duplicate supplier ID",IF($B21="","Missing: name",IF($C21="","Missing: type",IF($K21="","Missing: status",IF(COUNTIF(Config!$L$15:$L$34,$C21)=0,"Unsupported type",IF(COUNTIF(Config!$M$15:$M$34,$K21)=0,"Unsupported status","OK"))))))))</f>
        <v/>
      </c>
    </row>
    <row r="22">
      <c r="A22" s="46" t="n"/>
      <c r="B22" s="46" t="n"/>
      <c r="C22" s="46" t="n"/>
      <c r="D22" s="46" t="n"/>
      <c r="E22" s="46" t="n"/>
      <c r="F22" s="46" t="n"/>
      <c r="G22" s="46" t="n"/>
      <c r="H22" s="48" t="n"/>
      <c r="I22" s="46" t="n"/>
      <c r="J22" s="46" t="n"/>
      <c r="K22" s="46" t="n"/>
      <c r="L22" s="46" t="n"/>
      <c r="M22" s="46" t="n"/>
      <c r="N22" s="52" t="str">
        <f>IF($A22="","",COUNTIF(Products!$F$2:$F$101,$A22))</f>
        <v/>
      </c>
      <c r="O22" s="52" t="str">
        <f>IF($A22="","",SUMIFS(Purchase_Orders!$O$2:$O$301,Purchase_Orders!$B$2:$B$301,$A22))</f>
        <v/>
      </c>
      <c r="P22" s="49" t="str">
        <f>IF(COUNTA($A22:$M22)=0,"",IF($A22="","Missing: supplier ID",IF(COUNTIF($A$2:$A$51,$A22)&gt;1,"Duplicate supplier ID",IF($B22="","Missing: name",IF($C22="","Missing: type",IF($K22="","Missing: status",IF(COUNTIF(Config!$L$15:$L$34,$C22)=0,"Unsupported type",IF(COUNTIF(Config!$M$15:$M$34,$K22)=0,"Unsupported status","OK"))))))))</f>
        <v/>
      </c>
    </row>
    <row r="23">
      <c r="A23" s="46" t="n"/>
      <c r="B23" s="46" t="n"/>
      <c r="C23" s="46" t="n"/>
      <c r="D23" s="46" t="n"/>
      <c r="E23" s="46" t="n"/>
      <c r="F23" s="46" t="n"/>
      <c r="G23" s="46" t="n"/>
      <c r="H23" s="48" t="n"/>
      <c r="I23" s="46" t="n"/>
      <c r="J23" s="46" t="n"/>
      <c r="K23" s="46" t="n"/>
      <c r="L23" s="46" t="n"/>
      <c r="M23" s="46" t="n"/>
      <c r="N23" s="52" t="str">
        <f>IF($A23="","",COUNTIF(Products!$F$2:$F$101,$A23))</f>
        <v/>
      </c>
      <c r="O23" s="52" t="str">
        <f>IF($A23="","",SUMIFS(Purchase_Orders!$O$2:$O$301,Purchase_Orders!$B$2:$B$301,$A23))</f>
        <v/>
      </c>
      <c r="P23" s="49" t="str">
        <f>IF(COUNTA($A23:$M23)=0,"",IF($A23="","Missing: supplier ID",IF(COUNTIF($A$2:$A$51,$A23)&gt;1,"Duplicate supplier ID",IF($B23="","Missing: name",IF($C23="","Missing: type",IF($K23="","Missing: status",IF(COUNTIF(Config!$L$15:$L$34,$C23)=0,"Unsupported type",IF(COUNTIF(Config!$M$15:$M$34,$K23)=0,"Unsupported status","OK"))))))))</f>
        <v/>
      </c>
    </row>
    <row r="24">
      <c r="A24" s="46" t="n"/>
      <c r="B24" s="46" t="n"/>
      <c r="C24" s="46" t="n"/>
      <c r="D24" s="46" t="n"/>
      <c r="E24" s="46" t="n"/>
      <c r="F24" s="46" t="n"/>
      <c r="G24" s="46" t="n"/>
      <c r="H24" s="48" t="n"/>
      <c r="I24" s="46" t="n"/>
      <c r="J24" s="46" t="n"/>
      <c r="K24" s="46" t="n"/>
      <c r="L24" s="46" t="n"/>
      <c r="M24" s="46" t="n"/>
      <c r="N24" s="52" t="str">
        <f>IF($A24="","",COUNTIF(Products!$F$2:$F$101,$A24))</f>
        <v/>
      </c>
      <c r="O24" s="52" t="str">
        <f>IF($A24="","",SUMIFS(Purchase_Orders!$O$2:$O$301,Purchase_Orders!$B$2:$B$301,$A24))</f>
        <v/>
      </c>
      <c r="P24" s="49" t="str">
        <f>IF(COUNTA($A24:$M24)=0,"",IF($A24="","Missing: supplier ID",IF(COUNTIF($A$2:$A$51,$A24)&gt;1,"Duplicate supplier ID",IF($B24="","Missing: name",IF($C24="","Missing: type",IF($K24="","Missing: status",IF(COUNTIF(Config!$L$15:$L$34,$C24)=0,"Unsupported type",IF(COUNTIF(Config!$M$15:$M$34,$K24)=0,"Unsupported status","OK"))))))))</f>
        <v/>
      </c>
    </row>
    <row r="25">
      <c r="A25" s="46" t="n"/>
      <c r="B25" s="46" t="n"/>
      <c r="C25" s="46" t="n"/>
      <c r="D25" s="46" t="n"/>
      <c r="E25" s="46" t="n"/>
      <c r="F25" s="46" t="n"/>
      <c r="G25" s="46" t="n"/>
      <c r="H25" s="48" t="n"/>
      <c r="I25" s="46" t="n"/>
      <c r="J25" s="46" t="n"/>
      <c r="K25" s="46" t="n"/>
      <c r="L25" s="46" t="n"/>
      <c r="M25" s="46" t="n"/>
      <c r="N25" s="52" t="str">
        <f>IF($A25="","",COUNTIF(Products!$F$2:$F$101,$A25))</f>
        <v/>
      </c>
      <c r="O25" s="52" t="str">
        <f>IF($A25="","",SUMIFS(Purchase_Orders!$O$2:$O$301,Purchase_Orders!$B$2:$B$301,$A25))</f>
        <v/>
      </c>
      <c r="P25" s="49" t="str">
        <f>IF(COUNTA($A25:$M25)=0,"",IF($A25="","Missing: supplier ID",IF(COUNTIF($A$2:$A$51,$A25)&gt;1,"Duplicate supplier ID",IF($B25="","Missing: name",IF($C25="","Missing: type",IF($K25="","Missing: status",IF(COUNTIF(Config!$L$15:$L$34,$C25)=0,"Unsupported type",IF(COUNTIF(Config!$M$15:$M$34,$K25)=0,"Unsupported status","OK"))))))))</f>
        <v/>
      </c>
    </row>
    <row r="26">
      <c r="A26" s="46" t="n"/>
      <c r="B26" s="46" t="n"/>
      <c r="C26" s="46" t="n"/>
      <c r="D26" s="46" t="n"/>
      <c r="E26" s="46" t="n"/>
      <c r="F26" s="46" t="n"/>
      <c r="G26" s="46" t="n"/>
      <c r="H26" s="48" t="n"/>
      <c r="I26" s="46" t="n"/>
      <c r="J26" s="46" t="n"/>
      <c r="K26" s="46" t="n"/>
      <c r="L26" s="46" t="n"/>
      <c r="M26" s="46" t="n"/>
      <c r="N26" s="52" t="str">
        <f>IF($A26="","",COUNTIF(Products!$F$2:$F$101,$A26))</f>
        <v/>
      </c>
      <c r="O26" s="52" t="str">
        <f>IF($A26="","",SUMIFS(Purchase_Orders!$O$2:$O$301,Purchase_Orders!$B$2:$B$301,$A26))</f>
        <v/>
      </c>
      <c r="P26" s="49" t="str">
        <f>IF(COUNTA($A26:$M26)=0,"",IF($A26="","Missing: supplier ID",IF(COUNTIF($A$2:$A$51,$A26)&gt;1,"Duplicate supplier ID",IF($B26="","Missing: name",IF($C26="","Missing: type",IF($K26="","Missing: status",IF(COUNTIF(Config!$L$15:$L$34,$C26)=0,"Unsupported type",IF(COUNTIF(Config!$M$15:$M$34,$K26)=0,"Unsupported status","OK"))))))))</f>
        <v/>
      </c>
    </row>
    <row r="27">
      <c r="A27" s="46" t="n"/>
      <c r="B27" s="46" t="n"/>
      <c r="C27" s="46" t="n"/>
      <c r="D27" s="46" t="n"/>
      <c r="E27" s="46" t="n"/>
      <c r="F27" s="46" t="n"/>
      <c r="G27" s="46" t="n"/>
      <c r="H27" s="48" t="n"/>
      <c r="I27" s="46" t="n"/>
      <c r="J27" s="46" t="n"/>
      <c r="K27" s="46" t="n"/>
      <c r="L27" s="46" t="n"/>
      <c r="M27" s="46" t="n"/>
      <c r="N27" s="52" t="str">
        <f>IF($A27="","",COUNTIF(Products!$F$2:$F$101,$A27))</f>
        <v/>
      </c>
      <c r="O27" s="52" t="str">
        <f>IF($A27="","",SUMIFS(Purchase_Orders!$O$2:$O$301,Purchase_Orders!$B$2:$B$301,$A27))</f>
        <v/>
      </c>
      <c r="P27" s="49" t="str">
        <f>IF(COUNTA($A27:$M27)=0,"",IF($A27="","Missing: supplier ID",IF(COUNTIF($A$2:$A$51,$A27)&gt;1,"Duplicate supplier ID",IF($B27="","Missing: name",IF($C27="","Missing: type",IF($K27="","Missing: status",IF(COUNTIF(Config!$L$15:$L$34,$C27)=0,"Unsupported type",IF(COUNTIF(Config!$M$15:$M$34,$K27)=0,"Unsupported status","OK"))))))))</f>
        <v/>
      </c>
    </row>
    <row r="28">
      <c r="A28" s="46" t="n"/>
      <c r="B28" s="46" t="n"/>
      <c r="C28" s="46" t="n"/>
      <c r="D28" s="46" t="n"/>
      <c r="E28" s="46" t="n"/>
      <c r="F28" s="46" t="n"/>
      <c r="G28" s="46" t="n"/>
      <c r="H28" s="48" t="n"/>
      <c r="I28" s="46" t="n"/>
      <c r="J28" s="46" t="n"/>
      <c r="K28" s="46" t="n"/>
      <c r="L28" s="46" t="n"/>
      <c r="M28" s="46" t="n"/>
      <c r="N28" s="52" t="str">
        <f>IF($A28="","",COUNTIF(Products!$F$2:$F$101,$A28))</f>
        <v/>
      </c>
      <c r="O28" s="52" t="str">
        <f>IF($A28="","",SUMIFS(Purchase_Orders!$O$2:$O$301,Purchase_Orders!$B$2:$B$301,$A28))</f>
        <v/>
      </c>
      <c r="P28" s="49" t="str">
        <f>IF(COUNTA($A28:$M28)=0,"",IF($A28="","Missing: supplier ID",IF(COUNTIF($A$2:$A$51,$A28)&gt;1,"Duplicate supplier ID",IF($B28="","Missing: name",IF($C28="","Missing: type",IF($K28="","Missing: status",IF(COUNTIF(Config!$L$15:$L$34,$C28)=0,"Unsupported type",IF(COUNTIF(Config!$M$15:$M$34,$K28)=0,"Unsupported status","OK"))))))))</f>
        <v/>
      </c>
    </row>
    <row r="29">
      <c r="A29" s="46" t="n"/>
      <c r="B29" s="46" t="n"/>
      <c r="C29" s="46" t="n"/>
      <c r="D29" s="46" t="n"/>
      <c r="E29" s="46" t="n"/>
      <c r="F29" s="46" t="n"/>
      <c r="G29" s="46" t="n"/>
      <c r="H29" s="48" t="n"/>
      <c r="I29" s="46" t="n"/>
      <c r="J29" s="46" t="n"/>
      <c r="K29" s="46" t="n"/>
      <c r="L29" s="46" t="n"/>
      <c r="M29" s="46" t="n"/>
      <c r="N29" s="52" t="str">
        <f>IF($A29="","",COUNTIF(Products!$F$2:$F$101,$A29))</f>
        <v/>
      </c>
      <c r="O29" s="52" t="str">
        <f>IF($A29="","",SUMIFS(Purchase_Orders!$O$2:$O$301,Purchase_Orders!$B$2:$B$301,$A29))</f>
        <v/>
      </c>
      <c r="P29" s="49" t="str">
        <f>IF(COUNTA($A29:$M29)=0,"",IF($A29="","Missing: supplier ID",IF(COUNTIF($A$2:$A$51,$A29)&gt;1,"Duplicate supplier ID",IF($B29="","Missing: name",IF($C29="","Missing: type",IF($K29="","Missing: status",IF(COUNTIF(Config!$L$15:$L$34,$C29)=0,"Unsupported type",IF(COUNTIF(Config!$M$15:$M$34,$K29)=0,"Unsupported status","OK"))))))))</f>
        <v/>
      </c>
    </row>
    <row r="30">
      <c r="A30" s="46" t="n"/>
      <c r="B30" s="46" t="n"/>
      <c r="C30" s="46" t="n"/>
      <c r="D30" s="46" t="n"/>
      <c r="E30" s="46" t="n"/>
      <c r="F30" s="46" t="n"/>
      <c r="G30" s="46" t="n"/>
      <c r="H30" s="48" t="n"/>
      <c r="I30" s="46" t="n"/>
      <c r="J30" s="46" t="n"/>
      <c r="K30" s="46" t="n"/>
      <c r="L30" s="46" t="n"/>
      <c r="M30" s="46" t="n"/>
      <c r="N30" s="52" t="str">
        <f>IF($A30="","",COUNTIF(Products!$F$2:$F$101,$A30))</f>
        <v/>
      </c>
      <c r="O30" s="52" t="str">
        <f>IF($A30="","",SUMIFS(Purchase_Orders!$O$2:$O$301,Purchase_Orders!$B$2:$B$301,$A30))</f>
        <v/>
      </c>
      <c r="P30" s="49" t="str">
        <f>IF(COUNTA($A30:$M30)=0,"",IF($A30="","Missing: supplier ID",IF(COUNTIF($A$2:$A$51,$A30)&gt;1,"Duplicate supplier ID",IF($B30="","Missing: name",IF($C30="","Missing: type",IF($K30="","Missing: status",IF(COUNTIF(Config!$L$15:$L$34,$C30)=0,"Unsupported type",IF(COUNTIF(Config!$M$15:$M$34,$K30)=0,"Unsupported status","OK"))))))))</f>
        <v/>
      </c>
    </row>
    <row r="31">
      <c r="A31" s="46" t="n"/>
      <c r="B31" s="46" t="n"/>
      <c r="C31" s="46" t="n"/>
      <c r="D31" s="46" t="n"/>
      <c r="E31" s="46" t="n"/>
      <c r="F31" s="46" t="n"/>
      <c r="G31" s="46" t="n"/>
      <c r="H31" s="48" t="n"/>
      <c r="I31" s="46" t="n"/>
      <c r="J31" s="46" t="n"/>
      <c r="K31" s="46" t="n"/>
      <c r="L31" s="46" t="n"/>
      <c r="M31" s="46" t="n"/>
      <c r="N31" s="52" t="str">
        <f>IF($A31="","",COUNTIF(Products!$F$2:$F$101,$A31))</f>
        <v/>
      </c>
      <c r="O31" s="52" t="str">
        <f>IF($A31="","",SUMIFS(Purchase_Orders!$O$2:$O$301,Purchase_Orders!$B$2:$B$301,$A31))</f>
        <v/>
      </c>
      <c r="P31" s="49" t="str">
        <f>IF(COUNTA($A31:$M31)=0,"",IF($A31="","Missing: supplier ID",IF(COUNTIF($A$2:$A$51,$A31)&gt;1,"Duplicate supplier ID",IF($B31="","Missing: name",IF($C31="","Missing: type",IF($K31="","Missing: status",IF(COUNTIF(Config!$L$15:$L$34,$C31)=0,"Unsupported type",IF(COUNTIF(Config!$M$15:$M$34,$K31)=0,"Unsupported status","OK"))))))))</f>
        <v/>
      </c>
    </row>
    <row r="32">
      <c r="A32" s="46" t="n"/>
      <c r="B32" s="46" t="n"/>
      <c r="C32" s="46" t="n"/>
      <c r="D32" s="46" t="n"/>
      <c r="E32" s="46" t="n"/>
      <c r="F32" s="46" t="n"/>
      <c r="G32" s="46" t="n"/>
      <c r="H32" s="48" t="n"/>
      <c r="I32" s="46" t="n"/>
      <c r="J32" s="46" t="n"/>
      <c r="K32" s="46" t="n"/>
      <c r="L32" s="46" t="n"/>
      <c r="M32" s="46" t="n"/>
      <c r="N32" s="52" t="str">
        <f>IF($A32="","",COUNTIF(Products!$F$2:$F$101,$A32))</f>
        <v/>
      </c>
      <c r="O32" s="52" t="str">
        <f>IF($A32="","",SUMIFS(Purchase_Orders!$O$2:$O$301,Purchase_Orders!$B$2:$B$301,$A32))</f>
        <v/>
      </c>
      <c r="P32" s="49" t="str">
        <f>IF(COUNTA($A32:$M32)=0,"",IF($A32="","Missing: supplier ID",IF(COUNTIF($A$2:$A$51,$A32)&gt;1,"Duplicate supplier ID",IF($B32="","Missing: name",IF($C32="","Missing: type",IF($K32="","Missing: status",IF(COUNTIF(Config!$L$15:$L$34,$C32)=0,"Unsupported type",IF(COUNTIF(Config!$M$15:$M$34,$K32)=0,"Unsupported status","OK"))))))))</f>
        <v/>
      </c>
    </row>
    <row r="33">
      <c r="A33" s="46" t="n"/>
      <c r="B33" s="46" t="n"/>
      <c r="C33" s="46" t="n"/>
      <c r="D33" s="46" t="n"/>
      <c r="E33" s="46" t="n"/>
      <c r="F33" s="46" t="n"/>
      <c r="G33" s="46" t="n"/>
      <c r="H33" s="48" t="n"/>
      <c r="I33" s="46" t="n"/>
      <c r="J33" s="46" t="n"/>
      <c r="K33" s="46" t="n"/>
      <c r="L33" s="46" t="n"/>
      <c r="M33" s="46" t="n"/>
      <c r="N33" s="52" t="str">
        <f>IF($A33="","",COUNTIF(Products!$F$2:$F$101,$A33))</f>
        <v/>
      </c>
      <c r="O33" s="52" t="str">
        <f>IF($A33="","",SUMIFS(Purchase_Orders!$O$2:$O$301,Purchase_Orders!$B$2:$B$301,$A33))</f>
        <v/>
      </c>
      <c r="P33" s="49" t="str">
        <f>IF(COUNTA($A33:$M33)=0,"",IF($A33="","Missing: supplier ID",IF(COUNTIF($A$2:$A$51,$A33)&gt;1,"Duplicate supplier ID",IF($B33="","Missing: name",IF($C33="","Missing: type",IF($K33="","Missing: status",IF(COUNTIF(Config!$L$15:$L$34,$C33)=0,"Unsupported type",IF(COUNTIF(Config!$M$15:$M$34,$K33)=0,"Unsupported status","OK"))))))))</f>
        <v/>
      </c>
    </row>
    <row r="34">
      <c r="A34" s="46" t="n"/>
      <c r="B34" s="46" t="n"/>
      <c r="C34" s="46" t="n"/>
      <c r="D34" s="46" t="n"/>
      <c r="E34" s="46" t="n"/>
      <c r="F34" s="46" t="n"/>
      <c r="G34" s="46" t="n"/>
      <c r="H34" s="48" t="n"/>
      <c r="I34" s="46" t="n"/>
      <c r="J34" s="46" t="n"/>
      <c r="K34" s="46" t="n"/>
      <c r="L34" s="46" t="n"/>
      <c r="M34" s="46" t="n"/>
      <c r="N34" s="52" t="str">
        <f>IF($A34="","",COUNTIF(Products!$F$2:$F$101,$A34))</f>
        <v/>
      </c>
      <c r="O34" s="52" t="str">
        <f>IF($A34="","",SUMIFS(Purchase_Orders!$O$2:$O$301,Purchase_Orders!$B$2:$B$301,$A34))</f>
        <v/>
      </c>
      <c r="P34" s="49" t="str">
        <f>IF(COUNTA($A34:$M34)=0,"",IF($A34="","Missing: supplier ID",IF(COUNTIF($A$2:$A$51,$A34)&gt;1,"Duplicate supplier ID",IF($B34="","Missing: name",IF($C34="","Missing: type",IF($K34="","Missing: status",IF(COUNTIF(Config!$L$15:$L$34,$C34)=0,"Unsupported type",IF(COUNTIF(Config!$M$15:$M$34,$K34)=0,"Unsupported status","OK"))))))))</f>
        <v/>
      </c>
    </row>
    <row r="35">
      <c r="A35" s="46" t="n"/>
      <c r="B35" s="46" t="n"/>
      <c r="C35" s="46" t="n"/>
      <c r="D35" s="46" t="n"/>
      <c r="E35" s="46" t="n"/>
      <c r="F35" s="46" t="n"/>
      <c r="G35" s="46" t="n"/>
      <c r="H35" s="48" t="n"/>
      <c r="I35" s="46" t="n"/>
      <c r="J35" s="46" t="n"/>
      <c r="K35" s="46" t="n"/>
      <c r="L35" s="46" t="n"/>
      <c r="M35" s="46" t="n"/>
      <c r="N35" s="52" t="str">
        <f>IF($A35="","",COUNTIF(Products!$F$2:$F$101,$A35))</f>
        <v/>
      </c>
      <c r="O35" s="52" t="str">
        <f>IF($A35="","",SUMIFS(Purchase_Orders!$O$2:$O$301,Purchase_Orders!$B$2:$B$301,$A35))</f>
        <v/>
      </c>
      <c r="P35" s="49" t="str">
        <f>IF(COUNTA($A35:$M35)=0,"",IF($A35="","Missing: supplier ID",IF(COUNTIF($A$2:$A$51,$A35)&gt;1,"Duplicate supplier ID",IF($B35="","Missing: name",IF($C35="","Missing: type",IF($K35="","Missing: status",IF(COUNTIF(Config!$L$15:$L$34,$C35)=0,"Unsupported type",IF(COUNTIF(Config!$M$15:$M$34,$K35)=0,"Unsupported status","OK"))))))))</f>
        <v/>
      </c>
    </row>
    <row r="36">
      <c r="A36" s="46" t="n"/>
      <c r="B36" s="46" t="n"/>
      <c r="C36" s="46" t="n"/>
      <c r="D36" s="46" t="n"/>
      <c r="E36" s="46" t="n"/>
      <c r="F36" s="46" t="n"/>
      <c r="G36" s="46" t="n"/>
      <c r="H36" s="48" t="n"/>
      <c r="I36" s="46" t="n"/>
      <c r="J36" s="46" t="n"/>
      <c r="K36" s="46" t="n"/>
      <c r="L36" s="46" t="n"/>
      <c r="M36" s="46" t="n"/>
      <c r="N36" s="52" t="str">
        <f>IF($A36="","",COUNTIF(Products!$F$2:$F$101,$A36))</f>
        <v/>
      </c>
      <c r="O36" s="52" t="str">
        <f>IF($A36="","",SUMIFS(Purchase_Orders!$O$2:$O$301,Purchase_Orders!$B$2:$B$301,$A36))</f>
        <v/>
      </c>
      <c r="P36" s="49" t="str">
        <f>IF(COUNTA($A36:$M36)=0,"",IF($A36="","Missing: supplier ID",IF(COUNTIF($A$2:$A$51,$A36)&gt;1,"Duplicate supplier ID",IF($B36="","Missing: name",IF($C36="","Missing: type",IF($K36="","Missing: status",IF(COUNTIF(Config!$L$15:$L$34,$C36)=0,"Unsupported type",IF(COUNTIF(Config!$M$15:$M$34,$K36)=0,"Unsupported status","OK"))))))))</f>
        <v/>
      </c>
    </row>
    <row r="37">
      <c r="A37" s="46" t="n"/>
      <c r="B37" s="46" t="n"/>
      <c r="C37" s="46" t="n"/>
      <c r="D37" s="46" t="n"/>
      <c r="E37" s="46" t="n"/>
      <c r="F37" s="46" t="n"/>
      <c r="G37" s="46" t="n"/>
      <c r="H37" s="48" t="n"/>
      <c r="I37" s="46" t="n"/>
      <c r="J37" s="46" t="n"/>
      <c r="K37" s="46" t="n"/>
      <c r="L37" s="46" t="n"/>
      <c r="M37" s="46" t="n"/>
      <c r="N37" s="52" t="str">
        <f>IF($A37="","",COUNTIF(Products!$F$2:$F$101,$A37))</f>
        <v/>
      </c>
      <c r="O37" s="52" t="str">
        <f>IF($A37="","",SUMIFS(Purchase_Orders!$O$2:$O$301,Purchase_Orders!$B$2:$B$301,$A37))</f>
        <v/>
      </c>
      <c r="P37" s="49" t="str">
        <f>IF(COUNTA($A37:$M37)=0,"",IF($A37="","Missing: supplier ID",IF(COUNTIF($A$2:$A$51,$A37)&gt;1,"Duplicate supplier ID",IF($B37="","Missing: name",IF($C37="","Missing: type",IF($K37="","Missing: status",IF(COUNTIF(Config!$L$15:$L$34,$C37)=0,"Unsupported type",IF(COUNTIF(Config!$M$15:$M$34,$K37)=0,"Unsupported status","OK"))))))))</f>
        <v/>
      </c>
    </row>
    <row r="38">
      <c r="A38" s="46" t="n"/>
      <c r="B38" s="46" t="n"/>
      <c r="C38" s="46" t="n"/>
      <c r="D38" s="46" t="n"/>
      <c r="E38" s="46" t="n"/>
      <c r="F38" s="46" t="n"/>
      <c r="G38" s="46" t="n"/>
      <c r="H38" s="48" t="n"/>
      <c r="I38" s="46" t="n"/>
      <c r="J38" s="46" t="n"/>
      <c r="K38" s="46" t="n"/>
      <c r="L38" s="46" t="n"/>
      <c r="M38" s="46" t="n"/>
      <c r="N38" s="52" t="str">
        <f>IF($A38="","",COUNTIF(Products!$F$2:$F$101,$A38))</f>
        <v/>
      </c>
      <c r="O38" s="52" t="str">
        <f>IF($A38="","",SUMIFS(Purchase_Orders!$O$2:$O$301,Purchase_Orders!$B$2:$B$301,$A38))</f>
        <v/>
      </c>
      <c r="P38" s="49" t="str">
        <f>IF(COUNTA($A38:$M38)=0,"",IF($A38="","Missing: supplier ID",IF(COUNTIF($A$2:$A$51,$A38)&gt;1,"Duplicate supplier ID",IF($B38="","Missing: name",IF($C38="","Missing: type",IF($K38="","Missing: status",IF(COUNTIF(Config!$L$15:$L$34,$C38)=0,"Unsupported type",IF(COUNTIF(Config!$M$15:$M$34,$K38)=0,"Unsupported status","OK"))))))))</f>
        <v/>
      </c>
    </row>
    <row r="39">
      <c r="A39" s="46" t="n"/>
      <c r="B39" s="46" t="n"/>
      <c r="C39" s="46" t="n"/>
      <c r="D39" s="46" t="n"/>
      <c r="E39" s="46" t="n"/>
      <c r="F39" s="46" t="n"/>
      <c r="G39" s="46" t="n"/>
      <c r="H39" s="48" t="n"/>
      <c r="I39" s="46" t="n"/>
      <c r="J39" s="46" t="n"/>
      <c r="K39" s="46" t="n"/>
      <c r="L39" s="46" t="n"/>
      <c r="M39" s="46" t="n"/>
      <c r="N39" s="52" t="str">
        <f>IF($A39="","",COUNTIF(Products!$F$2:$F$101,$A39))</f>
        <v/>
      </c>
      <c r="O39" s="52" t="str">
        <f>IF($A39="","",SUMIFS(Purchase_Orders!$O$2:$O$301,Purchase_Orders!$B$2:$B$301,$A39))</f>
        <v/>
      </c>
      <c r="P39" s="49" t="str">
        <f>IF(COUNTA($A39:$M39)=0,"",IF($A39="","Missing: supplier ID",IF(COUNTIF($A$2:$A$51,$A39)&gt;1,"Duplicate supplier ID",IF($B39="","Missing: name",IF($C39="","Missing: type",IF($K39="","Missing: status",IF(COUNTIF(Config!$L$15:$L$34,$C39)=0,"Unsupported type",IF(COUNTIF(Config!$M$15:$M$34,$K39)=0,"Unsupported status","OK"))))))))</f>
        <v/>
      </c>
    </row>
    <row r="40">
      <c r="A40" s="46" t="n"/>
      <c r="B40" s="46" t="n"/>
      <c r="C40" s="46" t="n"/>
      <c r="D40" s="46" t="n"/>
      <c r="E40" s="46" t="n"/>
      <c r="F40" s="46" t="n"/>
      <c r="G40" s="46" t="n"/>
      <c r="H40" s="48" t="n"/>
      <c r="I40" s="46" t="n"/>
      <c r="J40" s="46" t="n"/>
      <c r="K40" s="46" t="n"/>
      <c r="L40" s="46" t="n"/>
      <c r="M40" s="46" t="n"/>
      <c r="N40" s="52" t="str">
        <f>IF($A40="","",COUNTIF(Products!$F$2:$F$101,$A40))</f>
        <v/>
      </c>
      <c r="O40" s="52" t="str">
        <f>IF($A40="","",SUMIFS(Purchase_Orders!$O$2:$O$301,Purchase_Orders!$B$2:$B$301,$A40))</f>
        <v/>
      </c>
      <c r="P40" s="49" t="str">
        <f>IF(COUNTA($A40:$M40)=0,"",IF($A40="","Missing: supplier ID",IF(COUNTIF($A$2:$A$51,$A40)&gt;1,"Duplicate supplier ID",IF($B40="","Missing: name",IF($C40="","Missing: type",IF($K40="","Missing: status",IF(COUNTIF(Config!$L$15:$L$34,$C40)=0,"Unsupported type",IF(COUNTIF(Config!$M$15:$M$34,$K40)=0,"Unsupported status","OK"))))))))</f>
        <v/>
      </c>
    </row>
    <row r="41">
      <c r="A41" s="46" t="n"/>
      <c r="B41" s="46" t="n"/>
      <c r="C41" s="46" t="n"/>
      <c r="D41" s="46" t="n"/>
      <c r="E41" s="46" t="n"/>
      <c r="F41" s="46" t="n"/>
      <c r="G41" s="46" t="n"/>
      <c r="H41" s="48" t="n"/>
      <c r="I41" s="46" t="n"/>
      <c r="J41" s="46" t="n"/>
      <c r="K41" s="46" t="n"/>
      <c r="L41" s="46" t="n"/>
      <c r="M41" s="46" t="n"/>
      <c r="N41" s="52" t="str">
        <f>IF($A41="","",COUNTIF(Products!$F$2:$F$101,$A41))</f>
        <v/>
      </c>
      <c r="O41" s="52" t="str">
        <f>IF($A41="","",SUMIFS(Purchase_Orders!$O$2:$O$301,Purchase_Orders!$B$2:$B$301,$A41))</f>
        <v/>
      </c>
      <c r="P41" s="49" t="str">
        <f>IF(COUNTA($A41:$M41)=0,"",IF($A41="","Missing: supplier ID",IF(COUNTIF($A$2:$A$51,$A41)&gt;1,"Duplicate supplier ID",IF($B41="","Missing: name",IF($C41="","Missing: type",IF($K41="","Missing: status",IF(COUNTIF(Config!$L$15:$L$34,$C41)=0,"Unsupported type",IF(COUNTIF(Config!$M$15:$M$34,$K41)=0,"Unsupported status","OK"))))))))</f>
        <v/>
      </c>
    </row>
    <row r="42">
      <c r="A42" s="46" t="n"/>
      <c r="B42" s="46" t="n"/>
      <c r="C42" s="46" t="n"/>
      <c r="D42" s="46" t="n"/>
      <c r="E42" s="46" t="n"/>
      <c r="F42" s="46" t="n"/>
      <c r="G42" s="46" t="n"/>
      <c r="H42" s="48" t="n"/>
      <c r="I42" s="46" t="n"/>
      <c r="J42" s="46" t="n"/>
      <c r="K42" s="46" t="n"/>
      <c r="L42" s="46" t="n"/>
      <c r="M42" s="46" t="n"/>
      <c r="N42" s="52" t="str">
        <f>IF($A42="","",COUNTIF(Products!$F$2:$F$101,$A42))</f>
        <v/>
      </c>
      <c r="O42" s="52" t="str">
        <f>IF($A42="","",SUMIFS(Purchase_Orders!$O$2:$O$301,Purchase_Orders!$B$2:$B$301,$A42))</f>
        <v/>
      </c>
      <c r="P42" s="49" t="str">
        <f>IF(COUNTA($A42:$M42)=0,"",IF($A42="","Missing: supplier ID",IF(COUNTIF($A$2:$A$51,$A42)&gt;1,"Duplicate supplier ID",IF($B42="","Missing: name",IF($C42="","Missing: type",IF($K42="","Missing: status",IF(COUNTIF(Config!$L$15:$L$34,$C42)=0,"Unsupported type",IF(COUNTIF(Config!$M$15:$M$34,$K42)=0,"Unsupported status","OK"))))))))</f>
        <v/>
      </c>
    </row>
    <row r="43">
      <c r="A43" s="46" t="n"/>
      <c r="B43" s="46" t="n"/>
      <c r="C43" s="46" t="n"/>
      <c r="D43" s="46" t="n"/>
      <c r="E43" s="46" t="n"/>
      <c r="F43" s="46" t="n"/>
      <c r="G43" s="46" t="n"/>
      <c r="H43" s="48" t="n"/>
      <c r="I43" s="46" t="n"/>
      <c r="J43" s="46" t="n"/>
      <c r="K43" s="46" t="n"/>
      <c r="L43" s="46" t="n"/>
      <c r="M43" s="46" t="n"/>
      <c r="N43" s="52" t="str">
        <f>IF($A43="","",COUNTIF(Products!$F$2:$F$101,$A43))</f>
        <v/>
      </c>
      <c r="O43" s="52" t="str">
        <f>IF($A43="","",SUMIFS(Purchase_Orders!$O$2:$O$301,Purchase_Orders!$B$2:$B$301,$A43))</f>
        <v/>
      </c>
      <c r="P43" s="49" t="str">
        <f>IF(COUNTA($A43:$M43)=0,"",IF($A43="","Missing: supplier ID",IF(COUNTIF($A$2:$A$51,$A43)&gt;1,"Duplicate supplier ID",IF($B43="","Missing: name",IF($C43="","Missing: type",IF($K43="","Missing: status",IF(COUNTIF(Config!$L$15:$L$34,$C43)=0,"Unsupported type",IF(COUNTIF(Config!$M$15:$M$34,$K43)=0,"Unsupported status","OK"))))))))</f>
        <v/>
      </c>
    </row>
    <row r="44">
      <c r="A44" s="46" t="n"/>
      <c r="B44" s="46" t="n"/>
      <c r="C44" s="46" t="n"/>
      <c r="D44" s="46" t="n"/>
      <c r="E44" s="46" t="n"/>
      <c r="F44" s="46" t="n"/>
      <c r="G44" s="46" t="n"/>
      <c r="H44" s="48" t="n"/>
      <c r="I44" s="46" t="n"/>
      <c r="J44" s="46" t="n"/>
      <c r="K44" s="46" t="n"/>
      <c r="L44" s="46" t="n"/>
      <c r="M44" s="46" t="n"/>
      <c r="N44" s="52" t="str">
        <f>IF($A44="","",COUNTIF(Products!$F$2:$F$101,$A44))</f>
        <v/>
      </c>
      <c r="O44" s="52" t="str">
        <f>IF($A44="","",SUMIFS(Purchase_Orders!$O$2:$O$301,Purchase_Orders!$B$2:$B$301,$A44))</f>
        <v/>
      </c>
      <c r="P44" s="49" t="str">
        <f>IF(COUNTA($A44:$M44)=0,"",IF($A44="","Missing: supplier ID",IF(COUNTIF($A$2:$A$51,$A44)&gt;1,"Duplicate supplier ID",IF($B44="","Missing: name",IF($C44="","Missing: type",IF($K44="","Missing: status",IF(COUNTIF(Config!$L$15:$L$34,$C44)=0,"Unsupported type",IF(COUNTIF(Config!$M$15:$M$34,$K44)=0,"Unsupported status","OK"))))))))</f>
        <v/>
      </c>
    </row>
    <row r="45">
      <c r="A45" s="46" t="n"/>
      <c r="B45" s="46" t="n"/>
      <c r="C45" s="46" t="n"/>
      <c r="D45" s="46" t="n"/>
      <c r="E45" s="46" t="n"/>
      <c r="F45" s="46" t="n"/>
      <c r="G45" s="46" t="n"/>
      <c r="H45" s="48" t="n"/>
      <c r="I45" s="46" t="n"/>
      <c r="J45" s="46" t="n"/>
      <c r="K45" s="46" t="n"/>
      <c r="L45" s="46" t="n"/>
      <c r="M45" s="46" t="n"/>
      <c r="N45" s="52" t="str">
        <f>IF($A45="","",COUNTIF(Products!$F$2:$F$101,$A45))</f>
        <v/>
      </c>
      <c r="O45" s="52" t="str">
        <f>IF($A45="","",SUMIFS(Purchase_Orders!$O$2:$O$301,Purchase_Orders!$B$2:$B$301,$A45))</f>
        <v/>
      </c>
      <c r="P45" s="49" t="str">
        <f>IF(COUNTA($A45:$M45)=0,"",IF($A45="","Missing: supplier ID",IF(COUNTIF($A$2:$A$51,$A45)&gt;1,"Duplicate supplier ID",IF($B45="","Missing: name",IF($C45="","Missing: type",IF($K45="","Missing: status",IF(COUNTIF(Config!$L$15:$L$34,$C45)=0,"Unsupported type",IF(COUNTIF(Config!$M$15:$M$34,$K45)=0,"Unsupported status","OK"))))))))</f>
        <v/>
      </c>
    </row>
    <row r="46">
      <c r="A46" s="46" t="n"/>
      <c r="B46" s="46" t="n"/>
      <c r="C46" s="46" t="n"/>
      <c r="D46" s="46" t="n"/>
      <c r="E46" s="46" t="n"/>
      <c r="F46" s="46" t="n"/>
      <c r="G46" s="46" t="n"/>
      <c r="H46" s="48" t="n"/>
      <c r="I46" s="46" t="n"/>
      <c r="J46" s="46" t="n"/>
      <c r="K46" s="46" t="n"/>
      <c r="L46" s="46" t="n"/>
      <c r="M46" s="46" t="n"/>
      <c r="N46" s="52" t="str">
        <f>IF($A46="","",COUNTIF(Products!$F$2:$F$101,$A46))</f>
        <v/>
      </c>
      <c r="O46" s="52" t="str">
        <f>IF($A46="","",SUMIFS(Purchase_Orders!$O$2:$O$301,Purchase_Orders!$B$2:$B$301,$A46))</f>
        <v/>
      </c>
      <c r="P46" s="49" t="str">
        <f>IF(COUNTA($A46:$M46)=0,"",IF($A46="","Missing: supplier ID",IF(COUNTIF($A$2:$A$51,$A46)&gt;1,"Duplicate supplier ID",IF($B46="","Missing: name",IF($C46="","Missing: type",IF($K46="","Missing: status",IF(COUNTIF(Config!$L$15:$L$34,$C46)=0,"Unsupported type",IF(COUNTIF(Config!$M$15:$M$34,$K46)=0,"Unsupported status","OK"))))))))</f>
        <v/>
      </c>
    </row>
    <row r="47">
      <c r="A47" s="46" t="n"/>
      <c r="B47" s="46" t="n"/>
      <c r="C47" s="46" t="n"/>
      <c r="D47" s="46" t="n"/>
      <c r="E47" s="46" t="n"/>
      <c r="F47" s="46" t="n"/>
      <c r="G47" s="46" t="n"/>
      <c r="H47" s="48" t="n"/>
      <c r="I47" s="46" t="n"/>
      <c r="J47" s="46" t="n"/>
      <c r="K47" s="46" t="n"/>
      <c r="L47" s="46" t="n"/>
      <c r="M47" s="46" t="n"/>
      <c r="N47" s="52" t="str">
        <f>IF($A47="","",COUNTIF(Products!$F$2:$F$101,$A47))</f>
        <v/>
      </c>
      <c r="O47" s="52" t="str">
        <f>IF($A47="","",SUMIFS(Purchase_Orders!$O$2:$O$301,Purchase_Orders!$B$2:$B$301,$A47))</f>
        <v/>
      </c>
      <c r="P47" s="49" t="str">
        <f>IF(COUNTA($A47:$M47)=0,"",IF($A47="","Missing: supplier ID",IF(COUNTIF($A$2:$A$51,$A47)&gt;1,"Duplicate supplier ID",IF($B47="","Missing: name",IF($C47="","Missing: type",IF($K47="","Missing: status",IF(COUNTIF(Config!$L$15:$L$34,$C47)=0,"Unsupported type",IF(COUNTIF(Config!$M$15:$M$34,$K47)=0,"Unsupported status","OK"))))))))</f>
        <v/>
      </c>
    </row>
    <row r="48">
      <c r="A48" s="46" t="n"/>
      <c r="B48" s="46" t="n"/>
      <c r="C48" s="46" t="n"/>
      <c r="D48" s="46" t="n"/>
      <c r="E48" s="46" t="n"/>
      <c r="F48" s="46" t="n"/>
      <c r="G48" s="46" t="n"/>
      <c r="H48" s="48" t="n"/>
      <c r="I48" s="46" t="n"/>
      <c r="J48" s="46" t="n"/>
      <c r="K48" s="46" t="n"/>
      <c r="L48" s="46" t="n"/>
      <c r="M48" s="46" t="n"/>
      <c r="N48" s="52" t="str">
        <f>IF($A48="","",COUNTIF(Products!$F$2:$F$101,$A48))</f>
        <v/>
      </c>
      <c r="O48" s="52" t="str">
        <f>IF($A48="","",SUMIFS(Purchase_Orders!$O$2:$O$301,Purchase_Orders!$B$2:$B$301,$A48))</f>
        <v/>
      </c>
      <c r="P48" s="49" t="str">
        <f>IF(COUNTA($A48:$M48)=0,"",IF($A48="","Missing: supplier ID",IF(COUNTIF($A$2:$A$51,$A48)&gt;1,"Duplicate supplier ID",IF($B48="","Missing: name",IF($C48="","Missing: type",IF($K48="","Missing: status",IF(COUNTIF(Config!$L$15:$L$34,$C48)=0,"Unsupported type",IF(COUNTIF(Config!$M$15:$M$34,$K48)=0,"Unsupported status","OK"))))))))</f>
        <v/>
      </c>
    </row>
    <row r="49">
      <c r="A49" s="46" t="n"/>
      <c r="B49" s="46" t="n"/>
      <c r="C49" s="46" t="n"/>
      <c r="D49" s="46" t="n"/>
      <c r="E49" s="46" t="n"/>
      <c r="F49" s="46" t="n"/>
      <c r="G49" s="46" t="n"/>
      <c r="H49" s="48" t="n"/>
      <c r="I49" s="46" t="n"/>
      <c r="J49" s="46" t="n"/>
      <c r="K49" s="46" t="n"/>
      <c r="L49" s="46" t="n"/>
      <c r="M49" s="46" t="n"/>
      <c r="N49" s="52" t="str">
        <f>IF($A49="","",COUNTIF(Products!$F$2:$F$101,$A49))</f>
        <v/>
      </c>
      <c r="O49" s="52" t="str">
        <f>IF($A49="","",SUMIFS(Purchase_Orders!$O$2:$O$301,Purchase_Orders!$B$2:$B$301,$A49))</f>
        <v/>
      </c>
      <c r="P49" s="49" t="str">
        <f>IF(COUNTA($A49:$M49)=0,"",IF($A49="","Missing: supplier ID",IF(COUNTIF($A$2:$A$51,$A49)&gt;1,"Duplicate supplier ID",IF($B49="","Missing: name",IF($C49="","Missing: type",IF($K49="","Missing: status",IF(COUNTIF(Config!$L$15:$L$34,$C49)=0,"Unsupported type",IF(COUNTIF(Config!$M$15:$M$34,$K49)=0,"Unsupported status","OK"))))))))</f>
        <v/>
      </c>
    </row>
    <row r="50">
      <c r="A50" s="46" t="n"/>
      <c r="B50" s="46" t="n"/>
      <c r="C50" s="46" t="n"/>
      <c r="D50" s="46" t="n"/>
      <c r="E50" s="46" t="n"/>
      <c r="F50" s="46" t="n"/>
      <c r="G50" s="46" t="n"/>
      <c r="H50" s="48" t="n"/>
      <c r="I50" s="46" t="n"/>
      <c r="J50" s="46" t="n"/>
      <c r="K50" s="46" t="n"/>
      <c r="L50" s="46" t="n"/>
      <c r="M50" s="46" t="n"/>
      <c r="N50" s="52" t="str">
        <f>IF($A50="","",COUNTIF(Products!$F$2:$F$101,$A50))</f>
        <v/>
      </c>
      <c r="O50" s="52" t="str">
        <f>IF($A50="","",SUMIFS(Purchase_Orders!$O$2:$O$301,Purchase_Orders!$B$2:$B$301,$A50))</f>
        <v/>
      </c>
      <c r="P50" s="49" t="str">
        <f>IF(COUNTA($A50:$M50)=0,"",IF($A50="","Missing: supplier ID",IF(COUNTIF($A$2:$A$51,$A50)&gt;1,"Duplicate supplier ID",IF($B50="","Missing: name",IF($C50="","Missing: type",IF($K50="","Missing: status",IF(COUNTIF(Config!$L$15:$L$34,$C50)=0,"Unsupported type",IF(COUNTIF(Config!$M$15:$M$34,$K50)=0,"Unsupported status","OK"))))))))</f>
        <v/>
      </c>
    </row>
    <row r="51">
      <c r="A51" s="46" t="n"/>
      <c r="B51" s="46" t="n"/>
      <c r="C51" s="46" t="n"/>
      <c r="D51" s="46" t="n"/>
      <c r="E51" s="46" t="n"/>
      <c r="F51" s="46" t="n"/>
      <c r="G51" s="46" t="n"/>
      <c r="H51" s="48" t="n"/>
      <c r="I51" s="46" t="n"/>
      <c r="J51" s="46" t="n"/>
      <c r="K51" s="46" t="n"/>
      <c r="L51" s="46" t="n"/>
      <c r="M51" s="46" t="n"/>
      <c r="N51" s="52" t="str">
        <f>IF($A51="","",COUNTIF(Products!$F$2:$F$101,$A51))</f>
        <v/>
      </c>
      <c r="O51" s="52" t="str">
        <f>IF($A51="","",SUMIFS(Purchase_Orders!$O$2:$O$301,Purchase_Orders!$B$2:$B$301,$A51))</f>
        <v/>
      </c>
      <c r="P51" s="49" t="str">
        <f>IF(COUNTA($A51:$M51)=0,"",IF($A51="","Missing: supplier ID",IF(COUNTIF($A$2:$A$51,$A51)&gt;1,"Duplicate supplier ID",IF($B51="","Missing: name",IF($C51="","Missing: type",IF($K51="","Missing: status",IF(COUNTIF(Config!$L$15:$L$34,$C51)=0,"Unsupported type",IF(COUNTIF(Config!$M$15:$M$34,$K51)=0,"Unsupported status","OK"))))))))</f>
        <v/>
      </c>
    </row>
  </sheetData>
  <sheetProtection selectLockedCells="0" selectUnlockedCells="0" sheet="1" objects="0" insertRows="1" insertHyperlinks="1" autoFilter="0" scenarios="0" formatColumns="0" deleteColumns="1" insertColumns="1" pivotTables="1" deleteRows="1" formatCells="1" formatRows="0" sort="0"/>
  <autoFilter ref="A1:P51"/>
  <conditionalFormatting sqref="P2:P51">
    <cfRule type="expression" priority="1" dxfId="4">
      <formula>AND($P2&lt;&gt;"",$P2&lt;&gt;"OK")</formula>
    </cfRule>
  </conditionalFormatting>
  <dataValidations count="4">
    <dataValidation sqref="A2:A51" showDropDown="0" showInputMessage="1" showErrorMessage="1" allowBlank="1" errorTitle="Duplicate ID" error="This ID is already used in this sheet. IDs must be unique." promptTitle="Supplier ID" prompt="Required. Must be unique in this sheet." type="custom">
      <formula1>COUNTIF($A$2:$A$51,A2)&lt;=1</formula1>
    </dataValidation>
    <dataValidation sqref="C2:C51" showDropDown="0" showInputMessage="1" showErrorMessage="1" allowBlank="1" errorTitle="Not in the list" error="Pick a value from the dropdown list." promptTitle="Type" prompt="Required. Pick from the list." type="list">
      <formula1>Config!$L$15:$L$34</formula1>
    </dataValidation>
    <dataValidation sqref="H2:H51" showDropDown="0" showInputMessage="1" showErrorMessage="1" allowBlank="1" errorTitle="Whole number needed" error="Enter a whole number of 0 or more." promptTitle="Lead time (days)" prompt="Optional. Whole number." type="whole" operator="between">
      <formula1>0</formula1>
      <formula2>10000000</formula2>
    </dataValidation>
    <dataValidation sqref="K2:K51" showDropDown="0" showInputMessage="1" showErrorMessage="1" allowBlank="1" errorTitle="Not in the list" error="Pick a value from the dropdown list." promptTitle="Status" prompt="Required. Pick from the list." type="list">
      <formula1>Config!$M$15:$M$34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1F3A5F"/>
    <outlinePr summaryBelow="1" summaryRight="1"/>
    <pageSetUpPr/>
  </sheetPr>
  <dimension ref="A1:T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4" customWidth="1" min="3" max="3"/>
    <col width="9" customWidth="1" min="4" max="4"/>
    <col width="9" customWidth="1" min="5" max="5"/>
    <col width="11" customWidth="1" min="6" max="6"/>
    <col width="11" customWidth="1" min="7" max="7"/>
    <col width="15" customWidth="1" min="8" max="8"/>
    <col width="34" customWidth="1" min="9" max="9"/>
    <col width="34" customWidth="1" min="10" max="10"/>
    <col width="24" customWidth="1" min="11" max="11"/>
    <col width="32" customWidth="1" min="12" max="12"/>
    <col width="10" customWidth="1" min="13" max="13"/>
    <col width="10" customWidth="1" min="14" max="14"/>
    <col width="7" customWidth="1" min="15" max="15"/>
    <col width="8" customWidth="1" min="16" max="16"/>
    <col width="7" customWidth="1" min="17" max="17"/>
    <col width="11" customWidth="1" min="18" max="18"/>
    <col width="32" customWidth="1" min="19" max="19"/>
    <col width="7" customWidth="1" min="20" max="20"/>
  </cols>
  <sheetData>
    <row r="1" ht="42" customHeight="1">
      <c r="A1" s="41" t="inlineStr">
        <is>
          <t>PO ID *</t>
        </is>
      </c>
      <c r="B1" s="41" t="inlineStr">
        <is>
          <t>Supplier ID *</t>
        </is>
      </c>
      <c r="C1" s="41" t="inlineStr">
        <is>
          <t>SKU *</t>
        </is>
      </c>
      <c r="D1" s="41" t="inlineStr">
        <is>
          <t>Qty ordered *</t>
        </is>
      </c>
      <c r="E1" s="41" t="inlineStr">
        <is>
          <t>Unit cost (USD)</t>
        </is>
      </c>
      <c r="F1" s="41" t="inlineStr">
        <is>
          <t>Order date *</t>
        </is>
      </c>
      <c r="G1" s="41" t="inlineStr">
        <is>
          <t>Expected date *</t>
        </is>
      </c>
      <c r="H1" s="41" t="inlineStr">
        <is>
          <t>Status *</t>
        </is>
      </c>
      <c r="I1" s="41" t="inlineStr">
        <is>
          <t>Source link *</t>
        </is>
      </c>
      <c r="J1" s="41" t="inlineStr">
        <is>
          <t>Notes</t>
        </is>
      </c>
      <c r="K1" s="23" t="inlineStr">
        <is>
          <t>Supplier name</t>
        </is>
      </c>
      <c r="L1" s="23" t="inlineStr">
        <is>
          <t>Product name</t>
        </is>
      </c>
      <c r="M1" s="23" t="inlineStr">
        <is>
          <t>Received qty (ledger)</t>
        </is>
      </c>
      <c r="N1" s="23" t="inlineStr">
        <is>
          <t>Outstanding qty</t>
        </is>
      </c>
      <c r="O1" s="23" t="inlineStr">
        <is>
          <t>Open (1 = yes)</t>
        </is>
      </c>
      <c r="P1" s="23" t="inlineStr">
        <is>
          <t>Overdue (1 = yes)</t>
        </is>
      </c>
      <c r="Q1" s="23" t="inlineStr">
        <is>
          <t>Days late</t>
        </is>
      </c>
      <c r="R1" s="23" t="inlineStr">
        <is>
          <t>PO value (USD)</t>
        </is>
      </c>
      <c r="S1" s="23" t="inlineStr">
        <is>
          <t>Record check</t>
        </is>
      </c>
      <c r="T1" s="45" t="inlineStr">
        <is>
          <t>List order</t>
        </is>
      </c>
    </row>
    <row r="2">
      <c r="A2" s="46" t="inlineStr">
        <is>
          <t>PO-2026-018</t>
        </is>
      </c>
      <c r="B2" s="46" t="inlineStr">
        <is>
          <t>SUP-01</t>
        </is>
      </c>
      <c r="C2" s="46" t="inlineStr">
        <is>
          <t>WPI-CHO-2LB</t>
        </is>
      </c>
      <c r="D2" s="48" t="n">
        <v>1500</v>
      </c>
      <c r="E2" s="47" t="n">
        <v>18.4</v>
      </c>
      <c r="F2" s="54" t="n">
        <v>46185</v>
      </c>
      <c r="G2" s="54" t="n">
        <v>46225</v>
      </c>
      <c r="H2" s="46" t="inlineStr">
        <is>
          <t>Received</t>
        </is>
      </c>
      <c r="I2" s="46" t="inlineStr">
        <is>
          <t>https://example.com/purchasing/PO-2026-018</t>
        </is>
      </c>
      <c r="J2" s="46" t="inlineStr">
        <is>
          <t>Arrived 2026-07-24</t>
        </is>
      </c>
      <c r="K2" s="49" t="str">
        <f>IF($A2="","",IFERROR(INDEX(Suppliers!$B$2:$B$51,MATCH($B2,Suppliers!$A$2:$A$51,0))&amp;"","(not found)"))</f>
        <v>Alder Creek Dairy Proteins</v>
      </c>
      <c r="L2" s="49" t="str">
        <f>IF($A2="","",IFERROR(INDEX(Products!$B$2:$B$101,MATCH($C2,Products!$A$2:$A$101,0))&amp;"","(not found)"))</f>
        <v>Whey Protein Isolate, Chocolate, 2 lb</v>
      </c>
      <c r="M2" s="50">
        <f>IF($A2="","",SUMIFS(Inventory_Ledger!$E$2:$E$2001,Inventory_Ledger!$H$2:$H$2001,$A2,Inventory_Ledger!$C$2:$C$2001,"Receipt",Inventory_Ledger!$D$2:$D$2001,$C2))</f>
        <v>1500</v>
      </c>
      <c r="N2" s="50">
        <f>IF($A2="","",IF(IFERROR(INDEX(Config!$D$15:$D$34,MATCH($H2,Config!$C$15:$C$34,0)),"No")="Yes",MAX(0,IF(ISNUMBER($D2),$D2,0)-$M2),0))</f>
        <v>0</v>
      </c>
      <c r="O2" s="52">
        <f>IF($A2="","",IF($N2&gt;0,1,0))</f>
        <v>0</v>
      </c>
      <c r="P2" s="52">
        <f>IF($A2="","",IF(AND($O2=1,ISNUMBER($G2)),IF($G2&lt;Config!$B$4,1,0),0))</f>
        <v>0</v>
      </c>
      <c r="Q2" s="52">
        <f>IF($A2="","",IF($P2=1,Config!$B$4-$G2,0))</f>
        <v>0</v>
      </c>
      <c r="R2" s="53">
        <f>IF($A2="","",IF(AND(ISNUMBER($D2),ISNUMBER($E2)),$D2*$E2,""))</f>
        <v>27600</v>
      </c>
      <c r="S2" s="49" t="str">
        <f>IF(COUNTA($A2:$J2)=0,"",IF($A2="","Missing: PO ID",IF(COUNTIF($A$2:$A$301,$A2)&gt;1,"Duplicate PO ID",IF($B2="","Missing: supplier",IF($C2="","Missing: SKU",IF(NOT(ISNUMBER($D2)),"Missing: qty",IF(NOT(ISNUMBER($F2)),"Missing: order date",IF(NOT(ISNUMBER($G2)),"Missing: expected date",IF($H2="","Missing: status",IF($I2="","Missing: source link",IF(COUNTIF(Suppliers!$A$2:$A$51,$B2)=0,"Unknown supplier",IF(COUNTIF(Products!$A$2:$A$101,$C2)=0,"Unknown SKU",IF(COUNTIF(Config!$C$15:$C$34,$H2)=0,"Unsupported status",IF($D2&lt;=0,"Qty must be above 0",IF($G2&lt;$F2,"Expected date before order date",IF($M2&gt;$D2,"Received more than ordered",IF(AND($H2="Received",$M2&lt;$D2),"Status Received but not fully received",IF(AND(IFERROR(INDEX(Config!$D$15:$D$34,MATCH($H2,Config!$C$15:$C$34,0)),"No")="Yes",$M2&gt;=$D2),"Fully received: update status","OK"))))))))))))))))))</f>
        <v>OK</v>
      </c>
      <c r="T2" s="52" t="str">
        <f>IF($O2=1,IFERROR(COUNTIFS($O$2:$O$301,1,$G$2:$G$301,"&lt;"&amp;$G2)+COUNTIFS($O$2:$O2,1,$G$2:$G2,$G2),""),"")</f>
        <v/>
      </c>
    </row>
    <row r="3">
      <c r="A3" s="46" t="inlineStr">
        <is>
          <t>PO-2026-021</t>
        </is>
      </c>
      <c r="B3" s="46" t="inlineStr">
        <is>
          <t>SUP-02</t>
        </is>
      </c>
      <c r="C3" s="46" t="inlineStr">
        <is>
          <t>BAR-PBC-12</t>
        </is>
      </c>
      <c r="D3" s="48" t="n">
        <v>2400</v>
      </c>
      <c r="E3" s="47" t="n">
        <v>11.2</v>
      </c>
      <c r="F3" s="54" t="n">
        <v>46211</v>
      </c>
      <c r="G3" s="54" t="n">
        <v>46244</v>
      </c>
      <c r="H3" s="46" t="inlineStr">
        <is>
          <t>Received</t>
        </is>
      </c>
      <c r="I3" s="46" t="inlineStr">
        <is>
          <t>https://example.com/purchasing/PO-2026-021</t>
        </is>
      </c>
      <c r="J3" s="46" t="inlineStr">
        <is>
          <t>Arrived 2026-08-12</t>
        </is>
      </c>
      <c r="K3" s="49" t="str">
        <f>IF($A3="","",IFERROR(INDEX(Suppliers!$B$2:$B$51,MATCH($B3,Suppliers!$A$2:$A$51,0))&amp;"","(not found)"))</f>
        <v>Bramwell Bar Works</v>
      </c>
      <c r="L3" s="49" t="str">
        <f>IF($A3="","",IFERROR(INDEX(Products!$B$2:$B$101,MATCH($C3,Products!$A$2:$A$101,0))&amp;"","(not found)"))</f>
        <v>Protein Bar, Peanut Butter Chocolate, 12-pack</v>
      </c>
      <c r="M3" s="50">
        <f>IF($A3="","",SUMIFS(Inventory_Ledger!$E$2:$E$2001,Inventory_Ledger!$H$2:$H$2001,$A3,Inventory_Ledger!$C$2:$C$2001,"Receipt",Inventory_Ledger!$D$2:$D$2001,$C3))</f>
        <v>2400</v>
      </c>
      <c r="N3" s="50">
        <f>IF($A3="","",IF(IFERROR(INDEX(Config!$D$15:$D$34,MATCH($H3,Config!$C$15:$C$34,0)),"No")="Yes",MAX(0,IF(ISNUMBER($D3),$D3,0)-$M3),0))</f>
        <v>0</v>
      </c>
      <c r="O3" s="52">
        <f>IF($A3="","",IF($N3&gt;0,1,0))</f>
        <v>0</v>
      </c>
      <c r="P3" s="52">
        <f>IF($A3="","",IF(AND($O3=1,ISNUMBER($G3)),IF($G3&lt;Config!$B$4,1,0),0))</f>
        <v>0</v>
      </c>
      <c r="Q3" s="52">
        <f>IF($A3="","",IF($P3=1,Config!$B$4-$G3,0))</f>
        <v>0</v>
      </c>
      <c r="R3" s="53">
        <f>IF($A3="","",IF(AND(ISNUMBER($D3),ISNUMBER($E3)),$D3*$E3,""))</f>
        <v>26880</v>
      </c>
      <c r="S3" s="49" t="str">
        <f>IF(COUNTA($A3:$J3)=0,"",IF($A3="","Missing: PO ID",IF(COUNTIF($A$2:$A$301,$A3)&gt;1,"Duplicate PO ID",IF($B3="","Missing: supplier",IF($C3="","Missing: SKU",IF(NOT(ISNUMBER($D3)),"Missing: qty",IF(NOT(ISNUMBER($F3)),"Missing: order date",IF(NOT(ISNUMBER($G3)),"Missing: expected date",IF($H3="","Missing: status",IF($I3="","Missing: source link",IF(COUNTIF(Suppliers!$A$2:$A$51,$B3)=0,"Unknown supplier",IF(COUNTIF(Products!$A$2:$A$101,$C3)=0,"Unknown SKU",IF(COUNTIF(Config!$C$15:$C$34,$H3)=0,"Unsupported status",IF($D3&lt;=0,"Qty must be above 0",IF($G3&lt;$F3,"Expected date before order date",IF($M3&gt;$D3,"Received more than ordered",IF(AND($H3="Received",$M3&lt;$D3),"Status Received but not fully received",IF(AND(IFERROR(INDEX(Config!$D$15:$D$34,MATCH($H3,Config!$C$15:$C$34,0)),"No")="Yes",$M3&gt;=$D3),"Fully received: update status","OK"))))))))))))))))))</f>
        <v>OK</v>
      </c>
      <c r="T3" s="52" t="str">
        <f>IF($O3=1,IFERROR(COUNTIFS($O$2:$O$301,1,$G$2:$G$301,"&lt;"&amp;$G3)+COUNTIFS($O$2:$O3,1,$G$2:$G3,$G3),""),"")</f>
        <v/>
      </c>
    </row>
    <row r="4">
      <c r="A4" s="46" t="inlineStr">
        <is>
          <t>PO-2026-022</t>
        </is>
      </c>
      <c r="B4" s="46" t="inlineStr">
        <is>
          <t>SUP-04</t>
        </is>
      </c>
      <c r="C4" s="46" t="inlineStr">
        <is>
          <t>CRE-UNF-300G</t>
        </is>
      </c>
      <c r="D4" s="48" t="n">
        <v>1000</v>
      </c>
      <c r="E4" s="47" t="n">
        <v>6.9</v>
      </c>
      <c r="F4" s="54" t="n">
        <v>46223</v>
      </c>
      <c r="G4" s="54" t="n">
        <v>46261</v>
      </c>
      <c r="H4" s="46" t="inlineStr">
        <is>
          <t>Received</t>
        </is>
      </c>
      <c r="I4" s="46" t="inlineStr">
        <is>
          <t>https://example.com/purchasing/PO-2026-022</t>
        </is>
      </c>
      <c r="J4" s="46" t="inlineStr">
        <is>
          <t>Arrived 2026-08-28</t>
        </is>
      </c>
      <c r="K4" s="49" t="str">
        <f>IF($A4="","",IFERROR(INDEX(Suppliers!$B$2:$B$51,MATCH($B4,Suppliers!$A$2:$A$51,0))&amp;"","(not found)"))</f>
        <v>Dunmore Powder Labs</v>
      </c>
      <c r="L4" s="49" t="str">
        <f>IF($A4="","",IFERROR(INDEX(Products!$B$2:$B$101,MATCH($C4,Products!$A$2:$A$101,0))&amp;"","(not found)"))</f>
        <v>Creatine Monohydrate, Unflavoured, 300 g</v>
      </c>
      <c r="M4" s="50">
        <f>IF($A4="","",SUMIFS(Inventory_Ledger!$E$2:$E$2001,Inventory_Ledger!$H$2:$H$2001,$A4,Inventory_Ledger!$C$2:$C$2001,"Receipt",Inventory_Ledger!$D$2:$D$2001,$C4))</f>
        <v>1000</v>
      </c>
      <c r="N4" s="50">
        <f>IF($A4="","",IF(IFERROR(INDEX(Config!$D$15:$D$34,MATCH($H4,Config!$C$15:$C$34,0)),"No")="Yes",MAX(0,IF(ISNUMBER($D4),$D4,0)-$M4),0))</f>
        <v>0</v>
      </c>
      <c r="O4" s="52">
        <f>IF($A4="","",IF($N4&gt;0,1,0))</f>
        <v>0</v>
      </c>
      <c r="P4" s="52">
        <f>IF($A4="","",IF(AND($O4=1,ISNUMBER($G4)),IF($G4&lt;Config!$B$4,1,0),0))</f>
        <v>0</v>
      </c>
      <c r="Q4" s="52">
        <f>IF($A4="","",IF($P4=1,Config!$B$4-$G4,0))</f>
        <v>0</v>
      </c>
      <c r="R4" s="53">
        <f>IF($A4="","",IF(AND(ISNUMBER($D4),ISNUMBER($E4)),$D4*$E4,""))</f>
        <v>6900</v>
      </c>
      <c r="S4" s="49" t="str">
        <f>IF(COUNTA($A4:$J4)=0,"",IF($A4="","Missing: PO ID",IF(COUNTIF($A$2:$A$301,$A4)&gt;1,"Duplicate PO ID",IF($B4="","Missing: supplier",IF($C4="","Missing: SKU",IF(NOT(ISNUMBER($D4)),"Missing: qty",IF(NOT(ISNUMBER($F4)),"Missing: order date",IF(NOT(ISNUMBER($G4)),"Missing: expected date",IF($H4="","Missing: status",IF($I4="","Missing: source link",IF(COUNTIF(Suppliers!$A$2:$A$51,$B4)=0,"Unknown supplier",IF(COUNTIF(Products!$A$2:$A$101,$C4)=0,"Unknown SKU",IF(COUNTIF(Config!$C$15:$C$34,$H4)=0,"Unsupported status",IF($D4&lt;=0,"Qty must be above 0",IF($G4&lt;$F4,"Expected date before order date",IF($M4&gt;$D4,"Received more than ordered",IF(AND($H4="Received",$M4&lt;$D4),"Status Received but not fully received",IF(AND(IFERROR(INDEX(Config!$D$15:$D$34,MATCH($H4,Config!$C$15:$C$34,0)),"No")="Yes",$M4&gt;=$D4),"Fully received: update status","OK"))))))))))))))))))</f>
        <v>OK</v>
      </c>
      <c r="T4" s="52" t="str">
        <f>IF($O4=1,IFERROR(COUNTIFS($O$2:$O$301,1,$G$2:$G$301,"&lt;"&amp;$G4)+COUNTIFS($O$2:$O4,1,$G$2:$G4,$G4),""),"")</f>
        <v/>
      </c>
    </row>
    <row r="5">
      <c r="A5" s="46" t="inlineStr">
        <is>
          <t>PO-2026-024</t>
        </is>
      </c>
      <c r="B5" s="46" t="inlineStr">
        <is>
          <t>SUP-02</t>
        </is>
      </c>
      <c r="C5" s="46" t="inlineStr">
        <is>
          <t>BAR-CKD-12</t>
        </is>
      </c>
      <c r="D5" s="48" t="n">
        <v>1500</v>
      </c>
      <c r="E5" s="47" t="n">
        <v>11.2</v>
      </c>
      <c r="F5" s="54" t="n">
        <v>46239</v>
      </c>
      <c r="G5" s="54" t="n">
        <v>46273</v>
      </c>
      <c r="H5" s="46" t="inlineStr">
        <is>
          <t>Received</t>
        </is>
      </c>
      <c r="I5" s="46" t="inlineStr">
        <is>
          <t>https://example.com/purchasing/PO-2026-024</t>
        </is>
      </c>
      <c r="J5" s="46" t="inlineStr">
        <is>
          <t>Arrived 2026-09-09</t>
        </is>
      </c>
      <c r="K5" s="49" t="str">
        <f>IF($A5="","",IFERROR(INDEX(Suppliers!$B$2:$B$51,MATCH($B5,Suppliers!$A$2:$A$51,0))&amp;"","(not found)"))</f>
        <v>Bramwell Bar Works</v>
      </c>
      <c r="L5" s="49" t="str">
        <f>IF($A5="","",IFERROR(INDEX(Products!$B$2:$B$101,MATCH($C5,Products!$A$2:$A$101,0))&amp;"","(not found)"))</f>
        <v>Protein Bar, Cookie Dough, 12-pack</v>
      </c>
      <c r="M5" s="50">
        <f>IF($A5="","",SUMIFS(Inventory_Ledger!$E$2:$E$2001,Inventory_Ledger!$H$2:$H$2001,$A5,Inventory_Ledger!$C$2:$C$2001,"Receipt",Inventory_Ledger!$D$2:$D$2001,$C5))</f>
        <v>1500</v>
      </c>
      <c r="N5" s="50">
        <f>IF($A5="","",IF(IFERROR(INDEX(Config!$D$15:$D$34,MATCH($H5,Config!$C$15:$C$34,0)),"No")="Yes",MAX(0,IF(ISNUMBER($D5),$D5,0)-$M5),0))</f>
        <v>0</v>
      </c>
      <c r="O5" s="52">
        <f>IF($A5="","",IF($N5&gt;0,1,0))</f>
        <v>0</v>
      </c>
      <c r="P5" s="52">
        <f>IF($A5="","",IF(AND($O5=1,ISNUMBER($G5)),IF($G5&lt;Config!$B$4,1,0),0))</f>
        <v>0</v>
      </c>
      <c r="Q5" s="52">
        <f>IF($A5="","",IF($P5=1,Config!$B$4-$G5,0))</f>
        <v>0</v>
      </c>
      <c r="R5" s="53">
        <f>IF($A5="","",IF(AND(ISNUMBER($D5),ISNUMBER($E5)),$D5*$E5,""))</f>
        <v>16800</v>
      </c>
      <c r="S5" s="49" t="str">
        <f>IF(COUNTA($A5:$J5)=0,"",IF($A5="","Missing: PO ID",IF(COUNTIF($A$2:$A$301,$A5)&gt;1,"Duplicate PO ID",IF($B5="","Missing: supplier",IF($C5="","Missing: SKU",IF(NOT(ISNUMBER($D5)),"Missing: qty",IF(NOT(ISNUMBER($F5)),"Missing: order date",IF(NOT(ISNUMBER($G5)),"Missing: expected date",IF($H5="","Missing: status",IF($I5="","Missing: source link",IF(COUNTIF(Suppliers!$A$2:$A$51,$B5)=0,"Unknown supplier",IF(COUNTIF(Products!$A$2:$A$101,$C5)=0,"Unknown SKU",IF(COUNTIF(Config!$C$15:$C$34,$H5)=0,"Unsupported status",IF($D5&lt;=0,"Qty must be above 0",IF($G5&lt;$F5,"Expected date before order date",IF($M5&gt;$D5,"Received more than ordered",IF(AND($H5="Received",$M5&lt;$D5),"Status Received but not fully received",IF(AND(IFERROR(INDEX(Config!$D$15:$D$34,MATCH($H5,Config!$C$15:$C$34,0)),"No")="Yes",$M5&gt;=$D5),"Fully received: update status","OK"))))))))))))))))))</f>
        <v>OK</v>
      </c>
      <c r="T5" s="52" t="str">
        <f>IF($O5=1,IFERROR(COUNTIFS($O$2:$O$301,1,$G$2:$G$301,"&lt;"&amp;$G5)+COUNTIFS($O$2:$O5,1,$G$2:$G5,$G5),""),"")</f>
        <v/>
      </c>
    </row>
    <row r="6">
      <c r="A6" s="46" t="inlineStr">
        <is>
          <t>PO-2026-025</t>
        </is>
      </c>
      <c r="B6" s="46" t="inlineStr">
        <is>
          <t>SUP-04</t>
        </is>
      </c>
      <c r="C6" s="46" t="inlineStr">
        <is>
          <t>PRE-BRZ-30</t>
        </is>
      </c>
      <c r="D6" s="48" t="n">
        <v>800</v>
      </c>
      <c r="E6" s="47" t="n">
        <v>9.6</v>
      </c>
      <c r="F6" s="54" t="n">
        <v>46248</v>
      </c>
      <c r="G6" s="54" t="n">
        <v>46280</v>
      </c>
      <c r="H6" s="46" t="inlineStr">
        <is>
          <t>Received</t>
        </is>
      </c>
      <c r="I6" s="46" t="inlineStr">
        <is>
          <t>https://example.com/purchasing/PO-2026-025</t>
        </is>
      </c>
      <c r="J6" s="46" t="inlineStr">
        <is>
          <t>Arrived 2026-09-15</t>
        </is>
      </c>
      <c r="K6" s="49" t="str">
        <f>IF($A6="","",IFERROR(INDEX(Suppliers!$B$2:$B$51,MATCH($B6,Suppliers!$A$2:$A$51,0))&amp;"","(not found)"))</f>
        <v>Dunmore Powder Labs</v>
      </c>
      <c r="L6" s="49" t="str">
        <f>IF($A6="","",IFERROR(INDEX(Products!$B$2:$B$101,MATCH($C6,Products!$A$2:$A$101,0))&amp;"","(not found)"))</f>
        <v>Pre-Workout, Blue Raspberry, 30 servings</v>
      </c>
      <c r="M6" s="50">
        <f>IF($A6="","",SUMIFS(Inventory_Ledger!$E$2:$E$2001,Inventory_Ledger!$H$2:$H$2001,$A6,Inventory_Ledger!$C$2:$C$2001,"Receipt",Inventory_Ledger!$D$2:$D$2001,$C6))</f>
        <v>800</v>
      </c>
      <c r="N6" s="50">
        <f>IF($A6="","",IF(IFERROR(INDEX(Config!$D$15:$D$34,MATCH($H6,Config!$C$15:$C$34,0)),"No")="Yes",MAX(0,IF(ISNUMBER($D6),$D6,0)-$M6),0))</f>
        <v>0</v>
      </c>
      <c r="O6" s="52">
        <f>IF($A6="","",IF($N6&gt;0,1,0))</f>
        <v>0</v>
      </c>
      <c r="P6" s="52">
        <f>IF($A6="","",IF(AND($O6=1,ISNUMBER($G6)),IF($G6&lt;Config!$B$4,1,0),0))</f>
        <v>0</v>
      </c>
      <c r="Q6" s="52">
        <f>IF($A6="","",IF($P6=1,Config!$B$4-$G6,0))</f>
        <v>0</v>
      </c>
      <c r="R6" s="53">
        <f>IF($A6="","",IF(AND(ISNUMBER($D6),ISNUMBER($E6)),$D6*$E6,""))</f>
        <v>7680</v>
      </c>
      <c r="S6" s="49" t="str">
        <f>IF(COUNTA($A6:$J6)=0,"",IF($A6="","Missing: PO ID",IF(COUNTIF($A$2:$A$301,$A6)&gt;1,"Duplicate PO ID",IF($B6="","Missing: supplier",IF($C6="","Missing: SKU",IF(NOT(ISNUMBER($D6)),"Missing: qty",IF(NOT(ISNUMBER($F6)),"Missing: order date",IF(NOT(ISNUMBER($G6)),"Missing: expected date",IF($H6="","Missing: status",IF($I6="","Missing: source link",IF(COUNTIF(Suppliers!$A$2:$A$51,$B6)=0,"Unknown supplier",IF(COUNTIF(Products!$A$2:$A$101,$C6)=0,"Unknown SKU",IF(COUNTIF(Config!$C$15:$C$34,$H6)=0,"Unsupported status",IF($D6&lt;=0,"Qty must be above 0",IF($G6&lt;$F6,"Expected date before order date",IF($M6&gt;$D6,"Received more than ordered",IF(AND($H6="Received",$M6&lt;$D6),"Status Received but not fully received",IF(AND(IFERROR(INDEX(Config!$D$15:$D$34,MATCH($H6,Config!$C$15:$C$34,0)),"No")="Yes",$M6&gt;=$D6),"Fully received: update status","OK"))))))))))))))))))</f>
        <v>OK</v>
      </c>
      <c r="T6" s="52" t="str">
        <f>IF($O6=1,IFERROR(COUNTIFS($O$2:$O$301,1,$G$2:$G$301,"&lt;"&amp;$G6)+COUNTIFS($O$2:$O6,1,$G$2:$G6,$G6),""),"")</f>
        <v/>
      </c>
    </row>
    <row r="7">
      <c r="A7" s="46" t="inlineStr">
        <is>
          <t>PO-2026-027</t>
        </is>
      </c>
      <c r="B7" s="46" t="inlineStr">
        <is>
          <t>SUP-01</t>
        </is>
      </c>
      <c r="C7" s="46" t="inlineStr">
        <is>
          <t>WPI-VAN-2LB</t>
        </is>
      </c>
      <c r="D7" s="48" t="n">
        <v>1200</v>
      </c>
      <c r="E7" s="47" t="n">
        <v>18.4</v>
      </c>
      <c r="F7" s="54" t="n">
        <v>46267</v>
      </c>
      <c r="G7" s="54" t="n">
        <v>46324</v>
      </c>
      <c r="H7" s="46" t="inlineStr">
        <is>
          <t>Partially received</t>
        </is>
      </c>
      <c r="I7" s="46" t="inlineStr">
        <is>
          <t>https://example.com/purchasing/PO-2026-027</t>
        </is>
      </c>
      <c r="J7" s="46" t="inlineStr">
        <is>
          <t>First 600 arrived 2026-10-08; balance promised for 2026-10-29</t>
        </is>
      </c>
      <c r="K7" s="49" t="str">
        <f>IF($A7="","",IFERROR(INDEX(Suppliers!$B$2:$B$51,MATCH($B7,Suppliers!$A$2:$A$51,0))&amp;"","(not found)"))</f>
        <v>Alder Creek Dairy Proteins</v>
      </c>
      <c r="L7" s="49" t="str">
        <f>IF($A7="","",IFERROR(INDEX(Products!$B$2:$B$101,MATCH($C7,Products!$A$2:$A$101,0))&amp;"","(not found)"))</f>
        <v>Whey Protein Isolate, Vanilla, 2 lb</v>
      </c>
      <c r="M7" s="50">
        <f>IF($A7="","",SUMIFS(Inventory_Ledger!$E$2:$E$2001,Inventory_Ledger!$H$2:$H$2001,$A7,Inventory_Ledger!$C$2:$C$2001,"Receipt",Inventory_Ledger!$D$2:$D$2001,$C7))</f>
        <v>600</v>
      </c>
      <c r="N7" s="50">
        <f>IF($A7="","",IF(IFERROR(INDEX(Config!$D$15:$D$34,MATCH($H7,Config!$C$15:$C$34,0)),"No")="Yes",MAX(0,IF(ISNUMBER($D7),$D7,0)-$M7),0))</f>
        <v>600</v>
      </c>
      <c r="O7" s="52">
        <f>IF($A7="","",IF($N7&gt;0,1,0))</f>
        <v>1</v>
      </c>
      <c r="P7" s="52">
        <f>IF($A7="","",IF(AND($O7=1,ISNUMBER($G7)),IF($G7&lt;Config!$B$4,1,0),0))</f>
        <v>0</v>
      </c>
      <c r="Q7" s="52">
        <f>IF($A7="","",IF($P7=1,Config!$B$4-$G7,0))</f>
        <v>0</v>
      </c>
      <c r="R7" s="53">
        <f>IF($A7="","",IF(AND(ISNUMBER($D7),ISNUMBER($E7)),$D7*$E7,""))</f>
        <v>22080</v>
      </c>
      <c r="S7" s="49" t="str">
        <f>IF(COUNTA($A7:$J7)=0,"",IF($A7="","Missing: PO ID",IF(COUNTIF($A$2:$A$301,$A7)&gt;1,"Duplicate PO ID",IF($B7="","Missing: supplier",IF($C7="","Missing: SKU",IF(NOT(ISNUMBER($D7)),"Missing: qty",IF(NOT(ISNUMBER($F7)),"Missing: order date",IF(NOT(ISNUMBER($G7)),"Missing: expected date",IF($H7="","Missing: status",IF($I7="","Missing: source link",IF(COUNTIF(Suppliers!$A$2:$A$51,$B7)=0,"Unknown supplier",IF(COUNTIF(Products!$A$2:$A$101,$C7)=0,"Unknown SKU",IF(COUNTIF(Config!$C$15:$C$34,$H7)=0,"Unsupported status",IF($D7&lt;=0,"Qty must be above 0",IF($G7&lt;$F7,"Expected date before order date",IF($M7&gt;$D7,"Received more than ordered",IF(AND($H7="Received",$M7&lt;$D7),"Status Received but not fully received",IF(AND(IFERROR(INDEX(Config!$D$15:$D$34,MATCH($H7,Config!$C$15:$C$34,0)),"No")="Yes",$M7&gt;=$D7),"Fully received: update status","OK"))))))))))))))))))</f>
        <v>OK</v>
      </c>
      <c r="T7" s="52">
        <f>IF($O7=1,IFERROR(COUNTIFS($O$2:$O$301,1,$G$2:$G$301,"&lt;"&amp;$G7)+COUNTIFS($O$2:$O7,1,$G$2:$G7,$G7),""),"")</f>
        <v>4</v>
      </c>
    </row>
    <row r="8">
      <c r="A8" s="46" t="inlineStr">
        <is>
          <t>PO-2026-028</t>
        </is>
      </c>
      <c r="B8" s="46" t="inlineStr">
        <is>
          <t>SUP-03</t>
        </is>
      </c>
      <c r="C8" s="46" t="inlineStr">
        <is>
          <t>PLT-CHO-2LB</t>
        </is>
      </c>
      <c r="D8" s="48" t="n">
        <v>600</v>
      </c>
      <c r="E8" s="47" t="n">
        <v>16.1</v>
      </c>
      <c r="F8" s="54" t="n">
        <v>46262</v>
      </c>
      <c r="G8" s="54" t="n">
        <v>46304</v>
      </c>
      <c r="H8" s="46" t="inlineStr">
        <is>
          <t>Cancelled</t>
        </is>
      </c>
      <c r="I8" s="46" t="inlineStr">
        <is>
          <t>https://example.com/purchasing/PO-2026-028</t>
        </is>
      </c>
      <c r="J8" s="46" t="inlineStr">
        <is>
          <t>Cancelled 2026-09-04 after a price change; stock still above reorder point</t>
        </is>
      </c>
      <c r="K8" s="49" t="str">
        <f>IF($A8="","",IFERROR(INDEX(Suppliers!$B$2:$B$51,MATCH($B8,Suppliers!$A$2:$A$51,0))&amp;"","(not found)"))</f>
        <v>Corliss Plant Proteins</v>
      </c>
      <c r="L8" s="49" t="str">
        <f>IF($A8="","",IFERROR(INDEX(Products!$B$2:$B$101,MATCH($C8,Products!$A$2:$A$101,0))&amp;"","(not found)"))</f>
        <v>Plant Protein, Chocolate, 2 lb</v>
      </c>
      <c r="M8" s="50">
        <f>IF($A8="","",SUMIFS(Inventory_Ledger!$E$2:$E$2001,Inventory_Ledger!$H$2:$H$2001,$A8,Inventory_Ledger!$C$2:$C$2001,"Receipt",Inventory_Ledger!$D$2:$D$2001,$C8))</f>
        <v>0</v>
      </c>
      <c r="N8" s="50">
        <f>IF($A8="","",IF(IFERROR(INDEX(Config!$D$15:$D$34,MATCH($H8,Config!$C$15:$C$34,0)),"No")="Yes",MAX(0,IF(ISNUMBER($D8),$D8,0)-$M8),0))</f>
        <v>0</v>
      </c>
      <c r="O8" s="52">
        <f>IF($A8="","",IF($N8&gt;0,1,0))</f>
        <v>0</v>
      </c>
      <c r="P8" s="52">
        <f>IF($A8="","",IF(AND($O8=1,ISNUMBER($G8)),IF($G8&lt;Config!$B$4,1,0),0))</f>
        <v>0</v>
      </c>
      <c r="Q8" s="52">
        <f>IF($A8="","",IF($P8=1,Config!$B$4-$G8,0))</f>
        <v>0</v>
      </c>
      <c r="R8" s="53">
        <f>IF($A8="","",IF(AND(ISNUMBER($D8),ISNUMBER($E8)),$D8*$E8,""))</f>
        <v>9660</v>
      </c>
      <c r="S8" s="49" t="str">
        <f>IF(COUNTA($A8:$J8)=0,"",IF($A8="","Missing: PO ID",IF(COUNTIF($A$2:$A$301,$A8)&gt;1,"Duplicate PO ID",IF($B8="","Missing: supplier",IF($C8="","Missing: SKU",IF(NOT(ISNUMBER($D8)),"Missing: qty",IF(NOT(ISNUMBER($F8)),"Missing: order date",IF(NOT(ISNUMBER($G8)),"Missing: expected date",IF($H8="","Missing: status",IF($I8="","Missing: source link",IF(COUNTIF(Suppliers!$A$2:$A$51,$B8)=0,"Unknown supplier",IF(COUNTIF(Products!$A$2:$A$101,$C8)=0,"Unknown SKU",IF(COUNTIF(Config!$C$15:$C$34,$H8)=0,"Unsupported status",IF($D8&lt;=0,"Qty must be above 0",IF($G8&lt;$F8,"Expected date before order date",IF($M8&gt;$D8,"Received more than ordered",IF(AND($H8="Received",$M8&lt;$D8),"Status Received but not fully received",IF(AND(IFERROR(INDEX(Config!$D$15:$D$34,MATCH($H8,Config!$C$15:$C$34,0)),"No")="Yes",$M8&gt;=$D8),"Fully received: update status","OK"))))))))))))))))))</f>
        <v>OK</v>
      </c>
      <c r="T8" s="52" t="str">
        <f>IF($O8=1,IFERROR(COUNTIFS($O$2:$O$301,1,$G$2:$G$301,"&lt;"&amp;$G8)+COUNTIFS($O$2:$O8,1,$G$2:$G8,$G8),""),"")</f>
        <v/>
      </c>
    </row>
    <row r="9">
      <c r="A9" s="46" t="inlineStr">
        <is>
          <t>PO-2026-029</t>
        </is>
      </c>
      <c r="B9" s="46" t="inlineStr">
        <is>
          <t>SUP-03</t>
        </is>
      </c>
      <c r="C9" s="46" t="inlineStr">
        <is>
          <t>PLT-VAN-2LB</t>
        </is>
      </c>
      <c r="D9" s="48" t="n">
        <v>500</v>
      </c>
      <c r="E9" s="47" t="n">
        <v>16.1</v>
      </c>
      <c r="F9" s="54" t="n">
        <v>46266</v>
      </c>
      <c r="G9" s="54" t="n">
        <v>46301</v>
      </c>
      <c r="H9" s="46" t="inlineStr">
        <is>
          <t>Confirmed</t>
        </is>
      </c>
      <c r="I9" s="46" t="inlineStr">
        <is>
          <t>https://example.com/purchasing/PO-2026-029</t>
        </is>
      </c>
      <c r="J9" s="46" t="inlineStr">
        <is>
          <t>Supplier confirmed 2026-09-03</t>
        </is>
      </c>
      <c r="K9" s="49" t="str">
        <f>IF($A9="","",IFERROR(INDEX(Suppliers!$B$2:$B$51,MATCH($B9,Suppliers!$A$2:$A$51,0))&amp;"","(not found)"))</f>
        <v>Corliss Plant Proteins</v>
      </c>
      <c r="L9" s="49" t="str">
        <f>IF($A9="","",IFERROR(INDEX(Products!$B$2:$B$101,MATCH($C9,Products!$A$2:$A$101,0))&amp;"","(not found)"))</f>
        <v>Plant Protein, Vanilla, 2 lb</v>
      </c>
      <c r="M9" s="50">
        <f>IF($A9="","",SUMIFS(Inventory_Ledger!$E$2:$E$2001,Inventory_Ledger!$H$2:$H$2001,$A9,Inventory_Ledger!$C$2:$C$2001,"Receipt",Inventory_Ledger!$D$2:$D$2001,$C9))</f>
        <v>0</v>
      </c>
      <c r="N9" s="50">
        <f>IF($A9="","",IF(IFERROR(INDEX(Config!$D$15:$D$34,MATCH($H9,Config!$C$15:$C$34,0)),"No")="Yes",MAX(0,IF(ISNUMBER($D9),$D9,0)-$M9),0))</f>
        <v>500</v>
      </c>
      <c r="O9" s="52">
        <f>IF($A9="","",IF($N9&gt;0,1,0))</f>
        <v>1</v>
      </c>
      <c r="P9" s="52">
        <f>IF($A9="","",IF(AND($O9=1,ISNUMBER($G9)),IF($G9&lt;Config!$B$4,1,0),0))</f>
        <v>1</v>
      </c>
      <c r="Q9" s="52">
        <f>IF($A9="","",IF($P9=1,Config!$B$4-$G9,0))</f>
        <v>9</v>
      </c>
      <c r="R9" s="53">
        <f>IF($A9="","",IF(AND(ISNUMBER($D9),ISNUMBER($E9)),$D9*$E9,""))</f>
        <v>8050</v>
      </c>
      <c r="S9" s="49" t="str">
        <f>IF(COUNTA($A9:$J9)=0,"",IF($A9="","Missing: PO ID",IF(COUNTIF($A$2:$A$301,$A9)&gt;1,"Duplicate PO ID",IF($B9="","Missing: supplier",IF($C9="","Missing: SKU",IF(NOT(ISNUMBER($D9)),"Missing: qty",IF(NOT(ISNUMBER($F9)),"Missing: order date",IF(NOT(ISNUMBER($G9)),"Missing: expected date",IF($H9="","Missing: status",IF($I9="","Missing: source link",IF(COUNTIF(Suppliers!$A$2:$A$51,$B9)=0,"Unknown supplier",IF(COUNTIF(Products!$A$2:$A$101,$C9)=0,"Unknown SKU",IF(COUNTIF(Config!$C$15:$C$34,$H9)=0,"Unsupported status",IF($D9&lt;=0,"Qty must be above 0",IF($G9&lt;$F9,"Expected date before order date",IF($M9&gt;$D9,"Received more than ordered",IF(AND($H9="Received",$M9&lt;$D9),"Status Received but not fully received",IF(AND(IFERROR(INDEX(Config!$D$15:$D$34,MATCH($H9,Config!$C$15:$C$34,0)),"No")="Yes",$M9&gt;=$D9),"Fully received: update status","OK"))))))))))))))))))</f>
        <v>OK</v>
      </c>
      <c r="T9" s="52">
        <f>IF($O9=1,IFERROR(COUNTIFS($O$2:$O$301,1,$G$2:$G$301,"&lt;"&amp;$G9)+COUNTIFS($O$2:$O9,1,$G$2:$G9,$G9),""),"")</f>
        <v>1</v>
      </c>
    </row>
    <row r="10">
      <c r="A10" s="46" t="inlineStr">
        <is>
          <t>PO-2026-030</t>
        </is>
      </c>
      <c r="B10" s="46" t="inlineStr">
        <is>
          <t>SUP-01</t>
        </is>
      </c>
      <c r="C10" s="46" t="inlineStr">
        <is>
          <t>WPI-CHO-2LB</t>
        </is>
      </c>
      <c r="D10" s="48" t="n">
        <v>1500</v>
      </c>
      <c r="E10" s="47" t="n">
        <v>18.4</v>
      </c>
      <c r="F10" s="54" t="n">
        <v>46280</v>
      </c>
      <c r="G10" s="54" t="n">
        <v>46315</v>
      </c>
      <c r="H10" s="46" t="inlineStr">
        <is>
          <t>In transit</t>
        </is>
      </c>
      <c r="I10" s="46" t="inlineStr">
        <is>
          <t>https://example.com/purchasing/PO-2026-030</t>
        </is>
      </c>
      <c r="J10" s="46" t="inlineStr">
        <is>
          <t>Carrier booked 2026-10-13</t>
        </is>
      </c>
      <c r="K10" s="49" t="str">
        <f>IF($A10="","",IFERROR(INDEX(Suppliers!$B$2:$B$51,MATCH($B10,Suppliers!$A$2:$A$51,0))&amp;"","(not found)"))</f>
        <v>Alder Creek Dairy Proteins</v>
      </c>
      <c r="L10" s="49" t="str">
        <f>IF($A10="","",IFERROR(INDEX(Products!$B$2:$B$101,MATCH($C10,Products!$A$2:$A$101,0))&amp;"","(not found)"))</f>
        <v>Whey Protein Isolate, Chocolate, 2 lb</v>
      </c>
      <c r="M10" s="50">
        <f>IF($A10="","",SUMIFS(Inventory_Ledger!$E$2:$E$2001,Inventory_Ledger!$H$2:$H$2001,$A10,Inventory_Ledger!$C$2:$C$2001,"Receipt",Inventory_Ledger!$D$2:$D$2001,$C10))</f>
        <v>0</v>
      </c>
      <c r="N10" s="50">
        <f>IF($A10="","",IF(IFERROR(INDEX(Config!$D$15:$D$34,MATCH($H10,Config!$C$15:$C$34,0)),"No")="Yes",MAX(0,IF(ISNUMBER($D10),$D10,0)-$M10),0))</f>
        <v>1500</v>
      </c>
      <c r="O10" s="52">
        <f>IF($A10="","",IF($N10&gt;0,1,0))</f>
        <v>1</v>
      </c>
      <c r="P10" s="52">
        <f>IF($A10="","",IF(AND($O10=1,ISNUMBER($G10)),IF($G10&lt;Config!$B$4,1,0),0))</f>
        <v>0</v>
      </c>
      <c r="Q10" s="52">
        <f>IF($A10="","",IF($P10=1,Config!$B$4-$G10,0))</f>
        <v>0</v>
      </c>
      <c r="R10" s="53">
        <f>IF($A10="","",IF(AND(ISNUMBER($D10),ISNUMBER($E10)),$D10*$E10,""))</f>
        <v>27600</v>
      </c>
      <c r="S10" s="49" t="str">
        <f>IF(COUNTA($A10:$J10)=0,"",IF($A10="","Missing: PO ID",IF(COUNTIF($A$2:$A$301,$A10)&gt;1,"Duplicate PO ID",IF($B10="","Missing: supplier",IF($C10="","Missing: SKU",IF(NOT(ISNUMBER($D10)),"Missing: qty",IF(NOT(ISNUMBER($F10)),"Missing: order date",IF(NOT(ISNUMBER($G10)),"Missing: expected date",IF($H10="","Missing: status",IF($I10="","Missing: source link",IF(COUNTIF(Suppliers!$A$2:$A$51,$B10)=0,"Unknown supplier",IF(COUNTIF(Products!$A$2:$A$101,$C10)=0,"Unknown SKU",IF(COUNTIF(Config!$C$15:$C$34,$H10)=0,"Unsupported status",IF($D10&lt;=0,"Qty must be above 0",IF($G10&lt;$F10,"Expected date before order date",IF($M10&gt;$D10,"Received more than ordered",IF(AND($H10="Received",$M10&lt;$D10),"Status Received but not fully received",IF(AND(IFERROR(INDEX(Config!$D$15:$D$34,MATCH($H10,Config!$C$15:$C$34,0)),"No")="Yes",$M10&gt;=$D10),"Fully received: update status","OK"))))))))))))))))))</f>
        <v>OK</v>
      </c>
      <c r="T10" s="52">
        <f>IF($O10=1,IFERROR(COUNTIFS($O$2:$O$301,1,$G$2:$G$301,"&lt;"&amp;$G10)+COUNTIFS($O$2:$O10,1,$G$2:$G10,$G10),""),"")</f>
        <v>3</v>
      </c>
    </row>
    <row r="11">
      <c r="A11" s="46" t="inlineStr">
        <is>
          <t>PO-2026-031</t>
        </is>
      </c>
      <c r="B11" s="46" t="inlineStr">
        <is>
          <t>SUP-04</t>
        </is>
      </c>
      <c r="C11" s="46" t="inlineStr">
        <is>
          <t>PRE-WTM-30</t>
        </is>
      </c>
      <c r="D11" s="48" t="n">
        <v>600</v>
      </c>
      <c r="E11" s="47" t="n">
        <v>9.6</v>
      </c>
      <c r="F11" s="54" t="n">
        <v>46269</v>
      </c>
      <c r="G11" s="54" t="n">
        <v>46305</v>
      </c>
      <c r="H11" s="46" t="inlineStr">
        <is>
          <t>In transit</t>
        </is>
      </c>
      <c r="I11" s="46" t="inlineStr">
        <is>
          <t>https://example.com/purchasing/PO-2026-031</t>
        </is>
      </c>
      <c r="J11" s="46" t="inlineStr">
        <is>
          <t>Carrier delay reported</t>
        </is>
      </c>
      <c r="K11" s="49" t="str">
        <f>IF($A11="","",IFERROR(INDEX(Suppliers!$B$2:$B$51,MATCH($B11,Suppliers!$A$2:$A$51,0))&amp;"","(not found)"))</f>
        <v>Dunmore Powder Labs</v>
      </c>
      <c r="L11" s="49" t="str">
        <f>IF($A11="","",IFERROR(INDEX(Products!$B$2:$B$101,MATCH($C11,Products!$A$2:$A$101,0))&amp;"","(not found)"))</f>
        <v>Pre-Workout, Watermelon, 30 servings</v>
      </c>
      <c r="M11" s="50">
        <f>IF($A11="","",SUMIFS(Inventory_Ledger!$E$2:$E$2001,Inventory_Ledger!$H$2:$H$2001,$A11,Inventory_Ledger!$C$2:$C$2001,"Receipt",Inventory_Ledger!$D$2:$D$2001,$C11))</f>
        <v>0</v>
      </c>
      <c r="N11" s="50">
        <f>IF($A11="","",IF(IFERROR(INDEX(Config!$D$15:$D$34,MATCH($H11,Config!$C$15:$C$34,0)),"No")="Yes",MAX(0,IF(ISNUMBER($D11),$D11,0)-$M11),0))</f>
        <v>600</v>
      </c>
      <c r="O11" s="52">
        <f>IF($A11="","",IF($N11&gt;0,1,0))</f>
        <v>1</v>
      </c>
      <c r="P11" s="52">
        <f>IF($A11="","",IF(AND($O11=1,ISNUMBER($G11)),IF($G11&lt;Config!$B$4,1,0),0))</f>
        <v>1</v>
      </c>
      <c r="Q11" s="52">
        <f>IF($A11="","",IF($P11=1,Config!$B$4-$G11,0))</f>
        <v>5</v>
      </c>
      <c r="R11" s="53">
        <f>IF($A11="","",IF(AND(ISNUMBER($D11),ISNUMBER($E11)),$D11*$E11,""))</f>
        <v>5760</v>
      </c>
      <c r="S11" s="49" t="str">
        <f>IF(COUNTA($A11:$J11)=0,"",IF($A11="","Missing: PO ID",IF(COUNTIF($A$2:$A$301,$A11)&gt;1,"Duplicate PO ID",IF($B11="","Missing: supplier",IF($C11="","Missing: SKU",IF(NOT(ISNUMBER($D11)),"Missing: qty",IF(NOT(ISNUMBER($F11)),"Missing: order date",IF(NOT(ISNUMBER($G11)),"Missing: expected date",IF($H11="","Missing: status",IF($I11="","Missing: source link",IF(COUNTIF(Suppliers!$A$2:$A$51,$B11)=0,"Unknown supplier",IF(COUNTIF(Products!$A$2:$A$101,$C11)=0,"Unknown SKU",IF(COUNTIF(Config!$C$15:$C$34,$H11)=0,"Unsupported status",IF($D11&lt;=0,"Qty must be above 0",IF($G11&lt;$F11,"Expected date before order date",IF($M11&gt;$D11,"Received more than ordered",IF(AND($H11="Received",$M11&lt;$D11),"Status Received but not fully received",IF(AND(IFERROR(INDEX(Config!$D$15:$D$34,MATCH($H11,Config!$C$15:$C$34,0)),"No")="Yes",$M11&gt;=$D11),"Fully received: update status","OK"))))))))))))))))))</f>
        <v>OK</v>
      </c>
      <c r="T11" s="52">
        <f>IF($O11=1,IFERROR(COUNTIFS($O$2:$O$301,1,$G$2:$G$301,"&lt;"&amp;$G11)+COUNTIFS($O$2:$O11,1,$G$2:$G11,$G11),""),"")</f>
        <v>2</v>
      </c>
    </row>
    <row r="12">
      <c r="A12" s="46" t="inlineStr">
        <is>
          <t>PO-2026-032</t>
        </is>
      </c>
      <c r="B12" s="46" t="inlineStr">
        <is>
          <t>SUP-05</t>
        </is>
      </c>
      <c r="C12" s="46" t="inlineStr">
        <is>
          <t>CAS-CHO-2LB</t>
        </is>
      </c>
      <c r="D12" s="48" t="n">
        <v>360</v>
      </c>
      <c r="E12" s="47" t="n">
        <v>19.7</v>
      </c>
      <c r="F12" s="54" t="n">
        <v>46300</v>
      </c>
      <c r="G12" s="54" t="n">
        <v>46345</v>
      </c>
      <c r="H12" s="46" t="inlineStr">
        <is>
          <t>Ordered</t>
        </is>
      </c>
      <c r="I12" s="46" t="inlineStr">
        <is>
          <t>https://example.com/purchasing/PO-2026-032</t>
        </is>
      </c>
      <c r="J12" s="46" t="n"/>
      <c r="K12" s="49" t="str">
        <f>IF($A12="","",IFERROR(INDEX(Suppliers!$B$2:$B$51,MATCH($B12,Suppliers!$A$2:$A$51,0))&amp;"","(not found)"))</f>
        <v>Elmstead Co-Packing</v>
      </c>
      <c r="L12" s="49" t="str">
        <f>IF($A12="","",IFERROR(INDEX(Products!$B$2:$B$101,MATCH($C12,Products!$A$2:$A$101,0))&amp;"","(not found)"))</f>
        <v>Micellar Casein, Chocolate, 2 lb</v>
      </c>
      <c r="M12" s="50">
        <f>IF($A12="","",SUMIFS(Inventory_Ledger!$E$2:$E$2001,Inventory_Ledger!$H$2:$H$2001,$A12,Inventory_Ledger!$C$2:$C$2001,"Receipt",Inventory_Ledger!$D$2:$D$2001,$C12))</f>
        <v>0</v>
      </c>
      <c r="N12" s="50">
        <f>IF($A12="","",IF(IFERROR(INDEX(Config!$D$15:$D$34,MATCH($H12,Config!$C$15:$C$34,0)),"No")="Yes",MAX(0,IF(ISNUMBER($D12),$D12,0)-$M12),0))</f>
        <v>360</v>
      </c>
      <c r="O12" s="52">
        <f>IF($A12="","",IF($N12&gt;0,1,0))</f>
        <v>1</v>
      </c>
      <c r="P12" s="52">
        <f>IF($A12="","",IF(AND($O12=1,ISNUMBER($G12)),IF($G12&lt;Config!$B$4,1,0),0))</f>
        <v>0</v>
      </c>
      <c r="Q12" s="52">
        <f>IF($A12="","",IF($P12=1,Config!$B$4-$G12,0))</f>
        <v>0</v>
      </c>
      <c r="R12" s="53">
        <f>IF($A12="","",IF(AND(ISNUMBER($D12),ISNUMBER($E12)),$D12*$E12,""))</f>
        <v>7092</v>
      </c>
      <c r="S12" s="49" t="str">
        <f>IF(COUNTA($A12:$J12)=0,"",IF($A12="","Missing: PO ID",IF(COUNTIF($A$2:$A$301,$A12)&gt;1,"Duplicate PO ID",IF($B12="","Missing: supplier",IF($C12="","Missing: SKU",IF(NOT(ISNUMBER($D12)),"Missing: qty",IF(NOT(ISNUMBER($F12)),"Missing: order date",IF(NOT(ISNUMBER($G12)),"Missing: expected date",IF($H12="","Missing: status",IF($I12="","Missing: source link",IF(COUNTIF(Suppliers!$A$2:$A$51,$B12)=0,"Unknown supplier",IF(COUNTIF(Products!$A$2:$A$101,$C12)=0,"Unknown SKU",IF(COUNTIF(Config!$C$15:$C$34,$H12)=0,"Unsupported status",IF($D12&lt;=0,"Qty must be above 0",IF($G12&lt;$F12,"Expected date before order date",IF($M12&gt;$D12,"Received more than ordered",IF(AND($H12="Received",$M12&lt;$D12),"Status Received but not fully received",IF(AND(IFERROR(INDEX(Config!$D$15:$D$34,MATCH($H12,Config!$C$15:$C$34,0)),"No")="Yes",$M12&gt;=$D12),"Fully received: update status","OK"))))))))))))))))))</f>
        <v>OK</v>
      </c>
      <c r="T12" s="52">
        <f>IF($O12=1,IFERROR(COUNTIFS($O$2:$O$301,1,$G$2:$G$301,"&lt;"&amp;$G12)+COUNTIFS($O$2:$O12,1,$G$2:$G12,$G12),""),"")</f>
        <v>5</v>
      </c>
    </row>
    <row r="13">
      <c r="A13" s="46" t="inlineStr">
        <is>
          <t>PO-2026-034</t>
        </is>
      </c>
      <c r="B13" s="46" t="inlineStr">
        <is>
          <t>SUP-04</t>
        </is>
      </c>
      <c r="C13" s="46" t="inlineStr">
        <is>
          <t>CRE-UNF-500G</t>
        </is>
      </c>
      <c r="D13" s="48" t="n">
        <v>700</v>
      </c>
      <c r="E13" s="47" t="n">
        <v>10.3</v>
      </c>
      <c r="F13" s="54" t="n">
        <v>46309</v>
      </c>
      <c r="G13" s="54" t="n">
        <v>46351</v>
      </c>
      <c r="H13" s="46" t="inlineStr">
        <is>
          <t>Draft</t>
        </is>
      </c>
      <c r="I13" s="46" t="inlineStr">
        <is>
          <t>https://example.com/purchasing/PO-2026-034</t>
        </is>
      </c>
      <c r="J13" s="46" t="inlineStr">
        <is>
          <t>Waiting for sign-off</t>
        </is>
      </c>
      <c r="K13" s="49" t="str">
        <f>IF($A13="","",IFERROR(INDEX(Suppliers!$B$2:$B$51,MATCH($B13,Suppliers!$A$2:$A$51,0))&amp;"","(not found)"))</f>
        <v>Dunmore Powder Labs</v>
      </c>
      <c r="L13" s="49" t="str">
        <f>IF($A13="","",IFERROR(INDEX(Products!$B$2:$B$101,MATCH($C13,Products!$A$2:$A$101,0))&amp;"","(not found)"))</f>
        <v>Creatine Monohydrate, Unflavoured, 500 g</v>
      </c>
      <c r="M13" s="50">
        <f>IF($A13="","",SUMIFS(Inventory_Ledger!$E$2:$E$2001,Inventory_Ledger!$H$2:$H$2001,$A13,Inventory_Ledger!$C$2:$C$2001,"Receipt",Inventory_Ledger!$D$2:$D$2001,$C13))</f>
        <v>0</v>
      </c>
      <c r="N13" s="50">
        <f>IF($A13="","",IF(IFERROR(INDEX(Config!$D$15:$D$34,MATCH($H13,Config!$C$15:$C$34,0)),"No")="Yes",MAX(0,IF(ISNUMBER($D13),$D13,0)-$M13),0))</f>
        <v>0</v>
      </c>
      <c r="O13" s="52">
        <f>IF($A13="","",IF($N13&gt;0,1,0))</f>
        <v>0</v>
      </c>
      <c r="P13" s="52">
        <f>IF($A13="","",IF(AND($O13=1,ISNUMBER($G13)),IF($G13&lt;Config!$B$4,1,0),0))</f>
        <v>0</v>
      </c>
      <c r="Q13" s="52">
        <f>IF($A13="","",IF($P13=1,Config!$B$4-$G13,0))</f>
        <v>0</v>
      </c>
      <c r="R13" s="53">
        <f>IF($A13="","",IF(AND(ISNUMBER($D13),ISNUMBER($E13)),$D13*$E13,""))</f>
        <v>7210</v>
      </c>
      <c r="S13" s="49" t="str">
        <f>IF(COUNTA($A13:$J13)=0,"",IF($A13="","Missing: PO ID",IF(COUNTIF($A$2:$A$301,$A13)&gt;1,"Duplicate PO ID",IF($B13="","Missing: supplier",IF($C13="","Missing: SKU",IF(NOT(ISNUMBER($D13)),"Missing: qty",IF(NOT(ISNUMBER($F13)),"Missing: order date",IF(NOT(ISNUMBER($G13)),"Missing: expected date",IF($H13="","Missing: status",IF($I13="","Missing: source link",IF(COUNTIF(Suppliers!$A$2:$A$51,$B13)=0,"Unknown supplier",IF(COUNTIF(Products!$A$2:$A$101,$C13)=0,"Unknown SKU",IF(COUNTIF(Config!$C$15:$C$34,$H13)=0,"Unsupported status",IF($D13&lt;=0,"Qty must be above 0",IF($G13&lt;$F13,"Expected date before order date",IF($M13&gt;$D13,"Received more than ordered",IF(AND($H13="Received",$M13&lt;$D13),"Status Received but not fully received",IF(AND(IFERROR(INDEX(Config!$D$15:$D$34,MATCH($H13,Config!$C$15:$C$34,0)),"No")="Yes",$M13&gt;=$D13),"Fully received: update status","OK"))))))))))))))))))</f>
        <v>OK</v>
      </c>
      <c r="T13" s="52" t="str">
        <f>IF($O13=1,IFERROR(COUNTIFS($O$2:$O$301,1,$G$2:$G$301,"&lt;"&amp;$G13)+COUNTIFS($O$2:$O13,1,$G$2:$G13,$G13),""),"")</f>
        <v/>
      </c>
    </row>
    <row r="14">
      <c r="A14" s="46" t="n"/>
      <c r="B14" s="46" t="n"/>
      <c r="C14" s="46" t="n"/>
      <c r="D14" s="48" t="n"/>
      <c r="E14" s="47" t="n"/>
      <c r="F14" s="54" t="n"/>
      <c r="G14" s="54" t="n"/>
      <c r="H14" s="46" t="n"/>
      <c r="I14" s="46" t="n"/>
      <c r="J14" s="46" t="n"/>
      <c r="K14" s="49" t="str">
        <f>IF($A14="","",IFERROR(INDEX(Suppliers!$B$2:$B$51,MATCH($B14,Suppliers!$A$2:$A$51,0))&amp;"","(not found)"))</f>
        <v/>
      </c>
      <c r="L14" s="49" t="str">
        <f>IF($A14="","",IFERROR(INDEX(Products!$B$2:$B$101,MATCH($C14,Products!$A$2:$A$101,0))&amp;"","(not found)"))</f>
        <v/>
      </c>
      <c r="M14" s="50" t="str">
        <f>IF($A14="","",SUMIFS(Inventory_Ledger!$E$2:$E$2001,Inventory_Ledger!$H$2:$H$2001,$A14,Inventory_Ledger!$C$2:$C$2001,"Receipt",Inventory_Ledger!$D$2:$D$2001,$C14))</f>
        <v/>
      </c>
      <c r="N14" s="50" t="str">
        <f>IF($A14="","",IF(IFERROR(INDEX(Config!$D$15:$D$34,MATCH($H14,Config!$C$15:$C$34,0)),"No")="Yes",MAX(0,IF(ISNUMBER($D14),$D14,0)-$M14),0))</f>
        <v/>
      </c>
      <c r="O14" s="52" t="str">
        <f>IF($A14="","",IF($N14&gt;0,1,0))</f>
        <v/>
      </c>
      <c r="P14" s="52" t="str">
        <f>IF($A14="","",IF(AND($O14=1,ISNUMBER($G14)),IF($G14&lt;Config!$B$4,1,0),0))</f>
        <v/>
      </c>
      <c r="Q14" s="52" t="str">
        <f>IF($A14="","",IF($P14=1,Config!$B$4-$G14,0))</f>
        <v/>
      </c>
      <c r="R14" s="53" t="str">
        <f>IF($A14="","",IF(AND(ISNUMBER($D14),ISNUMBER($E14)),$D14*$E14,""))</f>
        <v/>
      </c>
      <c r="S14" s="49" t="str">
        <f>IF(COUNTA($A14:$J14)=0,"",IF($A14="","Missing: PO ID",IF(COUNTIF($A$2:$A$301,$A14)&gt;1,"Duplicate PO ID",IF($B14="","Missing: supplier",IF($C14="","Missing: SKU",IF(NOT(ISNUMBER($D14)),"Missing: qty",IF(NOT(ISNUMBER($F14)),"Missing: order date",IF(NOT(ISNUMBER($G14)),"Missing: expected date",IF($H14="","Missing: status",IF($I14="","Missing: source link",IF(COUNTIF(Suppliers!$A$2:$A$51,$B14)=0,"Unknown supplier",IF(COUNTIF(Products!$A$2:$A$101,$C14)=0,"Unknown SKU",IF(COUNTIF(Config!$C$15:$C$34,$H14)=0,"Unsupported status",IF($D14&lt;=0,"Qty must be above 0",IF($G14&lt;$F14,"Expected date before order date",IF($M14&gt;$D14,"Received more than ordered",IF(AND($H14="Received",$M14&lt;$D14),"Status Received but not fully received",IF(AND(IFERROR(INDEX(Config!$D$15:$D$34,MATCH($H14,Config!$C$15:$C$34,0)),"No")="Yes",$M14&gt;=$D14),"Fully received: update status","OK"))))))))))))))))))</f>
        <v/>
      </c>
      <c r="T14" s="52" t="str">
        <f>IF($O14=1,IFERROR(COUNTIFS($O$2:$O$301,1,$G$2:$G$301,"&lt;"&amp;$G14)+COUNTIFS($O$2:$O14,1,$G$2:$G14,$G14),""),"")</f>
        <v/>
      </c>
    </row>
    <row r="15">
      <c r="A15" s="46" t="n"/>
      <c r="B15" s="46" t="n"/>
      <c r="C15" s="46" t="n"/>
      <c r="D15" s="48" t="n"/>
      <c r="E15" s="47" t="n"/>
      <c r="F15" s="54" t="n"/>
      <c r="G15" s="54" t="n"/>
      <c r="H15" s="46" t="n"/>
      <c r="I15" s="46" t="n"/>
      <c r="J15" s="46" t="n"/>
      <c r="K15" s="49" t="str">
        <f>IF($A15="","",IFERROR(INDEX(Suppliers!$B$2:$B$51,MATCH($B15,Suppliers!$A$2:$A$51,0))&amp;"","(not found)"))</f>
        <v/>
      </c>
      <c r="L15" s="49" t="str">
        <f>IF($A15="","",IFERROR(INDEX(Products!$B$2:$B$101,MATCH($C15,Products!$A$2:$A$101,0))&amp;"","(not found)"))</f>
        <v/>
      </c>
      <c r="M15" s="50" t="str">
        <f>IF($A15="","",SUMIFS(Inventory_Ledger!$E$2:$E$2001,Inventory_Ledger!$H$2:$H$2001,$A15,Inventory_Ledger!$C$2:$C$2001,"Receipt",Inventory_Ledger!$D$2:$D$2001,$C15))</f>
        <v/>
      </c>
      <c r="N15" s="50" t="str">
        <f>IF($A15="","",IF(IFERROR(INDEX(Config!$D$15:$D$34,MATCH($H15,Config!$C$15:$C$34,0)),"No")="Yes",MAX(0,IF(ISNUMBER($D15),$D15,0)-$M15),0))</f>
        <v/>
      </c>
      <c r="O15" s="52" t="str">
        <f>IF($A15="","",IF($N15&gt;0,1,0))</f>
        <v/>
      </c>
      <c r="P15" s="52" t="str">
        <f>IF($A15="","",IF(AND($O15=1,ISNUMBER($G15)),IF($G15&lt;Config!$B$4,1,0),0))</f>
        <v/>
      </c>
      <c r="Q15" s="52" t="str">
        <f>IF($A15="","",IF($P15=1,Config!$B$4-$G15,0))</f>
        <v/>
      </c>
      <c r="R15" s="53" t="str">
        <f>IF($A15="","",IF(AND(ISNUMBER($D15),ISNUMBER($E15)),$D15*$E15,""))</f>
        <v/>
      </c>
      <c r="S15" s="49" t="str">
        <f>IF(COUNTA($A15:$J15)=0,"",IF($A15="","Missing: PO ID",IF(COUNTIF($A$2:$A$301,$A15)&gt;1,"Duplicate PO ID",IF($B15="","Missing: supplier",IF($C15="","Missing: SKU",IF(NOT(ISNUMBER($D15)),"Missing: qty",IF(NOT(ISNUMBER($F15)),"Missing: order date",IF(NOT(ISNUMBER($G15)),"Missing: expected date",IF($H15="","Missing: status",IF($I15="","Missing: source link",IF(COUNTIF(Suppliers!$A$2:$A$51,$B15)=0,"Unknown supplier",IF(COUNTIF(Products!$A$2:$A$101,$C15)=0,"Unknown SKU",IF(COUNTIF(Config!$C$15:$C$34,$H15)=0,"Unsupported status",IF($D15&lt;=0,"Qty must be above 0",IF($G15&lt;$F15,"Expected date before order date",IF($M15&gt;$D15,"Received more than ordered",IF(AND($H15="Received",$M15&lt;$D15),"Status Received but not fully received",IF(AND(IFERROR(INDEX(Config!$D$15:$D$34,MATCH($H15,Config!$C$15:$C$34,0)),"No")="Yes",$M15&gt;=$D15),"Fully received: update status","OK"))))))))))))))))))</f>
        <v/>
      </c>
      <c r="T15" s="52" t="str">
        <f>IF($O15=1,IFERROR(COUNTIFS($O$2:$O$301,1,$G$2:$G$301,"&lt;"&amp;$G15)+COUNTIFS($O$2:$O15,1,$G$2:$G15,$G15),""),"")</f>
        <v/>
      </c>
    </row>
    <row r="16">
      <c r="A16" s="46" t="n"/>
      <c r="B16" s="46" t="n"/>
      <c r="C16" s="46" t="n"/>
      <c r="D16" s="48" t="n"/>
      <c r="E16" s="47" t="n"/>
      <c r="F16" s="54" t="n"/>
      <c r="G16" s="54" t="n"/>
      <c r="H16" s="46" t="n"/>
      <c r="I16" s="46" t="n"/>
      <c r="J16" s="46" t="n"/>
      <c r="K16" s="49" t="str">
        <f>IF($A16="","",IFERROR(INDEX(Suppliers!$B$2:$B$51,MATCH($B16,Suppliers!$A$2:$A$51,0))&amp;"","(not found)"))</f>
        <v/>
      </c>
      <c r="L16" s="49" t="str">
        <f>IF($A16="","",IFERROR(INDEX(Products!$B$2:$B$101,MATCH($C16,Products!$A$2:$A$101,0))&amp;"","(not found)"))</f>
        <v/>
      </c>
      <c r="M16" s="50" t="str">
        <f>IF($A16="","",SUMIFS(Inventory_Ledger!$E$2:$E$2001,Inventory_Ledger!$H$2:$H$2001,$A16,Inventory_Ledger!$C$2:$C$2001,"Receipt",Inventory_Ledger!$D$2:$D$2001,$C16))</f>
        <v/>
      </c>
      <c r="N16" s="50" t="str">
        <f>IF($A16="","",IF(IFERROR(INDEX(Config!$D$15:$D$34,MATCH($H16,Config!$C$15:$C$34,0)),"No")="Yes",MAX(0,IF(ISNUMBER($D16),$D16,0)-$M16),0))</f>
        <v/>
      </c>
      <c r="O16" s="52" t="str">
        <f>IF($A16="","",IF($N16&gt;0,1,0))</f>
        <v/>
      </c>
      <c r="P16" s="52" t="str">
        <f>IF($A16="","",IF(AND($O16=1,ISNUMBER($G16)),IF($G16&lt;Config!$B$4,1,0),0))</f>
        <v/>
      </c>
      <c r="Q16" s="52" t="str">
        <f>IF($A16="","",IF($P16=1,Config!$B$4-$G16,0))</f>
        <v/>
      </c>
      <c r="R16" s="53" t="str">
        <f>IF($A16="","",IF(AND(ISNUMBER($D16),ISNUMBER($E16)),$D16*$E16,""))</f>
        <v/>
      </c>
      <c r="S16" s="49" t="str">
        <f>IF(COUNTA($A16:$J16)=0,"",IF($A16="","Missing: PO ID",IF(COUNTIF($A$2:$A$301,$A16)&gt;1,"Duplicate PO ID",IF($B16="","Missing: supplier",IF($C16="","Missing: SKU",IF(NOT(ISNUMBER($D16)),"Missing: qty",IF(NOT(ISNUMBER($F16)),"Missing: order date",IF(NOT(ISNUMBER($G16)),"Missing: expected date",IF($H16="","Missing: status",IF($I16="","Missing: source link",IF(COUNTIF(Suppliers!$A$2:$A$51,$B16)=0,"Unknown supplier",IF(COUNTIF(Products!$A$2:$A$101,$C16)=0,"Unknown SKU",IF(COUNTIF(Config!$C$15:$C$34,$H16)=0,"Unsupported status",IF($D16&lt;=0,"Qty must be above 0",IF($G16&lt;$F16,"Expected date before order date",IF($M16&gt;$D16,"Received more than ordered",IF(AND($H16="Received",$M16&lt;$D16),"Status Received but not fully received",IF(AND(IFERROR(INDEX(Config!$D$15:$D$34,MATCH($H16,Config!$C$15:$C$34,0)),"No")="Yes",$M16&gt;=$D16),"Fully received: update status","OK"))))))))))))))))))</f>
        <v/>
      </c>
      <c r="T16" s="52" t="str">
        <f>IF($O16=1,IFERROR(COUNTIFS($O$2:$O$301,1,$G$2:$G$301,"&lt;"&amp;$G16)+COUNTIFS($O$2:$O16,1,$G$2:$G16,$G16),""),"")</f>
        <v/>
      </c>
    </row>
    <row r="17">
      <c r="A17" s="46" t="n"/>
      <c r="B17" s="46" t="n"/>
      <c r="C17" s="46" t="n"/>
      <c r="D17" s="48" t="n"/>
      <c r="E17" s="47" t="n"/>
      <c r="F17" s="54" t="n"/>
      <c r="G17" s="54" t="n"/>
      <c r="H17" s="46" t="n"/>
      <c r="I17" s="46" t="n"/>
      <c r="J17" s="46" t="n"/>
      <c r="K17" s="49" t="str">
        <f>IF($A17="","",IFERROR(INDEX(Suppliers!$B$2:$B$51,MATCH($B17,Suppliers!$A$2:$A$51,0))&amp;"","(not found)"))</f>
        <v/>
      </c>
      <c r="L17" s="49" t="str">
        <f>IF($A17="","",IFERROR(INDEX(Products!$B$2:$B$101,MATCH($C17,Products!$A$2:$A$101,0))&amp;"","(not found)"))</f>
        <v/>
      </c>
      <c r="M17" s="50" t="str">
        <f>IF($A17="","",SUMIFS(Inventory_Ledger!$E$2:$E$2001,Inventory_Ledger!$H$2:$H$2001,$A17,Inventory_Ledger!$C$2:$C$2001,"Receipt",Inventory_Ledger!$D$2:$D$2001,$C17))</f>
        <v/>
      </c>
      <c r="N17" s="50" t="str">
        <f>IF($A17="","",IF(IFERROR(INDEX(Config!$D$15:$D$34,MATCH($H17,Config!$C$15:$C$34,0)),"No")="Yes",MAX(0,IF(ISNUMBER($D17),$D17,0)-$M17),0))</f>
        <v/>
      </c>
      <c r="O17" s="52" t="str">
        <f>IF($A17="","",IF($N17&gt;0,1,0))</f>
        <v/>
      </c>
      <c r="P17" s="52" t="str">
        <f>IF($A17="","",IF(AND($O17=1,ISNUMBER($G17)),IF($G17&lt;Config!$B$4,1,0),0))</f>
        <v/>
      </c>
      <c r="Q17" s="52" t="str">
        <f>IF($A17="","",IF($P17=1,Config!$B$4-$G17,0))</f>
        <v/>
      </c>
      <c r="R17" s="53" t="str">
        <f>IF($A17="","",IF(AND(ISNUMBER($D17),ISNUMBER($E17)),$D17*$E17,""))</f>
        <v/>
      </c>
      <c r="S17" s="49" t="str">
        <f>IF(COUNTA($A17:$J17)=0,"",IF($A17="","Missing: PO ID",IF(COUNTIF($A$2:$A$301,$A17)&gt;1,"Duplicate PO ID",IF($B17="","Missing: supplier",IF($C17="","Missing: SKU",IF(NOT(ISNUMBER($D17)),"Missing: qty",IF(NOT(ISNUMBER($F17)),"Missing: order date",IF(NOT(ISNUMBER($G17)),"Missing: expected date",IF($H17="","Missing: status",IF($I17="","Missing: source link",IF(COUNTIF(Suppliers!$A$2:$A$51,$B17)=0,"Unknown supplier",IF(COUNTIF(Products!$A$2:$A$101,$C17)=0,"Unknown SKU",IF(COUNTIF(Config!$C$15:$C$34,$H17)=0,"Unsupported status",IF($D17&lt;=0,"Qty must be above 0",IF($G17&lt;$F17,"Expected date before order date",IF($M17&gt;$D17,"Received more than ordered",IF(AND($H17="Received",$M17&lt;$D17),"Status Received but not fully received",IF(AND(IFERROR(INDEX(Config!$D$15:$D$34,MATCH($H17,Config!$C$15:$C$34,0)),"No")="Yes",$M17&gt;=$D17),"Fully received: update status","OK"))))))))))))))))))</f>
        <v/>
      </c>
      <c r="T17" s="52" t="str">
        <f>IF($O17=1,IFERROR(COUNTIFS($O$2:$O$301,1,$G$2:$G$301,"&lt;"&amp;$G17)+COUNTIFS($O$2:$O17,1,$G$2:$G17,$G17),""),"")</f>
        <v/>
      </c>
    </row>
    <row r="18">
      <c r="A18" s="46" t="n"/>
      <c r="B18" s="46" t="n"/>
      <c r="C18" s="46" t="n"/>
      <c r="D18" s="48" t="n"/>
      <c r="E18" s="47" t="n"/>
      <c r="F18" s="54" t="n"/>
      <c r="G18" s="54" t="n"/>
      <c r="H18" s="46" t="n"/>
      <c r="I18" s="46" t="n"/>
      <c r="J18" s="46" t="n"/>
      <c r="K18" s="49" t="str">
        <f>IF($A18="","",IFERROR(INDEX(Suppliers!$B$2:$B$51,MATCH($B18,Suppliers!$A$2:$A$51,0))&amp;"","(not found)"))</f>
        <v/>
      </c>
      <c r="L18" s="49" t="str">
        <f>IF($A18="","",IFERROR(INDEX(Products!$B$2:$B$101,MATCH($C18,Products!$A$2:$A$101,0))&amp;"","(not found)"))</f>
        <v/>
      </c>
      <c r="M18" s="50" t="str">
        <f>IF($A18="","",SUMIFS(Inventory_Ledger!$E$2:$E$2001,Inventory_Ledger!$H$2:$H$2001,$A18,Inventory_Ledger!$C$2:$C$2001,"Receipt",Inventory_Ledger!$D$2:$D$2001,$C18))</f>
        <v/>
      </c>
      <c r="N18" s="50" t="str">
        <f>IF($A18="","",IF(IFERROR(INDEX(Config!$D$15:$D$34,MATCH($H18,Config!$C$15:$C$34,0)),"No")="Yes",MAX(0,IF(ISNUMBER($D18),$D18,0)-$M18),0))</f>
        <v/>
      </c>
      <c r="O18" s="52" t="str">
        <f>IF($A18="","",IF($N18&gt;0,1,0))</f>
        <v/>
      </c>
      <c r="P18" s="52" t="str">
        <f>IF($A18="","",IF(AND($O18=1,ISNUMBER($G18)),IF($G18&lt;Config!$B$4,1,0),0))</f>
        <v/>
      </c>
      <c r="Q18" s="52" t="str">
        <f>IF($A18="","",IF($P18=1,Config!$B$4-$G18,0))</f>
        <v/>
      </c>
      <c r="R18" s="53" t="str">
        <f>IF($A18="","",IF(AND(ISNUMBER($D18),ISNUMBER($E18)),$D18*$E18,""))</f>
        <v/>
      </c>
      <c r="S18" s="49" t="str">
        <f>IF(COUNTA($A18:$J18)=0,"",IF($A18="","Missing: PO ID",IF(COUNTIF($A$2:$A$301,$A18)&gt;1,"Duplicate PO ID",IF($B18="","Missing: supplier",IF($C18="","Missing: SKU",IF(NOT(ISNUMBER($D18)),"Missing: qty",IF(NOT(ISNUMBER($F18)),"Missing: order date",IF(NOT(ISNUMBER($G18)),"Missing: expected date",IF($H18="","Missing: status",IF($I18="","Missing: source link",IF(COUNTIF(Suppliers!$A$2:$A$51,$B18)=0,"Unknown supplier",IF(COUNTIF(Products!$A$2:$A$101,$C18)=0,"Unknown SKU",IF(COUNTIF(Config!$C$15:$C$34,$H18)=0,"Unsupported status",IF($D18&lt;=0,"Qty must be above 0",IF($G18&lt;$F18,"Expected date before order date",IF($M18&gt;$D18,"Received more than ordered",IF(AND($H18="Received",$M18&lt;$D18),"Status Received but not fully received",IF(AND(IFERROR(INDEX(Config!$D$15:$D$34,MATCH($H18,Config!$C$15:$C$34,0)),"No")="Yes",$M18&gt;=$D18),"Fully received: update status","OK"))))))))))))))))))</f>
        <v/>
      </c>
      <c r="T18" s="52" t="str">
        <f>IF($O18=1,IFERROR(COUNTIFS($O$2:$O$301,1,$G$2:$G$301,"&lt;"&amp;$G18)+COUNTIFS($O$2:$O18,1,$G$2:$G18,$G18),""),"")</f>
        <v/>
      </c>
    </row>
    <row r="19">
      <c r="A19" s="46" t="n"/>
      <c r="B19" s="46" t="n"/>
      <c r="C19" s="46" t="n"/>
      <c r="D19" s="48" t="n"/>
      <c r="E19" s="47" t="n"/>
      <c r="F19" s="54" t="n"/>
      <c r="G19" s="54" t="n"/>
      <c r="H19" s="46" t="n"/>
      <c r="I19" s="46" t="n"/>
      <c r="J19" s="46" t="n"/>
      <c r="K19" s="49" t="str">
        <f>IF($A19="","",IFERROR(INDEX(Suppliers!$B$2:$B$51,MATCH($B19,Suppliers!$A$2:$A$51,0))&amp;"","(not found)"))</f>
        <v/>
      </c>
      <c r="L19" s="49" t="str">
        <f>IF($A19="","",IFERROR(INDEX(Products!$B$2:$B$101,MATCH($C19,Products!$A$2:$A$101,0))&amp;"","(not found)"))</f>
        <v/>
      </c>
      <c r="M19" s="50" t="str">
        <f>IF($A19="","",SUMIFS(Inventory_Ledger!$E$2:$E$2001,Inventory_Ledger!$H$2:$H$2001,$A19,Inventory_Ledger!$C$2:$C$2001,"Receipt",Inventory_Ledger!$D$2:$D$2001,$C19))</f>
        <v/>
      </c>
      <c r="N19" s="50" t="str">
        <f>IF($A19="","",IF(IFERROR(INDEX(Config!$D$15:$D$34,MATCH($H19,Config!$C$15:$C$34,0)),"No")="Yes",MAX(0,IF(ISNUMBER($D19),$D19,0)-$M19),0))</f>
        <v/>
      </c>
      <c r="O19" s="52" t="str">
        <f>IF($A19="","",IF($N19&gt;0,1,0))</f>
        <v/>
      </c>
      <c r="P19" s="52" t="str">
        <f>IF($A19="","",IF(AND($O19=1,ISNUMBER($G19)),IF($G19&lt;Config!$B$4,1,0),0))</f>
        <v/>
      </c>
      <c r="Q19" s="52" t="str">
        <f>IF($A19="","",IF($P19=1,Config!$B$4-$G19,0))</f>
        <v/>
      </c>
      <c r="R19" s="53" t="str">
        <f>IF($A19="","",IF(AND(ISNUMBER($D19),ISNUMBER($E19)),$D19*$E19,""))</f>
        <v/>
      </c>
      <c r="S19" s="49" t="str">
        <f>IF(COUNTA($A19:$J19)=0,"",IF($A19="","Missing: PO ID",IF(COUNTIF($A$2:$A$301,$A19)&gt;1,"Duplicate PO ID",IF($B19="","Missing: supplier",IF($C19="","Missing: SKU",IF(NOT(ISNUMBER($D19)),"Missing: qty",IF(NOT(ISNUMBER($F19)),"Missing: order date",IF(NOT(ISNUMBER($G19)),"Missing: expected date",IF($H19="","Missing: status",IF($I19="","Missing: source link",IF(COUNTIF(Suppliers!$A$2:$A$51,$B19)=0,"Unknown supplier",IF(COUNTIF(Products!$A$2:$A$101,$C19)=0,"Unknown SKU",IF(COUNTIF(Config!$C$15:$C$34,$H19)=0,"Unsupported status",IF($D19&lt;=0,"Qty must be above 0",IF($G19&lt;$F19,"Expected date before order date",IF($M19&gt;$D19,"Received more than ordered",IF(AND($H19="Received",$M19&lt;$D19),"Status Received but not fully received",IF(AND(IFERROR(INDEX(Config!$D$15:$D$34,MATCH($H19,Config!$C$15:$C$34,0)),"No")="Yes",$M19&gt;=$D19),"Fully received: update status","OK"))))))))))))))))))</f>
        <v/>
      </c>
      <c r="T19" s="52" t="str">
        <f>IF($O19=1,IFERROR(COUNTIFS($O$2:$O$301,1,$G$2:$G$301,"&lt;"&amp;$G19)+COUNTIFS($O$2:$O19,1,$G$2:$G19,$G19),""),"")</f>
        <v/>
      </c>
    </row>
    <row r="20">
      <c r="A20" s="46" t="n"/>
      <c r="B20" s="46" t="n"/>
      <c r="C20" s="46" t="n"/>
      <c r="D20" s="48" t="n"/>
      <c r="E20" s="47" t="n"/>
      <c r="F20" s="54" t="n"/>
      <c r="G20" s="54" t="n"/>
      <c r="H20" s="46" t="n"/>
      <c r="I20" s="46" t="n"/>
      <c r="J20" s="46" t="n"/>
      <c r="K20" s="49" t="str">
        <f>IF($A20="","",IFERROR(INDEX(Suppliers!$B$2:$B$51,MATCH($B20,Suppliers!$A$2:$A$51,0))&amp;"","(not found)"))</f>
        <v/>
      </c>
      <c r="L20" s="49" t="str">
        <f>IF($A20="","",IFERROR(INDEX(Products!$B$2:$B$101,MATCH($C20,Products!$A$2:$A$101,0))&amp;"","(not found)"))</f>
        <v/>
      </c>
      <c r="M20" s="50" t="str">
        <f>IF($A20="","",SUMIFS(Inventory_Ledger!$E$2:$E$2001,Inventory_Ledger!$H$2:$H$2001,$A20,Inventory_Ledger!$C$2:$C$2001,"Receipt",Inventory_Ledger!$D$2:$D$2001,$C20))</f>
        <v/>
      </c>
      <c r="N20" s="50" t="str">
        <f>IF($A20="","",IF(IFERROR(INDEX(Config!$D$15:$D$34,MATCH($H20,Config!$C$15:$C$34,0)),"No")="Yes",MAX(0,IF(ISNUMBER($D20),$D20,0)-$M20),0))</f>
        <v/>
      </c>
      <c r="O20" s="52" t="str">
        <f>IF($A20="","",IF($N20&gt;0,1,0))</f>
        <v/>
      </c>
      <c r="P20" s="52" t="str">
        <f>IF($A20="","",IF(AND($O20=1,ISNUMBER($G20)),IF($G20&lt;Config!$B$4,1,0),0))</f>
        <v/>
      </c>
      <c r="Q20" s="52" t="str">
        <f>IF($A20="","",IF($P20=1,Config!$B$4-$G20,0))</f>
        <v/>
      </c>
      <c r="R20" s="53" t="str">
        <f>IF($A20="","",IF(AND(ISNUMBER($D20),ISNUMBER($E20)),$D20*$E20,""))</f>
        <v/>
      </c>
      <c r="S20" s="49" t="str">
        <f>IF(COUNTA($A20:$J20)=0,"",IF($A20="","Missing: PO ID",IF(COUNTIF($A$2:$A$301,$A20)&gt;1,"Duplicate PO ID",IF($B20="","Missing: supplier",IF($C20="","Missing: SKU",IF(NOT(ISNUMBER($D20)),"Missing: qty",IF(NOT(ISNUMBER($F20)),"Missing: order date",IF(NOT(ISNUMBER($G20)),"Missing: expected date",IF($H20="","Missing: status",IF($I20="","Missing: source link",IF(COUNTIF(Suppliers!$A$2:$A$51,$B20)=0,"Unknown supplier",IF(COUNTIF(Products!$A$2:$A$101,$C20)=0,"Unknown SKU",IF(COUNTIF(Config!$C$15:$C$34,$H20)=0,"Unsupported status",IF($D20&lt;=0,"Qty must be above 0",IF($G20&lt;$F20,"Expected date before order date",IF($M20&gt;$D20,"Received more than ordered",IF(AND($H20="Received",$M20&lt;$D20),"Status Received but not fully received",IF(AND(IFERROR(INDEX(Config!$D$15:$D$34,MATCH($H20,Config!$C$15:$C$34,0)),"No")="Yes",$M20&gt;=$D20),"Fully received: update status","OK"))))))))))))))))))</f>
        <v/>
      </c>
      <c r="T20" s="52" t="str">
        <f>IF($O20=1,IFERROR(COUNTIFS($O$2:$O$301,1,$G$2:$G$301,"&lt;"&amp;$G20)+COUNTIFS($O$2:$O20,1,$G$2:$G20,$G20),""),"")</f>
        <v/>
      </c>
    </row>
    <row r="21">
      <c r="A21" s="46" t="n"/>
      <c r="B21" s="46" t="n"/>
      <c r="C21" s="46" t="n"/>
      <c r="D21" s="48" t="n"/>
      <c r="E21" s="47" t="n"/>
      <c r="F21" s="54" t="n"/>
      <c r="G21" s="54" t="n"/>
      <c r="H21" s="46" t="n"/>
      <c r="I21" s="46" t="n"/>
      <c r="J21" s="46" t="n"/>
      <c r="K21" s="49" t="str">
        <f>IF($A21="","",IFERROR(INDEX(Suppliers!$B$2:$B$51,MATCH($B21,Suppliers!$A$2:$A$51,0))&amp;"","(not found)"))</f>
        <v/>
      </c>
      <c r="L21" s="49" t="str">
        <f>IF($A21="","",IFERROR(INDEX(Products!$B$2:$B$101,MATCH($C21,Products!$A$2:$A$101,0))&amp;"","(not found)"))</f>
        <v/>
      </c>
      <c r="M21" s="50" t="str">
        <f>IF($A21="","",SUMIFS(Inventory_Ledger!$E$2:$E$2001,Inventory_Ledger!$H$2:$H$2001,$A21,Inventory_Ledger!$C$2:$C$2001,"Receipt",Inventory_Ledger!$D$2:$D$2001,$C21))</f>
        <v/>
      </c>
      <c r="N21" s="50" t="str">
        <f>IF($A21="","",IF(IFERROR(INDEX(Config!$D$15:$D$34,MATCH($H21,Config!$C$15:$C$34,0)),"No")="Yes",MAX(0,IF(ISNUMBER($D21),$D21,0)-$M21),0))</f>
        <v/>
      </c>
      <c r="O21" s="52" t="str">
        <f>IF($A21="","",IF($N21&gt;0,1,0))</f>
        <v/>
      </c>
      <c r="P21" s="52" t="str">
        <f>IF($A21="","",IF(AND($O21=1,ISNUMBER($G21)),IF($G21&lt;Config!$B$4,1,0),0))</f>
        <v/>
      </c>
      <c r="Q21" s="52" t="str">
        <f>IF($A21="","",IF($P21=1,Config!$B$4-$G21,0))</f>
        <v/>
      </c>
      <c r="R21" s="53" t="str">
        <f>IF($A21="","",IF(AND(ISNUMBER($D21),ISNUMBER($E21)),$D21*$E21,""))</f>
        <v/>
      </c>
      <c r="S21" s="49" t="str">
        <f>IF(COUNTA($A21:$J21)=0,"",IF($A21="","Missing: PO ID",IF(COUNTIF($A$2:$A$301,$A21)&gt;1,"Duplicate PO ID",IF($B21="","Missing: supplier",IF($C21="","Missing: SKU",IF(NOT(ISNUMBER($D21)),"Missing: qty",IF(NOT(ISNUMBER($F21)),"Missing: order date",IF(NOT(ISNUMBER($G21)),"Missing: expected date",IF($H21="","Missing: status",IF($I21="","Missing: source link",IF(COUNTIF(Suppliers!$A$2:$A$51,$B21)=0,"Unknown supplier",IF(COUNTIF(Products!$A$2:$A$101,$C21)=0,"Unknown SKU",IF(COUNTIF(Config!$C$15:$C$34,$H21)=0,"Unsupported status",IF($D21&lt;=0,"Qty must be above 0",IF($G21&lt;$F21,"Expected date before order date",IF($M21&gt;$D21,"Received more than ordered",IF(AND($H21="Received",$M21&lt;$D21),"Status Received but not fully received",IF(AND(IFERROR(INDEX(Config!$D$15:$D$34,MATCH($H21,Config!$C$15:$C$34,0)),"No")="Yes",$M21&gt;=$D21),"Fully received: update status","OK"))))))))))))))))))</f>
        <v/>
      </c>
      <c r="T21" s="52" t="str">
        <f>IF($O21=1,IFERROR(COUNTIFS($O$2:$O$301,1,$G$2:$G$301,"&lt;"&amp;$G21)+COUNTIFS($O$2:$O21,1,$G$2:$G21,$G21),""),"")</f>
        <v/>
      </c>
    </row>
    <row r="22">
      <c r="A22" s="46" t="n"/>
      <c r="B22" s="46" t="n"/>
      <c r="C22" s="46" t="n"/>
      <c r="D22" s="48" t="n"/>
      <c r="E22" s="47" t="n"/>
      <c r="F22" s="54" t="n"/>
      <c r="G22" s="54" t="n"/>
      <c r="H22" s="46" t="n"/>
      <c r="I22" s="46" t="n"/>
      <c r="J22" s="46" t="n"/>
      <c r="K22" s="49" t="str">
        <f>IF($A22="","",IFERROR(INDEX(Suppliers!$B$2:$B$51,MATCH($B22,Suppliers!$A$2:$A$51,0))&amp;"","(not found)"))</f>
        <v/>
      </c>
      <c r="L22" s="49" t="str">
        <f>IF($A22="","",IFERROR(INDEX(Products!$B$2:$B$101,MATCH($C22,Products!$A$2:$A$101,0))&amp;"","(not found)"))</f>
        <v/>
      </c>
      <c r="M22" s="50" t="str">
        <f>IF($A22="","",SUMIFS(Inventory_Ledger!$E$2:$E$2001,Inventory_Ledger!$H$2:$H$2001,$A22,Inventory_Ledger!$C$2:$C$2001,"Receipt",Inventory_Ledger!$D$2:$D$2001,$C22))</f>
        <v/>
      </c>
      <c r="N22" s="50" t="str">
        <f>IF($A22="","",IF(IFERROR(INDEX(Config!$D$15:$D$34,MATCH($H22,Config!$C$15:$C$34,0)),"No")="Yes",MAX(0,IF(ISNUMBER($D22),$D22,0)-$M22),0))</f>
        <v/>
      </c>
      <c r="O22" s="52" t="str">
        <f>IF($A22="","",IF($N22&gt;0,1,0))</f>
        <v/>
      </c>
      <c r="P22" s="52" t="str">
        <f>IF($A22="","",IF(AND($O22=1,ISNUMBER($G22)),IF($G22&lt;Config!$B$4,1,0),0))</f>
        <v/>
      </c>
      <c r="Q22" s="52" t="str">
        <f>IF($A22="","",IF($P22=1,Config!$B$4-$G22,0))</f>
        <v/>
      </c>
      <c r="R22" s="53" t="str">
        <f>IF($A22="","",IF(AND(ISNUMBER($D22),ISNUMBER($E22)),$D22*$E22,""))</f>
        <v/>
      </c>
      <c r="S22" s="49" t="str">
        <f>IF(COUNTA($A22:$J22)=0,"",IF($A22="","Missing: PO ID",IF(COUNTIF($A$2:$A$301,$A22)&gt;1,"Duplicate PO ID",IF($B22="","Missing: supplier",IF($C22="","Missing: SKU",IF(NOT(ISNUMBER($D22)),"Missing: qty",IF(NOT(ISNUMBER($F22)),"Missing: order date",IF(NOT(ISNUMBER($G22)),"Missing: expected date",IF($H22="","Missing: status",IF($I22="","Missing: source link",IF(COUNTIF(Suppliers!$A$2:$A$51,$B22)=0,"Unknown supplier",IF(COUNTIF(Products!$A$2:$A$101,$C22)=0,"Unknown SKU",IF(COUNTIF(Config!$C$15:$C$34,$H22)=0,"Unsupported status",IF($D22&lt;=0,"Qty must be above 0",IF($G22&lt;$F22,"Expected date before order date",IF($M22&gt;$D22,"Received more than ordered",IF(AND($H22="Received",$M22&lt;$D22),"Status Received but not fully received",IF(AND(IFERROR(INDEX(Config!$D$15:$D$34,MATCH($H22,Config!$C$15:$C$34,0)),"No")="Yes",$M22&gt;=$D22),"Fully received: update status","OK"))))))))))))))))))</f>
        <v/>
      </c>
      <c r="T22" s="52" t="str">
        <f>IF($O22=1,IFERROR(COUNTIFS($O$2:$O$301,1,$G$2:$G$301,"&lt;"&amp;$G22)+COUNTIFS($O$2:$O22,1,$G$2:$G22,$G22),""),"")</f>
        <v/>
      </c>
    </row>
    <row r="23">
      <c r="A23" s="46" t="n"/>
      <c r="B23" s="46" t="n"/>
      <c r="C23" s="46" t="n"/>
      <c r="D23" s="48" t="n"/>
      <c r="E23" s="47" t="n"/>
      <c r="F23" s="54" t="n"/>
      <c r="G23" s="54" t="n"/>
      <c r="H23" s="46" t="n"/>
      <c r="I23" s="46" t="n"/>
      <c r="J23" s="46" t="n"/>
      <c r="K23" s="49" t="str">
        <f>IF($A23="","",IFERROR(INDEX(Suppliers!$B$2:$B$51,MATCH($B23,Suppliers!$A$2:$A$51,0))&amp;"","(not found)"))</f>
        <v/>
      </c>
      <c r="L23" s="49" t="str">
        <f>IF($A23="","",IFERROR(INDEX(Products!$B$2:$B$101,MATCH($C23,Products!$A$2:$A$101,0))&amp;"","(not found)"))</f>
        <v/>
      </c>
      <c r="M23" s="50" t="str">
        <f>IF($A23="","",SUMIFS(Inventory_Ledger!$E$2:$E$2001,Inventory_Ledger!$H$2:$H$2001,$A23,Inventory_Ledger!$C$2:$C$2001,"Receipt",Inventory_Ledger!$D$2:$D$2001,$C23))</f>
        <v/>
      </c>
      <c r="N23" s="50" t="str">
        <f>IF($A23="","",IF(IFERROR(INDEX(Config!$D$15:$D$34,MATCH($H23,Config!$C$15:$C$34,0)),"No")="Yes",MAX(0,IF(ISNUMBER($D23),$D23,0)-$M23),0))</f>
        <v/>
      </c>
      <c r="O23" s="52" t="str">
        <f>IF($A23="","",IF($N23&gt;0,1,0))</f>
        <v/>
      </c>
      <c r="P23" s="52" t="str">
        <f>IF($A23="","",IF(AND($O23=1,ISNUMBER($G23)),IF($G23&lt;Config!$B$4,1,0),0))</f>
        <v/>
      </c>
      <c r="Q23" s="52" t="str">
        <f>IF($A23="","",IF($P23=1,Config!$B$4-$G23,0))</f>
        <v/>
      </c>
      <c r="R23" s="53" t="str">
        <f>IF($A23="","",IF(AND(ISNUMBER($D23),ISNUMBER($E23)),$D23*$E23,""))</f>
        <v/>
      </c>
      <c r="S23" s="49" t="str">
        <f>IF(COUNTA($A23:$J23)=0,"",IF($A23="","Missing: PO ID",IF(COUNTIF($A$2:$A$301,$A23)&gt;1,"Duplicate PO ID",IF($B23="","Missing: supplier",IF($C23="","Missing: SKU",IF(NOT(ISNUMBER($D23)),"Missing: qty",IF(NOT(ISNUMBER($F23)),"Missing: order date",IF(NOT(ISNUMBER($G23)),"Missing: expected date",IF($H23="","Missing: status",IF($I23="","Missing: source link",IF(COUNTIF(Suppliers!$A$2:$A$51,$B23)=0,"Unknown supplier",IF(COUNTIF(Products!$A$2:$A$101,$C23)=0,"Unknown SKU",IF(COUNTIF(Config!$C$15:$C$34,$H23)=0,"Unsupported status",IF($D23&lt;=0,"Qty must be above 0",IF($G23&lt;$F23,"Expected date before order date",IF($M23&gt;$D23,"Received more than ordered",IF(AND($H23="Received",$M23&lt;$D23),"Status Received but not fully received",IF(AND(IFERROR(INDEX(Config!$D$15:$D$34,MATCH($H23,Config!$C$15:$C$34,0)),"No")="Yes",$M23&gt;=$D23),"Fully received: update status","OK"))))))))))))))))))</f>
        <v/>
      </c>
      <c r="T23" s="52" t="str">
        <f>IF($O23=1,IFERROR(COUNTIFS($O$2:$O$301,1,$G$2:$G$301,"&lt;"&amp;$G23)+COUNTIFS($O$2:$O23,1,$G$2:$G23,$G23),""),"")</f>
        <v/>
      </c>
    </row>
    <row r="24">
      <c r="A24" s="46" t="n"/>
      <c r="B24" s="46" t="n"/>
      <c r="C24" s="46" t="n"/>
      <c r="D24" s="48" t="n"/>
      <c r="E24" s="47" t="n"/>
      <c r="F24" s="54" t="n"/>
      <c r="G24" s="54" t="n"/>
      <c r="H24" s="46" t="n"/>
      <c r="I24" s="46" t="n"/>
      <c r="J24" s="46" t="n"/>
      <c r="K24" s="49" t="str">
        <f>IF($A24="","",IFERROR(INDEX(Suppliers!$B$2:$B$51,MATCH($B24,Suppliers!$A$2:$A$51,0))&amp;"","(not found)"))</f>
        <v/>
      </c>
      <c r="L24" s="49" t="str">
        <f>IF($A24="","",IFERROR(INDEX(Products!$B$2:$B$101,MATCH($C24,Products!$A$2:$A$101,0))&amp;"","(not found)"))</f>
        <v/>
      </c>
      <c r="M24" s="50" t="str">
        <f>IF($A24="","",SUMIFS(Inventory_Ledger!$E$2:$E$2001,Inventory_Ledger!$H$2:$H$2001,$A24,Inventory_Ledger!$C$2:$C$2001,"Receipt",Inventory_Ledger!$D$2:$D$2001,$C24))</f>
        <v/>
      </c>
      <c r="N24" s="50" t="str">
        <f>IF($A24="","",IF(IFERROR(INDEX(Config!$D$15:$D$34,MATCH($H24,Config!$C$15:$C$34,0)),"No")="Yes",MAX(0,IF(ISNUMBER($D24),$D24,0)-$M24),0))</f>
        <v/>
      </c>
      <c r="O24" s="52" t="str">
        <f>IF($A24="","",IF($N24&gt;0,1,0))</f>
        <v/>
      </c>
      <c r="P24" s="52" t="str">
        <f>IF($A24="","",IF(AND($O24=1,ISNUMBER($G24)),IF($G24&lt;Config!$B$4,1,0),0))</f>
        <v/>
      </c>
      <c r="Q24" s="52" t="str">
        <f>IF($A24="","",IF($P24=1,Config!$B$4-$G24,0))</f>
        <v/>
      </c>
      <c r="R24" s="53" t="str">
        <f>IF($A24="","",IF(AND(ISNUMBER($D24),ISNUMBER($E24)),$D24*$E24,""))</f>
        <v/>
      </c>
      <c r="S24" s="49" t="str">
        <f>IF(COUNTA($A24:$J24)=0,"",IF($A24="","Missing: PO ID",IF(COUNTIF($A$2:$A$301,$A24)&gt;1,"Duplicate PO ID",IF($B24="","Missing: supplier",IF($C24="","Missing: SKU",IF(NOT(ISNUMBER($D24)),"Missing: qty",IF(NOT(ISNUMBER($F24)),"Missing: order date",IF(NOT(ISNUMBER($G24)),"Missing: expected date",IF($H24="","Missing: status",IF($I24="","Missing: source link",IF(COUNTIF(Suppliers!$A$2:$A$51,$B24)=0,"Unknown supplier",IF(COUNTIF(Products!$A$2:$A$101,$C24)=0,"Unknown SKU",IF(COUNTIF(Config!$C$15:$C$34,$H24)=0,"Unsupported status",IF($D24&lt;=0,"Qty must be above 0",IF($G24&lt;$F24,"Expected date before order date",IF($M24&gt;$D24,"Received more than ordered",IF(AND($H24="Received",$M24&lt;$D24),"Status Received but not fully received",IF(AND(IFERROR(INDEX(Config!$D$15:$D$34,MATCH($H24,Config!$C$15:$C$34,0)),"No")="Yes",$M24&gt;=$D24),"Fully received: update status","OK"))))))))))))))))))</f>
        <v/>
      </c>
      <c r="T24" s="52" t="str">
        <f>IF($O24=1,IFERROR(COUNTIFS($O$2:$O$301,1,$G$2:$G$301,"&lt;"&amp;$G24)+COUNTIFS($O$2:$O24,1,$G$2:$G24,$G24),""),"")</f>
        <v/>
      </c>
    </row>
    <row r="25">
      <c r="A25" s="46" t="n"/>
      <c r="B25" s="46" t="n"/>
      <c r="C25" s="46" t="n"/>
      <c r="D25" s="48" t="n"/>
      <c r="E25" s="47" t="n"/>
      <c r="F25" s="54" t="n"/>
      <c r="G25" s="54" t="n"/>
      <c r="H25" s="46" t="n"/>
      <c r="I25" s="46" t="n"/>
      <c r="J25" s="46" t="n"/>
      <c r="K25" s="49" t="str">
        <f>IF($A25="","",IFERROR(INDEX(Suppliers!$B$2:$B$51,MATCH($B25,Suppliers!$A$2:$A$51,0))&amp;"","(not found)"))</f>
        <v/>
      </c>
      <c r="L25" s="49" t="str">
        <f>IF($A25="","",IFERROR(INDEX(Products!$B$2:$B$101,MATCH($C25,Products!$A$2:$A$101,0))&amp;"","(not found)"))</f>
        <v/>
      </c>
      <c r="M25" s="50" t="str">
        <f>IF($A25="","",SUMIFS(Inventory_Ledger!$E$2:$E$2001,Inventory_Ledger!$H$2:$H$2001,$A25,Inventory_Ledger!$C$2:$C$2001,"Receipt",Inventory_Ledger!$D$2:$D$2001,$C25))</f>
        <v/>
      </c>
      <c r="N25" s="50" t="str">
        <f>IF($A25="","",IF(IFERROR(INDEX(Config!$D$15:$D$34,MATCH($H25,Config!$C$15:$C$34,0)),"No")="Yes",MAX(0,IF(ISNUMBER($D25),$D25,0)-$M25),0))</f>
        <v/>
      </c>
      <c r="O25" s="52" t="str">
        <f>IF($A25="","",IF($N25&gt;0,1,0))</f>
        <v/>
      </c>
      <c r="P25" s="52" t="str">
        <f>IF($A25="","",IF(AND($O25=1,ISNUMBER($G25)),IF($G25&lt;Config!$B$4,1,0),0))</f>
        <v/>
      </c>
      <c r="Q25" s="52" t="str">
        <f>IF($A25="","",IF($P25=1,Config!$B$4-$G25,0))</f>
        <v/>
      </c>
      <c r="R25" s="53" t="str">
        <f>IF($A25="","",IF(AND(ISNUMBER($D25),ISNUMBER($E25)),$D25*$E25,""))</f>
        <v/>
      </c>
      <c r="S25" s="49" t="str">
        <f>IF(COUNTA($A25:$J25)=0,"",IF($A25="","Missing: PO ID",IF(COUNTIF($A$2:$A$301,$A25)&gt;1,"Duplicate PO ID",IF($B25="","Missing: supplier",IF($C25="","Missing: SKU",IF(NOT(ISNUMBER($D25)),"Missing: qty",IF(NOT(ISNUMBER($F25)),"Missing: order date",IF(NOT(ISNUMBER($G25)),"Missing: expected date",IF($H25="","Missing: status",IF($I25="","Missing: source link",IF(COUNTIF(Suppliers!$A$2:$A$51,$B25)=0,"Unknown supplier",IF(COUNTIF(Products!$A$2:$A$101,$C25)=0,"Unknown SKU",IF(COUNTIF(Config!$C$15:$C$34,$H25)=0,"Unsupported status",IF($D25&lt;=0,"Qty must be above 0",IF($G25&lt;$F25,"Expected date before order date",IF($M25&gt;$D25,"Received more than ordered",IF(AND($H25="Received",$M25&lt;$D25),"Status Received but not fully received",IF(AND(IFERROR(INDEX(Config!$D$15:$D$34,MATCH($H25,Config!$C$15:$C$34,0)),"No")="Yes",$M25&gt;=$D25),"Fully received: update status","OK"))))))))))))))))))</f>
        <v/>
      </c>
      <c r="T25" s="52" t="str">
        <f>IF($O25=1,IFERROR(COUNTIFS($O$2:$O$301,1,$G$2:$G$301,"&lt;"&amp;$G25)+COUNTIFS($O$2:$O25,1,$G$2:$G25,$G25),""),"")</f>
        <v/>
      </c>
    </row>
    <row r="26">
      <c r="A26" s="46" t="n"/>
      <c r="B26" s="46" t="n"/>
      <c r="C26" s="46" t="n"/>
      <c r="D26" s="48" t="n"/>
      <c r="E26" s="47" t="n"/>
      <c r="F26" s="54" t="n"/>
      <c r="G26" s="54" t="n"/>
      <c r="H26" s="46" t="n"/>
      <c r="I26" s="46" t="n"/>
      <c r="J26" s="46" t="n"/>
      <c r="K26" s="49" t="str">
        <f>IF($A26="","",IFERROR(INDEX(Suppliers!$B$2:$B$51,MATCH($B26,Suppliers!$A$2:$A$51,0))&amp;"","(not found)"))</f>
        <v/>
      </c>
      <c r="L26" s="49" t="str">
        <f>IF($A26="","",IFERROR(INDEX(Products!$B$2:$B$101,MATCH($C26,Products!$A$2:$A$101,0))&amp;"","(not found)"))</f>
        <v/>
      </c>
      <c r="M26" s="50" t="str">
        <f>IF($A26="","",SUMIFS(Inventory_Ledger!$E$2:$E$2001,Inventory_Ledger!$H$2:$H$2001,$A26,Inventory_Ledger!$C$2:$C$2001,"Receipt",Inventory_Ledger!$D$2:$D$2001,$C26))</f>
        <v/>
      </c>
      <c r="N26" s="50" t="str">
        <f>IF($A26="","",IF(IFERROR(INDEX(Config!$D$15:$D$34,MATCH($H26,Config!$C$15:$C$34,0)),"No")="Yes",MAX(0,IF(ISNUMBER($D26),$D26,0)-$M26),0))</f>
        <v/>
      </c>
      <c r="O26" s="52" t="str">
        <f>IF($A26="","",IF($N26&gt;0,1,0))</f>
        <v/>
      </c>
      <c r="P26" s="52" t="str">
        <f>IF($A26="","",IF(AND($O26=1,ISNUMBER($G26)),IF($G26&lt;Config!$B$4,1,0),0))</f>
        <v/>
      </c>
      <c r="Q26" s="52" t="str">
        <f>IF($A26="","",IF($P26=1,Config!$B$4-$G26,0))</f>
        <v/>
      </c>
      <c r="R26" s="53" t="str">
        <f>IF($A26="","",IF(AND(ISNUMBER($D26),ISNUMBER($E26)),$D26*$E26,""))</f>
        <v/>
      </c>
      <c r="S26" s="49" t="str">
        <f>IF(COUNTA($A26:$J26)=0,"",IF($A26="","Missing: PO ID",IF(COUNTIF($A$2:$A$301,$A26)&gt;1,"Duplicate PO ID",IF($B26="","Missing: supplier",IF($C26="","Missing: SKU",IF(NOT(ISNUMBER($D26)),"Missing: qty",IF(NOT(ISNUMBER($F26)),"Missing: order date",IF(NOT(ISNUMBER($G26)),"Missing: expected date",IF($H26="","Missing: status",IF($I26="","Missing: source link",IF(COUNTIF(Suppliers!$A$2:$A$51,$B26)=0,"Unknown supplier",IF(COUNTIF(Products!$A$2:$A$101,$C26)=0,"Unknown SKU",IF(COUNTIF(Config!$C$15:$C$34,$H26)=0,"Unsupported status",IF($D26&lt;=0,"Qty must be above 0",IF($G26&lt;$F26,"Expected date before order date",IF($M26&gt;$D26,"Received more than ordered",IF(AND($H26="Received",$M26&lt;$D26),"Status Received but not fully received",IF(AND(IFERROR(INDEX(Config!$D$15:$D$34,MATCH($H26,Config!$C$15:$C$34,0)),"No")="Yes",$M26&gt;=$D26),"Fully received: update status","OK"))))))))))))))))))</f>
        <v/>
      </c>
      <c r="T26" s="52" t="str">
        <f>IF($O26=1,IFERROR(COUNTIFS($O$2:$O$301,1,$G$2:$G$301,"&lt;"&amp;$G26)+COUNTIFS($O$2:$O26,1,$G$2:$G26,$G26),""),"")</f>
        <v/>
      </c>
    </row>
    <row r="27">
      <c r="A27" s="46" t="n"/>
      <c r="B27" s="46" t="n"/>
      <c r="C27" s="46" t="n"/>
      <c r="D27" s="48" t="n"/>
      <c r="E27" s="47" t="n"/>
      <c r="F27" s="54" t="n"/>
      <c r="G27" s="54" t="n"/>
      <c r="H27" s="46" t="n"/>
      <c r="I27" s="46" t="n"/>
      <c r="J27" s="46" t="n"/>
      <c r="K27" s="49" t="str">
        <f>IF($A27="","",IFERROR(INDEX(Suppliers!$B$2:$B$51,MATCH($B27,Suppliers!$A$2:$A$51,0))&amp;"","(not found)"))</f>
        <v/>
      </c>
      <c r="L27" s="49" t="str">
        <f>IF($A27="","",IFERROR(INDEX(Products!$B$2:$B$101,MATCH($C27,Products!$A$2:$A$101,0))&amp;"","(not found)"))</f>
        <v/>
      </c>
      <c r="M27" s="50" t="str">
        <f>IF($A27="","",SUMIFS(Inventory_Ledger!$E$2:$E$2001,Inventory_Ledger!$H$2:$H$2001,$A27,Inventory_Ledger!$C$2:$C$2001,"Receipt",Inventory_Ledger!$D$2:$D$2001,$C27))</f>
        <v/>
      </c>
      <c r="N27" s="50" t="str">
        <f>IF($A27="","",IF(IFERROR(INDEX(Config!$D$15:$D$34,MATCH($H27,Config!$C$15:$C$34,0)),"No")="Yes",MAX(0,IF(ISNUMBER($D27),$D27,0)-$M27),0))</f>
        <v/>
      </c>
      <c r="O27" s="52" t="str">
        <f>IF($A27="","",IF($N27&gt;0,1,0))</f>
        <v/>
      </c>
      <c r="P27" s="52" t="str">
        <f>IF($A27="","",IF(AND($O27=1,ISNUMBER($G27)),IF($G27&lt;Config!$B$4,1,0),0))</f>
        <v/>
      </c>
      <c r="Q27" s="52" t="str">
        <f>IF($A27="","",IF($P27=1,Config!$B$4-$G27,0))</f>
        <v/>
      </c>
      <c r="R27" s="53" t="str">
        <f>IF($A27="","",IF(AND(ISNUMBER($D27),ISNUMBER($E27)),$D27*$E27,""))</f>
        <v/>
      </c>
      <c r="S27" s="49" t="str">
        <f>IF(COUNTA($A27:$J27)=0,"",IF($A27="","Missing: PO ID",IF(COUNTIF($A$2:$A$301,$A27)&gt;1,"Duplicate PO ID",IF($B27="","Missing: supplier",IF($C27="","Missing: SKU",IF(NOT(ISNUMBER($D27)),"Missing: qty",IF(NOT(ISNUMBER($F27)),"Missing: order date",IF(NOT(ISNUMBER($G27)),"Missing: expected date",IF($H27="","Missing: status",IF($I27="","Missing: source link",IF(COUNTIF(Suppliers!$A$2:$A$51,$B27)=0,"Unknown supplier",IF(COUNTIF(Products!$A$2:$A$101,$C27)=0,"Unknown SKU",IF(COUNTIF(Config!$C$15:$C$34,$H27)=0,"Unsupported status",IF($D27&lt;=0,"Qty must be above 0",IF($G27&lt;$F27,"Expected date before order date",IF($M27&gt;$D27,"Received more than ordered",IF(AND($H27="Received",$M27&lt;$D27),"Status Received but not fully received",IF(AND(IFERROR(INDEX(Config!$D$15:$D$34,MATCH($H27,Config!$C$15:$C$34,0)),"No")="Yes",$M27&gt;=$D27),"Fully received: update status","OK"))))))))))))))))))</f>
        <v/>
      </c>
      <c r="T27" s="52" t="str">
        <f>IF($O27=1,IFERROR(COUNTIFS($O$2:$O$301,1,$G$2:$G$301,"&lt;"&amp;$G27)+COUNTIFS($O$2:$O27,1,$G$2:$G27,$G27),""),"")</f>
        <v/>
      </c>
    </row>
    <row r="28">
      <c r="A28" s="46" t="n"/>
      <c r="B28" s="46" t="n"/>
      <c r="C28" s="46" t="n"/>
      <c r="D28" s="48" t="n"/>
      <c r="E28" s="47" t="n"/>
      <c r="F28" s="54" t="n"/>
      <c r="G28" s="54" t="n"/>
      <c r="H28" s="46" t="n"/>
      <c r="I28" s="46" t="n"/>
      <c r="J28" s="46" t="n"/>
      <c r="K28" s="49" t="str">
        <f>IF($A28="","",IFERROR(INDEX(Suppliers!$B$2:$B$51,MATCH($B28,Suppliers!$A$2:$A$51,0))&amp;"","(not found)"))</f>
        <v/>
      </c>
      <c r="L28" s="49" t="str">
        <f>IF($A28="","",IFERROR(INDEX(Products!$B$2:$B$101,MATCH($C28,Products!$A$2:$A$101,0))&amp;"","(not found)"))</f>
        <v/>
      </c>
      <c r="M28" s="50" t="str">
        <f>IF($A28="","",SUMIFS(Inventory_Ledger!$E$2:$E$2001,Inventory_Ledger!$H$2:$H$2001,$A28,Inventory_Ledger!$C$2:$C$2001,"Receipt",Inventory_Ledger!$D$2:$D$2001,$C28))</f>
        <v/>
      </c>
      <c r="N28" s="50" t="str">
        <f>IF($A28="","",IF(IFERROR(INDEX(Config!$D$15:$D$34,MATCH($H28,Config!$C$15:$C$34,0)),"No")="Yes",MAX(0,IF(ISNUMBER($D28),$D28,0)-$M28),0))</f>
        <v/>
      </c>
      <c r="O28" s="52" t="str">
        <f>IF($A28="","",IF($N28&gt;0,1,0))</f>
        <v/>
      </c>
      <c r="P28" s="52" t="str">
        <f>IF($A28="","",IF(AND($O28=1,ISNUMBER($G28)),IF($G28&lt;Config!$B$4,1,0),0))</f>
        <v/>
      </c>
      <c r="Q28" s="52" t="str">
        <f>IF($A28="","",IF($P28=1,Config!$B$4-$G28,0))</f>
        <v/>
      </c>
      <c r="R28" s="53" t="str">
        <f>IF($A28="","",IF(AND(ISNUMBER($D28),ISNUMBER($E28)),$D28*$E28,""))</f>
        <v/>
      </c>
      <c r="S28" s="49" t="str">
        <f>IF(COUNTA($A28:$J28)=0,"",IF($A28="","Missing: PO ID",IF(COUNTIF($A$2:$A$301,$A28)&gt;1,"Duplicate PO ID",IF($B28="","Missing: supplier",IF($C28="","Missing: SKU",IF(NOT(ISNUMBER($D28)),"Missing: qty",IF(NOT(ISNUMBER($F28)),"Missing: order date",IF(NOT(ISNUMBER($G28)),"Missing: expected date",IF($H28="","Missing: status",IF($I28="","Missing: source link",IF(COUNTIF(Suppliers!$A$2:$A$51,$B28)=0,"Unknown supplier",IF(COUNTIF(Products!$A$2:$A$101,$C28)=0,"Unknown SKU",IF(COUNTIF(Config!$C$15:$C$34,$H28)=0,"Unsupported status",IF($D28&lt;=0,"Qty must be above 0",IF($G28&lt;$F28,"Expected date before order date",IF($M28&gt;$D28,"Received more than ordered",IF(AND($H28="Received",$M28&lt;$D28),"Status Received but not fully received",IF(AND(IFERROR(INDEX(Config!$D$15:$D$34,MATCH($H28,Config!$C$15:$C$34,0)),"No")="Yes",$M28&gt;=$D28),"Fully received: update status","OK"))))))))))))))))))</f>
        <v/>
      </c>
      <c r="T28" s="52" t="str">
        <f>IF($O28=1,IFERROR(COUNTIFS($O$2:$O$301,1,$G$2:$G$301,"&lt;"&amp;$G28)+COUNTIFS($O$2:$O28,1,$G$2:$G28,$G28),""),"")</f>
        <v/>
      </c>
    </row>
    <row r="29">
      <c r="A29" s="46" t="n"/>
      <c r="B29" s="46" t="n"/>
      <c r="C29" s="46" t="n"/>
      <c r="D29" s="48" t="n"/>
      <c r="E29" s="47" t="n"/>
      <c r="F29" s="54" t="n"/>
      <c r="G29" s="54" t="n"/>
      <c r="H29" s="46" t="n"/>
      <c r="I29" s="46" t="n"/>
      <c r="J29" s="46" t="n"/>
      <c r="K29" s="49" t="str">
        <f>IF($A29="","",IFERROR(INDEX(Suppliers!$B$2:$B$51,MATCH($B29,Suppliers!$A$2:$A$51,0))&amp;"","(not found)"))</f>
        <v/>
      </c>
      <c r="L29" s="49" t="str">
        <f>IF($A29="","",IFERROR(INDEX(Products!$B$2:$B$101,MATCH($C29,Products!$A$2:$A$101,0))&amp;"","(not found)"))</f>
        <v/>
      </c>
      <c r="M29" s="50" t="str">
        <f>IF($A29="","",SUMIFS(Inventory_Ledger!$E$2:$E$2001,Inventory_Ledger!$H$2:$H$2001,$A29,Inventory_Ledger!$C$2:$C$2001,"Receipt",Inventory_Ledger!$D$2:$D$2001,$C29))</f>
        <v/>
      </c>
      <c r="N29" s="50" t="str">
        <f>IF($A29="","",IF(IFERROR(INDEX(Config!$D$15:$D$34,MATCH($H29,Config!$C$15:$C$34,0)),"No")="Yes",MAX(0,IF(ISNUMBER($D29),$D29,0)-$M29),0))</f>
        <v/>
      </c>
      <c r="O29" s="52" t="str">
        <f>IF($A29="","",IF($N29&gt;0,1,0))</f>
        <v/>
      </c>
      <c r="P29" s="52" t="str">
        <f>IF($A29="","",IF(AND($O29=1,ISNUMBER($G29)),IF($G29&lt;Config!$B$4,1,0),0))</f>
        <v/>
      </c>
      <c r="Q29" s="52" t="str">
        <f>IF($A29="","",IF($P29=1,Config!$B$4-$G29,0))</f>
        <v/>
      </c>
      <c r="R29" s="53" t="str">
        <f>IF($A29="","",IF(AND(ISNUMBER($D29),ISNUMBER($E29)),$D29*$E29,""))</f>
        <v/>
      </c>
      <c r="S29" s="49" t="str">
        <f>IF(COUNTA($A29:$J29)=0,"",IF($A29="","Missing: PO ID",IF(COUNTIF($A$2:$A$301,$A29)&gt;1,"Duplicate PO ID",IF($B29="","Missing: supplier",IF($C29="","Missing: SKU",IF(NOT(ISNUMBER($D29)),"Missing: qty",IF(NOT(ISNUMBER($F29)),"Missing: order date",IF(NOT(ISNUMBER($G29)),"Missing: expected date",IF($H29="","Missing: status",IF($I29="","Missing: source link",IF(COUNTIF(Suppliers!$A$2:$A$51,$B29)=0,"Unknown supplier",IF(COUNTIF(Products!$A$2:$A$101,$C29)=0,"Unknown SKU",IF(COUNTIF(Config!$C$15:$C$34,$H29)=0,"Unsupported status",IF($D29&lt;=0,"Qty must be above 0",IF($G29&lt;$F29,"Expected date before order date",IF($M29&gt;$D29,"Received more than ordered",IF(AND($H29="Received",$M29&lt;$D29),"Status Received but not fully received",IF(AND(IFERROR(INDEX(Config!$D$15:$D$34,MATCH($H29,Config!$C$15:$C$34,0)),"No")="Yes",$M29&gt;=$D29),"Fully received: update status","OK"))))))))))))))))))</f>
        <v/>
      </c>
      <c r="T29" s="52" t="str">
        <f>IF($O29=1,IFERROR(COUNTIFS($O$2:$O$301,1,$G$2:$G$301,"&lt;"&amp;$G29)+COUNTIFS($O$2:$O29,1,$G$2:$G29,$G29),""),"")</f>
        <v/>
      </c>
    </row>
    <row r="30">
      <c r="A30" s="46" t="n"/>
      <c r="B30" s="46" t="n"/>
      <c r="C30" s="46" t="n"/>
      <c r="D30" s="48" t="n"/>
      <c r="E30" s="47" t="n"/>
      <c r="F30" s="54" t="n"/>
      <c r="G30" s="54" t="n"/>
      <c r="H30" s="46" t="n"/>
      <c r="I30" s="46" t="n"/>
      <c r="J30" s="46" t="n"/>
      <c r="K30" s="49" t="str">
        <f>IF($A30="","",IFERROR(INDEX(Suppliers!$B$2:$B$51,MATCH($B30,Suppliers!$A$2:$A$51,0))&amp;"","(not found)"))</f>
        <v/>
      </c>
      <c r="L30" s="49" t="str">
        <f>IF($A30="","",IFERROR(INDEX(Products!$B$2:$B$101,MATCH($C30,Products!$A$2:$A$101,0))&amp;"","(not found)"))</f>
        <v/>
      </c>
      <c r="M30" s="50" t="str">
        <f>IF($A30="","",SUMIFS(Inventory_Ledger!$E$2:$E$2001,Inventory_Ledger!$H$2:$H$2001,$A30,Inventory_Ledger!$C$2:$C$2001,"Receipt",Inventory_Ledger!$D$2:$D$2001,$C30))</f>
        <v/>
      </c>
      <c r="N30" s="50" t="str">
        <f>IF($A30="","",IF(IFERROR(INDEX(Config!$D$15:$D$34,MATCH($H30,Config!$C$15:$C$34,0)),"No")="Yes",MAX(0,IF(ISNUMBER($D30),$D30,0)-$M30),0))</f>
        <v/>
      </c>
      <c r="O30" s="52" t="str">
        <f>IF($A30="","",IF($N30&gt;0,1,0))</f>
        <v/>
      </c>
      <c r="P30" s="52" t="str">
        <f>IF($A30="","",IF(AND($O30=1,ISNUMBER($G30)),IF($G30&lt;Config!$B$4,1,0),0))</f>
        <v/>
      </c>
      <c r="Q30" s="52" t="str">
        <f>IF($A30="","",IF($P30=1,Config!$B$4-$G30,0))</f>
        <v/>
      </c>
      <c r="R30" s="53" t="str">
        <f>IF($A30="","",IF(AND(ISNUMBER($D30),ISNUMBER($E30)),$D30*$E30,""))</f>
        <v/>
      </c>
      <c r="S30" s="49" t="str">
        <f>IF(COUNTA($A30:$J30)=0,"",IF($A30="","Missing: PO ID",IF(COUNTIF($A$2:$A$301,$A30)&gt;1,"Duplicate PO ID",IF($B30="","Missing: supplier",IF($C30="","Missing: SKU",IF(NOT(ISNUMBER($D30)),"Missing: qty",IF(NOT(ISNUMBER($F30)),"Missing: order date",IF(NOT(ISNUMBER($G30)),"Missing: expected date",IF($H30="","Missing: status",IF($I30="","Missing: source link",IF(COUNTIF(Suppliers!$A$2:$A$51,$B30)=0,"Unknown supplier",IF(COUNTIF(Products!$A$2:$A$101,$C30)=0,"Unknown SKU",IF(COUNTIF(Config!$C$15:$C$34,$H30)=0,"Unsupported status",IF($D30&lt;=0,"Qty must be above 0",IF($G30&lt;$F30,"Expected date before order date",IF($M30&gt;$D30,"Received more than ordered",IF(AND($H30="Received",$M30&lt;$D30),"Status Received but not fully received",IF(AND(IFERROR(INDEX(Config!$D$15:$D$34,MATCH($H30,Config!$C$15:$C$34,0)),"No")="Yes",$M30&gt;=$D30),"Fully received: update status","OK"))))))))))))))))))</f>
        <v/>
      </c>
      <c r="T30" s="52" t="str">
        <f>IF($O30=1,IFERROR(COUNTIFS($O$2:$O$301,1,$G$2:$G$301,"&lt;"&amp;$G30)+COUNTIFS($O$2:$O30,1,$G$2:$G30,$G30),""),"")</f>
        <v/>
      </c>
    </row>
    <row r="31">
      <c r="A31" s="46" t="n"/>
      <c r="B31" s="46" t="n"/>
      <c r="C31" s="46" t="n"/>
      <c r="D31" s="48" t="n"/>
      <c r="E31" s="47" t="n"/>
      <c r="F31" s="54" t="n"/>
      <c r="G31" s="54" t="n"/>
      <c r="H31" s="46" t="n"/>
      <c r="I31" s="46" t="n"/>
      <c r="J31" s="46" t="n"/>
      <c r="K31" s="49" t="str">
        <f>IF($A31="","",IFERROR(INDEX(Suppliers!$B$2:$B$51,MATCH($B31,Suppliers!$A$2:$A$51,0))&amp;"","(not found)"))</f>
        <v/>
      </c>
      <c r="L31" s="49" t="str">
        <f>IF($A31="","",IFERROR(INDEX(Products!$B$2:$B$101,MATCH($C31,Products!$A$2:$A$101,0))&amp;"","(not found)"))</f>
        <v/>
      </c>
      <c r="M31" s="50" t="str">
        <f>IF($A31="","",SUMIFS(Inventory_Ledger!$E$2:$E$2001,Inventory_Ledger!$H$2:$H$2001,$A31,Inventory_Ledger!$C$2:$C$2001,"Receipt",Inventory_Ledger!$D$2:$D$2001,$C31))</f>
        <v/>
      </c>
      <c r="N31" s="50" t="str">
        <f>IF($A31="","",IF(IFERROR(INDEX(Config!$D$15:$D$34,MATCH($H31,Config!$C$15:$C$34,0)),"No")="Yes",MAX(0,IF(ISNUMBER($D31),$D31,0)-$M31),0))</f>
        <v/>
      </c>
      <c r="O31" s="52" t="str">
        <f>IF($A31="","",IF($N31&gt;0,1,0))</f>
        <v/>
      </c>
      <c r="P31" s="52" t="str">
        <f>IF($A31="","",IF(AND($O31=1,ISNUMBER($G31)),IF($G31&lt;Config!$B$4,1,0),0))</f>
        <v/>
      </c>
      <c r="Q31" s="52" t="str">
        <f>IF($A31="","",IF($P31=1,Config!$B$4-$G31,0))</f>
        <v/>
      </c>
      <c r="R31" s="53" t="str">
        <f>IF($A31="","",IF(AND(ISNUMBER($D31),ISNUMBER($E31)),$D31*$E31,""))</f>
        <v/>
      </c>
      <c r="S31" s="49" t="str">
        <f>IF(COUNTA($A31:$J31)=0,"",IF($A31="","Missing: PO ID",IF(COUNTIF($A$2:$A$301,$A31)&gt;1,"Duplicate PO ID",IF($B31="","Missing: supplier",IF($C31="","Missing: SKU",IF(NOT(ISNUMBER($D31)),"Missing: qty",IF(NOT(ISNUMBER($F31)),"Missing: order date",IF(NOT(ISNUMBER($G31)),"Missing: expected date",IF($H31="","Missing: status",IF($I31="","Missing: source link",IF(COUNTIF(Suppliers!$A$2:$A$51,$B31)=0,"Unknown supplier",IF(COUNTIF(Products!$A$2:$A$101,$C31)=0,"Unknown SKU",IF(COUNTIF(Config!$C$15:$C$34,$H31)=0,"Unsupported status",IF($D31&lt;=0,"Qty must be above 0",IF($G31&lt;$F31,"Expected date before order date",IF($M31&gt;$D31,"Received more than ordered",IF(AND($H31="Received",$M31&lt;$D31),"Status Received but not fully received",IF(AND(IFERROR(INDEX(Config!$D$15:$D$34,MATCH($H31,Config!$C$15:$C$34,0)),"No")="Yes",$M31&gt;=$D31),"Fully received: update status","OK"))))))))))))))))))</f>
        <v/>
      </c>
      <c r="T31" s="52" t="str">
        <f>IF($O31=1,IFERROR(COUNTIFS($O$2:$O$301,1,$G$2:$G$301,"&lt;"&amp;$G31)+COUNTIFS($O$2:$O31,1,$G$2:$G31,$G31),""),"")</f>
        <v/>
      </c>
    </row>
    <row r="32">
      <c r="A32" s="46" t="n"/>
      <c r="B32" s="46" t="n"/>
      <c r="C32" s="46" t="n"/>
      <c r="D32" s="48" t="n"/>
      <c r="E32" s="47" t="n"/>
      <c r="F32" s="54" t="n"/>
      <c r="G32" s="54" t="n"/>
      <c r="H32" s="46" t="n"/>
      <c r="I32" s="46" t="n"/>
      <c r="J32" s="46" t="n"/>
      <c r="K32" s="49" t="str">
        <f>IF($A32="","",IFERROR(INDEX(Suppliers!$B$2:$B$51,MATCH($B32,Suppliers!$A$2:$A$51,0))&amp;"","(not found)"))</f>
        <v/>
      </c>
      <c r="L32" s="49" t="str">
        <f>IF($A32="","",IFERROR(INDEX(Products!$B$2:$B$101,MATCH($C32,Products!$A$2:$A$101,0))&amp;"","(not found)"))</f>
        <v/>
      </c>
      <c r="M32" s="50" t="str">
        <f>IF($A32="","",SUMIFS(Inventory_Ledger!$E$2:$E$2001,Inventory_Ledger!$H$2:$H$2001,$A32,Inventory_Ledger!$C$2:$C$2001,"Receipt",Inventory_Ledger!$D$2:$D$2001,$C32))</f>
        <v/>
      </c>
      <c r="N32" s="50" t="str">
        <f>IF($A32="","",IF(IFERROR(INDEX(Config!$D$15:$D$34,MATCH($H32,Config!$C$15:$C$34,0)),"No")="Yes",MAX(0,IF(ISNUMBER($D32),$D32,0)-$M32),0))</f>
        <v/>
      </c>
      <c r="O32" s="52" t="str">
        <f>IF($A32="","",IF($N32&gt;0,1,0))</f>
        <v/>
      </c>
      <c r="P32" s="52" t="str">
        <f>IF($A32="","",IF(AND($O32=1,ISNUMBER($G32)),IF($G32&lt;Config!$B$4,1,0),0))</f>
        <v/>
      </c>
      <c r="Q32" s="52" t="str">
        <f>IF($A32="","",IF($P32=1,Config!$B$4-$G32,0))</f>
        <v/>
      </c>
      <c r="R32" s="53" t="str">
        <f>IF($A32="","",IF(AND(ISNUMBER($D32),ISNUMBER($E32)),$D32*$E32,""))</f>
        <v/>
      </c>
      <c r="S32" s="49" t="str">
        <f>IF(COUNTA($A32:$J32)=0,"",IF($A32="","Missing: PO ID",IF(COUNTIF($A$2:$A$301,$A32)&gt;1,"Duplicate PO ID",IF($B32="","Missing: supplier",IF($C32="","Missing: SKU",IF(NOT(ISNUMBER($D32)),"Missing: qty",IF(NOT(ISNUMBER($F32)),"Missing: order date",IF(NOT(ISNUMBER($G32)),"Missing: expected date",IF($H32="","Missing: status",IF($I32="","Missing: source link",IF(COUNTIF(Suppliers!$A$2:$A$51,$B32)=0,"Unknown supplier",IF(COUNTIF(Products!$A$2:$A$101,$C32)=0,"Unknown SKU",IF(COUNTIF(Config!$C$15:$C$34,$H32)=0,"Unsupported status",IF($D32&lt;=0,"Qty must be above 0",IF($G32&lt;$F32,"Expected date before order date",IF($M32&gt;$D32,"Received more than ordered",IF(AND($H32="Received",$M32&lt;$D32),"Status Received but not fully received",IF(AND(IFERROR(INDEX(Config!$D$15:$D$34,MATCH($H32,Config!$C$15:$C$34,0)),"No")="Yes",$M32&gt;=$D32),"Fully received: update status","OK"))))))))))))))))))</f>
        <v/>
      </c>
      <c r="T32" s="52" t="str">
        <f>IF($O32=1,IFERROR(COUNTIFS($O$2:$O$301,1,$G$2:$G$301,"&lt;"&amp;$G32)+COUNTIFS($O$2:$O32,1,$G$2:$G32,$G32),""),"")</f>
        <v/>
      </c>
    </row>
    <row r="33">
      <c r="A33" s="46" t="n"/>
      <c r="B33" s="46" t="n"/>
      <c r="C33" s="46" t="n"/>
      <c r="D33" s="48" t="n"/>
      <c r="E33" s="47" t="n"/>
      <c r="F33" s="54" t="n"/>
      <c r="G33" s="54" t="n"/>
      <c r="H33" s="46" t="n"/>
      <c r="I33" s="46" t="n"/>
      <c r="J33" s="46" t="n"/>
      <c r="K33" s="49" t="str">
        <f>IF($A33="","",IFERROR(INDEX(Suppliers!$B$2:$B$51,MATCH($B33,Suppliers!$A$2:$A$51,0))&amp;"","(not found)"))</f>
        <v/>
      </c>
      <c r="L33" s="49" t="str">
        <f>IF($A33="","",IFERROR(INDEX(Products!$B$2:$B$101,MATCH($C33,Products!$A$2:$A$101,0))&amp;"","(not found)"))</f>
        <v/>
      </c>
      <c r="M33" s="50" t="str">
        <f>IF($A33="","",SUMIFS(Inventory_Ledger!$E$2:$E$2001,Inventory_Ledger!$H$2:$H$2001,$A33,Inventory_Ledger!$C$2:$C$2001,"Receipt",Inventory_Ledger!$D$2:$D$2001,$C33))</f>
        <v/>
      </c>
      <c r="N33" s="50" t="str">
        <f>IF($A33="","",IF(IFERROR(INDEX(Config!$D$15:$D$34,MATCH($H33,Config!$C$15:$C$34,0)),"No")="Yes",MAX(0,IF(ISNUMBER($D33),$D33,0)-$M33),0))</f>
        <v/>
      </c>
      <c r="O33" s="52" t="str">
        <f>IF($A33="","",IF($N33&gt;0,1,0))</f>
        <v/>
      </c>
      <c r="P33" s="52" t="str">
        <f>IF($A33="","",IF(AND($O33=1,ISNUMBER($G33)),IF($G33&lt;Config!$B$4,1,0),0))</f>
        <v/>
      </c>
      <c r="Q33" s="52" t="str">
        <f>IF($A33="","",IF($P33=1,Config!$B$4-$G33,0))</f>
        <v/>
      </c>
      <c r="R33" s="53" t="str">
        <f>IF($A33="","",IF(AND(ISNUMBER($D33),ISNUMBER($E33)),$D33*$E33,""))</f>
        <v/>
      </c>
      <c r="S33" s="49" t="str">
        <f>IF(COUNTA($A33:$J33)=0,"",IF($A33="","Missing: PO ID",IF(COUNTIF($A$2:$A$301,$A33)&gt;1,"Duplicate PO ID",IF($B33="","Missing: supplier",IF($C33="","Missing: SKU",IF(NOT(ISNUMBER($D33)),"Missing: qty",IF(NOT(ISNUMBER($F33)),"Missing: order date",IF(NOT(ISNUMBER($G33)),"Missing: expected date",IF($H33="","Missing: status",IF($I33="","Missing: source link",IF(COUNTIF(Suppliers!$A$2:$A$51,$B33)=0,"Unknown supplier",IF(COUNTIF(Products!$A$2:$A$101,$C33)=0,"Unknown SKU",IF(COUNTIF(Config!$C$15:$C$34,$H33)=0,"Unsupported status",IF($D33&lt;=0,"Qty must be above 0",IF($G33&lt;$F33,"Expected date before order date",IF($M33&gt;$D33,"Received more than ordered",IF(AND($H33="Received",$M33&lt;$D33),"Status Received but not fully received",IF(AND(IFERROR(INDEX(Config!$D$15:$D$34,MATCH($H33,Config!$C$15:$C$34,0)),"No")="Yes",$M33&gt;=$D33),"Fully received: update status","OK"))))))))))))))))))</f>
        <v/>
      </c>
      <c r="T33" s="52" t="str">
        <f>IF($O33=1,IFERROR(COUNTIFS($O$2:$O$301,1,$G$2:$G$301,"&lt;"&amp;$G33)+COUNTIFS($O$2:$O33,1,$G$2:$G33,$G33),""),"")</f>
        <v/>
      </c>
    </row>
    <row r="34">
      <c r="A34" s="46" t="n"/>
      <c r="B34" s="46" t="n"/>
      <c r="C34" s="46" t="n"/>
      <c r="D34" s="48" t="n"/>
      <c r="E34" s="47" t="n"/>
      <c r="F34" s="54" t="n"/>
      <c r="G34" s="54" t="n"/>
      <c r="H34" s="46" t="n"/>
      <c r="I34" s="46" t="n"/>
      <c r="J34" s="46" t="n"/>
      <c r="K34" s="49" t="str">
        <f>IF($A34="","",IFERROR(INDEX(Suppliers!$B$2:$B$51,MATCH($B34,Suppliers!$A$2:$A$51,0))&amp;"","(not found)"))</f>
        <v/>
      </c>
      <c r="L34" s="49" t="str">
        <f>IF($A34="","",IFERROR(INDEX(Products!$B$2:$B$101,MATCH($C34,Products!$A$2:$A$101,0))&amp;"","(not found)"))</f>
        <v/>
      </c>
      <c r="M34" s="50" t="str">
        <f>IF($A34="","",SUMIFS(Inventory_Ledger!$E$2:$E$2001,Inventory_Ledger!$H$2:$H$2001,$A34,Inventory_Ledger!$C$2:$C$2001,"Receipt",Inventory_Ledger!$D$2:$D$2001,$C34))</f>
        <v/>
      </c>
      <c r="N34" s="50" t="str">
        <f>IF($A34="","",IF(IFERROR(INDEX(Config!$D$15:$D$34,MATCH($H34,Config!$C$15:$C$34,0)),"No")="Yes",MAX(0,IF(ISNUMBER($D34),$D34,0)-$M34),0))</f>
        <v/>
      </c>
      <c r="O34" s="52" t="str">
        <f>IF($A34="","",IF($N34&gt;0,1,0))</f>
        <v/>
      </c>
      <c r="P34" s="52" t="str">
        <f>IF($A34="","",IF(AND($O34=1,ISNUMBER($G34)),IF($G34&lt;Config!$B$4,1,0),0))</f>
        <v/>
      </c>
      <c r="Q34" s="52" t="str">
        <f>IF($A34="","",IF($P34=1,Config!$B$4-$G34,0))</f>
        <v/>
      </c>
      <c r="R34" s="53" t="str">
        <f>IF($A34="","",IF(AND(ISNUMBER($D34),ISNUMBER($E34)),$D34*$E34,""))</f>
        <v/>
      </c>
      <c r="S34" s="49" t="str">
        <f>IF(COUNTA($A34:$J34)=0,"",IF($A34="","Missing: PO ID",IF(COUNTIF($A$2:$A$301,$A34)&gt;1,"Duplicate PO ID",IF($B34="","Missing: supplier",IF($C34="","Missing: SKU",IF(NOT(ISNUMBER($D34)),"Missing: qty",IF(NOT(ISNUMBER($F34)),"Missing: order date",IF(NOT(ISNUMBER($G34)),"Missing: expected date",IF($H34="","Missing: status",IF($I34="","Missing: source link",IF(COUNTIF(Suppliers!$A$2:$A$51,$B34)=0,"Unknown supplier",IF(COUNTIF(Products!$A$2:$A$101,$C34)=0,"Unknown SKU",IF(COUNTIF(Config!$C$15:$C$34,$H34)=0,"Unsupported status",IF($D34&lt;=0,"Qty must be above 0",IF($G34&lt;$F34,"Expected date before order date",IF($M34&gt;$D34,"Received more than ordered",IF(AND($H34="Received",$M34&lt;$D34),"Status Received but not fully received",IF(AND(IFERROR(INDEX(Config!$D$15:$D$34,MATCH($H34,Config!$C$15:$C$34,0)),"No")="Yes",$M34&gt;=$D34),"Fully received: update status","OK"))))))))))))))))))</f>
        <v/>
      </c>
      <c r="T34" s="52" t="str">
        <f>IF($O34=1,IFERROR(COUNTIFS($O$2:$O$301,1,$G$2:$G$301,"&lt;"&amp;$G34)+COUNTIFS($O$2:$O34,1,$G$2:$G34,$G34),""),"")</f>
        <v/>
      </c>
    </row>
    <row r="35">
      <c r="A35" s="46" t="n"/>
      <c r="B35" s="46" t="n"/>
      <c r="C35" s="46" t="n"/>
      <c r="D35" s="48" t="n"/>
      <c r="E35" s="47" t="n"/>
      <c r="F35" s="54" t="n"/>
      <c r="G35" s="54" t="n"/>
      <c r="H35" s="46" t="n"/>
      <c r="I35" s="46" t="n"/>
      <c r="J35" s="46" t="n"/>
      <c r="K35" s="49" t="str">
        <f>IF($A35="","",IFERROR(INDEX(Suppliers!$B$2:$B$51,MATCH($B35,Suppliers!$A$2:$A$51,0))&amp;"","(not found)"))</f>
        <v/>
      </c>
      <c r="L35" s="49" t="str">
        <f>IF($A35="","",IFERROR(INDEX(Products!$B$2:$B$101,MATCH($C35,Products!$A$2:$A$101,0))&amp;"","(not found)"))</f>
        <v/>
      </c>
      <c r="M35" s="50" t="str">
        <f>IF($A35="","",SUMIFS(Inventory_Ledger!$E$2:$E$2001,Inventory_Ledger!$H$2:$H$2001,$A35,Inventory_Ledger!$C$2:$C$2001,"Receipt",Inventory_Ledger!$D$2:$D$2001,$C35))</f>
        <v/>
      </c>
      <c r="N35" s="50" t="str">
        <f>IF($A35="","",IF(IFERROR(INDEX(Config!$D$15:$D$34,MATCH($H35,Config!$C$15:$C$34,0)),"No")="Yes",MAX(0,IF(ISNUMBER($D35),$D35,0)-$M35),0))</f>
        <v/>
      </c>
      <c r="O35" s="52" t="str">
        <f>IF($A35="","",IF($N35&gt;0,1,0))</f>
        <v/>
      </c>
      <c r="P35" s="52" t="str">
        <f>IF($A35="","",IF(AND($O35=1,ISNUMBER($G35)),IF($G35&lt;Config!$B$4,1,0),0))</f>
        <v/>
      </c>
      <c r="Q35" s="52" t="str">
        <f>IF($A35="","",IF($P35=1,Config!$B$4-$G35,0))</f>
        <v/>
      </c>
      <c r="R35" s="53" t="str">
        <f>IF($A35="","",IF(AND(ISNUMBER($D35),ISNUMBER($E35)),$D35*$E35,""))</f>
        <v/>
      </c>
      <c r="S35" s="49" t="str">
        <f>IF(COUNTA($A35:$J35)=0,"",IF($A35="","Missing: PO ID",IF(COUNTIF($A$2:$A$301,$A35)&gt;1,"Duplicate PO ID",IF($B35="","Missing: supplier",IF($C35="","Missing: SKU",IF(NOT(ISNUMBER($D35)),"Missing: qty",IF(NOT(ISNUMBER($F35)),"Missing: order date",IF(NOT(ISNUMBER($G35)),"Missing: expected date",IF($H35="","Missing: status",IF($I35="","Missing: source link",IF(COUNTIF(Suppliers!$A$2:$A$51,$B35)=0,"Unknown supplier",IF(COUNTIF(Products!$A$2:$A$101,$C35)=0,"Unknown SKU",IF(COUNTIF(Config!$C$15:$C$34,$H35)=0,"Unsupported status",IF($D35&lt;=0,"Qty must be above 0",IF($G35&lt;$F35,"Expected date before order date",IF($M35&gt;$D35,"Received more than ordered",IF(AND($H35="Received",$M35&lt;$D35),"Status Received but not fully received",IF(AND(IFERROR(INDEX(Config!$D$15:$D$34,MATCH($H35,Config!$C$15:$C$34,0)),"No")="Yes",$M35&gt;=$D35),"Fully received: update status","OK"))))))))))))))))))</f>
        <v/>
      </c>
      <c r="T35" s="52" t="str">
        <f>IF($O35=1,IFERROR(COUNTIFS($O$2:$O$301,1,$G$2:$G$301,"&lt;"&amp;$G35)+COUNTIFS($O$2:$O35,1,$G$2:$G35,$G35),""),"")</f>
        <v/>
      </c>
    </row>
    <row r="36">
      <c r="A36" s="46" t="n"/>
      <c r="B36" s="46" t="n"/>
      <c r="C36" s="46" t="n"/>
      <c r="D36" s="48" t="n"/>
      <c r="E36" s="47" t="n"/>
      <c r="F36" s="54" t="n"/>
      <c r="G36" s="54" t="n"/>
      <c r="H36" s="46" t="n"/>
      <c r="I36" s="46" t="n"/>
      <c r="J36" s="46" t="n"/>
      <c r="K36" s="49" t="str">
        <f>IF($A36="","",IFERROR(INDEX(Suppliers!$B$2:$B$51,MATCH($B36,Suppliers!$A$2:$A$51,0))&amp;"","(not found)"))</f>
        <v/>
      </c>
      <c r="L36" s="49" t="str">
        <f>IF($A36="","",IFERROR(INDEX(Products!$B$2:$B$101,MATCH($C36,Products!$A$2:$A$101,0))&amp;"","(not found)"))</f>
        <v/>
      </c>
      <c r="M36" s="50" t="str">
        <f>IF($A36="","",SUMIFS(Inventory_Ledger!$E$2:$E$2001,Inventory_Ledger!$H$2:$H$2001,$A36,Inventory_Ledger!$C$2:$C$2001,"Receipt",Inventory_Ledger!$D$2:$D$2001,$C36))</f>
        <v/>
      </c>
      <c r="N36" s="50" t="str">
        <f>IF($A36="","",IF(IFERROR(INDEX(Config!$D$15:$D$34,MATCH($H36,Config!$C$15:$C$34,0)),"No")="Yes",MAX(0,IF(ISNUMBER($D36),$D36,0)-$M36),0))</f>
        <v/>
      </c>
      <c r="O36" s="52" t="str">
        <f>IF($A36="","",IF($N36&gt;0,1,0))</f>
        <v/>
      </c>
      <c r="P36" s="52" t="str">
        <f>IF($A36="","",IF(AND($O36=1,ISNUMBER($G36)),IF($G36&lt;Config!$B$4,1,0),0))</f>
        <v/>
      </c>
      <c r="Q36" s="52" t="str">
        <f>IF($A36="","",IF($P36=1,Config!$B$4-$G36,0))</f>
        <v/>
      </c>
      <c r="R36" s="53" t="str">
        <f>IF($A36="","",IF(AND(ISNUMBER($D36),ISNUMBER($E36)),$D36*$E36,""))</f>
        <v/>
      </c>
      <c r="S36" s="49" t="str">
        <f>IF(COUNTA($A36:$J36)=0,"",IF($A36="","Missing: PO ID",IF(COUNTIF($A$2:$A$301,$A36)&gt;1,"Duplicate PO ID",IF($B36="","Missing: supplier",IF($C36="","Missing: SKU",IF(NOT(ISNUMBER($D36)),"Missing: qty",IF(NOT(ISNUMBER($F36)),"Missing: order date",IF(NOT(ISNUMBER($G36)),"Missing: expected date",IF($H36="","Missing: status",IF($I36="","Missing: source link",IF(COUNTIF(Suppliers!$A$2:$A$51,$B36)=0,"Unknown supplier",IF(COUNTIF(Products!$A$2:$A$101,$C36)=0,"Unknown SKU",IF(COUNTIF(Config!$C$15:$C$34,$H36)=0,"Unsupported status",IF($D36&lt;=0,"Qty must be above 0",IF($G36&lt;$F36,"Expected date before order date",IF($M36&gt;$D36,"Received more than ordered",IF(AND($H36="Received",$M36&lt;$D36),"Status Received but not fully received",IF(AND(IFERROR(INDEX(Config!$D$15:$D$34,MATCH($H36,Config!$C$15:$C$34,0)),"No")="Yes",$M36&gt;=$D36),"Fully received: update status","OK"))))))))))))))))))</f>
        <v/>
      </c>
      <c r="T36" s="52" t="str">
        <f>IF($O36=1,IFERROR(COUNTIFS($O$2:$O$301,1,$G$2:$G$301,"&lt;"&amp;$G36)+COUNTIFS($O$2:$O36,1,$G$2:$G36,$G36),""),"")</f>
        <v/>
      </c>
    </row>
    <row r="37">
      <c r="A37" s="46" t="n"/>
      <c r="B37" s="46" t="n"/>
      <c r="C37" s="46" t="n"/>
      <c r="D37" s="48" t="n"/>
      <c r="E37" s="47" t="n"/>
      <c r="F37" s="54" t="n"/>
      <c r="G37" s="54" t="n"/>
      <c r="H37" s="46" t="n"/>
      <c r="I37" s="46" t="n"/>
      <c r="J37" s="46" t="n"/>
      <c r="K37" s="49" t="str">
        <f>IF($A37="","",IFERROR(INDEX(Suppliers!$B$2:$B$51,MATCH($B37,Suppliers!$A$2:$A$51,0))&amp;"","(not found)"))</f>
        <v/>
      </c>
      <c r="L37" s="49" t="str">
        <f>IF($A37="","",IFERROR(INDEX(Products!$B$2:$B$101,MATCH($C37,Products!$A$2:$A$101,0))&amp;"","(not found)"))</f>
        <v/>
      </c>
      <c r="M37" s="50" t="str">
        <f>IF($A37="","",SUMIFS(Inventory_Ledger!$E$2:$E$2001,Inventory_Ledger!$H$2:$H$2001,$A37,Inventory_Ledger!$C$2:$C$2001,"Receipt",Inventory_Ledger!$D$2:$D$2001,$C37))</f>
        <v/>
      </c>
      <c r="N37" s="50" t="str">
        <f>IF($A37="","",IF(IFERROR(INDEX(Config!$D$15:$D$34,MATCH($H37,Config!$C$15:$C$34,0)),"No")="Yes",MAX(0,IF(ISNUMBER($D37),$D37,0)-$M37),0))</f>
        <v/>
      </c>
      <c r="O37" s="52" t="str">
        <f>IF($A37="","",IF($N37&gt;0,1,0))</f>
        <v/>
      </c>
      <c r="P37" s="52" t="str">
        <f>IF($A37="","",IF(AND($O37=1,ISNUMBER($G37)),IF($G37&lt;Config!$B$4,1,0),0))</f>
        <v/>
      </c>
      <c r="Q37" s="52" t="str">
        <f>IF($A37="","",IF($P37=1,Config!$B$4-$G37,0))</f>
        <v/>
      </c>
      <c r="R37" s="53" t="str">
        <f>IF($A37="","",IF(AND(ISNUMBER($D37),ISNUMBER($E37)),$D37*$E37,""))</f>
        <v/>
      </c>
      <c r="S37" s="49" t="str">
        <f>IF(COUNTA($A37:$J37)=0,"",IF($A37="","Missing: PO ID",IF(COUNTIF($A$2:$A$301,$A37)&gt;1,"Duplicate PO ID",IF($B37="","Missing: supplier",IF($C37="","Missing: SKU",IF(NOT(ISNUMBER($D37)),"Missing: qty",IF(NOT(ISNUMBER($F37)),"Missing: order date",IF(NOT(ISNUMBER($G37)),"Missing: expected date",IF($H37="","Missing: status",IF($I37="","Missing: source link",IF(COUNTIF(Suppliers!$A$2:$A$51,$B37)=0,"Unknown supplier",IF(COUNTIF(Products!$A$2:$A$101,$C37)=0,"Unknown SKU",IF(COUNTIF(Config!$C$15:$C$34,$H37)=0,"Unsupported status",IF($D37&lt;=0,"Qty must be above 0",IF($G37&lt;$F37,"Expected date before order date",IF($M37&gt;$D37,"Received more than ordered",IF(AND($H37="Received",$M37&lt;$D37),"Status Received but not fully received",IF(AND(IFERROR(INDEX(Config!$D$15:$D$34,MATCH($H37,Config!$C$15:$C$34,0)),"No")="Yes",$M37&gt;=$D37),"Fully received: update status","OK"))))))))))))))))))</f>
        <v/>
      </c>
      <c r="T37" s="52" t="str">
        <f>IF($O37=1,IFERROR(COUNTIFS($O$2:$O$301,1,$G$2:$G$301,"&lt;"&amp;$G37)+COUNTIFS($O$2:$O37,1,$G$2:$G37,$G37),""),"")</f>
        <v/>
      </c>
    </row>
    <row r="38">
      <c r="A38" s="46" t="n"/>
      <c r="B38" s="46" t="n"/>
      <c r="C38" s="46" t="n"/>
      <c r="D38" s="48" t="n"/>
      <c r="E38" s="47" t="n"/>
      <c r="F38" s="54" t="n"/>
      <c r="G38" s="54" t="n"/>
      <c r="H38" s="46" t="n"/>
      <c r="I38" s="46" t="n"/>
      <c r="J38" s="46" t="n"/>
      <c r="K38" s="49" t="str">
        <f>IF($A38="","",IFERROR(INDEX(Suppliers!$B$2:$B$51,MATCH($B38,Suppliers!$A$2:$A$51,0))&amp;"","(not found)"))</f>
        <v/>
      </c>
      <c r="L38" s="49" t="str">
        <f>IF($A38="","",IFERROR(INDEX(Products!$B$2:$B$101,MATCH($C38,Products!$A$2:$A$101,0))&amp;"","(not found)"))</f>
        <v/>
      </c>
      <c r="M38" s="50" t="str">
        <f>IF($A38="","",SUMIFS(Inventory_Ledger!$E$2:$E$2001,Inventory_Ledger!$H$2:$H$2001,$A38,Inventory_Ledger!$C$2:$C$2001,"Receipt",Inventory_Ledger!$D$2:$D$2001,$C38))</f>
        <v/>
      </c>
      <c r="N38" s="50" t="str">
        <f>IF($A38="","",IF(IFERROR(INDEX(Config!$D$15:$D$34,MATCH($H38,Config!$C$15:$C$34,0)),"No")="Yes",MAX(0,IF(ISNUMBER($D38),$D38,0)-$M38),0))</f>
        <v/>
      </c>
      <c r="O38" s="52" t="str">
        <f>IF($A38="","",IF($N38&gt;0,1,0))</f>
        <v/>
      </c>
      <c r="P38" s="52" t="str">
        <f>IF($A38="","",IF(AND($O38=1,ISNUMBER($G38)),IF($G38&lt;Config!$B$4,1,0),0))</f>
        <v/>
      </c>
      <c r="Q38" s="52" t="str">
        <f>IF($A38="","",IF($P38=1,Config!$B$4-$G38,0))</f>
        <v/>
      </c>
      <c r="R38" s="53" t="str">
        <f>IF($A38="","",IF(AND(ISNUMBER($D38),ISNUMBER($E38)),$D38*$E38,""))</f>
        <v/>
      </c>
      <c r="S38" s="49" t="str">
        <f>IF(COUNTA($A38:$J38)=0,"",IF($A38="","Missing: PO ID",IF(COUNTIF($A$2:$A$301,$A38)&gt;1,"Duplicate PO ID",IF($B38="","Missing: supplier",IF($C38="","Missing: SKU",IF(NOT(ISNUMBER($D38)),"Missing: qty",IF(NOT(ISNUMBER($F38)),"Missing: order date",IF(NOT(ISNUMBER($G38)),"Missing: expected date",IF($H38="","Missing: status",IF($I38="","Missing: source link",IF(COUNTIF(Suppliers!$A$2:$A$51,$B38)=0,"Unknown supplier",IF(COUNTIF(Products!$A$2:$A$101,$C38)=0,"Unknown SKU",IF(COUNTIF(Config!$C$15:$C$34,$H38)=0,"Unsupported status",IF($D38&lt;=0,"Qty must be above 0",IF($G38&lt;$F38,"Expected date before order date",IF($M38&gt;$D38,"Received more than ordered",IF(AND($H38="Received",$M38&lt;$D38),"Status Received but not fully received",IF(AND(IFERROR(INDEX(Config!$D$15:$D$34,MATCH($H38,Config!$C$15:$C$34,0)),"No")="Yes",$M38&gt;=$D38),"Fully received: update status","OK"))))))))))))))))))</f>
        <v/>
      </c>
      <c r="T38" s="52" t="str">
        <f>IF($O38=1,IFERROR(COUNTIFS($O$2:$O$301,1,$G$2:$G$301,"&lt;"&amp;$G38)+COUNTIFS($O$2:$O38,1,$G$2:$G38,$G38),""),"")</f>
        <v/>
      </c>
    </row>
    <row r="39">
      <c r="A39" s="46" t="n"/>
      <c r="B39" s="46" t="n"/>
      <c r="C39" s="46" t="n"/>
      <c r="D39" s="48" t="n"/>
      <c r="E39" s="47" t="n"/>
      <c r="F39" s="54" t="n"/>
      <c r="G39" s="54" t="n"/>
      <c r="H39" s="46" t="n"/>
      <c r="I39" s="46" t="n"/>
      <c r="J39" s="46" t="n"/>
      <c r="K39" s="49" t="str">
        <f>IF($A39="","",IFERROR(INDEX(Suppliers!$B$2:$B$51,MATCH($B39,Suppliers!$A$2:$A$51,0))&amp;"","(not found)"))</f>
        <v/>
      </c>
      <c r="L39" s="49" t="str">
        <f>IF($A39="","",IFERROR(INDEX(Products!$B$2:$B$101,MATCH($C39,Products!$A$2:$A$101,0))&amp;"","(not found)"))</f>
        <v/>
      </c>
      <c r="M39" s="50" t="str">
        <f>IF($A39="","",SUMIFS(Inventory_Ledger!$E$2:$E$2001,Inventory_Ledger!$H$2:$H$2001,$A39,Inventory_Ledger!$C$2:$C$2001,"Receipt",Inventory_Ledger!$D$2:$D$2001,$C39))</f>
        <v/>
      </c>
      <c r="N39" s="50" t="str">
        <f>IF($A39="","",IF(IFERROR(INDEX(Config!$D$15:$D$34,MATCH($H39,Config!$C$15:$C$34,0)),"No")="Yes",MAX(0,IF(ISNUMBER($D39),$D39,0)-$M39),0))</f>
        <v/>
      </c>
      <c r="O39" s="52" t="str">
        <f>IF($A39="","",IF($N39&gt;0,1,0))</f>
        <v/>
      </c>
      <c r="P39" s="52" t="str">
        <f>IF($A39="","",IF(AND($O39=1,ISNUMBER($G39)),IF($G39&lt;Config!$B$4,1,0),0))</f>
        <v/>
      </c>
      <c r="Q39" s="52" t="str">
        <f>IF($A39="","",IF($P39=1,Config!$B$4-$G39,0))</f>
        <v/>
      </c>
      <c r="R39" s="53" t="str">
        <f>IF($A39="","",IF(AND(ISNUMBER($D39),ISNUMBER($E39)),$D39*$E39,""))</f>
        <v/>
      </c>
      <c r="S39" s="49" t="str">
        <f>IF(COUNTA($A39:$J39)=0,"",IF($A39="","Missing: PO ID",IF(COUNTIF($A$2:$A$301,$A39)&gt;1,"Duplicate PO ID",IF($B39="","Missing: supplier",IF($C39="","Missing: SKU",IF(NOT(ISNUMBER($D39)),"Missing: qty",IF(NOT(ISNUMBER($F39)),"Missing: order date",IF(NOT(ISNUMBER($G39)),"Missing: expected date",IF($H39="","Missing: status",IF($I39="","Missing: source link",IF(COUNTIF(Suppliers!$A$2:$A$51,$B39)=0,"Unknown supplier",IF(COUNTIF(Products!$A$2:$A$101,$C39)=0,"Unknown SKU",IF(COUNTIF(Config!$C$15:$C$34,$H39)=0,"Unsupported status",IF($D39&lt;=0,"Qty must be above 0",IF($G39&lt;$F39,"Expected date before order date",IF($M39&gt;$D39,"Received more than ordered",IF(AND($H39="Received",$M39&lt;$D39),"Status Received but not fully received",IF(AND(IFERROR(INDEX(Config!$D$15:$D$34,MATCH($H39,Config!$C$15:$C$34,0)),"No")="Yes",$M39&gt;=$D39),"Fully received: update status","OK"))))))))))))))))))</f>
        <v/>
      </c>
      <c r="T39" s="52" t="str">
        <f>IF($O39=1,IFERROR(COUNTIFS($O$2:$O$301,1,$G$2:$G$301,"&lt;"&amp;$G39)+COUNTIFS($O$2:$O39,1,$G$2:$G39,$G39),""),"")</f>
        <v/>
      </c>
    </row>
    <row r="40">
      <c r="A40" s="46" t="n"/>
      <c r="B40" s="46" t="n"/>
      <c r="C40" s="46" t="n"/>
      <c r="D40" s="48" t="n"/>
      <c r="E40" s="47" t="n"/>
      <c r="F40" s="54" t="n"/>
      <c r="G40" s="54" t="n"/>
      <c r="H40" s="46" t="n"/>
      <c r="I40" s="46" t="n"/>
      <c r="J40" s="46" t="n"/>
      <c r="K40" s="49" t="str">
        <f>IF($A40="","",IFERROR(INDEX(Suppliers!$B$2:$B$51,MATCH($B40,Suppliers!$A$2:$A$51,0))&amp;"","(not found)"))</f>
        <v/>
      </c>
      <c r="L40" s="49" t="str">
        <f>IF($A40="","",IFERROR(INDEX(Products!$B$2:$B$101,MATCH($C40,Products!$A$2:$A$101,0))&amp;"","(not found)"))</f>
        <v/>
      </c>
      <c r="M40" s="50" t="str">
        <f>IF($A40="","",SUMIFS(Inventory_Ledger!$E$2:$E$2001,Inventory_Ledger!$H$2:$H$2001,$A40,Inventory_Ledger!$C$2:$C$2001,"Receipt",Inventory_Ledger!$D$2:$D$2001,$C40))</f>
        <v/>
      </c>
      <c r="N40" s="50" t="str">
        <f>IF($A40="","",IF(IFERROR(INDEX(Config!$D$15:$D$34,MATCH($H40,Config!$C$15:$C$34,0)),"No")="Yes",MAX(0,IF(ISNUMBER($D40),$D40,0)-$M40),0))</f>
        <v/>
      </c>
      <c r="O40" s="52" t="str">
        <f>IF($A40="","",IF($N40&gt;0,1,0))</f>
        <v/>
      </c>
      <c r="P40" s="52" t="str">
        <f>IF($A40="","",IF(AND($O40=1,ISNUMBER($G40)),IF($G40&lt;Config!$B$4,1,0),0))</f>
        <v/>
      </c>
      <c r="Q40" s="52" t="str">
        <f>IF($A40="","",IF($P40=1,Config!$B$4-$G40,0))</f>
        <v/>
      </c>
      <c r="R40" s="53" t="str">
        <f>IF($A40="","",IF(AND(ISNUMBER($D40),ISNUMBER($E40)),$D40*$E40,""))</f>
        <v/>
      </c>
      <c r="S40" s="49" t="str">
        <f>IF(COUNTA($A40:$J40)=0,"",IF($A40="","Missing: PO ID",IF(COUNTIF($A$2:$A$301,$A40)&gt;1,"Duplicate PO ID",IF($B40="","Missing: supplier",IF($C40="","Missing: SKU",IF(NOT(ISNUMBER($D40)),"Missing: qty",IF(NOT(ISNUMBER($F40)),"Missing: order date",IF(NOT(ISNUMBER($G40)),"Missing: expected date",IF($H40="","Missing: status",IF($I40="","Missing: source link",IF(COUNTIF(Suppliers!$A$2:$A$51,$B40)=0,"Unknown supplier",IF(COUNTIF(Products!$A$2:$A$101,$C40)=0,"Unknown SKU",IF(COUNTIF(Config!$C$15:$C$34,$H40)=0,"Unsupported status",IF($D40&lt;=0,"Qty must be above 0",IF($G40&lt;$F40,"Expected date before order date",IF($M40&gt;$D40,"Received more than ordered",IF(AND($H40="Received",$M40&lt;$D40),"Status Received but not fully received",IF(AND(IFERROR(INDEX(Config!$D$15:$D$34,MATCH($H40,Config!$C$15:$C$34,0)),"No")="Yes",$M40&gt;=$D40),"Fully received: update status","OK"))))))))))))))))))</f>
        <v/>
      </c>
      <c r="T40" s="52" t="str">
        <f>IF($O40=1,IFERROR(COUNTIFS($O$2:$O$301,1,$G$2:$G$301,"&lt;"&amp;$G40)+COUNTIFS($O$2:$O40,1,$G$2:$G40,$G40),""),"")</f>
        <v/>
      </c>
    </row>
    <row r="41">
      <c r="A41" s="46" t="n"/>
      <c r="B41" s="46" t="n"/>
      <c r="C41" s="46" t="n"/>
      <c r="D41" s="48" t="n"/>
      <c r="E41" s="47" t="n"/>
      <c r="F41" s="54" t="n"/>
      <c r="G41" s="54" t="n"/>
      <c r="H41" s="46" t="n"/>
      <c r="I41" s="46" t="n"/>
      <c r="J41" s="46" t="n"/>
      <c r="K41" s="49" t="str">
        <f>IF($A41="","",IFERROR(INDEX(Suppliers!$B$2:$B$51,MATCH($B41,Suppliers!$A$2:$A$51,0))&amp;"","(not found)"))</f>
        <v/>
      </c>
      <c r="L41" s="49" t="str">
        <f>IF($A41="","",IFERROR(INDEX(Products!$B$2:$B$101,MATCH($C41,Products!$A$2:$A$101,0))&amp;"","(not found)"))</f>
        <v/>
      </c>
      <c r="M41" s="50" t="str">
        <f>IF($A41="","",SUMIFS(Inventory_Ledger!$E$2:$E$2001,Inventory_Ledger!$H$2:$H$2001,$A41,Inventory_Ledger!$C$2:$C$2001,"Receipt",Inventory_Ledger!$D$2:$D$2001,$C41))</f>
        <v/>
      </c>
      <c r="N41" s="50" t="str">
        <f>IF($A41="","",IF(IFERROR(INDEX(Config!$D$15:$D$34,MATCH($H41,Config!$C$15:$C$34,0)),"No")="Yes",MAX(0,IF(ISNUMBER($D41),$D41,0)-$M41),0))</f>
        <v/>
      </c>
      <c r="O41" s="52" t="str">
        <f>IF($A41="","",IF($N41&gt;0,1,0))</f>
        <v/>
      </c>
      <c r="P41" s="52" t="str">
        <f>IF($A41="","",IF(AND($O41=1,ISNUMBER($G41)),IF($G41&lt;Config!$B$4,1,0),0))</f>
        <v/>
      </c>
      <c r="Q41" s="52" t="str">
        <f>IF($A41="","",IF($P41=1,Config!$B$4-$G41,0))</f>
        <v/>
      </c>
      <c r="R41" s="53" t="str">
        <f>IF($A41="","",IF(AND(ISNUMBER($D41),ISNUMBER($E41)),$D41*$E41,""))</f>
        <v/>
      </c>
      <c r="S41" s="49" t="str">
        <f>IF(COUNTA($A41:$J41)=0,"",IF($A41="","Missing: PO ID",IF(COUNTIF($A$2:$A$301,$A41)&gt;1,"Duplicate PO ID",IF($B41="","Missing: supplier",IF($C41="","Missing: SKU",IF(NOT(ISNUMBER($D41)),"Missing: qty",IF(NOT(ISNUMBER($F41)),"Missing: order date",IF(NOT(ISNUMBER($G41)),"Missing: expected date",IF($H41="","Missing: status",IF($I41="","Missing: source link",IF(COUNTIF(Suppliers!$A$2:$A$51,$B41)=0,"Unknown supplier",IF(COUNTIF(Products!$A$2:$A$101,$C41)=0,"Unknown SKU",IF(COUNTIF(Config!$C$15:$C$34,$H41)=0,"Unsupported status",IF($D41&lt;=0,"Qty must be above 0",IF($G41&lt;$F41,"Expected date before order date",IF($M41&gt;$D41,"Received more than ordered",IF(AND($H41="Received",$M41&lt;$D41),"Status Received but not fully received",IF(AND(IFERROR(INDEX(Config!$D$15:$D$34,MATCH($H41,Config!$C$15:$C$34,0)),"No")="Yes",$M41&gt;=$D41),"Fully received: update status","OK"))))))))))))))))))</f>
        <v/>
      </c>
      <c r="T41" s="52" t="str">
        <f>IF($O41=1,IFERROR(COUNTIFS($O$2:$O$301,1,$G$2:$G$301,"&lt;"&amp;$G41)+COUNTIFS($O$2:$O41,1,$G$2:$G41,$G41),""),"")</f>
        <v/>
      </c>
    </row>
    <row r="42">
      <c r="A42" s="46" t="n"/>
      <c r="B42" s="46" t="n"/>
      <c r="C42" s="46" t="n"/>
      <c r="D42" s="48" t="n"/>
      <c r="E42" s="47" t="n"/>
      <c r="F42" s="54" t="n"/>
      <c r="G42" s="54" t="n"/>
      <c r="H42" s="46" t="n"/>
      <c r="I42" s="46" t="n"/>
      <c r="J42" s="46" t="n"/>
      <c r="K42" s="49" t="str">
        <f>IF($A42="","",IFERROR(INDEX(Suppliers!$B$2:$B$51,MATCH($B42,Suppliers!$A$2:$A$51,0))&amp;"","(not found)"))</f>
        <v/>
      </c>
      <c r="L42" s="49" t="str">
        <f>IF($A42="","",IFERROR(INDEX(Products!$B$2:$B$101,MATCH($C42,Products!$A$2:$A$101,0))&amp;"","(not found)"))</f>
        <v/>
      </c>
      <c r="M42" s="50" t="str">
        <f>IF($A42="","",SUMIFS(Inventory_Ledger!$E$2:$E$2001,Inventory_Ledger!$H$2:$H$2001,$A42,Inventory_Ledger!$C$2:$C$2001,"Receipt",Inventory_Ledger!$D$2:$D$2001,$C42))</f>
        <v/>
      </c>
      <c r="N42" s="50" t="str">
        <f>IF($A42="","",IF(IFERROR(INDEX(Config!$D$15:$D$34,MATCH($H42,Config!$C$15:$C$34,0)),"No")="Yes",MAX(0,IF(ISNUMBER($D42),$D42,0)-$M42),0))</f>
        <v/>
      </c>
      <c r="O42" s="52" t="str">
        <f>IF($A42="","",IF($N42&gt;0,1,0))</f>
        <v/>
      </c>
      <c r="P42" s="52" t="str">
        <f>IF($A42="","",IF(AND($O42=1,ISNUMBER($G42)),IF($G42&lt;Config!$B$4,1,0),0))</f>
        <v/>
      </c>
      <c r="Q42" s="52" t="str">
        <f>IF($A42="","",IF($P42=1,Config!$B$4-$G42,0))</f>
        <v/>
      </c>
      <c r="R42" s="53" t="str">
        <f>IF($A42="","",IF(AND(ISNUMBER($D42),ISNUMBER($E42)),$D42*$E42,""))</f>
        <v/>
      </c>
      <c r="S42" s="49" t="str">
        <f>IF(COUNTA($A42:$J42)=0,"",IF($A42="","Missing: PO ID",IF(COUNTIF($A$2:$A$301,$A42)&gt;1,"Duplicate PO ID",IF($B42="","Missing: supplier",IF($C42="","Missing: SKU",IF(NOT(ISNUMBER($D42)),"Missing: qty",IF(NOT(ISNUMBER($F42)),"Missing: order date",IF(NOT(ISNUMBER($G42)),"Missing: expected date",IF($H42="","Missing: status",IF($I42="","Missing: source link",IF(COUNTIF(Suppliers!$A$2:$A$51,$B42)=0,"Unknown supplier",IF(COUNTIF(Products!$A$2:$A$101,$C42)=0,"Unknown SKU",IF(COUNTIF(Config!$C$15:$C$34,$H42)=0,"Unsupported status",IF($D42&lt;=0,"Qty must be above 0",IF($G42&lt;$F42,"Expected date before order date",IF($M42&gt;$D42,"Received more than ordered",IF(AND($H42="Received",$M42&lt;$D42),"Status Received but not fully received",IF(AND(IFERROR(INDEX(Config!$D$15:$D$34,MATCH($H42,Config!$C$15:$C$34,0)),"No")="Yes",$M42&gt;=$D42),"Fully received: update status","OK"))))))))))))))))))</f>
        <v/>
      </c>
      <c r="T42" s="52" t="str">
        <f>IF($O42=1,IFERROR(COUNTIFS($O$2:$O$301,1,$G$2:$G$301,"&lt;"&amp;$G42)+COUNTIFS($O$2:$O42,1,$G$2:$G42,$G42),""),"")</f>
        <v/>
      </c>
    </row>
    <row r="43">
      <c r="A43" s="46" t="n"/>
      <c r="B43" s="46" t="n"/>
      <c r="C43" s="46" t="n"/>
      <c r="D43" s="48" t="n"/>
      <c r="E43" s="47" t="n"/>
      <c r="F43" s="54" t="n"/>
      <c r="G43" s="54" t="n"/>
      <c r="H43" s="46" t="n"/>
      <c r="I43" s="46" t="n"/>
      <c r="J43" s="46" t="n"/>
      <c r="K43" s="49" t="str">
        <f>IF($A43="","",IFERROR(INDEX(Suppliers!$B$2:$B$51,MATCH($B43,Suppliers!$A$2:$A$51,0))&amp;"","(not found)"))</f>
        <v/>
      </c>
      <c r="L43" s="49" t="str">
        <f>IF($A43="","",IFERROR(INDEX(Products!$B$2:$B$101,MATCH($C43,Products!$A$2:$A$101,0))&amp;"","(not found)"))</f>
        <v/>
      </c>
      <c r="M43" s="50" t="str">
        <f>IF($A43="","",SUMIFS(Inventory_Ledger!$E$2:$E$2001,Inventory_Ledger!$H$2:$H$2001,$A43,Inventory_Ledger!$C$2:$C$2001,"Receipt",Inventory_Ledger!$D$2:$D$2001,$C43))</f>
        <v/>
      </c>
      <c r="N43" s="50" t="str">
        <f>IF($A43="","",IF(IFERROR(INDEX(Config!$D$15:$D$34,MATCH($H43,Config!$C$15:$C$34,0)),"No")="Yes",MAX(0,IF(ISNUMBER($D43),$D43,0)-$M43),0))</f>
        <v/>
      </c>
      <c r="O43" s="52" t="str">
        <f>IF($A43="","",IF($N43&gt;0,1,0))</f>
        <v/>
      </c>
      <c r="P43" s="52" t="str">
        <f>IF($A43="","",IF(AND($O43=1,ISNUMBER($G43)),IF($G43&lt;Config!$B$4,1,0),0))</f>
        <v/>
      </c>
      <c r="Q43" s="52" t="str">
        <f>IF($A43="","",IF($P43=1,Config!$B$4-$G43,0))</f>
        <v/>
      </c>
      <c r="R43" s="53" t="str">
        <f>IF($A43="","",IF(AND(ISNUMBER($D43),ISNUMBER($E43)),$D43*$E43,""))</f>
        <v/>
      </c>
      <c r="S43" s="49" t="str">
        <f>IF(COUNTA($A43:$J43)=0,"",IF($A43="","Missing: PO ID",IF(COUNTIF($A$2:$A$301,$A43)&gt;1,"Duplicate PO ID",IF($B43="","Missing: supplier",IF($C43="","Missing: SKU",IF(NOT(ISNUMBER($D43)),"Missing: qty",IF(NOT(ISNUMBER($F43)),"Missing: order date",IF(NOT(ISNUMBER($G43)),"Missing: expected date",IF($H43="","Missing: status",IF($I43="","Missing: source link",IF(COUNTIF(Suppliers!$A$2:$A$51,$B43)=0,"Unknown supplier",IF(COUNTIF(Products!$A$2:$A$101,$C43)=0,"Unknown SKU",IF(COUNTIF(Config!$C$15:$C$34,$H43)=0,"Unsupported status",IF($D43&lt;=0,"Qty must be above 0",IF($G43&lt;$F43,"Expected date before order date",IF($M43&gt;$D43,"Received more than ordered",IF(AND($H43="Received",$M43&lt;$D43),"Status Received but not fully received",IF(AND(IFERROR(INDEX(Config!$D$15:$D$34,MATCH($H43,Config!$C$15:$C$34,0)),"No")="Yes",$M43&gt;=$D43),"Fully received: update status","OK"))))))))))))))))))</f>
        <v/>
      </c>
      <c r="T43" s="52" t="str">
        <f>IF($O43=1,IFERROR(COUNTIFS($O$2:$O$301,1,$G$2:$G$301,"&lt;"&amp;$G43)+COUNTIFS($O$2:$O43,1,$G$2:$G43,$G43),""),"")</f>
        <v/>
      </c>
    </row>
    <row r="44">
      <c r="A44" s="46" t="n"/>
      <c r="B44" s="46" t="n"/>
      <c r="C44" s="46" t="n"/>
      <c r="D44" s="48" t="n"/>
      <c r="E44" s="47" t="n"/>
      <c r="F44" s="54" t="n"/>
      <c r="G44" s="54" t="n"/>
      <c r="H44" s="46" t="n"/>
      <c r="I44" s="46" t="n"/>
      <c r="J44" s="46" t="n"/>
      <c r="K44" s="49" t="str">
        <f>IF($A44="","",IFERROR(INDEX(Suppliers!$B$2:$B$51,MATCH($B44,Suppliers!$A$2:$A$51,0))&amp;"","(not found)"))</f>
        <v/>
      </c>
      <c r="L44" s="49" t="str">
        <f>IF($A44="","",IFERROR(INDEX(Products!$B$2:$B$101,MATCH($C44,Products!$A$2:$A$101,0))&amp;"","(not found)"))</f>
        <v/>
      </c>
      <c r="M44" s="50" t="str">
        <f>IF($A44="","",SUMIFS(Inventory_Ledger!$E$2:$E$2001,Inventory_Ledger!$H$2:$H$2001,$A44,Inventory_Ledger!$C$2:$C$2001,"Receipt",Inventory_Ledger!$D$2:$D$2001,$C44))</f>
        <v/>
      </c>
      <c r="N44" s="50" t="str">
        <f>IF($A44="","",IF(IFERROR(INDEX(Config!$D$15:$D$34,MATCH($H44,Config!$C$15:$C$34,0)),"No")="Yes",MAX(0,IF(ISNUMBER($D44),$D44,0)-$M44),0))</f>
        <v/>
      </c>
      <c r="O44" s="52" t="str">
        <f>IF($A44="","",IF($N44&gt;0,1,0))</f>
        <v/>
      </c>
      <c r="P44" s="52" t="str">
        <f>IF($A44="","",IF(AND($O44=1,ISNUMBER($G44)),IF($G44&lt;Config!$B$4,1,0),0))</f>
        <v/>
      </c>
      <c r="Q44" s="52" t="str">
        <f>IF($A44="","",IF($P44=1,Config!$B$4-$G44,0))</f>
        <v/>
      </c>
      <c r="R44" s="53" t="str">
        <f>IF($A44="","",IF(AND(ISNUMBER($D44),ISNUMBER($E44)),$D44*$E44,""))</f>
        <v/>
      </c>
      <c r="S44" s="49" t="str">
        <f>IF(COUNTA($A44:$J44)=0,"",IF($A44="","Missing: PO ID",IF(COUNTIF($A$2:$A$301,$A44)&gt;1,"Duplicate PO ID",IF($B44="","Missing: supplier",IF($C44="","Missing: SKU",IF(NOT(ISNUMBER($D44)),"Missing: qty",IF(NOT(ISNUMBER($F44)),"Missing: order date",IF(NOT(ISNUMBER($G44)),"Missing: expected date",IF($H44="","Missing: status",IF($I44="","Missing: source link",IF(COUNTIF(Suppliers!$A$2:$A$51,$B44)=0,"Unknown supplier",IF(COUNTIF(Products!$A$2:$A$101,$C44)=0,"Unknown SKU",IF(COUNTIF(Config!$C$15:$C$34,$H44)=0,"Unsupported status",IF($D44&lt;=0,"Qty must be above 0",IF($G44&lt;$F44,"Expected date before order date",IF($M44&gt;$D44,"Received more than ordered",IF(AND($H44="Received",$M44&lt;$D44),"Status Received but not fully received",IF(AND(IFERROR(INDEX(Config!$D$15:$D$34,MATCH($H44,Config!$C$15:$C$34,0)),"No")="Yes",$M44&gt;=$D44),"Fully received: update status","OK"))))))))))))))))))</f>
        <v/>
      </c>
      <c r="T44" s="52" t="str">
        <f>IF($O44=1,IFERROR(COUNTIFS($O$2:$O$301,1,$G$2:$G$301,"&lt;"&amp;$G44)+COUNTIFS($O$2:$O44,1,$G$2:$G44,$G44),""),"")</f>
        <v/>
      </c>
    </row>
    <row r="45">
      <c r="A45" s="46" t="n"/>
      <c r="B45" s="46" t="n"/>
      <c r="C45" s="46" t="n"/>
      <c r="D45" s="48" t="n"/>
      <c r="E45" s="47" t="n"/>
      <c r="F45" s="54" t="n"/>
      <c r="G45" s="54" t="n"/>
      <c r="H45" s="46" t="n"/>
      <c r="I45" s="46" t="n"/>
      <c r="J45" s="46" t="n"/>
      <c r="K45" s="49" t="str">
        <f>IF($A45="","",IFERROR(INDEX(Suppliers!$B$2:$B$51,MATCH($B45,Suppliers!$A$2:$A$51,0))&amp;"","(not found)"))</f>
        <v/>
      </c>
      <c r="L45" s="49" t="str">
        <f>IF($A45="","",IFERROR(INDEX(Products!$B$2:$B$101,MATCH($C45,Products!$A$2:$A$101,0))&amp;"","(not found)"))</f>
        <v/>
      </c>
      <c r="M45" s="50" t="str">
        <f>IF($A45="","",SUMIFS(Inventory_Ledger!$E$2:$E$2001,Inventory_Ledger!$H$2:$H$2001,$A45,Inventory_Ledger!$C$2:$C$2001,"Receipt",Inventory_Ledger!$D$2:$D$2001,$C45))</f>
        <v/>
      </c>
      <c r="N45" s="50" t="str">
        <f>IF($A45="","",IF(IFERROR(INDEX(Config!$D$15:$D$34,MATCH($H45,Config!$C$15:$C$34,0)),"No")="Yes",MAX(0,IF(ISNUMBER($D45),$D45,0)-$M45),0))</f>
        <v/>
      </c>
      <c r="O45" s="52" t="str">
        <f>IF($A45="","",IF($N45&gt;0,1,0))</f>
        <v/>
      </c>
      <c r="P45" s="52" t="str">
        <f>IF($A45="","",IF(AND($O45=1,ISNUMBER($G45)),IF($G45&lt;Config!$B$4,1,0),0))</f>
        <v/>
      </c>
      <c r="Q45" s="52" t="str">
        <f>IF($A45="","",IF($P45=1,Config!$B$4-$G45,0))</f>
        <v/>
      </c>
      <c r="R45" s="53" t="str">
        <f>IF($A45="","",IF(AND(ISNUMBER($D45),ISNUMBER($E45)),$D45*$E45,""))</f>
        <v/>
      </c>
      <c r="S45" s="49" t="str">
        <f>IF(COUNTA($A45:$J45)=0,"",IF($A45="","Missing: PO ID",IF(COUNTIF($A$2:$A$301,$A45)&gt;1,"Duplicate PO ID",IF($B45="","Missing: supplier",IF($C45="","Missing: SKU",IF(NOT(ISNUMBER($D45)),"Missing: qty",IF(NOT(ISNUMBER($F45)),"Missing: order date",IF(NOT(ISNUMBER($G45)),"Missing: expected date",IF($H45="","Missing: status",IF($I45="","Missing: source link",IF(COUNTIF(Suppliers!$A$2:$A$51,$B45)=0,"Unknown supplier",IF(COUNTIF(Products!$A$2:$A$101,$C45)=0,"Unknown SKU",IF(COUNTIF(Config!$C$15:$C$34,$H45)=0,"Unsupported status",IF($D45&lt;=0,"Qty must be above 0",IF($G45&lt;$F45,"Expected date before order date",IF($M45&gt;$D45,"Received more than ordered",IF(AND($H45="Received",$M45&lt;$D45),"Status Received but not fully received",IF(AND(IFERROR(INDEX(Config!$D$15:$D$34,MATCH($H45,Config!$C$15:$C$34,0)),"No")="Yes",$M45&gt;=$D45),"Fully received: update status","OK"))))))))))))))))))</f>
        <v/>
      </c>
      <c r="T45" s="52" t="str">
        <f>IF($O45=1,IFERROR(COUNTIFS($O$2:$O$301,1,$G$2:$G$301,"&lt;"&amp;$G45)+COUNTIFS($O$2:$O45,1,$G$2:$G45,$G45),""),"")</f>
        <v/>
      </c>
    </row>
    <row r="46">
      <c r="A46" s="46" t="n"/>
      <c r="B46" s="46" t="n"/>
      <c r="C46" s="46" t="n"/>
      <c r="D46" s="48" t="n"/>
      <c r="E46" s="47" t="n"/>
      <c r="F46" s="54" t="n"/>
      <c r="G46" s="54" t="n"/>
      <c r="H46" s="46" t="n"/>
      <c r="I46" s="46" t="n"/>
      <c r="J46" s="46" t="n"/>
      <c r="K46" s="49" t="str">
        <f>IF($A46="","",IFERROR(INDEX(Suppliers!$B$2:$B$51,MATCH($B46,Suppliers!$A$2:$A$51,0))&amp;"","(not found)"))</f>
        <v/>
      </c>
      <c r="L46" s="49" t="str">
        <f>IF($A46="","",IFERROR(INDEX(Products!$B$2:$B$101,MATCH($C46,Products!$A$2:$A$101,0))&amp;"","(not found)"))</f>
        <v/>
      </c>
      <c r="M46" s="50" t="str">
        <f>IF($A46="","",SUMIFS(Inventory_Ledger!$E$2:$E$2001,Inventory_Ledger!$H$2:$H$2001,$A46,Inventory_Ledger!$C$2:$C$2001,"Receipt",Inventory_Ledger!$D$2:$D$2001,$C46))</f>
        <v/>
      </c>
      <c r="N46" s="50" t="str">
        <f>IF($A46="","",IF(IFERROR(INDEX(Config!$D$15:$D$34,MATCH($H46,Config!$C$15:$C$34,0)),"No")="Yes",MAX(0,IF(ISNUMBER($D46),$D46,0)-$M46),0))</f>
        <v/>
      </c>
      <c r="O46" s="52" t="str">
        <f>IF($A46="","",IF($N46&gt;0,1,0))</f>
        <v/>
      </c>
      <c r="P46" s="52" t="str">
        <f>IF($A46="","",IF(AND($O46=1,ISNUMBER($G46)),IF($G46&lt;Config!$B$4,1,0),0))</f>
        <v/>
      </c>
      <c r="Q46" s="52" t="str">
        <f>IF($A46="","",IF($P46=1,Config!$B$4-$G46,0))</f>
        <v/>
      </c>
      <c r="R46" s="53" t="str">
        <f>IF($A46="","",IF(AND(ISNUMBER($D46),ISNUMBER($E46)),$D46*$E46,""))</f>
        <v/>
      </c>
      <c r="S46" s="49" t="str">
        <f>IF(COUNTA($A46:$J46)=0,"",IF($A46="","Missing: PO ID",IF(COUNTIF($A$2:$A$301,$A46)&gt;1,"Duplicate PO ID",IF($B46="","Missing: supplier",IF($C46="","Missing: SKU",IF(NOT(ISNUMBER($D46)),"Missing: qty",IF(NOT(ISNUMBER($F46)),"Missing: order date",IF(NOT(ISNUMBER($G46)),"Missing: expected date",IF($H46="","Missing: status",IF($I46="","Missing: source link",IF(COUNTIF(Suppliers!$A$2:$A$51,$B46)=0,"Unknown supplier",IF(COUNTIF(Products!$A$2:$A$101,$C46)=0,"Unknown SKU",IF(COUNTIF(Config!$C$15:$C$34,$H46)=0,"Unsupported status",IF($D46&lt;=0,"Qty must be above 0",IF($G46&lt;$F46,"Expected date before order date",IF($M46&gt;$D46,"Received more than ordered",IF(AND($H46="Received",$M46&lt;$D46),"Status Received but not fully received",IF(AND(IFERROR(INDEX(Config!$D$15:$D$34,MATCH($H46,Config!$C$15:$C$34,0)),"No")="Yes",$M46&gt;=$D46),"Fully received: update status","OK"))))))))))))))))))</f>
        <v/>
      </c>
      <c r="T46" s="52" t="str">
        <f>IF($O46=1,IFERROR(COUNTIFS($O$2:$O$301,1,$G$2:$G$301,"&lt;"&amp;$G46)+COUNTIFS($O$2:$O46,1,$G$2:$G46,$G46),""),"")</f>
        <v/>
      </c>
    </row>
    <row r="47">
      <c r="A47" s="46" t="n"/>
      <c r="B47" s="46" t="n"/>
      <c r="C47" s="46" t="n"/>
      <c r="D47" s="48" t="n"/>
      <c r="E47" s="47" t="n"/>
      <c r="F47" s="54" t="n"/>
      <c r="G47" s="54" t="n"/>
      <c r="H47" s="46" t="n"/>
      <c r="I47" s="46" t="n"/>
      <c r="J47" s="46" t="n"/>
      <c r="K47" s="49" t="str">
        <f>IF($A47="","",IFERROR(INDEX(Suppliers!$B$2:$B$51,MATCH($B47,Suppliers!$A$2:$A$51,0))&amp;"","(not found)"))</f>
        <v/>
      </c>
      <c r="L47" s="49" t="str">
        <f>IF($A47="","",IFERROR(INDEX(Products!$B$2:$B$101,MATCH($C47,Products!$A$2:$A$101,0))&amp;"","(not found)"))</f>
        <v/>
      </c>
      <c r="M47" s="50" t="str">
        <f>IF($A47="","",SUMIFS(Inventory_Ledger!$E$2:$E$2001,Inventory_Ledger!$H$2:$H$2001,$A47,Inventory_Ledger!$C$2:$C$2001,"Receipt",Inventory_Ledger!$D$2:$D$2001,$C47))</f>
        <v/>
      </c>
      <c r="N47" s="50" t="str">
        <f>IF($A47="","",IF(IFERROR(INDEX(Config!$D$15:$D$34,MATCH($H47,Config!$C$15:$C$34,0)),"No")="Yes",MAX(0,IF(ISNUMBER($D47),$D47,0)-$M47),0))</f>
        <v/>
      </c>
      <c r="O47" s="52" t="str">
        <f>IF($A47="","",IF($N47&gt;0,1,0))</f>
        <v/>
      </c>
      <c r="P47" s="52" t="str">
        <f>IF($A47="","",IF(AND($O47=1,ISNUMBER($G47)),IF($G47&lt;Config!$B$4,1,0),0))</f>
        <v/>
      </c>
      <c r="Q47" s="52" t="str">
        <f>IF($A47="","",IF($P47=1,Config!$B$4-$G47,0))</f>
        <v/>
      </c>
      <c r="R47" s="53" t="str">
        <f>IF($A47="","",IF(AND(ISNUMBER($D47),ISNUMBER($E47)),$D47*$E47,""))</f>
        <v/>
      </c>
      <c r="S47" s="49" t="str">
        <f>IF(COUNTA($A47:$J47)=0,"",IF($A47="","Missing: PO ID",IF(COUNTIF($A$2:$A$301,$A47)&gt;1,"Duplicate PO ID",IF($B47="","Missing: supplier",IF($C47="","Missing: SKU",IF(NOT(ISNUMBER($D47)),"Missing: qty",IF(NOT(ISNUMBER($F47)),"Missing: order date",IF(NOT(ISNUMBER($G47)),"Missing: expected date",IF($H47="","Missing: status",IF($I47="","Missing: source link",IF(COUNTIF(Suppliers!$A$2:$A$51,$B47)=0,"Unknown supplier",IF(COUNTIF(Products!$A$2:$A$101,$C47)=0,"Unknown SKU",IF(COUNTIF(Config!$C$15:$C$34,$H47)=0,"Unsupported status",IF($D47&lt;=0,"Qty must be above 0",IF($G47&lt;$F47,"Expected date before order date",IF($M47&gt;$D47,"Received more than ordered",IF(AND($H47="Received",$M47&lt;$D47),"Status Received but not fully received",IF(AND(IFERROR(INDEX(Config!$D$15:$D$34,MATCH($H47,Config!$C$15:$C$34,0)),"No")="Yes",$M47&gt;=$D47),"Fully received: update status","OK"))))))))))))))))))</f>
        <v/>
      </c>
      <c r="T47" s="52" t="str">
        <f>IF($O47=1,IFERROR(COUNTIFS($O$2:$O$301,1,$G$2:$G$301,"&lt;"&amp;$G47)+COUNTIFS($O$2:$O47,1,$G$2:$G47,$G47),""),"")</f>
        <v/>
      </c>
    </row>
    <row r="48">
      <c r="A48" s="46" t="n"/>
      <c r="B48" s="46" t="n"/>
      <c r="C48" s="46" t="n"/>
      <c r="D48" s="48" t="n"/>
      <c r="E48" s="47" t="n"/>
      <c r="F48" s="54" t="n"/>
      <c r="G48" s="54" t="n"/>
      <c r="H48" s="46" t="n"/>
      <c r="I48" s="46" t="n"/>
      <c r="J48" s="46" t="n"/>
      <c r="K48" s="49" t="str">
        <f>IF($A48="","",IFERROR(INDEX(Suppliers!$B$2:$B$51,MATCH($B48,Suppliers!$A$2:$A$51,0))&amp;"","(not found)"))</f>
        <v/>
      </c>
      <c r="L48" s="49" t="str">
        <f>IF($A48="","",IFERROR(INDEX(Products!$B$2:$B$101,MATCH($C48,Products!$A$2:$A$101,0))&amp;"","(not found)"))</f>
        <v/>
      </c>
      <c r="M48" s="50" t="str">
        <f>IF($A48="","",SUMIFS(Inventory_Ledger!$E$2:$E$2001,Inventory_Ledger!$H$2:$H$2001,$A48,Inventory_Ledger!$C$2:$C$2001,"Receipt",Inventory_Ledger!$D$2:$D$2001,$C48))</f>
        <v/>
      </c>
      <c r="N48" s="50" t="str">
        <f>IF($A48="","",IF(IFERROR(INDEX(Config!$D$15:$D$34,MATCH($H48,Config!$C$15:$C$34,0)),"No")="Yes",MAX(0,IF(ISNUMBER($D48),$D48,0)-$M48),0))</f>
        <v/>
      </c>
      <c r="O48" s="52" t="str">
        <f>IF($A48="","",IF($N48&gt;0,1,0))</f>
        <v/>
      </c>
      <c r="P48" s="52" t="str">
        <f>IF($A48="","",IF(AND($O48=1,ISNUMBER($G48)),IF($G48&lt;Config!$B$4,1,0),0))</f>
        <v/>
      </c>
      <c r="Q48" s="52" t="str">
        <f>IF($A48="","",IF($P48=1,Config!$B$4-$G48,0))</f>
        <v/>
      </c>
      <c r="R48" s="53" t="str">
        <f>IF($A48="","",IF(AND(ISNUMBER($D48),ISNUMBER($E48)),$D48*$E48,""))</f>
        <v/>
      </c>
      <c r="S48" s="49" t="str">
        <f>IF(COUNTA($A48:$J48)=0,"",IF($A48="","Missing: PO ID",IF(COUNTIF($A$2:$A$301,$A48)&gt;1,"Duplicate PO ID",IF($B48="","Missing: supplier",IF($C48="","Missing: SKU",IF(NOT(ISNUMBER($D48)),"Missing: qty",IF(NOT(ISNUMBER($F48)),"Missing: order date",IF(NOT(ISNUMBER($G48)),"Missing: expected date",IF($H48="","Missing: status",IF($I48="","Missing: source link",IF(COUNTIF(Suppliers!$A$2:$A$51,$B48)=0,"Unknown supplier",IF(COUNTIF(Products!$A$2:$A$101,$C48)=0,"Unknown SKU",IF(COUNTIF(Config!$C$15:$C$34,$H48)=0,"Unsupported status",IF($D48&lt;=0,"Qty must be above 0",IF($G48&lt;$F48,"Expected date before order date",IF($M48&gt;$D48,"Received more than ordered",IF(AND($H48="Received",$M48&lt;$D48),"Status Received but not fully received",IF(AND(IFERROR(INDEX(Config!$D$15:$D$34,MATCH($H48,Config!$C$15:$C$34,0)),"No")="Yes",$M48&gt;=$D48),"Fully received: update status","OK"))))))))))))))))))</f>
        <v/>
      </c>
      <c r="T48" s="52" t="str">
        <f>IF($O48=1,IFERROR(COUNTIFS($O$2:$O$301,1,$G$2:$G$301,"&lt;"&amp;$G48)+COUNTIFS($O$2:$O48,1,$G$2:$G48,$G48),""),"")</f>
        <v/>
      </c>
    </row>
    <row r="49">
      <c r="A49" s="46" t="n"/>
      <c r="B49" s="46" t="n"/>
      <c r="C49" s="46" t="n"/>
      <c r="D49" s="48" t="n"/>
      <c r="E49" s="47" t="n"/>
      <c r="F49" s="54" t="n"/>
      <c r="G49" s="54" t="n"/>
      <c r="H49" s="46" t="n"/>
      <c r="I49" s="46" t="n"/>
      <c r="J49" s="46" t="n"/>
      <c r="K49" s="49" t="str">
        <f>IF($A49="","",IFERROR(INDEX(Suppliers!$B$2:$B$51,MATCH($B49,Suppliers!$A$2:$A$51,0))&amp;"","(not found)"))</f>
        <v/>
      </c>
      <c r="L49" s="49" t="str">
        <f>IF($A49="","",IFERROR(INDEX(Products!$B$2:$B$101,MATCH($C49,Products!$A$2:$A$101,0))&amp;"","(not found)"))</f>
        <v/>
      </c>
      <c r="M49" s="50" t="str">
        <f>IF($A49="","",SUMIFS(Inventory_Ledger!$E$2:$E$2001,Inventory_Ledger!$H$2:$H$2001,$A49,Inventory_Ledger!$C$2:$C$2001,"Receipt",Inventory_Ledger!$D$2:$D$2001,$C49))</f>
        <v/>
      </c>
      <c r="N49" s="50" t="str">
        <f>IF($A49="","",IF(IFERROR(INDEX(Config!$D$15:$D$34,MATCH($H49,Config!$C$15:$C$34,0)),"No")="Yes",MAX(0,IF(ISNUMBER($D49),$D49,0)-$M49),0))</f>
        <v/>
      </c>
      <c r="O49" s="52" t="str">
        <f>IF($A49="","",IF($N49&gt;0,1,0))</f>
        <v/>
      </c>
      <c r="P49" s="52" t="str">
        <f>IF($A49="","",IF(AND($O49=1,ISNUMBER($G49)),IF($G49&lt;Config!$B$4,1,0),0))</f>
        <v/>
      </c>
      <c r="Q49" s="52" t="str">
        <f>IF($A49="","",IF($P49=1,Config!$B$4-$G49,0))</f>
        <v/>
      </c>
      <c r="R49" s="53" t="str">
        <f>IF($A49="","",IF(AND(ISNUMBER($D49),ISNUMBER($E49)),$D49*$E49,""))</f>
        <v/>
      </c>
      <c r="S49" s="49" t="str">
        <f>IF(COUNTA($A49:$J49)=0,"",IF($A49="","Missing: PO ID",IF(COUNTIF($A$2:$A$301,$A49)&gt;1,"Duplicate PO ID",IF($B49="","Missing: supplier",IF($C49="","Missing: SKU",IF(NOT(ISNUMBER($D49)),"Missing: qty",IF(NOT(ISNUMBER($F49)),"Missing: order date",IF(NOT(ISNUMBER($G49)),"Missing: expected date",IF($H49="","Missing: status",IF($I49="","Missing: source link",IF(COUNTIF(Suppliers!$A$2:$A$51,$B49)=0,"Unknown supplier",IF(COUNTIF(Products!$A$2:$A$101,$C49)=0,"Unknown SKU",IF(COUNTIF(Config!$C$15:$C$34,$H49)=0,"Unsupported status",IF($D49&lt;=0,"Qty must be above 0",IF($G49&lt;$F49,"Expected date before order date",IF($M49&gt;$D49,"Received more than ordered",IF(AND($H49="Received",$M49&lt;$D49),"Status Received but not fully received",IF(AND(IFERROR(INDEX(Config!$D$15:$D$34,MATCH($H49,Config!$C$15:$C$34,0)),"No")="Yes",$M49&gt;=$D49),"Fully received: update status","OK"))))))))))))))))))</f>
        <v/>
      </c>
      <c r="T49" s="52" t="str">
        <f>IF($O49=1,IFERROR(COUNTIFS($O$2:$O$301,1,$G$2:$G$301,"&lt;"&amp;$G49)+COUNTIFS($O$2:$O49,1,$G$2:$G49,$G49),""),"")</f>
        <v/>
      </c>
    </row>
    <row r="50">
      <c r="A50" s="46" t="n"/>
      <c r="B50" s="46" t="n"/>
      <c r="C50" s="46" t="n"/>
      <c r="D50" s="48" t="n"/>
      <c r="E50" s="47" t="n"/>
      <c r="F50" s="54" t="n"/>
      <c r="G50" s="54" t="n"/>
      <c r="H50" s="46" t="n"/>
      <c r="I50" s="46" t="n"/>
      <c r="J50" s="46" t="n"/>
      <c r="K50" s="49" t="str">
        <f>IF($A50="","",IFERROR(INDEX(Suppliers!$B$2:$B$51,MATCH($B50,Suppliers!$A$2:$A$51,0))&amp;"","(not found)"))</f>
        <v/>
      </c>
      <c r="L50" s="49" t="str">
        <f>IF($A50="","",IFERROR(INDEX(Products!$B$2:$B$101,MATCH($C50,Products!$A$2:$A$101,0))&amp;"","(not found)"))</f>
        <v/>
      </c>
      <c r="M50" s="50" t="str">
        <f>IF($A50="","",SUMIFS(Inventory_Ledger!$E$2:$E$2001,Inventory_Ledger!$H$2:$H$2001,$A50,Inventory_Ledger!$C$2:$C$2001,"Receipt",Inventory_Ledger!$D$2:$D$2001,$C50))</f>
        <v/>
      </c>
      <c r="N50" s="50" t="str">
        <f>IF($A50="","",IF(IFERROR(INDEX(Config!$D$15:$D$34,MATCH($H50,Config!$C$15:$C$34,0)),"No")="Yes",MAX(0,IF(ISNUMBER($D50),$D50,0)-$M50),0))</f>
        <v/>
      </c>
      <c r="O50" s="52" t="str">
        <f>IF($A50="","",IF($N50&gt;0,1,0))</f>
        <v/>
      </c>
      <c r="P50" s="52" t="str">
        <f>IF($A50="","",IF(AND($O50=1,ISNUMBER($G50)),IF($G50&lt;Config!$B$4,1,0),0))</f>
        <v/>
      </c>
      <c r="Q50" s="52" t="str">
        <f>IF($A50="","",IF($P50=1,Config!$B$4-$G50,0))</f>
        <v/>
      </c>
      <c r="R50" s="53" t="str">
        <f>IF($A50="","",IF(AND(ISNUMBER($D50),ISNUMBER($E50)),$D50*$E50,""))</f>
        <v/>
      </c>
      <c r="S50" s="49" t="str">
        <f>IF(COUNTA($A50:$J50)=0,"",IF($A50="","Missing: PO ID",IF(COUNTIF($A$2:$A$301,$A50)&gt;1,"Duplicate PO ID",IF($B50="","Missing: supplier",IF($C50="","Missing: SKU",IF(NOT(ISNUMBER($D50)),"Missing: qty",IF(NOT(ISNUMBER($F50)),"Missing: order date",IF(NOT(ISNUMBER($G50)),"Missing: expected date",IF($H50="","Missing: status",IF($I50="","Missing: source link",IF(COUNTIF(Suppliers!$A$2:$A$51,$B50)=0,"Unknown supplier",IF(COUNTIF(Products!$A$2:$A$101,$C50)=0,"Unknown SKU",IF(COUNTIF(Config!$C$15:$C$34,$H50)=0,"Unsupported status",IF($D50&lt;=0,"Qty must be above 0",IF($G50&lt;$F50,"Expected date before order date",IF($M50&gt;$D50,"Received more than ordered",IF(AND($H50="Received",$M50&lt;$D50),"Status Received but not fully received",IF(AND(IFERROR(INDEX(Config!$D$15:$D$34,MATCH($H50,Config!$C$15:$C$34,0)),"No")="Yes",$M50&gt;=$D50),"Fully received: update status","OK"))))))))))))))))))</f>
        <v/>
      </c>
      <c r="T50" s="52" t="str">
        <f>IF($O50=1,IFERROR(COUNTIFS($O$2:$O$301,1,$G$2:$G$301,"&lt;"&amp;$G50)+COUNTIFS($O$2:$O50,1,$G$2:$G50,$G50),""),"")</f>
        <v/>
      </c>
    </row>
    <row r="51">
      <c r="A51" s="46" t="n"/>
      <c r="B51" s="46" t="n"/>
      <c r="C51" s="46" t="n"/>
      <c r="D51" s="48" t="n"/>
      <c r="E51" s="47" t="n"/>
      <c r="F51" s="54" t="n"/>
      <c r="G51" s="54" t="n"/>
      <c r="H51" s="46" t="n"/>
      <c r="I51" s="46" t="n"/>
      <c r="J51" s="46" t="n"/>
      <c r="K51" s="49" t="str">
        <f>IF($A51="","",IFERROR(INDEX(Suppliers!$B$2:$B$51,MATCH($B51,Suppliers!$A$2:$A$51,0))&amp;"","(not found)"))</f>
        <v/>
      </c>
      <c r="L51" s="49" t="str">
        <f>IF($A51="","",IFERROR(INDEX(Products!$B$2:$B$101,MATCH($C51,Products!$A$2:$A$101,0))&amp;"","(not found)"))</f>
        <v/>
      </c>
      <c r="M51" s="50" t="str">
        <f>IF($A51="","",SUMIFS(Inventory_Ledger!$E$2:$E$2001,Inventory_Ledger!$H$2:$H$2001,$A51,Inventory_Ledger!$C$2:$C$2001,"Receipt",Inventory_Ledger!$D$2:$D$2001,$C51))</f>
        <v/>
      </c>
      <c r="N51" s="50" t="str">
        <f>IF($A51="","",IF(IFERROR(INDEX(Config!$D$15:$D$34,MATCH($H51,Config!$C$15:$C$34,0)),"No")="Yes",MAX(0,IF(ISNUMBER($D51),$D51,0)-$M51),0))</f>
        <v/>
      </c>
      <c r="O51" s="52" t="str">
        <f>IF($A51="","",IF($N51&gt;0,1,0))</f>
        <v/>
      </c>
      <c r="P51" s="52" t="str">
        <f>IF($A51="","",IF(AND($O51=1,ISNUMBER($G51)),IF($G51&lt;Config!$B$4,1,0),0))</f>
        <v/>
      </c>
      <c r="Q51" s="52" t="str">
        <f>IF($A51="","",IF($P51=1,Config!$B$4-$G51,0))</f>
        <v/>
      </c>
      <c r="R51" s="53" t="str">
        <f>IF($A51="","",IF(AND(ISNUMBER($D51),ISNUMBER($E51)),$D51*$E51,""))</f>
        <v/>
      </c>
      <c r="S51" s="49" t="str">
        <f>IF(COUNTA($A51:$J51)=0,"",IF($A51="","Missing: PO ID",IF(COUNTIF($A$2:$A$301,$A51)&gt;1,"Duplicate PO ID",IF($B51="","Missing: supplier",IF($C51="","Missing: SKU",IF(NOT(ISNUMBER($D51)),"Missing: qty",IF(NOT(ISNUMBER($F51)),"Missing: order date",IF(NOT(ISNUMBER($G51)),"Missing: expected date",IF($H51="","Missing: status",IF($I51="","Missing: source link",IF(COUNTIF(Suppliers!$A$2:$A$51,$B51)=0,"Unknown supplier",IF(COUNTIF(Products!$A$2:$A$101,$C51)=0,"Unknown SKU",IF(COUNTIF(Config!$C$15:$C$34,$H51)=0,"Unsupported status",IF($D51&lt;=0,"Qty must be above 0",IF($G51&lt;$F51,"Expected date before order date",IF($M51&gt;$D51,"Received more than ordered",IF(AND($H51="Received",$M51&lt;$D51),"Status Received but not fully received",IF(AND(IFERROR(INDEX(Config!$D$15:$D$34,MATCH($H51,Config!$C$15:$C$34,0)),"No")="Yes",$M51&gt;=$D51),"Fully received: update status","OK"))))))))))))))))))</f>
        <v/>
      </c>
      <c r="T51" s="52" t="str">
        <f>IF($O51=1,IFERROR(COUNTIFS($O$2:$O$301,1,$G$2:$G$301,"&lt;"&amp;$G51)+COUNTIFS($O$2:$O51,1,$G$2:$G51,$G51),""),"")</f>
        <v/>
      </c>
    </row>
    <row r="52">
      <c r="A52" s="46" t="n"/>
      <c r="B52" s="46" t="n"/>
      <c r="C52" s="46" t="n"/>
      <c r="D52" s="48" t="n"/>
      <c r="E52" s="47" t="n"/>
      <c r="F52" s="54" t="n"/>
      <c r="G52" s="54" t="n"/>
      <c r="H52" s="46" t="n"/>
      <c r="I52" s="46" t="n"/>
      <c r="J52" s="46" t="n"/>
      <c r="K52" s="49" t="str">
        <f>IF($A52="","",IFERROR(INDEX(Suppliers!$B$2:$B$51,MATCH($B52,Suppliers!$A$2:$A$51,0))&amp;"","(not found)"))</f>
        <v/>
      </c>
      <c r="L52" s="49" t="str">
        <f>IF($A52="","",IFERROR(INDEX(Products!$B$2:$B$101,MATCH($C52,Products!$A$2:$A$101,0))&amp;"","(not found)"))</f>
        <v/>
      </c>
      <c r="M52" s="50" t="str">
        <f>IF($A52="","",SUMIFS(Inventory_Ledger!$E$2:$E$2001,Inventory_Ledger!$H$2:$H$2001,$A52,Inventory_Ledger!$C$2:$C$2001,"Receipt",Inventory_Ledger!$D$2:$D$2001,$C52))</f>
        <v/>
      </c>
      <c r="N52" s="50" t="str">
        <f>IF($A52="","",IF(IFERROR(INDEX(Config!$D$15:$D$34,MATCH($H52,Config!$C$15:$C$34,0)),"No")="Yes",MAX(0,IF(ISNUMBER($D52),$D52,0)-$M52),0))</f>
        <v/>
      </c>
      <c r="O52" s="52" t="str">
        <f>IF($A52="","",IF($N52&gt;0,1,0))</f>
        <v/>
      </c>
      <c r="P52" s="52" t="str">
        <f>IF($A52="","",IF(AND($O52=1,ISNUMBER($G52)),IF($G52&lt;Config!$B$4,1,0),0))</f>
        <v/>
      </c>
      <c r="Q52" s="52" t="str">
        <f>IF($A52="","",IF($P52=1,Config!$B$4-$G52,0))</f>
        <v/>
      </c>
      <c r="R52" s="53" t="str">
        <f>IF($A52="","",IF(AND(ISNUMBER($D52),ISNUMBER($E52)),$D52*$E52,""))</f>
        <v/>
      </c>
      <c r="S52" s="49" t="str">
        <f>IF(COUNTA($A52:$J52)=0,"",IF($A52="","Missing: PO ID",IF(COUNTIF($A$2:$A$301,$A52)&gt;1,"Duplicate PO ID",IF($B52="","Missing: supplier",IF($C52="","Missing: SKU",IF(NOT(ISNUMBER($D52)),"Missing: qty",IF(NOT(ISNUMBER($F52)),"Missing: order date",IF(NOT(ISNUMBER($G52)),"Missing: expected date",IF($H52="","Missing: status",IF($I52="","Missing: source link",IF(COUNTIF(Suppliers!$A$2:$A$51,$B52)=0,"Unknown supplier",IF(COUNTIF(Products!$A$2:$A$101,$C52)=0,"Unknown SKU",IF(COUNTIF(Config!$C$15:$C$34,$H52)=0,"Unsupported status",IF($D52&lt;=0,"Qty must be above 0",IF($G52&lt;$F52,"Expected date before order date",IF($M52&gt;$D52,"Received more than ordered",IF(AND($H52="Received",$M52&lt;$D52),"Status Received but not fully received",IF(AND(IFERROR(INDEX(Config!$D$15:$D$34,MATCH($H52,Config!$C$15:$C$34,0)),"No")="Yes",$M52&gt;=$D52),"Fully received: update status","OK"))))))))))))))))))</f>
        <v/>
      </c>
      <c r="T52" s="52" t="str">
        <f>IF($O52=1,IFERROR(COUNTIFS($O$2:$O$301,1,$G$2:$G$301,"&lt;"&amp;$G52)+COUNTIFS($O$2:$O52,1,$G$2:$G52,$G52),""),"")</f>
        <v/>
      </c>
    </row>
    <row r="53">
      <c r="A53" s="46" t="n"/>
      <c r="B53" s="46" t="n"/>
      <c r="C53" s="46" t="n"/>
      <c r="D53" s="48" t="n"/>
      <c r="E53" s="47" t="n"/>
      <c r="F53" s="54" t="n"/>
      <c r="G53" s="54" t="n"/>
      <c r="H53" s="46" t="n"/>
      <c r="I53" s="46" t="n"/>
      <c r="J53" s="46" t="n"/>
      <c r="K53" s="49" t="str">
        <f>IF($A53="","",IFERROR(INDEX(Suppliers!$B$2:$B$51,MATCH($B53,Suppliers!$A$2:$A$51,0))&amp;"","(not found)"))</f>
        <v/>
      </c>
      <c r="L53" s="49" t="str">
        <f>IF($A53="","",IFERROR(INDEX(Products!$B$2:$B$101,MATCH($C53,Products!$A$2:$A$101,0))&amp;"","(not found)"))</f>
        <v/>
      </c>
      <c r="M53" s="50" t="str">
        <f>IF($A53="","",SUMIFS(Inventory_Ledger!$E$2:$E$2001,Inventory_Ledger!$H$2:$H$2001,$A53,Inventory_Ledger!$C$2:$C$2001,"Receipt",Inventory_Ledger!$D$2:$D$2001,$C53))</f>
        <v/>
      </c>
      <c r="N53" s="50" t="str">
        <f>IF($A53="","",IF(IFERROR(INDEX(Config!$D$15:$D$34,MATCH($H53,Config!$C$15:$C$34,0)),"No")="Yes",MAX(0,IF(ISNUMBER($D53),$D53,0)-$M53),0))</f>
        <v/>
      </c>
      <c r="O53" s="52" t="str">
        <f>IF($A53="","",IF($N53&gt;0,1,0))</f>
        <v/>
      </c>
      <c r="P53" s="52" t="str">
        <f>IF($A53="","",IF(AND($O53=1,ISNUMBER($G53)),IF($G53&lt;Config!$B$4,1,0),0))</f>
        <v/>
      </c>
      <c r="Q53" s="52" t="str">
        <f>IF($A53="","",IF($P53=1,Config!$B$4-$G53,0))</f>
        <v/>
      </c>
      <c r="R53" s="53" t="str">
        <f>IF($A53="","",IF(AND(ISNUMBER($D53),ISNUMBER($E53)),$D53*$E53,""))</f>
        <v/>
      </c>
      <c r="S53" s="49" t="str">
        <f>IF(COUNTA($A53:$J53)=0,"",IF($A53="","Missing: PO ID",IF(COUNTIF($A$2:$A$301,$A53)&gt;1,"Duplicate PO ID",IF($B53="","Missing: supplier",IF($C53="","Missing: SKU",IF(NOT(ISNUMBER($D53)),"Missing: qty",IF(NOT(ISNUMBER($F53)),"Missing: order date",IF(NOT(ISNUMBER($G53)),"Missing: expected date",IF($H53="","Missing: status",IF($I53="","Missing: source link",IF(COUNTIF(Suppliers!$A$2:$A$51,$B53)=0,"Unknown supplier",IF(COUNTIF(Products!$A$2:$A$101,$C53)=0,"Unknown SKU",IF(COUNTIF(Config!$C$15:$C$34,$H53)=0,"Unsupported status",IF($D53&lt;=0,"Qty must be above 0",IF($G53&lt;$F53,"Expected date before order date",IF($M53&gt;$D53,"Received more than ordered",IF(AND($H53="Received",$M53&lt;$D53),"Status Received but not fully received",IF(AND(IFERROR(INDEX(Config!$D$15:$D$34,MATCH($H53,Config!$C$15:$C$34,0)),"No")="Yes",$M53&gt;=$D53),"Fully received: update status","OK"))))))))))))))))))</f>
        <v/>
      </c>
      <c r="T53" s="52" t="str">
        <f>IF($O53=1,IFERROR(COUNTIFS($O$2:$O$301,1,$G$2:$G$301,"&lt;"&amp;$G53)+COUNTIFS($O$2:$O53,1,$G$2:$G53,$G53),""),"")</f>
        <v/>
      </c>
    </row>
    <row r="54">
      <c r="A54" s="46" t="n"/>
      <c r="B54" s="46" t="n"/>
      <c r="C54" s="46" t="n"/>
      <c r="D54" s="48" t="n"/>
      <c r="E54" s="47" t="n"/>
      <c r="F54" s="54" t="n"/>
      <c r="G54" s="54" t="n"/>
      <c r="H54" s="46" t="n"/>
      <c r="I54" s="46" t="n"/>
      <c r="J54" s="46" t="n"/>
      <c r="K54" s="49" t="str">
        <f>IF($A54="","",IFERROR(INDEX(Suppliers!$B$2:$B$51,MATCH($B54,Suppliers!$A$2:$A$51,0))&amp;"","(not found)"))</f>
        <v/>
      </c>
      <c r="L54" s="49" t="str">
        <f>IF($A54="","",IFERROR(INDEX(Products!$B$2:$B$101,MATCH($C54,Products!$A$2:$A$101,0))&amp;"","(not found)"))</f>
        <v/>
      </c>
      <c r="M54" s="50" t="str">
        <f>IF($A54="","",SUMIFS(Inventory_Ledger!$E$2:$E$2001,Inventory_Ledger!$H$2:$H$2001,$A54,Inventory_Ledger!$C$2:$C$2001,"Receipt",Inventory_Ledger!$D$2:$D$2001,$C54))</f>
        <v/>
      </c>
      <c r="N54" s="50" t="str">
        <f>IF($A54="","",IF(IFERROR(INDEX(Config!$D$15:$D$34,MATCH($H54,Config!$C$15:$C$34,0)),"No")="Yes",MAX(0,IF(ISNUMBER($D54),$D54,0)-$M54),0))</f>
        <v/>
      </c>
      <c r="O54" s="52" t="str">
        <f>IF($A54="","",IF($N54&gt;0,1,0))</f>
        <v/>
      </c>
      <c r="P54" s="52" t="str">
        <f>IF($A54="","",IF(AND($O54=1,ISNUMBER($G54)),IF($G54&lt;Config!$B$4,1,0),0))</f>
        <v/>
      </c>
      <c r="Q54" s="52" t="str">
        <f>IF($A54="","",IF($P54=1,Config!$B$4-$G54,0))</f>
        <v/>
      </c>
      <c r="R54" s="53" t="str">
        <f>IF($A54="","",IF(AND(ISNUMBER($D54),ISNUMBER($E54)),$D54*$E54,""))</f>
        <v/>
      </c>
      <c r="S54" s="49" t="str">
        <f>IF(COUNTA($A54:$J54)=0,"",IF($A54="","Missing: PO ID",IF(COUNTIF($A$2:$A$301,$A54)&gt;1,"Duplicate PO ID",IF($B54="","Missing: supplier",IF($C54="","Missing: SKU",IF(NOT(ISNUMBER($D54)),"Missing: qty",IF(NOT(ISNUMBER($F54)),"Missing: order date",IF(NOT(ISNUMBER($G54)),"Missing: expected date",IF($H54="","Missing: status",IF($I54="","Missing: source link",IF(COUNTIF(Suppliers!$A$2:$A$51,$B54)=0,"Unknown supplier",IF(COUNTIF(Products!$A$2:$A$101,$C54)=0,"Unknown SKU",IF(COUNTIF(Config!$C$15:$C$34,$H54)=0,"Unsupported status",IF($D54&lt;=0,"Qty must be above 0",IF($G54&lt;$F54,"Expected date before order date",IF($M54&gt;$D54,"Received more than ordered",IF(AND($H54="Received",$M54&lt;$D54),"Status Received but not fully received",IF(AND(IFERROR(INDEX(Config!$D$15:$D$34,MATCH($H54,Config!$C$15:$C$34,0)),"No")="Yes",$M54&gt;=$D54),"Fully received: update status","OK"))))))))))))))))))</f>
        <v/>
      </c>
      <c r="T54" s="52" t="str">
        <f>IF($O54=1,IFERROR(COUNTIFS($O$2:$O$301,1,$G$2:$G$301,"&lt;"&amp;$G54)+COUNTIFS($O$2:$O54,1,$G$2:$G54,$G54),""),"")</f>
        <v/>
      </c>
    </row>
    <row r="55">
      <c r="A55" s="46" t="n"/>
      <c r="B55" s="46" t="n"/>
      <c r="C55" s="46" t="n"/>
      <c r="D55" s="48" t="n"/>
      <c r="E55" s="47" t="n"/>
      <c r="F55" s="54" t="n"/>
      <c r="G55" s="54" t="n"/>
      <c r="H55" s="46" t="n"/>
      <c r="I55" s="46" t="n"/>
      <c r="J55" s="46" t="n"/>
      <c r="K55" s="49" t="str">
        <f>IF($A55="","",IFERROR(INDEX(Suppliers!$B$2:$B$51,MATCH($B55,Suppliers!$A$2:$A$51,0))&amp;"","(not found)"))</f>
        <v/>
      </c>
      <c r="L55" s="49" t="str">
        <f>IF($A55="","",IFERROR(INDEX(Products!$B$2:$B$101,MATCH($C55,Products!$A$2:$A$101,0))&amp;"","(not found)"))</f>
        <v/>
      </c>
      <c r="M55" s="50" t="str">
        <f>IF($A55="","",SUMIFS(Inventory_Ledger!$E$2:$E$2001,Inventory_Ledger!$H$2:$H$2001,$A55,Inventory_Ledger!$C$2:$C$2001,"Receipt",Inventory_Ledger!$D$2:$D$2001,$C55))</f>
        <v/>
      </c>
      <c r="N55" s="50" t="str">
        <f>IF($A55="","",IF(IFERROR(INDEX(Config!$D$15:$D$34,MATCH($H55,Config!$C$15:$C$34,0)),"No")="Yes",MAX(0,IF(ISNUMBER($D55),$D55,0)-$M55),0))</f>
        <v/>
      </c>
      <c r="O55" s="52" t="str">
        <f>IF($A55="","",IF($N55&gt;0,1,0))</f>
        <v/>
      </c>
      <c r="P55" s="52" t="str">
        <f>IF($A55="","",IF(AND($O55=1,ISNUMBER($G55)),IF($G55&lt;Config!$B$4,1,0),0))</f>
        <v/>
      </c>
      <c r="Q55" s="52" t="str">
        <f>IF($A55="","",IF($P55=1,Config!$B$4-$G55,0))</f>
        <v/>
      </c>
      <c r="R55" s="53" t="str">
        <f>IF($A55="","",IF(AND(ISNUMBER($D55),ISNUMBER($E55)),$D55*$E55,""))</f>
        <v/>
      </c>
      <c r="S55" s="49" t="str">
        <f>IF(COUNTA($A55:$J55)=0,"",IF($A55="","Missing: PO ID",IF(COUNTIF($A$2:$A$301,$A55)&gt;1,"Duplicate PO ID",IF($B55="","Missing: supplier",IF($C55="","Missing: SKU",IF(NOT(ISNUMBER($D55)),"Missing: qty",IF(NOT(ISNUMBER($F55)),"Missing: order date",IF(NOT(ISNUMBER($G55)),"Missing: expected date",IF($H55="","Missing: status",IF($I55="","Missing: source link",IF(COUNTIF(Suppliers!$A$2:$A$51,$B55)=0,"Unknown supplier",IF(COUNTIF(Products!$A$2:$A$101,$C55)=0,"Unknown SKU",IF(COUNTIF(Config!$C$15:$C$34,$H55)=0,"Unsupported status",IF($D55&lt;=0,"Qty must be above 0",IF($G55&lt;$F55,"Expected date before order date",IF($M55&gt;$D55,"Received more than ordered",IF(AND($H55="Received",$M55&lt;$D55),"Status Received but not fully received",IF(AND(IFERROR(INDEX(Config!$D$15:$D$34,MATCH($H55,Config!$C$15:$C$34,0)),"No")="Yes",$M55&gt;=$D55),"Fully received: update status","OK"))))))))))))))))))</f>
        <v/>
      </c>
      <c r="T55" s="52" t="str">
        <f>IF($O55=1,IFERROR(COUNTIFS($O$2:$O$301,1,$G$2:$G$301,"&lt;"&amp;$G55)+COUNTIFS($O$2:$O55,1,$G$2:$G55,$G55),""),"")</f>
        <v/>
      </c>
    </row>
    <row r="56">
      <c r="A56" s="46" t="n"/>
      <c r="B56" s="46" t="n"/>
      <c r="C56" s="46" t="n"/>
      <c r="D56" s="48" t="n"/>
      <c r="E56" s="47" t="n"/>
      <c r="F56" s="54" t="n"/>
      <c r="G56" s="54" t="n"/>
      <c r="H56" s="46" t="n"/>
      <c r="I56" s="46" t="n"/>
      <c r="J56" s="46" t="n"/>
      <c r="K56" s="49" t="str">
        <f>IF($A56="","",IFERROR(INDEX(Suppliers!$B$2:$B$51,MATCH($B56,Suppliers!$A$2:$A$51,0))&amp;"","(not found)"))</f>
        <v/>
      </c>
      <c r="L56" s="49" t="str">
        <f>IF($A56="","",IFERROR(INDEX(Products!$B$2:$B$101,MATCH($C56,Products!$A$2:$A$101,0))&amp;"","(not found)"))</f>
        <v/>
      </c>
      <c r="M56" s="50" t="str">
        <f>IF($A56="","",SUMIFS(Inventory_Ledger!$E$2:$E$2001,Inventory_Ledger!$H$2:$H$2001,$A56,Inventory_Ledger!$C$2:$C$2001,"Receipt",Inventory_Ledger!$D$2:$D$2001,$C56))</f>
        <v/>
      </c>
      <c r="N56" s="50" t="str">
        <f>IF($A56="","",IF(IFERROR(INDEX(Config!$D$15:$D$34,MATCH($H56,Config!$C$15:$C$34,0)),"No")="Yes",MAX(0,IF(ISNUMBER($D56),$D56,0)-$M56),0))</f>
        <v/>
      </c>
      <c r="O56" s="52" t="str">
        <f>IF($A56="","",IF($N56&gt;0,1,0))</f>
        <v/>
      </c>
      <c r="P56" s="52" t="str">
        <f>IF($A56="","",IF(AND($O56=1,ISNUMBER($G56)),IF($G56&lt;Config!$B$4,1,0),0))</f>
        <v/>
      </c>
      <c r="Q56" s="52" t="str">
        <f>IF($A56="","",IF($P56=1,Config!$B$4-$G56,0))</f>
        <v/>
      </c>
      <c r="R56" s="53" t="str">
        <f>IF($A56="","",IF(AND(ISNUMBER($D56),ISNUMBER($E56)),$D56*$E56,""))</f>
        <v/>
      </c>
      <c r="S56" s="49" t="str">
        <f>IF(COUNTA($A56:$J56)=0,"",IF($A56="","Missing: PO ID",IF(COUNTIF($A$2:$A$301,$A56)&gt;1,"Duplicate PO ID",IF($B56="","Missing: supplier",IF($C56="","Missing: SKU",IF(NOT(ISNUMBER($D56)),"Missing: qty",IF(NOT(ISNUMBER($F56)),"Missing: order date",IF(NOT(ISNUMBER($G56)),"Missing: expected date",IF($H56="","Missing: status",IF($I56="","Missing: source link",IF(COUNTIF(Suppliers!$A$2:$A$51,$B56)=0,"Unknown supplier",IF(COUNTIF(Products!$A$2:$A$101,$C56)=0,"Unknown SKU",IF(COUNTIF(Config!$C$15:$C$34,$H56)=0,"Unsupported status",IF($D56&lt;=0,"Qty must be above 0",IF($G56&lt;$F56,"Expected date before order date",IF($M56&gt;$D56,"Received more than ordered",IF(AND($H56="Received",$M56&lt;$D56),"Status Received but not fully received",IF(AND(IFERROR(INDEX(Config!$D$15:$D$34,MATCH($H56,Config!$C$15:$C$34,0)),"No")="Yes",$M56&gt;=$D56),"Fully received: update status","OK"))))))))))))))))))</f>
        <v/>
      </c>
      <c r="T56" s="52" t="str">
        <f>IF($O56=1,IFERROR(COUNTIFS($O$2:$O$301,1,$G$2:$G$301,"&lt;"&amp;$G56)+COUNTIFS($O$2:$O56,1,$G$2:$G56,$G56),""),"")</f>
        <v/>
      </c>
    </row>
    <row r="57">
      <c r="A57" s="46" t="n"/>
      <c r="B57" s="46" t="n"/>
      <c r="C57" s="46" t="n"/>
      <c r="D57" s="48" t="n"/>
      <c r="E57" s="47" t="n"/>
      <c r="F57" s="54" t="n"/>
      <c r="G57" s="54" t="n"/>
      <c r="H57" s="46" t="n"/>
      <c r="I57" s="46" t="n"/>
      <c r="J57" s="46" t="n"/>
      <c r="K57" s="49" t="str">
        <f>IF($A57="","",IFERROR(INDEX(Suppliers!$B$2:$B$51,MATCH($B57,Suppliers!$A$2:$A$51,0))&amp;"","(not found)"))</f>
        <v/>
      </c>
      <c r="L57" s="49" t="str">
        <f>IF($A57="","",IFERROR(INDEX(Products!$B$2:$B$101,MATCH($C57,Products!$A$2:$A$101,0))&amp;"","(not found)"))</f>
        <v/>
      </c>
      <c r="M57" s="50" t="str">
        <f>IF($A57="","",SUMIFS(Inventory_Ledger!$E$2:$E$2001,Inventory_Ledger!$H$2:$H$2001,$A57,Inventory_Ledger!$C$2:$C$2001,"Receipt",Inventory_Ledger!$D$2:$D$2001,$C57))</f>
        <v/>
      </c>
      <c r="N57" s="50" t="str">
        <f>IF($A57="","",IF(IFERROR(INDEX(Config!$D$15:$D$34,MATCH($H57,Config!$C$15:$C$34,0)),"No")="Yes",MAX(0,IF(ISNUMBER($D57),$D57,0)-$M57),0))</f>
        <v/>
      </c>
      <c r="O57" s="52" t="str">
        <f>IF($A57="","",IF($N57&gt;0,1,0))</f>
        <v/>
      </c>
      <c r="P57" s="52" t="str">
        <f>IF($A57="","",IF(AND($O57=1,ISNUMBER($G57)),IF($G57&lt;Config!$B$4,1,0),0))</f>
        <v/>
      </c>
      <c r="Q57" s="52" t="str">
        <f>IF($A57="","",IF($P57=1,Config!$B$4-$G57,0))</f>
        <v/>
      </c>
      <c r="R57" s="53" t="str">
        <f>IF($A57="","",IF(AND(ISNUMBER($D57),ISNUMBER($E57)),$D57*$E57,""))</f>
        <v/>
      </c>
      <c r="S57" s="49" t="str">
        <f>IF(COUNTA($A57:$J57)=0,"",IF($A57="","Missing: PO ID",IF(COUNTIF($A$2:$A$301,$A57)&gt;1,"Duplicate PO ID",IF($B57="","Missing: supplier",IF($C57="","Missing: SKU",IF(NOT(ISNUMBER($D57)),"Missing: qty",IF(NOT(ISNUMBER($F57)),"Missing: order date",IF(NOT(ISNUMBER($G57)),"Missing: expected date",IF($H57="","Missing: status",IF($I57="","Missing: source link",IF(COUNTIF(Suppliers!$A$2:$A$51,$B57)=0,"Unknown supplier",IF(COUNTIF(Products!$A$2:$A$101,$C57)=0,"Unknown SKU",IF(COUNTIF(Config!$C$15:$C$34,$H57)=0,"Unsupported status",IF($D57&lt;=0,"Qty must be above 0",IF($G57&lt;$F57,"Expected date before order date",IF($M57&gt;$D57,"Received more than ordered",IF(AND($H57="Received",$M57&lt;$D57),"Status Received but not fully received",IF(AND(IFERROR(INDEX(Config!$D$15:$D$34,MATCH($H57,Config!$C$15:$C$34,0)),"No")="Yes",$M57&gt;=$D57),"Fully received: update status","OK"))))))))))))))))))</f>
        <v/>
      </c>
      <c r="T57" s="52" t="str">
        <f>IF($O57=1,IFERROR(COUNTIFS($O$2:$O$301,1,$G$2:$G$301,"&lt;"&amp;$G57)+COUNTIFS($O$2:$O57,1,$G$2:$G57,$G57),""),"")</f>
        <v/>
      </c>
    </row>
    <row r="58">
      <c r="A58" s="46" t="n"/>
      <c r="B58" s="46" t="n"/>
      <c r="C58" s="46" t="n"/>
      <c r="D58" s="48" t="n"/>
      <c r="E58" s="47" t="n"/>
      <c r="F58" s="54" t="n"/>
      <c r="G58" s="54" t="n"/>
      <c r="H58" s="46" t="n"/>
      <c r="I58" s="46" t="n"/>
      <c r="J58" s="46" t="n"/>
      <c r="K58" s="49" t="str">
        <f>IF($A58="","",IFERROR(INDEX(Suppliers!$B$2:$B$51,MATCH($B58,Suppliers!$A$2:$A$51,0))&amp;"","(not found)"))</f>
        <v/>
      </c>
      <c r="L58" s="49" t="str">
        <f>IF($A58="","",IFERROR(INDEX(Products!$B$2:$B$101,MATCH($C58,Products!$A$2:$A$101,0))&amp;"","(not found)"))</f>
        <v/>
      </c>
      <c r="M58" s="50" t="str">
        <f>IF($A58="","",SUMIFS(Inventory_Ledger!$E$2:$E$2001,Inventory_Ledger!$H$2:$H$2001,$A58,Inventory_Ledger!$C$2:$C$2001,"Receipt",Inventory_Ledger!$D$2:$D$2001,$C58))</f>
        <v/>
      </c>
      <c r="N58" s="50" t="str">
        <f>IF($A58="","",IF(IFERROR(INDEX(Config!$D$15:$D$34,MATCH($H58,Config!$C$15:$C$34,0)),"No")="Yes",MAX(0,IF(ISNUMBER($D58),$D58,0)-$M58),0))</f>
        <v/>
      </c>
      <c r="O58" s="52" t="str">
        <f>IF($A58="","",IF($N58&gt;0,1,0))</f>
        <v/>
      </c>
      <c r="P58" s="52" t="str">
        <f>IF($A58="","",IF(AND($O58=1,ISNUMBER($G58)),IF($G58&lt;Config!$B$4,1,0),0))</f>
        <v/>
      </c>
      <c r="Q58" s="52" t="str">
        <f>IF($A58="","",IF($P58=1,Config!$B$4-$G58,0))</f>
        <v/>
      </c>
      <c r="R58" s="53" t="str">
        <f>IF($A58="","",IF(AND(ISNUMBER($D58),ISNUMBER($E58)),$D58*$E58,""))</f>
        <v/>
      </c>
      <c r="S58" s="49" t="str">
        <f>IF(COUNTA($A58:$J58)=0,"",IF($A58="","Missing: PO ID",IF(COUNTIF($A$2:$A$301,$A58)&gt;1,"Duplicate PO ID",IF($B58="","Missing: supplier",IF($C58="","Missing: SKU",IF(NOT(ISNUMBER($D58)),"Missing: qty",IF(NOT(ISNUMBER($F58)),"Missing: order date",IF(NOT(ISNUMBER($G58)),"Missing: expected date",IF($H58="","Missing: status",IF($I58="","Missing: source link",IF(COUNTIF(Suppliers!$A$2:$A$51,$B58)=0,"Unknown supplier",IF(COUNTIF(Products!$A$2:$A$101,$C58)=0,"Unknown SKU",IF(COUNTIF(Config!$C$15:$C$34,$H58)=0,"Unsupported status",IF($D58&lt;=0,"Qty must be above 0",IF($G58&lt;$F58,"Expected date before order date",IF($M58&gt;$D58,"Received more than ordered",IF(AND($H58="Received",$M58&lt;$D58),"Status Received but not fully received",IF(AND(IFERROR(INDEX(Config!$D$15:$D$34,MATCH($H58,Config!$C$15:$C$34,0)),"No")="Yes",$M58&gt;=$D58),"Fully received: update status","OK"))))))))))))))))))</f>
        <v/>
      </c>
      <c r="T58" s="52" t="str">
        <f>IF($O58=1,IFERROR(COUNTIFS($O$2:$O$301,1,$G$2:$G$301,"&lt;"&amp;$G58)+COUNTIFS($O$2:$O58,1,$G$2:$G58,$G58),""),"")</f>
        <v/>
      </c>
    </row>
    <row r="59">
      <c r="A59" s="46" t="n"/>
      <c r="B59" s="46" t="n"/>
      <c r="C59" s="46" t="n"/>
      <c r="D59" s="48" t="n"/>
      <c r="E59" s="47" t="n"/>
      <c r="F59" s="54" t="n"/>
      <c r="G59" s="54" t="n"/>
      <c r="H59" s="46" t="n"/>
      <c r="I59" s="46" t="n"/>
      <c r="J59" s="46" t="n"/>
      <c r="K59" s="49" t="str">
        <f>IF($A59="","",IFERROR(INDEX(Suppliers!$B$2:$B$51,MATCH($B59,Suppliers!$A$2:$A$51,0))&amp;"","(not found)"))</f>
        <v/>
      </c>
      <c r="L59" s="49" t="str">
        <f>IF($A59="","",IFERROR(INDEX(Products!$B$2:$B$101,MATCH($C59,Products!$A$2:$A$101,0))&amp;"","(not found)"))</f>
        <v/>
      </c>
      <c r="M59" s="50" t="str">
        <f>IF($A59="","",SUMIFS(Inventory_Ledger!$E$2:$E$2001,Inventory_Ledger!$H$2:$H$2001,$A59,Inventory_Ledger!$C$2:$C$2001,"Receipt",Inventory_Ledger!$D$2:$D$2001,$C59))</f>
        <v/>
      </c>
      <c r="N59" s="50" t="str">
        <f>IF($A59="","",IF(IFERROR(INDEX(Config!$D$15:$D$34,MATCH($H59,Config!$C$15:$C$34,0)),"No")="Yes",MAX(0,IF(ISNUMBER($D59),$D59,0)-$M59),0))</f>
        <v/>
      </c>
      <c r="O59" s="52" t="str">
        <f>IF($A59="","",IF($N59&gt;0,1,0))</f>
        <v/>
      </c>
      <c r="P59" s="52" t="str">
        <f>IF($A59="","",IF(AND($O59=1,ISNUMBER($G59)),IF($G59&lt;Config!$B$4,1,0),0))</f>
        <v/>
      </c>
      <c r="Q59" s="52" t="str">
        <f>IF($A59="","",IF($P59=1,Config!$B$4-$G59,0))</f>
        <v/>
      </c>
      <c r="R59" s="53" t="str">
        <f>IF($A59="","",IF(AND(ISNUMBER($D59),ISNUMBER($E59)),$D59*$E59,""))</f>
        <v/>
      </c>
      <c r="S59" s="49" t="str">
        <f>IF(COUNTA($A59:$J59)=0,"",IF($A59="","Missing: PO ID",IF(COUNTIF($A$2:$A$301,$A59)&gt;1,"Duplicate PO ID",IF($B59="","Missing: supplier",IF($C59="","Missing: SKU",IF(NOT(ISNUMBER($D59)),"Missing: qty",IF(NOT(ISNUMBER($F59)),"Missing: order date",IF(NOT(ISNUMBER($G59)),"Missing: expected date",IF($H59="","Missing: status",IF($I59="","Missing: source link",IF(COUNTIF(Suppliers!$A$2:$A$51,$B59)=0,"Unknown supplier",IF(COUNTIF(Products!$A$2:$A$101,$C59)=0,"Unknown SKU",IF(COUNTIF(Config!$C$15:$C$34,$H59)=0,"Unsupported status",IF($D59&lt;=0,"Qty must be above 0",IF($G59&lt;$F59,"Expected date before order date",IF($M59&gt;$D59,"Received more than ordered",IF(AND($H59="Received",$M59&lt;$D59),"Status Received but not fully received",IF(AND(IFERROR(INDEX(Config!$D$15:$D$34,MATCH($H59,Config!$C$15:$C$34,0)),"No")="Yes",$M59&gt;=$D59),"Fully received: update status","OK"))))))))))))))))))</f>
        <v/>
      </c>
      <c r="T59" s="52" t="str">
        <f>IF($O59=1,IFERROR(COUNTIFS($O$2:$O$301,1,$G$2:$G$301,"&lt;"&amp;$G59)+COUNTIFS($O$2:$O59,1,$G$2:$G59,$G59),""),"")</f>
        <v/>
      </c>
    </row>
    <row r="60">
      <c r="A60" s="46" t="n"/>
      <c r="B60" s="46" t="n"/>
      <c r="C60" s="46" t="n"/>
      <c r="D60" s="48" t="n"/>
      <c r="E60" s="47" t="n"/>
      <c r="F60" s="54" t="n"/>
      <c r="G60" s="54" t="n"/>
      <c r="H60" s="46" t="n"/>
      <c r="I60" s="46" t="n"/>
      <c r="J60" s="46" t="n"/>
      <c r="K60" s="49" t="str">
        <f>IF($A60="","",IFERROR(INDEX(Suppliers!$B$2:$B$51,MATCH($B60,Suppliers!$A$2:$A$51,0))&amp;"","(not found)"))</f>
        <v/>
      </c>
      <c r="L60" s="49" t="str">
        <f>IF($A60="","",IFERROR(INDEX(Products!$B$2:$B$101,MATCH($C60,Products!$A$2:$A$101,0))&amp;"","(not found)"))</f>
        <v/>
      </c>
      <c r="M60" s="50" t="str">
        <f>IF($A60="","",SUMIFS(Inventory_Ledger!$E$2:$E$2001,Inventory_Ledger!$H$2:$H$2001,$A60,Inventory_Ledger!$C$2:$C$2001,"Receipt",Inventory_Ledger!$D$2:$D$2001,$C60))</f>
        <v/>
      </c>
      <c r="N60" s="50" t="str">
        <f>IF($A60="","",IF(IFERROR(INDEX(Config!$D$15:$D$34,MATCH($H60,Config!$C$15:$C$34,0)),"No")="Yes",MAX(0,IF(ISNUMBER($D60),$D60,0)-$M60),0))</f>
        <v/>
      </c>
      <c r="O60" s="52" t="str">
        <f>IF($A60="","",IF($N60&gt;0,1,0))</f>
        <v/>
      </c>
      <c r="P60" s="52" t="str">
        <f>IF($A60="","",IF(AND($O60=1,ISNUMBER($G60)),IF($G60&lt;Config!$B$4,1,0),0))</f>
        <v/>
      </c>
      <c r="Q60" s="52" t="str">
        <f>IF($A60="","",IF($P60=1,Config!$B$4-$G60,0))</f>
        <v/>
      </c>
      <c r="R60" s="53" t="str">
        <f>IF($A60="","",IF(AND(ISNUMBER($D60),ISNUMBER($E60)),$D60*$E60,""))</f>
        <v/>
      </c>
      <c r="S60" s="49" t="str">
        <f>IF(COUNTA($A60:$J60)=0,"",IF($A60="","Missing: PO ID",IF(COUNTIF($A$2:$A$301,$A60)&gt;1,"Duplicate PO ID",IF($B60="","Missing: supplier",IF($C60="","Missing: SKU",IF(NOT(ISNUMBER($D60)),"Missing: qty",IF(NOT(ISNUMBER($F60)),"Missing: order date",IF(NOT(ISNUMBER($G60)),"Missing: expected date",IF($H60="","Missing: status",IF($I60="","Missing: source link",IF(COUNTIF(Suppliers!$A$2:$A$51,$B60)=0,"Unknown supplier",IF(COUNTIF(Products!$A$2:$A$101,$C60)=0,"Unknown SKU",IF(COUNTIF(Config!$C$15:$C$34,$H60)=0,"Unsupported status",IF($D60&lt;=0,"Qty must be above 0",IF($G60&lt;$F60,"Expected date before order date",IF($M60&gt;$D60,"Received more than ordered",IF(AND($H60="Received",$M60&lt;$D60),"Status Received but not fully received",IF(AND(IFERROR(INDEX(Config!$D$15:$D$34,MATCH($H60,Config!$C$15:$C$34,0)),"No")="Yes",$M60&gt;=$D60),"Fully received: update status","OK"))))))))))))))))))</f>
        <v/>
      </c>
      <c r="T60" s="52" t="str">
        <f>IF($O60=1,IFERROR(COUNTIFS($O$2:$O$301,1,$G$2:$G$301,"&lt;"&amp;$G60)+COUNTIFS($O$2:$O60,1,$G$2:$G60,$G60),""),"")</f>
        <v/>
      </c>
    </row>
    <row r="61">
      <c r="A61" s="46" t="n"/>
      <c r="B61" s="46" t="n"/>
      <c r="C61" s="46" t="n"/>
      <c r="D61" s="48" t="n"/>
      <c r="E61" s="47" t="n"/>
      <c r="F61" s="54" t="n"/>
      <c r="G61" s="54" t="n"/>
      <c r="H61" s="46" t="n"/>
      <c r="I61" s="46" t="n"/>
      <c r="J61" s="46" t="n"/>
      <c r="K61" s="49" t="str">
        <f>IF($A61="","",IFERROR(INDEX(Suppliers!$B$2:$B$51,MATCH($B61,Suppliers!$A$2:$A$51,0))&amp;"","(not found)"))</f>
        <v/>
      </c>
      <c r="L61" s="49" t="str">
        <f>IF($A61="","",IFERROR(INDEX(Products!$B$2:$B$101,MATCH($C61,Products!$A$2:$A$101,0))&amp;"","(not found)"))</f>
        <v/>
      </c>
      <c r="M61" s="50" t="str">
        <f>IF($A61="","",SUMIFS(Inventory_Ledger!$E$2:$E$2001,Inventory_Ledger!$H$2:$H$2001,$A61,Inventory_Ledger!$C$2:$C$2001,"Receipt",Inventory_Ledger!$D$2:$D$2001,$C61))</f>
        <v/>
      </c>
      <c r="N61" s="50" t="str">
        <f>IF($A61="","",IF(IFERROR(INDEX(Config!$D$15:$D$34,MATCH($H61,Config!$C$15:$C$34,0)),"No")="Yes",MAX(0,IF(ISNUMBER($D61),$D61,0)-$M61),0))</f>
        <v/>
      </c>
      <c r="O61" s="52" t="str">
        <f>IF($A61="","",IF($N61&gt;0,1,0))</f>
        <v/>
      </c>
      <c r="P61" s="52" t="str">
        <f>IF($A61="","",IF(AND($O61=1,ISNUMBER($G61)),IF($G61&lt;Config!$B$4,1,0),0))</f>
        <v/>
      </c>
      <c r="Q61" s="52" t="str">
        <f>IF($A61="","",IF($P61=1,Config!$B$4-$G61,0))</f>
        <v/>
      </c>
      <c r="R61" s="53" t="str">
        <f>IF($A61="","",IF(AND(ISNUMBER($D61),ISNUMBER($E61)),$D61*$E61,""))</f>
        <v/>
      </c>
      <c r="S61" s="49" t="str">
        <f>IF(COUNTA($A61:$J61)=0,"",IF($A61="","Missing: PO ID",IF(COUNTIF($A$2:$A$301,$A61)&gt;1,"Duplicate PO ID",IF($B61="","Missing: supplier",IF($C61="","Missing: SKU",IF(NOT(ISNUMBER($D61)),"Missing: qty",IF(NOT(ISNUMBER($F61)),"Missing: order date",IF(NOT(ISNUMBER($G61)),"Missing: expected date",IF($H61="","Missing: status",IF($I61="","Missing: source link",IF(COUNTIF(Suppliers!$A$2:$A$51,$B61)=0,"Unknown supplier",IF(COUNTIF(Products!$A$2:$A$101,$C61)=0,"Unknown SKU",IF(COUNTIF(Config!$C$15:$C$34,$H61)=0,"Unsupported status",IF($D61&lt;=0,"Qty must be above 0",IF($G61&lt;$F61,"Expected date before order date",IF($M61&gt;$D61,"Received more than ordered",IF(AND($H61="Received",$M61&lt;$D61),"Status Received but not fully received",IF(AND(IFERROR(INDEX(Config!$D$15:$D$34,MATCH($H61,Config!$C$15:$C$34,0)),"No")="Yes",$M61&gt;=$D61),"Fully received: update status","OK"))))))))))))))))))</f>
        <v/>
      </c>
      <c r="T61" s="52" t="str">
        <f>IF($O61=1,IFERROR(COUNTIFS($O$2:$O$301,1,$G$2:$G$301,"&lt;"&amp;$G61)+COUNTIFS($O$2:$O61,1,$G$2:$G61,$G61),""),"")</f>
        <v/>
      </c>
    </row>
    <row r="62">
      <c r="A62" s="46" t="n"/>
      <c r="B62" s="46" t="n"/>
      <c r="C62" s="46" t="n"/>
      <c r="D62" s="48" t="n"/>
      <c r="E62" s="47" t="n"/>
      <c r="F62" s="54" t="n"/>
      <c r="G62" s="54" t="n"/>
      <c r="H62" s="46" t="n"/>
      <c r="I62" s="46" t="n"/>
      <c r="J62" s="46" t="n"/>
      <c r="K62" s="49" t="str">
        <f>IF($A62="","",IFERROR(INDEX(Suppliers!$B$2:$B$51,MATCH($B62,Suppliers!$A$2:$A$51,0))&amp;"","(not found)"))</f>
        <v/>
      </c>
      <c r="L62" s="49" t="str">
        <f>IF($A62="","",IFERROR(INDEX(Products!$B$2:$B$101,MATCH($C62,Products!$A$2:$A$101,0))&amp;"","(not found)"))</f>
        <v/>
      </c>
      <c r="M62" s="50" t="str">
        <f>IF($A62="","",SUMIFS(Inventory_Ledger!$E$2:$E$2001,Inventory_Ledger!$H$2:$H$2001,$A62,Inventory_Ledger!$C$2:$C$2001,"Receipt",Inventory_Ledger!$D$2:$D$2001,$C62))</f>
        <v/>
      </c>
      <c r="N62" s="50" t="str">
        <f>IF($A62="","",IF(IFERROR(INDEX(Config!$D$15:$D$34,MATCH($H62,Config!$C$15:$C$34,0)),"No")="Yes",MAX(0,IF(ISNUMBER($D62),$D62,0)-$M62),0))</f>
        <v/>
      </c>
      <c r="O62" s="52" t="str">
        <f>IF($A62="","",IF($N62&gt;0,1,0))</f>
        <v/>
      </c>
      <c r="P62" s="52" t="str">
        <f>IF($A62="","",IF(AND($O62=1,ISNUMBER($G62)),IF($G62&lt;Config!$B$4,1,0),0))</f>
        <v/>
      </c>
      <c r="Q62" s="52" t="str">
        <f>IF($A62="","",IF($P62=1,Config!$B$4-$G62,0))</f>
        <v/>
      </c>
      <c r="R62" s="53" t="str">
        <f>IF($A62="","",IF(AND(ISNUMBER($D62),ISNUMBER($E62)),$D62*$E62,""))</f>
        <v/>
      </c>
      <c r="S62" s="49" t="str">
        <f>IF(COUNTA($A62:$J62)=0,"",IF($A62="","Missing: PO ID",IF(COUNTIF($A$2:$A$301,$A62)&gt;1,"Duplicate PO ID",IF($B62="","Missing: supplier",IF($C62="","Missing: SKU",IF(NOT(ISNUMBER($D62)),"Missing: qty",IF(NOT(ISNUMBER($F62)),"Missing: order date",IF(NOT(ISNUMBER($G62)),"Missing: expected date",IF($H62="","Missing: status",IF($I62="","Missing: source link",IF(COUNTIF(Suppliers!$A$2:$A$51,$B62)=0,"Unknown supplier",IF(COUNTIF(Products!$A$2:$A$101,$C62)=0,"Unknown SKU",IF(COUNTIF(Config!$C$15:$C$34,$H62)=0,"Unsupported status",IF($D62&lt;=0,"Qty must be above 0",IF($G62&lt;$F62,"Expected date before order date",IF($M62&gt;$D62,"Received more than ordered",IF(AND($H62="Received",$M62&lt;$D62),"Status Received but not fully received",IF(AND(IFERROR(INDEX(Config!$D$15:$D$34,MATCH($H62,Config!$C$15:$C$34,0)),"No")="Yes",$M62&gt;=$D62),"Fully received: update status","OK"))))))))))))))))))</f>
        <v/>
      </c>
      <c r="T62" s="52" t="str">
        <f>IF($O62=1,IFERROR(COUNTIFS($O$2:$O$301,1,$G$2:$G$301,"&lt;"&amp;$G62)+COUNTIFS($O$2:$O62,1,$G$2:$G62,$G62),""),"")</f>
        <v/>
      </c>
    </row>
    <row r="63">
      <c r="A63" s="46" t="n"/>
      <c r="B63" s="46" t="n"/>
      <c r="C63" s="46" t="n"/>
      <c r="D63" s="48" t="n"/>
      <c r="E63" s="47" t="n"/>
      <c r="F63" s="54" t="n"/>
      <c r="G63" s="54" t="n"/>
      <c r="H63" s="46" t="n"/>
      <c r="I63" s="46" t="n"/>
      <c r="J63" s="46" t="n"/>
      <c r="K63" s="49" t="str">
        <f>IF($A63="","",IFERROR(INDEX(Suppliers!$B$2:$B$51,MATCH($B63,Suppliers!$A$2:$A$51,0))&amp;"","(not found)"))</f>
        <v/>
      </c>
      <c r="L63" s="49" t="str">
        <f>IF($A63="","",IFERROR(INDEX(Products!$B$2:$B$101,MATCH($C63,Products!$A$2:$A$101,0))&amp;"","(not found)"))</f>
        <v/>
      </c>
      <c r="M63" s="50" t="str">
        <f>IF($A63="","",SUMIFS(Inventory_Ledger!$E$2:$E$2001,Inventory_Ledger!$H$2:$H$2001,$A63,Inventory_Ledger!$C$2:$C$2001,"Receipt",Inventory_Ledger!$D$2:$D$2001,$C63))</f>
        <v/>
      </c>
      <c r="N63" s="50" t="str">
        <f>IF($A63="","",IF(IFERROR(INDEX(Config!$D$15:$D$34,MATCH($H63,Config!$C$15:$C$34,0)),"No")="Yes",MAX(0,IF(ISNUMBER($D63),$D63,0)-$M63),0))</f>
        <v/>
      </c>
      <c r="O63" s="52" t="str">
        <f>IF($A63="","",IF($N63&gt;0,1,0))</f>
        <v/>
      </c>
      <c r="P63" s="52" t="str">
        <f>IF($A63="","",IF(AND($O63=1,ISNUMBER($G63)),IF($G63&lt;Config!$B$4,1,0),0))</f>
        <v/>
      </c>
      <c r="Q63" s="52" t="str">
        <f>IF($A63="","",IF($P63=1,Config!$B$4-$G63,0))</f>
        <v/>
      </c>
      <c r="R63" s="53" t="str">
        <f>IF($A63="","",IF(AND(ISNUMBER($D63),ISNUMBER($E63)),$D63*$E63,""))</f>
        <v/>
      </c>
      <c r="S63" s="49" t="str">
        <f>IF(COUNTA($A63:$J63)=0,"",IF($A63="","Missing: PO ID",IF(COUNTIF($A$2:$A$301,$A63)&gt;1,"Duplicate PO ID",IF($B63="","Missing: supplier",IF($C63="","Missing: SKU",IF(NOT(ISNUMBER($D63)),"Missing: qty",IF(NOT(ISNUMBER($F63)),"Missing: order date",IF(NOT(ISNUMBER($G63)),"Missing: expected date",IF($H63="","Missing: status",IF($I63="","Missing: source link",IF(COUNTIF(Suppliers!$A$2:$A$51,$B63)=0,"Unknown supplier",IF(COUNTIF(Products!$A$2:$A$101,$C63)=0,"Unknown SKU",IF(COUNTIF(Config!$C$15:$C$34,$H63)=0,"Unsupported status",IF($D63&lt;=0,"Qty must be above 0",IF($G63&lt;$F63,"Expected date before order date",IF($M63&gt;$D63,"Received more than ordered",IF(AND($H63="Received",$M63&lt;$D63),"Status Received but not fully received",IF(AND(IFERROR(INDEX(Config!$D$15:$D$34,MATCH($H63,Config!$C$15:$C$34,0)),"No")="Yes",$M63&gt;=$D63),"Fully received: update status","OK"))))))))))))))))))</f>
        <v/>
      </c>
      <c r="T63" s="52" t="str">
        <f>IF($O63=1,IFERROR(COUNTIFS($O$2:$O$301,1,$G$2:$G$301,"&lt;"&amp;$G63)+COUNTIFS($O$2:$O63,1,$G$2:$G63,$G63),""),"")</f>
        <v/>
      </c>
    </row>
    <row r="64">
      <c r="A64" s="46" t="n"/>
      <c r="B64" s="46" t="n"/>
      <c r="C64" s="46" t="n"/>
      <c r="D64" s="48" t="n"/>
      <c r="E64" s="47" t="n"/>
      <c r="F64" s="54" t="n"/>
      <c r="G64" s="54" t="n"/>
      <c r="H64" s="46" t="n"/>
      <c r="I64" s="46" t="n"/>
      <c r="J64" s="46" t="n"/>
      <c r="K64" s="49" t="str">
        <f>IF($A64="","",IFERROR(INDEX(Suppliers!$B$2:$B$51,MATCH($B64,Suppliers!$A$2:$A$51,0))&amp;"","(not found)"))</f>
        <v/>
      </c>
      <c r="L64" s="49" t="str">
        <f>IF($A64="","",IFERROR(INDEX(Products!$B$2:$B$101,MATCH($C64,Products!$A$2:$A$101,0))&amp;"","(not found)"))</f>
        <v/>
      </c>
      <c r="M64" s="50" t="str">
        <f>IF($A64="","",SUMIFS(Inventory_Ledger!$E$2:$E$2001,Inventory_Ledger!$H$2:$H$2001,$A64,Inventory_Ledger!$C$2:$C$2001,"Receipt",Inventory_Ledger!$D$2:$D$2001,$C64))</f>
        <v/>
      </c>
      <c r="N64" s="50" t="str">
        <f>IF($A64="","",IF(IFERROR(INDEX(Config!$D$15:$D$34,MATCH($H64,Config!$C$15:$C$34,0)),"No")="Yes",MAX(0,IF(ISNUMBER($D64),$D64,0)-$M64),0))</f>
        <v/>
      </c>
      <c r="O64" s="52" t="str">
        <f>IF($A64="","",IF($N64&gt;0,1,0))</f>
        <v/>
      </c>
      <c r="P64" s="52" t="str">
        <f>IF($A64="","",IF(AND($O64=1,ISNUMBER($G64)),IF($G64&lt;Config!$B$4,1,0),0))</f>
        <v/>
      </c>
      <c r="Q64" s="52" t="str">
        <f>IF($A64="","",IF($P64=1,Config!$B$4-$G64,0))</f>
        <v/>
      </c>
      <c r="R64" s="53" t="str">
        <f>IF($A64="","",IF(AND(ISNUMBER($D64),ISNUMBER($E64)),$D64*$E64,""))</f>
        <v/>
      </c>
      <c r="S64" s="49" t="str">
        <f>IF(COUNTA($A64:$J64)=0,"",IF($A64="","Missing: PO ID",IF(COUNTIF($A$2:$A$301,$A64)&gt;1,"Duplicate PO ID",IF($B64="","Missing: supplier",IF($C64="","Missing: SKU",IF(NOT(ISNUMBER($D64)),"Missing: qty",IF(NOT(ISNUMBER($F64)),"Missing: order date",IF(NOT(ISNUMBER($G64)),"Missing: expected date",IF($H64="","Missing: status",IF($I64="","Missing: source link",IF(COUNTIF(Suppliers!$A$2:$A$51,$B64)=0,"Unknown supplier",IF(COUNTIF(Products!$A$2:$A$101,$C64)=0,"Unknown SKU",IF(COUNTIF(Config!$C$15:$C$34,$H64)=0,"Unsupported status",IF($D64&lt;=0,"Qty must be above 0",IF($G64&lt;$F64,"Expected date before order date",IF($M64&gt;$D64,"Received more than ordered",IF(AND($H64="Received",$M64&lt;$D64),"Status Received but not fully received",IF(AND(IFERROR(INDEX(Config!$D$15:$D$34,MATCH($H64,Config!$C$15:$C$34,0)),"No")="Yes",$M64&gt;=$D64),"Fully received: update status","OK"))))))))))))))))))</f>
        <v/>
      </c>
      <c r="T64" s="52" t="str">
        <f>IF($O64=1,IFERROR(COUNTIFS($O$2:$O$301,1,$G$2:$G$301,"&lt;"&amp;$G64)+COUNTIFS($O$2:$O64,1,$G$2:$G64,$G64),""),"")</f>
        <v/>
      </c>
    </row>
    <row r="65">
      <c r="A65" s="46" t="n"/>
      <c r="B65" s="46" t="n"/>
      <c r="C65" s="46" t="n"/>
      <c r="D65" s="48" t="n"/>
      <c r="E65" s="47" t="n"/>
      <c r="F65" s="54" t="n"/>
      <c r="G65" s="54" t="n"/>
      <c r="H65" s="46" t="n"/>
      <c r="I65" s="46" t="n"/>
      <c r="J65" s="46" t="n"/>
      <c r="K65" s="49" t="str">
        <f>IF($A65="","",IFERROR(INDEX(Suppliers!$B$2:$B$51,MATCH($B65,Suppliers!$A$2:$A$51,0))&amp;"","(not found)"))</f>
        <v/>
      </c>
      <c r="L65" s="49" t="str">
        <f>IF($A65="","",IFERROR(INDEX(Products!$B$2:$B$101,MATCH($C65,Products!$A$2:$A$101,0))&amp;"","(not found)"))</f>
        <v/>
      </c>
      <c r="M65" s="50" t="str">
        <f>IF($A65="","",SUMIFS(Inventory_Ledger!$E$2:$E$2001,Inventory_Ledger!$H$2:$H$2001,$A65,Inventory_Ledger!$C$2:$C$2001,"Receipt",Inventory_Ledger!$D$2:$D$2001,$C65))</f>
        <v/>
      </c>
      <c r="N65" s="50" t="str">
        <f>IF($A65="","",IF(IFERROR(INDEX(Config!$D$15:$D$34,MATCH($H65,Config!$C$15:$C$34,0)),"No")="Yes",MAX(0,IF(ISNUMBER($D65),$D65,0)-$M65),0))</f>
        <v/>
      </c>
      <c r="O65" s="52" t="str">
        <f>IF($A65="","",IF($N65&gt;0,1,0))</f>
        <v/>
      </c>
      <c r="P65" s="52" t="str">
        <f>IF($A65="","",IF(AND($O65=1,ISNUMBER($G65)),IF($G65&lt;Config!$B$4,1,0),0))</f>
        <v/>
      </c>
      <c r="Q65" s="52" t="str">
        <f>IF($A65="","",IF($P65=1,Config!$B$4-$G65,0))</f>
        <v/>
      </c>
      <c r="R65" s="53" t="str">
        <f>IF($A65="","",IF(AND(ISNUMBER($D65),ISNUMBER($E65)),$D65*$E65,""))</f>
        <v/>
      </c>
      <c r="S65" s="49" t="str">
        <f>IF(COUNTA($A65:$J65)=0,"",IF($A65="","Missing: PO ID",IF(COUNTIF($A$2:$A$301,$A65)&gt;1,"Duplicate PO ID",IF($B65="","Missing: supplier",IF($C65="","Missing: SKU",IF(NOT(ISNUMBER($D65)),"Missing: qty",IF(NOT(ISNUMBER($F65)),"Missing: order date",IF(NOT(ISNUMBER($G65)),"Missing: expected date",IF($H65="","Missing: status",IF($I65="","Missing: source link",IF(COUNTIF(Suppliers!$A$2:$A$51,$B65)=0,"Unknown supplier",IF(COUNTIF(Products!$A$2:$A$101,$C65)=0,"Unknown SKU",IF(COUNTIF(Config!$C$15:$C$34,$H65)=0,"Unsupported status",IF($D65&lt;=0,"Qty must be above 0",IF($G65&lt;$F65,"Expected date before order date",IF($M65&gt;$D65,"Received more than ordered",IF(AND($H65="Received",$M65&lt;$D65),"Status Received but not fully received",IF(AND(IFERROR(INDEX(Config!$D$15:$D$34,MATCH($H65,Config!$C$15:$C$34,0)),"No")="Yes",$M65&gt;=$D65),"Fully received: update status","OK"))))))))))))))))))</f>
        <v/>
      </c>
      <c r="T65" s="52" t="str">
        <f>IF($O65=1,IFERROR(COUNTIFS($O$2:$O$301,1,$G$2:$G$301,"&lt;"&amp;$G65)+COUNTIFS($O$2:$O65,1,$G$2:$G65,$G65),""),"")</f>
        <v/>
      </c>
    </row>
    <row r="66">
      <c r="A66" s="46" t="n"/>
      <c r="B66" s="46" t="n"/>
      <c r="C66" s="46" t="n"/>
      <c r="D66" s="48" t="n"/>
      <c r="E66" s="47" t="n"/>
      <c r="F66" s="54" t="n"/>
      <c r="G66" s="54" t="n"/>
      <c r="H66" s="46" t="n"/>
      <c r="I66" s="46" t="n"/>
      <c r="J66" s="46" t="n"/>
      <c r="K66" s="49" t="str">
        <f>IF($A66="","",IFERROR(INDEX(Suppliers!$B$2:$B$51,MATCH($B66,Suppliers!$A$2:$A$51,0))&amp;"","(not found)"))</f>
        <v/>
      </c>
      <c r="L66" s="49" t="str">
        <f>IF($A66="","",IFERROR(INDEX(Products!$B$2:$B$101,MATCH($C66,Products!$A$2:$A$101,0))&amp;"","(not found)"))</f>
        <v/>
      </c>
      <c r="M66" s="50" t="str">
        <f>IF($A66="","",SUMIFS(Inventory_Ledger!$E$2:$E$2001,Inventory_Ledger!$H$2:$H$2001,$A66,Inventory_Ledger!$C$2:$C$2001,"Receipt",Inventory_Ledger!$D$2:$D$2001,$C66))</f>
        <v/>
      </c>
      <c r="N66" s="50" t="str">
        <f>IF($A66="","",IF(IFERROR(INDEX(Config!$D$15:$D$34,MATCH($H66,Config!$C$15:$C$34,0)),"No")="Yes",MAX(0,IF(ISNUMBER($D66),$D66,0)-$M66),0))</f>
        <v/>
      </c>
      <c r="O66" s="52" t="str">
        <f>IF($A66="","",IF($N66&gt;0,1,0))</f>
        <v/>
      </c>
      <c r="P66" s="52" t="str">
        <f>IF($A66="","",IF(AND($O66=1,ISNUMBER($G66)),IF($G66&lt;Config!$B$4,1,0),0))</f>
        <v/>
      </c>
      <c r="Q66" s="52" t="str">
        <f>IF($A66="","",IF($P66=1,Config!$B$4-$G66,0))</f>
        <v/>
      </c>
      <c r="R66" s="53" t="str">
        <f>IF($A66="","",IF(AND(ISNUMBER($D66),ISNUMBER($E66)),$D66*$E66,""))</f>
        <v/>
      </c>
      <c r="S66" s="49" t="str">
        <f>IF(COUNTA($A66:$J66)=0,"",IF($A66="","Missing: PO ID",IF(COUNTIF($A$2:$A$301,$A66)&gt;1,"Duplicate PO ID",IF($B66="","Missing: supplier",IF($C66="","Missing: SKU",IF(NOT(ISNUMBER($D66)),"Missing: qty",IF(NOT(ISNUMBER($F66)),"Missing: order date",IF(NOT(ISNUMBER($G66)),"Missing: expected date",IF($H66="","Missing: status",IF($I66="","Missing: source link",IF(COUNTIF(Suppliers!$A$2:$A$51,$B66)=0,"Unknown supplier",IF(COUNTIF(Products!$A$2:$A$101,$C66)=0,"Unknown SKU",IF(COUNTIF(Config!$C$15:$C$34,$H66)=0,"Unsupported status",IF($D66&lt;=0,"Qty must be above 0",IF($G66&lt;$F66,"Expected date before order date",IF($M66&gt;$D66,"Received more than ordered",IF(AND($H66="Received",$M66&lt;$D66),"Status Received but not fully received",IF(AND(IFERROR(INDEX(Config!$D$15:$D$34,MATCH($H66,Config!$C$15:$C$34,0)),"No")="Yes",$M66&gt;=$D66),"Fully received: update status","OK"))))))))))))))))))</f>
        <v/>
      </c>
      <c r="T66" s="52" t="str">
        <f>IF($O66=1,IFERROR(COUNTIFS($O$2:$O$301,1,$G$2:$G$301,"&lt;"&amp;$G66)+COUNTIFS($O$2:$O66,1,$G$2:$G66,$G66),""),"")</f>
        <v/>
      </c>
    </row>
    <row r="67">
      <c r="A67" s="46" t="n"/>
      <c r="B67" s="46" t="n"/>
      <c r="C67" s="46" t="n"/>
      <c r="D67" s="48" t="n"/>
      <c r="E67" s="47" t="n"/>
      <c r="F67" s="54" t="n"/>
      <c r="G67" s="54" t="n"/>
      <c r="H67" s="46" t="n"/>
      <c r="I67" s="46" t="n"/>
      <c r="J67" s="46" t="n"/>
      <c r="K67" s="49" t="str">
        <f>IF($A67="","",IFERROR(INDEX(Suppliers!$B$2:$B$51,MATCH($B67,Suppliers!$A$2:$A$51,0))&amp;"","(not found)"))</f>
        <v/>
      </c>
      <c r="L67" s="49" t="str">
        <f>IF($A67="","",IFERROR(INDEX(Products!$B$2:$B$101,MATCH($C67,Products!$A$2:$A$101,0))&amp;"","(not found)"))</f>
        <v/>
      </c>
      <c r="M67" s="50" t="str">
        <f>IF($A67="","",SUMIFS(Inventory_Ledger!$E$2:$E$2001,Inventory_Ledger!$H$2:$H$2001,$A67,Inventory_Ledger!$C$2:$C$2001,"Receipt",Inventory_Ledger!$D$2:$D$2001,$C67))</f>
        <v/>
      </c>
      <c r="N67" s="50" t="str">
        <f>IF($A67="","",IF(IFERROR(INDEX(Config!$D$15:$D$34,MATCH($H67,Config!$C$15:$C$34,0)),"No")="Yes",MAX(0,IF(ISNUMBER($D67),$D67,0)-$M67),0))</f>
        <v/>
      </c>
      <c r="O67" s="52" t="str">
        <f>IF($A67="","",IF($N67&gt;0,1,0))</f>
        <v/>
      </c>
      <c r="P67" s="52" t="str">
        <f>IF($A67="","",IF(AND($O67=1,ISNUMBER($G67)),IF($G67&lt;Config!$B$4,1,0),0))</f>
        <v/>
      </c>
      <c r="Q67" s="52" t="str">
        <f>IF($A67="","",IF($P67=1,Config!$B$4-$G67,0))</f>
        <v/>
      </c>
      <c r="R67" s="53" t="str">
        <f>IF($A67="","",IF(AND(ISNUMBER($D67),ISNUMBER($E67)),$D67*$E67,""))</f>
        <v/>
      </c>
      <c r="S67" s="49" t="str">
        <f>IF(COUNTA($A67:$J67)=0,"",IF($A67="","Missing: PO ID",IF(COUNTIF($A$2:$A$301,$A67)&gt;1,"Duplicate PO ID",IF($B67="","Missing: supplier",IF($C67="","Missing: SKU",IF(NOT(ISNUMBER($D67)),"Missing: qty",IF(NOT(ISNUMBER($F67)),"Missing: order date",IF(NOT(ISNUMBER($G67)),"Missing: expected date",IF($H67="","Missing: status",IF($I67="","Missing: source link",IF(COUNTIF(Suppliers!$A$2:$A$51,$B67)=0,"Unknown supplier",IF(COUNTIF(Products!$A$2:$A$101,$C67)=0,"Unknown SKU",IF(COUNTIF(Config!$C$15:$C$34,$H67)=0,"Unsupported status",IF($D67&lt;=0,"Qty must be above 0",IF($G67&lt;$F67,"Expected date before order date",IF($M67&gt;$D67,"Received more than ordered",IF(AND($H67="Received",$M67&lt;$D67),"Status Received but not fully received",IF(AND(IFERROR(INDEX(Config!$D$15:$D$34,MATCH($H67,Config!$C$15:$C$34,0)),"No")="Yes",$M67&gt;=$D67),"Fully received: update status","OK"))))))))))))))))))</f>
        <v/>
      </c>
      <c r="T67" s="52" t="str">
        <f>IF($O67=1,IFERROR(COUNTIFS($O$2:$O$301,1,$G$2:$G$301,"&lt;"&amp;$G67)+COUNTIFS($O$2:$O67,1,$G$2:$G67,$G67),""),"")</f>
        <v/>
      </c>
    </row>
    <row r="68">
      <c r="A68" s="46" t="n"/>
      <c r="B68" s="46" t="n"/>
      <c r="C68" s="46" t="n"/>
      <c r="D68" s="48" t="n"/>
      <c r="E68" s="47" t="n"/>
      <c r="F68" s="54" t="n"/>
      <c r="G68" s="54" t="n"/>
      <c r="H68" s="46" t="n"/>
      <c r="I68" s="46" t="n"/>
      <c r="J68" s="46" t="n"/>
      <c r="K68" s="49" t="str">
        <f>IF($A68="","",IFERROR(INDEX(Suppliers!$B$2:$B$51,MATCH($B68,Suppliers!$A$2:$A$51,0))&amp;"","(not found)"))</f>
        <v/>
      </c>
      <c r="L68" s="49" t="str">
        <f>IF($A68="","",IFERROR(INDEX(Products!$B$2:$B$101,MATCH($C68,Products!$A$2:$A$101,0))&amp;"","(not found)"))</f>
        <v/>
      </c>
      <c r="M68" s="50" t="str">
        <f>IF($A68="","",SUMIFS(Inventory_Ledger!$E$2:$E$2001,Inventory_Ledger!$H$2:$H$2001,$A68,Inventory_Ledger!$C$2:$C$2001,"Receipt",Inventory_Ledger!$D$2:$D$2001,$C68))</f>
        <v/>
      </c>
      <c r="N68" s="50" t="str">
        <f>IF($A68="","",IF(IFERROR(INDEX(Config!$D$15:$D$34,MATCH($H68,Config!$C$15:$C$34,0)),"No")="Yes",MAX(0,IF(ISNUMBER($D68),$D68,0)-$M68),0))</f>
        <v/>
      </c>
      <c r="O68" s="52" t="str">
        <f>IF($A68="","",IF($N68&gt;0,1,0))</f>
        <v/>
      </c>
      <c r="P68" s="52" t="str">
        <f>IF($A68="","",IF(AND($O68=1,ISNUMBER($G68)),IF($G68&lt;Config!$B$4,1,0),0))</f>
        <v/>
      </c>
      <c r="Q68" s="52" t="str">
        <f>IF($A68="","",IF($P68=1,Config!$B$4-$G68,0))</f>
        <v/>
      </c>
      <c r="R68" s="53" t="str">
        <f>IF($A68="","",IF(AND(ISNUMBER($D68),ISNUMBER($E68)),$D68*$E68,""))</f>
        <v/>
      </c>
      <c r="S68" s="49" t="str">
        <f>IF(COUNTA($A68:$J68)=0,"",IF($A68="","Missing: PO ID",IF(COUNTIF($A$2:$A$301,$A68)&gt;1,"Duplicate PO ID",IF($B68="","Missing: supplier",IF($C68="","Missing: SKU",IF(NOT(ISNUMBER($D68)),"Missing: qty",IF(NOT(ISNUMBER($F68)),"Missing: order date",IF(NOT(ISNUMBER($G68)),"Missing: expected date",IF($H68="","Missing: status",IF($I68="","Missing: source link",IF(COUNTIF(Suppliers!$A$2:$A$51,$B68)=0,"Unknown supplier",IF(COUNTIF(Products!$A$2:$A$101,$C68)=0,"Unknown SKU",IF(COUNTIF(Config!$C$15:$C$34,$H68)=0,"Unsupported status",IF($D68&lt;=0,"Qty must be above 0",IF($G68&lt;$F68,"Expected date before order date",IF($M68&gt;$D68,"Received more than ordered",IF(AND($H68="Received",$M68&lt;$D68),"Status Received but not fully received",IF(AND(IFERROR(INDEX(Config!$D$15:$D$34,MATCH($H68,Config!$C$15:$C$34,0)),"No")="Yes",$M68&gt;=$D68),"Fully received: update status","OK"))))))))))))))))))</f>
        <v/>
      </c>
      <c r="T68" s="52" t="str">
        <f>IF($O68=1,IFERROR(COUNTIFS($O$2:$O$301,1,$G$2:$G$301,"&lt;"&amp;$G68)+COUNTIFS($O$2:$O68,1,$G$2:$G68,$G68),""),"")</f>
        <v/>
      </c>
    </row>
    <row r="69">
      <c r="A69" s="46" t="n"/>
      <c r="B69" s="46" t="n"/>
      <c r="C69" s="46" t="n"/>
      <c r="D69" s="48" t="n"/>
      <c r="E69" s="47" t="n"/>
      <c r="F69" s="54" t="n"/>
      <c r="G69" s="54" t="n"/>
      <c r="H69" s="46" t="n"/>
      <c r="I69" s="46" t="n"/>
      <c r="J69" s="46" t="n"/>
      <c r="K69" s="49" t="str">
        <f>IF($A69="","",IFERROR(INDEX(Suppliers!$B$2:$B$51,MATCH($B69,Suppliers!$A$2:$A$51,0))&amp;"","(not found)"))</f>
        <v/>
      </c>
      <c r="L69" s="49" t="str">
        <f>IF($A69="","",IFERROR(INDEX(Products!$B$2:$B$101,MATCH($C69,Products!$A$2:$A$101,0))&amp;"","(not found)"))</f>
        <v/>
      </c>
      <c r="M69" s="50" t="str">
        <f>IF($A69="","",SUMIFS(Inventory_Ledger!$E$2:$E$2001,Inventory_Ledger!$H$2:$H$2001,$A69,Inventory_Ledger!$C$2:$C$2001,"Receipt",Inventory_Ledger!$D$2:$D$2001,$C69))</f>
        <v/>
      </c>
      <c r="N69" s="50" t="str">
        <f>IF($A69="","",IF(IFERROR(INDEX(Config!$D$15:$D$34,MATCH($H69,Config!$C$15:$C$34,0)),"No")="Yes",MAX(0,IF(ISNUMBER($D69),$D69,0)-$M69),0))</f>
        <v/>
      </c>
      <c r="O69" s="52" t="str">
        <f>IF($A69="","",IF($N69&gt;0,1,0))</f>
        <v/>
      </c>
      <c r="P69" s="52" t="str">
        <f>IF($A69="","",IF(AND($O69=1,ISNUMBER($G69)),IF($G69&lt;Config!$B$4,1,0),0))</f>
        <v/>
      </c>
      <c r="Q69" s="52" t="str">
        <f>IF($A69="","",IF($P69=1,Config!$B$4-$G69,0))</f>
        <v/>
      </c>
      <c r="R69" s="53" t="str">
        <f>IF($A69="","",IF(AND(ISNUMBER($D69),ISNUMBER($E69)),$D69*$E69,""))</f>
        <v/>
      </c>
      <c r="S69" s="49" t="str">
        <f>IF(COUNTA($A69:$J69)=0,"",IF($A69="","Missing: PO ID",IF(COUNTIF($A$2:$A$301,$A69)&gt;1,"Duplicate PO ID",IF($B69="","Missing: supplier",IF($C69="","Missing: SKU",IF(NOT(ISNUMBER($D69)),"Missing: qty",IF(NOT(ISNUMBER($F69)),"Missing: order date",IF(NOT(ISNUMBER($G69)),"Missing: expected date",IF($H69="","Missing: status",IF($I69="","Missing: source link",IF(COUNTIF(Suppliers!$A$2:$A$51,$B69)=0,"Unknown supplier",IF(COUNTIF(Products!$A$2:$A$101,$C69)=0,"Unknown SKU",IF(COUNTIF(Config!$C$15:$C$34,$H69)=0,"Unsupported status",IF($D69&lt;=0,"Qty must be above 0",IF($G69&lt;$F69,"Expected date before order date",IF($M69&gt;$D69,"Received more than ordered",IF(AND($H69="Received",$M69&lt;$D69),"Status Received but not fully received",IF(AND(IFERROR(INDEX(Config!$D$15:$D$34,MATCH($H69,Config!$C$15:$C$34,0)),"No")="Yes",$M69&gt;=$D69),"Fully received: update status","OK"))))))))))))))))))</f>
        <v/>
      </c>
      <c r="T69" s="52" t="str">
        <f>IF($O69=1,IFERROR(COUNTIFS($O$2:$O$301,1,$G$2:$G$301,"&lt;"&amp;$G69)+COUNTIFS($O$2:$O69,1,$G$2:$G69,$G69),""),"")</f>
        <v/>
      </c>
    </row>
    <row r="70">
      <c r="A70" s="46" t="n"/>
      <c r="B70" s="46" t="n"/>
      <c r="C70" s="46" t="n"/>
      <c r="D70" s="48" t="n"/>
      <c r="E70" s="47" t="n"/>
      <c r="F70" s="54" t="n"/>
      <c r="G70" s="54" t="n"/>
      <c r="H70" s="46" t="n"/>
      <c r="I70" s="46" t="n"/>
      <c r="J70" s="46" t="n"/>
      <c r="K70" s="49" t="str">
        <f>IF($A70="","",IFERROR(INDEX(Suppliers!$B$2:$B$51,MATCH($B70,Suppliers!$A$2:$A$51,0))&amp;"","(not found)"))</f>
        <v/>
      </c>
      <c r="L70" s="49" t="str">
        <f>IF($A70="","",IFERROR(INDEX(Products!$B$2:$B$101,MATCH($C70,Products!$A$2:$A$101,0))&amp;"","(not found)"))</f>
        <v/>
      </c>
      <c r="M70" s="50" t="str">
        <f>IF($A70="","",SUMIFS(Inventory_Ledger!$E$2:$E$2001,Inventory_Ledger!$H$2:$H$2001,$A70,Inventory_Ledger!$C$2:$C$2001,"Receipt",Inventory_Ledger!$D$2:$D$2001,$C70))</f>
        <v/>
      </c>
      <c r="N70" s="50" t="str">
        <f>IF($A70="","",IF(IFERROR(INDEX(Config!$D$15:$D$34,MATCH($H70,Config!$C$15:$C$34,0)),"No")="Yes",MAX(0,IF(ISNUMBER($D70),$D70,0)-$M70),0))</f>
        <v/>
      </c>
      <c r="O70" s="52" t="str">
        <f>IF($A70="","",IF($N70&gt;0,1,0))</f>
        <v/>
      </c>
      <c r="P70" s="52" t="str">
        <f>IF($A70="","",IF(AND($O70=1,ISNUMBER($G70)),IF($G70&lt;Config!$B$4,1,0),0))</f>
        <v/>
      </c>
      <c r="Q70" s="52" t="str">
        <f>IF($A70="","",IF($P70=1,Config!$B$4-$G70,0))</f>
        <v/>
      </c>
      <c r="R70" s="53" t="str">
        <f>IF($A70="","",IF(AND(ISNUMBER($D70),ISNUMBER($E70)),$D70*$E70,""))</f>
        <v/>
      </c>
      <c r="S70" s="49" t="str">
        <f>IF(COUNTA($A70:$J70)=0,"",IF($A70="","Missing: PO ID",IF(COUNTIF($A$2:$A$301,$A70)&gt;1,"Duplicate PO ID",IF($B70="","Missing: supplier",IF($C70="","Missing: SKU",IF(NOT(ISNUMBER($D70)),"Missing: qty",IF(NOT(ISNUMBER($F70)),"Missing: order date",IF(NOT(ISNUMBER($G70)),"Missing: expected date",IF($H70="","Missing: status",IF($I70="","Missing: source link",IF(COUNTIF(Suppliers!$A$2:$A$51,$B70)=0,"Unknown supplier",IF(COUNTIF(Products!$A$2:$A$101,$C70)=0,"Unknown SKU",IF(COUNTIF(Config!$C$15:$C$34,$H70)=0,"Unsupported status",IF($D70&lt;=0,"Qty must be above 0",IF($G70&lt;$F70,"Expected date before order date",IF($M70&gt;$D70,"Received more than ordered",IF(AND($H70="Received",$M70&lt;$D70),"Status Received but not fully received",IF(AND(IFERROR(INDEX(Config!$D$15:$D$34,MATCH($H70,Config!$C$15:$C$34,0)),"No")="Yes",$M70&gt;=$D70),"Fully received: update status","OK"))))))))))))))))))</f>
        <v/>
      </c>
      <c r="T70" s="52" t="str">
        <f>IF($O70=1,IFERROR(COUNTIFS($O$2:$O$301,1,$G$2:$G$301,"&lt;"&amp;$G70)+COUNTIFS($O$2:$O70,1,$G$2:$G70,$G70),""),"")</f>
        <v/>
      </c>
    </row>
    <row r="71">
      <c r="A71" s="46" t="n"/>
      <c r="B71" s="46" t="n"/>
      <c r="C71" s="46" t="n"/>
      <c r="D71" s="48" t="n"/>
      <c r="E71" s="47" t="n"/>
      <c r="F71" s="54" t="n"/>
      <c r="G71" s="54" t="n"/>
      <c r="H71" s="46" t="n"/>
      <c r="I71" s="46" t="n"/>
      <c r="J71" s="46" t="n"/>
      <c r="K71" s="49" t="str">
        <f>IF($A71="","",IFERROR(INDEX(Suppliers!$B$2:$B$51,MATCH($B71,Suppliers!$A$2:$A$51,0))&amp;"","(not found)"))</f>
        <v/>
      </c>
      <c r="L71" s="49" t="str">
        <f>IF($A71="","",IFERROR(INDEX(Products!$B$2:$B$101,MATCH($C71,Products!$A$2:$A$101,0))&amp;"","(not found)"))</f>
        <v/>
      </c>
      <c r="M71" s="50" t="str">
        <f>IF($A71="","",SUMIFS(Inventory_Ledger!$E$2:$E$2001,Inventory_Ledger!$H$2:$H$2001,$A71,Inventory_Ledger!$C$2:$C$2001,"Receipt",Inventory_Ledger!$D$2:$D$2001,$C71))</f>
        <v/>
      </c>
      <c r="N71" s="50" t="str">
        <f>IF($A71="","",IF(IFERROR(INDEX(Config!$D$15:$D$34,MATCH($H71,Config!$C$15:$C$34,0)),"No")="Yes",MAX(0,IF(ISNUMBER($D71),$D71,0)-$M71),0))</f>
        <v/>
      </c>
      <c r="O71" s="52" t="str">
        <f>IF($A71="","",IF($N71&gt;0,1,0))</f>
        <v/>
      </c>
      <c r="P71" s="52" t="str">
        <f>IF($A71="","",IF(AND($O71=1,ISNUMBER($G71)),IF($G71&lt;Config!$B$4,1,0),0))</f>
        <v/>
      </c>
      <c r="Q71" s="52" t="str">
        <f>IF($A71="","",IF($P71=1,Config!$B$4-$G71,0))</f>
        <v/>
      </c>
      <c r="R71" s="53" t="str">
        <f>IF($A71="","",IF(AND(ISNUMBER($D71),ISNUMBER($E71)),$D71*$E71,""))</f>
        <v/>
      </c>
      <c r="S71" s="49" t="str">
        <f>IF(COUNTA($A71:$J71)=0,"",IF($A71="","Missing: PO ID",IF(COUNTIF($A$2:$A$301,$A71)&gt;1,"Duplicate PO ID",IF($B71="","Missing: supplier",IF($C71="","Missing: SKU",IF(NOT(ISNUMBER($D71)),"Missing: qty",IF(NOT(ISNUMBER($F71)),"Missing: order date",IF(NOT(ISNUMBER($G71)),"Missing: expected date",IF($H71="","Missing: status",IF($I71="","Missing: source link",IF(COUNTIF(Suppliers!$A$2:$A$51,$B71)=0,"Unknown supplier",IF(COUNTIF(Products!$A$2:$A$101,$C71)=0,"Unknown SKU",IF(COUNTIF(Config!$C$15:$C$34,$H71)=0,"Unsupported status",IF($D71&lt;=0,"Qty must be above 0",IF($G71&lt;$F71,"Expected date before order date",IF($M71&gt;$D71,"Received more than ordered",IF(AND($H71="Received",$M71&lt;$D71),"Status Received but not fully received",IF(AND(IFERROR(INDEX(Config!$D$15:$D$34,MATCH($H71,Config!$C$15:$C$34,0)),"No")="Yes",$M71&gt;=$D71),"Fully received: update status","OK"))))))))))))))))))</f>
        <v/>
      </c>
      <c r="T71" s="52" t="str">
        <f>IF($O71=1,IFERROR(COUNTIFS($O$2:$O$301,1,$G$2:$G$301,"&lt;"&amp;$G71)+COUNTIFS($O$2:$O71,1,$G$2:$G71,$G71),""),"")</f>
        <v/>
      </c>
    </row>
    <row r="72">
      <c r="A72" s="46" t="n"/>
      <c r="B72" s="46" t="n"/>
      <c r="C72" s="46" t="n"/>
      <c r="D72" s="48" t="n"/>
      <c r="E72" s="47" t="n"/>
      <c r="F72" s="54" t="n"/>
      <c r="G72" s="54" t="n"/>
      <c r="H72" s="46" t="n"/>
      <c r="I72" s="46" t="n"/>
      <c r="J72" s="46" t="n"/>
      <c r="K72" s="49" t="str">
        <f>IF($A72="","",IFERROR(INDEX(Suppliers!$B$2:$B$51,MATCH($B72,Suppliers!$A$2:$A$51,0))&amp;"","(not found)"))</f>
        <v/>
      </c>
      <c r="L72" s="49" t="str">
        <f>IF($A72="","",IFERROR(INDEX(Products!$B$2:$B$101,MATCH($C72,Products!$A$2:$A$101,0))&amp;"","(not found)"))</f>
        <v/>
      </c>
      <c r="M72" s="50" t="str">
        <f>IF($A72="","",SUMIFS(Inventory_Ledger!$E$2:$E$2001,Inventory_Ledger!$H$2:$H$2001,$A72,Inventory_Ledger!$C$2:$C$2001,"Receipt",Inventory_Ledger!$D$2:$D$2001,$C72))</f>
        <v/>
      </c>
      <c r="N72" s="50" t="str">
        <f>IF($A72="","",IF(IFERROR(INDEX(Config!$D$15:$D$34,MATCH($H72,Config!$C$15:$C$34,0)),"No")="Yes",MAX(0,IF(ISNUMBER($D72),$D72,0)-$M72),0))</f>
        <v/>
      </c>
      <c r="O72" s="52" t="str">
        <f>IF($A72="","",IF($N72&gt;0,1,0))</f>
        <v/>
      </c>
      <c r="P72" s="52" t="str">
        <f>IF($A72="","",IF(AND($O72=1,ISNUMBER($G72)),IF($G72&lt;Config!$B$4,1,0),0))</f>
        <v/>
      </c>
      <c r="Q72" s="52" t="str">
        <f>IF($A72="","",IF($P72=1,Config!$B$4-$G72,0))</f>
        <v/>
      </c>
      <c r="R72" s="53" t="str">
        <f>IF($A72="","",IF(AND(ISNUMBER($D72),ISNUMBER($E72)),$D72*$E72,""))</f>
        <v/>
      </c>
      <c r="S72" s="49" t="str">
        <f>IF(COUNTA($A72:$J72)=0,"",IF($A72="","Missing: PO ID",IF(COUNTIF($A$2:$A$301,$A72)&gt;1,"Duplicate PO ID",IF($B72="","Missing: supplier",IF($C72="","Missing: SKU",IF(NOT(ISNUMBER($D72)),"Missing: qty",IF(NOT(ISNUMBER($F72)),"Missing: order date",IF(NOT(ISNUMBER($G72)),"Missing: expected date",IF($H72="","Missing: status",IF($I72="","Missing: source link",IF(COUNTIF(Suppliers!$A$2:$A$51,$B72)=0,"Unknown supplier",IF(COUNTIF(Products!$A$2:$A$101,$C72)=0,"Unknown SKU",IF(COUNTIF(Config!$C$15:$C$34,$H72)=0,"Unsupported status",IF($D72&lt;=0,"Qty must be above 0",IF($G72&lt;$F72,"Expected date before order date",IF($M72&gt;$D72,"Received more than ordered",IF(AND($H72="Received",$M72&lt;$D72),"Status Received but not fully received",IF(AND(IFERROR(INDEX(Config!$D$15:$D$34,MATCH($H72,Config!$C$15:$C$34,0)),"No")="Yes",$M72&gt;=$D72),"Fully received: update status","OK"))))))))))))))))))</f>
        <v/>
      </c>
      <c r="T72" s="52" t="str">
        <f>IF($O72=1,IFERROR(COUNTIFS($O$2:$O$301,1,$G$2:$G$301,"&lt;"&amp;$G72)+COUNTIFS($O$2:$O72,1,$G$2:$G72,$G72),""),"")</f>
        <v/>
      </c>
    </row>
    <row r="73">
      <c r="A73" s="46" t="n"/>
      <c r="B73" s="46" t="n"/>
      <c r="C73" s="46" t="n"/>
      <c r="D73" s="48" t="n"/>
      <c r="E73" s="47" t="n"/>
      <c r="F73" s="54" t="n"/>
      <c r="G73" s="54" t="n"/>
      <c r="H73" s="46" t="n"/>
      <c r="I73" s="46" t="n"/>
      <c r="J73" s="46" t="n"/>
      <c r="K73" s="49" t="str">
        <f>IF($A73="","",IFERROR(INDEX(Suppliers!$B$2:$B$51,MATCH($B73,Suppliers!$A$2:$A$51,0))&amp;"","(not found)"))</f>
        <v/>
      </c>
      <c r="L73" s="49" t="str">
        <f>IF($A73="","",IFERROR(INDEX(Products!$B$2:$B$101,MATCH($C73,Products!$A$2:$A$101,0))&amp;"","(not found)"))</f>
        <v/>
      </c>
      <c r="M73" s="50" t="str">
        <f>IF($A73="","",SUMIFS(Inventory_Ledger!$E$2:$E$2001,Inventory_Ledger!$H$2:$H$2001,$A73,Inventory_Ledger!$C$2:$C$2001,"Receipt",Inventory_Ledger!$D$2:$D$2001,$C73))</f>
        <v/>
      </c>
      <c r="N73" s="50" t="str">
        <f>IF($A73="","",IF(IFERROR(INDEX(Config!$D$15:$D$34,MATCH($H73,Config!$C$15:$C$34,0)),"No")="Yes",MAX(0,IF(ISNUMBER($D73),$D73,0)-$M73),0))</f>
        <v/>
      </c>
      <c r="O73" s="52" t="str">
        <f>IF($A73="","",IF($N73&gt;0,1,0))</f>
        <v/>
      </c>
      <c r="P73" s="52" t="str">
        <f>IF($A73="","",IF(AND($O73=1,ISNUMBER($G73)),IF($G73&lt;Config!$B$4,1,0),0))</f>
        <v/>
      </c>
      <c r="Q73" s="52" t="str">
        <f>IF($A73="","",IF($P73=1,Config!$B$4-$G73,0))</f>
        <v/>
      </c>
      <c r="R73" s="53" t="str">
        <f>IF($A73="","",IF(AND(ISNUMBER($D73),ISNUMBER($E73)),$D73*$E73,""))</f>
        <v/>
      </c>
      <c r="S73" s="49" t="str">
        <f>IF(COUNTA($A73:$J73)=0,"",IF($A73="","Missing: PO ID",IF(COUNTIF($A$2:$A$301,$A73)&gt;1,"Duplicate PO ID",IF($B73="","Missing: supplier",IF($C73="","Missing: SKU",IF(NOT(ISNUMBER($D73)),"Missing: qty",IF(NOT(ISNUMBER($F73)),"Missing: order date",IF(NOT(ISNUMBER($G73)),"Missing: expected date",IF($H73="","Missing: status",IF($I73="","Missing: source link",IF(COUNTIF(Suppliers!$A$2:$A$51,$B73)=0,"Unknown supplier",IF(COUNTIF(Products!$A$2:$A$101,$C73)=0,"Unknown SKU",IF(COUNTIF(Config!$C$15:$C$34,$H73)=0,"Unsupported status",IF($D73&lt;=0,"Qty must be above 0",IF($G73&lt;$F73,"Expected date before order date",IF($M73&gt;$D73,"Received more than ordered",IF(AND($H73="Received",$M73&lt;$D73),"Status Received but not fully received",IF(AND(IFERROR(INDEX(Config!$D$15:$D$34,MATCH($H73,Config!$C$15:$C$34,0)),"No")="Yes",$M73&gt;=$D73),"Fully received: update status","OK"))))))))))))))))))</f>
        <v/>
      </c>
      <c r="T73" s="52" t="str">
        <f>IF($O73=1,IFERROR(COUNTIFS($O$2:$O$301,1,$G$2:$G$301,"&lt;"&amp;$G73)+COUNTIFS($O$2:$O73,1,$G$2:$G73,$G73),""),"")</f>
        <v/>
      </c>
    </row>
    <row r="74">
      <c r="A74" s="46" t="n"/>
      <c r="B74" s="46" t="n"/>
      <c r="C74" s="46" t="n"/>
      <c r="D74" s="48" t="n"/>
      <c r="E74" s="47" t="n"/>
      <c r="F74" s="54" t="n"/>
      <c r="G74" s="54" t="n"/>
      <c r="H74" s="46" t="n"/>
      <c r="I74" s="46" t="n"/>
      <c r="J74" s="46" t="n"/>
      <c r="K74" s="49" t="str">
        <f>IF($A74="","",IFERROR(INDEX(Suppliers!$B$2:$B$51,MATCH($B74,Suppliers!$A$2:$A$51,0))&amp;"","(not found)"))</f>
        <v/>
      </c>
      <c r="L74" s="49" t="str">
        <f>IF($A74="","",IFERROR(INDEX(Products!$B$2:$B$101,MATCH($C74,Products!$A$2:$A$101,0))&amp;"","(not found)"))</f>
        <v/>
      </c>
      <c r="M74" s="50" t="str">
        <f>IF($A74="","",SUMIFS(Inventory_Ledger!$E$2:$E$2001,Inventory_Ledger!$H$2:$H$2001,$A74,Inventory_Ledger!$C$2:$C$2001,"Receipt",Inventory_Ledger!$D$2:$D$2001,$C74))</f>
        <v/>
      </c>
      <c r="N74" s="50" t="str">
        <f>IF($A74="","",IF(IFERROR(INDEX(Config!$D$15:$D$34,MATCH($H74,Config!$C$15:$C$34,0)),"No")="Yes",MAX(0,IF(ISNUMBER($D74),$D74,0)-$M74),0))</f>
        <v/>
      </c>
      <c r="O74" s="52" t="str">
        <f>IF($A74="","",IF($N74&gt;0,1,0))</f>
        <v/>
      </c>
      <c r="P74" s="52" t="str">
        <f>IF($A74="","",IF(AND($O74=1,ISNUMBER($G74)),IF($G74&lt;Config!$B$4,1,0),0))</f>
        <v/>
      </c>
      <c r="Q74" s="52" t="str">
        <f>IF($A74="","",IF($P74=1,Config!$B$4-$G74,0))</f>
        <v/>
      </c>
      <c r="R74" s="53" t="str">
        <f>IF($A74="","",IF(AND(ISNUMBER($D74),ISNUMBER($E74)),$D74*$E74,""))</f>
        <v/>
      </c>
      <c r="S74" s="49" t="str">
        <f>IF(COUNTA($A74:$J74)=0,"",IF($A74="","Missing: PO ID",IF(COUNTIF($A$2:$A$301,$A74)&gt;1,"Duplicate PO ID",IF($B74="","Missing: supplier",IF($C74="","Missing: SKU",IF(NOT(ISNUMBER($D74)),"Missing: qty",IF(NOT(ISNUMBER($F74)),"Missing: order date",IF(NOT(ISNUMBER($G74)),"Missing: expected date",IF($H74="","Missing: status",IF($I74="","Missing: source link",IF(COUNTIF(Suppliers!$A$2:$A$51,$B74)=0,"Unknown supplier",IF(COUNTIF(Products!$A$2:$A$101,$C74)=0,"Unknown SKU",IF(COUNTIF(Config!$C$15:$C$34,$H74)=0,"Unsupported status",IF($D74&lt;=0,"Qty must be above 0",IF($G74&lt;$F74,"Expected date before order date",IF($M74&gt;$D74,"Received more than ordered",IF(AND($H74="Received",$M74&lt;$D74),"Status Received but not fully received",IF(AND(IFERROR(INDEX(Config!$D$15:$D$34,MATCH($H74,Config!$C$15:$C$34,0)),"No")="Yes",$M74&gt;=$D74),"Fully received: update status","OK"))))))))))))))))))</f>
        <v/>
      </c>
      <c r="T74" s="52" t="str">
        <f>IF($O74=1,IFERROR(COUNTIFS($O$2:$O$301,1,$G$2:$G$301,"&lt;"&amp;$G74)+COUNTIFS($O$2:$O74,1,$G$2:$G74,$G74),""),"")</f>
        <v/>
      </c>
    </row>
    <row r="75">
      <c r="A75" s="46" t="n"/>
      <c r="B75" s="46" t="n"/>
      <c r="C75" s="46" t="n"/>
      <c r="D75" s="48" t="n"/>
      <c r="E75" s="47" t="n"/>
      <c r="F75" s="54" t="n"/>
      <c r="G75" s="54" t="n"/>
      <c r="H75" s="46" t="n"/>
      <c r="I75" s="46" t="n"/>
      <c r="J75" s="46" t="n"/>
      <c r="K75" s="49" t="str">
        <f>IF($A75="","",IFERROR(INDEX(Suppliers!$B$2:$B$51,MATCH($B75,Suppliers!$A$2:$A$51,0))&amp;"","(not found)"))</f>
        <v/>
      </c>
      <c r="L75" s="49" t="str">
        <f>IF($A75="","",IFERROR(INDEX(Products!$B$2:$B$101,MATCH($C75,Products!$A$2:$A$101,0))&amp;"","(not found)"))</f>
        <v/>
      </c>
      <c r="M75" s="50" t="str">
        <f>IF($A75="","",SUMIFS(Inventory_Ledger!$E$2:$E$2001,Inventory_Ledger!$H$2:$H$2001,$A75,Inventory_Ledger!$C$2:$C$2001,"Receipt",Inventory_Ledger!$D$2:$D$2001,$C75))</f>
        <v/>
      </c>
      <c r="N75" s="50" t="str">
        <f>IF($A75="","",IF(IFERROR(INDEX(Config!$D$15:$D$34,MATCH($H75,Config!$C$15:$C$34,0)),"No")="Yes",MAX(0,IF(ISNUMBER($D75),$D75,0)-$M75),0))</f>
        <v/>
      </c>
      <c r="O75" s="52" t="str">
        <f>IF($A75="","",IF($N75&gt;0,1,0))</f>
        <v/>
      </c>
      <c r="P75" s="52" t="str">
        <f>IF($A75="","",IF(AND($O75=1,ISNUMBER($G75)),IF($G75&lt;Config!$B$4,1,0),0))</f>
        <v/>
      </c>
      <c r="Q75" s="52" t="str">
        <f>IF($A75="","",IF($P75=1,Config!$B$4-$G75,0))</f>
        <v/>
      </c>
      <c r="R75" s="53" t="str">
        <f>IF($A75="","",IF(AND(ISNUMBER($D75),ISNUMBER($E75)),$D75*$E75,""))</f>
        <v/>
      </c>
      <c r="S75" s="49" t="str">
        <f>IF(COUNTA($A75:$J75)=0,"",IF($A75="","Missing: PO ID",IF(COUNTIF($A$2:$A$301,$A75)&gt;1,"Duplicate PO ID",IF($B75="","Missing: supplier",IF($C75="","Missing: SKU",IF(NOT(ISNUMBER($D75)),"Missing: qty",IF(NOT(ISNUMBER($F75)),"Missing: order date",IF(NOT(ISNUMBER($G75)),"Missing: expected date",IF($H75="","Missing: status",IF($I75="","Missing: source link",IF(COUNTIF(Suppliers!$A$2:$A$51,$B75)=0,"Unknown supplier",IF(COUNTIF(Products!$A$2:$A$101,$C75)=0,"Unknown SKU",IF(COUNTIF(Config!$C$15:$C$34,$H75)=0,"Unsupported status",IF($D75&lt;=0,"Qty must be above 0",IF($G75&lt;$F75,"Expected date before order date",IF($M75&gt;$D75,"Received more than ordered",IF(AND($H75="Received",$M75&lt;$D75),"Status Received but not fully received",IF(AND(IFERROR(INDEX(Config!$D$15:$D$34,MATCH($H75,Config!$C$15:$C$34,0)),"No")="Yes",$M75&gt;=$D75),"Fully received: update status","OK"))))))))))))))))))</f>
        <v/>
      </c>
      <c r="T75" s="52" t="str">
        <f>IF($O75=1,IFERROR(COUNTIFS($O$2:$O$301,1,$G$2:$G$301,"&lt;"&amp;$G75)+COUNTIFS($O$2:$O75,1,$G$2:$G75,$G75),""),"")</f>
        <v/>
      </c>
    </row>
    <row r="76">
      <c r="A76" s="46" t="n"/>
      <c r="B76" s="46" t="n"/>
      <c r="C76" s="46" t="n"/>
      <c r="D76" s="48" t="n"/>
      <c r="E76" s="47" t="n"/>
      <c r="F76" s="54" t="n"/>
      <c r="G76" s="54" t="n"/>
      <c r="H76" s="46" t="n"/>
      <c r="I76" s="46" t="n"/>
      <c r="J76" s="46" t="n"/>
      <c r="K76" s="49" t="str">
        <f>IF($A76="","",IFERROR(INDEX(Suppliers!$B$2:$B$51,MATCH($B76,Suppliers!$A$2:$A$51,0))&amp;"","(not found)"))</f>
        <v/>
      </c>
      <c r="L76" s="49" t="str">
        <f>IF($A76="","",IFERROR(INDEX(Products!$B$2:$B$101,MATCH($C76,Products!$A$2:$A$101,0))&amp;"","(not found)"))</f>
        <v/>
      </c>
      <c r="M76" s="50" t="str">
        <f>IF($A76="","",SUMIFS(Inventory_Ledger!$E$2:$E$2001,Inventory_Ledger!$H$2:$H$2001,$A76,Inventory_Ledger!$C$2:$C$2001,"Receipt",Inventory_Ledger!$D$2:$D$2001,$C76))</f>
        <v/>
      </c>
      <c r="N76" s="50" t="str">
        <f>IF($A76="","",IF(IFERROR(INDEX(Config!$D$15:$D$34,MATCH($H76,Config!$C$15:$C$34,0)),"No")="Yes",MAX(0,IF(ISNUMBER($D76),$D76,0)-$M76),0))</f>
        <v/>
      </c>
      <c r="O76" s="52" t="str">
        <f>IF($A76="","",IF($N76&gt;0,1,0))</f>
        <v/>
      </c>
      <c r="P76" s="52" t="str">
        <f>IF($A76="","",IF(AND($O76=1,ISNUMBER($G76)),IF($G76&lt;Config!$B$4,1,0),0))</f>
        <v/>
      </c>
      <c r="Q76" s="52" t="str">
        <f>IF($A76="","",IF($P76=1,Config!$B$4-$G76,0))</f>
        <v/>
      </c>
      <c r="R76" s="53" t="str">
        <f>IF($A76="","",IF(AND(ISNUMBER($D76),ISNUMBER($E76)),$D76*$E76,""))</f>
        <v/>
      </c>
      <c r="S76" s="49" t="str">
        <f>IF(COUNTA($A76:$J76)=0,"",IF($A76="","Missing: PO ID",IF(COUNTIF($A$2:$A$301,$A76)&gt;1,"Duplicate PO ID",IF($B76="","Missing: supplier",IF($C76="","Missing: SKU",IF(NOT(ISNUMBER($D76)),"Missing: qty",IF(NOT(ISNUMBER($F76)),"Missing: order date",IF(NOT(ISNUMBER($G76)),"Missing: expected date",IF($H76="","Missing: status",IF($I76="","Missing: source link",IF(COUNTIF(Suppliers!$A$2:$A$51,$B76)=0,"Unknown supplier",IF(COUNTIF(Products!$A$2:$A$101,$C76)=0,"Unknown SKU",IF(COUNTIF(Config!$C$15:$C$34,$H76)=0,"Unsupported status",IF($D76&lt;=0,"Qty must be above 0",IF($G76&lt;$F76,"Expected date before order date",IF($M76&gt;$D76,"Received more than ordered",IF(AND($H76="Received",$M76&lt;$D76),"Status Received but not fully received",IF(AND(IFERROR(INDEX(Config!$D$15:$D$34,MATCH($H76,Config!$C$15:$C$34,0)),"No")="Yes",$M76&gt;=$D76),"Fully received: update status","OK"))))))))))))))))))</f>
        <v/>
      </c>
      <c r="T76" s="52" t="str">
        <f>IF($O76=1,IFERROR(COUNTIFS($O$2:$O$301,1,$G$2:$G$301,"&lt;"&amp;$G76)+COUNTIFS($O$2:$O76,1,$G$2:$G76,$G76),""),"")</f>
        <v/>
      </c>
    </row>
    <row r="77">
      <c r="A77" s="46" t="n"/>
      <c r="B77" s="46" t="n"/>
      <c r="C77" s="46" t="n"/>
      <c r="D77" s="48" t="n"/>
      <c r="E77" s="47" t="n"/>
      <c r="F77" s="54" t="n"/>
      <c r="G77" s="54" t="n"/>
      <c r="H77" s="46" t="n"/>
      <c r="I77" s="46" t="n"/>
      <c r="J77" s="46" t="n"/>
      <c r="K77" s="49" t="str">
        <f>IF($A77="","",IFERROR(INDEX(Suppliers!$B$2:$B$51,MATCH($B77,Suppliers!$A$2:$A$51,0))&amp;"","(not found)"))</f>
        <v/>
      </c>
      <c r="L77" s="49" t="str">
        <f>IF($A77="","",IFERROR(INDEX(Products!$B$2:$B$101,MATCH($C77,Products!$A$2:$A$101,0))&amp;"","(not found)"))</f>
        <v/>
      </c>
      <c r="M77" s="50" t="str">
        <f>IF($A77="","",SUMIFS(Inventory_Ledger!$E$2:$E$2001,Inventory_Ledger!$H$2:$H$2001,$A77,Inventory_Ledger!$C$2:$C$2001,"Receipt",Inventory_Ledger!$D$2:$D$2001,$C77))</f>
        <v/>
      </c>
      <c r="N77" s="50" t="str">
        <f>IF($A77="","",IF(IFERROR(INDEX(Config!$D$15:$D$34,MATCH($H77,Config!$C$15:$C$34,0)),"No")="Yes",MAX(0,IF(ISNUMBER($D77),$D77,0)-$M77),0))</f>
        <v/>
      </c>
      <c r="O77" s="52" t="str">
        <f>IF($A77="","",IF($N77&gt;0,1,0))</f>
        <v/>
      </c>
      <c r="P77" s="52" t="str">
        <f>IF($A77="","",IF(AND($O77=1,ISNUMBER($G77)),IF($G77&lt;Config!$B$4,1,0),0))</f>
        <v/>
      </c>
      <c r="Q77" s="52" t="str">
        <f>IF($A77="","",IF($P77=1,Config!$B$4-$G77,0))</f>
        <v/>
      </c>
      <c r="R77" s="53" t="str">
        <f>IF($A77="","",IF(AND(ISNUMBER($D77),ISNUMBER($E77)),$D77*$E77,""))</f>
        <v/>
      </c>
      <c r="S77" s="49" t="str">
        <f>IF(COUNTA($A77:$J77)=0,"",IF($A77="","Missing: PO ID",IF(COUNTIF($A$2:$A$301,$A77)&gt;1,"Duplicate PO ID",IF($B77="","Missing: supplier",IF($C77="","Missing: SKU",IF(NOT(ISNUMBER($D77)),"Missing: qty",IF(NOT(ISNUMBER($F77)),"Missing: order date",IF(NOT(ISNUMBER($G77)),"Missing: expected date",IF($H77="","Missing: status",IF($I77="","Missing: source link",IF(COUNTIF(Suppliers!$A$2:$A$51,$B77)=0,"Unknown supplier",IF(COUNTIF(Products!$A$2:$A$101,$C77)=0,"Unknown SKU",IF(COUNTIF(Config!$C$15:$C$34,$H77)=0,"Unsupported status",IF($D77&lt;=0,"Qty must be above 0",IF($G77&lt;$F77,"Expected date before order date",IF($M77&gt;$D77,"Received more than ordered",IF(AND($H77="Received",$M77&lt;$D77),"Status Received but not fully received",IF(AND(IFERROR(INDEX(Config!$D$15:$D$34,MATCH($H77,Config!$C$15:$C$34,0)),"No")="Yes",$M77&gt;=$D77),"Fully received: update status","OK"))))))))))))))))))</f>
        <v/>
      </c>
      <c r="T77" s="52" t="str">
        <f>IF($O77=1,IFERROR(COUNTIFS($O$2:$O$301,1,$G$2:$G$301,"&lt;"&amp;$G77)+COUNTIFS($O$2:$O77,1,$G$2:$G77,$G77),""),"")</f>
        <v/>
      </c>
    </row>
    <row r="78">
      <c r="A78" s="46" t="n"/>
      <c r="B78" s="46" t="n"/>
      <c r="C78" s="46" t="n"/>
      <c r="D78" s="48" t="n"/>
      <c r="E78" s="47" t="n"/>
      <c r="F78" s="54" t="n"/>
      <c r="G78" s="54" t="n"/>
      <c r="H78" s="46" t="n"/>
      <c r="I78" s="46" t="n"/>
      <c r="J78" s="46" t="n"/>
      <c r="K78" s="49" t="str">
        <f>IF($A78="","",IFERROR(INDEX(Suppliers!$B$2:$B$51,MATCH($B78,Suppliers!$A$2:$A$51,0))&amp;"","(not found)"))</f>
        <v/>
      </c>
      <c r="L78" s="49" t="str">
        <f>IF($A78="","",IFERROR(INDEX(Products!$B$2:$B$101,MATCH($C78,Products!$A$2:$A$101,0))&amp;"","(not found)"))</f>
        <v/>
      </c>
      <c r="M78" s="50" t="str">
        <f>IF($A78="","",SUMIFS(Inventory_Ledger!$E$2:$E$2001,Inventory_Ledger!$H$2:$H$2001,$A78,Inventory_Ledger!$C$2:$C$2001,"Receipt",Inventory_Ledger!$D$2:$D$2001,$C78))</f>
        <v/>
      </c>
      <c r="N78" s="50" t="str">
        <f>IF($A78="","",IF(IFERROR(INDEX(Config!$D$15:$D$34,MATCH($H78,Config!$C$15:$C$34,0)),"No")="Yes",MAX(0,IF(ISNUMBER($D78),$D78,0)-$M78),0))</f>
        <v/>
      </c>
      <c r="O78" s="52" t="str">
        <f>IF($A78="","",IF($N78&gt;0,1,0))</f>
        <v/>
      </c>
      <c r="P78" s="52" t="str">
        <f>IF($A78="","",IF(AND($O78=1,ISNUMBER($G78)),IF($G78&lt;Config!$B$4,1,0),0))</f>
        <v/>
      </c>
      <c r="Q78" s="52" t="str">
        <f>IF($A78="","",IF($P78=1,Config!$B$4-$G78,0))</f>
        <v/>
      </c>
      <c r="R78" s="53" t="str">
        <f>IF($A78="","",IF(AND(ISNUMBER($D78),ISNUMBER($E78)),$D78*$E78,""))</f>
        <v/>
      </c>
      <c r="S78" s="49" t="str">
        <f>IF(COUNTA($A78:$J78)=0,"",IF($A78="","Missing: PO ID",IF(COUNTIF($A$2:$A$301,$A78)&gt;1,"Duplicate PO ID",IF($B78="","Missing: supplier",IF($C78="","Missing: SKU",IF(NOT(ISNUMBER($D78)),"Missing: qty",IF(NOT(ISNUMBER($F78)),"Missing: order date",IF(NOT(ISNUMBER($G78)),"Missing: expected date",IF($H78="","Missing: status",IF($I78="","Missing: source link",IF(COUNTIF(Suppliers!$A$2:$A$51,$B78)=0,"Unknown supplier",IF(COUNTIF(Products!$A$2:$A$101,$C78)=0,"Unknown SKU",IF(COUNTIF(Config!$C$15:$C$34,$H78)=0,"Unsupported status",IF($D78&lt;=0,"Qty must be above 0",IF($G78&lt;$F78,"Expected date before order date",IF($M78&gt;$D78,"Received more than ordered",IF(AND($H78="Received",$M78&lt;$D78),"Status Received but not fully received",IF(AND(IFERROR(INDEX(Config!$D$15:$D$34,MATCH($H78,Config!$C$15:$C$34,0)),"No")="Yes",$M78&gt;=$D78),"Fully received: update status","OK"))))))))))))))))))</f>
        <v/>
      </c>
      <c r="T78" s="52" t="str">
        <f>IF($O78=1,IFERROR(COUNTIFS($O$2:$O$301,1,$G$2:$G$301,"&lt;"&amp;$G78)+COUNTIFS($O$2:$O78,1,$G$2:$G78,$G78),""),"")</f>
        <v/>
      </c>
    </row>
    <row r="79">
      <c r="A79" s="46" t="n"/>
      <c r="B79" s="46" t="n"/>
      <c r="C79" s="46" t="n"/>
      <c r="D79" s="48" t="n"/>
      <c r="E79" s="47" t="n"/>
      <c r="F79" s="54" t="n"/>
      <c r="G79" s="54" t="n"/>
      <c r="H79" s="46" t="n"/>
      <c r="I79" s="46" t="n"/>
      <c r="J79" s="46" t="n"/>
      <c r="K79" s="49" t="str">
        <f>IF($A79="","",IFERROR(INDEX(Suppliers!$B$2:$B$51,MATCH($B79,Suppliers!$A$2:$A$51,0))&amp;"","(not found)"))</f>
        <v/>
      </c>
      <c r="L79" s="49" t="str">
        <f>IF($A79="","",IFERROR(INDEX(Products!$B$2:$B$101,MATCH($C79,Products!$A$2:$A$101,0))&amp;"","(not found)"))</f>
        <v/>
      </c>
      <c r="M79" s="50" t="str">
        <f>IF($A79="","",SUMIFS(Inventory_Ledger!$E$2:$E$2001,Inventory_Ledger!$H$2:$H$2001,$A79,Inventory_Ledger!$C$2:$C$2001,"Receipt",Inventory_Ledger!$D$2:$D$2001,$C79))</f>
        <v/>
      </c>
      <c r="N79" s="50" t="str">
        <f>IF($A79="","",IF(IFERROR(INDEX(Config!$D$15:$D$34,MATCH($H79,Config!$C$15:$C$34,0)),"No")="Yes",MAX(0,IF(ISNUMBER($D79),$D79,0)-$M79),0))</f>
        <v/>
      </c>
      <c r="O79" s="52" t="str">
        <f>IF($A79="","",IF($N79&gt;0,1,0))</f>
        <v/>
      </c>
      <c r="P79" s="52" t="str">
        <f>IF($A79="","",IF(AND($O79=1,ISNUMBER($G79)),IF($G79&lt;Config!$B$4,1,0),0))</f>
        <v/>
      </c>
      <c r="Q79" s="52" t="str">
        <f>IF($A79="","",IF($P79=1,Config!$B$4-$G79,0))</f>
        <v/>
      </c>
      <c r="R79" s="53" t="str">
        <f>IF($A79="","",IF(AND(ISNUMBER($D79),ISNUMBER($E79)),$D79*$E79,""))</f>
        <v/>
      </c>
      <c r="S79" s="49" t="str">
        <f>IF(COUNTA($A79:$J79)=0,"",IF($A79="","Missing: PO ID",IF(COUNTIF($A$2:$A$301,$A79)&gt;1,"Duplicate PO ID",IF($B79="","Missing: supplier",IF($C79="","Missing: SKU",IF(NOT(ISNUMBER($D79)),"Missing: qty",IF(NOT(ISNUMBER($F79)),"Missing: order date",IF(NOT(ISNUMBER($G79)),"Missing: expected date",IF($H79="","Missing: status",IF($I79="","Missing: source link",IF(COUNTIF(Suppliers!$A$2:$A$51,$B79)=0,"Unknown supplier",IF(COUNTIF(Products!$A$2:$A$101,$C79)=0,"Unknown SKU",IF(COUNTIF(Config!$C$15:$C$34,$H79)=0,"Unsupported status",IF($D79&lt;=0,"Qty must be above 0",IF($G79&lt;$F79,"Expected date before order date",IF($M79&gt;$D79,"Received more than ordered",IF(AND($H79="Received",$M79&lt;$D79),"Status Received but not fully received",IF(AND(IFERROR(INDEX(Config!$D$15:$D$34,MATCH($H79,Config!$C$15:$C$34,0)),"No")="Yes",$M79&gt;=$D79),"Fully received: update status","OK"))))))))))))))))))</f>
        <v/>
      </c>
      <c r="T79" s="52" t="str">
        <f>IF($O79=1,IFERROR(COUNTIFS($O$2:$O$301,1,$G$2:$G$301,"&lt;"&amp;$G79)+COUNTIFS($O$2:$O79,1,$G$2:$G79,$G79),""),"")</f>
        <v/>
      </c>
    </row>
    <row r="80">
      <c r="A80" s="46" t="n"/>
      <c r="B80" s="46" t="n"/>
      <c r="C80" s="46" t="n"/>
      <c r="D80" s="48" t="n"/>
      <c r="E80" s="47" t="n"/>
      <c r="F80" s="54" t="n"/>
      <c r="G80" s="54" t="n"/>
      <c r="H80" s="46" t="n"/>
      <c r="I80" s="46" t="n"/>
      <c r="J80" s="46" t="n"/>
      <c r="K80" s="49" t="str">
        <f>IF($A80="","",IFERROR(INDEX(Suppliers!$B$2:$B$51,MATCH($B80,Suppliers!$A$2:$A$51,0))&amp;"","(not found)"))</f>
        <v/>
      </c>
      <c r="L80" s="49" t="str">
        <f>IF($A80="","",IFERROR(INDEX(Products!$B$2:$B$101,MATCH($C80,Products!$A$2:$A$101,0))&amp;"","(not found)"))</f>
        <v/>
      </c>
      <c r="M80" s="50" t="str">
        <f>IF($A80="","",SUMIFS(Inventory_Ledger!$E$2:$E$2001,Inventory_Ledger!$H$2:$H$2001,$A80,Inventory_Ledger!$C$2:$C$2001,"Receipt",Inventory_Ledger!$D$2:$D$2001,$C80))</f>
        <v/>
      </c>
      <c r="N80" s="50" t="str">
        <f>IF($A80="","",IF(IFERROR(INDEX(Config!$D$15:$D$34,MATCH($H80,Config!$C$15:$C$34,0)),"No")="Yes",MAX(0,IF(ISNUMBER($D80),$D80,0)-$M80),0))</f>
        <v/>
      </c>
      <c r="O80" s="52" t="str">
        <f>IF($A80="","",IF($N80&gt;0,1,0))</f>
        <v/>
      </c>
      <c r="P80" s="52" t="str">
        <f>IF($A80="","",IF(AND($O80=1,ISNUMBER($G80)),IF($G80&lt;Config!$B$4,1,0),0))</f>
        <v/>
      </c>
      <c r="Q80" s="52" t="str">
        <f>IF($A80="","",IF($P80=1,Config!$B$4-$G80,0))</f>
        <v/>
      </c>
      <c r="R80" s="53" t="str">
        <f>IF($A80="","",IF(AND(ISNUMBER($D80),ISNUMBER($E80)),$D80*$E80,""))</f>
        <v/>
      </c>
      <c r="S80" s="49" t="str">
        <f>IF(COUNTA($A80:$J80)=0,"",IF($A80="","Missing: PO ID",IF(COUNTIF($A$2:$A$301,$A80)&gt;1,"Duplicate PO ID",IF($B80="","Missing: supplier",IF($C80="","Missing: SKU",IF(NOT(ISNUMBER($D80)),"Missing: qty",IF(NOT(ISNUMBER($F80)),"Missing: order date",IF(NOT(ISNUMBER($G80)),"Missing: expected date",IF($H80="","Missing: status",IF($I80="","Missing: source link",IF(COUNTIF(Suppliers!$A$2:$A$51,$B80)=0,"Unknown supplier",IF(COUNTIF(Products!$A$2:$A$101,$C80)=0,"Unknown SKU",IF(COUNTIF(Config!$C$15:$C$34,$H80)=0,"Unsupported status",IF($D80&lt;=0,"Qty must be above 0",IF($G80&lt;$F80,"Expected date before order date",IF($M80&gt;$D80,"Received more than ordered",IF(AND($H80="Received",$M80&lt;$D80),"Status Received but not fully received",IF(AND(IFERROR(INDEX(Config!$D$15:$D$34,MATCH($H80,Config!$C$15:$C$34,0)),"No")="Yes",$M80&gt;=$D80),"Fully received: update status","OK"))))))))))))))))))</f>
        <v/>
      </c>
      <c r="T80" s="52" t="str">
        <f>IF($O80=1,IFERROR(COUNTIFS($O$2:$O$301,1,$G$2:$G$301,"&lt;"&amp;$G80)+COUNTIFS($O$2:$O80,1,$G$2:$G80,$G80),""),"")</f>
        <v/>
      </c>
    </row>
    <row r="81">
      <c r="A81" s="46" t="n"/>
      <c r="B81" s="46" t="n"/>
      <c r="C81" s="46" t="n"/>
      <c r="D81" s="48" t="n"/>
      <c r="E81" s="47" t="n"/>
      <c r="F81" s="54" t="n"/>
      <c r="G81" s="54" t="n"/>
      <c r="H81" s="46" t="n"/>
      <c r="I81" s="46" t="n"/>
      <c r="J81" s="46" t="n"/>
      <c r="K81" s="49" t="str">
        <f>IF($A81="","",IFERROR(INDEX(Suppliers!$B$2:$B$51,MATCH($B81,Suppliers!$A$2:$A$51,0))&amp;"","(not found)"))</f>
        <v/>
      </c>
      <c r="L81" s="49" t="str">
        <f>IF($A81="","",IFERROR(INDEX(Products!$B$2:$B$101,MATCH($C81,Products!$A$2:$A$101,0))&amp;"","(not found)"))</f>
        <v/>
      </c>
      <c r="M81" s="50" t="str">
        <f>IF($A81="","",SUMIFS(Inventory_Ledger!$E$2:$E$2001,Inventory_Ledger!$H$2:$H$2001,$A81,Inventory_Ledger!$C$2:$C$2001,"Receipt",Inventory_Ledger!$D$2:$D$2001,$C81))</f>
        <v/>
      </c>
      <c r="N81" s="50" t="str">
        <f>IF($A81="","",IF(IFERROR(INDEX(Config!$D$15:$D$34,MATCH($H81,Config!$C$15:$C$34,0)),"No")="Yes",MAX(0,IF(ISNUMBER($D81),$D81,0)-$M81),0))</f>
        <v/>
      </c>
      <c r="O81" s="52" t="str">
        <f>IF($A81="","",IF($N81&gt;0,1,0))</f>
        <v/>
      </c>
      <c r="P81" s="52" t="str">
        <f>IF($A81="","",IF(AND($O81=1,ISNUMBER($G81)),IF($G81&lt;Config!$B$4,1,0),0))</f>
        <v/>
      </c>
      <c r="Q81" s="52" t="str">
        <f>IF($A81="","",IF($P81=1,Config!$B$4-$G81,0))</f>
        <v/>
      </c>
      <c r="R81" s="53" t="str">
        <f>IF($A81="","",IF(AND(ISNUMBER($D81),ISNUMBER($E81)),$D81*$E81,""))</f>
        <v/>
      </c>
      <c r="S81" s="49" t="str">
        <f>IF(COUNTA($A81:$J81)=0,"",IF($A81="","Missing: PO ID",IF(COUNTIF($A$2:$A$301,$A81)&gt;1,"Duplicate PO ID",IF($B81="","Missing: supplier",IF($C81="","Missing: SKU",IF(NOT(ISNUMBER($D81)),"Missing: qty",IF(NOT(ISNUMBER($F81)),"Missing: order date",IF(NOT(ISNUMBER($G81)),"Missing: expected date",IF($H81="","Missing: status",IF($I81="","Missing: source link",IF(COUNTIF(Suppliers!$A$2:$A$51,$B81)=0,"Unknown supplier",IF(COUNTIF(Products!$A$2:$A$101,$C81)=0,"Unknown SKU",IF(COUNTIF(Config!$C$15:$C$34,$H81)=0,"Unsupported status",IF($D81&lt;=0,"Qty must be above 0",IF($G81&lt;$F81,"Expected date before order date",IF($M81&gt;$D81,"Received more than ordered",IF(AND($H81="Received",$M81&lt;$D81),"Status Received but not fully received",IF(AND(IFERROR(INDEX(Config!$D$15:$D$34,MATCH($H81,Config!$C$15:$C$34,0)),"No")="Yes",$M81&gt;=$D81),"Fully received: update status","OK"))))))))))))))))))</f>
        <v/>
      </c>
      <c r="T81" s="52" t="str">
        <f>IF($O81=1,IFERROR(COUNTIFS($O$2:$O$301,1,$G$2:$G$301,"&lt;"&amp;$G81)+COUNTIFS($O$2:$O81,1,$G$2:$G81,$G81),""),"")</f>
        <v/>
      </c>
    </row>
    <row r="82">
      <c r="A82" s="46" t="n"/>
      <c r="B82" s="46" t="n"/>
      <c r="C82" s="46" t="n"/>
      <c r="D82" s="48" t="n"/>
      <c r="E82" s="47" t="n"/>
      <c r="F82" s="54" t="n"/>
      <c r="G82" s="54" t="n"/>
      <c r="H82" s="46" t="n"/>
      <c r="I82" s="46" t="n"/>
      <c r="J82" s="46" t="n"/>
      <c r="K82" s="49" t="str">
        <f>IF($A82="","",IFERROR(INDEX(Suppliers!$B$2:$B$51,MATCH($B82,Suppliers!$A$2:$A$51,0))&amp;"","(not found)"))</f>
        <v/>
      </c>
      <c r="L82" s="49" t="str">
        <f>IF($A82="","",IFERROR(INDEX(Products!$B$2:$B$101,MATCH($C82,Products!$A$2:$A$101,0))&amp;"","(not found)"))</f>
        <v/>
      </c>
      <c r="M82" s="50" t="str">
        <f>IF($A82="","",SUMIFS(Inventory_Ledger!$E$2:$E$2001,Inventory_Ledger!$H$2:$H$2001,$A82,Inventory_Ledger!$C$2:$C$2001,"Receipt",Inventory_Ledger!$D$2:$D$2001,$C82))</f>
        <v/>
      </c>
      <c r="N82" s="50" t="str">
        <f>IF($A82="","",IF(IFERROR(INDEX(Config!$D$15:$D$34,MATCH($H82,Config!$C$15:$C$34,0)),"No")="Yes",MAX(0,IF(ISNUMBER($D82),$D82,0)-$M82),0))</f>
        <v/>
      </c>
      <c r="O82" s="52" t="str">
        <f>IF($A82="","",IF($N82&gt;0,1,0))</f>
        <v/>
      </c>
      <c r="P82" s="52" t="str">
        <f>IF($A82="","",IF(AND($O82=1,ISNUMBER($G82)),IF($G82&lt;Config!$B$4,1,0),0))</f>
        <v/>
      </c>
      <c r="Q82" s="52" t="str">
        <f>IF($A82="","",IF($P82=1,Config!$B$4-$G82,0))</f>
        <v/>
      </c>
      <c r="R82" s="53" t="str">
        <f>IF($A82="","",IF(AND(ISNUMBER($D82),ISNUMBER($E82)),$D82*$E82,""))</f>
        <v/>
      </c>
      <c r="S82" s="49" t="str">
        <f>IF(COUNTA($A82:$J82)=0,"",IF($A82="","Missing: PO ID",IF(COUNTIF($A$2:$A$301,$A82)&gt;1,"Duplicate PO ID",IF($B82="","Missing: supplier",IF($C82="","Missing: SKU",IF(NOT(ISNUMBER($D82)),"Missing: qty",IF(NOT(ISNUMBER($F82)),"Missing: order date",IF(NOT(ISNUMBER($G82)),"Missing: expected date",IF($H82="","Missing: status",IF($I82="","Missing: source link",IF(COUNTIF(Suppliers!$A$2:$A$51,$B82)=0,"Unknown supplier",IF(COUNTIF(Products!$A$2:$A$101,$C82)=0,"Unknown SKU",IF(COUNTIF(Config!$C$15:$C$34,$H82)=0,"Unsupported status",IF($D82&lt;=0,"Qty must be above 0",IF($G82&lt;$F82,"Expected date before order date",IF($M82&gt;$D82,"Received more than ordered",IF(AND($H82="Received",$M82&lt;$D82),"Status Received but not fully received",IF(AND(IFERROR(INDEX(Config!$D$15:$D$34,MATCH($H82,Config!$C$15:$C$34,0)),"No")="Yes",$M82&gt;=$D82),"Fully received: update status","OK"))))))))))))))))))</f>
        <v/>
      </c>
      <c r="T82" s="52" t="str">
        <f>IF($O82=1,IFERROR(COUNTIFS($O$2:$O$301,1,$G$2:$G$301,"&lt;"&amp;$G82)+COUNTIFS($O$2:$O82,1,$G$2:$G82,$G82),""),"")</f>
        <v/>
      </c>
    </row>
    <row r="83">
      <c r="A83" s="46" t="n"/>
      <c r="B83" s="46" t="n"/>
      <c r="C83" s="46" t="n"/>
      <c r="D83" s="48" t="n"/>
      <c r="E83" s="47" t="n"/>
      <c r="F83" s="54" t="n"/>
      <c r="G83" s="54" t="n"/>
      <c r="H83" s="46" t="n"/>
      <c r="I83" s="46" t="n"/>
      <c r="J83" s="46" t="n"/>
      <c r="K83" s="49" t="str">
        <f>IF($A83="","",IFERROR(INDEX(Suppliers!$B$2:$B$51,MATCH($B83,Suppliers!$A$2:$A$51,0))&amp;"","(not found)"))</f>
        <v/>
      </c>
      <c r="L83" s="49" t="str">
        <f>IF($A83="","",IFERROR(INDEX(Products!$B$2:$B$101,MATCH($C83,Products!$A$2:$A$101,0))&amp;"","(not found)"))</f>
        <v/>
      </c>
      <c r="M83" s="50" t="str">
        <f>IF($A83="","",SUMIFS(Inventory_Ledger!$E$2:$E$2001,Inventory_Ledger!$H$2:$H$2001,$A83,Inventory_Ledger!$C$2:$C$2001,"Receipt",Inventory_Ledger!$D$2:$D$2001,$C83))</f>
        <v/>
      </c>
      <c r="N83" s="50" t="str">
        <f>IF($A83="","",IF(IFERROR(INDEX(Config!$D$15:$D$34,MATCH($H83,Config!$C$15:$C$34,0)),"No")="Yes",MAX(0,IF(ISNUMBER($D83),$D83,0)-$M83),0))</f>
        <v/>
      </c>
      <c r="O83" s="52" t="str">
        <f>IF($A83="","",IF($N83&gt;0,1,0))</f>
        <v/>
      </c>
      <c r="P83" s="52" t="str">
        <f>IF($A83="","",IF(AND($O83=1,ISNUMBER($G83)),IF($G83&lt;Config!$B$4,1,0),0))</f>
        <v/>
      </c>
      <c r="Q83" s="52" t="str">
        <f>IF($A83="","",IF($P83=1,Config!$B$4-$G83,0))</f>
        <v/>
      </c>
      <c r="R83" s="53" t="str">
        <f>IF($A83="","",IF(AND(ISNUMBER($D83),ISNUMBER($E83)),$D83*$E83,""))</f>
        <v/>
      </c>
      <c r="S83" s="49" t="str">
        <f>IF(COUNTA($A83:$J83)=0,"",IF($A83="","Missing: PO ID",IF(COUNTIF($A$2:$A$301,$A83)&gt;1,"Duplicate PO ID",IF($B83="","Missing: supplier",IF($C83="","Missing: SKU",IF(NOT(ISNUMBER($D83)),"Missing: qty",IF(NOT(ISNUMBER($F83)),"Missing: order date",IF(NOT(ISNUMBER($G83)),"Missing: expected date",IF($H83="","Missing: status",IF($I83="","Missing: source link",IF(COUNTIF(Suppliers!$A$2:$A$51,$B83)=0,"Unknown supplier",IF(COUNTIF(Products!$A$2:$A$101,$C83)=0,"Unknown SKU",IF(COUNTIF(Config!$C$15:$C$34,$H83)=0,"Unsupported status",IF($D83&lt;=0,"Qty must be above 0",IF($G83&lt;$F83,"Expected date before order date",IF($M83&gt;$D83,"Received more than ordered",IF(AND($H83="Received",$M83&lt;$D83),"Status Received but not fully received",IF(AND(IFERROR(INDEX(Config!$D$15:$D$34,MATCH($H83,Config!$C$15:$C$34,0)),"No")="Yes",$M83&gt;=$D83),"Fully received: update status","OK"))))))))))))))))))</f>
        <v/>
      </c>
      <c r="T83" s="52" t="str">
        <f>IF($O83=1,IFERROR(COUNTIFS($O$2:$O$301,1,$G$2:$G$301,"&lt;"&amp;$G83)+COUNTIFS($O$2:$O83,1,$G$2:$G83,$G83),""),"")</f>
        <v/>
      </c>
    </row>
    <row r="84">
      <c r="A84" s="46" t="n"/>
      <c r="B84" s="46" t="n"/>
      <c r="C84" s="46" t="n"/>
      <c r="D84" s="48" t="n"/>
      <c r="E84" s="47" t="n"/>
      <c r="F84" s="54" t="n"/>
      <c r="G84" s="54" t="n"/>
      <c r="H84" s="46" t="n"/>
      <c r="I84" s="46" t="n"/>
      <c r="J84" s="46" t="n"/>
      <c r="K84" s="49" t="str">
        <f>IF($A84="","",IFERROR(INDEX(Suppliers!$B$2:$B$51,MATCH($B84,Suppliers!$A$2:$A$51,0))&amp;"","(not found)"))</f>
        <v/>
      </c>
      <c r="L84" s="49" t="str">
        <f>IF($A84="","",IFERROR(INDEX(Products!$B$2:$B$101,MATCH($C84,Products!$A$2:$A$101,0))&amp;"","(not found)"))</f>
        <v/>
      </c>
      <c r="M84" s="50" t="str">
        <f>IF($A84="","",SUMIFS(Inventory_Ledger!$E$2:$E$2001,Inventory_Ledger!$H$2:$H$2001,$A84,Inventory_Ledger!$C$2:$C$2001,"Receipt",Inventory_Ledger!$D$2:$D$2001,$C84))</f>
        <v/>
      </c>
      <c r="N84" s="50" t="str">
        <f>IF($A84="","",IF(IFERROR(INDEX(Config!$D$15:$D$34,MATCH($H84,Config!$C$15:$C$34,0)),"No")="Yes",MAX(0,IF(ISNUMBER($D84),$D84,0)-$M84),0))</f>
        <v/>
      </c>
      <c r="O84" s="52" t="str">
        <f>IF($A84="","",IF($N84&gt;0,1,0))</f>
        <v/>
      </c>
      <c r="P84" s="52" t="str">
        <f>IF($A84="","",IF(AND($O84=1,ISNUMBER($G84)),IF($G84&lt;Config!$B$4,1,0),0))</f>
        <v/>
      </c>
      <c r="Q84" s="52" t="str">
        <f>IF($A84="","",IF($P84=1,Config!$B$4-$G84,0))</f>
        <v/>
      </c>
      <c r="R84" s="53" t="str">
        <f>IF($A84="","",IF(AND(ISNUMBER($D84),ISNUMBER($E84)),$D84*$E84,""))</f>
        <v/>
      </c>
      <c r="S84" s="49" t="str">
        <f>IF(COUNTA($A84:$J84)=0,"",IF($A84="","Missing: PO ID",IF(COUNTIF($A$2:$A$301,$A84)&gt;1,"Duplicate PO ID",IF($B84="","Missing: supplier",IF($C84="","Missing: SKU",IF(NOT(ISNUMBER($D84)),"Missing: qty",IF(NOT(ISNUMBER($F84)),"Missing: order date",IF(NOT(ISNUMBER($G84)),"Missing: expected date",IF($H84="","Missing: status",IF($I84="","Missing: source link",IF(COUNTIF(Suppliers!$A$2:$A$51,$B84)=0,"Unknown supplier",IF(COUNTIF(Products!$A$2:$A$101,$C84)=0,"Unknown SKU",IF(COUNTIF(Config!$C$15:$C$34,$H84)=0,"Unsupported status",IF($D84&lt;=0,"Qty must be above 0",IF($G84&lt;$F84,"Expected date before order date",IF($M84&gt;$D84,"Received more than ordered",IF(AND($H84="Received",$M84&lt;$D84),"Status Received but not fully received",IF(AND(IFERROR(INDEX(Config!$D$15:$D$34,MATCH($H84,Config!$C$15:$C$34,0)),"No")="Yes",$M84&gt;=$D84),"Fully received: update status","OK"))))))))))))))))))</f>
        <v/>
      </c>
      <c r="T84" s="52" t="str">
        <f>IF($O84=1,IFERROR(COUNTIFS($O$2:$O$301,1,$G$2:$G$301,"&lt;"&amp;$G84)+COUNTIFS($O$2:$O84,1,$G$2:$G84,$G84),""),"")</f>
        <v/>
      </c>
    </row>
    <row r="85">
      <c r="A85" s="46" t="n"/>
      <c r="B85" s="46" t="n"/>
      <c r="C85" s="46" t="n"/>
      <c r="D85" s="48" t="n"/>
      <c r="E85" s="47" t="n"/>
      <c r="F85" s="54" t="n"/>
      <c r="G85" s="54" t="n"/>
      <c r="H85" s="46" t="n"/>
      <c r="I85" s="46" t="n"/>
      <c r="J85" s="46" t="n"/>
      <c r="K85" s="49" t="str">
        <f>IF($A85="","",IFERROR(INDEX(Suppliers!$B$2:$B$51,MATCH($B85,Suppliers!$A$2:$A$51,0))&amp;"","(not found)"))</f>
        <v/>
      </c>
      <c r="L85" s="49" t="str">
        <f>IF($A85="","",IFERROR(INDEX(Products!$B$2:$B$101,MATCH($C85,Products!$A$2:$A$101,0))&amp;"","(not found)"))</f>
        <v/>
      </c>
      <c r="M85" s="50" t="str">
        <f>IF($A85="","",SUMIFS(Inventory_Ledger!$E$2:$E$2001,Inventory_Ledger!$H$2:$H$2001,$A85,Inventory_Ledger!$C$2:$C$2001,"Receipt",Inventory_Ledger!$D$2:$D$2001,$C85))</f>
        <v/>
      </c>
      <c r="N85" s="50" t="str">
        <f>IF($A85="","",IF(IFERROR(INDEX(Config!$D$15:$D$34,MATCH($H85,Config!$C$15:$C$34,0)),"No")="Yes",MAX(0,IF(ISNUMBER($D85),$D85,0)-$M85),0))</f>
        <v/>
      </c>
      <c r="O85" s="52" t="str">
        <f>IF($A85="","",IF($N85&gt;0,1,0))</f>
        <v/>
      </c>
      <c r="P85" s="52" t="str">
        <f>IF($A85="","",IF(AND($O85=1,ISNUMBER($G85)),IF($G85&lt;Config!$B$4,1,0),0))</f>
        <v/>
      </c>
      <c r="Q85" s="52" t="str">
        <f>IF($A85="","",IF($P85=1,Config!$B$4-$G85,0))</f>
        <v/>
      </c>
      <c r="R85" s="53" t="str">
        <f>IF($A85="","",IF(AND(ISNUMBER($D85),ISNUMBER($E85)),$D85*$E85,""))</f>
        <v/>
      </c>
      <c r="S85" s="49" t="str">
        <f>IF(COUNTA($A85:$J85)=0,"",IF($A85="","Missing: PO ID",IF(COUNTIF($A$2:$A$301,$A85)&gt;1,"Duplicate PO ID",IF($B85="","Missing: supplier",IF($C85="","Missing: SKU",IF(NOT(ISNUMBER($D85)),"Missing: qty",IF(NOT(ISNUMBER($F85)),"Missing: order date",IF(NOT(ISNUMBER($G85)),"Missing: expected date",IF($H85="","Missing: status",IF($I85="","Missing: source link",IF(COUNTIF(Suppliers!$A$2:$A$51,$B85)=0,"Unknown supplier",IF(COUNTIF(Products!$A$2:$A$101,$C85)=0,"Unknown SKU",IF(COUNTIF(Config!$C$15:$C$34,$H85)=0,"Unsupported status",IF($D85&lt;=0,"Qty must be above 0",IF($G85&lt;$F85,"Expected date before order date",IF($M85&gt;$D85,"Received more than ordered",IF(AND($H85="Received",$M85&lt;$D85),"Status Received but not fully received",IF(AND(IFERROR(INDEX(Config!$D$15:$D$34,MATCH($H85,Config!$C$15:$C$34,0)),"No")="Yes",$M85&gt;=$D85),"Fully received: update status","OK"))))))))))))))))))</f>
        <v/>
      </c>
      <c r="T85" s="52" t="str">
        <f>IF($O85=1,IFERROR(COUNTIFS($O$2:$O$301,1,$G$2:$G$301,"&lt;"&amp;$G85)+COUNTIFS($O$2:$O85,1,$G$2:$G85,$G85),""),"")</f>
        <v/>
      </c>
    </row>
    <row r="86">
      <c r="A86" s="46" t="n"/>
      <c r="B86" s="46" t="n"/>
      <c r="C86" s="46" t="n"/>
      <c r="D86" s="48" t="n"/>
      <c r="E86" s="47" t="n"/>
      <c r="F86" s="54" t="n"/>
      <c r="G86" s="54" t="n"/>
      <c r="H86" s="46" t="n"/>
      <c r="I86" s="46" t="n"/>
      <c r="J86" s="46" t="n"/>
      <c r="K86" s="49" t="str">
        <f>IF($A86="","",IFERROR(INDEX(Suppliers!$B$2:$B$51,MATCH($B86,Suppliers!$A$2:$A$51,0))&amp;"","(not found)"))</f>
        <v/>
      </c>
      <c r="L86" s="49" t="str">
        <f>IF($A86="","",IFERROR(INDEX(Products!$B$2:$B$101,MATCH($C86,Products!$A$2:$A$101,0))&amp;"","(not found)"))</f>
        <v/>
      </c>
      <c r="M86" s="50" t="str">
        <f>IF($A86="","",SUMIFS(Inventory_Ledger!$E$2:$E$2001,Inventory_Ledger!$H$2:$H$2001,$A86,Inventory_Ledger!$C$2:$C$2001,"Receipt",Inventory_Ledger!$D$2:$D$2001,$C86))</f>
        <v/>
      </c>
      <c r="N86" s="50" t="str">
        <f>IF($A86="","",IF(IFERROR(INDEX(Config!$D$15:$D$34,MATCH($H86,Config!$C$15:$C$34,0)),"No")="Yes",MAX(0,IF(ISNUMBER($D86),$D86,0)-$M86),0))</f>
        <v/>
      </c>
      <c r="O86" s="52" t="str">
        <f>IF($A86="","",IF($N86&gt;0,1,0))</f>
        <v/>
      </c>
      <c r="P86" s="52" t="str">
        <f>IF($A86="","",IF(AND($O86=1,ISNUMBER($G86)),IF($G86&lt;Config!$B$4,1,0),0))</f>
        <v/>
      </c>
      <c r="Q86" s="52" t="str">
        <f>IF($A86="","",IF($P86=1,Config!$B$4-$G86,0))</f>
        <v/>
      </c>
      <c r="R86" s="53" t="str">
        <f>IF($A86="","",IF(AND(ISNUMBER($D86),ISNUMBER($E86)),$D86*$E86,""))</f>
        <v/>
      </c>
      <c r="S86" s="49" t="str">
        <f>IF(COUNTA($A86:$J86)=0,"",IF($A86="","Missing: PO ID",IF(COUNTIF($A$2:$A$301,$A86)&gt;1,"Duplicate PO ID",IF($B86="","Missing: supplier",IF($C86="","Missing: SKU",IF(NOT(ISNUMBER($D86)),"Missing: qty",IF(NOT(ISNUMBER($F86)),"Missing: order date",IF(NOT(ISNUMBER($G86)),"Missing: expected date",IF($H86="","Missing: status",IF($I86="","Missing: source link",IF(COUNTIF(Suppliers!$A$2:$A$51,$B86)=0,"Unknown supplier",IF(COUNTIF(Products!$A$2:$A$101,$C86)=0,"Unknown SKU",IF(COUNTIF(Config!$C$15:$C$34,$H86)=0,"Unsupported status",IF($D86&lt;=0,"Qty must be above 0",IF($G86&lt;$F86,"Expected date before order date",IF($M86&gt;$D86,"Received more than ordered",IF(AND($H86="Received",$M86&lt;$D86),"Status Received but not fully received",IF(AND(IFERROR(INDEX(Config!$D$15:$D$34,MATCH($H86,Config!$C$15:$C$34,0)),"No")="Yes",$M86&gt;=$D86),"Fully received: update status","OK"))))))))))))))))))</f>
        <v/>
      </c>
      <c r="T86" s="52" t="str">
        <f>IF($O86=1,IFERROR(COUNTIFS($O$2:$O$301,1,$G$2:$G$301,"&lt;"&amp;$G86)+COUNTIFS($O$2:$O86,1,$G$2:$G86,$G86),""),"")</f>
        <v/>
      </c>
    </row>
    <row r="87">
      <c r="A87" s="46" t="n"/>
      <c r="B87" s="46" t="n"/>
      <c r="C87" s="46" t="n"/>
      <c r="D87" s="48" t="n"/>
      <c r="E87" s="47" t="n"/>
      <c r="F87" s="54" t="n"/>
      <c r="G87" s="54" t="n"/>
      <c r="H87" s="46" t="n"/>
      <c r="I87" s="46" t="n"/>
      <c r="J87" s="46" t="n"/>
      <c r="K87" s="49" t="str">
        <f>IF($A87="","",IFERROR(INDEX(Suppliers!$B$2:$B$51,MATCH($B87,Suppliers!$A$2:$A$51,0))&amp;"","(not found)"))</f>
        <v/>
      </c>
      <c r="L87" s="49" t="str">
        <f>IF($A87="","",IFERROR(INDEX(Products!$B$2:$B$101,MATCH($C87,Products!$A$2:$A$101,0))&amp;"","(not found)"))</f>
        <v/>
      </c>
      <c r="M87" s="50" t="str">
        <f>IF($A87="","",SUMIFS(Inventory_Ledger!$E$2:$E$2001,Inventory_Ledger!$H$2:$H$2001,$A87,Inventory_Ledger!$C$2:$C$2001,"Receipt",Inventory_Ledger!$D$2:$D$2001,$C87))</f>
        <v/>
      </c>
      <c r="N87" s="50" t="str">
        <f>IF($A87="","",IF(IFERROR(INDEX(Config!$D$15:$D$34,MATCH($H87,Config!$C$15:$C$34,0)),"No")="Yes",MAX(0,IF(ISNUMBER($D87),$D87,0)-$M87),0))</f>
        <v/>
      </c>
      <c r="O87" s="52" t="str">
        <f>IF($A87="","",IF($N87&gt;0,1,0))</f>
        <v/>
      </c>
      <c r="P87" s="52" t="str">
        <f>IF($A87="","",IF(AND($O87=1,ISNUMBER($G87)),IF($G87&lt;Config!$B$4,1,0),0))</f>
        <v/>
      </c>
      <c r="Q87" s="52" t="str">
        <f>IF($A87="","",IF($P87=1,Config!$B$4-$G87,0))</f>
        <v/>
      </c>
      <c r="R87" s="53" t="str">
        <f>IF($A87="","",IF(AND(ISNUMBER($D87),ISNUMBER($E87)),$D87*$E87,""))</f>
        <v/>
      </c>
      <c r="S87" s="49" t="str">
        <f>IF(COUNTA($A87:$J87)=0,"",IF($A87="","Missing: PO ID",IF(COUNTIF($A$2:$A$301,$A87)&gt;1,"Duplicate PO ID",IF($B87="","Missing: supplier",IF($C87="","Missing: SKU",IF(NOT(ISNUMBER($D87)),"Missing: qty",IF(NOT(ISNUMBER($F87)),"Missing: order date",IF(NOT(ISNUMBER($G87)),"Missing: expected date",IF($H87="","Missing: status",IF($I87="","Missing: source link",IF(COUNTIF(Suppliers!$A$2:$A$51,$B87)=0,"Unknown supplier",IF(COUNTIF(Products!$A$2:$A$101,$C87)=0,"Unknown SKU",IF(COUNTIF(Config!$C$15:$C$34,$H87)=0,"Unsupported status",IF($D87&lt;=0,"Qty must be above 0",IF($G87&lt;$F87,"Expected date before order date",IF($M87&gt;$D87,"Received more than ordered",IF(AND($H87="Received",$M87&lt;$D87),"Status Received but not fully received",IF(AND(IFERROR(INDEX(Config!$D$15:$D$34,MATCH($H87,Config!$C$15:$C$34,0)),"No")="Yes",$M87&gt;=$D87),"Fully received: update status","OK"))))))))))))))))))</f>
        <v/>
      </c>
      <c r="T87" s="52" t="str">
        <f>IF($O87=1,IFERROR(COUNTIFS($O$2:$O$301,1,$G$2:$G$301,"&lt;"&amp;$G87)+COUNTIFS($O$2:$O87,1,$G$2:$G87,$G87),""),"")</f>
        <v/>
      </c>
    </row>
    <row r="88">
      <c r="A88" s="46" t="n"/>
      <c r="B88" s="46" t="n"/>
      <c r="C88" s="46" t="n"/>
      <c r="D88" s="48" t="n"/>
      <c r="E88" s="47" t="n"/>
      <c r="F88" s="54" t="n"/>
      <c r="G88" s="54" t="n"/>
      <c r="H88" s="46" t="n"/>
      <c r="I88" s="46" t="n"/>
      <c r="J88" s="46" t="n"/>
      <c r="K88" s="49" t="str">
        <f>IF($A88="","",IFERROR(INDEX(Suppliers!$B$2:$B$51,MATCH($B88,Suppliers!$A$2:$A$51,0))&amp;"","(not found)"))</f>
        <v/>
      </c>
      <c r="L88" s="49" t="str">
        <f>IF($A88="","",IFERROR(INDEX(Products!$B$2:$B$101,MATCH($C88,Products!$A$2:$A$101,0))&amp;"","(not found)"))</f>
        <v/>
      </c>
      <c r="M88" s="50" t="str">
        <f>IF($A88="","",SUMIFS(Inventory_Ledger!$E$2:$E$2001,Inventory_Ledger!$H$2:$H$2001,$A88,Inventory_Ledger!$C$2:$C$2001,"Receipt",Inventory_Ledger!$D$2:$D$2001,$C88))</f>
        <v/>
      </c>
      <c r="N88" s="50" t="str">
        <f>IF($A88="","",IF(IFERROR(INDEX(Config!$D$15:$D$34,MATCH($H88,Config!$C$15:$C$34,0)),"No")="Yes",MAX(0,IF(ISNUMBER($D88),$D88,0)-$M88),0))</f>
        <v/>
      </c>
      <c r="O88" s="52" t="str">
        <f>IF($A88="","",IF($N88&gt;0,1,0))</f>
        <v/>
      </c>
      <c r="P88" s="52" t="str">
        <f>IF($A88="","",IF(AND($O88=1,ISNUMBER($G88)),IF($G88&lt;Config!$B$4,1,0),0))</f>
        <v/>
      </c>
      <c r="Q88" s="52" t="str">
        <f>IF($A88="","",IF($P88=1,Config!$B$4-$G88,0))</f>
        <v/>
      </c>
      <c r="R88" s="53" t="str">
        <f>IF($A88="","",IF(AND(ISNUMBER($D88),ISNUMBER($E88)),$D88*$E88,""))</f>
        <v/>
      </c>
      <c r="S88" s="49" t="str">
        <f>IF(COUNTA($A88:$J88)=0,"",IF($A88="","Missing: PO ID",IF(COUNTIF($A$2:$A$301,$A88)&gt;1,"Duplicate PO ID",IF($B88="","Missing: supplier",IF($C88="","Missing: SKU",IF(NOT(ISNUMBER($D88)),"Missing: qty",IF(NOT(ISNUMBER($F88)),"Missing: order date",IF(NOT(ISNUMBER($G88)),"Missing: expected date",IF($H88="","Missing: status",IF($I88="","Missing: source link",IF(COUNTIF(Suppliers!$A$2:$A$51,$B88)=0,"Unknown supplier",IF(COUNTIF(Products!$A$2:$A$101,$C88)=0,"Unknown SKU",IF(COUNTIF(Config!$C$15:$C$34,$H88)=0,"Unsupported status",IF($D88&lt;=0,"Qty must be above 0",IF($G88&lt;$F88,"Expected date before order date",IF($M88&gt;$D88,"Received more than ordered",IF(AND($H88="Received",$M88&lt;$D88),"Status Received but not fully received",IF(AND(IFERROR(INDEX(Config!$D$15:$D$34,MATCH($H88,Config!$C$15:$C$34,0)),"No")="Yes",$M88&gt;=$D88),"Fully received: update status","OK"))))))))))))))))))</f>
        <v/>
      </c>
      <c r="T88" s="52" t="str">
        <f>IF($O88=1,IFERROR(COUNTIFS($O$2:$O$301,1,$G$2:$G$301,"&lt;"&amp;$G88)+COUNTIFS($O$2:$O88,1,$G$2:$G88,$G88),""),"")</f>
        <v/>
      </c>
    </row>
    <row r="89">
      <c r="A89" s="46" t="n"/>
      <c r="B89" s="46" t="n"/>
      <c r="C89" s="46" t="n"/>
      <c r="D89" s="48" t="n"/>
      <c r="E89" s="47" t="n"/>
      <c r="F89" s="54" t="n"/>
      <c r="G89" s="54" t="n"/>
      <c r="H89" s="46" t="n"/>
      <c r="I89" s="46" t="n"/>
      <c r="J89" s="46" t="n"/>
      <c r="K89" s="49" t="str">
        <f>IF($A89="","",IFERROR(INDEX(Suppliers!$B$2:$B$51,MATCH($B89,Suppliers!$A$2:$A$51,0))&amp;"","(not found)"))</f>
        <v/>
      </c>
      <c r="L89" s="49" t="str">
        <f>IF($A89="","",IFERROR(INDEX(Products!$B$2:$B$101,MATCH($C89,Products!$A$2:$A$101,0))&amp;"","(not found)"))</f>
        <v/>
      </c>
      <c r="M89" s="50" t="str">
        <f>IF($A89="","",SUMIFS(Inventory_Ledger!$E$2:$E$2001,Inventory_Ledger!$H$2:$H$2001,$A89,Inventory_Ledger!$C$2:$C$2001,"Receipt",Inventory_Ledger!$D$2:$D$2001,$C89))</f>
        <v/>
      </c>
      <c r="N89" s="50" t="str">
        <f>IF($A89="","",IF(IFERROR(INDEX(Config!$D$15:$D$34,MATCH($H89,Config!$C$15:$C$34,0)),"No")="Yes",MAX(0,IF(ISNUMBER($D89),$D89,0)-$M89),0))</f>
        <v/>
      </c>
      <c r="O89" s="52" t="str">
        <f>IF($A89="","",IF($N89&gt;0,1,0))</f>
        <v/>
      </c>
      <c r="P89" s="52" t="str">
        <f>IF($A89="","",IF(AND($O89=1,ISNUMBER($G89)),IF($G89&lt;Config!$B$4,1,0),0))</f>
        <v/>
      </c>
      <c r="Q89" s="52" t="str">
        <f>IF($A89="","",IF($P89=1,Config!$B$4-$G89,0))</f>
        <v/>
      </c>
      <c r="R89" s="53" t="str">
        <f>IF($A89="","",IF(AND(ISNUMBER($D89),ISNUMBER($E89)),$D89*$E89,""))</f>
        <v/>
      </c>
      <c r="S89" s="49" t="str">
        <f>IF(COUNTA($A89:$J89)=0,"",IF($A89="","Missing: PO ID",IF(COUNTIF($A$2:$A$301,$A89)&gt;1,"Duplicate PO ID",IF($B89="","Missing: supplier",IF($C89="","Missing: SKU",IF(NOT(ISNUMBER($D89)),"Missing: qty",IF(NOT(ISNUMBER($F89)),"Missing: order date",IF(NOT(ISNUMBER($G89)),"Missing: expected date",IF($H89="","Missing: status",IF($I89="","Missing: source link",IF(COUNTIF(Suppliers!$A$2:$A$51,$B89)=0,"Unknown supplier",IF(COUNTIF(Products!$A$2:$A$101,$C89)=0,"Unknown SKU",IF(COUNTIF(Config!$C$15:$C$34,$H89)=0,"Unsupported status",IF($D89&lt;=0,"Qty must be above 0",IF($G89&lt;$F89,"Expected date before order date",IF($M89&gt;$D89,"Received more than ordered",IF(AND($H89="Received",$M89&lt;$D89),"Status Received but not fully received",IF(AND(IFERROR(INDEX(Config!$D$15:$D$34,MATCH($H89,Config!$C$15:$C$34,0)),"No")="Yes",$M89&gt;=$D89),"Fully received: update status","OK"))))))))))))))))))</f>
        <v/>
      </c>
      <c r="T89" s="52" t="str">
        <f>IF($O89=1,IFERROR(COUNTIFS($O$2:$O$301,1,$G$2:$G$301,"&lt;"&amp;$G89)+COUNTIFS($O$2:$O89,1,$G$2:$G89,$G89),""),"")</f>
        <v/>
      </c>
    </row>
    <row r="90">
      <c r="A90" s="46" t="n"/>
      <c r="B90" s="46" t="n"/>
      <c r="C90" s="46" t="n"/>
      <c r="D90" s="48" t="n"/>
      <c r="E90" s="47" t="n"/>
      <c r="F90" s="54" t="n"/>
      <c r="G90" s="54" t="n"/>
      <c r="H90" s="46" t="n"/>
      <c r="I90" s="46" t="n"/>
      <c r="J90" s="46" t="n"/>
      <c r="K90" s="49" t="str">
        <f>IF($A90="","",IFERROR(INDEX(Suppliers!$B$2:$B$51,MATCH($B90,Suppliers!$A$2:$A$51,0))&amp;"","(not found)"))</f>
        <v/>
      </c>
      <c r="L90" s="49" t="str">
        <f>IF($A90="","",IFERROR(INDEX(Products!$B$2:$B$101,MATCH($C90,Products!$A$2:$A$101,0))&amp;"","(not found)"))</f>
        <v/>
      </c>
      <c r="M90" s="50" t="str">
        <f>IF($A90="","",SUMIFS(Inventory_Ledger!$E$2:$E$2001,Inventory_Ledger!$H$2:$H$2001,$A90,Inventory_Ledger!$C$2:$C$2001,"Receipt",Inventory_Ledger!$D$2:$D$2001,$C90))</f>
        <v/>
      </c>
      <c r="N90" s="50" t="str">
        <f>IF($A90="","",IF(IFERROR(INDEX(Config!$D$15:$D$34,MATCH($H90,Config!$C$15:$C$34,0)),"No")="Yes",MAX(0,IF(ISNUMBER($D90),$D90,0)-$M90),0))</f>
        <v/>
      </c>
      <c r="O90" s="52" t="str">
        <f>IF($A90="","",IF($N90&gt;0,1,0))</f>
        <v/>
      </c>
      <c r="P90" s="52" t="str">
        <f>IF($A90="","",IF(AND($O90=1,ISNUMBER($G90)),IF($G90&lt;Config!$B$4,1,0),0))</f>
        <v/>
      </c>
      <c r="Q90" s="52" t="str">
        <f>IF($A90="","",IF($P90=1,Config!$B$4-$G90,0))</f>
        <v/>
      </c>
      <c r="R90" s="53" t="str">
        <f>IF($A90="","",IF(AND(ISNUMBER($D90),ISNUMBER($E90)),$D90*$E90,""))</f>
        <v/>
      </c>
      <c r="S90" s="49" t="str">
        <f>IF(COUNTA($A90:$J90)=0,"",IF($A90="","Missing: PO ID",IF(COUNTIF($A$2:$A$301,$A90)&gt;1,"Duplicate PO ID",IF($B90="","Missing: supplier",IF($C90="","Missing: SKU",IF(NOT(ISNUMBER($D90)),"Missing: qty",IF(NOT(ISNUMBER($F90)),"Missing: order date",IF(NOT(ISNUMBER($G90)),"Missing: expected date",IF($H90="","Missing: status",IF($I90="","Missing: source link",IF(COUNTIF(Suppliers!$A$2:$A$51,$B90)=0,"Unknown supplier",IF(COUNTIF(Products!$A$2:$A$101,$C90)=0,"Unknown SKU",IF(COUNTIF(Config!$C$15:$C$34,$H90)=0,"Unsupported status",IF($D90&lt;=0,"Qty must be above 0",IF($G90&lt;$F90,"Expected date before order date",IF($M90&gt;$D90,"Received more than ordered",IF(AND($H90="Received",$M90&lt;$D90),"Status Received but not fully received",IF(AND(IFERROR(INDEX(Config!$D$15:$D$34,MATCH($H90,Config!$C$15:$C$34,0)),"No")="Yes",$M90&gt;=$D90),"Fully received: update status","OK"))))))))))))))))))</f>
        <v/>
      </c>
      <c r="T90" s="52" t="str">
        <f>IF($O90=1,IFERROR(COUNTIFS($O$2:$O$301,1,$G$2:$G$301,"&lt;"&amp;$G90)+COUNTIFS($O$2:$O90,1,$G$2:$G90,$G90),""),"")</f>
        <v/>
      </c>
    </row>
    <row r="91">
      <c r="A91" s="46" t="n"/>
      <c r="B91" s="46" t="n"/>
      <c r="C91" s="46" t="n"/>
      <c r="D91" s="48" t="n"/>
      <c r="E91" s="47" t="n"/>
      <c r="F91" s="54" t="n"/>
      <c r="G91" s="54" t="n"/>
      <c r="H91" s="46" t="n"/>
      <c r="I91" s="46" t="n"/>
      <c r="J91" s="46" t="n"/>
      <c r="K91" s="49" t="str">
        <f>IF($A91="","",IFERROR(INDEX(Suppliers!$B$2:$B$51,MATCH($B91,Suppliers!$A$2:$A$51,0))&amp;"","(not found)"))</f>
        <v/>
      </c>
      <c r="L91" s="49" t="str">
        <f>IF($A91="","",IFERROR(INDEX(Products!$B$2:$B$101,MATCH($C91,Products!$A$2:$A$101,0))&amp;"","(not found)"))</f>
        <v/>
      </c>
      <c r="M91" s="50" t="str">
        <f>IF($A91="","",SUMIFS(Inventory_Ledger!$E$2:$E$2001,Inventory_Ledger!$H$2:$H$2001,$A91,Inventory_Ledger!$C$2:$C$2001,"Receipt",Inventory_Ledger!$D$2:$D$2001,$C91))</f>
        <v/>
      </c>
      <c r="N91" s="50" t="str">
        <f>IF($A91="","",IF(IFERROR(INDEX(Config!$D$15:$D$34,MATCH($H91,Config!$C$15:$C$34,0)),"No")="Yes",MAX(0,IF(ISNUMBER($D91),$D91,0)-$M91),0))</f>
        <v/>
      </c>
      <c r="O91" s="52" t="str">
        <f>IF($A91="","",IF($N91&gt;0,1,0))</f>
        <v/>
      </c>
      <c r="P91" s="52" t="str">
        <f>IF($A91="","",IF(AND($O91=1,ISNUMBER($G91)),IF($G91&lt;Config!$B$4,1,0),0))</f>
        <v/>
      </c>
      <c r="Q91" s="52" t="str">
        <f>IF($A91="","",IF($P91=1,Config!$B$4-$G91,0))</f>
        <v/>
      </c>
      <c r="R91" s="53" t="str">
        <f>IF($A91="","",IF(AND(ISNUMBER($D91),ISNUMBER($E91)),$D91*$E91,""))</f>
        <v/>
      </c>
      <c r="S91" s="49" t="str">
        <f>IF(COUNTA($A91:$J91)=0,"",IF($A91="","Missing: PO ID",IF(COUNTIF($A$2:$A$301,$A91)&gt;1,"Duplicate PO ID",IF($B91="","Missing: supplier",IF($C91="","Missing: SKU",IF(NOT(ISNUMBER($D91)),"Missing: qty",IF(NOT(ISNUMBER($F91)),"Missing: order date",IF(NOT(ISNUMBER($G91)),"Missing: expected date",IF($H91="","Missing: status",IF($I91="","Missing: source link",IF(COUNTIF(Suppliers!$A$2:$A$51,$B91)=0,"Unknown supplier",IF(COUNTIF(Products!$A$2:$A$101,$C91)=0,"Unknown SKU",IF(COUNTIF(Config!$C$15:$C$34,$H91)=0,"Unsupported status",IF($D91&lt;=0,"Qty must be above 0",IF($G91&lt;$F91,"Expected date before order date",IF($M91&gt;$D91,"Received more than ordered",IF(AND($H91="Received",$M91&lt;$D91),"Status Received but not fully received",IF(AND(IFERROR(INDEX(Config!$D$15:$D$34,MATCH($H91,Config!$C$15:$C$34,0)),"No")="Yes",$M91&gt;=$D91),"Fully received: update status","OK"))))))))))))))))))</f>
        <v/>
      </c>
      <c r="T91" s="52" t="str">
        <f>IF($O91=1,IFERROR(COUNTIFS($O$2:$O$301,1,$G$2:$G$301,"&lt;"&amp;$G91)+COUNTIFS($O$2:$O91,1,$G$2:$G91,$G91),""),"")</f>
        <v/>
      </c>
    </row>
    <row r="92">
      <c r="A92" s="46" t="n"/>
      <c r="B92" s="46" t="n"/>
      <c r="C92" s="46" t="n"/>
      <c r="D92" s="48" t="n"/>
      <c r="E92" s="47" t="n"/>
      <c r="F92" s="54" t="n"/>
      <c r="G92" s="54" t="n"/>
      <c r="H92" s="46" t="n"/>
      <c r="I92" s="46" t="n"/>
      <c r="J92" s="46" t="n"/>
      <c r="K92" s="49" t="str">
        <f>IF($A92="","",IFERROR(INDEX(Suppliers!$B$2:$B$51,MATCH($B92,Suppliers!$A$2:$A$51,0))&amp;"","(not found)"))</f>
        <v/>
      </c>
      <c r="L92" s="49" t="str">
        <f>IF($A92="","",IFERROR(INDEX(Products!$B$2:$B$101,MATCH($C92,Products!$A$2:$A$101,0))&amp;"","(not found)"))</f>
        <v/>
      </c>
      <c r="M92" s="50" t="str">
        <f>IF($A92="","",SUMIFS(Inventory_Ledger!$E$2:$E$2001,Inventory_Ledger!$H$2:$H$2001,$A92,Inventory_Ledger!$C$2:$C$2001,"Receipt",Inventory_Ledger!$D$2:$D$2001,$C92))</f>
        <v/>
      </c>
      <c r="N92" s="50" t="str">
        <f>IF($A92="","",IF(IFERROR(INDEX(Config!$D$15:$D$34,MATCH($H92,Config!$C$15:$C$34,0)),"No")="Yes",MAX(0,IF(ISNUMBER($D92),$D92,0)-$M92),0))</f>
        <v/>
      </c>
      <c r="O92" s="52" t="str">
        <f>IF($A92="","",IF($N92&gt;0,1,0))</f>
        <v/>
      </c>
      <c r="P92" s="52" t="str">
        <f>IF($A92="","",IF(AND($O92=1,ISNUMBER($G92)),IF($G92&lt;Config!$B$4,1,0),0))</f>
        <v/>
      </c>
      <c r="Q92" s="52" t="str">
        <f>IF($A92="","",IF($P92=1,Config!$B$4-$G92,0))</f>
        <v/>
      </c>
      <c r="R92" s="53" t="str">
        <f>IF($A92="","",IF(AND(ISNUMBER($D92),ISNUMBER($E92)),$D92*$E92,""))</f>
        <v/>
      </c>
      <c r="S92" s="49" t="str">
        <f>IF(COUNTA($A92:$J92)=0,"",IF($A92="","Missing: PO ID",IF(COUNTIF($A$2:$A$301,$A92)&gt;1,"Duplicate PO ID",IF($B92="","Missing: supplier",IF($C92="","Missing: SKU",IF(NOT(ISNUMBER($D92)),"Missing: qty",IF(NOT(ISNUMBER($F92)),"Missing: order date",IF(NOT(ISNUMBER($G92)),"Missing: expected date",IF($H92="","Missing: status",IF($I92="","Missing: source link",IF(COUNTIF(Suppliers!$A$2:$A$51,$B92)=0,"Unknown supplier",IF(COUNTIF(Products!$A$2:$A$101,$C92)=0,"Unknown SKU",IF(COUNTIF(Config!$C$15:$C$34,$H92)=0,"Unsupported status",IF($D92&lt;=0,"Qty must be above 0",IF($G92&lt;$F92,"Expected date before order date",IF($M92&gt;$D92,"Received more than ordered",IF(AND($H92="Received",$M92&lt;$D92),"Status Received but not fully received",IF(AND(IFERROR(INDEX(Config!$D$15:$D$34,MATCH($H92,Config!$C$15:$C$34,0)),"No")="Yes",$M92&gt;=$D92),"Fully received: update status","OK"))))))))))))))))))</f>
        <v/>
      </c>
      <c r="T92" s="52" t="str">
        <f>IF($O92=1,IFERROR(COUNTIFS($O$2:$O$301,1,$G$2:$G$301,"&lt;"&amp;$G92)+COUNTIFS($O$2:$O92,1,$G$2:$G92,$G92),""),"")</f>
        <v/>
      </c>
    </row>
    <row r="93">
      <c r="A93" s="46" t="n"/>
      <c r="B93" s="46" t="n"/>
      <c r="C93" s="46" t="n"/>
      <c r="D93" s="48" t="n"/>
      <c r="E93" s="47" t="n"/>
      <c r="F93" s="54" t="n"/>
      <c r="G93" s="54" t="n"/>
      <c r="H93" s="46" t="n"/>
      <c r="I93" s="46" t="n"/>
      <c r="J93" s="46" t="n"/>
      <c r="K93" s="49" t="str">
        <f>IF($A93="","",IFERROR(INDEX(Suppliers!$B$2:$B$51,MATCH($B93,Suppliers!$A$2:$A$51,0))&amp;"","(not found)"))</f>
        <v/>
      </c>
      <c r="L93" s="49" t="str">
        <f>IF($A93="","",IFERROR(INDEX(Products!$B$2:$B$101,MATCH($C93,Products!$A$2:$A$101,0))&amp;"","(not found)"))</f>
        <v/>
      </c>
      <c r="M93" s="50" t="str">
        <f>IF($A93="","",SUMIFS(Inventory_Ledger!$E$2:$E$2001,Inventory_Ledger!$H$2:$H$2001,$A93,Inventory_Ledger!$C$2:$C$2001,"Receipt",Inventory_Ledger!$D$2:$D$2001,$C93))</f>
        <v/>
      </c>
      <c r="N93" s="50" t="str">
        <f>IF($A93="","",IF(IFERROR(INDEX(Config!$D$15:$D$34,MATCH($H93,Config!$C$15:$C$34,0)),"No")="Yes",MAX(0,IF(ISNUMBER($D93),$D93,0)-$M93),0))</f>
        <v/>
      </c>
      <c r="O93" s="52" t="str">
        <f>IF($A93="","",IF($N93&gt;0,1,0))</f>
        <v/>
      </c>
      <c r="P93" s="52" t="str">
        <f>IF($A93="","",IF(AND($O93=1,ISNUMBER($G93)),IF($G93&lt;Config!$B$4,1,0),0))</f>
        <v/>
      </c>
      <c r="Q93" s="52" t="str">
        <f>IF($A93="","",IF($P93=1,Config!$B$4-$G93,0))</f>
        <v/>
      </c>
      <c r="R93" s="53" t="str">
        <f>IF($A93="","",IF(AND(ISNUMBER($D93),ISNUMBER($E93)),$D93*$E93,""))</f>
        <v/>
      </c>
      <c r="S93" s="49" t="str">
        <f>IF(COUNTA($A93:$J93)=0,"",IF($A93="","Missing: PO ID",IF(COUNTIF($A$2:$A$301,$A93)&gt;1,"Duplicate PO ID",IF($B93="","Missing: supplier",IF($C93="","Missing: SKU",IF(NOT(ISNUMBER($D93)),"Missing: qty",IF(NOT(ISNUMBER($F93)),"Missing: order date",IF(NOT(ISNUMBER($G93)),"Missing: expected date",IF($H93="","Missing: status",IF($I93="","Missing: source link",IF(COUNTIF(Suppliers!$A$2:$A$51,$B93)=0,"Unknown supplier",IF(COUNTIF(Products!$A$2:$A$101,$C93)=0,"Unknown SKU",IF(COUNTIF(Config!$C$15:$C$34,$H93)=0,"Unsupported status",IF($D93&lt;=0,"Qty must be above 0",IF($G93&lt;$F93,"Expected date before order date",IF($M93&gt;$D93,"Received more than ordered",IF(AND($H93="Received",$M93&lt;$D93),"Status Received but not fully received",IF(AND(IFERROR(INDEX(Config!$D$15:$D$34,MATCH($H93,Config!$C$15:$C$34,0)),"No")="Yes",$M93&gt;=$D93),"Fully received: update status","OK"))))))))))))))))))</f>
        <v/>
      </c>
      <c r="T93" s="52" t="str">
        <f>IF($O93=1,IFERROR(COUNTIFS($O$2:$O$301,1,$G$2:$G$301,"&lt;"&amp;$G93)+COUNTIFS($O$2:$O93,1,$G$2:$G93,$G93),""),"")</f>
        <v/>
      </c>
    </row>
    <row r="94">
      <c r="A94" s="46" t="n"/>
      <c r="B94" s="46" t="n"/>
      <c r="C94" s="46" t="n"/>
      <c r="D94" s="48" t="n"/>
      <c r="E94" s="47" t="n"/>
      <c r="F94" s="54" t="n"/>
      <c r="G94" s="54" t="n"/>
      <c r="H94" s="46" t="n"/>
      <c r="I94" s="46" t="n"/>
      <c r="J94" s="46" t="n"/>
      <c r="K94" s="49" t="str">
        <f>IF($A94="","",IFERROR(INDEX(Suppliers!$B$2:$B$51,MATCH($B94,Suppliers!$A$2:$A$51,0))&amp;"","(not found)"))</f>
        <v/>
      </c>
      <c r="L94" s="49" t="str">
        <f>IF($A94="","",IFERROR(INDEX(Products!$B$2:$B$101,MATCH($C94,Products!$A$2:$A$101,0))&amp;"","(not found)"))</f>
        <v/>
      </c>
      <c r="M94" s="50" t="str">
        <f>IF($A94="","",SUMIFS(Inventory_Ledger!$E$2:$E$2001,Inventory_Ledger!$H$2:$H$2001,$A94,Inventory_Ledger!$C$2:$C$2001,"Receipt",Inventory_Ledger!$D$2:$D$2001,$C94))</f>
        <v/>
      </c>
      <c r="N94" s="50" t="str">
        <f>IF($A94="","",IF(IFERROR(INDEX(Config!$D$15:$D$34,MATCH($H94,Config!$C$15:$C$34,0)),"No")="Yes",MAX(0,IF(ISNUMBER($D94),$D94,0)-$M94),0))</f>
        <v/>
      </c>
      <c r="O94" s="52" t="str">
        <f>IF($A94="","",IF($N94&gt;0,1,0))</f>
        <v/>
      </c>
      <c r="P94" s="52" t="str">
        <f>IF($A94="","",IF(AND($O94=1,ISNUMBER($G94)),IF($G94&lt;Config!$B$4,1,0),0))</f>
        <v/>
      </c>
      <c r="Q94" s="52" t="str">
        <f>IF($A94="","",IF($P94=1,Config!$B$4-$G94,0))</f>
        <v/>
      </c>
      <c r="R94" s="53" t="str">
        <f>IF($A94="","",IF(AND(ISNUMBER($D94),ISNUMBER($E94)),$D94*$E94,""))</f>
        <v/>
      </c>
      <c r="S94" s="49" t="str">
        <f>IF(COUNTA($A94:$J94)=0,"",IF($A94="","Missing: PO ID",IF(COUNTIF($A$2:$A$301,$A94)&gt;1,"Duplicate PO ID",IF($B94="","Missing: supplier",IF($C94="","Missing: SKU",IF(NOT(ISNUMBER($D94)),"Missing: qty",IF(NOT(ISNUMBER($F94)),"Missing: order date",IF(NOT(ISNUMBER($G94)),"Missing: expected date",IF($H94="","Missing: status",IF($I94="","Missing: source link",IF(COUNTIF(Suppliers!$A$2:$A$51,$B94)=0,"Unknown supplier",IF(COUNTIF(Products!$A$2:$A$101,$C94)=0,"Unknown SKU",IF(COUNTIF(Config!$C$15:$C$34,$H94)=0,"Unsupported status",IF($D94&lt;=0,"Qty must be above 0",IF($G94&lt;$F94,"Expected date before order date",IF($M94&gt;$D94,"Received more than ordered",IF(AND($H94="Received",$M94&lt;$D94),"Status Received but not fully received",IF(AND(IFERROR(INDEX(Config!$D$15:$D$34,MATCH($H94,Config!$C$15:$C$34,0)),"No")="Yes",$M94&gt;=$D94),"Fully received: update status","OK"))))))))))))))))))</f>
        <v/>
      </c>
      <c r="T94" s="52" t="str">
        <f>IF($O94=1,IFERROR(COUNTIFS($O$2:$O$301,1,$G$2:$G$301,"&lt;"&amp;$G94)+COUNTIFS($O$2:$O94,1,$G$2:$G94,$G94),""),"")</f>
        <v/>
      </c>
    </row>
    <row r="95">
      <c r="A95" s="46" t="n"/>
      <c r="B95" s="46" t="n"/>
      <c r="C95" s="46" t="n"/>
      <c r="D95" s="48" t="n"/>
      <c r="E95" s="47" t="n"/>
      <c r="F95" s="54" t="n"/>
      <c r="G95" s="54" t="n"/>
      <c r="H95" s="46" t="n"/>
      <c r="I95" s="46" t="n"/>
      <c r="J95" s="46" t="n"/>
      <c r="K95" s="49" t="str">
        <f>IF($A95="","",IFERROR(INDEX(Suppliers!$B$2:$B$51,MATCH($B95,Suppliers!$A$2:$A$51,0))&amp;"","(not found)"))</f>
        <v/>
      </c>
      <c r="L95" s="49" t="str">
        <f>IF($A95="","",IFERROR(INDEX(Products!$B$2:$B$101,MATCH($C95,Products!$A$2:$A$101,0))&amp;"","(not found)"))</f>
        <v/>
      </c>
      <c r="M95" s="50" t="str">
        <f>IF($A95="","",SUMIFS(Inventory_Ledger!$E$2:$E$2001,Inventory_Ledger!$H$2:$H$2001,$A95,Inventory_Ledger!$C$2:$C$2001,"Receipt",Inventory_Ledger!$D$2:$D$2001,$C95))</f>
        <v/>
      </c>
      <c r="N95" s="50" t="str">
        <f>IF($A95="","",IF(IFERROR(INDEX(Config!$D$15:$D$34,MATCH($H95,Config!$C$15:$C$34,0)),"No")="Yes",MAX(0,IF(ISNUMBER($D95),$D95,0)-$M95),0))</f>
        <v/>
      </c>
      <c r="O95" s="52" t="str">
        <f>IF($A95="","",IF($N95&gt;0,1,0))</f>
        <v/>
      </c>
      <c r="P95" s="52" t="str">
        <f>IF($A95="","",IF(AND($O95=1,ISNUMBER($G95)),IF($G95&lt;Config!$B$4,1,0),0))</f>
        <v/>
      </c>
      <c r="Q95" s="52" t="str">
        <f>IF($A95="","",IF($P95=1,Config!$B$4-$G95,0))</f>
        <v/>
      </c>
      <c r="R95" s="53" t="str">
        <f>IF($A95="","",IF(AND(ISNUMBER($D95),ISNUMBER($E95)),$D95*$E95,""))</f>
        <v/>
      </c>
      <c r="S95" s="49" t="str">
        <f>IF(COUNTA($A95:$J95)=0,"",IF($A95="","Missing: PO ID",IF(COUNTIF($A$2:$A$301,$A95)&gt;1,"Duplicate PO ID",IF($B95="","Missing: supplier",IF($C95="","Missing: SKU",IF(NOT(ISNUMBER($D95)),"Missing: qty",IF(NOT(ISNUMBER($F95)),"Missing: order date",IF(NOT(ISNUMBER($G95)),"Missing: expected date",IF($H95="","Missing: status",IF($I95="","Missing: source link",IF(COUNTIF(Suppliers!$A$2:$A$51,$B95)=0,"Unknown supplier",IF(COUNTIF(Products!$A$2:$A$101,$C95)=0,"Unknown SKU",IF(COUNTIF(Config!$C$15:$C$34,$H95)=0,"Unsupported status",IF($D95&lt;=0,"Qty must be above 0",IF($G95&lt;$F95,"Expected date before order date",IF($M95&gt;$D95,"Received more than ordered",IF(AND($H95="Received",$M95&lt;$D95),"Status Received but not fully received",IF(AND(IFERROR(INDEX(Config!$D$15:$D$34,MATCH($H95,Config!$C$15:$C$34,0)),"No")="Yes",$M95&gt;=$D95),"Fully received: update status","OK"))))))))))))))))))</f>
        <v/>
      </c>
      <c r="T95" s="52" t="str">
        <f>IF($O95=1,IFERROR(COUNTIFS($O$2:$O$301,1,$G$2:$G$301,"&lt;"&amp;$G95)+COUNTIFS($O$2:$O95,1,$G$2:$G95,$G95),""),"")</f>
        <v/>
      </c>
    </row>
    <row r="96">
      <c r="A96" s="46" t="n"/>
      <c r="B96" s="46" t="n"/>
      <c r="C96" s="46" t="n"/>
      <c r="D96" s="48" t="n"/>
      <c r="E96" s="47" t="n"/>
      <c r="F96" s="54" t="n"/>
      <c r="G96" s="54" t="n"/>
      <c r="H96" s="46" t="n"/>
      <c r="I96" s="46" t="n"/>
      <c r="J96" s="46" t="n"/>
      <c r="K96" s="49" t="str">
        <f>IF($A96="","",IFERROR(INDEX(Suppliers!$B$2:$B$51,MATCH($B96,Suppliers!$A$2:$A$51,0))&amp;"","(not found)"))</f>
        <v/>
      </c>
      <c r="L96" s="49" t="str">
        <f>IF($A96="","",IFERROR(INDEX(Products!$B$2:$B$101,MATCH($C96,Products!$A$2:$A$101,0))&amp;"","(not found)"))</f>
        <v/>
      </c>
      <c r="M96" s="50" t="str">
        <f>IF($A96="","",SUMIFS(Inventory_Ledger!$E$2:$E$2001,Inventory_Ledger!$H$2:$H$2001,$A96,Inventory_Ledger!$C$2:$C$2001,"Receipt",Inventory_Ledger!$D$2:$D$2001,$C96))</f>
        <v/>
      </c>
      <c r="N96" s="50" t="str">
        <f>IF($A96="","",IF(IFERROR(INDEX(Config!$D$15:$D$34,MATCH($H96,Config!$C$15:$C$34,0)),"No")="Yes",MAX(0,IF(ISNUMBER($D96),$D96,0)-$M96),0))</f>
        <v/>
      </c>
      <c r="O96" s="52" t="str">
        <f>IF($A96="","",IF($N96&gt;0,1,0))</f>
        <v/>
      </c>
      <c r="P96" s="52" t="str">
        <f>IF($A96="","",IF(AND($O96=1,ISNUMBER($G96)),IF($G96&lt;Config!$B$4,1,0),0))</f>
        <v/>
      </c>
      <c r="Q96" s="52" t="str">
        <f>IF($A96="","",IF($P96=1,Config!$B$4-$G96,0))</f>
        <v/>
      </c>
      <c r="R96" s="53" t="str">
        <f>IF($A96="","",IF(AND(ISNUMBER($D96),ISNUMBER($E96)),$D96*$E96,""))</f>
        <v/>
      </c>
      <c r="S96" s="49" t="str">
        <f>IF(COUNTA($A96:$J96)=0,"",IF($A96="","Missing: PO ID",IF(COUNTIF($A$2:$A$301,$A96)&gt;1,"Duplicate PO ID",IF($B96="","Missing: supplier",IF($C96="","Missing: SKU",IF(NOT(ISNUMBER($D96)),"Missing: qty",IF(NOT(ISNUMBER($F96)),"Missing: order date",IF(NOT(ISNUMBER($G96)),"Missing: expected date",IF($H96="","Missing: status",IF($I96="","Missing: source link",IF(COUNTIF(Suppliers!$A$2:$A$51,$B96)=0,"Unknown supplier",IF(COUNTIF(Products!$A$2:$A$101,$C96)=0,"Unknown SKU",IF(COUNTIF(Config!$C$15:$C$34,$H96)=0,"Unsupported status",IF($D96&lt;=0,"Qty must be above 0",IF($G96&lt;$F96,"Expected date before order date",IF($M96&gt;$D96,"Received more than ordered",IF(AND($H96="Received",$M96&lt;$D96),"Status Received but not fully received",IF(AND(IFERROR(INDEX(Config!$D$15:$D$34,MATCH($H96,Config!$C$15:$C$34,0)),"No")="Yes",$M96&gt;=$D96),"Fully received: update status","OK"))))))))))))))))))</f>
        <v/>
      </c>
      <c r="T96" s="52" t="str">
        <f>IF($O96=1,IFERROR(COUNTIFS($O$2:$O$301,1,$G$2:$G$301,"&lt;"&amp;$G96)+COUNTIFS($O$2:$O96,1,$G$2:$G96,$G96),""),"")</f>
        <v/>
      </c>
    </row>
    <row r="97">
      <c r="A97" s="46" t="n"/>
      <c r="B97" s="46" t="n"/>
      <c r="C97" s="46" t="n"/>
      <c r="D97" s="48" t="n"/>
      <c r="E97" s="47" t="n"/>
      <c r="F97" s="54" t="n"/>
      <c r="G97" s="54" t="n"/>
      <c r="H97" s="46" t="n"/>
      <c r="I97" s="46" t="n"/>
      <c r="J97" s="46" t="n"/>
      <c r="K97" s="49" t="str">
        <f>IF($A97="","",IFERROR(INDEX(Suppliers!$B$2:$B$51,MATCH($B97,Suppliers!$A$2:$A$51,0))&amp;"","(not found)"))</f>
        <v/>
      </c>
      <c r="L97" s="49" t="str">
        <f>IF($A97="","",IFERROR(INDEX(Products!$B$2:$B$101,MATCH($C97,Products!$A$2:$A$101,0))&amp;"","(not found)"))</f>
        <v/>
      </c>
      <c r="M97" s="50" t="str">
        <f>IF($A97="","",SUMIFS(Inventory_Ledger!$E$2:$E$2001,Inventory_Ledger!$H$2:$H$2001,$A97,Inventory_Ledger!$C$2:$C$2001,"Receipt",Inventory_Ledger!$D$2:$D$2001,$C97))</f>
        <v/>
      </c>
      <c r="N97" s="50" t="str">
        <f>IF($A97="","",IF(IFERROR(INDEX(Config!$D$15:$D$34,MATCH($H97,Config!$C$15:$C$34,0)),"No")="Yes",MAX(0,IF(ISNUMBER($D97),$D97,0)-$M97),0))</f>
        <v/>
      </c>
      <c r="O97" s="52" t="str">
        <f>IF($A97="","",IF($N97&gt;0,1,0))</f>
        <v/>
      </c>
      <c r="P97" s="52" t="str">
        <f>IF($A97="","",IF(AND($O97=1,ISNUMBER($G97)),IF($G97&lt;Config!$B$4,1,0),0))</f>
        <v/>
      </c>
      <c r="Q97" s="52" t="str">
        <f>IF($A97="","",IF($P97=1,Config!$B$4-$G97,0))</f>
        <v/>
      </c>
      <c r="R97" s="53" t="str">
        <f>IF($A97="","",IF(AND(ISNUMBER($D97),ISNUMBER($E97)),$D97*$E97,""))</f>
        <v/>
      </c>
      <c r="S97" s="49" t="str">
        <f>IF(COUNTA($A97:$J97)=0,"",IF($A97="","Missing: PO ID",IF(COUNTIF($A$2:$A$301,$A97)&gt;1,"Duplicate PO ID",IF($B97="","Missing: supplier",IF($C97="","Missing: SKU",IF(NOT(ISNUMBER($D97)),"Missing: qty",IF(NOT(ISNUMBER($F97)),"Missing: order date",IF(NOT(ISNUMBER($G97)),"Missing: expected date",IF($H97="","Missing: status",IF($I97="","Missing: source link",IF(COUNTIF(Suppliers!$A$2:$A$51,$B97)=0,"Unknown supplier",IF(COUNTIF(Products!$A$2:$A$101,$C97)=0,"Unknown SKU",IF(COUNTIF(Config!$C$15:$C$34,$H97)=0,"Unsupported status",IF($D97&lt;=0,"Qty must be above 0",IF($G97&lt;$F97,"Expected date before order date",IF($M97&gt;$D97,"Received more than ordered",IF(AND($H97="Received",$M97&lt;$D97),"Status Received but not fully received",IF(AND(IFERROR(INDEX(Config!$D$15:$D$34,MATCH($H97,Config!$C$15:$C$34,0)),"No")="Yes",$M97&gt;=$D97),"Fully received: update status","OK"))))))))))))))))))</f>
        <v/>
      </c>
      <c r="T97" s="52" t="str">
        <f>IF($O97=1,IFERROR(COUNTIFS($O$2:$O$301,1,$G$2:$G$301,"&lt;"&amp;$G97)+COUNTIFS($O$2:$O97,1,$G$2:$G97,$G97),""),"")</f>
        <v/>
      </c>
    </row>
    <row r="98">
      <c r="A98" s="46" t="n"/>
      <c r="B98" s="46" t="n"/>
      <c r="C98" s="46" t="n"/>
      <c r="D98" s="48" t="n"/>
      <c r="E98" s="47" t="n"/>
      <c r="F98" s="54" t="n"/>
      <c r="G98" s="54" t="n"/>
      <c r="H98" s="46" t="n"/>
      <c r="I98" s="46" t="n"/>
      <c r="J98" s="46" t="n"/>
      <c r="K98" s="49" t="str">
        <f>IF($A98="","",IFERROR(INDEX(Suppliers!$B$2:$B$51,MATCH($B98,Suppliers!$A$2:$A$51,0))&amp;"","(not found)"))</f>
        <v/>
      </c>
      <c r="L98" s="49" t="str">
        <f>IF($A98="","",IFERROR(INDEX(Products!$B$2:$B$101,MATCH($C98,Products!$A$2:$A$101,0))&amp;"","(not found)"))</f>
        <v/>
      </c>
      <c r="M98" s="50" t="str">
        <f>IF($A98="","",SUMIFS(Inventory_Ledger!$E$2:$E$2001,Inventory_Ledger!$H$2:$H$2001,$A98,Inventory_Ledger!$C$2:$C$2001,"Receipt",Inventory_Ledger!$D$2:$D$2001,$C98))</f>
        <v/>
      </c>
      <c r="N98" s="50" t="str">
        <f>IF($A98="","",IF(IFERROR(INDEX(Config!$D$15:$D$34,MATCH($H98,Config!$C$15:$C$34,0)),"No")="Yes",MAX(0,IF(ISNUMBER($D98),$D98,0)-$M98),0))</f>
        <v/>
      </c>
      <c r="O98" s="52" t="str">
        <f>IF($A98="","",IF($N98&gt;0,1,0))</f>
        <v/>
      </c>
      <c r="P98" s="52" t="str">
        <f>IF($A98="","",IF(AND($O98=1,ISNUMBER($G98)),IF($G98&lt;Config!$B$4,1,0),0))</f>
        <v/>
      </c>
      <c r="Q98" s="52" t="str">
        <f>IF($A98="","",IF($P98=1,Config!$B$4-$G98,0))</f>
        <v/>
      </c>
      <c r="R98" s="53" t="str">
        <f>IF($A98="","",IF(AND(ISNUMBER($D98),ISNUMBER($E98)),$D98*$E98,""))</f>
        <v/>
      </c>
      <c r="S98" s="49" t="str">
        <f>IF(COUNTA($A98:$J98)=0,"",IF($A98="","Missing: PO ID",IF(COUNTIF($A$2:$A$301,$A98)&gt;1,"Duplicate PO ID",IF($B98="","Missing: supplier",IF($C98="","Missing: SKU",IF(NOT(ISNUMBER($D98)),"Missing: qty",IF(NOT(ISNUMBER($F98)),"Missing: order date",IF(NOT(ISNUMBER($G98)),"Missing: expected date",IF($H98="","Missing: status",IF($I98="","Missing: source link",IF(COUNTIF(Suppliers!$A$2:$A$51,$B98)=0,"Unknown supplier",IF(COUNTIF(Products!$A$2:$A$101,$C98)=0,"Unknown SKU",IF(COUNTIF(Config!$C$15:$C$34,$H98)=0,"Unsupported status",IF($D98&lt;=0,"Qty must be above 0",IF($G98&lt;$F98,"Expected date before order date",IF($M98&gt;$D98,"Received more than ordered",IF(AND($H98="Received",$M98&lt;$D98),"Status Received but not fully received",IF(AND(IFERROR(INDEX(Config!$D$15:$D$34,MATCH($H98,Config!$C$15:$C$34,0)),"No")="Yes",$M98&gt;=$D98),"Fully received: update status","OK"))))))))))))))))))</f>
        <v/>
      </c>
      <c r="T98" s="52" t="str">
        <f>IF($O98=1,IFERROR(COUNTIFS($O$2:$O$301,1,$G$2:$G$301,"&lt;"&amp;$G98)+COUNTIFS($O$2:$O98,1,$G$2:$G98,$G98),""),"")</f>
        <v/>
      </c>
    </row>
    <row r="99">
      <c r="A99" s="46" t="n"/>
      <c r="B99" s="46" t="n"/>
      <c r="C99" s="46" t="n"/>
      <c r="D99" s="48" t="n"/>
      <c r="E99" s="47" t="n"/>
      <c r="F99" s="54" t="n"/>
      <c r="G99" s="54" t="n"/>
      <c r="H99" s="46" t="n"/>
      <c r="I99" s="46" t="n"/>
      <c r="J99" s="46" t="n"/>
      <c r="K99" s="49" t="str">
        <f>IF($A99="","",IFERROR(INDEX(Suppliers!$B$2:$B$51,MATCH($B99,Suppliers!$A$2:$A$51,0))&amp;"","(not found)"))</f>
        <v/>
      </c>
      <c r="L99" s="49" t="str">
        <f>IF($A99="","",IFERROR(INDEX(Products!$B$2:$B$101,MATCH($C99,Products!$A$2:$A$101,0))&amp;"","(not found)"))</f>
        <v/>
      </c>
      <c r="M99" s="50" t="str">
        <f>IF($A99="","",SUMIFS(Inventory_Ledger!$E$2:$E$2001,Inventory_Ledger!$H$2:$H$2001,$A99,Inventory_Ledger!$C$2:$C$2001,"Receipt",Inventory_Ledger!$D$2:$D$2001,$C99))</f>
        <v/>
      </c>
      <c r="N99" s="50" t="str">
        <f>IF($A99="","",IF(IFERROR(INDEX(Config!$D$15:$D$34,MATCH($H99,Config!$C$15:$C$34,0)),"No")="Yes",MAX(0,IF(ISNUMBER($D99),$D99,0)-$M99),0))</f>
        <v/>
      </c>
      <c r="O99" s="52" t="str">
        <f>IF($A99="","",IF($N99&gt;0,1,0))</f>
        <v/>
      </c>
      <c r="P99" s="52" t="str">
        <f>IF($A99="","",IF(AND($O99=1,ISNUMBER($G99)),IF($G99&lt;Config!$B$4,1,0),0))</f>
        <v/>
      </c>
      <c r="Q99" s="52" t="str">
        <f>IF($A99="","",IF($P99=1,Config!$B$4-$G99,0))</f>
        <v/>
      </c>
      <c r="R99" s="53" t="str">
        <f>IF($A99="","",IF(AND(ISNUMBER($D99),ISNUMBER($E99)),$D99*$E99,""))</f>
        <v/>
      </c>
      <c r="S99" s="49" t="str">
        <f>IF(COUNTA($A99:$J99)=0,"",IF($A99="","Missing: PO ID",IF(COUNTIF($A$2:$A$301,$A99)&gt;1,"Duplicate PO ID",IF($B99="","Missing: supplier",IF($C99="","Missing: SKU",IF(NOT(ISNUMBER($D99)),"Missing: qty",IF(NOT(ISNUMBER($F99)),"Missing: order date",IF(NOT(ISNUMBER($G99)),"Missing: expected date",IF($H99="","Missing: status",IF($I99="","Missing: source link",IF(COUNTIF(Suppliers!$A$2:$A$51,$B99)=0,"Unknown supplier",IF(COUNTIF(Products!$A$2:$A$101,$C99)=0,"Unknown SKU",IF(COUNTIF(Config!$C$15:$C$34,$H99)=0,"Unsupported status",IF($D99&lt;=0,"Qty must be above 0",IF($G99&lt;$F99,"Expected date before order date",IF($M99&gt;$D99,"Received more than ordered",IF(AND($H99="Received",$M99&lt;$D99),"Status Received but not fully received",IF(AND(IFERROR(INDEX(Config!$D$15:$D$34,MATCH($H99,Config!$C$15:$C$34,0)),"No")="Yes",$M99&gt;=$D99),"Fully received: update status","OK"))))))))))))))))))</f>
        <v/>
      </c>
      <c r="T99" s="52" t="str">
        <f>IF($O99=1,IFERROR(COUNTIFS($O$2:$O$301,1,$G$2:$G$301,"&lt;"&amp;$G99)+COUNTIFS($O$2:$O99,1,$G$2:$G99,$G99),""),"")</f>
        <v/>
      </c>
    </row>
    <row r="100">
      <c r="A100" s="46" t="n"/>
      <c r="B100" s="46" t="n"/>
      <c r="C100" s="46" t="n"/>
      <c r="D100" s="48" t="n"/>
      <c r="E100" s="47" t="n"/>
      <c r="F100" s="54" t="n"/>
      <c r="G100" s="54" t="n"/>
      <c r="H100" s="46" t="n"/>
      <c r="I100" s="46" t="n"/>
      <c r="J100" s="46" t="n"/>
      <c r="K100" s="49" t="str">
        <f>IF($A100="","",IFERROR(INDEX(Suppliers!$B$2:$B$51,MATCH($B100,Suppliers!$A$2:$A$51,0))&amp;"","(not found)"))</f>
        <v/>
      </c>
      <c r="L100" s="49" t="str">
        <f>IF($A100="","",IFERROR(INDEX(Products!$B$2:$B$101,MATCH($C100,Products!$A$2:$A$101,0))&amp;"","(not found)"))</f>
        <v/>
      </c>
      <c r="M100" s="50" t="str">
        <f>IF($A100="","",SUMIFS(Inventory_Ledger!$E$2:$E$2001,Inventory_Ledger!$H$2:$H$2001,$A100,Inventory_Ledger!$C$2:$C$2001,"Receipt",Inventory_Ledger!$D$2:$D$2001,$C100))</f>
        <v/>
      </c>
      <c r="N100" s="50" t="str">
        <f>IF($A100="","",IF(IFERROR(INDEX(Config!$D$15:$D$34,MATCH($H100,Config!$C$15:$C$34,0)),"No")="Yes",MAX(0,IF(ISNUMBER($D100),$D100,0)-$M100),0))</f>
        <v/>
      </c>
      <c r="O100" s="52" t="str">
        <f>IF($A100="","",IF($N100&gt;0,1,0))</f>
        <v/>
      </c>
      <c r="P100" s="52" t="str">
        <f>IF($A100="","",IF(AND($O100=1,ISNUMBER($G100)),IF($G100&lt;Config!$B$4,1,0),0))</f>
        <v/>
      </c>
      <c r="Q100" s="52" t="str">
        <f>IF($A100="","",IF($P100=1,Config!$B$4-$G100,0))</f>
        <v/>
      </c>
      <c r="R100" s="53" t="str">
        <f>IF($A100="","",IF(AND(ISNUMBER($D100),ISNUMBER($E100)),$D100*$E100,""))</f>
        <v/>
      </c>
      <c r="S100" s="49" t="str">
        <f>IF(COUNTA($A100:$J100)=0,"",IF($A100="","Missing: PO ID",IF(COUNTIF($A$2:$A$301,$A100)&gt;1,"Duplicate PO ID",IF($B100="","Missing: supplier",IF($C100="","Missing: SKU",IF(NOT(ISNUMBER($D100)),"Missing: qty",IF(NOT(ISNUMBER($F100)),"Missing: order date",IF(NOT(ISNUMBER($G100)),"Missing: expected date",IF($H100="","Missing: status",IF($I100="","Missing: source link",IF(COUNTIF(Suppliers!$A$2:$A$51,$B100)=0,"Unknown supplier",IF(COUNTIF(Products!$A$2:$A$101,$C100)=0,"Unknown SKU",IF(COUNTIF(Config!$C$15:$C$34,$H100)=0,"Unsupported status",IF($D100&lt;=0,"Qty must be above 0",IF($G100&lt;$F100,"Expected date before order date",IF($M100&gt;$D100,"Received more than ordered",IF(AND($H100="Received",$M100&lt;$D100),"Status Received but not fully received",IF(AND(IFERROR(INDEX(Config!$D$15:$D$34,MATCH($H100,Config!$C$15:$C$34,0)),"No")="Yes",$M100&gt;=$D100),"Fully received: update status","OK"))))))))))))))))))</f>
        <v/>
      </c>
      <c r="T100" s="52" t="str">
        <f>IF($O100=1,IFERROR(COUNTIFS($O$2:$O$301,1,$G$2:$G$301,"&lt;"&amp;$G100)+COUNTIFS($O$2:$O100,1,$G$2:$G100,$G100),""),"")</f>
        <v/>
      </c>
    </row>
    <row r="101">
      <c r="A101" s="46" t="n"/>
      <c r="B101" s="46" t="n"/>
      <c r="C101" s="46" t="n"/>
      <c r="D101" s="48" t="n"/>
      <c r="E101" s="47" t="n"/>
      <c r="F101" s="54" t="n"/>
      <c r="G101" s="54" t="n"/>
      <c r="H101" s="46" t="n"/>
      <c r="I101" s="46" t="n"/>
      <c r="J101" s="46" t="n"/>
      <c r="K101" s="49" t="str">
        <f>IF($A101="","",IFERROR(INDEX(Suppliers!$B$2:$B$51,MATCH($B101,Suppliers!$A$2:$A$51,0))&amp;"","(not found)"))</f>
        <v/>
      </c>
      <c r="L101" s="49" t="str">
        <f>IF($A101="","",IFERROR(INDEX(Products!$B$2:$B$101,MATCH($C101,Products!$A$2:$A$101,0))&amp;"","(not found)"))</f>
        <v/>
      </c>
      <c r="M101" s="50" t="str">
        <f>IF($A101="","",SUMIFS(Inventory_Ledger!$E$2:$E$2001,Inventory_Ledger!$H$2:$H$2001,$A101,Inventory_Ledger!$C$2:$C$2001,"Receipt",Inventory_Ledger!$D$2:$D$2001,$C101))</f>
        <v/>
      </c>
      <c r="N101" s="50" t="str">
        <f>IF($A101="","",IF(IFERROR(INDEX(Config!$D$15:$D$34,MATCH($H101,Config!$C$15:$C$34,0)),"No")="Yes",MAX(0,IF(ISNUMBER($D101),$D101,0)-$M101),0))</f>
        <v/>
      </c>
      <c r="O101" s="52" t="str">
        <f>IF($A101="","",IF($N101&gt;0,1,0))</f>
        <v/>
      </c>
      <c r="P101" s="52" t="str">
        <f>IF($A101="","",IF(AND($O101=1,ISNUMBER($G101)),IF($G101&lt;Config!$B$4,1,0),0))</f>
        <v/>
      </c>
      <c r="Q101" s="52" t="str">
        <f>IF($A101="","",IF($P101=1,Config!$B$4-$G101,0))</f>
        <v/>
      </c>
      <c r="R101" s="53" t="str">
        <f>IF($A101="","",IF(AND(ISNUMBER($D101),ISNUMBER($E101)),$D101*$E101,""))</f>
        <v/>
      </c>
      <c r="S101" s="49" t="str">
        <f>IF(COUNTA($A101:$J101)=0,"",IF($A101="","Missing: PO ID",IF(COUNTIF($A$2:$A$301,$A101)&gt;1,"Duplicate PO ID",IF($B101="","Missing: supplier",IF($C101="","Missing: SKU",IF(NOT(ISNUMBER($D101)),"Missing: qty",IF(NOT(ISNUMBER($F101)),"Missing: order date",IF(NOT(ISNUMBER($G101)),"Missing: expected date",IF($H101="","Missing: status",IF($I101="","Missing: source link",IF(COUNTIF(Suppliers!$A$2:$A$51,$B101)=0,"Unknown supplier",IF(COUNTIF(Products!$A$2:$A$101,$C101)=0,"Unknown SKU",IF(COUNTIF(Config!$C$15:$C$34,$H101)=0,"Unsupported status",IF($D101&lt;=0,"Qty must be above 0",IF($G101&lt;$F101,"Expected date before order date",IF($M101&gt;$D101,"Received more than ordered",IF(AND($H101="Received",$M101&lt;$D101),"Status Received but not fully received",IF(AND(IFERROR(INDEX(Config!$D$15:$D$34,MATCH($H101,Config!$C$15:$C$34,0)),"No")="Yes",$M101&gt;=$D101),"Fully received: update status","OK"))))))))))))))))))</f>
        <v/>
      </c>
      <c r="T101" s="52" t="str">
        <f>IF($O101=1,IFERROR(COUNTIFS($O$2:$O$301,1,$G$2:$G$301,"&lt;"&amp;$G101)+COUNTIFS($O$2:$O101,1,$G$2:$G101,$G101),""),"")</f>
        <v/>
      </c>
    </row>
    <row r="102">
      <c r="A102" s="46" t="n"/>
      <c r="B102" s="46" t="n"/>
      <c r="C102" s="46" t="n"/>
      <c r="D102" s="48" t="n"/>
      <c r="E102" s="47" t="n"/>
      <c r="F102" s="54" t="n"/>
      <c r="G102" s="54" t="n"/>
      <c r="H102" s="46" t="n"/>
      <c r="I102" s="46" t="n"/>
      <c r="J102" s="46" t="n"/>
      <c r="K102" s="49" t="str">
        <f>IF($A102="","",IFERROR(INDEX(Suppliers!$B$2:$B$51,MATCH($B102,Suppliers!$A$2:$A$51,0))&amp;"","(not found)"))</f>
        <v/>
      </c>
      <c r="L102" s="49" t="str">
        <f>IF($A102="","",IFERROR(INDEX(Products!$B$2:$B$101,MATCH($C102,Products!$A$2:$A$101,0))&amp;"","(not found)"))</f>
        <v/>
      </c>
      <c r="M102" s="50" t="str">
        <f>IF($A102="","",SUMIFS(Inventory_Ledger!$E$2:$E$2001,Inventory_Ledger!$H$2:$H$2001,$A102,Inventory_Ledger!$C$2:$C$2001,"Receipt",Inventory_Ledger!$D$2:$D$2001,$C102))</f>
        <v/>
      </c>
      <c r="N102" s="50" t="str">
        <f>IF($A102="","",IF(IFERROR(INDEX(Config!$D$15:$D$34,MATCH($H102,Config!$C$15:$C$34,0)),"No")="Yes",MAX(0,IF(ISNUMBER($D102),$D102,0)-$M102),0))</f>
        <v/>
      </c>
      <c r="O102" s="52" t="str">
        <f>IF($A102="","",IF($N102&gt;0,1,0))</f>
        <v/>
      </c>
      <c r="P102" s="52" t="str">
        <f>IF($A102="","",IF(AND($O102=1,ISNUMBER($G102)),IF($G102&lt;Config!$B$4,1,0),0))</f>
        <v/>
      </c>
      <c r="Q102" s="52" t="str">
        <f>IF($A102="","",IF($P102=1,Config!$B$4-$G102,0))</f>
        <v/>
      </c>
      <c r="R102" s="53" t="str">
        <f>IF($A102="","",IF(AND(ISNUMBER($D102),ISNUMBER($E102)),$D102*$E102,""))</f>
        <v/>
      </c>
      <c r="S102" s="49" t="str">
        <f>IF(COUNTA($A102:$J102)=0,"",IF($A102="","Missing: PO ID",IF(COUNTIF($A$2:$A$301,$A102)&gt;1,"Duplicate PO ID",IF($B102="","Missing: supplier",IF($C102="","Missing: SKU",IF(NOT(ISNUMBER($D102)),"Missing: qty",IF(NOT(ISNUMBER($F102)),"Missing: order date",IF(NOT(ISNUMBER($G102)),"Missing: expected date",IF($H102="","Missing: status",IF($I102="","Missing: source link",IF(COUNTIF(Suppliers!$A$2:$A$51,$B102)=0,"Unknown supplier",IF(COUNTIF(Products!$A$2:$A$101,$C102)=0,"Unknown SKU",IF(COUNTIF(Config!$C$15:$C$34,$H102)=0,"Unsupported status",IF($D102&lt;=0,"Qty must be above 0",IF($G102&lt;$F102,"Expected date before order date",IF($M102&gt;$D102,"Received more than ordered",IF(AND($H102="Received",$M102&lt;$D102),"Status Received but not fully received",IF(AND(IFERROR(INDEX(Config!$D$15:$D$34,MATCH($H102,Config!$C$15:$C$34,0)),"No")="Yes",$M102&gt;=$D102),"Fully received: update status","OK"))))))))))))))))))</f>
        <v/>
      </c>
      <c r="T102" s="52" t="str">
        <f>IF($O102=1,IFERROR(COUNTIFS($O$2:$O$301,1,$G$2:$G$301,"&lt;"&amp;$G102)+COUNTIFS($O$2:$O102,1,$G$2:$G102,$G102),""),"")</f>
        <v/>
      </c>
    </row>
    <row r="103">
      <c r="A103" s="46" t="n"/>
      <c r="B103" s="46" t="n"/>
      <c r="C103" s="46" t="n"/>
      <c r="D103" s="48" t="n"/>
      <c r="E103" s="47" t="n"/>
      <c r="F103" s="54" t="n"/>
      <c r="G103" s="54" t="n"/>
      <c r="H103" s="46" t="n"/>
      <c r="I103" s="46" t="n"/>
      <c r="J103" s="46" t="n"/>
      <c r="K103" s="49" t="str">
        <f>IF($A103="","",IFERROR(INDEX(Suppliers!$B$2:$B$51,MATCH($B103,Suppliers!$A$2:$A$51,0))&amp;"","(not found)"))</f>
        <v/>
      </c>
      <c r="L103" s="49" t="str">
        <f>IF($A103="","",IFERROR(INDEX(Products!$B$2:$B$101,MATCH($C103,Products!$A$2:$A$101,0))&amp;"","(not found)"))</f>
        <v/>
      </c>
      <c r="M103" s="50" t="str">
        <f>IF($A103="","",SUMIFS(Inventory_Ledger!$E$2:$E$2001,Inventory_Ledger!$H$2:$H$2001,$A103,Inventory_Ledger!$C$2:$C$2001,"Receipt",Inventory_Ledger!$D$2:$D$2001,$C103))</f>
        <v/>
      </c>
      <c r="N103" s="50" t="str">
        <f>IF($A103="","",IF(IFERROR(INDEX(Config!$D$15:$D$34,MATCH($H103,Config!$C$15:$C$34,0)),"No")="Yes",MAX(0,IF(ISNUMBER($D103),$D103,0)-$M103),0))</f>
        <v/>
      </c>
      <c r="O103" s="52" t="str">
        <f>IF($A103="","",IF($N103&gt;0,1,0))</f>
        <v/>
      </c>
      <c r="P103" s="52" t="str">
        <f>IF($A103="","",IF(AND($O103=1,ISNUMBER($G103)),IF($G103&lt;Config!$B$4,1,0),0))</f>
        <v/>
      </c>
      <c r="Q103" s="52" t="str">
        <f>IF($A103="","",IF($P103=1,Config!$B$4-$G103,0))</f>
        <v/>
      </c>
      <c r="R103" s="53" t="str">
        <f>IF($A103="","",IF(AND(ISNUMBER($D103),ISNUMBER($E103)),$D103*$E103,""))</f>
        <v/>
      </c>
      <c r="S103" s="49" t="str">
        <f>IF(COUNTA($A103:$J103)=0,"",IF($A103="","Missing: PO ID",IF(COUNTIF($A$2:$A$301,$A103)&gt;1,"Duplicate PO ID",IF($B103="","Missing: supplier",IF($C103="","Missing: SKU",IF(NOT(ISNUMBER($D103)),"Missing: qty",IF(NOT(ISNUMBER($F103)),"Missing: order date",IF(NOT(ISNUMBER($G103)),"Missing: expected date",IF($H103="","Missing: status",IF($I103="","Missing: source link",IF(COUNTIF(Suppliers!$A$2:$A$51,$B103)=0,"Unknown supplier",IF(COUNTIF(Products!$A$2:$A$101,$C103)=0,"Unknown SKU",IF(COUNTIF(Config!$C$15:$C$34,$H103)=0,"Unsupported status",IF($D103&lt;=0,"Qty must be above 0",IF($G103&lt;$F103,"Expected date before order date",IF($M103&gt;$D103,"Received more than ordered",IF(AND($H103="Received",$M103&lt;$D103),"Status Received but not fully received",IF(AND(IFERROR(INDEX(Config!$D$15:$D$34,MATCH($H103,Config!$C$15:$C$34,0)),"No")="Yes",$M103&gt;=$D103),"Fully received: update status","OK"))))))))))))))))))</f>
        <v/>
      </c>
      <c r="T103" s="52" t="str">
        <f>IF($O103=1,IFERROR(COUNTIFS($O$2:$O$301,1,$G$2:$G$301,"&lt;"&amp;$G103)+COUNTIFS($O$2:$O103,1,$G$2:$G103,$G103),""),"")</f>
        <v/>
      </c>
    </row>
    <row r="104">
      <c r="A104" s="46" t="n"/>
      <c r="B104" s="46" t="n"/>
      <c r="C104" s="46" t="n"/>
      <c r="D104" s="48" t="n"/>
      <c r="E104" s="47" t="n"/>
      <c r="F104" s="54" t="n"/>
      <c r="G104" s="54" t="n"/>
      <c r="H104" s="46" t="n"/>
      <c r="I104" s="46" t="n"/>
      <c r="J104" s="46" t="n"/>
      <c r="K104" s="49" t="str">
        <f>IF($A104="","",IFERROR(INDEX(Suppliers!$B$2:$B$51,MATCH($B104,Suppliers!$A$2:$A$51,0))&amp;"","(not found)"))</f>
        <v/>
      </c>
      <c r="L104" s="49" t="str">
        <f>IF($A104="","",IFERROR(INDEX(Products!$B$2:$B$101,MATCH($C104,Products!$A$2:$A$101,0))&amp;"","(not found)"))</f>
        <v/>
      </c>
      <c r="M104" s="50" t="str">
        <f>IF($A104="","",SUMIFS(Inventory_Ledger!$E$2:$E$2001,Inventory_Ledger!$H$2:$H$2001,$A104,Inventory_Ledger!$C$2:$C$2001,"Receipt",Inventory_Ledger!$D$2:$D$2001,$C104))</f>
        <v/>
      </c>
      <c r="N104" s="50" t="str">
        <f>IF($A104="","",IF(IFERROR(INDEX(Config!$D$15:$D$34,MATCH($H104,Config!$C$15:$C$34,0)),"No")="Yes",MAX(0,IF(ISNUMBER($D104),$D104,0)-$M104),0))</f>
        <v/>
      </c>
      <c r="O104" s="52" t="str">
        <f>IF($A104="","",IF($N104&gt;0,1,0))</f>
        <v/>
      </c>
      <c r="P104" s="52" t="str">
        <f>IF($A104="","",IF(AND($O104=1,ISNUMBER($G104)),IF($G104&lt;Config!$B$4,1,0),0))</f>
        <v/>
      </c>
      <c r="Q104" s="52" t="str">
        <f>IF($A104="","",IF($P104=1,Config!$B$4-$G104,0))</f>
        <v/>
      </c>
      <c r="R104" s="53" t="str">
        <f>IF($A104="","",IF(AND(ISNUMBER($D104),ISNUMBER($E104)),$D104*$E104,""))</f>
        <v/>
      </c>
      <c r="S104" s="49" t="str">
        <f>IF(COUNTA($A104:$J104)=0,"",IF($A104="","Missing: PO ID",IF(COUNTIF($A$2:$A$301,$A104)&gt;1,"Duplicate PO ID",IF($B104="","Missing: supplier",IF($C104="","Missing: SKU",IF(NOT(ISNUMBER($D104)),"Missing: qty",IF(NOT(ISNUMBER($F104)),"Missing: order date",IF(NOT(ISNUMBER($G104)),"Missing: expected date",IF($H104="","Missing: status",IF($I104="","Missing: source link",IF(COUNTIF(Suppliers!$A$2:$A$51,$B104)=0,"Unknown supplier",IF(COUNTIF(Products!$A$2:$A$101,$C104)=0,"Unknown SKU",IF(COUNTIF(Config!$C$15:$C$34,$H104)=0,"Unsupported status",IF($D104&lt;=0,"Qty must be above 0",IF($G104&lt;$F104,"Expected date before order date",IF($M104&gt;$D104,"Received more than ordered",IF(AND($H104="Received",$M104&lt;$D104),"Status Received but not fully received",IF(AND(IFERROR(INDEX(Config!$D$15:$D$34,MATCH($H104,Config!$C$15:$C$34,0)),"No")="Yes",$M104&gt;=$D104),"Fully received: update status","OK"))))))))))))))))))</f>
        <v/>
      </c>
      <c r="T104" s="52" t="str">
        <f>IF($O104=1,IFERROR(COUNTIFS($O$2:$O$301,1,$G$2:$G$301,"&lt;"&amp;$G104)+COUNTIFS($O$2:$O104,1,$G$2:$G104,$G104),""),"")</f>
        <v/>
      </c>
    </row>
    <row r="105">
      <c r="A105" s="46" t="n"/>
      <c r="B105" s="46" t="n"/>
      <c r="C105" s="46" t="n"/>
      <c r="D105" s="48" t="n"/>
      <c r="E105" s="47" t="n"/>
      <c r="F105" s="54" t="n"/>
      <c r="G105" s="54" t="n"/>
      <c r="H105" s="46" t="n"/>
      <c r="I105" s="46" t="n"/>
      <c r="J105" s="46" t="n"/>
      <c r="K105" s="49" t="str">
        <f>IF($A105="","",IFERROR(INDEX(Suppliers!$B$2:$B$51,MATCH($B105,Suppliers!$A$2:$A$51,0))&amp;"","(not found)"))</f>
        <v/>
      </c>
      <c r="L105" s="49" t="str">
        <f>IF($A105="","",IFERROR(INDEX(Products!$B$2:$B$101,MATCH($C105,Products!$A$2:$A$101,0))&amp;"","(not found)"))</f>
        <v/>
      </c>
      <c r="M105" s="50" t="str">
        <f>IF($A105="","",SUMIFS(Inventory_Ledger!$E$2:$E$2001,Inventory_Ledger!$H$2:$H$2001,$A105,Inventory_Ledger!$C$2:$C$2001,"Receipt",Inventory_Ledger!$D$2:$D$2001,$C105))</f>
        <v/>
      </c>
      <c r="N105" s="50" t="str">
        <f>IF($A105="","",IF(IFERROR(INDEX(Config!$D$15:$D$34,MATCH($H105,Config!$C$15:$C$34,0)),"No")="Yes",MAX(0,IF(ISNUMBER($D105),$D105,0)-$M105),0))</f>
        <v/>
      </c>
      <c r="O105" s="52" t="str">
        <f>IF($A105="","",IF($N105&gt;0,1,0))</f>
        <v/>
      </c>
      <c r="P105" s="52" t="str">
        <f>IF($A105="","",IF(AND($O105=1,ISNUMBER($G105)),IF($G105&lt;Config!$B$4,1,0),0))</f>
        <v/>
      </c>
      <c r="Q105" s="52" t="str">
        <f>IF($A105="","",IF($P105=1,Config!$B$4-$G105,0))</f>
        <v/>
      </c>
      <c r="R105" s="53" t="str">
        <f>IF($A105="","",IF(AND(ISNUMBER($D105),ISNUMBER($E105)),$D105*$E105,""))</f>
        <v/>
      </c>
      <c r="S105" s="49" t="str">
        <f>IF(COUNTA($A105:$J105)=0,"",IF($A105="","Missing: PO ID",IF(COUNTIF($A$2:$A$301,$A105)&gt;1,"Duplicate PO ID",IF($B105="","Missing: supplier",IF($C105="","Missing: SKU",IF(NOT(ISNUMBER($D105)),"Missing: qty",IF(NOT(ISNUMBER($F105)),"Missing: order date",IF(NOT(ISNUMBER($G105)),"Missing: expected date",IF($H105="","Missing: status",IF($I105="","Missing: source link",IF(COUNTIF(Suppliers!$A$2:$A$51,$B105)=0,"Unknown supplier",IF(COUNTIF(Products!$A$2:$A$101,$C105)=0,"Unknown SKU",IF(COUNTIF(Config!$C$15:$C$34,$H105)=0,"Unsupported status",IF($D105&lt;=0,"Qty must be above 0",IF($G105&lt;$F105,"Expected date before order date",IF($M105&gt;$D105,"Received more than ordered",IF(AND($H105="Received",$M105&lt;$D105),"Status Received but not fully received",IF(AND(IFERROR(INDEX(Config!$D$15:$D$34,MATCH($H105,Config!$C$15:$C$34,0)),"No")="Yes",$M105&gt;=$D105),"Fully received: update status","OK"))))))))))))))))))</f>
        <v/>
      </c>
      <c r="T105" s="52" t="str">
        <f>IF($O105=1,IFERROR(COUNTIFS($O$2:$O$301,1,$G$2:$G$301,"&lt;"&amp;$G105)+COUNTIFS($O$2:$O105,1,$G$2:$G105,$G105),""),"")</f>
        <v/>
      </c>
    </row>
    <row r="106">
      <c r="A106" s="46" t="n"/>
      <c r="B106" s="46" t="n"/>
      <c r="C106" s="46" t="n"/>
      <c r="D106" s="48" t="n"/>
      <c r="E106" s="47" t="n"/>
      <c r="F106" s="54" t="n"/>
      <c r="G106" s="54" t="n"/>
      <c r="H106" s="46" t="n"/>
      <c r="I106" s="46" t="n"/>
      <c r="J106" s="46" t="n"/>
      <c r="K106" s="49" t="str">
        <f>IF($A106="","",IFERROR(INDEX(Suppliers!$B$2:$B$51,MATCH($B106,Suppliers!$A$2:$A$51,0))&amp;"","(not found)"))</f>
        <v/>
      </c>
      <c r="L106" s="49" t="str">
        <f>IF($A106="","",IFERROR(INDEX(Products!$B$2:$B$101,MATCH($C106,Products!$A$2:$A$101,0))&amp;"","(not found)"))</f>
        <v/>
      </c>
      <c r="M106" s="50" t="str">
        <f>IF($A106="","",SUMIFS(Inventory_Ledger!$E$2:$E$2001,Inventory_Ledger!$H$2:$H$2001,$A106,Inventory_Ledger!$C$2:$C$2001,"Receipt",Inventory_Ledger!$D$2:$D$2001,$C106))</f>
        <v/>
      </c>
      <c r="N106" s="50" t="str">
        <f>IF($A106="","",IF(IFERROR(INDEX(Config!$D$15:$D$34,MATCH($H106,Config!$C$15:$C$34,0)),"No")="Yes",MAX(0,IF(ISNUMBER($D106),$D106,0)-$M106),0))</f>
        <v/>
      </c>
      <c r="O106" s="52" t="str">
        <f>IF($A106="","",IF($N106&gt;0,1,0))</f>
        <v/>
      </c>
      <c r="P106" s="52" t="str">
        <f>IF($A106="","",IF(AND($O106=1,ISNUMBER($G106)),IF($G106&lt;Config!$B$4,1,0),0))</f>
        <v/>
      </c>
      <c r="Q106" s="52" t="str">
        <f>IF($A106="","",IF($P106=1,Config!$B$4-$G106,0))</f>
        <v/>
      </c>
      <c r="R106" s="53" t="str">
        <f>IF($A106="","",IF(AND(ISNUMBER($D106),ISNUMBER($E106)),$D106*$E106,""))</f>
        <v/>
      </c>
      <c r="S106" s="49" t="str">
        <f>IF(COUNTA($A106:$J106)=0,"",IF($A106="","Missing: PO ID",IF(COUNTIF($A$2:$A$301,$A106)&gt;1,"Duplicate PO ID",IF($B106="","Missing: supplier",IF($C106="","Missing: SKU",IF(NOT(ISNUMBER($D106)),"Missing: qty",IF(NOT(ISNUMBER($F106)),"Missing: order date",IF(NOT(ISNUMBER($G106)),"Missing: expected date",IF($H106="","Missing: status",IF($I106="","Missing: source link",IF(COUNTIF(Suppliers!$A$2:$A$51,$B106)=0,"Unknown supplier",IF(COUNTIF(Products!$A$2:$A$101,$C106)=0,"Unknown SKU",IF(COUNTIF(Config!$C$15:$C$34,$H106)=0,"Unsupported status",IF($D106&lt;=0,"Qty must be above 0",IF($G106&lt;$F106,"Expected date before order date",IF($M106&gt;$D106,"Received more than ordered",IF(AND($H106="Received",$M106&lt;$D106),"Status Received but not fully received",IF(AND(IFERROR(INDEX(Config!$D$15:$D$34,MATCH($H106,Config!$C$15:$C$34,0)),"No")="Yes",$M106&gt;=$D106),"Fully received: update status","OK"))))))))))))))))))</f>
        <v/>
      </c>
      <c r="T106" s="52" t="str">
        <f>IF($O106=1,IFERROR(COUNTIFS($O$2:$O$301,1,$G$2:$G$301,"&lt;"&amp;$G106)+COUNTIFS($O$2:$O106,1,$G$2:$G106,$G106),""),"")</f>
        <v/>
      </c>
    </row>
    <row r="107">
      <c r="A107" s="46" t="n"/>
      <c r="B107" s="46" t="n"/>
      <c r="C107" s="46" t="n"/>
      <c r="D107" s="48" t="n"/>
      <c r="E107" s="47" t="n"/>
      <c r="F107" s="54" t="n"/>
      <c r="G107" s="54" t="n"/>
      <c r="H107" s="46" t="n"/>
      <c r="I107" s="46" t="n"/>
      <c r="J107" s="46" t="n"/>
      <c r="K107" s="49" t="str">
        <f>IF($A107="","",IFERROR(INDEX(Suppliers!$B$2:$B$51,MATCH($B107,Suppliers!$A$2:$A$51,0))&amp;"","(not found)"))</f>
        <v/>
      </c>
      <c r="L107" s="49" t="str">
        <f>IF($A107="","",IFERROR(INDEX(Products!$B$2:$B$101,MATCH($C107,Products!$A$2:$A$101,0))&amp;"","(not found)"))</f>
        <v/>
      </c>
      <c r="M107" s="50" t="str">
        <f>IF($A107="","",SUMIFS(Inventory_Ledger!$E$2:$E$2001,Inventory_Ledger!$H$2:$H$2001,$A107,Inventory_Ledger!$C$2:$C$2001,"Receipt",Inventory_Ledger!$D$2:$D$2001,$C107))</f>
        <v/>
      </c>
      <c r="N107" s="50" t="str">
        <f>IF($A107="","",IF(IFERROR(INDEX(Config!$D$15:$D$34,MATCH($H107,Config!$C$15:$C$34,0)),"No")="Yes",MAX(0,IF(ISNUMBER($D107),$D107,0)-$M107),0))</f>
        <v/>
      </c>
      <c r="O107" s="52" t="str">
        <f>IF($A107="","",IF($N107&gt;0,1,0))</f>
        <v/>
      </c>
      <c r="P107" s="52" t="str">
        <f>IF($A107="","",IF(AND($O107=1,ISNUMBER($G107)),IF($G107&lt;Config!$B$4,1,0),0))</f>
        <v/>
      </c>
      <c r="Q107" s="52" t="str">
        <f>IF($A107="","",IF($P107=1,Config!$B$4-$G107,0))</f>
        <v/>
      </c>
      <c r="R107" s="53" t="str">
        <f>IF($A107="","",IF(AND(ISNUMBER($D107),ISNUMBER($E107)),$D107*$E107,""))</f>
        <v/>
      </c>
      <c r="S107" s="49" t="str">
        <f>IF(COUNTA($A107:$J107)=0,"",IF($A107="","Missing: PO ID",IF(COUNTIF($A$2:$A$301,$A107)&gt;1,"Duplicate PO ID",IF($B107="","Missing: supplier",IF($C107="","Missing: SKU",IF(NOT(ISNUMBER($D107)),"Missing: qty",IF(NOT(ISNUMBER($F107)),"Missing: order date",IF(NOT(ISNUMBER($G107)),"Missing: expected date",IF($H107="","Missing: status",IF($I107="","Missing: source link",IF(COUNTIF(Suppliers!$A$2:$A$51,$B107)=0,"Unknown supplier",IF(COUNTIF(Products!$A$2:$A$101,$C107)=0,"Unknown SKU",IF(COUNTIF(Config!$C$15:$C$34,$H107)=0,"Unsupported status",IF($D107&lt;=0,"Qty must be above 0",IF($G107&lt;$F107,"Expected date before order date",IF($M107&gt;$D107,"Received more than ordered",IF(AND($H107="Received",$M107&lt;$D107),"Status Received but not fully received",IF(AND(IFERROR(INDEX(Config!$D$15:$D$34,MATCH($H107,Config!$C$15:$C$34,0)),"No")="Yes",$M107&gt;=$D107),"Fully received: update status","OK"))))))))))))))))))</f>
        <v/>
      </c>
      <c r="T107" s="52" t="str">
        <f>IF($O107=1,IFERROR(COUNTIFS($O$2:$O$301,1,$G$2:$G$301,"&lt;"&amp;$G107)+COUNTIFS($O$2:$O107,1,$G$2:$G107,$G107),""),"")</f>
        <v/>
      </c>
    </row>
    <row r="108">
      <c r="A108" s="46" t="n"/>
      <c r="B108" s="46" t="n"/>
      <c r="C108" s="46" t="n"/>
      <c r="D108" s="48" t="n"/>
      <c r="E108" s="47" t="n"/>
      <c r="F108" s="54" t="n"/>
      <c r="G108" s="54" t="n"/>
      <c r="H108" s="46" t="n"/>
      <c r="I108" s="46" t="n"/>
      <c r="J108" s="46" t="n"/>
      <c r="K108" s="49" t="str">
        <f>IF($A108="","",IFERROR(INDEX(Suppliers!$B$2:$B$51,MATCH($B108,Suppliers!$A$2:$A$51,0))&amp;"","(not found)"))</f>
        <v/>
      </c>
      <c r="L108" s="49" t="str">
        <f>IF($A108="","",IFERROR(INDEX(Products!$B$2:$B$101,MATCH($C108,Products!$A$2:$A$101,0))&amp;"","(not found)"))</f>
        <v/>
      </c>
      <c r="M108" s="50" t="str">
        <f>IF($A108="","",SUMIFS(Inventory_Ledger!$E$2:$E$2001,Inventory_Ledger!$H$2:$H$2001,$A108,Inventory_Ledger!$C$2:$C$2001,"Receipt",Inventory_Ledger!$D$2:$D$2001,$C108))</f>
        <v/>
      </c>
      <c r="N108" s="50" t="str">
        <f>IF($A108="","",IF(IFERROR(INDEX(Config!$D$15:$D$34,MATCH($H108,Config!$C$15:$C$34,0)),"No")="Yes",MAX(0,IF(ISNUMBER($D108),$D108,0)-$M108),0))</f>
        <v/>
      </c>
      <c r="O108" s="52" t="str">
        <f>IF($A108="","",IF($N108&gt;0,1,0))</f>
        <v/>
      </c>
      <c r="P108" s="52" t="str">
        <f>IF($A108="","",IF(AND($O108=1,ISNUMBER($G108)),IF($G108&lt;Config!$B$4,1,0),0))</f>
        <v/>
      </c>
      <c r="Q108" s="52" t="str">
        <f>IF($A108="","",IF($P108=1,Config!$B$4-$G108,0))</f>
        <v/>
      </c>
      <c r="R108" s="53" t="str">
        <f>IF($A108="","",IF(AND(ISNUMBER($D108),ISNUMBER($E108)),$D108*$E108,""))</f>
        <v/>
      </c>
      <c r="S108" s="49" t="str">
        <f>IF(COUNTA($A108:$J108)=0,"",IF($A108="","Missing: PO ID",IF(COUNTIF($A$2:$A$301,$A108)&gt;1,"Duplicate PO ID",IF($B108="","Missing: supplier",IF($C108="","Missing: SKU",IF(NOT(ISNUMBER($D108)),"Missing: qty",IF(NOT(ISNUMBER($F108)),"Missing: order date",IF(NOT(ISNUMBER($G108)),"Missing: expected date",IF($H108="","Missing: status",IF($I108="","Missing: source link",IF(COUNTIF(Suppliers!$A$2:$A$51,$B108)=0,"Unknown supplier",IF(COUNTIF(Products!$A$2:$A$101,$C108)=0,"Unknown SKU",IF(COUNTIF(Config!$C$15:$C$34,$H108)=0,"Unsupported status",IF($D108&lt;=0,"Qty must be above 0",IF($G108&lt;$F108,"Expected date before order date",IF($M108&gt;$D108,"Received more than ordered",IF(AND($H108="Received",$M108&lt;$D108),"Status Received but not fully received",IF(AND(IFERROR(INDEX(Config!$D$15:$D$34,MATCH($H108,Config!$C$15:$C$34,0)),"No")="Yes",$M108&gt;=$D108),"Fully received: update status","OK"))))))))))))))))))</f>
        <v/>
      </c>
      <c r="T108" s="52" t="str">
        <f>IF($O108=1,IFERROR(COUNTIFS($O$2:$O$301,1,$G$2:$G$301,"&lt;"&amp;$G108)+COUNTIFS($O$2:$O108,1,$G$2:$G108,$G108),""),"")</f>
        <v/>
      </c>
    </row>
    <row r="109">
      <c r="A109" s="46" t="n"/>
      <c r="B109" s="46" t="n"/>
      <c r="C109" s="46" t="n"/>
      <c r="D109" s="48" t="n"/>
      <c r="E109" s="47" t="n"/>
      <c r="F109" s="54" t="n"/>
      <c r="G109" s="54" t="n"/>
      <c r="H109" s="46" t="n"/>
      <c r="I109" s="46" t="n"/>
      <c r="J109" s="46" t="n"/>
      <c r="K109" s="49" t="str">
        <f>IF($A109="","",IFERROR(INDEX(Suppliers!$B$2:$B$51,MATCH($B109,Suppliers!$A$2:$A$51,0))&amp;"","(not found)"))</f>
        <v/>
      </c>
      <c r="L109" s="49" t="str">
        <f>IF($A109="","",IFERROR(INDEX(Products!$B$2:$B$101,MATCH($C109,Products!$A$2:$A$101,0))&amp;"","(not found)"))</f>
        <v/>
      </c>
      <c r="M109" s="50" t="str">
        <f>IF($A109="","",SUMIFS(Inventory_Ledger!$E$2:$E$2001,Inventory_Ledger!$H$2:$H$2001,$A109,Inventory_Ledger!$C$2:$C$2001,"Receipt",Inventory_Ledger!$D$2:$D$2001,$C109))</f>
        <v/>
      </c>
      <c r="N109" s="50" t="str">
        <f>IF($A109="","",IF(IFERROR(INDEX(Config!$D$15:$D$34,MATCH($H109,Config!$C$15:$C$34,0)),"No")="Yes",MAX(0,IF(ISNUMBER($D109),$D109,0)-$M109),0))</f>
        <v/>
      </c>
      <c r="O109" s="52" t="str">
        <f>IF($A109="","",IF($N109&gt;0,1,0))</f>
        <v/>
      </c>
      <c r="P109" s="52" t="str">
        <f>IF($A109="","",IF(AND($O109=1,ISNUMBER($G109)),IF($G109&lt;Config!$B$4,1,0),0))</f>
        <v/>
      </c>
      <c r="Q109" s="52" t="str">
        <f>IF($A109="","",IF($P109=1,Config!$B$4-$G109,0))</f>
        <v/>
      </c>
      <c r="R109" s="53" t="str">
        <f>IF($A109="","",IF(AND(ISNUMBER($D109),ISNUMBER($E109)),$D109*$E109,""))</f>
        <v/>
      </c>
      <c r="S109" s="49" t="str">
        <f>IF(COUNTA($A109:$J109)=0,"",IF($A109="","Missing: PO ID",IF(COUNTIF($A$2:$A$301,$A109)&gt;1,"Duplicate PO ID",IF($B109="","Missing: supplier",IF($C109="","Missing: SKU",IF(NOT(ISNUMBER($D109)),"Missing: qty",IF(NOT(ISNUMBER($F109)),"Missing: order date",IF(NOT(ISNUMBER($G109)),"Missing: expected date",IF($H109="","Missing: status",IF($I109="","Missing: source link",IF(COUNTIF(Suppliers!$A$2:$A$51,$B109)=0,"Unknown supplier",IF(COUNTIF(Products!$A$2:$A$101,$C109)=0,"Unknown SKU",IF(COUNTIF(Config!$C$15:$C$34,$H109)=0,"Unsupported status",IF($D109&lt;=0,"Qty must be above 0",IF($G109&lt;$F109,"Expected date before order date",IF($M109&gt;$D109,"Received more than ordered",IF(AND($H109="Received",$M109&lt;$D109),"Status Received but not fully received",IF(AND(IFERROR(INDEX(Config!$D$15:$D$34,MATCH($H109,Config!$C$15:$C$34,0)),"No")="Yes",$M109&gt;=$D109),"Fully received: update status","OK"))))))))))))))))))</f>
        <v/>
      </c>
      <c r="T109" s="52" t="str">
        <f>IF($O109=1,IFERROR(COUNTIFS($O$2:$O$301,1,$G$2:$G$301,"&lt;"&amp;$G109)+COUNTIFS($O$2:$O109,1,$G$2:$G109,$G109),""),"")</f>
        <v/>
      </c>
    </row>
    <row r="110">
      <c r="A110" s="46" t="n"/>
      <c r="B110" s="46" t="n"/>
      <c r="C110" s="46" t="n"/>
      <c r="D110" s="48" t="n"/>
      <c r="E110" s="47" t="n"/>
      <c r="F110" s="54" t="n"/>
      <c r="G110" s="54" t="n"/>
      <c r="H110" s="46" t="n"/>
      <c r="I110" s="46" t="n"/>
      <c r="J110" s="46" t="n"/>
      <c r="K110" s="49" t="str">
        <f>IF($A110="","",IFERROR(INDEX(Suppliers!$B$2:$B$51,MATCH($B110,Suppliers!$A$2:$A$51,0))&amp;"","(not found)"))</f>
        <v/>
      </c>
      <c r="L110" s="49" t="str">
        <f>IF($A110="","",IFERROR(INDEX(Products!$B$2:$B$101,MATCH($C110,Products!$A$2:$A$101,0))&amp;"","(not found)"))</f>
        <v/>
      </c>
      <c r="M110" s="50" t="str">
        <f>IF($A110="","",SUMIFS(Inventory_Ledger!$E$2:$E$2001,Inventory_Ledger!$H$2:$H$2001,$A110,Inventory_Ledger!$C$2:$C$2001,"Receipt",Inventory_Ledger!$D$2:$D$2001,$C110))</f>
        <v/>
      </c>
      <c r="N110" s="50" t="str">
        <f>IF($A110="","",IF(IFERROR(INDEX(Config!$D$15:$D$34,MATCH($H110,Config!$C$15:$C$34,0)),"No")="Yes",MAX(0,IF(ISNUMBER($D110),$D110,0)-$M110),0))</f>
        <v/>
      </c>
      <c r="O110" s="52" t="str">
        <f>IF($A110="","",IF($N110&gt;0,1,0))</f>
        <v/>
      </c>
      <c r="P110" s="52" t="str">
        <f>IF($A110="","",IF(AND($O110=1,ISNUMBER($G110)),IF($G110&lt;Config!$B$4,1,0),0))</f>
        <v/>
      </c>
      <c r="Q110" s="52" t="str">
        <f>IF($A110="","",IF($P110=1,Config!$B$4-$G110,0))</f>
        <v/>
      </c>
      <c r="R110" s="53" t="str">
        <f>IF($A110="","",IF(AND(ISNUMBER($D110),ISNUMBER($E110)),$D110*$E110,""))</f>
        <v/>
      </c>
      <c r="S110" s="49" t="str">
        <f>IF(COUNTA($A110:$J110)=0,"",IF($A110="","Missing: PO ID",IF(COUNTIF($A$2:$A$301,$A110)&gt;1,"Duplicate PO ID",IF($B110="","Missing: supplier",IF($C110="","Missing: SKU",IF(NOT(ISNUMBER($D110)),"Missing: qty",IF(NOT(ISNUMBER($F110)),"Missing: order date",IF(NOT(ISNUMBER($G110)),"Missing: expected date",IF($H110="","Missing: status",IF($I110="","Missing: source link",IF(COUNTIF(Suppliers!$A$2:$A$51,$B110)=0,"Unknown supplier",IF(COUNTIF(Products!$A$2:$A$101,$C110)=0,"Unknown SKU",IF(COUNTIF(Config!$C$15:$C$34,$H110)=0,"Unsupported status",IF($D110&lt;=0,"Qty must be above 0",IF($G110&lt;$F110,"Expected date before order date",IF($M110&gt;$D110,"Received more than ordered",IF(AND($H110="Received",$M110&lt;$D110),"Status Received but not fully received",IF(AND(IFERROR(INDEX(Config!$D$15:$D$34,MATCH($H110,Config!$C$15:$C$34,0)),"No")="Yes",$M110&gt;=$D110),"Fully received: update status","OK"))))))))))))))))))</f>
        <v/>
      </c>
      <c r="T110" s="52" t="str">
        <f>IF($O110=1,IFERROR(COUNTIFS($O$2:$O$301,1,$G$2:$G$301,"&lt;"&amp;$G110)+COUNTIFS($O$2:$O110,1,$G$2:$G110,$G110),""),"")</f>
        <v/>
      </c>
    </row>
    <row r="111">
      <c r="A111" s="46" t="n"/>
      <c r="B111" s="46" t="n"/>
      <c r="C111" s="46" t="n"/>
      <c r="D111" s="48" t="n"/>
      <c r="E111" s="47" t="n"/>
      <c r="F111" s="54" t="n"/>
      <c r="G111" s="54" t="n"/>
      <c r="H111" s="46" t="n"/>
      <c r="I111" s="46" t="n"/>
      <c r="J111" s="46" t="n"/>
      <c r="K111" s="49" t="str">
        <f>IF($A111="","",IFERROR(INDEX(Suppliers!$B$2:$B$51,MATCH($B111,Suppliers!$A$2:$A$51,0))&amp;"","(not found)"))</f>
        <v/>
      </c>
      <c r="L111" s="49" t="str">
        <f>IF($A111="","",IFERROR(INDEX(Products!$B$2:$B$101,MATCH($C111,Products!$A$2:$A$101,0))&amp;"","(not found)"))</f>
        <v/>
      </c>
      <c r="M111" s="50" t="str">
        <f>IF($A111="","",SUMIFS(Inventory_Ledger!$E$2:$E$2001,Inventory_Ledger!$H$2:$H$2001,$A111,Inventory_Ledger!$C$2:$C$2001,"Receipt",Inventory_Ledger!$D$2:$D$2001,$C111))</f>
        <v/>
      </c>
      <c r="N111" s="50" t="str">
        <f>IF($A111="","",IF(IFERROR(INDEX(Config!$D$15:$D$34,MATCH($H111,Config!$C$15:$C$34,0)),"No")="Yes",MAX(0,IF(ISNUMBER($D111),$D111,0)-$M111),0))</f>
        <v/>
      </c>
      <c r="O111" s="52" t="str">
        <f>IF($A111="","",IF($N111&gt;0,1,0))</f>
        <v/>
      </c>
      <c r="P111" s="52" t="str">
        <f>IF($A111="","",IF(AND($O111=1,ISNUMBER($G111)),IF($G111&lt;Config!$B$4,1,0),0))</f>
        <v/>
      </c>
      <c r="Q111" s="52" t="str">
        <f>IF($A111="","",IF($P111=1,Config!$B$4-$G111,0))</f>
        <v/>
      </c>
      <c r="R111" s="53" t="str">
        <f>IF($A111="","",IF(AND(ISNUMBER($D111),ISNUMBER($E111)),$D111*$E111,""))</f>
        <v/>
      </c>
      <c r="S111" s="49" t="str">
        <f>IF(COUNTA($A111:$J111)=0,"",IF($A111="","Missing: PO ID",IF(COUNTIF($A$2:$A$301,$A111)&gt;1,"Duplicate PO ID",IF($B111="","Missing: supplier",IF($C111="","Missing: SKU",IF(NOT(ISNUMBER($D111)),"Missing: qty",IF(NOT(ISNUMBER($F111)),"Missing: order date",IF(NOT(ISNUMBER($G111)),"Missing: expected date",IF($H111="","Missing: status",IF($I111="","Missing: source link",IF(COUNTIF(Suppliers!$A$2:$A$51,$B111)=0,"Unknown supplier",IF(COUNTIF(Products!$A$2:$A$101,$C111)=0,"Unknown SKU",IF(COUNTIF(Config!$C$15:$C$34,$H111)=0,"Unsupported status",IF($D111&lt;=0,"Qty must be above 0",IF($G111&lt;$F111,"Expected date before order date",IF($M111&gt;$D111,"Received more than ordered",IF(AND($H111="Received",$M111&lt;$D111),"Status Received but not fully received",IF(AND(IFERROR(INDEX(Config!$D$15:$D$34,MATCH($H111,Config!$C$15:$C$34,0)),"No")="Yes",$M111&gt;=$D111),"Fully received: update status","OK"))))))))))))))))))</f>
        <v/>
      </c>
      <c r="T111" s="52" t="str">
        <f>IF($O111=1,IFERROR(COUNTIFS($O$2:$O$301,1,$G$2:$G$301,"&lt;"&amp;$G111)+COUNTIFS($O$2:$O111,1,$G$2:$G111,$G111),""),"")</f>
        <v/>
      </c>
    </row>
    <row r="112">
      <c r="A112" s="46" t="n"/>
      <c r="B112" s="46" t="n"/>
      <c r="C112" s="46" t="n"/>
      <c r="D112" s="48" t="n"/>
      <c r="E112" s="47" t="n"/>
      <c r="F112" s="54" t="n"/>
      <c r="G112" s="54" t="n"/>
      <c r="H112" s="46" t="n"/>
      <c r="I112" s="46" t="n"/>
      <c r="J112" s="46" t="n"/>
      <c r="K112" s="49" t="str">
        <f>IF($A112="","",IFERROR(INDEX(Suppliers!$B$2:$B$51,MATCH($B112,Suppliers!$A$2:$A$51,0))&amp;"","(not found)"))</f>
        <v/>
      </c>
      <c r="L112" s="49" t="str">
        <f>IF($A112="","",IFERROR(INDEX(Products!$B$2:$B$101,MATCH($C112,Products!$A$2:$A$101,0))&amp;"","(not found)"))</f>
        <v/>
      </c>
      <c r="M112" s="50" t="str">
        <f>IF($A112="","",SUMIFS(Inventory_Ledger!$E$2:$E$2001,Inventory_Ledger!$H$2:$H$2001,$A112,Inventory_Ledger!$C$2:$C$2001,"Receipt",Inventory_Ledger!$D$2:$D$2001,$C112))</f>
        <v/>
      </c>
      <c r="N112" s="50" t="str">
        <f>IF($A112="","",IF(IFERROR(INDEX(Config!$D$15:$D$34,MATCH($H112,Config!$C$15:$C$34,0)),"No")="Yes",MAX(0,IF(ISNUMBER($D112),$D112,0)-$M112),0))</f>
        <v/>
      </c>
      <c r="O112" s="52" t="str">
        <f>IF($A112="","",IF($N112&gt;0,1,0))</f>
        <v/>
      </c>
      <c r="P112" s="52" t="str">
        <f>IF($A112="","",IF(AND($O112=1,ISNUMBER($G112)),IF($G112&lt;Config!$B$4,1,0),0))</f>
        <v/>
      </c>
      <c r="Q112" s="52" t="str">
        <f>IF($A112="","",IF($P112=1,Config!$B$4-$G112,0))</f>
        <v/>
      </c>
      <c r="R112" s="53" t="str">
        <f>IF($A112="","",IF(AND(ISNUMBER($D112),ISNUMBER($E112)),$D112*$E112,""))</f>
        <v/>
      </c>
      <c r="S112" s="49" t="str">
        <f>IF(COUNTA($A112:$J112)=0,"",IF($A112="","Missing: PO ID",IF(COUNTIF($A$2:$A$301,$A112)&gt;1,"Duplicate PO ID",IF($B112="","Missing: supplier",IF($C112="","Missing: SKU",IF(NOT(ISNUMBER($D112)),"Missing: qty",IF(NOT(ISNUMBER($F112)),"Missing: order date",IF(NOT(ISNUMBER($G112)),"Missing: expected date",IF($H112="","Missing: status",IF($I112="","Missing: source link",IF(COUNTIF(Suppliers!$A$2:$A$51,$B112)=0,"Unknown supplier",IF(COUNTIF(Products!$A$2:$A$101,$C112)=0,"Unknown SKU",IF(COUNTIF(Config!$C$15:$C$34,$H112)=0,"Unsupported status",IF($D112&lt;=0,"Qty must be above 0",IF($G112&lt;$F112,"Expected date before order date",IF($M112&gt;$D112,"Received more than ordered",IF(AND($H112="Received",$M112&lt;$D112),"Status Received but not fully received",IF(AND(IFERROR(INDEX(Config!$D$15:$D$34,MATCH($H112,Config!$C$15:$C$34,0)),"No")="Yes",$M112&gt;=$D112),"Fully received: update status","OK"))))))))))))))))))</f>
        <v/>
      </c>
      <c r="T112" s="52" t="str">
        <f>IF($O112=1,IFERROR(COUNTIFS($O$2:$O$301,1,$G$2:$G$301,"&lt;"&amp;$G112)+COUNTIFS($O$2:$O112,1,$G$2:$G112,$G112),""),"")</f>
        <v/>
      </c>
    </row>
    <row r="113">
      <c r="A113" s="46" t="n"/>
      <c r="B113" s="46" t="n"/>
      <c r="C113" s="46" t="n"/>
      <c r="D113" s="48" t="n"/>
      <c r="E113" s="47" t="n"/>
      <c r="F113" s="54" t="n"/>
      <c r="G113" s="54" t="n"/>
      <c r="H113" s="46" t="n"/>
      <c r="I113" s="46" t="n"/>
      <c r="J113" s="46" t="n"/>
      <c r="K113" s="49" t="str">
        <f>IF($A113="","",IFERROR(INDEX(Suppliers!$B$2:$B$51,MATCH($B113,Suppliers!$A$2:$A$51,0))&amp;"","(not found)"))</f>
        <v/>
      </c>
      <c r="L113" s="49" t="str">
        <f>IF($A113="","",IFERROR(INDEX(Products!$B$2:$B$101,MATCH($C113,Products!$A$2:$A$101,0))&amp;"","(not found)"))</f>
        <v/>
      </c>
      <c r="M113" s="50" t="str">
        <f>IF($A113="","",SUMIFS(Inventory_Ledger!$E$2:$E$2001,Inventory_Ledger!$H$2:$H$2001,$A113,Inventory_Ledger!$C$2:$C$2001,"Receipt",Inventory_Ledger!$D$2:$D$2001,$C113))</f>
        <v/>
      </c>
      <c r="N113" s="50" t="str">
        <f>IF($A113="","",IF(IFERROR(INDEX(Config!$D$15:$D$34,MATCH($H113,Config!$C$15:$C$34,0)),"No")="Yes",MAX(0,IF(ISNUMBER($D113),$D113,0)-$M113),0))</f>
        <v/>
      </c>
      <c r="O113" s="52" t="str">
        <f>IF($A113="","",IF($N113&gt;0,1,0))</f>
        <v/>
      </c>
      <c r="P113" s="52" t="str">
        <f>IF($A113="","",IF(AND($O113=1,ISNUMBER($G113)),IF($G113&lt;Config!$B$4,1,0),0))</f>
        <v/>
      </c>
      <c r="Q113" s="52" t="str">
        <f>IF($A113="","",IF($P113=1,Config!$B$4-$G113,0))</f>
        <v/>
      </c>
      <c r="R113" s="53" t="str">
        <f>IF($A113="","",IF(AND(ISNUMBER($D113),ISNUMBER($E113)),$D113*$E113,""))</f>
        <v/>
      </c>
      <c r="S113" s="49" t="str">
        <f>IF(COUNTA($A113:$J113)=0,"",IF($A113="","Missing: PO ID",IF(COUNTIF($A$2:$A$301,$A113)&gt;1,"Duplicate PO ID",IF($B113="","Missing: supplier",IF($C113="","Missing: SKU",IF(NOT(ISNUMBER($D113)),"Missing: qty",IF(NOT(ISNUMBER($F113)),"Missing: order date",IF(NOT(ISNUMBER($G113)),"Missing: expected date",IF($H113="","Missing: status",IF($I113="","Missing: source link",IF(COUNTIF(Suppliers!$A$2:$A$51,$B113)=0,"Unknown supplier",IF(COUNTIF(Products!$A$2:$A$101,$C113)=0,"Unknown SKU",IF(COUNTIF(Config!$C$15:$C$34,$H113)=0,"Unsupported status",IF($D113&lt;=0,"Qty must be above 0",IF($G113&lt;$F113,"Expected date before order date",IF($M113&gt;$D113,"Received more than ordered",IF(AND($H113="Received",$M113&lt;$D113),"Status Received but not fully received",IF(AND(IFERROR(INDEX(Config!$D$15:$D$34,MATCH($H113,Config!$C$15:$C$34,0)),"No")="Yes",$M113&gt;=$D113),"Fully received: update status","OK"))))))))))))))))))</f>
        <v/>
      </c>
      <c r="T113" s="52" t="str">
        <f>IF($O113=1,IFERROR(COUNTIFS($O$2:$O$301,1,$G$2:$G$301,"&lt;"&amp;$G113)+COUNTIFS($O$2:$O113,1,$G$2:$G113,$G113),""),"")</f>
        <v/>
      </c>
    </row>
    <row r="114">
      <c r="A114" s="46" t="n"/>
      <c r="B114" s="46" t="n"/>
      <c r="C114" s="46" t="n"/>
      <c r="D114" s="48" t="n"/>
      <c r="E114" s="47" t="n"/>
      <c r="F114" s="54" t="n"/>
      <c r="G114" s="54" t="n"/>
      <c r="H114" s="46" t="n"/>
      <c r="I114" s="46" t="n"/>
      <c r="J114" s="46" t="n"/>
      <c r="K114" s="49" t="str">
        <f>IF($A114="","",IFERROR(INDEX(Suppliers!$B$2:$B$51,MATCH($B114,Suppliers!$A$2:$A$51,0))&amp;"","(not found)"))</f>
        <v/>
      </c>
      <c r="L114" s="49" t="str">
        <f>IF($A114="","",IFERROR(INDEX(Products!$B$2:$B$101,MATCH($C114,Products!$A$2:$A$101,0))&amp;"","(not found)"))</f>
        <v/>
      </c>
      <c r="M114" s="50" t="str">
        <f>IF($A114="","",SUMIFS(Inventory_Ledger!$E$2:$E$2001,Inventory_Ledger!$H$2:$H$2001,$A114,Inventory_Ledger!$C$2:$C$2001,"Receipt",Inventory_Ledger!$D$2:$D$2001,$C114))</f>
        <v/>
      </c>
      <c r="N114" s="50" t="str">
        <f>IF($A114="","",IF(IFERROR(INDEX(Config!$D$15:$D$34,MATCH($H114,Config!$C$15:$C$34,0)),"No")="Yes",MAX(0,IF(ISNUMBER($D114),$D114,0)-$M114),0))</f>
        <v/>
      </c>
      <c r="O114" s="52" t="str">
        <f>IF($A114="","",IF($N114&gt;0,1,0))</f>
        <v/>
      </c>
      <c r="P114" s="52" t="str">
        <f>IF($A114="","",IF(AND($O114=1,ISNUMBER($G114)),IF($G114&lt;Config!$B$4,1,0),0))</f>
        <v/>
      </c>
      <c r="Q114" s="52" t="str">
        <f>IF($A114="","",IF($P114=1,Config!$B$4-$G114,0))</f>
        <v/>
      </c>
      <c r="R114" s="53" t="str">
        <f>IF($A114="","",IF(AND(ISNUMBER($D114),ISNUMBER($E114)),$D114*$E114,""))</f>
        <v/>
      </c>
      <c r="S114" s="49" t="str">
        <f>IF(COUNTA($A114:$J114)=0,"",IF($A114="","Missing: PO ID",IF(COUNTIF($A$2:$A$301,$A114)&gt;1,"Duplicate PO ID",IF($B114="","Missing: supplier",IF($C114="","Missing: SKU",IF(NOT(ISNUMBER($D114)),"Missing: qty",IF(NOT(ISNUMBER($F114)),"Missing: order date",IF(NOT(ISNUMBER($G114)),"Missing: expected date",IF($H114="","Missing: status",IF($I114="","Missing: source link",IF(COUNTIF(Suppliers!$A$2:$A$51,$B114)=0,"Unknown supplier",IF(COUNTIF(Products!$A$2:$A$101,$C114)=0,"Unknown SKU",IF(COUNTIF(Config!$C$15:$C$34,$H114)=0,"Unsupported status",IF($D114&lt;=0,"Qty must be above 0",IF($G114&lt;$F114,"Expected date before order date",IF($M114&gt;$D114,"Received more than ordered",IF(AND($H114="Received",$M114&lt;$D114),"Status Received but not fully received",IF(AND(IFERROR(INDEX(Config!$D$15:$D$34,MATCH($H114,Config!$C$15:$C$34,0)),"No")="Yes",$M114&gt;=$D114),"Fully received: update status","OK"))))))))))))))))))</f>
        <v/>
      </c>
      <c r="T114" s="52" t="str">
        <f>IF($O114=1,IFERROR(COUNTIFS($O$2:$O$301,1,$G$2:$G$301,"&lt;"&amp;$G114)+COUNTIFS($O$2:$O114,1,$G$2:$G114,$G114),""),"")</f>
        <v/>
      </c>
    </row>
    <row r="115">
      <c r="A115" s="46" t="n"/>
      <c r="B115" s="46" t="n"/>
      <c r="C115" s="46" t="n"/>
      <c r="D115" s="48" t="n"/>
      <c r="E115" s="47" t="n"/>
      <c r="F115" s="54" t="n"/>
      <c r="G115" s="54" t="n"/>
      <c r="H115" s="46" t="n"/>
      <c r="I115" s="46" t="n"/>
      <c r="J115" s="46" t="n"/>
      <c r="K115" s="49" t="str">
        <f>IF($A115="","",IFERROR(INDEX(Suppliers!$B$2:$B$51,MATCH($B115,Suppliers!$A$2:$A$51,0))&amp;"","(not found)"))</f>
        <v/>
      </c>
      <c r="L115" s="49" t="str">
        <f>IF($A115="","",IFERROR(INDEX(Products!$B$2:$B$101,MATCH($C115,Products!$A$2:$A$101,0))&amp;"","(not found)"))</f>
        <v/>
      </c>
      <c r="M115" s="50" t="str">
        <f>IF($A115="","",SUMIFS(Inventory_Ledger!$E$2:$E$2001,Inventory_Ledger!$H$2:$H$2001,$A115,Inventory_Ledger!$C$2:$C$2001,"Receipt",Inventory_Ledger!$D$2:$D$2001,$C115))</f>
        <v/>
      </c>
      <c r="N115" s="50" t="str">
        <f>IF($A115="","",IF(IFERROR(INDEX(Config!$D$15:$D$34,MATCH($H115,Config!$C$15:$C$34,0)),"No")="Yes",MAX(0,IF(ISNUMBER($D115),$D115,0)-$M115),0))</f>
        <v/>
      </c>
      <c r="O115" s="52" t="str">
        <f>IF($A115="","",IF($N115&gt;0,1,0))</f>
        <v/>
      </c>
      <c r="P115" s="52" t="str">
        <f>IF($A115="","",IF(AND($O115=1,ISNUMBER($G115)),IF($G115&lt;Config!$B$4,1,0),0))</f>
        <v/>
      </c>
      <c r="Q115" s="52" t="str">
        <f>IF($A115="","",IF($P115=1,Config!$B$4-$G115,0))</f>
        <v/>
      </c>
      <c r="R115" s="53" t="str">
        <f>IF($A115="","",IF(AND(ISNUMBER($D115),ISNUMBER($E115)),$D115*$E115,""))</f>
        <v/>
      </c>
      <c r="S115" s="49" t="str">
        <f>IF(COUNTA($A115:$J115)=0,"",IF($A115="","Missing: PO ID",IF(COUNTIF($A$2:$A$301,$A115)&gt;1,"Duplicate PO ID",IF($B115="","Missing: supplier",IF($C115="","Missing: SKU",IF(NOT(ISNUMBER($D115)),"Missing: qty",IF(NOT(ISNUMBER($F115)),"Missing: order date",IF(NOT(ISNUMBER($G115)),"Missing: expected date",IF($H115="","Missing: status",IF($I115="","Missing: source link",IF(COUNTIF(Suppliers!$A$2:$A$51,$B115)=0,"Unknown supplier",IF(COUNTIF(Products!$A$2:$A$101,$C115)=0,"Unknown SKU",IF(COUNTIF(Config!$C$15:$C$34,$H115)=0,"Unsupported status",IF($D115&lt;=0,"Qty must be above 0",IF($G115&lt;$F115,"Expected date before order date",IF($M115&gt;$D115,"Received more than ordered",IF(AND($H115="Received",$M115&lt;$D115),"Status Received but not fully received",IF(AND(IFERROR(INDEX(Config!$D$15:$D$34,MATCH($H115,Config!$C$15:$C$34,0)),"No")="Yes",$M115&gt;=$D115),"Fully received: update status","OK"))))))))))))))))))</f>
        <v/>
      </c>
      <c r="T115" s="52" t="str">
        <f>IF($O115=1,IFERROR(COUNTIFS($O$2:$O$301,1,$G$2:$G$301,"&lt;"&amp;$G115)+COUNTIFS($O$2:$O115,1,$G$2:$G115,$G115),""),"")</f>
        <v/>
      </c>
    </row>
    <row r="116">
      <c r="A116" s="46" t="n"/>
      <c r="B116" s="46" t="n"/>
      <c r="C116" s="46" t="n"/>
      <c r="D116" s="48" t="n"/>
      <c r="E116" s="47" t="n"/>
      <c r="F116" s="54" t="n"/>
      <c r="G116" s="54" t="n"/>
      <c r="H116" s="46" t="n"/>
      <c r="I116" s="46" t="n"/>
      <c r="J116" s="46" t="n"/>
      <c r="K116" s="49" t="str">
        <f>IF($A116="","",IFERROR(INDEX(Suppliers!$B$2:$B$51,MATCH($B116,Suppliers!$A$2:$A$51,0))&amp;"","(not found)"))</f>
        <v/>
      </c>
      <c r="L116" s="49" t="str">
        <f>IF($A116="","",IFERROR(INDEX(Products!$B$2:$B$101,MATCH($C116,Products!$A$2:$A$101,0))&amp;"","(not found)"))</f>
        <v/>
      </c>
      <c r="M116" s="50" t="str">
        <f>IF($A116="","",SUMIFS(Inventory_Ledger!$E$2:$E$2001,Inventory_Ledger!$H$2:$H$2001,$A116,Inventory_Ledger!$C$2:$C$2001,"Receipt",Inventory_Ledger!$D$2:$D$2001,$C116))</f>
        <v/>
      </c>
      <c r="N116" s="50" t="str">
        <f>IF($A116="","",IF(IFERROR(INDEX(Config!$D$15:$D$34,MATCH($H116,Config!$C$15:$C$34,0)),"No")="Yes",MAX(0,IF(ISNUMBER($D116),$D116,0)-$M116),0))</f>
        <v/>
      </c>
      <c r="O116" s="52" t="str">
        <f>IF($A116="","",IF($N116&gt;0,1,0))</f>
        <v/>
      </c>
      <c r="P116" s="52" t="str">
        <f>IF($A116="","",IF(AND($O116=1,ISNUMBER($G116)),IF($G116&lt;Config!$B$4,1,0),0))</f>
        <v/>
      </c>
      <c r="Q116" s="52" t="str">
        <f>IF($A116="","",IF($P116=1,Config!$B$4-$G116,0))</f>
        <v/>
      </c>
      <c r="R116" s="53" t="str">
        <f>IF($A116="","",IF(AND(ISNUMBER($D116),ISNUMBER($E116)),$D116*$E116,""))</f>
        <v/>
      </c>
      <c r="S116" s="49" t="str">
        <f>IF(COUNTA($A116:$J116)=0,"",IF($A116="","Missing: PO ID",IF(COUNTIF($A$2:$A$301,$A116)&gt;1,"Duplicate PO ID",IF($B116="","Missing: supplier",IF($C116="","Missing: SKU",IF(NOT(ISNUMBER($D116)),"Missing: qty",IF(NOT(ISNUMBER($F116)),"Missing: order date",IF(NOT(ISNUMBER($G116)),"Missing: expected date",IF($H116="","Missing: status",IF($I116="","Missing: source link",IF(COUNTIF(Suppliers!$A$2:$A$51,$B116)=0,"Unknown supplier",IF(COUNTIF(Products!$A$2:$A$101,$C116)=0,"Unknown SKU",IF(COUNTIF(Config!$C$15:$C$34,$H116)=0,"Unsupported status",IF($D116&lt;=0,"Qty must be above 0",IF($G116&lt;$F116,"Expected date before order date",IF($M116&gt;$D116,"Received more than ordered",IF(AND($H116="Received",$M116&lt;$D116),"Status Received but not fully received",IF(AND(IFERROR(INDEX(Config!$D$15:$D$34,MATCH($H116,Config!$C$15:$C$34,0)),"No")="Yes",$M116&gt;=$D116),"Fully received: update status","OK"))))))))))))))))))</f>
        <v/>
      </c>
      <c r="T116" s="52" t="str">
        <f>IF($O116=1,IFERROR(COUNTIFS($O$2:$O$301,1,$G$2:$G$301,"&lt;"&amp;$G116)+COUNTIFS($O$2:$O116,1,$G$2:$G116,$G116),""),"")</f>
        <v/>
      </c>
    </row>
    <row r="117">
      <c r="A117" s="46" t="n"/>
      <c r="B117" s="46" t="n"/>
      <c r="C117" s="46" t="n"/>
      <c r="D117" s="48" t="n"/>
      <c r="E117" s="47" t="n"/>
      <c r="F117" s="54" t="n"/>
      <c r="G117" s="54" t="n"/>
      <c r="H117" s="46" t="n"/>
      <c r="I117" s="46" t="n"/>
      <c r="J117" s="46" t="n"/>
      <c r="K117" s="49" t="str">
        <f>IF($A117="","",IFERROR(INDEX(Suppliers!$B$2:$B$51,MATCH($B117,Suppliers!$A$2:$A$51,0))&amp;"","(not found)"))</f>
        <v/>
      </c>
      <c r="L117" s="49" t="str">
        <f>IF($A117="","",IFERROR(INDEX(Products!$B$2:$B$101,MATCH($C117,Products!$A$2:$A$101,0))&amp;"","(not found)"))</f>
        <v/>
      </c>
      <c r="M117" s="50" t="str">
        <f>IF($A117="","",SUMIFS(Inventory_Ledger!$E$2:$E$2001,Inventory_Ledger!$H$2:$H$2001,$A117,Inventory_Ledger!$C$2:$C$2001,"Receipt",Inventory_Ledger!$D$2:$D$2001,$C117))</f>
        <v/>
      </c>
      <c r="N117" s="50" t="str">
        <f>IF($A117="","",IF(IFERROR(INDEX(Config!$D$15:$D$34,MATCH($H117,Config!$C$15:$C$34,0)),"No")="Yes",MAX(0,IF(ISNUMBER($D117),$D117,0)-$M117),0))</f>
        <v/>
      </c>
      <c r="O117" s="52" t="str">
        <f>IF($A117="","",IF($N117&gt;0,1,0))</f>
        <v/>
      </c>
      <c r="P117" s="52" t="str">
        <f>IF($A117="","",IF(AND($O117=1,ISNUMBER($G117)),IF($G117&lt;Config!$B$4,1,0),0))</f>
        <v/>
      </c>
      <c r="Q117" s="52" t="str">
        <f>IF($A117="","",IF($P117=1,Config!$B$4-$G117,0))</f>
        <v/>
      </c>
      <c r="R117" s="53" t="str">
        <f>IF($A117="","",IF(AND(ISNUMBER($D117),ISNUMBER($E117)),$D117*$E117,""))</f>
        <v/>
      </c>
      <c r="S117" s="49" t="str">
        <f>IF(COUNTA($A117:$J117)=0,"",IF($A117="","Missing: PO ID",IF(COUNTIF($A$2:$A$301,$A117)&gt;1,"Duplicate PO ID",IF($B117="","Missing: supplier",IF($C117="","Missing: SKU",IF(NOT(ISNUMBER($D117)),"Missing: qty",IF(NOT(ISNUMBER($F117)),"Missing: order date",IF(NOT(ISNUMBER($G117)),"Missing: expected date",IF($H117="","Missing: status",IF($I117="","Missing: source link",IF(COUNTIF(Suppliers!$A$2:$A$51,$B117)=0,"Unknown supplier",IF(COUNTIF(Products!$A$2:$A$101,$C117)=0,"Unknown SKU",IF(COUNTIF(Config!$C$15:$C$34,$H117)=0,"Unsupported status",IF($D117&lt;=0,"Qty must be above 0",IF($G117&lt;$F117,"Expected date before order date",IF($M117&gt;$D117,"Received more than ordered",IF(AND($H117="Received",$M117&lt;$D117),"Status Received but not fully received",IF(AND(IFERROR(INDEX(Config!$D$15:$D$34,MATCH($H117,Config!$C$15:$C$34,0)),"No")="Yes",$M117&gt;=$D117),"Fully received: update status","OK"))))))))))))))))))</f>
        <v/>
      </c>
      <c r="T117" s="52" t="str">
        <f>IF($O117=1,IFERROR(COUNTIFS($O$2:$O$301,1,$G$2:$G$301,"&lt;"&amp;$G117)+COUNTIFS($O$2:$O117,1,$G$2:$G117,$G117),""),"")</f>
        <v/>
      </c>
    </row>
    <row r="118">
      <c r="A118" s="46" t="n"/>
      <c r="B118" s="46" t="n"/>
      <c r="C118" s="46" t="n"/>
      <c r="D118" s="48" t="n"/>
      <c r="E118" s="47" t="n"/>
      <c r="F118" s="54" t="n"/>
      <c r="G118" s="54" t="n"/>
      <c r="H118" s="46" t="n"/>
      <c r="I118" s="46" t="n"/>
      <c r="J118" s="46" t="n"/>
      <c r="K118" s="49" t="str">
        <f>IF($A118="","",IFERROR(INDEX(Suppliers!$B$2:$B$51,MATCH($B118,Suppliers!$A$2:$A$51,0))&amp;"","(not found)"))</f>
        <v/>
      </c>
      <c r="L118" s="49" t="str">
        <f>IF($A118="","",IFERROR(INDEX(Products!$B$2:$B$101,MATCH($C118,Products!$A$2:$A$101,0))&amp;"","(not found)"))</f>
        <v/>
      </c>
      <c r="M118" s="50" t="str">
        <f>IF($A118="","",SUMIFS(Inventory_Ledger!$E$2:$E$2001,Inventory_Ledger!$H$2:$H$2001,$A118,Inventory_Ledger!$C$2:$C$2001,"Receipt",Inventory_Ledger!$D$2:$D$2001,$C118))</f>
        <v/>
      </c>
      <c r="N118" s="50" t="str">
        <f>IF($A118="","",IF(IFERROR(INDEX(Config!$D$15:$D$34,MATCH($H118,Config!$C$15:$C$34,0)),"No")="Yes",MAX(0,IF(ISNUMBER($D118),$D118,0)-$M118),0))</f>
        <v/>
      </c>
      <c r="O118" s="52" t="str">
        <f>IF($A118="","",IF($N118&gt;0,1,0))</f>
        <v/>
      </c>
      <c r="P118" s="52" t="str">
        <f>IF($A118="","",IF(AND($O118=1,ISNUMBER($G118)),IF($G118&lt;Config!$B$4,1,0),0))</f>
        <v/>
      </c>
      <c r="Q118" s="52" t="str">
        <f>IF($A118="","",IF($P118=1,Config!$B$4-$G118,0))</f>
        <v/>
      </c>
      <c r="R118" s="53" t="str">
        <f>IF($A118="","",IF(AND(ISNUMBER($D118),ISNUMBER($E118)),$D118*$E118,""))</f>
        <v/>
      </c>
      <c r="S118" s="49" t="str">
        <f>IF(COUNTA($A118:$J118)=0,"",IF($A118="","Missing: PO ID",IF(COUNTIF($A$2:$A$301,$A118)&gt;1,"Duplicate PO ID",IF($B118="","Missing: supplier",IF($C118="","Missing: SKU",IF(NOT(ISNUMBER($D118)),"Missing: qty",IF(NOT(ISNUMBER($F118)),"Missing: order date",IF(NOT(ISNUMBER($G118)),"Missing: expected date",IF($H118="","Missing: status",IF($I118="","Missing: source link",IF(COUNTIF(Suppliers!$A$2:$A$51,$B118)=0,"Unknown supplier",IF(COUNTIF(Products!$A$2:$A$101,$C118)=0,"Unknown SKU",IF(COUNTIF(Config!$C$15:$C$34,$H118)=0,"Unsupported status",IF($D118&lt;=0,"Qty must be above 0",IF($G118&lt;$F118,"Expected date before order date",IF($M118&gt;$D118,"Received more than ordered",IF(AND($H118="Received",$M118&lt;$D118),"Status Received but not fully received",IF(AND(IFERROR(INDEX(Config!$D$15:$D$34,MATCH($H118,Config!$C$15:$C$34,0)),"No")="Yes",$M118&gt;=$D118),"Fully received: update status","OK"))))))))))))))))))</f>
        <v/>
      </c>
      <c r="T118" s="52" t="str">
        <f>IF($O118=1,IFERROR(COUNTIFS($O$2:$O$301,1,$G$2:$G$301,"&lt;"&amp;$G118)+COUNTIFS($O$2:$O118,1,$G$2:$G118,$G118),""),"")</f>
        <v/>
      </c>
    </row>
    <row r="119">
      <c r="A119" s="46" t="n"/>
      <c r="B119" s="46" t="n"/>
      <c r="C119" s="46" t="n"/>
      <c r="D119" s="48" t="n"/>
      <c r="E119" s="47" t="n"/>
      <c r="F119" s="54" t="n"/>
      <c r="G119" s="54" t="n"/>
      <c r="H119" s="46" t="n"/>
      <c r="I119" s="46" t="n"/>
      <c r="J119" s="46" t="n"/>
      <c r="K119" s="49" t="str">
        <f>IF($A119="","",IFERROR(INDEX(Suppliers!$B$2:$B$51,MATCH($B119,Suppliers!$A$2:$A$51,0))&amp;"","(not found)"))</f>
        <v/>
      </c>
      <c r="L119" s="49" t="str">
        <f>IF($A119="","",IFERROR(INDEX(Products!$B$2:$B$101,MATCH($C119,Products!$A$2:$A$101,0))&amp;"","(not found)"))</f>
        <v/>
      </c>
      <c r="M119" s="50" t="str">
        <f>IF($A119="","",SUMIFS(Inventory_Ledger!$E$2:$E$2001,Inventory_Ledger!$H$2:$H$2001,$A119,Inventory_Ledger!$C$2:$C$2001,"Receipt",Inventory_Ledger!$D$2:$D$2001,$C119))</f>
        <v/>
      </c>
      <c r="N119" s="50" t="str">
        <f>IF($A119="","",IF(IFERROR(INDEX(Config!$D$15:$D$34,MATCH($H119,Config!$C$15:$C$34,0)),"No")="Yes",MAX(0,IF(ISNUMBER($D119),$D119,0)-$M119),0))</f>
        <v/>
      </c>
      <c r="O119" s="52" t="str">
        <f>IF($A119="","",IF($N119&gt;0,1,0))</f>
        <v/>
      </c>
      <c r="P119" s="52" t="str">
        <f>IF($A119="","",IF(AND($O119=1,ISNUMBER($G119)),IF($G119&lt;Config!$B$4,1,0),0))</f>
        <v/>
      </c>
      <c r="Q119" s="52" t="str">
        <f>IF($A119="","",IF($P119=1,Config!$B$4-$G119,0))</f>
        <v/>
      </c>
      <c r="R119" s="53" t="str">
        <f>IF($A119="","",IF(AND(ISNUMBER($D119),ISNUMBER($E119)),$D119*$E119,""))</f>
        <v/>
      </c>
      <c r="S119" s="49" t="str">
        <f>IF(COUNTA($A119:$J119)=0,"",IF($A119="","Missing: PO ID",IF(COUNTIF($A$2:$A$301,$A119)&gt;1,"Duplicate PO ID",IF($B119="","Missing: supplier",IF($C119="","Missing: SKU",IF(NOT(ISNUMBER($D119)),"Missing: qty",IF(NOT(ISNUMBER($F119)),"Missing: order date",IF(NOT(ISNUMBER($G119)),"Missing: expected date",IF($H119="","Missing: status",IF($I119="","Missing: source link",IF(COUNTIF(Suppliers!$A$2:$A$51,$B119)=0,"Unknown supplier",IF(COUNTIF(Products!$A$2:$A$101,$C119)=0,"Unknown SKU",IF(COUNTIF(Config!$C$15:$C$34,$H119)=0,"Unsupported status",IF($D119&lt;=0,"Qty must be above 0",IF($G119&lt;$F119,"Expected date before order date",IF($M119&gt;$D119,"Received more than ordered",IF(AND($H119="Received",$M119&lt;$D119),"Status Received but not fully received",IF(AND(IFERROR(INDEX(Config!$D$15:$D$34,MATCH($H119,Config!$C$15:$C$34,0)),"No")="Yes",$M119&gt;=$D119),"Fully received: update status","OK"))))))))))))))))))</f>
        <v/>
      </c>
      <c r="T119" s="52" t="str">
        <f>IF($O119=1,IFERROR(COUNTIFS($O$2:$O$301,1,$G$2:$G$301,"&lt;"&amp;$G119)+COUNTIFS($O$2:$O119,1,$G$2:$G119,$G119),""),"")</f>
        <v/>
      </c>
    </row>
    <row r="120">
      <c r="A120" s="46" t="n"/>
      <c r="B120" s="46" t="n"/>
      <c r="C120" s="46" t="n"/>
      <c r="D120" s="48" t="n"/>
      <c r="E120" s="47" t="n"/>
      <c r="F120" s="54" t="n"/>
      <c r="G120" s="54" t="n"/>
      <c r="H120" s="46" t="n"/>
      <c r="I120" s="46" t="n"/>
      <c r="J120" s="46" t="n"/>
      <c r="K120" s="49" t="str">
        <f>IF($A120="","",IFERROR(INDEX(Suppliers!$B$2:$B$51,MATCH($B120,Suppliers!$A$2:$A$51,0))&amp;"","(not found)"))</f>
        <v/>
      </c>
      <c r="L120" s="49" t="str">
        <f>IF($A120="","",IFERROR(INDEX(Products!$B$2:$B$101,MATCH($C120,Products!$A$2:$A$101,0))&amp;"","(not found)"))</f>
        <v/>
      </c>
      <c r="M120" s="50" t="str">
        <f>IF($A120="","",SUMIFS(Inventory_Ledger!$E$2:$E$2001,Inventory_Ledger!$H$2:$H$2001,$A120,Inventory_Ledger!$C$2:$C$2001,"Receipt",Inventory_Ledger!$D$2:$D$2001,$C120))</f>
        <v/>
      </c>
      <c r="N120" s="50" t="str">
        <f>IF($A120="","",IF(IFERROR(INDEX(Config!$D$15:$D$34,MATCH($H120,Config!$C$15:$C$34,0)),"No")="Yes",MAX(0,IF(ISNUMBER($D120),$D120,0)-$M120),0))</f>
        <v/>
      </c>
      <c r="O120" s="52" t="str">
        <f>IF($A120="","",IF($N120&gt;0,1,0))</f>
        <v/>
      </c>
      <c r="P120" s="52" t="str">
        <f>IF($A120="","",IF(AND($O120=1,ISNUMBER($G120)),IF($G120&lt;Config!$B$4,1,0),0))</f>
        <v/>
      </c>
      <c r="Q120" s="52" t="str">
        <f>IF($A120="","",IF($P120=1,Config!$B$4-$G120,0))</f>
        <v/>
      </c>
      <c r="R120" s="53" t="str">
        <f>IF($A120="","",IF(AND(ISNUMBER($D120),ISNUMBER($E120)),$D120*$E120,""))</f>
        <v/>
      </c>
      <c r="S120" s="49" t="str">
        <f>IF(COUNTA($A120:$J120)=0,"",IF($A120="","Missing: PO ID",IF(COUNTIF($A$2:$A$301,$A120)&gt;1,"Duplicate PO ID",IF($B120="","Missing: supplier",IF($C120="","Missing: SKU",IF(NOT(ISNUMBER($D120)),"Missing: qty",IF(NOT(ISNUMBER($F120)),"Missing: order date",IF(NOT(ISNUMBER($G120)),"Missing: expected date",IF($H120="","Missing: status",IF($I120="","Missing: source link",IF(COUNTIF(Suppliers!$A$2:$A$51,$B120)=0,"Unknown supplier",IF(COUNTIF(Products!$A$2:$A$101,$C120)=0,"Unknown SKU",IF(COUNTIF(Config!$C$15:$C$34,$H120)=0,"Unsupported status",IF($D120&lt;=0,"Qty must be above 0",IF($G120&lt;$F120,"Expected date before order date",IF($M120&gt;$D120,"Received more than ordered",IF(AND($H120="Received",$M120&lt;$D120),"Status Received but not fully received",IF(AND(IFERROR(INDEX(Config!$D$15:$D$34,MATCH($H120,Config!$C$15:$C$34,0)),"No")="Yes",$M120&gt;=$D120),"Fully received: update status","OK"))))))))))))))))))</f>
        <v/>
      </c>
      <c r="T120" s="52" t="str">
        <f>IF($O120=1,IFERROR(COUNTIFS($O$2:$O$301,1,$G$2:$G$301,"&lt;"&amp;$G120)+COUNTIFS($O$2:$O120,1,$G$2:$G120,$G120),""),"")</f>
        <v/>
      </c>
    </row>
    <row r="121">
      <c r="A121" s="46" t="n"/>
      <c r="B121" s="46" t="n"/>
      <c r="C121" s="46" t="n"/>
      <c r="D121" s="48" t="n"/>
      <c r="E121" s="47" t="n"/>
      <c r="F121" s="54" t="n"/>
      <c r="G121" s="54" t="n"/>
      <c r="H121" s="46" t="n"/>
      <c r="I121" s="46" t="n"/>
      <c r="J121" s="46" t="n"/>
      <c r="K121" s="49" t="str">
        <f>IF($A121="","",IFERROR(INDEX(Suppliers!$B$2:$B$51,MATCH($B121,Suppliers!$A$2:$A$51,0))&amp;"","(not found)"))</f>
        <v/>
      </c>
      <c r="L121" s="49" t="str">
        <f>IF($A121="","",IFERROR(INDEX(Products!$B$2:$B$101,MATCH($C121,Products!$A$2:$A$101,0))&amp;"","(not found)"))</f>
        <v/>
      </c>
      <c r="M121" s="50" t="str">
        <f>IF($A121="","",SUMIFS(Inventory_Ledger!$E$2:$E$2001,Inventory_Ledger!$H$2:$H$2001,$A121,Inventory_Ledger!$C$2:$C$2001,"Receipt",Inventory_Ledger!$D$2:$D$2001,$C121))</f>
        <v/>
      </c>
      <c r="N121" s="50" t="str">
        <f>IF($A121="","",IF(IFERROR(INDEX(Config!$D$15:$D$34,MATCH($H121,Config!$C$15:$C$34,0)),"No")="Yes",MAX(0,IF(ISNUMBER($D121),$D121,0)-$M121),0))</f>
        <v/>
      </c>
      <c r="O121" s="52" t="str">
        <f>IF($A121="","",IF($N121&gt;0,1,0))</f>
        <v/>
      </c>
      <c r="P121" s="52" t="str">
        <f>IF($A121="","",IF(AND($O121=1,ISNUMBER($G121)),IF($G121&lt;Config!$B$4,1,0),0))</f>
        <v/>
      </c>
      <c r="Q121" s="52" t="str">
        <f>IF($A121="","",IF($P121=1,Config!$B$4-$G121,0))</f>
        <v/>
      </c>
      <c r="R121" s="53" t="str">
        <f>IF($A121="","",IF(AND(ISNUMBER($D121),ISNUMBER($E121)),$D121*$E121,""))</f>
        <v/>
      </c>
      <c r="S121" s="49" t="str">
        <f>IF(COUNTA($A121:$J121)=0,"",IF($A121="","Missing: PO ID",IF(COUNTIF($A$2:$A$301,$A121)&gt;1,"Duplicate PO ID",IF($B121="","Missing: supplier",IF($C121="","Missing: SKU",IF(NOT(ISNUMBER($D121)),"Missing: qty",IF(NOT(ISNUMBER($F121)),"Missing: order date",IF(NOT(ISNUMBER($G121)),"Missing: expected date",IF($H121="","Missing: status",IF($I121="","Missing: source link",IF(COUNTIF(Suppliers!$A$2:$A$51,$B121)=0,"Unknown supplier",IF(COUNTIF(Products!$A$2:$A$101,$C121)=0,"Unknown SKU",IF(COUNTIF(Config!$C$15:$C$34,$H121)=0,"Unsupported status",IF($D121&lt;=0,"Qty must be above 0",IF($G121&lt;$F121,"Expected date before order date",IF($M121&gt;$D121,"Received more than ordered",IF(AND($H121="Received",$M121&lt;$D121),"Status Received but not fully received",IF(AND(IFERROR(INDEX(Config!$D$15:$D$34,MATCH($H121,Config!$C$15:$C$34,0)),"No")="Yes",$M121&gt;=$D121),"Fully received: update status","OK"))))))))))))))))))</f>
        <v/>
      </c>
      <c r="T121" s="52" t="str">
        <f>IF($O121=1,IFERROR(COUNTIFS($O$2:$O$301,1,$G$2:$G$301,"&lt;"&amp;$G121)+COUNTIFS($O$2:$O121,1,$G$2:$G121,$G121),""),"")</f>
        <v/>
      </c>
    </row>
    <row r="122">
      <c r="A122" s="46" t="n"/>
      <c r="B122" s="46" t="n"/>
      <c r="C122" s="46" t="n"/>
      <c r="D122" s="48" t="n"/>
      <c r="E122" s="47" t="n"/>
      <c r="F122" s="54" t="n"/>
      <c r="G122" s="54" t="n"/>
      <c r="H122" s="46" t="n"/>
      <c r="I122" s="46" t="n"/>
      <c r="J122" s="46" t="n"/>
      <c r="K122" s="49" t="str">
        <f>IF($A122="","",IFERROR(INDEX(Suppliers!$B$2:$B$51,MATCH($B122,Suppliers!$A$2:$A$51,0))&amp;"","(not found)"))</f>
        <v/>
      </c>
      <c r="L122" s="49" t="str">
        <f>IF($A122="","",IFERROR(INDEX(Products!$B$2:$B$101,MATCH($C122,Products!$A$2:$A$101,0))&amp;"","(not found)"))</f>
        <v/>
      </c>
      <c r="M122" s="50" t="str">
        <f>IF($A122="","",SUMIFS(Inventory_Ledger!$E$2:$E$2001,Inventory_Ledger!$H$2:$H$2001,$A122,Inventory_Ledger!$C$2:$C$2001,"Receipt",Inventory_Ledger!$D$2:$D$2001,$C122))</f>
        <v/>
      </c>
      <c r="N122" s="50" t="str">
        <f>IF($A122="","",IF(IFERROR(INDEX(Config!$D$15:$D$34,MATCH($H122,Config!$C$15:$C$34,0)),"No")="Yes",MAX(0,IF(ISNUMBER($D122),$D122,0)-$M122),0))</f>
        <v/>
      </c>
      <c r="O122" s="52" t="str">
        <f>IF($A122="","",IF($N122&gt;0,1,0))</f>
        <v/>
      </c>
      <c r="P122" s="52" t="str">
        <f>IF($A122="","",IF(AND($O122=1,ISNUMBER($G122)),IF($G122&lt;Config!$B$4,1,0),0))</f>
        <v/>
      </c>
      <c r="Q122" s="52" t="str">
        <f>IF($A122="","",IF($P122=1,Config!$B$4-$G122,0))</f>
        <v/>
      </c>
      <c r="R122" s="53" t="str">
        <f>IF($A122="","",IF(AND(ISNUMBER($D122),ISNUMBER($E122)),$D122*$E122,""))</f>
        <v/>
      </c>
      <c r="S122" s="49" t="str">
        <f>IF(COUNTA($A122:$J122)=0,"",IF($A122="","Missing: PO ID",IF(COUNTIF($A$2:$A$301,$A122)&gt;1,"Duplicate PO ID",IF($B122="","Missing: supplier",IF($C122="","Missing: SKU",IF(NOT(ISNUMBER($D122)),"Missing: qty",IF(NOT(ISNUMBER($F122)),"Missing: order date",IF(NOT(ISNUMBER($G122)),"Missing: expected date",IF($H122="","Missing: status",IF($I122="","Missing: source link",IF(COUNTIF(Suppliers!$A$2:$A$51,$B122)=0,"Unknown supplier",IF(COUNTIF(Products!$A$2:$A$101,$C122)=0,"Unknown SKU",IF(COUNTIF(Config!$C$15:$C$34,$H122)=0,"Unsupported status",IF($D122&lt;=0,"Qty must be above 0",IF($G122&lt;$F122,"Expected date before order date",IF($M122&gt;$D122,"Received more than ordered",IF(AND($H122="Received",$M122&lt;$D122),"Status Received but not fully received",IF(AND(IFERROR(INDEX(Config!$D$15:$D$34,MATCH($H122,Config!$C$15:$C$34,0)),"No")="Yes",$M122&gt;=$D122),"Fully received: update status","OK"))))))))))))))))))</f>
        <v/>
      </c>
      <c r="T122" s="52" t="str">
        <f>IF($O122=1,IFERROR(COUNTIFS($O$2:$O$301,1,$G$2:$G$301,"&lt;"&amp;$G122)+COUNTIFS($O$2:$O122,1,$G$2:$G122,$G122),""),"")</f>
        <v/>
      </c>
    </row>
    <row r="123">
      <c r="A123" s="46" t="n"/>
      <c r="B123" s="46" t="n"/>
      <c r="C123" s="46" t="n"/>
      <c r="D123" s="48" t="n"/>
      <c r="E123" s="47" t="n"/>
      <c r="F123" s="54" t="n"/>
      <c r="G123" s="54" t="n"/>
      <c r="H123" s="46" t="n"/>
      <c r="I123" s="46" t="n"/>
      <c r="J123" s="46" t="n"/>
      <c r="K123" s="49" t="str">
        <f>IF($A123="","",IFERROR(INDEX(Suppliers!$B$2:$B$51,MATCH($B123,Suppliers!$A$2:$A$51,0))&amp;"","(not found)"))</f>
        <v/>
      </c>
      <c r="L123" s="49" t="str">
        <f>IF($A123="","",IFERROR(INDEX(Products!$B$2:$B$101,MATCH($C123,Products!$A$2:$A$101,0))&amp;"","(not found)"))</f>
        <v/>
      </c>
      <c r="M123" s="50" t="str">
        <f>IF($A123="","",SUMIFS(Inventory_Ledger!$E$2:$E$2001,Inventory_Ledger!$H$2:$H$2001,$A123,Inventory_Ledger!$C$2:$C$2001,"Receipt",Inventory_Ledger!$D$2:$D$2001,$C123))</f>
        <v/>
      </c>
      <c r="N123" s="50" t="str">
        <f>IF($A123="","",IF(IFERROR(INDEX(Config!$D$15:$D$34,MATCH($H123,Config!$C$15:$C$34,0)),"No")="Yes",MAX(0,IF(ISNUMBER($D123),$D123,0)-$M123),0))</f>
        <v/>
      </c>
      <c r="O123" s="52" t="str">
        <f>IF($A123="","",IF($N123&gt;0,1,0))</f>
        <v/>
      </c>
      <c r="P123" s="52" t="str">
        <f>IF($A123="","",IF(AND($O123=1,ISNUMBER($G123)),IF($G123&lt;Config!$B$4,1,0),0))</f>
        <v/>
      </c>
      <c r="Q123" s="52" t="str">
        <f>IF($A123="","",IF($P123=1,Config!$B$4-$G123,0))</f>
        <v/>
      </c>
      <c r="R123" s="53" t="str">
        <f>IF($A123="","",IF(AND(ISNUMBER($D123),ISNUMBER($E123)),$D123*$E123,""))</f>
        <v/>
      </c>
      <c r="S123" s="49" t="str">
        <f>IF(COUNTA($A123:$J123)=0,"",IF($A123="","Missing: PO ID",IF(COUNTIF($A$2:$A$301,$A123)&gt;1,"Duplicate PO ID",IF($B123="","Missing: supplier",IF($C123="","Missing: SKU",IF(NOT(ISNUMBER($D123)),"Missing: qty",IF(NOT(ISNUMBER($F123)),"Missing: order date",IF(NOT(ISNUMBER($G123)),"Missing: expected date",IF($H123="","Missing: status",IF($I123="","Missing: source link",IF(COUNTIF(Suppliers!$A$2:$A$51,$B123)=0,"Unknown supplier",IF(COUNTIF(Products!$A$2:$A$101,$C123)=0,"Unknown SKU",IF(COUNTIF(Config!$C$15:$C$34,$H123)=0,"Unsupported status",IF($D123&lt;=0,"Qty must be above 0",IF($G123&lt;$F123,"Expected date before order date",IF($M123&gt;$D123,"Received more than ordered",IF(AND($H123="Received",$M123&lt;$D123),"Status Received but not fully received",IF(AND(IFERROR(INDEX(Config!$D$15:$D$34,MATCH($H123,Config!$C$15:$C$34,0)),"No")="Yes",$M123&gt;=$D123),"Fully received: update status","OK"))))))))))))))))))</f>
        <v/>
      </c>
      <c r="T123" s="52" t="str">
        <f>IF($O123=1,IFERROR(COUNTIFS($O$2:$O$301,1,$G$2:$G$301,"&lt;"&amp;$G123)+COUNTIFS($O$2:$O123,1,$G$2:$G123,$G123),""),"")</f>
        <v/>
      </c>
    </row>
    <row r="124">
      <c r="A124" s="46" t="n"/>
      <c r="B124" s="46" t="n"/>
      <c r="C124" s="46" t="n"/>
      <c r="D124" s="48" t="n"/>
      <c r="E124" s="47" t="n"/>
      <c r="F124" s="54" t="n"/>
      <c r="G124" s="54" t="n"/>
      <c r="H124" s="46" t="n"/>
      <c r="I124" s="46" t="n"/>
      <c r="J124" s="46" t="n"/>
      <c r="K124" s="49" t="str">
        <f>IF($A124="","",IFERROR(INDEX(Suppliers!$B$2:$B$51,MATCH($B124,Suppliers!$A$2:$A$51,0))&amp;"","(not found)"))</f>
        <v/>
      </c>
      <c r="L124" s="49" t="str">
        <f>IF($A124="","",IFERROR(INDEX(Products!$B$2:$B$101,MATCH($C124,Products!$A$2:$A$101,0))&amp;"","(not found)"))</f>
        <v/>
      </c>
      <c r="M124" s="50" t="str">
        <f>IF($A124="","",SUMIFS(Inventory_Ledger!$E$2:$E$2001,Inventory_Ledger!$H$2:$H$2001,$A124,Inventory_Ledger!$C$2:$C$2001,"Receipt",Inventory_Ledger!$D$2:$D$2001,$C124))</f>
        <v/>
      </c>
      <c r="N124" s="50" t="str">
        <f>IF($A124="","",IF(IFERROR(INDEX(Config!$D$15:$D$34,MATCH($H124,Config!$C$15:$C$34,0)),"No")="Yes",MAX(0,IF(ISNUMBER($D124),$D124,0)-$M124),0))</f>
        <v/>
      </c>
      <c r="O124" s="52" t="str">
        <f>IF($A124="","",IF($N124&gt;0,1,0))</f>
        <v/>
      </c>
      <c r="P124" s="52" t="str">
        <f>IF($A124="","",IF(AND($O124=1,ISNUMBER($G124)),IF($G124&lt;Config!$B$4,1,0),0))</f>
        <v/>
      </c>
      <c r="Q124" s="52" t="str">
        <f>IF($A124="","",IF($P124=1,Config!$B$4-$G124,0))</f>
        <v/>
      </c>
      <c r="R124" s="53" t="str">
        <f>IF($A124="","",IF(AND(ISNUMBER($D124),ISNUMBER($E124)),$D124*$E124,""))</f>
        <v/>
      </c>
      <c r="S124" s="49" t="str">
        <f>IF(COUNTA($A124:$J124)=0,"",IF($A124="","Missing: PO ID",IF(COUNTIF($A$2:$A$301,$A124)&gt;1,"Duplicate PO ID",IF($B124="","Missing: supplier",IF($C124="","Missing: SKU",IF(NOT(ISNUMBER($D124)),"Missing: qty",IF(NOT(ISNUMBER($F124)),"Missing: order date",IF(NOT(ISNUMBER($G124)),"Missing: expected date",IF($H124="","Missing: status",IF($I124="","Missing: source link",IF(COUNTIF(Suppliers!$A$2:$A$51,$B124)=0,"Unknown supplier",IF(COUNTIF(Products!$A$2:$A$101,$C124)=0,"Unknown SKU",IF(COUNTIF(Config!$C$15:$C$34,$H124)=0,"Unsupported status",IF($D124&lt;=0,"Qty must be above 0",IF($G124&lt;$F124,"Expected date before order date",IF($M124&gt;$D124,"Received more than ordered",IF(AND($H124="Received",$M124&lt;$D124),"Status Received but not fully received",IF(AND(IFERROR(INDEX(Config!$D$15:$D$34,MATCH($H124,Config!$C$15:$C$34,0)),"No")="Yes",$M124&gt;=$D124),"Fully received: update status","OK"))))))))))))))))))</f>
        <v/>
      </c>
      <c r="T124" s="52" t="str">
        <f>IF($O124=1,IFERROR(COUNTIFS($O$2:$O$301,1,$G$2:$G$301,"&lt;"&amp;$G124)+COUNTIFS($O$2:$O124,1,$G$2:$G124,$G124),""),"")</f>
        <v/>
      </c>
    </row>
    <row r="125">
      <c r="A125" s="46" t="n"/>
      <c r="B125" s="46" t="n"/>
      <c r="C125" s="46" t="n"/>
      <c r="D125" s="48" t="n"/>
      <c r="E125" s="47" t="n"/>
      <c r="F125" s="54" t="n"/>
      <c r="G125" s="54" t="n"/>
      <c r="H125" s="46" t="n"/>
      <c r="I125" s="46" t="n"/>
      <c r="J125" s="46" t="n"/>
      <c r="K125" s="49" t="str">
        <f>IF($A125="","",IFERROR(INDEX(Suppliers!$B$2:$B$51,MATCH($B125,Suppliers!$A$2:$A$51,0))&amp;"","(not found)"))</f>
        <v/>
      </c>
      <c r="L125" s="49" t="str">
        <f>IF($A125="","",IFERROR(INDEX(Products!$B$2:$B$101,MATCH($C125,Products!$A$2:$A$101,0))&amp;"","(not found)"))</f>
        <v/>
      </c>
      <c r="M125" s="50" t="str">
        <f>IF($A125="","",SUMIFS(Inventory_Ledger!$E$2:$E$2001,Inventory_Ledger!$H$2:$H$2001,$A125,Inventory_Ledger!$C$2:$C$2001,"Receipt",Inventory_Ledger!$D$2:$D$2001,$C125))</f>
        <v/>
      </c>
      <c r="N125" s="50" t="str">
        <f>IF($A125="","",IF(IFERROR(INDEX(Config!$D$15:$D$34,MATCH($H125,Config!$C$15:$C$34,0)),"No")="Yes",MAX(0,IF(ISNUMBER($D125),$D125,0)-$M125),0))</f>
        <v/>
      </c>
      <c r="O125" s="52" t="str">
        <f>IF($A125="","",IF($N125&gt;0,1,0))</f>
        <v/>
      </c>
      <c r="P125" s="52" t="str">
        <f>IF($A125="","",IF(AND($O125=1,ISNUMBER($G125)),IF($G125&lt;Config!$B$4,1,0),0))</f>
        <v/>
      </c>
      <c r="Q125" s="52" t="str">
        <f>IF($A125="","",IF($P125=1,Config!$B$4-$G125,0))</f>
        <v/>
      </c>
      <c r="R125" s="53" t="str">
        <f>IF($A125="","",IF(AND(ISNUMBER($D125),ISNUMBER($E125)),$D125*$E125,""))</f>
        <v/>
      </c>
      <c r="S125" s="49" t="str">
        <f>IF(COUNTA($A125:$J125)=0,"",IF($A125="","Missing: PO ID",IF(COUNTIF($A$2:$A$301,$A125)&gt;1,"Duplicate PO ID",IF($B125="","Missing: supplier",IF($C125="","Missing: SKU",IF(NOT(ISNUMBER($D125)),"Missing: qty",IF(NOT(ISNUMBER($F125)),"Missing: order date",IF(NOT(ISNUMBER($G125)),"Missing: expected date",IF($H125="","Missing: status",IF($I125="","Missing: source link",IF(COUNTIF(Suppliers!$A$2:$A$51,$B125)=0,"Unknown supplier",IF(COUNTIF(Products!$A$2:$A$101,$C125)=0,"Unknown SKU",IF(COUNTIF(Config!$C$15:$C$34,$H125)=0,"Unsupported status",IF($D125&lt;=0,"Qty must be above 0",IF($G125&lt;$F125,"Expected date before order date",IF($M125&gt;$D125,"Received more than ordered",IF(AND($H125="Received",$M125&lt;$D125),"Status Received but not fully received",IF(AND(IFERROR(INDEX(Config!$D$15:$D$34,MATCH($H125,Config!$C$15:$C$34,0)),"No")="Yes",$M125&gt;=$D125),"Fully received: update status","OK"))))))))))))))))))</f>
        <v/>
      </c>
      <c r="T125" s="52" t="str">
        <f>IF($O125=1,IFERROR(COUNTIFS($O$2:$O$301,1,$G$2:$G$301,"&lt;"&amp;$G125)+COUNTIFS($O$2:$O125,1,$G$2:$G125,$G125),""),"")</f>
        <v/>
      </c>
    </row>
    <row r="126">
      <c r="A126" s="46" t="n"/>
      <c r="B126" s="46" t="n"/>
      <c r="C126" s="46" t="n"/>
      <c r="D126" s="48" t="n"/>
      <c r="E126" s="47" t="n"/>
      <c r="F126" s="54" t="n"/>
      <c r="G126" s="54" t="n"/>
      <c r="H126" s="46" t="n"/>
      <c r="I126" s="46" t="n"/>
      <c r="J126" s="46" t="n"/>
      <c r="K126" s="49" t="str">
        <f>IF($A126="","",IFERROR(INDEX(Suppliers!$B$2:$B$51,MATCH($B126,Suppliers!$A$2:$A$51,0))&amp;"","(not found)"))</f>
        <v/>
      </c>
      <c r="L126" s="49" t="str">
        <f>IF($A126="","",IFERROR(INDEX(Products!$B$2:$B$101,MATCH($C126,Products!$A$2:$A$101,0))&amp;"","(not found)"))</f>
        <v/>
      </c>
      <c r="M126" s="50" t="str">
        <f>IF($A126="","",SUMIFS(Inventory_Ledger!$E$2:$E$2001,Inventory_Ledger!$H$2:$H$2001,$A126,Inventory_Ledger!$C$2:$C$2001,"Receipt",Inventory_Ledger!$D$2:$D$2001,$C126))</f>
        <v/>
      </c>
      <c r="N126" s="50" t="str">
        <f>IF($A126="","",IF(IFERROR(INDEX(Config!$D$15:$D$34,MATCH($H126,Config!$C$15:$C$34,0)),"No")="Yes",MAX(0,IF(ISNUMBER($D126),$D126,0)-$M126),0))</f>
        <v/>
      </c>
      <c r="O126" s="52" t="str">
        <f>IF($A126="","",IF($N126&gt;0,1,0))</f>
        <v/>
      </c>
      <c r="P126" s="52" t="str">
        <f>IF($A126="","",IF(AND($O126=1,ISNUMBER($G126)),IF($G126&lt;Config!$B$4,1,0),0))</f>
        <v/>
      </c>
      <c r="Q126" s="52" t="str">
        <f>IF($A126="","",IF($P126=1,Config!$B$4-$G126,0))</f>
        <v/>
      </c>
      <c r="R126" s="53" t="str">
        <f>IF($A126="","",IF(AND(ISNUMBER($D126),ISNUMBER($E126)),$D126*$E126,""))</f>
        <v/>
      </c>
      <c r="S126" s="49" t="str">
        <f>IF(COUNTA($A126:$J126)=0,"",IF($A126="","Missing: PO ID",IF(COUNTIF($A$2:$A$301,$A126)&gt;1,"Duplicate PO ID",IF($B126="","Missing: supplier",IF($C126="","Missing: SKU",IF(NOT(ISNUMBER($D126)),"Missing: qty",IF(NOT(ISNUMBER($F126)),"Missing: order date",IF(NOT(ISNUMBER($G126)),"Missing: expected date",IF($H126="","Missing: status",IF($I126="","Missing: source link",IF(COUNTIF(Suppliers!$A$2:$A$51,$B126)=0,"Unknown supplier",IF(COUNTIF(Products!$A$2:$A$101,$C126)=0,"Unknown SKU",IF(COUNTIF(Config!$C$15:$C$34,$H126)=0,"Unsupported status",IF($D126&lt;=0,"Qty must be above 0",IF($G126&lt;$F126,"Expected date before order date",IF($M126&gt;$D126,"Received more than ordered",IF(AND($H126="Received",$M126&lt;$D126),"Status Received but not fully received",IF(AND(IFERROR(INDEX(Config!$D$15:$D$34,MATCH($H126,Config!$C$15:$C$34,0)),"No")="Yes",$M126&gt;=$D126),"Fully received: update status","OK"))))))))))))))))))</f>
        <v/>
      </c>
      <c r="T126" s="52" t="str">
        <f>IF($O126=1,IFERROR(COUNTIFS($O$2:$O$301,1,$G$2:$G$301,"&lt;"&amp;$G126)+COUNTIFS($O$2:$O126,1,$G$2:$G126,$G126),""),"")</f>
        <v/>
      </c>
    </row>
    <row r="127">
      <c r="A127" s="46" t="n"/>
      <c r="B127" s="46" t="n"/>
      <c r="C127" s="46" t="n"/>
      <c r="D127" s="48" t="n"/>
      <c r="E127" s="47" t="n"/>
      <c r="F127" s="54" t="n"/>
      <c r="G127" s="54" t="n"/>
      <c r="H127" s="46" t="n"/>
      <c r="I127" s="46" t="n"/>
      <c r="J127" s="46" t="n"/>
      <c r="K127" s="49" t="str">
        <f>IF($A127="","",IFERROR(INDEX(Suppliers!$B$2:$B$51,MATCH($B127,Suppliers!$A$2:$A$51,0))&amp;"","(not found)"))</f>
        <v/>
      </c>
      <c r="L127" s="49" t="str">
        <f>IF($A127="","",IFERROR(INDEX(Products!$B$2:$B$101,MATCH($C127,Products!$A$2:$A$101,0))&amp;"","(not found)"))</f>
        <v/>
      </c>
      <c r="M127" s="50" t="str">
        <f>IF($A127="","",SUMIFS(Inventory_Ledger!$E$2:$E$2001,Inventory_Ledger!$H$2:$H$2001,$A127,Inventory_Ledger!$C$2:$C$2001,"Receipt",Inventory_Ledger!$D$2:$D$2001,$C127))</f>
        <v/>
      </c>
      <c r="N127" s="50" t="str">
        <f>IF($A127="","",IF(IFERROR(INDEX(Config!$D$15:$D$34,MATCH($H127,Config!$C$15:$C$34,0)),"No")="Yes",MAX(0,IF(ISNUMBER($D127),$D127,0)-$M127),0))</f>
        <v/>
      </c>
      <c r="O127" s="52" t="str">
        <f>IF($A127="","",IF($N127&gt;0,1,0))</f>
        <v/>
      </c>
      <c r="P127" s="52" t="str">
        <f>IF($A127="","",IF(AND($O127=1,ISNUMBER($G127)),IF($G127&lt;Config!$B$4,1,0),0))</f>
        <v/>
      </c>
      <c r="Q127" s="52" t="str">
        <f>IF($A127="","",IF($P127=1,Config!$B$4-$G127,0))</f>
        <v/>
      </c>
      <c r="R127" s="53" t="str">
        <f>IF($A127="","",IF(AND(ISNUMBER($D127),ISNUMBER($E127)),$D127*$E127,""))</f>
        <v/>
      </c>
      <c r="S127" s="49" t="str">
        <f>IF(COUNTA($A127:$J127)=0,"",IF($A127="","Missing: PO ID",IF(COUNTIF($A$2:$A$301,$A127)&gt;1,"Duplicate PO ID",IF($B127="","Missing: supplier",IF($C127="","Missing: SKU",IF(NOT(ISNUMBER($D127)),"Missing: qty",IF(NOT(ISNUMBER($F127)),"Missing: order date",IF(NOT(ISNUMBER($G127)),"Missing: expected date",IF($H127="","Missing: status",IF($I127="","Missing: source link",IF(COUNTIF(Suppliers!$A$2:$A$51,$B127)=0,"Unknown supplier",IF(COUNTIF(Products!$A$2:$A$101,$C127)=0,"Unknown SKU",IF(COUNTIF(Config!$C$15:$C$34,$H127)=0,"Unsupported status",IF($D127&lt;=0,"Qty must be above 0",IF($G127&lt;$F127,"Expected date before order date",IF($M127&gt;$D127,"Received more than ordered",IF(AND($H127="Received",$M127&lt;$D127),"Status Received but not fully received",IF(AND(IFERROR(INDEX(Config!$D$15:$D$34,MATCH($H127,Config!$C$15:$C$34,0)),"No")="Yes",$M127&gt;=$D127),"Fully received: update status","OK"))))))))))))))))))</f>
        <v/>
      </c>
      <c r="T127" s="52" t="str">
        <f>IF($O127=1,IFERROR(COUNTIFS($O$2:$O$301,1,$G$2:$G$301,"&lt;"&amp;$G127)+COUNTIFS($O$2:$O127,1,$G$2:$G127,$G127),""),"")</f>
        <v/>
      </c>
    </row>
    <row r="128">
      <c r="A128" s="46" t="n"/>
      <c r="B128" s="46" t="n"/>
      <c r="C128" s="46" t="n"/>
      <c r="D128" s="48" t="n"/>
      <c r="E128" s="47" t="n"/>
      <c r="F128" s="54" t="n"/>
      <c r="G128" s="54" t="n"/>
      <c r="H128" s="46" t="n"/>
      <c r="I128" s="46" t="n"/>
      <c r="J128" s="46" t="n"/>
      <c r="K128" s="49" t="str">
        <f>IF($A128="","",IFERROR(INDEX(Suppliers!$B$2:$B$51,MATCH($B128,Suppliers!$A$2:$A$51,0))&amp;"","(not found)"))</f>
        <v/>
      </c>
      <c r="L128" s="49" t="str">
        <f>IF($A128="","",IFERROR(INDEX(Products!$B$2:$B$101,MATCH($C128,Products!$A$2:$A$101,0))&amp;"","(not found)"))</f>
        <v/>
      </c>
      <c r="M128" s="50" t="str">
        <f>IF($A128="","",SUMIFS(Inventory_Ledger!$E$2:$E$2001,Inventory_Ledger!$H$2:$H$2001,$A128,Inventory_Ledger!$C$2:$C$2001,"Receipt",Inventory_Ledger!$D$2:$D$2001,$C128))</f>
        <v/>
      </c>
      <c r="N128" s="50" t="str">
        <f>IF($A128="","",IF(IFERROR(INDEX(Config!$D$15:$D$34,MATCH($H128,Config!$C$15:$C$34,0)),"No")="Yes",MAX(0,IF(ISNUMBER($D128),$D128,0)-$M128),0))</f>
        <v/>
      </c>
      <c r="O128" s="52" t="str">
        <f>IF($A128="","",IF($N128&gt;0,1,0))</f>
        <v/>
      </c>
      <c r="P128" s="52" t="str">
        <f>IF($A128="","",IF(AND($O128=1,ISNUMBER($G128)),IF($G128&lt;Config!$B$4,1,0),0))</f>
        <v/>
      </c>
      <c r="Q128" s="52" t="str">
        <f>IF($A128="","",IF($P128=1,Config!$B$4-$G128,0))</f>
        <v/>
      </c>
      <c r="R128" s="53" t="str">
        <f>IF($A128="","",IF(AND(ISNUMBER($D128),ISNUMBER($E128)),$D128*$E128,""))</f>
        <v/>
      </c>
      <c r="S128" s="49" t="str">
        <f>IF(COUNTA($A128:$J128)=0,"",IF($A128="","Missing: PO ID",IF(COUNTIF($A$2:$A$301,$A128)&gt;1,"Duplicate PO ID",IF($B128="","Missing: supplier",IF($C128="","Missing: SKU",IF(NOT(ISNUMBER($D128)),"Missing: qty",IF(NOT(ISNUMBER($F128)),"Missing: order date",IF(NOT(ISNUMBER($G128)),"Missing: expected date",IF($H128="","Missing: status",IF($I128="","Missing: source link",IF(COUNTIF(Suppliers!$A$2:$A$51,$B128)=0,"Unknown supplier",IF(COUNTIF(Products!$A$2:$A$101,$C128)=0,"Unknown SKU",IF(COUNTIF(Config!$C$15:$C$34,$H128)=0,"Unsupported status",IF($D128&lt;=0,"Qty must be above 0",IF($G128&lt;$F128,"Expected date before order date",IF($M128&gt;$D128,"Received more than ordered",IF(AND($H128="Received",$M128&lt;$D128),"Status Received but not fully received",IF(AND(IFERROR(INDEX(Config!$D$15:$D$34,MATCH($H128,Config!$C$15:$C$34,0)),"No")="Yes",$M128&gt;=$D128),"Fully received: update status","OK"))))))))))))))))))</f>
        <v/>
      </c>
      <c r="T128" s="52" t="str">
        <f>IF($O128=1,IFERROR(COUNTIFS($O$2:$O$301,1,$G$2:$G$301,"&lt;"&amp;$G128)+COUNTIFS($O$2:$O128,1,$G$2:$G128,$G128),""),"")</f>
        <v/>
      </c>
    </row>
    <row r="129">
      <c r="A129" s="46" t="n"/>
      <c r="B129" s="46" t="n"/>
      <c r="C129" s="46" t="n"/>
      <c r="D129" s="48" t="n"/>
      <c r="E129" s="47" t="n"/>
      <c r="F129" s="54" t="n"/>
      <c r="G129" s="54" t="n"/>
      <c r="H129" s="46" t="n"/>
      <c r="I129" s="46" t="n"/>
      <c r="J129" s="46" t="n"/>
      <c r="K129" s="49" t="str">
        <f>IF($A129="","",IFERROR(INDEX(Suppliers!$B$2:$B$51,MATCH($B129,Suppliers!$A$2:$A$51,0))&amp;"","(not found)"))</f>
        <v/>
      </c>
      <c r="L129" s="49" t="str">
        <f>IF($A129="","",IFERROR(INDEX(Products!$B$2:$B$101,MATCH($C129,Products!$A$2:$A$101,0))&amp;"","(not found)"))</f>
        <v/>
      </c>
      <c r="M129" s="50" t="str">
        <f>IF($A129="","",SUMIFS(Inventory_Ledger!$E$2:$E$2001,Inventory_Ledger!$H$2:$H$2001,$A129,Inventory_Ledger!$C$2:$C$2001,"Receipt",Inventory_Ledger!$D$2:$D$2001,$C129))</f>
        <v/>
      </c>
      <c r="N129" s="50" t="str">
        <f>IF($A129="","",IF(IFERROR(INDEX(Config!$D$15:$D$34,MATCH($H129,Config!$C$15:$C$34,0)),"No")="Yes",MAX(0,IF(ISNUMBER($D129),$D129,0)-$M129),0))</f>
        <v/>
      </c>
      <c r="O129" s="52" t="str">
        <f>IF($A129="","",IF($N129&gt;0,1,0))</f>
        <v/>
      </c>
      <c r="P129" s="52" t="str">
        <f>IF($A129="","",IF(AND($O129=1,ISNUMBER($G129)),IF($G129&lt;Config!$B$4,1,0),0))</f>
        <v/>
      </c>
      <c r="Q129" s="52" t="str">
        <f>IF($A129="","",IF($P129=1,Config!$B$4-$G129,0))</f>
        <v/>
      </c>
      <c r="R129" s="53" t="str">
        <f>IF($A129="","",IF(AND(ISNUMBER($D129),ISNUMBER($E129)),$D129*$E129,""))</f>
        <v/>
      </c>
      <c r="S129" s="49" t="str">
        <f>IF(COUNTA($A129:$J129)=0,"",IF($A129="","Missing: PO ID",IF(COUNTIF($A$2:$A$301,$A129)&gt;1,"Duplicate PO ID",IF($B129="","Missing: supplier",IF($C129="","Missing: SKU",IF(NOT(ISNUMBER($D129)),"Missing: qty",IF(NOT(ISNUMBER($F129)),"Missing: order date",IF(NOT(ISNUMBER($G129)),"Missing: expected date",IF($H129="","Missing: status",IF($I129="","Missing: source link",IF(COUNTIF(Suppliers!$A$2:$A$51,$B129)=0,"Unknown supplier",IF(COUNTIF(Products!$A$2:$A$101,$C129)=0,"Unknown SKU",IF(COUNTIF(Config!$C$15:$C$34,$H129)=0,"Unsupported status",IF($D129&lt;=0,"Qty must be above 0",IF($G129&lt;$F129,"Expected date before order date",IF($M129&gt;$D129,"Received more than ordered",IF(AND($H129="Received",$M129&lt;$D129),"Status Received but not fully received",IF(AND(IFERROR(INDEX(Config!$D$15:$D$34,MATCH($H129,Config!$C$15:$C$34,0)),"No")="Yes",$M129&gt;=$D129),"Fully received: update status","OK"))))))))))))))))))</f>
        <v/>
      </c>
      <c r="T129" s="52" t="str">
        <f>IF($O129=1,IFERROR(COUNTIFS($O$2:$O$301,1,$G$2:$G$301,"&lt;"&amp;$G129)+COUNTIFS($O$2:$O129,1,$G$2:$G129,$G129),""),"")</f>
        <v/>
      </c>
    </row>
    <row r="130">
      <c r="A130" s="46" t="n"/>
      <c r="B130" s="46" t="n"/>
      <c r="C130" s="46" t="n"/>
      <c r="D130" s="48" t="n"/>
      <c r="E130" s="47" t="n"/>
      <c r="F130" s="54" t="n"/>
      <c r="G130" s="54" t="n"/>
      <c r="H130" s="46" t="n"/>
      <c r="I130" s="46" t="n"/>
      <c r="J130" s="46" t="n"/>
      <c r="K130" s="49" t="str">
        <f>IF($A130="","",IFERROR(INDEX(Suppliers!$B$2:$B$51,MATCH($B130,Suppliers!$A$2:$A$51,0))&amp;"","(not found)"))</f>
        <v/>
      </c>
      <c r="L130" s="49" t="str">
        <f>IF($A130="","",IFERROR(INDEX(Products!$B$2:$B$101,MATCH($C130,Products!$A$2:$A$101,0))&amp;"","(not found)"))</f>
        <v/>
      </c>
      <c r="M130" s="50" t="str">
        <f>IF($A130="","",SUMIFS(Inventory_Ledger!$E$2:$E$2001,Inventory_Ledger!$H$2:$H$2001,$A130,Inventory_Ledger!$C$2:$C$2001,"Receipt",Inventory_Ledger!$D$2:$D$2001,$C130))</f>
        <v/>
      </c>
      <c r="N130" s="50" t="str">
        <f>IF($A130="","",IF(IFERROR(INDEX(Config!$D$15:$D$34,MATCH($H130,Config!$C$15:$C$34,0)),"No")="Yes",MAX(0,IF(ISNUMBER($D130),$D130,0)-$M130),0))</f>
        <v/>
      </c>
      <c r="O130" s="52" t="str">
        <f>IF($A130="","",IF($N130&gt;0,1,0))</f>
        <v/>
      </c>
      <c r="P130" s="52" t="str">
        <f>IF($A130="","",IF(AND($O130=1,ISNUMBER($G130)),IF($G130&lt;Config!$B$4,1,0),0))</f>
        <v/>
      </c>
      <c r="Q130" s="52" t="str">
        <f>IF($A130="","",IF($P130=1,Config!$B$4-$G130,0))</f>
        <v/>
      </c>
      <c r="R130" s="53" t="str">
        <f>IF($A130="","",IF(AND(ISNUMBER($D130),ISNUMBER($E130)),$D130*$E130,""))</f>
        <v/>
      </c>
      <c r="S130" s="49" t="str">
        <f>IF(COUNTA($A130:$J130)=0,"",IF($A130="","Missing: PO ID",IF(COUNTIF($A$2:$A$301,$A130)&gt;1,"Duplicate PO ID",IF($B130="","Missing: supplier",IF($C130="","Missing: SKU",IF(NOT(ISNUMBER($D130)),"Missing: qty",IF(NOT(ISNUMBER($F130)),"Missing: order date",IF(NOT(ISNUMBER($G130)),"Missing: expected date",IF($H130="","Missing: status",IF($I130="","Missing: source link",IF(COUNTIF(Suppliers!$A$2:$A$51,$B130)=0,"Unknown supplier",IF(COUNTIF(Products!$A$2:$A$101,$C130)=0,"Unknown SKU",IF(COUNTIF(Config!$C$15:$C$34,$H130)=0,"Unsupported status",IF($D130&lt;=0,"Qty must be above 0",IF($G130&lt;$F130,"Expected date before order date",IF($M130&gt;$D130,"Received more than ordered",IF(AND($H130="Received",$M130&lt;$D130),"Status Received but not fully received",IF(AND(IFERROR(INDEX(Config!$D$15:$D$34,MATCH($H130,Config!$C$15:$C$34,0)),"No")="Yes",$M130&gt;=$D130),"Fully received: update status","OK"))))))))))))))))))</f>
        <v/>
      </c>
      <c r="T130" s="52" t="str">
        <f>IF($O130=1,IFERROR(COUNTIFS($O$2:$O$301,1,$G$2:$G$301,"&lt;"&amp;$G130)+COUNTIFS($O$2:$O130,1,$G$2:$G130,$G130),""),"")</f>
        <v/>
      </c>
    </row>
    <row r="131">
      <c r="A131" s="46" t="n"/>
      <c r="B131" s="46" t="n"/>
      <c r="C131" s="46" t="n"/>
      <c r="D131" s="48" t="n"/>
      <c r="E131" s="47" t="n"/>
      <c r="F131" s="54" t="n"/>
      <c r="G131" s="54" t="n"/>
      <c r="H131" s="46" t="n"/>
      <c r="I131" s="46" t="n"/>
      <c r="J131" s="46" t="n"/>
      <c r="K131" s="49" t="str">
        <f>IF($A131="","",IFERROR(INDEX(Suppliers!$B$2:$B$51,MATCH($B131,Suppliers!$A$2:$A$51,0))&amp;"","(not found)"))</f>
        <v/>
      </c>
      <c r="L131" s="49" t="str">
        <f>IF($A131="","",IFERROR(INDEX(Products!$B$2:$B$101,MATCH($C131,Products!$A$2:$A$101,0))&amp;"","(not found)"))</f>
        <v/>
      </c>
      <c r="M131" s="50" t="str">
        <f>IF($A131="","",SUMIFS(Inventory_Ledger!$E$2:$E$2001,Inventory_Ledger!$H$2:$H$2001,$A131,Inventory_Ledger!$C$2:$C$2001,"Receipt",Inventory_Ledger!$D$2:$D$2001,$C131))</f>
        <v/>
      </c>
      <c r="N131" s="50" t="str">
        <f>IF($A131="","",IF(IFERROR(INDEX(Config!$D$15:$D$34,MATCH($H131,Config!$C$15:$C$34,0)),"No")="Yes",MAX(0,IF(ISNUMBER($D131),$D131,0)-$M131),0))</f>
        <v/>
      </c>
      <c r="O131" s="52" t="str">
        <f>IF($A131="","",IF($N131&gt;0,1,0))</f>
        <v/>
      </c>
      <c r="P131" s="52" t="str">
        <f>IF($A131="","",IF(AND($O131=1,ISNUMBER($G131)),IF($G131&lt;Config!$B$4,1,0),0))</f>
        <v/>
      </c>
      <c r="Q131" s="52" t="str">
        <f>IF($A131="","",IF($P131=1,Config!$B$4-$G131,0))</f>
        <v/>
      </c>
      <c r="R131" s="53" t="str">
        <f>IF($A131="","",IF(AND(ISNUMBER($D131),ISNUMBER($E131)),$D131*$E131,""))</f>
        <v/>
      </c>
      <c r="S131" s="49" t="str">
        <f>IF(COUNTA($A131:$J131)=0,"",IF($A131="","Missing: PO ID",IF(COUNTIF($A$2:$A$301,$A131)&gt;1,"Duplicate PO ID",IF($B131="","Missing: supplier",IF($C131="","Missing: SKU",IF(NOT(ISNUMBER($D131)),"Missing: qty",IF(NOT(ISNUMBER($F131)),"Missing: order date",IF(NOT(ISNUMBER($G131)),"Missing: expected date",IF($H131="","Missing: status",IF($I131="","Missing: source link",IF(COUNTIF(Suppliers!$A$2:$A$51,$B131)=0,"Unknown supplier",IF(COUNTIF(Products!$A$2:$A$101,$C131)=0,"Unknown SKU",IF(COUNTIF(Config!$C$15:$C$34,$H131)=0,"Unsupported status",IF($D131&lt;=0,"Qty must be above 0",IF($G131&lt;$F131,"Expected date before order date",IF($M131&gt;$D131,"Received more than ordered",IF(AND($H131="Received",$M131&lt;$D131),"Status Received but not fully received",IF(AND(IFERROR(INDEX(Config!$D$15:$D$34,MATCH($H131,Config!$C$15:$C$34,0)),"No")="Yes",$M131&gt;=$D131),"Fully received: update status","OK"))))))))))))))))))</f>
        <v/>
      </c>
      <c r="T131" s="52" t="str">
        <f>IF($O131=1,IFERROR(COUNTIFS($O$2:$O$301,1,$G$2:$G$301,"&lt;"&amp;$G131)+COUNTIFS($O$2:$O131,1,$G$2:$G131,$G131),""),"")</f>
        <v/>
      </c>
    </row>
    <row r="132">
      <c r="A132" s="46" t="n"/>
      <c r="B132" s="46" t="n"/>
      <c r="C132" s="46" t="n"/>
      <c r="D132" s="48" t="n"/>
      <c r="E132" s="47" t="n"/>
      <c r="F132" s="54" t="n"/>
      <c r="G132" s="54" t="n"/>
      <c r="H132" s="46" t="n"/>
      <c r="I132" s="46" t="n"/>
      <c r="J132" s="46" t="n"/>
      <c r="K132" s="49" t="str">
        <f>IF($A132="","",IFERROR(INDEX(Suppliers!$B$2:$B$51,MATCH($B132,Suppliers!$A$2:$A$51,0))&amp;"","(not found)"))</f>
        <v/>
      </c>
      <c r="L132" s="49" t="str">
        <f>IF($A132="","",IFERROR(INDEX(Products!$B$2:$B$101,MATCH($C132,Products!$A$2:$A$101,0))&amp;"","(not found)"))</f>
        <v/>
      </c>
      <c r="M132" s="50" t="str">
        <f>IF($A132="","",SUMIFS(Inventory_Ledger!$E$2:$E$2001,Inventory_Ledger!$H$2:$H$2001,$A132,Inventory_Ledger!$C$2:$C$2001,"Receipt",Inventory_Ledger!$D$2:$D$2001,$C132))</f>
        <v/>
      </c>
      <c r="N132" s="50" t="str">
        <f>IF($A132="","",IF(IFERROR(INDEX(Config!$D$15:$D$34,MATCH($H132,Config!$C$15:$C$34,0)),"No")="Yes",MAX(0,IF(ISNUMBER($D132),$D132,0)-$M132),0))</f>
        <v/>
      </c>
      <c r="O132" s="52" t="str">
        <f>IF($A132="","",IF($N132&gt;0,1,0))</f>
        <v/>
      </c>
      <c r="P132" s="52" t="str">
        <f>IF($A132="","",IF(AND($O132=1,ISNUMBER($G132)),IF($G132&lt;Config!$B$4,1,0),0))</f>
        <v/>
      </c>
      <c r="Q132" s="52" t="str">
        <f>IF($A132="","",IF($P132=1,Config!$B$4-$G132,0))</f>
        <v/>
      </c>
      <c r="R132" s="53" t="str">
        <f>IF($A132="","",IF(AND(ISNUMBER($D132),ISNUMBER($E132)),$D132*$E132,""))</f>
        <v/>
      </c>
      <c r="S132" s="49" t="str">
        <f>IF(COUNTA($A132:$J132)=0,"",IF($A132="","Missing: PO ID",IF(COUNTIF($A$2:$A$301,$A132)&gt;1,"Duplicate PO ID",IF($B132="","Missing: supplier",IF($C132="","Missing: SKU",IF(NOT(ISNUMBER($D132)),"Missing: qty",IF(NOT(ISNUMBER($F132)),"Missing: order date",IF(NOT(ISNUMBER($G132)),"Missing: expected date",IF($H132="","Missing: status",IF($I132="","Missing: source link",IF(COUNTIF(Suppliers!$A$2:$A$51,$B132)=0,"Unknown supplier",IF(COUNTIF(Products!$A$2:$A$101,$C132)=0,"Unknown SKU",IF(COUNTIF(Config!$C$15:$C$34,$H132)=0,"Unsupported status",IF($D132&lt;=0,"Qty must be above 0",IF($G132&lt;$F132,"Expected date before order date",IF($M132&gt;$D132,"Received more than ordered",IF(AND($H132="Received",$M132&lt;$D132),"Status Received but not fully received",IF(AND(IFERROR(INDEX(Config!$D$15:$D$34,MATCH($H132,Config!$C$15:$C$34,0)),"No")="Yes",$M132&gt;=$D132),"Fully received: update status","OK"))))))))))))))))))</f>
        <v/>
      </c>
      <c r="T132" s="52" t="str">
        <f>IF($O132=1,IFERROR(COUNTIFS($O$2:$O$301,1,$G$2:$G$301,"&lt;"&amp;$G132)+COUNTIFS($O$2:$O132,1,$G$2:$G132,$G132),""),"")</f>
        <v/>
      </c>
    </row>
    <row r="133">
      <c r="A133" s="46" t="n"/>
      <c r="B133" s="46" t="n"/>
      <c r="C133" s="46" t="n"/>
      <c r="D133" s="48" t="n"/>
      <c r="E133" s="47" t="n"/>
      <c r="F133" s="54" t="n"/>
      <c r="G133" s="54" t="n"/>
      <c r="H133" s="46" t="n"/>
      <c r="I133" s="46" t="n"/>
      <c r="J133" s="46" t="n"/>
      <c r="K133" s="49" t="str">
        <f>IF($A133="","",IFERROR(INDEX(Suppliers!$B$2:$B$51,MATCH($B133,Suppliers!$A$2:$A$51,0))&amp;"","(not found)"))</f>
        <v/>
      </c>
      <c r="L133" s="49" t="str">
        <f>IF($A133="","",IFERROR(INDEX(Products!$B$2:$B$101,MATCH($C133,Products!$A$2:$A$101,0))&amp;"","(not found)"))</f>
        <v/>
      </c>
      <c r="M133" s="50" t="str">
        <f>IF($A133="","",SUMIFS(Inventory_Ledger!$E$2:$E$2001,Inventory_Ledger!$H$2:$H$2001,$A133,Inventory_Ledger!$C$2:$C$2001,"Receipt",Inventory_Ledger!$D$2:$D$2001,$C133))</f>
        <v/>
      </c>
      <c r="N133" s="50" t="str">
        <f>IF($A133="","",IF(IFERROR(INDEX(Config!$D$15:$D$34,MATCH($H133,Config!$C$15:$C$34,0)),"No")="Yes",MAX(0,IF(ISNUMBER($D133),$D133,0)-$M133),0))</f>
        <v/>
      </c>
      <c r="O133" s="52" t="str">
        <f>IF($A133="","",IF($N133&gt;0,1,0))</f>
        <v/>
      </c>
      <c r="P133" s="52" t="str">
        <f>IF($A133="","",IF(AND($O133=1,ISNUMBER($G133)),IF($G133&lt;Config!$B$4,1,0),0))</f>
        <v/>
      </c>
      <c r="Q133" s="52" t="str">
        <f>IF($A133="","",IF($P133=1,Config!$B$4-$G133,0))</f>
        <v/>
      </c>
      <c r="R133" s="53" t="str">
        <f>IF($A133="","",IF(AND(ISNUMBER($D133),ISNUMBER($E133)),$D133*$E133,""))</f>
        <v/>
      </c>
      <c r="S133" s="49" t="str">
        <f>IF(COUNTA($A133:$J133)=0,"",IF($A133="","Missing: PO ID",IF(COUNTIF($A$2:$A$301,$A133)&gt;1,"Duplicate PO ID",IF($B133="","Missing: supplier",IF($C133="","Missing: SKU",IF(NOT(ISNUMBER($D133)),"Missing: qty",IF(NOT(ISNUMBER($F133)),"Missing: order date",IF(NOT(ISNUMBER($G133)),"Missing: expected date",IF($H133="","Missing: status",IF($I133="","Missing: source link",IF(COUNTIF(Suppliers!$A$2:$A$51,$B133)=0,"Unknown supplier",IF(COUNTIF(Products!$A$2:$A$101,$C133)=0,"Unknown SKU",IF(COUNTIF(Config!$C$15:$C$34,$H133)=0,"Unsupported status",IF($D133&lt;=0,"Qty must be above 0",IF($G133&lt;$F133,"Expected date before order date",IF($M133&gt;$D133,"Received more than ordered",IF(AND($H133="Received",$M133&lt;$D133),"Status Received but not fully received",IF(AND(IFERROR(INDEX(Config!$D$15:$D$34,MATCH($H133,Config!$C$15:$C$34,0)),"No")="Yes",$M133&gt;=$D133),"Fully received: update status","OK"))))))))))))))))))</f>
        <v/>
      </c>
      <c r="T133" s="52" t="str">
        <f>IF($O133=1,IFERROR(COUNTIFS($O$2:$O$301,1,$G$2:$G$301,"&lt;"&amp;$G133)+COUNTIFS($O$2:$O133,1,$G$2:$G133,$G133),""),"")</f>
        <v/>
      </c>
    </row>
    <row r="134">
      <c r="A134" s="46" t="n"/>
      <c r="B134" s="46" t="n"/>
      <c r="C134" s="46" t="n"/>
      <c r="D134" s="48" t="n"/>
      <c r="E134" s="47" t="n"/>
      <c r="F134" s="54" t="n"/>
      <c r="G134" s="54" t="n"/>
      <c r="H134" s="46" t="n"/>
      <c r="I134" s="46" t="n"/>
      <c r="J134" s="46" t="n"/>
      <c r="K134" s="49" t="str">
        <f>IF($A134="","",IFERROR(INDEX(Suppliers!$B$2:$B$51,MATCH($B134,Suppliers!$A$2:$A$51,0))&amp;"","(not found)"))</f>
        <v/>
      </c>
      <c r="L134" s="49" t="str">
        <f>IF($A134="","",IFERROR(INDEX(Products!$B$2:$B$101,MATCH($C134,Products!$A$2:$A$101,0))&amp;"","(not found)"))</f>
        <v/>
      </c>
      <c r="M134" s="50" t="str">
        <f>IF($A134="","",SUMIFS(Inventory_Ledger!$E$2:$E$2001,Inventory_Ledger!$H$2:$H$2001,$A134,Inventory_Ledger!$C$2:$C$2001,"Receipt",Inventory_Ledger!$D$2:$D$2001,$C134))</f>
        <v/>
      </c>
      <c r="N134" s="50" t="str">
        <f>IF($A134="","",IF(IFERROR(INDEX(Config!$D$15:$D$34,MATCH($H134,Config!$C$15:$C$34,0)),"No")="Yes",MAX(0,IF(ISNUMBER($D134),$D134,0)-$M134),0))</f>
        <v/>
      </c>
      <c r="O134" s="52" t="str">
        <f>IF($A134="","",IF($N134&gt;0,1,0))</f>
        <v/>
      </c>
      <c r="P134" s="52" t="str">
        <f>IF($A134="","",IF(AND($O134=1,ISNUMBER($G134)),IF($G134&lt;Config!$B$4,1,0),0))</f>
        <v/>
      </c>
      <c r="Q134" s="52" t="str">
        <f>IF($A134="","",IF($P134=1,Config!$B$4-$G134,0))</f>
        <v/>
      </c>
      <c r="R134" s="53" t="str">
        <f>IF($A134="","",IF(AND(ISNUMBER($D134),ISNUMBER($E134)),$D134*$E134,""))</f>
        <v/>
      </c>
      <c r="S134" s="49" t="str">
        <f>IF(COUNTA($A134:$J134)=0,"",IF($A134="","Missing: PO ID",IF(COUNTIF($A$2:$A$301,$A134)&gt;1,"Duplicate PO ID",IF($B134="","Missing: supplier",IF($C134="","Missing: SKU",IF(NOT(ISNUMBER($D134)),"Missing: qty",IF(NOT(ISNUMBER($F134)),"Missing: order date",IF(NOT(ISNUMBER($G134)),"Missing: expected date",IF($H134="","Missing: status",IF($I134="","Missing: source link",IF(COUNTIF(Suppliers!$A$2:$A$51,$B134)=0,"Unknown supplier",IF(COUNTIF(Products!$A$2:$A$101,$C134)=0,"Unknown SKU",IF(COUNTIF(Config!$C$15:$C$34,$H134)=0,"Unsupported status",IF($D134&lt;=0,"Qty must be above 0",IF($G134&lt;$F134,"Expected date before order date",IF($M134&gt;$D134,"Received more than ordered",IF(AND($H134="Received",$M134&lt;$D134),"Status Received but not fully received",IF(AND(IFERROR(INDEX(Config!$D$15:$D$34,MATCH($H134,Config!$C$15:$C$34,0)),"No")="Yes",$M134&gt;=$D134),"Fully received: update status","OK"))))))))))))))))))</f>
        <v/>
      </c>
      <c r="T134" s="52" t="str">
        <f>IF($O134=1,IFERROR(COUNTIFS($O$2:$O$301,1,$G$2:$G$301,"&lt;"&amp;$G134)+COUNTIFS($O$2:$O134,1,$G$2:$G134,$G134),""),"")</f>
        <v/>
      </c>
    </row>
    <row r="135">
      <c r="A135" s="46" t="n"/>
      <c r="B135" s="46" t="n"/>
      <c r="C135" s="46" t="n"/>
      <c r="D135" s="48" t="n"/>
      <c r="E135" s="47" t="n"/>
      <c r="F135" s="54" t="n"/>
      <c r="G135" s="54" t="n"/>
      <c r="H135" s="46" t="n"/>
      <c r="I135" s="46" t="n"/>
      <c r="J135" s="46" t="n"/>
      <c r="K135" s="49" t="str">
        <f>IF($A135="","",IFERROR(INDEX(Suppliers!$B$2:$B$51,MATCH($B135,Suppliers!$A$2:$A$51,0))&amp;"","(not found)"))</f>
        <v/>
      </c>
      <c r="L135" s="49" t="str">
        <f>IF($A135="","",IFERROR(INDEX(Products!$B$2:$B$101,MATCH($C135,Products!$A$2:$A$101,0))&amp;"","(not found)"))</f>
        <v/>
      </c>
      <c r="M135" s="50" t="str">
        <f>IF($A135="","",SUMIFS(Inventory_Ledger!$E$2:$E$2001,Inventory_Ledger!$H$2:$H$2001,$A135,Inventory_Ledger!$C$2:$C$2001,"Receipt",Inventory_Ledger!$D$2:$D$2001,$C135))</f>
        <v/>
      </c>
      <c r="N135" s="50" t="str">
        <f>IF($A135="","",IF(IFERROR(INDEX(Config!$D$15:$D$34,MATCH($H135,Config!$C$15:$C$34,0)),"No")="Yes",MAX(0,IF(ISNUMBER($D135),$D135,0)-$M135),0))</f>
        <v/>
      </c>
      <c r="O135" s="52" t="str">
        <f>IF($A135="","",IF($N135&gt;0,1,0))</f>
        <v/>
      </c>
      <c r="P135" s="52" t="str">
        <f>IF($A135="","",IF(AND($O135=1,ISNUMBER($G135)),IF($G135&lt;Config!$B$4,1,0),0))</f>
        <v/>
      </c>
      <c r="Q135" s="52" t="str">
        <f>IF($A135="","",IF($P135=1,Config!$B$4-$G135,0))</f>
        <v/>
      </c>
      <c r="R135" s="53" t="str">
        <f>IF($A135="","",IF(AND(ISNUMBER($D135),ISNUMBER($E135)),$D135*$E135,""))</f>
        <v/>
      </c>
      <c r="S135" s="49" t="str">
        <f>IF(COUNTA($A135:$J135)=0,"",IF($A135="","Missing: PO ID",IF(COUNTIF($A$2:$A$301,$A135)&gt;1,"Duplicate PO ID",IF($B135="","Missing: supplier",IF($C135="","Missing: SKU",IF(NOT(ISNUMBER($D135)),"Missing: qty",IF(NOT(ISNUMBER($F135)),"Missing: order date",IF(NOT(ISNUMBER($G135)),"Missing: expected date",IF($H135="","Missing: status",IF($I135="","Missing: source link",IF(COUNTIF(Suppliers!$A$2:$A$51,$B135)=0,"Unknown supplier",IF(COUNTIF(Products!$A$2:$A$101,$C135)=0,"Unknown SKU",IF(COUNTIF(Config!$C$15:$C$34,$H135)=0,"Unsupported status",IF($D135&lt;=0,"Qty must be above 0",IF($G135&lt;$F135,"Expected date before order date",IF($M135&gt;$D135,"Received more than ordered",IF(AND($H135="Received",$M135&lt;$D135),"Status Received but not fully received",IF(AND(IFERROR(INDEX(Config!$D$15:$D$34,MATCH($H135,Config!$C$15:$C$34,0)),"No")="Yes",$M135&gt;=$D135),"Fully received: update status","OK"))))))))))))))))))</f>
        <v/>
      </c>
      <c r="T135" s="52" t="str">
        <f>IF($O135=1,IFERROR(COUNTIFS($O$2:$O$301,1,$G$2:$G$301,"&lt;"&amp;$G135)+COUNTIFS($O$2:$O135,1,$G$2:$G135,$G135),""),"")</f>
        <v/>
      </c>
    </row>
    <row r="136">
      <c r="A136" s="46" t="n"/>
      <c r="B136" s="46" t="n"/>
      <c r="C136" s="46" t="n"/>
      <c r="D136" s="48" t="n"/>
      <c r="E136" s="47" t="n"/>
      <c r="F136" s="54" t="n"/>
      <c r="G136" s="54" t="n"/>
      <c r="H136" s="46" t="n"/>
      <c r="I136" s="46" t="n"/>
      <c r="J136" s="46" t="n"/>
      <c r="K136" s="49" t="str">
        <f>IF($A136="","",IFERROR(INDEX(Suppliers!$B$2:$B$51,MATCH($B136,Suppliers!$A$2:$A$51,0))&amp;"","(not found)"))</f>
        <v/>
      </c>
      <c r="L136" s="49" t="str">
        <f>IF($A136="","",IFERROR(INDEX(Products!$B$2:$B$101,MATCH($C136,Products!$A$2:$A$101,0))&amp;"","(not found)"))</f>
        <v/>
      </c>
      <c r="M136" s="50" t="str">
        <f>IF($A136="","",SUMIFS(Inventory_Ledger!$E$2:$E$2001,Inventory_Ledger!$H$2:$H$2001,$A136,Inventory_Ledger!$C$2:$C$2001,"Receipt",Inventory_Ledger!$D$2:$D$2001,$C136))</f>
        <v/>
      </c>
      <c r="N136" s="50" t="str">
        <f>IF($A136="","",IF(IFERROR(INDEX(Config!$D$15:$D$34,MATCH($H136,Config!$C$15:$C$34,0)),"No")="Yes",MAX(0,IF(ISNUMBER($D136),$D136,0)-$M136),0))</f>
        <v/>
      </c>
      <c r="O136" s="52" t="str">
        <f>IF($A136="","",IF($N136&gt;0,1,0))</f>
        <v/>
      </c>
      <c r="P136" s="52" t="str">
        <f>IF($A136="","",IF(AND($O136=1,ISNUMBER($G136)),IF($G136&lt;Config!$B$4,1,0),0))</f>
        <v/>
      </c>
      <c r="Q136" s="52" t="str">
        <f>IF($A136="","",IF($P136=1,Config!$B$4-$G136,0))</f>
        <v/>
      </c>
      <c r="R136" s="53" t="str">
        <f>IF($A136="","",IF(AND(ISNUMBER($D136),ISNUMBER($E136)),$D136*$E136,""))</f>
        <v/>
      </c>
      <c r="S136" s="49" t="str">
        <f>IF(COUNTA($A136:$J136)=0,"",IF($A136="","Missing: PO ID",IF(COUNTIF($A$2:$A$301,$A136)&gt;1,"Duplicate PO ID",IF($B136="","Missing: supplier",IF($C136="","Missing: SKU",IF(NOT(ISNUMBER($D136)),"Missing: qty",IF(NOT(ISNUMBER($F136)),"Missing: order date",IF(NOT(ISNUMBER($G136)),"Missing: expected date",IF($H136="","Missing: status",IF($I136="","Missing: source link",IF(COUNTIF(Suppliers!$A$2:$A$51,$B136)=0,"Unknown supplier",IF(COUNTIF(Products!$A$2:$A$101,$C136)=0,"Unknown SKU",IF(COUNTIF(Config!$C$15:$C$34,$H136)=0,"Unsupported status",IF($D136&lt;=0,"Qty must be above 0",IF($G136&lt;$F136,"Expected date before order date",IF($M136&gt;$D136,"Received more than ordered",IF(AND($H136="Received",$M136&lt;$D136),"Status Received but not fully received",IF(AND(IFERROR(INDEX(Config!$D$15:$D$34,MATCH($H136,Config!$C$15:$C$34,0)),"No")="Yes",$M136&gt;=$D136),"Fully received: update status","OK"))))))))))))))))))</f>
        <v/>
      </c>
      <c r="T136" s="52" t="str">
        <f>IF($O136=1,IFERROR(COUNTIFS($O$2:$O$301,1,$G$2:$G$301,"&lt;"&amp;$G136)+COUNTIFS($O$2:$O136,1,$G$2:$G136,$G136),""),"")</f>
        <v/>
      </c>
    </row>
    <row r="137">
      <c r="A137" s="46" t="n"/>
      <c r="B137" s="46" t="n"/>
      <c r="C137" s="46" t="n"/>
      <c r="D137" s="48" t="n"/>
      <c r="E137" s="47" t="n"/>
      <c r="F137" s="54" t="n"/>
      <c r="G137" s="54" t="n"/>
      <c r="H137" s="46" t="n"/>
      <c r="I137" s="46" t="n"/>
      <c r="J137" s="46" t="n"/>
      <c r="K137" s="49" t="str">
        <f>IF($A137="","",IFERROR(INDEX(Suppliers!$B$2:$B$51,MATCH($B137,Suppliers!$A$2:$A$51,0))&amp;"","(not found)"))</f>
        <v/>
      </c>
      <c r="L137" s="49" t="str">
        <f>IF($A137="","",IFERROR(INDEX(Products!$B$2:$B$101,MATCH($C137,Products!$A$2:$A$101,0))&amp;"","(not found)"))</f>
        <v/>
      </c>
      <c r="M137" s="50" t="str">
        <f>IF($A137="","",SUMIFS(Inventory_Ledger!$E$2:$E$2001,Inventory_Ledger!$H$2:$H$2001,$A137,Inventory_Ledger!$C$2:$C$2001,"Receipt",Inventory_Ledger!$D$2:$D$2001,$C137))</f>
        <v/>
      </c>
      <c r="N137" s="50" t="str">
        <f>IF($A137="","",IF(IFERROR(INDEX(Config!$D$15:$D$34,MATCH($H137,Config!$C$15:$C$34,0)),"No")="Yes",MAX(0,IF(ISNUMBER($D137),$D137,0)-$M137),0))</f>
        <v/>
      </c>
      <c r="O137" s="52" t="str">
        <f>IF($A137="","",IF($N137&gt;0,1,0))</f>
        <v/>
      </c>
      <c r="P137" s="52" t="str">
        <f>IF($A137="","",IF(AND($O137=1,ISNUMBER($G137)),IF($G137&lt;Config!$B$4,1,0),0))</f>
        <v/>
      </c>
      <c r="Q137" s="52" t="str">
        <f>IF($A137="","",IF($P137=1,Config!$B$4-$G137,0))</f>
        <v/>
      </c>
      <c r="R137" s="53" t="str">
        <f>IF($A137="","",IF(AND(ISNUMBER($D137),ISNUMBER($E137)),$D137*$E137,""))</f>
        <v/>
      </c>
      <c r="S137" s="49" t="str">
        <f>IF(COUNTA($A137:$J137)=0,"",IF($A137="","Missing: PO ID",IF(COUNTIF($A$2:$A$301,$A137)&gt;1,"Duplicate PO ID",IF($B137="","Missing: supplier",IF($C137="","Missing: SKU",IF(NOT(ISNUMBER($D137)),"Missing: qty",IF(NOT(ISNUMBER($F137)),"Missing: order date",IF(NOT(ISNUMBER($G137)),"Missing: expected date",IF($H137="","Missing: status",IF($I137="","Missing: source link",IF(COUNTIF(Suppliers!$A$2:$A$51,$B137)=0,"Unknown supplier",IF(COUNTIF(Products!$A$2:$A$101,$C137)=0,"Unknown SKU",IF(COUNTIF(Config!$C$15:$C$34,$H137)=0,"Unsupported status",IF($D137&lt;=0,"Qty must be above 0",IF($G137&lt;$F137,"Expected date before order date",IF($M137&gt;$D137,"Received more than ordered",IF(AND($H137="Received",$M137&lt;$D137),"Status Received but not fully received",IF(AND(IFERROR(INDEX(Config!$D$15:$D$34,MATCH($H137,Config!$C$15:$C$34,0)),"No")="Yes",$M137&gt;=$D137),"Fully received: update status","OK"))))))))))))))))))</f>
        <v/>
      </c>
      <c r="T137" s="52" t="str">
        <f>IF($O137=1,IFERROR(COUNTIFS($O$2:$O$301,1,$G$2:$G$301,"&lt;"&amp;$G137)+COUNTIFS($O$2:$O137,1,$G$2:$G137,$G137),""),"")</f>
        <v/>
      </c>
    </row>
    <row r="138">
      <c r="A138" s="46" t="n"/>
      <c r="B138" s="46" t="n"/>
      <c r="C138" s="46" t="n"/>
      <c r="D138" s="48" t="n"/>
      <c r="E138" s="47" t="n"/>
      <c r="F138" s="54" t="n"/>
      <c r="G138" s="54" t="n"/>
      <c r="H138" s="46" t="n"/>
      <c r="I138" s="46" t="n"/>
      <c r="J138" s="46" t="n"/>
      <c r="K138" s="49" t="str">
        <f>IF($A138="","",IFERROR(INDEX(Suppliers!$B$2:$B$51,MATCH($B138,Suppliers!$A$2:$A$51,0))&amp;"","(not found)"))</f>
        <v/>
      </c>
      <c r="L138" s="49" t="str">
        <f>IF($A138="","",IFERROR(INDEX(Products!$B$2:$B$101,MATCH($C138,Products!$A$2:$A$101,0))&amp;"","(not found)"))</f>
        <v/>
      </c>
      <c r="M138" s="50" t="str">
        <f>IF($A138="","",SUMIFS(Inventory_Ledger!$E$2:$E$2001,Inventory_Ledger!$H$2:$H$2001,$A138,Inventory_Ledger!$C$2:$C$2001,"Receipt",Inventory_Ledger!$D$2:$D$2001,$C138))</f>
        <v/>
      </c>
      <c r="N138" s="50" t="str">
        <f>IF($A138="","",IF(IFERROR(INDEX(Config!$D$15:$D$34,MATCH($H138,Config!$C$15:$C$34,0)),"No")="Yes",MAX(0,IF(ISNUMBER($D138),$D138,0)-$M138),0))</f>
        <v/>
      </c>
      <c r="O138" s="52" t="str">
        <f>IF($A138="","",IF($N138&gt;0,1,0))</f>
        <v/>
      </c>
      <c r="P138" s="52" t="str">
        <f>IF($A138="","",IF(AND($O138=1,ISNUMBER($G138)),IF($G138&lt;Config!$B$4,1,0),0))</f>
        <v/>
      </c>
      <c r="Q138" s="52" t="str">
        <f>IF($A138="","",IF($P138=1,Config!$B$4-$G138,0))</f>
        <v/>
      </c>
      <c r="R138" s="53" t="str">
        <f>IF($A138="","",IF(AND(ISNUMBER($D138),ISNUMBER($E138)),$D138*$E138,""))</f>
        <v/>
      </c>
      <c r="S138" s="49" t="str">
        <f>IF(COUNTA($A138:$J138)=0,"",IF($A138="","Missing: PO ID",IF(COUNTIF($A$2:$A$301,$A138)&gt;1,"Duplicate PO ID",IF($B138="","Missing: supplier",IF($C138="","Missing: SKU",IF(NOT(ISNUMBER($D138)),"Missing: qty",IF(NOT(ISNUMBER($F138)),"Missing: order date",IF(NOT(ISNUMBER($G138)),"Missing: expected date",IF($H138="","Missing: status",IF($I138="","Missing: source link",IF(COUNTIF(Suppliers!$A$2:$A$51,$B138)=0,"Unknown supplier",IF(COUNTIF(Products!$A$2:$A$101,$C138)=0,"Unknown SKU",IF(COUNTIF(Config!$C$15:$C$34,$H138)=0,"Unsupported status",IF($D138&lt;=0,"Qty must be above 0",IF($G138&lt;$F138,"Expected date before order date",IF($M138&gt;$D138,"Received more than ordered",IF(AND($H138="Received",$M138&lt;$D138),"Status Received but not fully received",IF(AND(IFERROR(INDEX(Config!$D$15:$D$34,MATCH($H138,Config!$C$15:$C$34,0)),"No")="Yes",$M138&gt;=$D138),"Fully received: update status","OK"))))))))))))))))))</f>
        <v/>
      </c>
      <c r="T138" s="52" t="str">
        <f>IF($O138=1,IFERROR(COUNTIFS($O$2:$O$301,1,$G$2:$G$301,"&lt;"&amp;$G138)+COUNTIFS($O$2:$O138,1,$G$2:$G138,$G138),""),"")</f>
        <v/>
      </c>
    </row>
    <row r="139">
      <c r="A139" s="46" t="n"/>
      <c r="B139" s="46" t="n"/>
      <c r="C139" s="46" t="n"/>
      <c r="D139" s="48" t="n"/>
      <c r="E139" s="47" t="n"/>
      <c r="F139" s="54" t="n"/>
      <c r="G139" s="54" t="n"/>
      <c r="H139" s="46" t="n"/>
      <c r="I139" s="46" t="n"/>
      <c r="J139" s="46" t="n"/>
      <c r="K139" s="49" t="str">
        <f>IF($A139="","",IFERROR(INDEX(Suppliers!$B$2:$B$51,MATCH($B139,Suppliers!$A$2:$A$51,0))&amp;"","(not found)"))</f>
        <v/>
      </c>
      <c r="L139" s="49" t="str">
        <f>IF($A139="","",IFERROR(INDEX(Products!$B$2:$B$101,MATCH($C139,Products!$A$2:$A$101,0))&amp;"","(not found)"))</f>
        <v/>
      </c>
      <c r="M139" s="50" t="str">
        <f>IF($A139="","",SUMIFS(Inventory_Ledger!$E$2:$E$2001,Inventory_Ledger!$H$2:$H$2001,$A139,Inventory_Ledger!$C$2:$C$2001,"Receipt",Inventory_Ledger!$D$2:$D$2001,$C139))</f>
        <v/>
      </c>
      <c r="N139" s="50" t="str">
        <f>IF($A139="","",IF(IFERROR(INDEX(Config!$D$15:$D$34,MATCH($H139,Config!$C$15:$C$34,0)),"No")="Yes",MAX(0,IF(ISNUMBER($D139),$D139,0)-$M139),0))</f>
        <v/>
      </c>
      <c r="O139" s="52" t="str">
        <f>IF($A139="","",IF($N139&gt;0,1,0))</f>
        <v/>
      </c>
      <c r="P139" s="52" t="str">
        <f>IF($A139="","",IF(AND($O139=1,ISNUMBER($G139)),IF($G139&lt;Config!$B$4,1,0),0))</f>
        <v/>
      </c>
      <c r="Q139" s="52" t="str">
        <f>IF($A139="","",IF($P139=1,Config!$B$4-$G139,0))</f>
        <v/>
      </c>
      <c r="R139" s="53" t="str">
        <f>IF($A139="","",IF(AND(ISNUMBER($D139),ISNUMBER($E139)),$D139*$E139,""))</f>
        <v/>
      </c>
      <c r="S139" s="49" t="str">
        <f>IF(COUNTA($A139:$J139)=0,"",IF($A139="","Missing: PO ID",IF(COUNTIF($A$2:$A$301,$A139)&gt;1,"Duplicate PO ID",IF($B139="","Missing: supplier",IF($C139="","Missing: SKU",IF(NOT(ISNUMBER($D139)),"Missing: qty",IF(NOT(ISNUMBER($F139)),"Missing: order date",IF(NOT(ISNUMBER($G139)),"Missing: expected date",IF($H139="","Missing: status",IF($I139="","Missing: source link",IF(COUNTIF(Suppliers!$A$2:$A$51,$B139)=0,"Unknown supplier",IF(COUNTIF(Products!$A$2:$A$101,$C139)=0,"Unknown SKU",IF(COUNTIF(Config!$C$15:$C$34,$H139)=0,"Unsupported status",IF($D139&lt;=0,"Qty must be above 0",IF($G139&lt;$F139,"Expected date before order date",IF($M139&gt;$D139,"Received more than ordered",IF(AND($H139="Received",$M139&lt;$D139),"Status Received but not fully received",IF(AND(IFERROR(INDEX(Config!$D$15:$D$34,MATCH($H139,Config!$C$15:$C$34,0)),"No")="Yes",$M139&gt;=$D139),"Fully received: update status","OK"))))))))))))))))))</f>
        <v/>
      </c>
      <c r="T139" s="52" t="str">
        <f>IF($O139=1,IFERROR(COUNTIFS($O$2:$O$301,1,$G$2:$G$301,"&lt;"&amp;$G139)+COUNTIFS($O$2:$O139,1,$G$2:$G139,$G139),""),"")</f>
        <v/>
      </c>
    </row>
    <row r="140">
      <c r="A140" s="46" t="n"/>
      <c r="B140" s="46" t="n"/>
      <c r="C140" s="46" t="n"/>
      <c r="D140" s="48" t="n"/>
      <c r="E140" s="47" t="n"/>
      <c r="F140" s="54" t="n"/>
      <c r="G140" s="54" t="n"/>
      <c r="H140" s="46" t="n"/>
      <c r="I140" s="46" t="n"/>
      <c r="J140" s="46" t="n"/>
      <c r="K140" s="49" t="str">
        <f>IF($A140="","",IFERROR(INDEX(Suppliers!$B$2:$B$51,MATCH($B140,Suppliers!$A$2:$A$51,0))&amp;"","(not found)"))</f>
        <v/>
      </c>
      <c r="L140" s="49" t="str">
        <f>IF($A140="","",IFERROR(INDEX(Products!$B$2:$B$101,MATCH($C140,Products!$A$2:$A$101,0))&amp;"","(not found)"))</f>
        <v/>
      </c>
      <c r="M140" s="50" t="str">
        <f>IF($A140="","",SUMIFS(Inventory_Ledger!$E$2:$E$2001,Inventory_Ledger!$H$2:$H$2001,$A140,Inventory_Ledger!$C$2:$C$2001,"Receipt",Inventory_Ledger!$D$2:$D$2001,$C140))</f>
        <v/>
      </c>
      <c r="N140" s="50" t="str">
        <f>IF($A140="","",IF(IFERROR(INDEX(Config!$D$15:$D$34,MATCH($H140,Config!$C$15:$C$34,0)),"No")="Yes",MAX(0,IF(ISNUMBER($D140),$D140,0)-$M140),0))</f>
        <v/>
      </c>
      <c r="O140" s="52" t="str">
        <f>IF($A140="","",IF($N140&gt;0,1,0))</f>
        <v/>
      </c>
      <c r="P140" s="52" t="str">
        <f>IF($A140="","",IF(AND($O140=1,ISNUMBER($G140)),IF($G140&lt;Config!$B$4,1,0),0))</f>
        <v/>
      </c>
      <c r="Q140" s="52" t="str">
        <f>IF($A140="","",IF($P140=1,Config!$B$4-$G140,0))</f>
        <v/>
      </c>
      <c r="R140" s="53" t="str">
        <f>IF($A140="","",IF(AND(ISNUMBER($D140),ISNUMBER($E140)),$D140*$E140,""))</f>
        <v/>
      </c>
      <c r="S140" s="49" t="str">
        <f>IF(COUNTA($A140:$J140)=0,"",IF($A140="","Missing: PO ID",IF(COUNTIF($A$2:$A$301,$A140)&gt;1,"Duplicate PO ID",IF($B140="","Missing: supplier",IF($C140="","Missing: SKU",IF(NOT(ISNUMBER($D140)),"Missing: qty",IF(NOT(ISNUMBER($F140)),"Missing: order date",IF(NOT(ISNUMBER($G140)),"Missing: expected date",IF($H140="","Missing: status",IF($I140="","Missing: source link",IF(COUNTIF(Suppliers!$A$2:$A$51,$B140)=0,"Unknown supplier",IF(COUNTIF(Products!$A$2:$A$101,$C140)=0,"Unknown SKU",IF(COUNTIF(Config!$C$15:$C$34,$H140)=0,"Unsupported status",IF($D140&lt;=0,"Qty must be above 0",IF($G140&lt;$F140,"Expected date before order date",IF($M140&gt;$D140,"Received more than ordered",IF(AND($H140="Received",$M140&lt;$D140),"Status Received but not fully received",IF(AND(IFERROR(INDEX(Config!$D$15:$D$34,MATCH($H140,Config!$C$15:$C$34,0)),"No")="Yes",$M140&gt;=$D140),"Fully received: update status","OK"))))))))))))))))))</f>
        <v/>
      </c>
      <c r="T140" s="52" t="str">
        <f>IF($O140=1,IFERROR(COUNTIFS($O$2:$O$301,1,$G$2:$G$301,"&lt;"&amp;$G140)+COUNTIFS($O$2:$O140,1,$G$2:$G140,$G140),""),"")</f>
        <v/>
      </c>
    </row>
    <row r="141">
      <c r="A141" s="46" t="n"/>
      <c r="B141" s="46" t="n"/>
      <c r="C141" s="46" t="n"/>
      <c r="D141" s="48" t="n"/>
      <c r="E141" s="47" t="n"/>
      <c r="F141" s="54" t="n"/>
      <c r="G141" s="54" t="n"/>
      <c r="H141" s="46" t="n"/>
      <c r="I141" s="46" t="n"/>
      <c r="J141" s="46" t="n"/>
      <c r="K141" s="49" t="str">
        <f>IF($A141="","",IFERROR(INDEX(Suppliers!$B$2:$B$51,MATCH($B141,Suppliers!$A$2:$A$51,0))&amp;"","(not found)"))</f>
        <v/>
      </c>
      <c r="L141" s="49" t="str">
        <f>IF($A141="","",IFERROR(INDEX(Products!$B$2:$B$101,MATCH($C141,Products!$A$2:$A$101,0))&amp;"","(not found)"))</f>
        <v/>
      </c>
      <c r="M141" s="50" t="str">
        <f>IF($A141="","",SUMIFS(Inventory_Ledger!$E$2:$E$2001,Inventory_Ledger!$H$2:$H$2001,$A141,Inventory_Ledger!$C$2:$C$2001,"Receipt",Inventory_Ledger!$D$2:$D$2001,$C141))</f>
        <v/>
      </c>
      <c r="N141" s="50" t="str">
        <f>IF($A141="","",IF(IFERROR(INDEX(Config!$D$15:$D$34,MATCH($H141,Config!$C$15:$C$34,0)),"No")="Yes",MAX(0,IF(ISNUMBER($D141),$D141,0)-$M141),0))</f>
        <v/>
      </c>
      <c r="O141" s="52" t="str">
        <f>IF($A141="","",IF($N141&gt;0,1,0))</f>
        <v/>
      </c>
      <c r="P141" s="52" t="str">
        <f>IF($A141="","",IF(AND($O141=1,ISNUMBER($G141)),IF($G141&lt;Config!$B$4,1,0),0))</f>
        <v/>
      </c>
      <c r="Q141" s="52" t="str">
        <f>IF($A141="","",IF($P141=1,Config!$B$4-$G141,0))</f>
        <v/>
      </c>
      <c r="R141" s="53" t="str">
        <f>IF($A141="","",IF(AND(ISNUMBER($D141),ISNUMBER($E141)),$D141*$E141,""))</f>
        <v/>
      </c>
      <c r="S141" s="49" t="str">
        <f>IF(COUNTA($A141:$J141)=0,"",IF($A141="","Missing: PO ID",IF(COUNTIF($A$2:$A$301,$A141)&gt;1,"Duplicate PO ID",IF($B141="","Missing: supplier",IF($C141="","Missing: SKU",IF(NOT(ISNUMBER($D141)),"Missing: qty",IF(NOT(ISNUMBER($F141)),"Missing: order date",IF(NOT(ISNUMBER($G141)),"Missing: expected date",IF($H141="","Missing: status",IF($I141="","Missing: source link",IF(COUNTIF(Suppliers!$A$2:$A$51,$B141)=0,"Unknown supplier",IF(COUNTIF(Products!$A$2:$A$101,$C141)=0,"Unknown SKU",IF(COUNTIF(Config!$C$15:$C$34,$H141)=0,"Unsupported status",IF($D141&lt;=0,"Qty must be above 0",IF($G141&lt;$F141,"Expected date before order date",IF($M141&gt;$D141,"Received more than ordered",IF(AND($H141="Received",$M141&lt;$D141),"Status Received but not fully received",IF(AND(IFERROR(INDEX(Config!$D$15:$D$34,MATCH($H141,Config!$C$15:$C$34,0)),"No")="Yes",$M141&gt;=$D141),"Fully received: update status","OK"))))))))))))))))))</f>
        <v/>
      </c>
      <c r="T141" s="52" t="str">
        <f>IF($O141=1,IFERROR(COUNTIFS($O$2:$O$301,1,$G$2:$G$301,"&lt;"&amp;$G141)+COUNTIFS($O$2:$O141,1,$G$2:$G141,$G141),""),"")</f>
        <v/>
      </c>
    </row>
    <row r="142">
      <c r="A142" s="46" t="n"/>
      <c r="B142" s="46" t="n"/>
      <c r="C142" s="46" t="n"/>
      <c r="D142" s="48" t="n"/>
      <c r="E142" s="47" t="n"/>
      <c r="F142" s="54" t="n"/>
      <c r="G142" s="54" t="n"/>
      <c r="H142" s="46" t="n"/>
      <c r="I142" s="46" t="n"/>
      <c r="J142" s="46" t="n"/>
      <c r="K142" s="49" t="str">
        <f>IF($A142="","",IFERROR(INDEX(Suppliers!$B$2:$B$51,MATCH($B142,Suppliers!$A$2:$A$51,0))&amp;"","(not found)"))</f>
        <v/>
      </c>
      <c r="L142" s="49" t="str">
        <f>IF($A142="","",IFERROR(INDEX(Products!$B$2:$B$101,MATCH($C142,Products!$A$2:$A$101,0))&amp;"","(not found)"))</f>
        <v/>
      </c>
      <c r="M142" s="50" t="str">
        <f>IF($A142="","",SUMIFS(Inventory_Ledger!$E$2:$E$2001,Inventory_Ledger!$H$2:$H$2001,$A142,Inventory_Ledger!$C$2:$C$2001,"Receipt",Inventory_Ledger!$D$2:$D$2001,$C142))</f>
        <v/>
      </c>
      <c r="N142" s="50" t="str">
        <f>IF($A142="","",IF(IFERROR(INDEX(Config!$D$15:$D$34,MATCH($H142,Config!$C$15:$C$34,0)),"No")="Yes",MAX(0,IF(ISNUMBER($D142),$D142,0)-$M142),0))</f>
        <v/>
      </c>
      <c r="O142" s="52" t="str">
        <f>IF($A142="","",IF($N142&gt;0,1,0))</f>
        <v/>
      </c>
      <c r="P142" s="52" t="str">
        <f>IF($A142="","",IF(AND($O142=1,ISNUMBER($G142)),IF($G142&lt;Config!$B$4,1,0),0))</f>
        <v/>
      </c>
      <c r="Q142" s="52" t="str">
        <f>IF($A142="","",IF($P142=1,Config!$B$4-$G142,0))</f>
        <v/>
      </c>
      <c r="R142" s="53" t="str">
        <f>IF($A142="","",IF(AND(ISNUMBER($D142),ISNUMBER($E142)),$D142*$E142,""))</f>
        <v/>
      </c>
      <c r="S142" s="49" t="str">
        <f>IF(COUNTA($A142:$J142)=0,"",IF($A142="","Missing: PO ID",IF(COUNTIF($A$2:$A$301,$A142)&gt;1,"Duplicate PO ID",IF($B142="","Missing: supplier",IF($C142="","Missing: SKU",IF(NOT(ISNUMBER($D142)),"Missing: qty",IF(NOT(ISNUMBER($F142)),"Missing: order date",IF(NOT(ISNUMBER($G142)),"Missing: expected date",IF($H142="","Missing: status",IF($I142="","Missing: source link",IF(COUNTIF(Suppliers!$A$2:$A$51,$B142)=0,"Unknown supplier",IF(COUNTIF(Products!$A$2:$A$101,$C142)=0,"Unknown SKU",IF(COUNTIF(Config!$C$15:$C$34,$H142)=0,"Unsupported status",IF($D142&lt;=0,"Qty must be above 0",IF($G142&lt;$F142,"Expected date before order date",IF($M142&gt;$D142,"Received more than ordered",IF(AND($H142="Received",$M142&lt;$D142),"Status Received but not fully received",IF(AND(IFERROR(INDEX(Config!$D$15:$D$34,MATCH($H142,Config!$C$15:$C$34,0)),"No")="Yes",$M142&gt;=$D142),"Fully received: update status","OK"))))))))))))))))))</f>
        <v/>
      </c>
      <c r="T142" s="52" t="str">
        <f>IF($O142=1,IFERROR(COUNTIFS($O$2:$O$301,1,$G$2:$G$301,"&lt;"&amp;$G142)+COUNTIFS($O$2:$O142,1,$G$2:$G142,$G142),""),"")</f>
        <v/>
      </c>
    </row>
    <row r="143">
      <c r="A143" s="46" t="n"/>
      <c r="B143" s="46" t="n"/>
      <c r="C143" s="46" t="n"/>
      <c r="D143" s="48" t="n"/>
      <c r="E143" s="47" t="n"/>
      <c r="F143" s="54" t="n"/>
      <c r="G143" s="54" t="n"/>
      <c r="H143" s="46" t="n"/>
      <c r="I143" s="46" t="n"/>
      <c r="J143" s="46" t="n"/>
      <c r="K143" s="49" t="str">
        <f>IF($A143="","",IFERROR(INDEX(Suppliers!$B$2:$B$51,MATCH($B143,Suppliers!$A$2:$A$51,0))&amp;"","(not found)"))</f>
        <v/>
      </c>
      <c r="L143" s="49" t="str">
        <f>IF($A143="","",IFERROR(INDEX(Products!$B$2:$B$101,MATCH($C143,Products!$A$2:$A$101,0))&amp;"","(not found)"))</f>
        <v/>
      </c>
      <c r="M143" s="50" t="str">
        <f>IF($A143="","",SUMIFS(Inventory_Ledger!$E$2:$E$2001,Inventory_Ledger!$H$2:$H$2001,$A143,Inventory_Ledger!$C$2:$C$2001,"Receipt",Inventory_Ledger!$D$2:$D$2001,$C143))</f>
        <v/>
      </c>
      <c r="N143" s="50" t="str">
        <f>IF($A143="","",IF(IFERROR(INDEX(Config!$D$15:$D$34,MATCH($H143,Config!$C$15:$C$34,0)),"No")="Yes",MAX(0,IF(ISNUMBER($D143),$D143,0)-$M143),0))</f>
        <v/>
      </c>
      <c r="O143" s="52" t="str">
        <f>IF($A143="","",IF($N143&gt;0,1,0))</f>
        <v/>
      </c>
      <c r="P143" s="52" t="str">
        <f>IF($A143="","",IF(AND($O143=1,ISNUMBER($G143)),IF($G143&lt;Config!$B$4,1,0),0))</f>
        <v/>
      </c>
      <c r="Q143" s="52" t="str">
        <f>IF($A143="","",IF($P143=1,Config!$B$4-$G143,0))</f>
        <v/>
      </c>
      <c r="R143" s="53" t="str">
        <f>IF($A143="","",IF(AND(ISNUMBER($D143),ISNUMBER($E143)),$D143*$E143,""))</f>
        <v/>
      </c>
      <c r="S143" s="49" t="str">
        <f>IF(COUNTA($A143:$J143)=0,"",IF($A143="","Missing: PO ID",IF(COUNTIF($A$2:$A$301,$A143)&gt;1,"Duplicate PO ID",IF($B143="","Missing: supplier",IF($C143="","Missing: SKU",IF(NOT(ISNUMBER($D143)),"Missing: qty",IF(NOT(ISNUMBER($F143)),"Missing: order date",IF(NOT(ISNUMBER($G143)),"Missing: expected date",IF($H143="","Missing: status",IF($I143="","Missing: source link",IF(COUNTIF(Suppliers!$A$2:$A$51,$B143)=0,"Unknown supplier",IF(COUNTIF(Products!$A$2:$A$101,$C143)=0,"Unknown SKU",IF(COUNTIF(Config!$C$15:$C$34,$H143)=0,"Unsupported status",IF($D143&lt;=0,"Qty must be above 0",IF($G143&lt;$F143,"Expected date before order date",IF($M143&gt;$D143,"Received more than ordered",IF(AND($H143="Received",$M143&lt;$D143),"Status Received but not fully received",IF(AND(IFERROR(INDEX(Config!$D$15:$D$34,MATCH($H143,Config!$C$15:$C$34,0)),"No")="Yes",$M143&gt;=$D143),"Fully received: update status","OK"))))))))))))))))))</f>
        <v/>
      </c>
      <c r="T143" s="52" t="str">
        <f>IF($O143=1,IFERROR(COUNTIFS($O$2:$O$301,1,$G$2:$G$301,"&lt;"&amp;$G143)+COUNTIFS($O$2:$O143,1,$G$2:$G143,$G143),""),"")</f>
        <v/>
      </c>
    </row>
    <row r="144">
      <c r="A144" s="46" t="n"/>
      <c r="B144" s="46" t="n"/>
      <c r="C144" s="46" t="n"/>
      <c r="D144" s="48" t="n"/>
      <c r="E144" s="47" t="n"/>
      <c r="F144" s="54" t="n"/>
      <c r="G144" s="54" t="n"/>
      <c r="H144" s="46" t="n"/>
      <c r="I144" s="46" t="n"/>
      <c r="J144" s="46" t="n"/>
      <c r="K144" s="49" t="str">
        <f>IF($A144="","",IFERROR(INDEX(Suppliers!$B$2:$B$51,MATCH($B144,Suppliers!$A$2:$A$51,0))&amp;"","(not found)"))</f>
        <v/>
      </c>
      <c r="L144" s="49" t="str">
        <f>IF($A144="","",IFERROR(INDEX(Products!$B$2:$B$101,MATCH($C144,Products!$A$2:$A$101,0))&amp;"","(not found)"))</f>
        <v/>
      </c>
      <c r="M144" s="50" t="str">
        <f>IF($A144="","",SUMIFS(Inventory_Ledger!$E$2:$E$2001,Inventory_Ledger!$H$2:$H$2001,$A144,Inventory_Ledger!$C$2:$C$2001,"Receipt",Inventory_Ledger!$D$2:$D$2001,$C144))</f>
        <v/>
      </c>
      <c r="N144" s="50" t="str">
        <f>IF($A144="","",IF(IFERROR(INDEX(Config!$D$15:$D$34,MATCH($H144,Config!$C$15:$C$34,0)),"No")="Yes",MAX(0,IF(ISNUMBER($D144),$D144,0)-$M144),0))</f>
        <v/>
      </c>
      <c r="O144" s="52" t="str">
        <f>IF($A144="","",IF($N144&gt;0,1,0))</f>
        <v/>
      </c>
      <c r="P144" s="52" t="str">
        <f>IF($A144="","",IF(AND($O144=1,ISNUMBER($G144)),IF($G144&lt;Config!$B$4,1,0),0))</f>
        <v/>
      </c>
      <c r="Q144" s="52" t="str">
        <f>IF($A144="","",IF($P144=1,Config!$B$4-$G144,0))</f>
        <v/>
      </c>
      <c r="R144" s="53" t="str">
        <f>IF($A144="","",IF(AND(ISNUMBER($D144),ISNUMBER($E144)),$D144*$E144,""))</f>
        <v/>
      </c>
      <c r="S144" s="49" t="str">
        <f>IF(COUNTA($A144:$J144)=0,"",IF($A144="","Missing: PO ID",IF(COUNTIF($A$2:$A$301,$A144)&gt;1,"Duplicate PO ID",IF($B144="","Missing: supplier",IF($C144="","Missing: SKU",IF(NOT(ISNUMBER($D144)),"Missing: qty",IF(NOT(ISNUMBER($F144)),"Missing: order date",IF(NOT(ISNUMBER($G144)),"Missing: expected date",IF($H144="","Missing: status",IF($I144="","Missing: source link",IF(COUNTIF(Suppliers!$A$2:$A$51,$B144)=0,"Unknown supplier",IF(COUNTIF(Products!$A$2:$A$101,$C144)=0,"Unknown SKU",IF(COUNTIF(Config!$C$15:$C$34,$H144)=0,"Unsupported status",IF($D144&lt;=0,"Qty must be above 0",IF($G144&lt;$F144,"Expected date before order date",IF($M144&gt;$D144,"Received more than ordered",IF(AND($H144="Received",$M144&lt;$D144),"Status Received but not fully received",IF(AND(IFERROR(INDEX(Config!$D$15:$D$34,MATCH($H144,Config!$C$15:$C$34,0)),"No")="Yes",$M144&gt;=$D144),"Fully received: update status","OK"))))))))))))))))))</f>
        <v/>
      </c>
      <c r="T144" s="52" t="str">
        <f>IF($O144=1,IFERROR(COUNTIFS($O$2:$O$301,1,$G$2:$G$301,"&lt;"&amp;$G144)+COUNTIFS($O$2:$O144,1,$G$2:$G144,$G144),""),"")</f>
        <v/>
      </c>
    </row>
    <row r="145">
      <c r="A145" s="46" t="n"/>
      <c r="B145" s="46" t="n"/>
      <c r="C145" s="46" t="n"/>
      <c r="D145" s="48" t="n"/>
      <c r="E145" s="47" t="n"/>
      <c r="F145" s="54" t="n"/>
      <c r="G145" s="54" t="n"/>
      <c r="H145" s="46" t="n"/>
      <c r="I145" s="46" t="n"/>
      <c r="J145" s="46" t="n"/>
      <c r="K145" s="49" t="str">
        <f>IF($A145="","",IFERROR(INDEX(Suppliers!$B$2:$B$51,MATCH($B145,Suppliers!$A$2:$A$51,0))&amp;"","(not found)"))</f>
        <v/>
      </c>
      <c r="L145" s="49" t="str">
        <f>IF($A145="","",IFERROR(INDEX(Products!$B$2:$B$101,MATCH($C145,Products!$A$2:$A$101,0))&amp;"","(not found)"))</f>
        <v/>
      </c>
      <c r="M145" s="50" t="str">
        <f>IF($A145="","",SUMIFS(Inventory_Ledger!$E$2:$E$2001,Inventory_Ledger!$H$2:$H$2001,$A145,Inventory_Ledger!$C$2:$C$2001,"Receipt",Inventory_Ledger!$D$2:$D$2001,$C145))</f>
        <v/>
      </c>
      <c r="N145" s="50" t="str">
        <f>IF($A145="","",IF(IFERROR(INDEX(Config!$D$15:$D$34,MATCH($H145,Config!$C$15:$C$34,0)),"No")="Yes",MAX(0,IF(ISNUMBER($D145),$D145,0)-$M145),0))</f>
        <v/>
      </c>
      <c r="O145" s="52" t="str">
        <f>IF($A145="","",IF($N145&gt;0,1,0))</f>
        <v/>
      </c>
      <c r="P145" s="52" t="str">
        <f>IF($A145="","",IF(AND($O145=1,ISNUMBER($G145)),IF($G145&lt;Config!$B$4,1,0),0))</f>
        <v/>
      </c>
      <c r="Q145" s="52" t="str">
        <f>IF($A145="","",IF($P145=1,Config!$B$4-$G145,0))</f>
        <v/>
      </c>
      <c r="R145" s="53" t="str">
        <f>IF($A145="","",IF(AND(ISNUMBER($D145),ISNUMBER($E145)),$D145*$E145,""))</f>
        <v/>
      </c>
      <c r="S145" s="49" t="str">
        <f>IF(COUNTA($A145:$J145)=0,"",IF($A145="","Missing: PO ID",IF(COUNTIF($A$2:$A$301,$A145)&gt;1,"Duplicate PO ID",IF($B145="","Missing: supplier",IF($C145="","Missing: SKU",IF(NOT(ISNUMBER($D145)),"Missing: qty",IF(NOT(ISNUMBER($F145)),"Missing: order date",IF(NOT(ISNUMBER($G145)),"Missing: expected date",IF($H145="","Missing: status",IF($I145="","Missing: source link",IF(COUNTIF(Suppliers!$A$2:$A$51,$B145)=0,"Unknown supplier",IF(COUNTIF(Products!$A$2:$A$101,$C145)=0,"Unknown SKU",IF(COUNTIF(Config!$C$15:$C$34,$H145)=0,"Unsupported status",IF($D145&lt;=0,"Qty must be above 0",IF($G145&lt;$F145,"Expected date before order date",IF($M145&gt;$D145,"Received more than ordered",IF(AND($H145="Received",$M145&lt;$D145),"Status Received but not fully received",IF(AND(IFERROR(INDEX(Config!$D$15:$D$34,MATCH($H145,Config!$C$15:$C$34,0)),"No")="Yes",$M145&gt;=$D145),"Fully received: update status","OK"))))))))))))))))))</f>
        <v/>
      </c>
      <c r="T145" s="52" t="str">
        <f>IF($O145=1,IFERROR(COUNTIFS($O$2:$O$301,1,$G$2:$G$301,"&lt;"&amp;$G145)+COUNTIFS($O$2:$O145,1,$G$2:$G145,$G145),""),"")</f>
        <v/>
      </c>
    </row>
    <row r="146">
      <c r="A146" s="46" t="n"/>
      <c r="B146" s="46" t="n"/>
      <c r="C146" s="46" t="n"/>
      <c r="D146" s="48" t="n"/>
      <c r="E146" s="47" t="n"/>
      <c r="F146" s="54" t="n"/>
      <c r="G146" s="54" t="n"/>
      <c r="H146" s="46" t="n"/>
      <c r="I146" s="46" t="n"/>
      <c r="J146" s="46" t="n"/>
      <c r="K146" s="49" t="str">
        <f>IF($A146="","",IFERROR(INDEX(Suppliers!$B$2:$B$51,MATCH($B146,Suppliers!$A$2:$A$51,0))&amp;"","(not found)"))</f>
        <v/>
      </c>
      <c r="L146" s="49" t="str">
        <f>IF($A146="","",IFERROR(INDEX(Products!$B$2:$B$101,MATCH($C146,Products!$A$2:$A$101,0))&amp;"","(not found)"))</f>
        <v/>
      </c>
      <c r="M146" s="50" t="str">
        <f>IF($A146="","",SUMIFS(Inventory_Ledger!$E$2:$E$2001,Inventory_Ledger!$H$2:$H$2001,$A146,Inventory_Ledger!$C$2:$C$2001,"Receipt",Inventory_Ledger!$D$2:$D$2001,$C146))</f>
        <v/>
      </c>
      <c r="N146" s="50" t="str">
        <f>IF($A146="","",IF(IFERROR(INDEX(Config!$D$15:$D$34,MATCH($H146,Config!$C$15:$C$34,0)),"No")="Yes",MAX(0,IF(ISNUMBER($D146),$D146,0)-$M146),0))</f>
        <v/>
      </c>
      <c r="O146" s="52" t="str">
        <f>IF($A146="","",IF($N146&gt;0,1,0))</f>
        <v/>
      </c>
      <c r="P146" s="52" t="str">
        <f>IF($A146="","",IF(AND($O146=1,ISNUMBER($G146)),IF($G146&lt;Config!$B$4,1,0),0))</f>
        <v/>
      </c>
      <c r="Q146" s="52" t="str">
        <f>IF($A146="","",IF($P146=1,Config!$B$4-$G146,0))</f>
        <v/>
      </c>
      <c r="R146" s="53" t="str">
        <f>IF($A146="","",IF(AND(ISNUMBER($D146),ISNUMBER($E146)),$D146*$E146,""))</f>
        <v/>
      </c>
      <c r="S146" s="49" t="str">
        <f>IF(COUNTA($A146:$J146)=0,"",IF($A146="","Missing: PO ID",IF(COUNTIF($A$2:$A$301,$A146)&gt;1,"Duplicate PO ID",IF($B146="","Missing: supplier",IF($C146="","Missing: SKU",IF(NOT(ISNUMBER($D146)),"Missing: qty",IF(NOT(ISNUMBER($F146)),"Missing: order date",IF(NOT(ISNUMBER($G146)),"Missing: expected date",IF($H146="","Missing: status",IF($I146="","Missing: source link",IF(COUNTIF(Suppliers!$A$2:$A$51,$B146)=0,"Unknown supplier",IF(COUNTIF(Products!$A$2:$A$101,$C146)=0,"Unknown SKU",IF(COUNTIF(Config!$C$15:$C$34,$H146)=0,"Unsupported status",IF($D146&lt;=0,"Qty must be above 0",IF($G146&lt;$F146,"Expected date before order date",IF($M146&gt;$D146,"Received more than ordered",IF(AND($H146="Received",$M146&lt;$D146),"Status Received but not fully received",IF(AND(IFERROR(INDEX(Config!$D$15:$D$34,MATCH($H146,Config!$C$15:$C$34,0)),"No")="Yes",$M146&gt;=$D146),"Fully received: update status","OK"))))))))))))))))))</f>
        <v/>
      </c>
      <c r="T146" s="52" t="str">
        <f>IF($O146=1,IFERROR(COUNTIFS($O$2:$O$301,1,$G$2:$G$301,"&lt;"&amp;$G146)+COUNTIFS($O$2:$O146,1,$G$2:$G146,$G146),""),"")</f>
        <v/>
      </c>
    </row>
    <row r="147">
      <c r="A147" s="46" t="n"/>
      <c r="B147" s="46" t="n"/>
      <c r="C147" s="46" t="n"/>
      <c r="D147" s="48" t="n"/>
      <c r="E147" s="47" t="n"/>
      <c r="F147" s="54" t="n"/>
      <c r="G147" s="54" t="n"/>
      <c r="H147" s="46" t="n"/>
      <c r="I147" s="46" t="n"/>
      <c r="J147" s="46" t="n"/>
      <c r="K147" s="49" t="str">
        <f>IF($A147="","",IFERROR(INDEX(Suppliers!$B$2:$B$51,MATCH($B147,Suppliers!$A$2:$A$51,0))&amp;"","(not found)"))</f>
        <v/>
      </c>
      <c r="L147" s="49" t="str">
        <f>IF($A147="","",IFERROR(INDEX(Products!$B$2:$B$101,MATCH($C147,Products!$A$2:$A$101,0))&amp;"","(not found)"))</f>
        <v/>
      </c>
      <c r="M147" s="50" t="str">
        <f>IF($A147="","",SUMIFS(Inventory_Ledger!$E$2:$E$2001,Inventory_Ledger!$H$2:$H$2001,$A147,Inventory_Ledger!$C$2:$C$2001,"Receipt",Inventory_Ledger!$D$2:$D$2001,$C147))</f>
        <v/>
      </c>
      <c r="N147" s="50" t="str">
        <f>IF($A147="","",IF(IFERROR(INDEX(Config!$D$15:$D$34,MATCH($H147,Config!$C$15:$C$34,0)),"No")="Yes",MAX(0,IF(ISNUMBER($D147),$D147,0)-$M147),0))</f>
        <v/>
      </c>
      <c r="O147" s="52" t="str">
        <f>IF($A147="","",IF($N147&gt;0,1,0))</f>
        <v/>
      </c>
      <c r="P147" s="52" t="str">
        <f>IF($A147="","",IF(AND($O147=1,ISNUMBER($G147)),IF($G147&lt;Config!$B$4,1,0),0))</f>
        <v/>
      </c>
      <c r="Q147" s="52" t="str">
        <f>IF($A147="","",IF($P147=1,Config!$B$4-$G147,0))</f>
        <v/>
      </c>
      <c r="R147" s="53" t="str">
        <f>IF($A147="","",IF(AND(ISNUMBER($D147),ISNUMBER($E147)),$D147*$E147,""))</f>
        <v/>
      </c>
      <c r="S147" s="49" t="str">
        <f>IF(COUNTA($A147:$J147)=0,"",IF($A147="","Missing: PO ID",IF(COUNTIF($A$2:$A$301,$A147)&gt;1,"Duplicate PO ID",IF($B147="","Missing: supplier",IF($C147="","Missing: SKU",IF(NOT(ISNUMBER($D147)),"Missing: qty",IF(NOT(ISNUMBER($F147)),"Missing: order date",IF(NOT(ISNUMBER($G147)),"Missing: expected date",IF($H147="","Missing: status",IF($I147="","Missing: source link",IF(COUNTIF(Suppliers!$A$2:$A$51,$B147)=0,"Unknown supplier",IF(COUNTIF(Products!$A$2:$A$101,$C147)=0,"Unknown SKU",IF(COUNTIF(Config!$C$15:$C$34,$H147)=0,"Unsupported status",IF($D147&lt;=0,"Qty must be above 0",IF($G147&lt;$F147,"Expected date before order date",IF($M147&gt;$D147,"Received more than ordered",IF(AND($H147="Received",$M147&lt;$D147),"Status Received but not fully received",IF(AND(IFERROR(INDEX(Config!$D$15:$D$34,MATCH($H147,Config!$C$15:$C$34,0)),"No")="Yes",$M147&gt;=$D147),"Fully received: update status","OK"))))))))))))))))))</f>
        <v/>
      </c>
      <c r="T147" s="52" t="str">
        <f>IF($O147=1,IFERROR(COUNTIFS($O$2:$O$301,1,$G$2:$G$301,"&lt;"&amp;$G147)+COUNTIFS($O$2:$O147,1,$G$2:$G147,$G147),""),"")</f>
        <v/>
      </c>
    </row>
    <row r="148">
      <c r="A148" s="46" t="n"/>
      <c r="B148" s="46" t="n"/>
      <c r="C148" s="46" t="n"/>
      <c r="D148" s="48" t="n"/>
      <c r="E148" s="47" t="n"/>
      <c r="F148" s="54" t="n"/>
      <c r="G148" s="54" t="n"/>
      <c r="H148" s="46" t="n"/>
      <c r="I148" s="46" t="n"/>
      <c r="J148" s="46" t="n"/>
      <c r="K148" s="49" t="str">
        <f>IF($A148="","",IFERROR(INDEX(Suppliers!$B$2:$B$51,MATCH($B148,Suppliers!$A$2:$A$51,0))&amp;"","(not found)"))</f>
        <v/>
      </c>
      <c r="L148" s="49" t="str">
        <f>IF($A148="","",IFERROR(INDEX(Products!$B$2:$B$101,MATCH($C148,Products!$A$2:$A$101,0))&amp;"","(not found)"))</f>
        <v/>
      </c>
      <c r="M148" s="50" t="str">
        <f>IF($A148="","",SUMIFS(Inventory_Ledger!$E$2:$E$2001,Inventory_Ledger!$H$2:$H$2001,$A148,Inventory_Ledger!$C$2:$C$2001,"Receipt",Inventory_Ledger!$D$2:$D$2001,$C148))</f>
        <v/>
      </c>
      <c r="N148" s="50" t="str">
        <f>IF($A148="","",IF(IFERROR(INDEX(Config!$D$15:$D$34,MATCH($H148,Config!$C$15:$C$34,0)),"No")="Yes",MAX(0,IF(ISNUMBER($D148),$D148,0)-$M148),0))</f>
        <v/>
      </c>
      <c r="O148" s="52" t="str">
        <f>IF($A148="","",IF($N148&gt;0,1,0))</f>
        <v/>
      </c>
      <c r="P148" s="52" t="str">
        <f>IF($A148="","",IF(AND($O148=1,ISNUMBER($G148)),IF($G148&lt;Config!$B$4,1,0),0))</f>
        <v/>
      </c>
      <c r="Q148" s="52" t="str">
        <f>IF($A148="","",IF($P148=1,Config!$B$4-$G148,0))</f>
        <v/>
      </c>
      <c r="R148" s="53" t="str">
        <f>IF($A148="","",IF(AND(ISNUMBER($D148),ISNUMBER($E148)),$D148*$E148,""))</f>
        <v/>
      </c>
      <c r="S148" s="49" t="str">
        <f>IF(COUNTA($A148:$J148)=0,"",IF($A148="","Missing: PO ID",IF(COUNTIF($A$2:$A$301,$A148)&gt;1,"Duplicate PO ID",IF($B148="","Missing: supplier",IF($C148="","Missing: SKU",IF(NOT(ISNUMBER($D148)),"Missing: qty",IF(NOT(ISNUMBER($F148)),"Missing: order date",IF(NOT(ISNUMBER($G148)),"Missing: expected date",IF($H148="","Missing: status",IF($I148="","Missing: source link",IF(COUNTIF(Suppliers!$A$2:$A$51,$B148)=0,"Unknown supplier",IF(COUNTIF(Products!$A$2:$A$101,$C148)=0,"Unknown SKU",IF(COUNTIF(Config!$C$15:$C$34,$H148)=0,"Unsupported status",IF($D148&lt;=0,"Qty must be above 0",IF($G148&lt;$F148,"Expected date before order date",IF($M148&gt;$D148,"Received more than ordered",IF(AND($H148="Received",$M148&lt;$D148),"Status Received but not fully received",IF(AND(IFERROR(INDEX(Config!$D$15:$D$34,MATCH($H148,Config!$C$15:$C$34,0)),"No")="Yes",$M148&gt;=$D148),"Fully received: update status","OK"))))))))))))))))))</f>
        <v/>
      </c>
      <c r="T148" s="52" t="str">
        <f>IF($O148=1,IFERROR(COUNTIFS($O$2:$O$301,1,$G$2:$G$301,"&lt;"&amp;$G148)+COUNTIFS($O$2:$O148,1,$G$2:$G148,$G148),""),"")</f>
        <v/>
      </c>
    </row>
    <row r="149">
      <c r="A149" s="46" t="n"/>
      <c r="B149" s="46" t="n"/>
      <c r="C149" s="46" t="n"/>
      <c r="D149" s="48" t="n"/>
      <c r="E149" s="47" t="n"/>
      <c r="F149" s="54" t="n"/>
      <c r="G149" s="54" t="n"/>
      <c r="H149" s="46" t="n"/>
      <c r="I149" s="46" t="n"/>
      <c r="J149" s="46" t="n"/>
      <c r="K149" s="49" t="str">
        <f>IF($A149="","",IFERROR(INDEX(Suppliers!$B$2:$B$51,MATCH($B149,Suppliers!$A$2:$A$51,0))&amp;"","(not found)"))</f>
        <v/>
      </c>
      <c r="L149" s="49" t="str">
        <f>IF($A149="","",IFERROR(INDEX(Products!$B$2:$B$101,MATCH($C149,Products!$A$2:$A$101,0))&amp;"","(not found)"))</f>
        <v/>
      </c>
      <c r="M149" s="50" t="str">
        <f>IF($A149="","",SUMIFS(Inventory_Ledger!$E$2:$E$2001,Inventory_Ledger!$H$2:$H$2001,$A149,Inventory_Ledger!$C$2:$C$2001,"Receipt",Inventory_Ledger!$D$2:$D$2001,$C149))</f>
        <v/>
      </c>
      <c r="N149" s="50" t="str">
        <f>IF($A149="","",IF(IFERROR(INDEX(Config!$D$15:$D$34,MATCH($H149,Config!$C$15:$C$34,0)),"No")="Yes",MAX(0,IF(ISNUMBER($D149),$D149,0)-$M149),0))</f>
        <v/>
      </c>
      <c r="O149" s="52" t="str">
        <f>IF($A149="","",IF($N149&gt;0,1,0))</f>
        <v/>
      </c>
      <c r="P149" s="52" t="str">
        <f>IF($A149="","",IF(AND($O149=1,ISNUMBER($G149)),IF($G149&lt;Config!$B$4,1,0),0))</f>
        <v/>
      </c>
      <c r="Q149" s="52" t="str">
        <f>IF($A149="","",IF($P149=1,Config!$B$4-$G149,0))</f>
        <v/>
      </c>
      <c r="R149" s="53" t="str">
        <f>IF($A149="","",IF(AND(ISNUMBER($D149),ISNUMBER($E149)),$D149*$E149,""))</f>
        <v/>
      </c>
      <c r="S149" s="49" t="str">
        <f>IF(COUNTA($A149:$J149)=0,"",IF($A149="","Missing: PO ID",IF(COUNTIF($A$2:$A$301,$A149)&gt;1,"Duplicate PO ID",IF($B149="","Missing: supplier",IF($C149="","Missing: SKU",IF(NOT(ISNUMBER($D149)),"Missing: qty",IF(NOT(ISNUMBER($F149)),"Missing: order date",IF(NOT(ISNUMBER($G149)),"Missing: expected date",IF($H149="","Missing: status",IF($I149="","Missing: source link",IF(COUNTIF(Suppliers!$A$2:$A$51,$B149)=0,"Unknown supplier",IF(COUNTIF(Products!$A$2:$A$101,$C149)=0,"Unknown SKU",IF(COUNTIF(Config!$C$15:$C$34,$H149)=0,"Unsupported status",IF($D149&lt;=0,"Qty must be above 0",IF($G149&lt;$F149,"Expected date before order date",IF($M149&gt;$D149,"Received more than ordered",IF(AND($H149="Received",$M149&lt;$D149),"Status Received but not fully received",IF(AND(IFERROR(INDEX(Config!$D$15:$D$34,MATCH($H149,Config!$C$15:$C$34,0)),"No")="Yes",$M149&gt;=$D149),"Fully received: update status","OK"))))))))))))))))))</f>
        <v/>
      </c>
      <c r="T149" s="52" t="str">
        <f>IF($O149=1,IFERROR(COUNTIFS($O$2:$O$301,1,$G$2:$G$301,"&lt;"&amp;$G149)+COUNTIFS($O$2:$O149,1,$G$2:$G149,$G149),""),"")</f>
        <v/>
      </c>
    </row>
    <row r="150">
      <c r="A150" s="46" t="n"/>
      <c r="B150" s="46" t="n"/>
      <c r="C150" s="46" t="n"/>
      <c r="D150" s="48" t="n"/>
      <c r="E150" s="47" t="n"/>
      <c r="F150" s="54" t="n"/>
      <c r="G150" s="54" t="n"/>
      <c r="H150" s="46" t="n"/>
      <c r="I150" s="46" t="n"/>
      <c r="J150" s="46" t="n"/>
      <c r="K150" s="49" t="str">
        <f>IF($A150="","",IFERROR(INDEX(Suppliers!$B$2:$B$51,MATCH($B150,Suppliers!$A$2:$A$51,0))&amp;"","(not found)"))</f>
        <v/>
      </c>
      <c r="L150" s="49" t="str">
        <f>IF($A150="","",IFERROR(INDEX(Products!$B$2:$B$101,MATCH($C150,Products!$A$2:$A$101,0))&amp;"","(not found)"))</f>
        <v/>
      </c>
      <c r="M150" s="50" t="str">
        <f>IF($A150="","",SUMIFS(Inventory_Ledger!$E$2:$E$2001,Inventory_Ledger!$H$2:$H$2001,$A150,Inventory_Ledger!$C$2:$C$2001,"Receipt",Inventory_Ledger!$D$2:$D$2001,$C150))</f>
        <v/>
      </c>
      <c r="N150" s="50" t="str">
        <f>IF($A150="","",IF(IFERROR(INDEX(Config!$D$15:$D$34,MATCH($H150,Config!$C$15:$C$34,0)),"No")="Yes",MAX(0,IF(ISNUMBER($D150),$D150,0)-$M150),0))</f>
        <v/>
      </c>
      <c r="O150" s="52" t="str">
        <f>IF($A150="","",IF($N150&gt;0,1,0))</f>
        <v/>
      </c>
      <c r="P150" s="52" t="str">
        <f>IF($A150="","",IF(AND($O150=1,ISNUMBER($G150)),IF($G150&lt;Config!$B$4,1,0),0))</f>
        <v/>
      </c>
      <c r="Q150" s="52" t="str">
        <f>IF($A150="","",IF($P150=1,Config!$B$4-$G150,0))</f>
        <v/>
      </c>
      <c r="R150" s="53" t="str">
        <f>IF($A150="","",IF(AND(ISNUMBER($D150),ISNUMBER($E150)),$D150*$E150,""))</f>
        <v/>
      </c>
      <c r="S150" s="49" t="str">
        <f>IF(COUNTA($A150:$J150)=0,"",IF($A150="","Missing: PO ID",IF(COUNTIF($A$2:$A$301,$A150)&gt;1,"Duplicate PO ID",IF($B150="","Missing: supplier",IF($C150="","Missing: SKU",IF(NOT(ISNUMBER($D150)),"Missing: qty",IF(NOT(ISNUMBER($F150)),"Missing: order date",IF(NOT(ISNUMBER($G150)),"Missing: expected date",IF($H150="","Missing: status",IF($I150="","Missing: source link",IF(COUNTIF(Suppliers!$A$2:$A$51,$B150)=0,"Unknown supplier",IF(COUNTIF(Products!$A$2:$A$101,$C150)=0,"Unknown SKU",IF(COUNTIF(Config!$C$15:$C$34,$H150)=0,"Unsupported status",IF($D150&lt;=0,"Qty must be above 0",IF($G150&lt;$F150,"Expected date before order date",IF($M150&gt;$D150,"Received more than ordered",IF(AND($H150="Received",$M150&lt;$D150),"Status Received but not fully received",IF(AND(IFERROR(INDEX(Config!$D$15:$D$34,MATCH($H150,Config!$C$15:$C$34,0)),"No")="Yes",$M150&gt;=$D150),"Fully received: update status","OK"))))))))))))))))))</f>
        <v/>
      </c>
      <c r="T150" s="52" t="str">
        <f>IF($O150=1,IFERROR(COUNTIFS($O$2:$O$301,1,$G$2:$G$301,"&lt;"&amp;$G150)+COUNTIFS($O$2:$O150,1,$G$2:$G150,$G150),""),"")</f>
        <v/>
      </c>
    </row>
    <row r="151">
      <c r="A151" s="46" t="n"/>
      <c r="B151" s="46" t="n"/>
      <c r="C151" s="46" t="n"/>
      <c r="D151" s="48" t="n"/>
      <c r="E151" s="47" t="n"/>
      <c r="F151" s="54" t="n"/>
      <c r="G151" s="54" t="n"/>
      <c r="H151" s="46" t="n"/>
      <c r="I151" s="46" t="n"/>
      <c r="J151" s="46" t="n"/>
      <c r="K151" s="49" t="str">
        <f>IF($A151="","",IFERROR(INDEX(Suppliers!$B$2:$B$51,MATCH($B151,Suppliers!$A$2:$A$51,0))&amp;"","(not found)"))</f>
        <v/>
      </c>
      <c r="L151" s="49" t="str">
        <f>IF($A151="","",IFERROR(INDEX(Products!$B$2:$B$101,MATCH($C151,Products!$A$2:$A$101,0))&amp;"","(not found)"))</f>
        <v/>
      </c>
      <c r="M151" s="50" t="str">
        <f>IF($A151="","",SUMIFS(Inventory_Ledger!$E$2:$E$2001,Inventory_Ledger!$H$2:$H$2001,$A151,Inventory_Ledger!$C$2:$C$2001,"Receipt",Inventory_Ledger!$D$2:$D$2001,$C151))</f>
        <v/>
      </c>
      <c r="N151" s="50" t="str">
        <f>IF($A151="","",IF(IFERROR(INDEX(Config!$D$15:$D$34,MATCH($H151,Config!$C$15:$C$34,0)),"No")="Yes",MAX(0,IF(ISNUMBER($D151),$D151,0)-$M151),0))</f>
        <v/>
      </c>
      <c r="O151" s="52" t="str">
        <f>IF($A151="","",IF($N151&gt;0,1,0))</f>
        <v/>
      </c>
      <c r="P151" s="52" t="str">
        <f>IF($A151="","",IF(AND($O151=1,ISNUMBER($G151)),IF($G151&lt;Config!$B$4,1,0),0))</f>
        <v/>
      </c>
      <c r="Q151" s="52" t="str">
        <f>IF($A151="","",IF($P151=1,Config!$B$4-$G151,0))</f>
        <v/>
      </c>
      <c r="R151" s="53" t="str">
        <f>IF($A151="","",IF(AND(ISNUMBER($D151),ISNUMBER($E151)),$D151*$E151,""))</f>
        <v/>
      </c>
      <c r="S151" s="49" t="str">
        <f>IF(COUNTA($A151:$J151)=0,"",IF($A151="","Missing: PO ID",IF(COUNTIF($A$2:$A$301,$A151)&gt;1,"Duplicate PO ID",IF($B151="","Missing: supplier",IF($C151="","Missing: SKU",IF(NOT(ISNUMBER($D151)),"Missing: qty",IF(NOT(ISNUMBER($F151)),"Missing: order date",IF(NOT(ISNUMBER($G151)),"Missing: expected date",IF($H151="","Missing: status",IF($I151="","Missing: source link",IF(COUNTIF(Suppliers!$A$2:$A$51,$B151)=0,"Unknown supplier",IF(COUNTIF(Products!$A$2:$A$101,$C151)=0,"Unknown SKU",IF(COUNTIF(Config!$C$15:$C$34,$H151)=0,"Unsupported status",IF($D151&lt;=0,"Qty must be above 0",IF($G151&lt;$F151,"Expected date before order date",IF($M151&gt;$D151,"Received more than ordered",IF(AND($H151="Received",$M151&lt;$D151),"Status Received but not fully received",IF(AND(IFERROR(INDEX(Config!$D$15:$D$34,MATCH($H151,Config!$C$15:$C$34,0)),"No")="Yes",$M151&gt;=$D151),"Fully received: update status","OK"))))))))))))))))))</f>
        <v/>
      </c>
      <c r="T151" s="52" t="str">
        <f>IF($O151=1,IFERROR(COUNTIFS($O$2:$O$301,1,$G$2:$G$301,"&lt;"&amp;$G151)+COUNTIFS($O$2:$O151,1,$G$2:$G151,$G151),""),"")</f>
        <v/>
      </c>
    </row>
    <row r="152">
      <c r="A152" s="46" t="n"/>
      <c r="B152" s="46" t="n"/>
      <c r="C152" s="46" t="n"/>
      <c r="D152" s="48" t="n"/>
      <c r="E152" s="47" t="n"/>
      <c r="F152" s="54" t="n"/>
      <c r="G152" s="54" t="n"/>
      <c r="H152" s="46" t="n"/>
      <c r="I152" s="46" t="n"/>
      <c r="J152" s="46" t="n"/>
      <c r="K152" s="49" t="str">
        <f>IF($A152="","",IFERROR(INDEX(Suppliers!$B$2:$B$51,MATCH($B152,Suppliers!$A$2:$A$51,0))&amp;"","(not found)"))</f>
        <v/>
      </c>
      <c r="L152" s="49" t="str">
        <f>IF($A152="","",IFERROR(INDEX(Products!$B$2:$B$101,MATCH($C152,Products!$A$2:$A$101,0))&amp;"","(not found)"))</f>
        <v/>
      </c>
      <c r="M152" s="50" t="str">
        <f>IF($A152="","",SUMIFS(Inventory_Ledger!$E$2:$E$2001,Inventory_Ledger!$H$2:$H$2001,$A152,Inventory_Ledger!$C$2:$C$2001,"Receipt",Inventory_Ledger!$D$2:$D$2001,$C152))</f>
        <v/>
      </c>
      <c r="N152" s="50" t="str">
        <f>IF($A152="","",IF(IFERROR(INDEX(Config!$D$15:$D$34,MATCH($H152,Config!$C$15:$C$34,0)),"No")="Yes",MAX(0,IF(ISNUMBER($D152),$D152,0)-$M152),0))</f>
        <v/>
      </c>
      <c r="O152" s="52" t="str">
        <f>IF($A152="","",IF($N152&gt;0,1,0))</f>
        <v/>
      </c>
      <c r="P152" s="52" t="str">
        <f>IF($A152="","",IF(AND($O152=1,ISNUMBER($G152)),IF($G152&lt;Config!$B$4,1,0),0))</f>
        <v/>
      </c>
      <c r="Q152" s="52" t="str">
        <f>IF($A152="","",IF($P152=1,Config!$B$4-$G152,0))</f>
        <v/>
      </c>
      <c r="R152" s="53" t="str">
        <f>IF($A152="","",IF(AND(ISNUMBER($D152),ISNUMBER($E152)),$D152*$E152,""))</f>
        <v/>
      </c>
      <c r="S152" s="49" t="str">
        <f>IF(COUNTA($A152:$J152)=0,"",IF($A152="","Missing: PO ID",IF(COUNTIF($A$2:$A$301,$A152)&gt;1,"Duplicate PO ID",IF($B152="","Missing: supplier",IF($C152="","Missing: SKU",IF(NOT(ISNUMBER($D152)),"Missing: qty",IF(NOT(ISNUMBER($F152)),"Missing: order date",IF(NOT(ISNUMBER($G152)),"Missing: expected date",IF($H152="","Missing: status",IF($I152="","Missing: source link",IF(COUNTIF(Suppliers!$A$2:$A$51,$B152)=0,"Unknown supplier",IF(COUNTIF(Products!$A$2:$A$101,$C152)=0,"Unknown SKU",IF(COUNTIF(Config!$C$15:$C$34,$H152)=0,"Unsupported status",IF($D152&lt;=0,"Qty must be above 0",IF($G152&lt;$F152,"Expected date before order date",IF($M152&gt;$D152,"Received more than ordered",IF(AND($H152="Received",$M152&lt;$D152),"Status Received but not fully received",IF(AND(IFERROR(INDEX(Config!$D$15:$D$34,MATCH($H152,Config!$C$15:$C$34,0)),"No")="Yes",$M152&gt;=$D152),"Fully received: update status","OK"))))))))))))))))))</f>
        <v/>
      </c>
      <c r="T152" s="52" t="str">
        <f>IF($O152=1,IFERROR(COUNTIFS($O$2:$O$301,1,$G$2:$G$301,"&lt;"&amp;$G152)+COUNTIFS($O$2:$O152,1,$G$2:$G152,$G152),""),"")</f>
        <v/>
      </c>
    </row>
    <row r="153">
      <c r="A153" s="46" t="n"/>
      <c r="B153" s="46" t="n"/>
      <c r="C153" s="46" t="n"/>
      <c r="D153" s="48" t="n"/>
      <c r="E153" s="47" t="n"/>
      <c r="F153" s="54" t="n"/>
      <c r="G153" s="54" t="n"/>
      <c r="H153" s="46" t="n"/>
      <c r="I153" s="46" t="n"/>
      <c r="J153" s="46" t="n"/>
      <c r="K153" s="49" t="str">
        <f>IF($A153="","",IFERROR(INDEX(Suppliers!$B$2:$B$51,MATCH($B153,Suppliers!$A$2:$A$51,0))&amp;"","(not found)"))</f>
        <v/>
      </c>
      <c r="L153" s="49" t="str">
        <f>IF($A153="","",IFERROR(INDEX(Products!$B$2:$B$101,MATCH($C153,Products!$A$2:$A$101,0))&amp;"","(not found)"))</f>
        <v/>
      </c>
      <c r="M153" s="50" t="str">
        <f>IF($A153="","",SUMIFS(Inventory_Ledger!$E$2:$E$2001,Inventory_Ledger!$H$2:$H$2001,$A153,Inventory_Ledger!$C$2:$C$2001,"Receipt",Inventory_Ledger!$D$2:$D$2001,$C153))</f>
        <v/>
      </c>
      <c r="N153" s="50" t="str">
        <f>IF($A153="","",IF(IFERROR(INDEX(Config!$D$15:$D$34,MATCH($H153,Config!$C$15:$C$34,0)),"No")="Yes",MAX(0,IF(ISNUMBER($D153),$D153,0)-$M153),0))</f>
        <v/>
      </c>
      <c r="O153" s="52" t="str">
        <f>IF($A153="","",IF($N153&gt;0,1,0))</f>
        <v/>
      </c>
      <c r="P153" s="52" t="str">
        <f>IF($A153="","",IF(AND($O153=1,ISNUMBER($G153)),IF($G153&lt;Config!$B$4,1,0),0))</f>
        <v/>
      </c>
      <c r="Q153" s="52" t="str">
        <f>IF($A153="","",IF($P153=1,Config!$B$4-$G153,0))</f>
        <v/>
      </c>
      <c r="R153" s="53" t="str">
        <f>IF($A153="","",IF(AND(ISNUMBER($D153),ISNUMBER($E153)),$D153*$E153,""))</f>
        <v/>
      </c>
      <c r="S153" s="49" t="str">
        <f>IF(COUNTA($A153:$J153)=0,"",IF($A153="","Missing: PO ID",IF(COUNTIF($A$2:$A$301,$A153)&gt;1,"Duplicate PO ID",IF($B153="","Missing: supplier",IF($C153="","Missing: SKU",IF(NOT(ISNUMBER($D153)),"Missing: qty",IF(NOT(ISNUMBER($F153)),"Missing: order date",IF(NOT(ISNUMBER($G153)),"Missing: expected date",IF($H153="","Missing: status",IF($I153="","Missing: source link",IF(COUNTIF(Suppliers!$A$2:$A$51,$B153)=0,"Unknown supplier",IF(COUNTIF(Products!$A$2:$A$101,$C153)=0,"Unknown SKU",IF(COUNTIF(Config!$C$15:$C$34,$H153)=0,"Unsupported status",IF($D153&lt;=0,"Qty must be above 0",IF($G153&lt;$F153,"Expected date before order date",IF($M153&gt;$D153,"Received more than ordered",IF(AND($H153="Received",$M153&lt;$D153),"Status Received but not fully received",IF(AND(IFERROR(INDEX(Config!$D$15:$D$34,MATCH($H153,Config!$C$15:$C$34,0)),"No")="Yes",$M153&gt;=$D153),"Fully received: update status","OK"))))))))))))))))))</f>
        <v/>
      </c>
      <c r="T153" s="52" t="str">
        <f>IF($O153=1,IFERROR(COUNTIFS($O$2:$O$301,1,$G$2:$G$301,"&lt;"&amp;$G153)+COUNTIFS($O$2:$O153,1,$G$2:$G153,$G153),""),"")</f>
        <v/>
      </c>
    </row>
    <row r="154">
      <c r="A154" s="46" t="n"/>
      <c r="B154" s="46" t="n"/>
      <c r="C154" s="46" t="n"/>
      <c r="D154" s="48" t="n"/>
      <c r="E154" s="47" t="n"/>
      <c r="F154" s="54" t="n"/>
      <c r="G154" s="54" t="n"/>
      <c r="H154" s="46" t="n"/>
      <c r="I154" s="46" t="n"/>
      <c r="J154" s="46" t="n"/>
      <c r="K154" s="49" t="str">
        <f>IF($A154="","",IFERROR(INDEX(Suppliers!$B$2:$B$51,MATCH($B154,Suppliers!$A$2:$A$51,0))&amp;"","(not found)"))</f>
        <v/>
      </c>
      <c r="L154" s="49" t="str">
        <f>IF($A154="","",IFERROR(INDEX(Products!$B$2:$B$101,MATCH($C154,Products!$A$2:$A$101,0))&amp;"","(not found)"))</f>
        <v/>
      </c>
      <c r="M154" s="50" t="str">
        <f>IF($A154="","",SUMIFS(Inventory_Ledger!$E$2:$E$2001,Inventory_Ledger!$H$2:$H$2001,$A154,Inventory_Ledger!$C$2:$C$2001,"Receipt",Inventory_Ledger!$D$2:$D$2001,$C154))</f>
        <v/>
      </c>
      <c r="N154" s="50" t="str">
        <f>IF($A154="","",IF(IFERROR(INDEX(Config!$D$15:$D$34,MATCH($H154,Config!$C$15:$C$34,0)),"No")="Yes",MAX(0,IF(ISNUMBER($D154),$D154,0)-$M154),0))</f>
        <v/>
      </c>
      <c r="O154" s="52" t="str">
        <f>IF($A154="","",IF($N154&gt;0,1,0))</f>
        <v/>
      </c>
      <c r="P154" s="52" t="str">
        <f>IF($A154="","",IF(AND($O154=1,ISNUMBER($G154)),IF($G154&lt;Config!$B$4,1,0),0))</f>
        <v/>
      </c>
      <c r="Q154" s="52" t="str">
        <f>IF($A154="","",IF($P154=1,Config!$B$4-$G154,0))</f>
        <v/>
      </c>
      <c r="R154" s="53" t="str">
        <f>IF($A154="","",IF(AND(ISNUMBER($D154),ISNUMBER($E154)),$D154*$E154,""))</f>
        <v/>
      </c>
      <c r="S154" s="49" t="str">
        <f>IF(COUNTA($A154:$J154)=0,"",IF($A154="","Missing: PO ID",IF(COUNTIF($A$2:$A$301,$A154)&gt;1,"Duplicate PO ID",IF($B154="","Missing: supplier",IF($C154="","Missing: SKU",IF(NOT(ISNUMBER($D154)),"Missing: qty",IF(NOT(ISNUMBER($F154)),"Missing: order date",IF(NOT(ISNUMBER($G154)),"Missing: expected date",IF($H154="","Missing: status",IF($I154="","Missing: source link",IF(COUNTIF(Suppliers!$A$2:$A$51,$B154)=0,"Unknown supplier",IF(COUNTIF(Products!$A$2:$A$101,$C154)=0,"Unknown SKU",IF(COUNTIF(Config!$C$15:$C$34,$H154)=0,"Unsupported status",IF($D154&lt;=0,"Qty must be above 0",IF($G154&lt;$F154,"Expected date before order date",IF($M154&gt;$D154,"Received more than ordered",IF(AND($H154="Received",$M154&lt;$D154),"Status Received but not fully received",IF(AND(IFERROR(INDEX(Config!$D$15:$D$34,MATCH($H154,Config!$C$15:$C$34,0)),"No")="Yes",$M154&gt;=$D154),"Fully received: update status","OK"))))))))))))))))))</f>
        <v/>
      </c>
      <c r="T154" s="52" t="str">
        <f>IF($O154=1,IFERROR(COUNTIFS($O$2:$O$301,1,$G$2:$G$301,"&lt;"&amp;$G154)+COUNTIFS($O$2:$O154,1,$G$2:$G154,$G154),""),"")</f>
        <v/>
      </c>
    </row>
    <row r="155">
      <c r="A155" s="46" t="n"/>
      <c r="B155" s="46" t="n"/>
      <c r="C155" s="46" t="n"/>
      <c r="D155" s="48" t="n"/>
      <c r="E155" s="47" t="n"/>
      <c r="F155" s="54" t="n"/>
      <c r="G155" s="54" t="n"/>
      <c r="H155" s="46" t="n"/>
      <c r="I155" s="46" t="n"/>
      <c r="J155" s="46" t="n"/>
      <c r="K155" s="49" t="str">
        <f>IF($A155="","",IFERROR(INDEX(Suppliers!$B$2:$B$51,MATCH($B155,Suppliers!$A$2:$A$51,0))&amp;"","(not found)"))</f>
        <v/>
      </c>
      <c r="L155" s="49" t="str">
        <f>IF($A155="","",IFERROR(INDEX(Products!$B$2:$B$101,MATCH($C155,Products!$A$2:$A$101,0))&amp;"","(not found)"))</f>
        <v/>
      </c>
      <c r="M155" s="50" t="str">
        <f>IF($A155="","",SUMIFS(Inventory_Ledger!$E$2:$E$2001,Inventory_Ledger!$H$2:$H$2001,$A155,Inventory_Ledger!$C$2:$C$2001,"Receipt",Inventory_Ledger!$D$2:$D$2001,$C155))</f>
        <v/>
      </c>
      <c r="N155" s="50" t="str">
        <f>IF($A155="","",IF(IFERROR(INDEX(Config!$D$15:$D$34,MATCH($H155,Config!$C$15:$C$34,0)),"No")="Yes",MAX(0,IF(ISNUMBER($D155),$D155,0)-$M155),0))</f>
        <v/>
      </c>
      <c r="O155" s="52" t="str">
        <f>IF($A155="","",IF($N155&gt;0,1,0))</f>
        <v/>
      </c>
      <c r="P155" s="52" t="str">
        <f>IF($A155="","",IF(AND($O155=1,ISNUMBER($G155)),IF($G155&lt;Config!$B$4,1,0),0))</f>
        <v/>
      </c>
      <c r="Q155" s="52" t="str">
        <f>IF($A155="","",IF($P155=1,Config!$B$4-$G155,0))</f>
        <v/>
      </c>
      <c r="R155" s="53" t="str">
        <f>IF($A155="","",IF(AND(ISNUMBER($D155),ISNUMBER($E155)),$D155*$E155,""))</f>
        <v/>
      </c>
      <c r="S155" s="49" t="str">
        <f>IF(COUNTA($A155:$J155)=0,"",IF($A155="","Missing: PO ID",IF(COUNTIF($A$2:$A$301,$A155)&gt;1,"Duplicate PO ID",IF($B155="","Missing: supplier",IF($C155="","Missing: SKU",IF(NOT(ISNUMBER($D155)),"Missing: qty",IF(NOT(ISNUMBER($F155)),"Missing: order date",IF(NOT(ISNUMBER($G155)),"Missing: expected date",IF($H155="","Missing: status",IF($I155="","Missing: source link",IF(COUNTIF(Suppliers!$A$2:$A$51,$B155)=0,"Unknown supplier",IF(COUNTIF(Products!$A$2:$A$101,$C155)=0,"Unknown SKU",IF(COUNTIF(Config!$C$15:$C$34,$H155)=0,"Unsupported status",IF($D155&lt;=0,"Qty must be above 0",IF($G155&lt;$F155,"Expected date before order date",IF($M155&gt;$D155,"Received more than ordered",IF(AND($H155="Received",$M155&lt;$D155),"Status Received but not fully received",IF(AND(IFERROR(INDEX(Config!$D$15:$D$34,MATCH($H155,Config!$C$15:$C$34,0)),"No")="Yes",$M155&gt;=$D155),"Fully received: update status","OK"))))))))))))))))))</f>
        <v/>
      </c>
      <c r="T155" s="52" t="str">
        <f>IF($O155=1,IFERROR(COUNTIFS($O$2:$O$301,1,$G$2:$G$301,"&lt;"&amp;$G155)+COUNTIFS($O$2:$O155,1,$G$2:$G155,$G155),""),"")</f>
        <v/>
      </c>
    </row>
    <row r="156">
      <c r="A156" s="46" t="n"/>
      <c r="B156" s="46" t="n"/>
      <c r="C156" s="46" t="n"/>
      <c r="D156" s="48" t="n"/>
      <c r="E156" s="47" t="n"/>
      <c r="F156" s="54" t="n"/>
      <c r="G156" s="54" t="n"/>
      <c r="H156" s="46" t="n"/>
      <c r="I156" s="46" t="n"/>
      <c r="J156" s="46" t="n"/>
      <c r="K156" s="49" t="str">
        <f>IF($A156="","",IFERROR(INDEX(Suppliers!$B$2:$B$51,MATCH($B156,Suppliers!$A$2:$A$51,0))&amp;"","(not found)"))</f>
        <v/>
      </c>
      <c r="L156" s="49" t="str">
        <f>IF($A156="","",IFERROR(INDEX(Products!$B$2:$B$101,MATCH($C156,Products!$A$2:$A$101,0))&amp;"","(not found)"))</f>
        <v/>
      </c>
      <c r="M156" s="50" t="str">
        <f>IF($A156="","",SUMIFS(Inventory_Ledger!$E$2:$E$2001,Inventory_Ledger!$H$2:$H$2001,$A156,Inventory_Ledger!$C$2:$C$2001,"Receipt",Inventory_Ledger!$D$2:$D$2001,$C156))</f>
        <v/>
      </c>
      <c r="N156" s="50" t="str">
        <f>IF($A156="","",IF(IFERROR(INDEX(Config!$D$15:$D$34,MATCH($H156,Config!$C$15:$C$34,0)),"No")="Yes",MAX(0,IF(ISNUMBER($D156),$D156,0)-$M156),0))</f>
        <v/>
      </c>
      <c r="O156" s="52" t="str">
        <f>IF($A156="","",IF($N156&gt;0,1,0))</f>
        <v/>
      </c>
      <c r="P156" s="52" t="str">
        <f>IF($A156="","",IF(AND($O156=1,ISNUMBER($G156)),IF($G156&lt;Config!$B$4,1,0),0))</f>
        <v/>
      </c>
      <c r="Q156" s="52" t="str">
        <f>IF($A156="","",IF($P156=1,Config!$B$4-$G156,0))</f>
        <v/>
      </c>
      <c r="R156" s="53" t="str">
        <f>IF($A156="","",IF(AND(ISNUMBER($D156),ISNUMBER($E156)),$D156*$E156,""))</f>
        <v/>
      </c>
      <c r="S156" s="49" t="str">
        <f>IF(COUNTA($A156:$J156)=0,"",IF($A156="","Missing: PO ID",IF(COUNTIF($A$2:$A$301,$A156)&gt;1,"Duplicate PO ID",IF($B156="","Missing: supplier",IF($C156="","Missing: SKU",IF(NOT(ISNUMBER($D156)),"Missing: qty",IF(NOT(ISNUMBER($F156)),"Missing: order date",IF(NOT(ISNUMBER($G156)),"Missing: expected date",IF($H156="","Missing: status",IF($I156="","Missing: source link",IF(COUNTIF(Suppliers!$A$2:$A$51,$B156)=0,"Unknown supplier",IF(COUNTIF(Products!$A$2:$A$101,$C156)=0,"Unknown SKU",IF(COUNTIF(Config!$C$15:$C$34,$H156)=0,"Unsupported status",IF($D156&lt;=0,"Qty must be above 0",IF($G156&lt;$F156,"Expected date before order date",IF($M156&gt;$D156,"Received more than ordered",IF(AND($H156="Received",$M156&lt;$D156),"Status Received but not fully received",IF(AND(IFERROR(INDEX(Config!$D$15:$D$34,MATCH($H156,Config!$C$15:$C$34,0)),"No")="Yes",$M156&gt;=$D156),"Fully received: update status","OK"))))))))))))))))))</f>
        <v/>
      </c>
      <c r="T156" s="52" t="str">
        <f>IF($O156=1,IFERROR(COUNTIFS($O$2:$O$301,1,$G$2:$G$301,"&lt;"&amp;$G156)+COUNTIFS($O$2:$O156,1,$G$2:$G156,$G156),""),"")</f>
        <v/>
      </c>
    </row>
    <row r="157">
      <c r="A157" s="46" t="n"/>
      <c r="B157" s="46" t="n"/>
      <c r="C157" s="46" t="n"/>
      <c r="D157" s="48" t="n"/>
      <c r="E157" s="47" t="n"/>
      <c r="F157" s="54" t="n"/>
      <c r="G157" s="54" t="n"/>
      <c r="H157" s="46" t="n"/>
      <c r="I157" s="46" t="n"/>
      <c r="J157" s="46" t="n"/>
      <c r="K157" s="49" t="str">
        <f>IF($A157="","",IFERROR(INDEX(Suppliers!$B$2:$B$51,MATCH($B157,Suppliers!$A$2:$A$51,0))&amp;"","(not found)"))</f>
        <v/>
      </c>
      <c r="L157" s="49" t="str">
        <f>IF($A157="","",IFERROR(INDEX(Products!$B$2:$B$101,MATCH($C157,Products!$A$2:$A$101,0))&amp;"","(not found)"))</f>
        <v/>
      </c>
      <c r="M157" s="50" t="str">
        <f>IF($A157="","",SUMIFS(Inventory_Ledger!$E$2:$E$2001,Inventory_Ledger!$H$2:$H$2001,$A157,Inventory_Ledger!$C$2:$C$2001,"Receipt",Inventory_Ledger!$D$2:$D$2001,$C157))</f>
        <v/>
      </c>
      <c r="N157" s="50" t="str">
        <f>IF($A157="","",IF(IFERROR(INDEX(Config!$D$15:$D$34,MATCH($H157,Config!$C$15:$C$34,0)),"No")="Yes",MAX(0,IF(ISNUMBER($D157),$D157,0)-$M157),0))</f>
        <v/>
      </c>
      <c r="O157" s="52" t="str">
        <f>IF($A157="","",IF($N157&gt;0,1,0))</f>
        <v/>
      </c>
      <c r="P157" s="52" t="str">
        <f>IF($A157="","",IF(AND($O157=1,ISNUMBER($G157)),IF($G157&lt;Config!$B$4,1,0),0))</f>
        <v/>
      </c>
      <c r="Q157" s="52" t="str">
        <f>IF($A157="","",IF($P157=1,Config!$B$4-$G157,0))</f>
        <v/>
      </c>
      <c r="R157" s="53" t="str">
        <f>IF($A157="","",IF(AND(ISNUMBER($D157),ISNUMBER($E157)),$D157*$E157,""))</f>
        <v/>
      </c>
      <c r="S157" s="49" t="str">
        <f>IF(COUNTA($A157:$J157)=0,"",IF($A157="","Missing: PO ID",IF(COUNTIF($A$2:$A$301,$A157)&gt;1,"Duplicate PO ID",IF($B157="","Missing: supplier",IF($C157="","Missing: SKU",IF(NOT(ISNUMBER($D157)),"Missing: qty",IF(NOT(ISNUMBER($F157)),"Missing: order date",IF(NOT(ISNUMBER($G157)),"Missing: expected date",IF($H157="","Missing: status",IF($I157="","Missing: source link",IF(COUNTIF(Suppliers!$A$2:$A$51,$B157)=0,"Unknown supplier",IF(COUNTIF(Products!$A$2:$A$101,$C157)=0,"Unknown SKU",IF(COUNTIF(Config!$C$15:$C$34,$H157)=0,"Unsupported status",IF($D157&lt;=0,"Qty must be above 0",IF($G157&lt;$F157,"Expected date before order date",IF($M157&gt;$D157,"Received more than ordered",IF(AND($H157="Received",$M157&lt;$D157),"Status Received but not fully received",IF(AND(IFERROR(INDEX(Config!$D$15:$D$34,MATCH($H157,Config!$C$15:$C$34,0)),"No")="Yes",$M157&gt;=$D157),"Fully received: update status","OK"))))))))))))))))))</f>
        <v/>
      </c>
      <c r="T157" s="52" t="str">
        <f>IF($O157=1,IFERROR(COUNTIFS($O$2:$O$301,1,$G$2:$G$301,"&lt;"&amp;$G157)+COUNTIFS($O$2:$O157,1,$G$2:$G157,$G157),""),"")</f>
        <v/>
      </c>
    </row>
    <row r="158">
      <c r="A158" s="46" t="n"/>
      <c r="B158" s="46" t="n"/>
      <c r="C158" s="46" t="n"/>
      <c r="D158" s="48" t="n"/>
      <c r="E158" s="47" t="n"/>
      <c r="F158" s="54" t="n"/>
      <c r="G158" s="54" t="n"/>
      <c r="H158" s="46" t="n"/>
      <c r="I158" s="46" t="n"/>
      <c r="J158" s="46" t="n"/>
      <c r="K158" s="49" t="str">
        <f>IF($A158="","",IFERROR(INDEX(Suppliers!$B$2:$B$51,MATCH($B158,Suppliers!$A$2:$A$51,0))&amp;"","(not found)"))</f>
        <v/>
      </c>
      <c r="L158" s="49" t="str">
        <f>IF($A158="","",IFERROR(INDEX(Products!$B$2:$B$101,MATCH($C158,Products!$A$2:$A$101,0))&amp;"","(not found)"))</f>
        <v/>
      </c>
      <c r="M158" s="50" t="str">
        <f>IF($A158="","",SUMIFS(Inventory_Ledger!$E$2:$E$2001,Inventory_Ledger!$H$2:$H$2001,$A158,Inventory_Ledger!$C$2:$C$2001,"Receipt",Inventory_Ledger!$D$2:$D$2001,$C158))</f>
        <v/>
      </c>
      <c r="N158" s="50" t="str">
        <f>IF($A158="","",IF(IFERROR(INDEX(Config!$D$15:$D$34,MATCH($H158,Config!$C$15:$C$34,0)),"No")="Yes",MAX(0,IF(ISNUMBER($D158),$D158,0)-$M158),0))</f>
        <v/>
      </c>
      <c r="O158" s="52" t="str">
        <f>IF($A158="","",IF($N158&gt;0,1,0))</f>
        <v/>
      </c>
      <c r="P158" s="52" t="str">
        <f>IF($A158="","",IF(AND($O158=1,ISNUMBER($G158)),IF($G158&lt;Config!$B$4,1,0),0))</f>
        <v/>
      </c>
      <c r="Q158" s="52" t="str">
        <f>IF($A158="","",IF($P158=1,Config!$B$4-$G158,0))</f>
        <v/>
      </c>
      <c r="R158" s="53" t="str">
        <f>IF($A158="","",IF(AND(ISNUMBER($D158),ISNUMBER($E158)),$D158*$E158,""))</f>
        <v/>
      </c>
      <c r="S158" s="49" t="str">
        <f>IF(COUNTA($A158:$J158)=0,"",IF($A158="","Missing: PO ID",IF(COUNTIF($A$2:$A$301,$A158)&gt;1,"Duplicate PO ID",IF($B158="","Missing: supplier",IF($C158="","Missing: SKU",IF(NOT(ISNUMBER($D158)),"Missing: qty",IF(NOT(ISNUMBER($F158)),"Missing: order date",IF(NOT(ISNUMBER($G158)),"Missing: expected date",IF($H158="","Missing: status",IF($I158="","Missing: source link",IF(COUNTIF(Suppliers!$A$2:$A$51,$B158)=0,"Unknown supplier",IF(COUNTIF(Products!$A$2:$A$101,$C158)=0,"Unknown SKU",IF(COUNTIF(Config!$C$15:$C$34,$H158)=0,"Unsupported status",IF($D158&lt;=0,"Qty must be above 0",IF($G158&lt;$F158,"Expected date before order date",IF($M158&gt;$D158,"Received more than ordered",IF(AND($H158="Received",$M158&lt;$D158),"Status Received but not fully received",IF(AND(IFERROR(INDEX(Config!$D$15:$D$34,MATCH($H158,Config!$C$15:$C$34,0)),"No")="Yes",$M158&gt;=$D158),"Fully received: update status","OK"))))))))))))))))))</f>
        <v/>
      </c>
      <c r="T158" s="52" t="str">
        <f>IF($O158=1,IFERROR(COUNTIFS($O$2:$O$301,1,$G$2:$G$301,"&lt;"&amp;$G158)+COUNTIFS($O$2:$O158,1,$G$2:$G158,$G158),""),"")</f>
        <v/>
      </c>
    </row>
    <row r="159">
      <c r="A159" s="46" t="n"/>
      <c r="B159" s="46" t="n"/>
      <c r="C159" s="46" t="n"/>
      <c r="D159" s="48" t="n"/>
      <c r="E159" s="47" t="n"/>
      <c r="F159" s="54" t="n"/>
      <c r="G159" s="54" t="n"/>
      <c r="H159" s="46" t="n"/>
      <c r="I159" s="46" t="n"/>
      <c r="J159" s="46" t="n"/>
      <c r="K159" s="49" t="str">
        <f>IF($A159="","",IFERROR(INDEX(Suppliers!$B$2:$B$51,MATCH($B159,Suppliers!$A$2:$A$51,0))&amp;"","(not found)"))</f>
        <v/>
      </c>
      <c r="L159" s="49" t="str">
        <f>IF($A159="","",IFERROR(INDEX(Products!$B$2:$B$101,MATCH($C159,Products!$A$2:$A$101,0))&amp;"","(not found)"))</f>
        <v/>
      </c>
      <c r="M159" s="50" t="str">
        <f>IF($A159="","",SUMIFS(Inventory_Ledger!$E$2:$E$2001,Inventory_Ledger!$H$2:$H$2001,$A159,Inventory_Ledger!$C$2:$C$2001,"Receipt",Inventory_Ledger!$D$2:$D$2001,$C159))</f>
        <v/>
      </c>
      <c r="N159" s="50" t="str">
        <f>IF($A159="","",IF(IFERROR(INDEX(Config!$D$15:$D$34,MATCH($H159,Config!$C$15:$C$34,0)),"No")="Yes",MAX(0,IF(ISNUMBER($D159),$D159,0)-$M159),0))</f>
        <v/>
      </c>
      <c r="O159" s="52" t="str">
        <f>IF($A159="","",IF($N159&gt;0,1,0))</f>
        <v/>
      </c>
      <c r="P159" s="52" t="str">
        <f>IF($A159="","",IF(AND($O159=1,ISNUMBER($G159)),IF($G159&lt;Config!$B$4,1,0),0))</f>
        <v/>
      </c>
      <c r="Q159" s="52" t="str">
        <f>IF($A159="","",IF($P159=1,Config!$B$4-$G159,0))</f>
        <v/>
      </c>
      <c r="R159" s="53" t="str">
        <f>IF($A159="","",IF(AND(ISNUMBER($D159),ISNUMBER($E159)),$D159*$E159,""))</f>
        <v/>
      </c>
      <c r="S159" s="49" t="str">
        <f>IF(COUNTA($A159:$J159)=0,"",IF($A159="","Missing: PO ID",IF(COUNTIF($A$2:$A$301,$A159)&gt;1,"Duplicate PO ID",IF($B159="","Missing: supplier",IF($C159="","Missing: SKU",IF(NOT(ISNUMBER($D159)),"Missing: qty",IF(NOT(ISNUMBER($F159)),"Missing: order date",IF(NOT(ISNUMBER($G159)),"Missing: expected date",IF($H159="","Missing: status",IF($I159="","Missing: source link",IF(COUNTIF(Suppliers!$A$2:$A$51,$B159)=0,"Unknown supplier",IF(COUNTIF(Products!$A$2:$A$101,$C159)=0,"Unknown SKU",IF(COUNTIF(Config!$C$15:$C$34,$H159)=0,"Unsupported status",IF($D159&lt;=0,"Qty must be above 0",IF($G159&lt;$F159,"Expected date before order date",IF($M159&gt;$D159,"Received more than ordered",IF(AND($H159="Received",$M159&lt;$D159),"Status Received but not fully received",IF(AND(IFERROR(INDEX(Config!$D$15:$D$34,MATCH($H159,Config!$C$15:$C$34,0)),"No")="Yes",$M159&gt;=$D159),"Fully received: update status","OK"))))))))))))))))))</f>
        <v/>
      </c>
      <c r="T159" s="52" t="str">
        <f>IF($O159=1,IFERROR(COUNTIFS($O$2:$O$301,1,$G$2:$G$301,"&lt;"&amp;$G159)+COUNTIFS($O$2:$O159,1,$G$2:$G159,$G159),""),"")</f>
        <v/>
      </c>
    </row>
    <row r="160">
      <c r="A160" s="46" t="n"/>
      <c r="B160" s="46" t="n"/>
      <c r="C160" s="46" t="n"/>
      <c r="D160" s="48" t="n"/>
      <c r="E160" s="47" t="n"/>
      <c r="F160" s="54" t="n"/>
      <c r="G160" s="54" t="n"/>
      <c r="H160" s="46" t="n"/>
      <c r="I160" s="46" t="n"/>
      <c r="J160" s="46" t="n"/>
      <c r="K160" s="49" t="str">
        <f>IF($A160="","",IFERROR(INDEX(Suppliers!$B$2:$B$51,MATCH($B160,Suppliers!$A$2:$A$51,0))&amp;"","(not found)"))</f>
        <v/>
      </c>
      <c r="L160" s="49" t="str">
        <f>IF($A160="","",IFERROR(INDEX(Products!$B$2:$B$101,MATCH($C160,Products!$A$2:$A$101,0))&amp;"","(not found)"))</f>
        <v/>
      </c>
      <c r="M160" s="50" t="str">
        <f>IF($A160="","",SUMIFS(Inventory_Ledger!$E$2:$E$2001,Inventory_Ledger!$H$2:$H$2001,$A160,Inventory_Ledger!$C$2:$C$2001,"Receipt",Inventory_Ledger!$D$2:$D$2001,$C160))</f>
        <v/>
      </c>
      <c r="N160" s="50" t="str">
        <f>IF($A160="","",IF(IFERROR(INDEX(Config!$D$15:$D$34,MATCH($H160,Config!$C$15:$C$34,0)),"No")="Yes",MAX(0,IF(ISNUMBER($D160),$D160,0)-$M160),0))</f>
        <v/>
      </c>
      <c r="O160" s="52" t="str">
        <f>IF($A160="","",IF($N160&gt;0,1,0))</f>
        <v/>
      </c>
      <c r="P160" s="52" t="str">
        <f>IF($A160="","",IF(AND($O160=1,ISNUMBER($G160)),IF($G160&lt;Config!$B$4,1,0),0))</f>
        <v/>
      </c>
      <c r="Q160" s="52" t="str">
        <f>IF($A160="","",IF($P160=1,Config!$B$4-$G160,0))</f>
        <v/>
      </c>
      <c r="R160" s="53" t="str">
        <f>IF($A160="","",IF(AND(ISNUMBER($D160),ISNUMBER($E160)),$D160*$E160,""))</f>
        <v/>
      </c>
      <c r="S160" s="49" t="str">
        <f>IF(COUNTA($A160:$J160)=0,"",IF($A160="","Missing: PO ID",IF(COUNTIF($A$2:$A$301,$A160)&gt;1,"Duplicate PO ID",IF($B160="","Missing: supplier",IF($C160="","Missing: SKU",IF(NOT(ISNUMBER($D160)),"Missing: qty",IF(NOT(ISNUMBER($F160)),"Missing: order date",IF(NOT(ISNUMBER($G160)),"Missing: expected date",IF($H160="","Missing: status",IF($I160="","Missing: source link",IF(COUNTIF(Suppliers!$A$2:$A$51,$B160)=0,"Unknown supplier",IF(COUNTIF(Products!$A$2:$A$101,$C160)=0,"Unknown SKU",IF(COUNTIF(Config!$C$15:$C$34,$H160)=0,"Unsupported status",IF($D160&lt;=0,"Qty must be above 0",IF($G160&lt;$F160,"Expected date before order date",IF($M160&gt;$D160,"Received more than ordered",IF(AND($H160="Received",$M160&lt;$D160),"Status Received but not fully received",IF(AND(IFERROR(INDEX(Config!$D$15:$D$34,MATCH($H160,Config!$C$15:$C$34,0)),"No")="Yes",$M160&gt;=$D160),"Fully received: update status","OK"))))))))))))))))))</f>
        <v/>
      </c>
      <c r="T160" s="52" t="str">
        <f>IF($O160=1,IFERROR(COUNTIFS($O$2:$O$301,1,$G$2:$G$301,"&lt;"&amp;$G160)+COUNTIFS($O$2:$O160,1,$G$2:$G160,$G160),""),"")</f>
        <v/>
      </c>
    </row>
    <row r="161">
      <c r="A161" s="46" t="n"/>
      <c r="B161" s="46" t="n"/>
      <c r="C161" s="46" t="n"/>
      <c r="D161" s="48" t="n"/>
      <c r="E161" s="47" t="n"/>
      <c r="F161" s="54" t="n"/>
      <c r="G161" s="54" t="n"/>
      <c r="H161" s="46" t="n"/>
      <c r="I161" s="46" t="n"/>
      <c r="J161" s="46" t="n"/>
      <c r="K161" s="49" t="str">
        <f>IF($A161="","",IFERROR(INDEX(Suppliers!$B$2:$B$51,MATCH($B161,Suppliers!$A$2:$A$51,0))&amp;"","(not found)"))</f>
        <v/>
      </c>
      <c r="L161" s="49" t="str">
        <f>IF($A161="","",IFERROR(INDEX(Products!$B$2:$B$101,MATCH($C161,Products!$A$2:$A$101,0))&amp;"","(not found)"))</f>
        <v/>
      </c>
      <c r="M161" s="50" t="str">
        <f>IF($A161="","",SUMIFS(Inventory_Ledger!$E$2:$E$2001,Inventory_Ledger!$H$2:$H$2001,$A161,Inventory_Ledger!$C$2:$C$2001,"Receipt",Inventory_Ledger!$D$2:$D$2001,$C161))</f>
        <v/>
      </c>
      <c r="N161" s="50" t="str">
        <f>IF($A161="","",IF(IFERROR(INDEX(Config!$D$15:$D$34,MATCH($H161,Config!$C$15:$C$34,0)),"No")="Yes",MAX(0,IF(ISNUMBER($D161),$D161,0)-$M161),0))</f>
        <v/>
      </c>
      <c r="O161" s="52" t="str">
        <f>IF($A161="","",IF($N161&gt;0,1,0))</f>
        <v/>
      </c>
      <c r="P161" s="52" t="str">
        <f>IF($A161="","",IF(AND($O161=1,ISNUMBER($G161)),IF($G161&lt;Config!$B$4,1,0),0))</f>
        <v/>
      </c>
      <c r="Q161" s="52" t="str">
        <f>IF($A161="","",IF($P161=1,Config!$B$4-$G161,0))</f>
        <v/>
      </c>
      <c r="R161" s="53" t="str">
        <f>IF($A161="","",IF(AND(ISNUMBER($D161),ISNUMBER($E161)),$D161*$E161,""))</f>
        <v/>
      </c>
      <c r="S161" s="49" t="str">
        <f>IF(COUNTA($A161:$J161)=0,"",IF($A161="","Missing: PO ID",IF(COUNTIF($A$2:$A$301,$A161)&gt;1,"Duplicate PO ID",IF($B161="","Missing: supplier",IF($C161="","Missing: SKU",IF(NOT(ISNUMBER($D161)),"Missing: qty",IF(NOT(ISNUMBER($F161)),"Missing: order date",IF(NOT(ISNUMBER($G161)),"Missing: expected date",IF($H161="","Missing: status",IF($I161="","Missing: source link",IF(COUNTIF(Suppliers!$A$2:$A$51,$B161)=0,"Unknown supplier",IF(COUNTIF(Products!$A$2:$A$101,$C161)=0,"Unknown SKU",IF(COUNTIF(Config!$C$15:$C$34,$H161)=0,"Unsupported status",IF($D161&lt;=0,"Qty must be above 0",IF($G161&lt;$F161,"Expected date before order date",IF($M161&gt;$D161,"Received more than ordered",IF(AND($H161="Received",$M161&lt;$D161),"Status Received but not fully received",IF(AND(IFERROR(INDEX(Config!$D$15:$D$34,MATCH($H161,Config!$C$15:$C$34,0)),"No")="Yes",$M161&gt;=$D161),"Fully received: update status","OK"))))))))))))))))))</f>
        <v/>
      </c>
      <c r="T161" s="52" t="str">
        <f>IF($O161=1,IFERROR(COUNTIFS($O$2:$O$301,1,$G$2:$G$301,"&lt;"&amp;$G161)+COUNTIFS($O$2:$O161,1,$G$2:$G161,$G161),""),"")</f>
        <v/>
      </c>
    </row>
    <row r="162">
      <c r="A162" s="46" t="n"/>
      <c r="B162" s="46" t="n"/>
      <c r="C162" s="46" t="n"/>
      <c r="D162" s="48" t="n"/>
      <c r="E162" s="47" t="n"/>
      <c r="F162" s="54" t="n"/>
      <c r="G162" s="54" t="n"/>
      <c r="H162" s="46" t="n"/>
      <c r="I162" s="46" t="n"/>
      <c r="J162" s="46" t="n"/>
      <c r="K162" s="49" t="str">
        <f>IF($A162="","",IFERROR(INDEX(Suppliers!$B$2:$B$51,MATCH($B162,Suppliers!$A$2:$A$51,0))&amp;"","(not found)"))</f>
        <v/>
      </c>
      <c r="L162" s="49" t="str">
        <f>IF($A162="","",IFERROR(INDEX(Products!$B$2:$B$101,MATCH($C162,Products!$A$2:$A$101,0))&amp;"","(not found)"))</f>
        <v/>
      </c>
      <c r="M162" s="50" t="str">
        <f>IF($A162="","",SUMIFS(Inventory_Ledger!$E$2:$E$2001,Inventory_Ledger!$H$2:$H$2001,$A162,Inventory_Ledger!$C$2:$C$2001,"Receipt",Inventory_Ledger!$D$2:$D$2001,$C162))</f>
        <v/>
      </c>
      <c r="N162" s="50" t="str">
        <f>IF($A162="","",IF(IFERROR(INDEX(Config!$D$15:$D$34,MATCH($H162,Config!$C$15:$C$34,0)),"No")="Yes",MAX(0,IF(ISNUMBER($D162),$D162,0)-$M162),0))</f>
        <v/>
      </c>
      <c r="O162" s="52" t="str">
        <f>IF($A162="","",IF($N162&gt;0,1,0))</f>
        <v/>
      </c>
      <c r="P162" s="52" t="str">
        <f>IF($A162="","",IF(AND($O162=1,ISNUMBER($G162)),IF($G162&lt;Config!$B$4,1,0),0))</f>
        <v/>
      </c>
      <c r="Q162" s="52" t="str">
        <f>IF($A162="","",IF($P162=1,Config!$B$4-$G162,0))</f>
        <v/>
      </c>
      <c r="R162" s="53" t="str">
        <f>IF($A162="","",IF(AND(ISNUMBER($D162),ISNUMBER($E162)),$D162*$E162,""))</f>
        <v/>
      </c>
      <c r="S162" s="49" t="str">
        <f>IF(COUNTA($A162:$J162)=0,"",IF($A162="","Missing: PO ID",IF(COUNTIF($A$2:$A$301,$A162)&gt;1,"Duplicate PO ID",IF($B162="","Missing: supplier",IF($C162="","Missing: SKU",IF(NOT(ISNUMBER($D162)),"Missing: qty",IF(NOT(ISNUMBER($F162)),"Missing: order date",IF(NOT(ISNUMBER($G162)),"Missing: expected date",IF($H162="","Missing: status",IF($I162="","Missing: source link",IF(COUNTIF(Suppliers!$A$2:$A$51,$B162)=0,"Unknown supplier",IF(COUNTIF(Products!$A$2:$A$101,$C162)=0,"Unknown SKU",IF(COUNTIF(Config!$C$15:$C$34,$H162)=0,"Unsupported status",IF($D162&lt;=0,"Qty must be above 0",IF($G162&lt;$F162,"Expected date before order date",IF($M162&gt;$D162,"Received more than ordered",IF(AND($H162="Received",$M162&lt;$D162),"Status Received but not fully received",IF(AND(IFERROR(INDEX(Config!$D$15:$D$34,MATCH($H162,Config!$C$15:$C$34,0)),"No")="Yes",$M162&gt;=$D162),"Fully received: update status","OK"))))))))))))))))))</f>
        <v/>
      </c>
      <c r="T162" s="52" t="str">
        <f>IF($O162=1,IFERROR(COUNTIFS($O$2:$O$301,1,$G$2:$G$301,"&lt;"&amp;$G162)+COUNTIFS($O$2:$O162,1,$G$2:$G162,$G162),""),"")</f>
        <v/>
      </c>
    </row>
    <row r="163">
      <c r="A163" s="46" t="n"/>
      <c r="B163" s="46" t="n"/>
      <c r="C163" s="46" t="n"/>
      <c r="D163" s="48" t="n"/>
      <c r="E163" s="47" t="n"/>
      <c r="F163" s="54" t="n"/>
      <c r="G163" s="54" t="n"/>
      <c r="H163" s="46" t="n"/>
      <c r="I163" s="46" t="n"/>
      <c r="J163" s="46" t="n"/>
      <c r="K163" s="49" t="str">
        <f>IF($A163="","",IFERROR(INDEX(Suppliers!$B$2:$B$51,MATCH($B163,Suppliers!$A$2:$A$51,0))&amp;"","(not found)"))</f>
        <v/>
      </c>
      <c r="L163" s="49" t="str">
        <f>IF($A163="","",IFERROR(INDEX(Products!$B$2:$B$101,MATCH($C163,Products!$A$2:$A$101,0))&amp;"","(not found)"))</f>
        <v/>
      </c>
      <c r="M163" s="50" t="str">
        <f>IF($A163="","",SUMIFS(Inventory_Ledger!$E$2:$E$2001,Inventory_Ledger!$H$2:$H$2001,$A163,Inventory_Ledger!$C$2:$C$2001,"Receipt",Inventory_Ledger!$D$2:$D$2001,$C163))</f>
        <v/>
      </c>
      <c r="N163" s="50" t="str">
        <f>IF($A163="","",IF(IFERROR(INDEX(Config!$D$15:$D$34,MATCH($H163,Config!$C$15:$C$34,0)),"No")="Yes",MAX(0,IF(ISNUMBER($D163),$D163,0)-$M163),0))</f>
        <v/>
      </c>
      <c r="O163" s="52" t="str">
        <f>IF($A163="","",IF($N163&gt;0,1,0))</f>
        <v/>
      </c>
      <c r="P163" s="52" t="str">
        <f>IF($A163="","",IF(AND($O163=1,ISNUMBER($G163)),IF($G163&lt;Config!$B$4,1,0),0))</f>
        <v/>
      </c>
      <c r="Q163" s="52" t="str">
        <f>IF($A163="","",IF($P163=1,Config!$B$4-$G163,0))</f>
        <v/>
      </c>
      <c r="R163" s="53" t="str">
        <f>IF($A163="","",IF(AND(ISNUMBER($D163),ISNUMBER($E163)),$D163*$E163,""))</f>
        <v/>
      </c>
      <c r="S163" s="49" t="str">
        <f>IF(COUNTA($A163:$J163)=0,"",IF($A163="","Missing: PO ID",IF(COUNTIF($A$2:$A$301,$A163)&gt;1,"Duplicate PO ID",IF($B163="","Missing: supplier",IF($C163="","Missing: SKU",IF(NOT(ISNUMBER($D163)),"Missing: qty",IF(NOT(ISNUMBER($F163)),"Missing: order date",IF(NOT(ISNUMBER($G163)),"Missing: expected date",IF($H163="","Missing: status",IF($I163="","Missing: source link",IF(COUNTIF(Suppliers!$A$2:$A$51,$B163)=0,"Unknown supplier",IF(COUNTIF(Products!$A$2:$A$101,$C163)=0,"Unknown SKU",IF(COUNTIF(Config!$C$15:$C$34,$H163)=0,"Unsupported status",IF($D163&lt;=0,"Qty must be above 0",IF($G163&lt;$F163,"Expected date before order date",IF($M163&gt;$D163,"Received more than ordered",IF(AND($H163="Received",$M163&lt;$D163),"Status Received but not fully received",IF(AND(IFERROR(INDEX(Config!$D$15:$D$34,MATCH($H163,Config!$C$15:$C$34,0)),"No")="Yes",$M163&gt;=$D163),"Fully received: update status","OK"))))))))))))))))))</f>
        <v/>
      </c>
      <c r="T163" s="52" t="str">
        <f>IF($O163=1,IFERROR(COUNTIFS($O$2:$O$301,1,$G$2:$G$301,"&lt;"&amp;$G163)+COUNTIFS($O$2:$O163,1,$G$2:$G163,$G163),""),"")</f>
        <v/>
      </c>
    </row>
    <row r="164">
      <c r="A164" s="46" t="n"/>
      <c r="B164" s="46" t="n"/>
      <c r="C164" s="46" t="n"/>
      <c r="D164" s="48" t="n"/>
      <c r="E164" s="47" t="n"/>
      <c r="F164" s="54" t="n"/>
      <c r="G164" s="54" t="n"/>
      <c r="H164" s="46" t="n"/>
      <c r="I164" s="46" t="n"/>
      <c r="J164" s="46" t="n"/>
      <c r="K164" s="49" t="str">
        <f>IF($A164="","",IFERROR(INDEX(Suppliers!$B$2:$B$51,MATCH($B164,Suppliers!$A$2:$A$51,0))&amp;"","(not found)"))</f>
        <v/>
      </c>
      <c r="L164" s="49" t="str">
        <f>IF($A164="","",IFERROR(INDEX(Products!$B$2:$B$101,MATCH($C164,Products!$A$2:$A$101,0))&amp;"","(not found)"))</f>
        <v/>
      </c>
      <c r="M164" s="50" t="str">
        <f>IF($A164="","",SUMIFS(Inventory_Ledger!$E$2:$E$2001,Inventory_Ledger!$H$2:$H$2001,$A164,Inventory_Ledger!$C$2:$C$2001,"Receipt",Inventory_Ledger!$D$2:$D$2001,$C164))</f>
        <v/>
      </c>
      <c r="N164" s="50" t="str">
        <f>IF($A164="","",IF(IFERROR(INDEX(Config!$D$15:$D$34,MATCH($H164,Config!$C$15:$C$34,0)),"No")="Yes",MAX(0,IF(ISNUMBER($D164),$D164,0)-$M164),0))</f>
        <v/>
      </c>
      <c r="O164" s="52" t="str">
        <f>IF($A164="","",IF($N164&gt;0,1,0))</f>
        <v/>
      </c>
      <c r="P164" s="52" t="str">
        <f>IF($A164="","",IF(AND($O164=1,ISNUMBER($G164)),IF($G164&lt;Config!$B$4,1,0),0))</f>
        <v/>
      </c>
      <c r="Q164" s="52" t="str">
        <f>IF($A164="","",IF($P164=1,Config!$B$4-$G164,0))</f>
        <v/>
      </c>
      <c r="R164" s="53" t="str">
        <f>IF($A164="","",IF(AND(ISNUMBER($D164),ISNUMBER($E164)),$D164*$E164,""))</f>
        <v/>
      </c>
      <c r="S164" s="49" t="str">
        <f>IF(COUNTA($A164:$J164)=0,"",IF($A164="","Missing: PO ID",IF(COUNTIF($A$2:$A$301,$A164)&gt;1,"Duplicate PO ID",IF($B164="","Missing: supplier",IF($C164="","Missing: SKU",IF(NOT(ISNUMBER($D164)),"Missing: qty",IF(NOT(ISNUMBER($F164)),"Missing: order date",IF(NOT(ISNUMBER($G164)),"Missing: expected date",IF($H164="","Missing: status",IF($I164="","Missing: source link",IF(COUNTIF(Suppliers!$A$2:$A$51,$B164)=0,"Unknown supplier",IF(COUNTIF(Products!$A$2:$A$101,$C164)=0,"Unknown SKU",IF(COUNTIF(Config!$C$15:$C$34,$H164)=0,"Unsupported status",IF($D164&lt;=0,"Qty must be above 0",IF($G164&lt;$F164,"Expected date before order date",IF($M164&gt;$D164,"Received more than ordered",IF(AND($H164="Received",$M164&lt;$D164),"Status Received but not fully received",IF(AND(IFERROR(INDEX(Config!$D$15:$D$34,MATCH($H164,Config!$C$15:$C$34,0)),"No")="Yes",$M164&gt;=$D164),"Fully received: update status","OK"))))))))))))))))))</f>
        <v/>
      </c>
      <c r="T164" s="52" t="str">
        <f>IF($O164=1,IFERROR(COUNTIFS($O$2:$O$301,1,$G$2:$G$301,"&lt;"&amp;$G164)+COUNTIFS($O$2:$O164,1,$G$2:$G164,$G164),""),"")</f>
        <v/>
      </c>
    </row>
    <row r="165">
      <c r="A165" s="46" t="n"/>
      <c r="B165" s="46" t="n"/>
      <c r="C165" s="46" t="n"/>
      <c r="D165" s="48" t="n"/>
      <c r="E165" s="47" t="n"/>
      <c r="F165" s="54" t="n"/>
      <c r="G165" s="54" t="n"/>
      <c r="H165" s="46" t="n"/>
      <c r="I165" s="46" t="n"/>
      <c r="J165" s="46" t="n"/>
      <c r="K165" s="49" t="str">
        <f>IF($A165="","",IFERROR(INDEX(Suppliers!$B$2:$B$51,MATCH($B165,Suppliers!$A$2:$A$51,0))&amp;"","(not found)"))</f>
        <v/>
      </c>
      <c r="L165" s="49" t="str">
        <f>IF($A165="","",IFERROR(INDEX(Products!$B$2:$B$101,MATCH($C165,Products!$A$2:$A$101,0))&amp;"","(not found)"))</f>
        <v/>
      </c>
      <c r="M165" s="50" t="str">
        <f>IF($A165="","",SUMIFS(Inventory_Ledger!$E$2:$E$2001,Inventory_Ledger!$H$2:$H$2001,$A165,Inventory_Ledger!$C$2:$C$2001,"Receipt",Inventory_Ledger!$D$2:$D$2001,$C165))</f>
        <v/>
      </c>
      <c r="N165" s="50" t="str">
        <f>IF($A165="","",IF(IFERROR(INDEX(Config!$D$15:$D$34,MATCH($H165,Config!$C$15:$C$34,0)),"No")="Yes",MAX(0,IF(ISNUMBER($D165),$D165,0)-$M165),0))</f>
        <v/>
      </c>
      <c r="O165" s="52" t="str">
        <f>IF($A165="","",IF($N165&gt;0,1,0))</f>
        <v/>
      </c>
      <c r="P165" s="52" t="str">
        <f>IF($A165="","",IF(AND($O165=1,ISNUMBER($G165)),IF($G165&lt;Config!$B$4,1,0),0))</f>
        <v/>
      </c>
      <c r="Q165" s="52" t="str">
        <f>IF($A165="","",IF($P165=1,Config!$B$4-$G165,0))</f>
        <v/>
      </c>
      <c r="R165" s="53" t="str">
        <f>IF($A165="","",IF(AND(ISNUMBER($D165),ISNUMBER($E165)),$D165*$E165,""))</f>
        <v/>
      </c>
      <c r="S165" s="49" t="str">
        <f>IF(COUNTA($A165:$J165)=0,"",IF($A165="","Missing: PO ID",IF(COUNTIF($A$2:$A$301,$A165)&gt;1,"Duplicate PO ID",IF($B165="","Missing: supplier",IF($C165="","Missing: SKU",IF(NOT(ISNUMBER($D165)),"Missing: qty",IF(NOT(ISNUMBER($F165)),"Missing: order date",IF(NOT(ISNUMBER($G165)),"Missing: expected date",IF($H165="","Missing: status",IF($I165="","Missing: source link",IF(COUNTIF(Suppliers!$A$2:$A$51,$B165)=0,"Unknown supplier",IF(COUNTIF(Products!$A$2:$A$101,$C165)=0,"Unknown SKU",IF(COUNTIF(Config!$C$15:$C$34,$H165)=0,"Unsupported status",IF($D165&lt;=0,"Qty must be above 0",IF($G165&lt;$F165,"Expected date before order date",IF($M165&gt;$D165,"Received more than ordered",IF(AND($H165="Received",$M165&lt;$D165),"Status Received but not fully received",IF(AND(IFERROR(INDEX(Config!$D$15:$D$34,MATCH($H165,Config!$C$15:$C$34,0)),"No")="Yes",$M165&gt;=$D165),"Fully received: update status","OK"))))))))))))))))))</f>
        <v/>
      </c>
      <c r="T165" s="52" t="str">
        <f>IF($O165=1,IFERROR(COUNTIFS($O$2:$O$301,1,$G$2:$G$301,"&lt;"&amp;$G165)+COUNTIFS($O$2:$O165,1,$G$2:$G165,$G165),""),"")</f>
        <v/>
      </c>
    </row>
    <row r="166">
      <c r="A166" s="46" t="n"/>
      <c r="B166" s="46" t="n"/>
      <c r="C166" s="46" t="n"/>
      <c r="D166" s="48" t="n"/>
      <c r="E166" s="47" t="n"/>
      <c r="F166" s="54" t="n"/>
      <c r="G166" s="54" t="n"/>
      <c r="H166" s="46" t="n"/>
      <c r="I166" s="46" t="n"/>
      <c r="J166" s="46" t="n"/>
      <c r="K166" s="49" t="str">
        <f>IF($A166="","",IFERROR(INDEX(Suppliers!$B$2:$B$51,MATCH($B166,Suppliers!$A$2:$A$51,0))&amp;"","(not found)"))</f>
        <v/>
      </c>
      <c r="L166" s="49" t="str">
        <f>IF($A166="","",IFERROR(INDEX(Products!$B$2:$B$101,MATCH($C166,Products!$A$2:$A$101,0))&amp;"","(not found)"))</f>
        <v/>
      </c>
      <c r="M166" s="50" t="str">
        <f>IF($A166="","",SUMIFS(Inventory_Ledger!$E$2:$E$2001,Inventory_Ledger!$H$2:$H$2001,$A166,Inventory_Ledger!$C$2:$C$2001,"Receipt",Inventory_Ledger!$D$2:$D$2001,$C166))</f>
        <v/>
      </c>
      <c r="N166" s="50" t="str">
        <f>IF($A166="","",IF(IFERROR(INDEX(Config!$D$15:$D$34,MATCH($H166,Config!$C$15:$C$34,0)),"No")="Yes",MAX(0,IF(ISNUMBER($D166),$D166,0)-$M166),0))</f>
        <v/>
      </c>
      <c r="O166" s="52" t="str">
        <f>IF($A166="","",IF($N166&gt;0,1,0))</f>
        <v/>
      </c>
      <c r="P166" s="52" t="str">
        <f>IF($A166="","",IF(AND($O166=1,ISNUMBER($G166)),IF($G166&lt;Config!$B$4,1,0),0))</f>
        <v/>
      </c>
      <c r="Q166" s="52" t="str">
        <f>IF($A166="","",IF($P166=1,Config!$B$4-$G166,0))</f>
        <v/>
      </c>
      <c r="R166" s="53" t="str">
        <f>IF($A166="","",IF(AND(ISNUMBER($D166),ISNUMBER($E166)),$D166*$E166,""))</f>
        <v/>
      </c>
      <c r="S166" s="49" t="str">
        <f>IF(COUNTA($A166:$J166)=0,"",IF($A166="","Missing: PO ID",IF(COUNTIF($A$2:$A$301,$A166)&gt;1,"Duplicate PO ID",IF($B166="","Missing: supplier",IF($C166="","Missing: SKU",IF(NOT(ISNUMBER($D166)),"Missing: qty",IF(NOT(ISNUMBER($F166)),"Missing: order date",IF(NOT(ISNUMBER($G166)),"Missing: expected date",IF($H166="","Missing: status",IF($I166="","Missing: source link",IF(COUNTIF(Suppliers!$A$2:$A$51,$B166)=0,"Unknown supplier",IF(COUNTIF(Products!$A$2:$A$101,$C166)=0,"Unknown SKU",IF(COUNTIF(Config!$C$15:$C$34,$H166)=0,"Unsupported status",IF($D166&lt;=0,"Qty must be above 0",IF($G166&lt;$F166,"Expected date before order date",IF($M166&gt;$D166,"Received more than ordered",IF(AND($H166="Received",$M166&lt;$D166),"Status Received but not fully received",IF(AND(IFERROR(INDEX(Config!$D$15:$D$34,MATCH($H166,Config!$C$15:$C$34,0)),"No")="Yes",$M166&gt;=$D166),"Fully received: update status","OK"))))))))))))))))))</f>
        <v/>
      </c>
      <c r="T166" s="52" t="str">
        <f>IF($O166=1,IFERROR(COUNTIFS($O$2:$O$301,1,$G$2:$G$301,"&lt;"&amp;$G166)+COUNTIFS($O$2:$O166,1,$G$2:$G166,$G166),""),"")</f>
        <v/>
      </c>
    </row>
    <row r="167">
      <c r="A167" s="46" t="n"/>
      <c r="B167" s="46" t="n"/>
      <c r="C167" s="46" t="n"/>
      <c r="D167" s="48" t="n"/>
      <c r="E167" s="47" t="n"/>
      <c r="F167" s="54" t="n"/>
      <c r="G167" s="54" t="n"/>
      <c r="H167" s="46" t="n"/>
      <c r="I167" s="46" t="n"/>
      <c r="J167" s="46" t="n"/>
      <c r="K167" s="49" t="str">
        <f>IF($A167="","",IFERROR(INDEX(Suppliers!$B$2:$B$51,MATCH($B167,Suppliers!$A$2:$A$51,0))&amp;"","(not found)"))</f>
        <v/>
      </c>
      <c r="L167" s="49" t="str">
        <f>IF($A167="","",IFERROR(INDEX(Products!$B$2:$B$101,MATCH($C167,Products!$A$2:$A$101,0))&amp;"","(not found)"))</f>
        <v/>
      </c>
      <c r="M167" s="50" t="str">
        <f>IF($A167="","",SUMIFS(Inventory_Ledger!$E$2:$E$2001,Inventory_Ledger!$H$2:$H$2001,$A167,Inventory_Ledger!$C$2:$C$2001,"Receipt",Inventory_Ledger!$D$2:$D$2001,$C167))</f>
        <v/>
      </c>
      <c r="N167" s="50" t="str">
        <f>IF($A167="","",IF(IFERROR(INDEX(Config!$D$15:$D$34,MATCH($H167,Config!$C$15:$C$34,0)),"No")="Yes",MAX(0,IF(ISNUMBER($D167),$D167,0)-$M167),0))</f>
        <v/>
      </c>
      <c r="O167" s="52" t="str">
        <f>IF($A167="","",IF($N167&gt;0,1,0))</f>
        <v/>
      </c>
      <c r="P167" s="52" t="str">
        <f>IF($A167="","",IF(AND($O167=1,ISNUMBER($G167)),IF($G167&lt;Config!$B$4,1,0),0))</f>
        <v/>
      </c>
      <c r="Q167" s="52" t="str">
        <f>IF($A167="","",IF($P167=1,Config!$B$4-$G167,0))</f>
        <v/>
      </c>
      <c r="R167" s="53" t="str">
        <f>IF($A167="","",IF(AND(ISNUMBER($D167),ISNUMBER($E167)),$D167*$E167,""))</f>
        <v/>
      </c>
      <c r="S167" s="49" t="str">
        <f>IF(COUNTA($A167:$J167)=0,"",IF($A167="","Missing: PO ID",IF(COUNTIF($A$2:$A$301,$A167)&gt;1,"Duplicate PO ID",IF($B167="","Missing: supplier",IF($C167="","Missing: SKU",IF(NOT(ISNUMBER($D167)),"Missing: qty",IF(NOT(ISNUMBER($F167)),"Missing: order date",IF(NOT(ISNUMBER($G167)),"Missing: expected date",IF($H167="","Missing: status",IF($I167="","Missing: source link",IF(COUNTIF(Suppliers!$A$2:$A$51,$B167)=0,"Unknown supplier",IF(COUNTIF(Products!$A$2:$A$101,$C167)=0,"Unknown SKU",IF(COUNTIF(Config!$C$15:$C$34,$H167)=0,"Unsupported status",IF($D167&lt;=0,"Qty must be above 0",IF($G167&lt;$F167,"Expected date before order date",IF($M167&gt;$D167,"Received more than ordered",IF(AND($H167="Received",$M167&lt;$D167),"Status Received but not fully received",IF(AND(IFERROR(INDEX(Config!$D$15:$D$34,MATCH($H167,Config!$C$15:$C$34,0)),"No")="Yes",$M167&gt;=$D167),"Fully received: update status","OK"))))))))))))))))))</f>
        <v/>
      </c>
      <c r="T167" s="52" t="str">
        <f>IF($O167=1,IFERROR(COUNTIFS($O$2:$O$301,1,$G$2:$G$301,"&lt;"&amp;$G167)+COUNTIFS($O$2:$O167,1,$G$2:$G167,$G167),""),"")</f>
        <v/>
      </c>
    </row>
    <row r="168">
      <c r="A168" s="46" t="n"/>
      <c r="B168" s="46" t="n"/>
      <c r="C168" s="46" t="n"/>
      <c r="D168" s="48" t="n"/>
      <c r="E168" s="47" t="n"/>
      <c r="F168" s="54" t="n"/>
      <c r="G168" s="54" t="n"/>
      <c r="H168" s="46" t="n"/>
      <c r="I168" s="46" t="n"/>
      <c r="J168" s="46" t="n"/>
      <c r="K168" s="49" t="str">
        <f>IF($A168="","",IFERROR(INDEX(Suppliers!$B$2:$B$51,MATCH($B168,Suppliers!$A$2:$A$51,0))&amp;"","(not found)"))</f>
        <v/>
      </c>
      <c r="L168" s="49" t="str">
        <f>IF($A168="","",IFERROR(INDEX(Products!$B$2:$B$101,MATCH($C168,Products!$A$2:$A$101,0))&amp;"","(not found)"))</f>
        <v/>
      </c>
      <c r="M168" s="50" t="str">
        <f>IF($A168="","",SUMIFS(Inventory_Ledger!$E$2:$E$2001,Inventory_Ledger!$H$2:$H$2001,$A168,Inventory_Ledger!$C$2:$C$2001,"Receipt",Inventory_Ledger!$D$2:$D$2001,$C168))</f>
        <v/>
      </c>
      <c r="N168" s="50" t="str">
        <f>IF($A168="","",IF(IFERROR(INDEX(Config!$D$15:$D$34,MATCH($H168,Config!$C$15:$C$34,0)),"No")="Yes",MAX(0,IF(ISNUMBER($D168),$D168,0)-$M168),0))</f>
        <v/>
      </c>
      <c r="O168" s="52" t="str">
        <f>IF($A168="","",IF($N168&gt;0,1,0))</f>
        <v/>
      </c>
      <c r="P168" s="52" t="str">
        <f>IF($A168="","",IF(AND($O168=1,ISNUMBER($G168)),IF($G168&lt;Config!$B$4,1,0),0))</f>
        <v/>
      </c>
      <c r="Q168" s="52" t="str">
        <f>IF($A168="","",IF($P168=1,Config!$B$4-$G168,0))</f>
        <v/>
      </c>
      <c r="R168" s="53" t="str">
        <f>IF($A168="","",IF(AND(ISNUMBER($D168),ISNUMBER($E168)),$D168*$E168,""))</f>
        <v/>
      </c>
      <c r="S168" s="49" t="str">
        <f>IF(COUNTA($A168:$J168)=0,"",IF($A168="","Missing: PO ID",IF(COUNTIF($A$2:$A$301,$A168)&gt;1,"Duplicate PO ID",IF($B168="","Missing: supplier",IF($C168="","Missing: SKU",IF(NOT(ISNUMBER($D168)),"Missing: qty",IF(NOT(ISNUMBER($F168)),"Missing: order date",IF(NOT(ISNUMBER($G168)),"Missing: expected date",IF($H168="","Missing: status",IF($I168="","Missing: source link",IF(COUNTIF(Suppliers!$A$2:$A$51,$B168)=0,"Unknown supplier",IF(COUNTIF(Products!$A$2:$A$101,$C168)=0,"Unknown SKU",IF(COUNTIF(Config!$C$15:$C$34,$H168)=0,"Unsupported status",IF($D168&lt;=0,"Qty must be above 0",IF($G168&lt;$F168,"Expected date before order date",IF($M168&gt;$D168,"Received more than ordered",IF(AND($H168="Received",$M168&lt;$D168),"Status Received but not fully received",IF(AND(IFERROR(INDEX(Config!$D$15:$D$34,MATCH($H168,Config!$C$15:$C$34,0)),"No")="Yes",$M168&gt;=$D168),"Fully received: update status","OK"))))))))))))))))))</f>
        <v/>
      </c>
      <c r="T168" s="52" t="str">
        <f>IF($O168=1,IFERROR(COUNTIFS($O$2:$O$301,1,$G$2:$G$301,"&lt;"&amp;$G168)+COUNTIFS($O$2:$O168,1,$G$2:$G168,$G168),""),"")</f>
        <v/>
      </c>
    </row>
    <row r="169">
      <c r="A169" s="46" t="n"/>
      <c r="B169" s="46" t="n"/>
      <c r="C169" s="46" t="n"/>
      <c r="D169" s="48" t="n"/>
      <c r="E169" s="47" t="n"/>
      <c r="F169" s="54" t="n"/>
      <c r="G169" s="54" t="n"/>
      <c r="H169" s="46" t="n"/>
      <c r="I169" s="46" t="n"/>
      <c r="J169" s="46" t="n"/>
      <c r="K169" s="49" t="str">
        <f>IF($A169="","",IFERROR(INDEX(Suppliers!$B$2:$B$51,MATCH($B169,Suppliers!$A$2:$A$51,0))&amp;"","(not found)"))</f>
        <v/>
      </c>
      <c r="L169" s="49" t="str">
        <f>IF($A169="","",IFERROR(INDEX(Products!$B$2:$B$101,MATCH($C169,Products!$A$2:$A$101,0))&amp;"","(not found)"))</f>
        <v/>
      </c>
      <c r="M169" s="50" t="str">
        <f>IF($A169="","",SUMIFS(Inventory_Ledger!$E$2:$E$2001,Inventory_Ledger!$H$2:$H$2001,$A169,Inventory_Ledger!$C$2:$C$2001,"Receipt",Inventory_Ledger!$D$2:$D$2001,$C169))</f>
        <v/>
      </c>
      <c r="N169" s="50" t="str">
        <f>IF($A169="","",IF(IFERROR(INDEX(Config!$D$15:$D$34,MATCH($H169,Config!$C$15:$C$34,0)),"No")="Yes",MAX(0,IF(ISNUMBER($D169),$D169,0)-$M169),0))</f>
        <v/>
      </c>
      <c r="O169" s="52" t="str">
        <f>IF($A169="","",IF($N169&gt;0,1,0))</f>
        <v/>
      </c>
      <c r="P169" s="52" t="str">
        <f>IF($A169="","",IF(AND($O169=1,ISNUMBER($G169)),IF($G169&lt;Config!$B$4,1,0),0))</f>
        <v/>
      </c>
      <c r="Q169" s="52" t="str">
        <f>IF($A169="","",IF($P169=1,Config!$B$4-$G169,0))</f>
        <v/>
      </c>
      <c r="R169" s="53" t="str">
        <f>IF($A169="","",IF(AND(ISNUMBER($D169),ISNUMBER($E169)),$D169*$E169,""))</f>
        <v/>
      </c>
      <c r="S169" s="49" t="str">
        <f>IF(COUNTA($A169:$J169)=0,"",IF($A169="","Missing: PO ID",IF(COUNTIF($A$2:$A$301,$A169)&gt;1,"Duplicate PO ID",IF($B169="","Missing: supplier",IF($C169="","Missing: SKU",IF(NOT(ISNUMBER($D169)),"Missing: qty",IF(NOT(ISNUMBER($F169)),"Missing: order date",IF(NOT(ISNUMBER($G169)),"Missing: expected date",IF($H169="","Missing: status",IF($I169="","Missing: source link",IF(COUNTIF(Suppliers!$A$2:$A$51,$B169)=0,"Unknown supplier",IF(COUNTIF(Products!$A$2:$A$101,$C169)=0,"Unknown SKU",IF(COUNTIF(Config!$C$15:$C$34,$H169)=0,"Unsupported status",IF($D169&lt;=0,"Qty must be above 0",IF($G169&lt;$F169,"Expected date before order date",IF($M169&gt;$D169,"Received more than ordered",IF(AND($H169="Received",$M169&lt;$D169),"Status Received but not fully received",IF(AND(IFERROR(INDEX(Config!$D$15:$D$34,MATCH($H169,Config!$C$15:$C$34,0)),"No")="Yes",$M169&gt;=$D169),"Fully received: update status","OK"))))))))))))))))))</f>
        <v/>
      </c>
      <c r="T169" s="52" t="str">
        <f>IF($O169=1,IFERROR(COUNTIFS($O$2:$O$301,1,$G$2:$G$301,"&lt;"&amp;$G169)+COUNTIFS($O$2:$O169,1,$G$2:$G169,$G169),""),"")</f>
        <v/>
      </c>
    </row>
    <row r="170">
      <c r="A170" s="46" t="n"/>
      <c r="B170" s="46" t="n"/>
      <c r="C170" s="46" t="n"/>
      <c r="D170" s="48" t="n"/>
      <c r="E170" s="47" t="n"/>
      <c r="F170" s="54" t="n"/>
      <c r="G170" s="54" t="n"/>
      <c r="H170" s="46" t="n"/>
      <c r="I170" s="46" t="n"/>
      <c r="J170" s="46" t="n"/>
      <c r="K170" s="49" t="str">
        <f>IF($A170="","",IFERROR(INDEX(Suppliers!$B$2:$B$51,MATCH($B170,Suppliers!$A$2:$A$51,0))&amp;"","(not found)"))</f>
        <v/>
      </c>
      <c r="L170" s="49" t="str">
        <f>IF($A170="","",IFERROR(INDEX(Products!$B$2:$B$101,MATCH($C170,Products!$A$2:$A$101,0))&amp;"","(not found)"))</f>
        <v/>
      </c>
      <c r="M170" s="50" t="str">
        <f>IF($A170="","",SUMIFS(Inventory_Ledger!$E$2:$E$2001,Inventory_Ledger!$H$2:$H$2001,$A170,Inventory_Ledger!$C$2:$C$2001,"Receipt",Inventory_Ledger!$D$2:$D$2001,$C170))</f>
        <v/>
      </c>
      <c r="N170" s="50" t="str">
        <f>IF($A170="","",IF(IFERROR(INDEX(Config!$D$15:$D$34,MATCH($H170,Config!$C$15:$C$34,0)),"No")="Yes",MAX(0,IF(ISNUMBER($D170),$D170,0)-$M170),0))</f>
        <v/>
      </c>
      <c r="O170" s="52" t="str">
        <f>IF($A170="","",IF($N170&gt;0,1,0))</f>
        <v/>
      </c>
      <c r="P170" s="52" t="str">
        <f>IF($A170="","",IF(AND($O170=1,ISNUMBER($G170)),IF($G170&lt;Config!$B$4,1,0),0))</f>
        <v/>
      </c>
      <c r="Q170" s="52" t="str">
        <f>IF($A170="","",IF($P170=1,Config!$B$4-$G170,0))</f>
        <v/>
      </c>
      <c r="R170" s="53" t="str">
        <f>IF($A170="","",IF(AND(ISNUMBER($D170),ISNUMBER($E170)),$D170*$E170,""))</f>
        <v/>
      </c>
      <c r="S170" s="49" t="str">
        <f>IF(COUNTA($A170:$J170)=0,"",IF($A170="","Missing: PO ID",IF(COUNTIF($A$2:$A$301,$A170)&gt;1,"Duplicate PO ID",IF($B170="","Missing: supplier",IF($C170="","Missing: SKU",IF(NOT(ISNUMBER($D170)),"Missing: qty",IF(NOT(ISNUMBER($F170)),"Missing: order date",IF(NOT(ISNUMBER($G170)),"Missing: expected date",IF($H170="","Missing: status",IF($I170="","Missing: source link",IF(COUNTIF(Suppliers!$A$2:$A$51,$B170)=0,"Unknown supplier",IF(COUNTIF(Products!$A$2:$A$101,$C170)=0,"Unknown SKU",IF(COUNTIF(Config!$C$15:$C$34,$H170)=0,"Unsupported status",IF($D170&lt;=0,"Qty must be above 0",IF($G170&lt;$F170,"Expected date before order date",IF($M170&gt;$D170,"Received more than ordered",IF(AND($H170="Received",$M170&lt;$D170),"Status Received but not fully received",IF(AND(IFERROR(INDEX(Config!$D$15:$D$34,MATCH($H170,Config!$C$15:$C$34,0)),"No")="Yes",$M170&gt;=$D170),"Fully received: update status","OK"))))))))))))))))))</f>
        <v/>
      </c>
      <c r="T170" s="52" t="str">
        <f>IF($O170=1,IFERROR(COUNTIFS($O$2:$O$301,1,$G$2:$G$301,"&lt;"&amp;$G170)+COUNTIFS($O$2:$O170,1,$G$2:$G170,$G170),""),"")</f>
        <v/>
      </c>
    </row>
    <row r="171">
      <c r="A171" s="46" t="n"/>
      <c r="B171" s="46" t="n"/>
      <c r="C171" s="46" t="n"/>
      <c r="D171" s="48" t="n"/>
      <c r="E171" s="47" t="n"/>
      <c r="F171" s="54" t="n"/>
      <c r="G171" s="54" t="n"/>
      <c r="H171" s="46" t="n"/>
      <c r="I171" s="46" t="n"/>
      <c r="J171" s="46" t="n"/>
      <c r="K171" s="49" t="str">
        <f>IF($A171="","",IFERROR(INDEX(Suppliers!$B$2:$B$51,MATCH($B171,Suppliers!$A$2:$A$51,0))&amp;"","(not found)"))</f>
        <v/>
      </c>
      <c r="L171" s="49" t="str">
        <f>IF($A171="","",IFERROR(INDEX(Products!$B$2:$B$101,MATCH($C171,Products!$A$2:$A$101,0))&amp;"","(not found)"))</f>
        <v/>
      </c>
      <c r="M171" s="50" t="str">
        <f>IF($A171="","",SUMIFS(Inventory_Ledger!$E$2:$E$2001,Inventory_Ledger!$H$2:$H$2001,$A171,Inventory_Ledger!$C$2:$C$2001,"Receipt",Inventory_Ledger!$D$2:$D$2001,$C171))</f>
        <v/>
      </c>
      <c r="N171" s="50" t="str">
        <f>IF($A171="","",IF(IFERROR(INDEX(Config!$D$15:$D$34,MATCH($H171,Config!$C$15:$C$34,0)),"No")="Yes",MAX(0,IF(ISNUMBER($D171),$D171,0)-$M171),0))</f>
        <v/>
      </c>
      <c r="O171" s="52" t="str">
        <f>IF($A171="","",IF($N171&gt;0,1,0))</f>
        <v/>
      </c>
      <c r="P171" s="52" t="str">
        <f>IF($A171="","",IF(AND($O171=1,ISNUMBER($G171)),IF($G171&lt;Config!$B$4,1,0),0))</f>
        <v/>
      </c>
      <c r="Q171" s="52" t="str">
        <f>IF($A171="","",IF($P171=1,Config!$B$4-$G171,0))</f>
        <v/>
      </c>
      <c r="R171" s="53" t="str">
        <f>IF($A171="","",IF(AND(ISNUMBER($D171),ISNUMBER($E171)),$D171*$E171,""))</f>
        <v/>
      </c>
      <c r="S171" s="49" t="str">
        <f>IF(COUNTA($A171:$J171)=0,"",IF($A171="","Missing: PO ID",IF(COUNTIF($A$2:$A$301,$A171)&gt;1,"Duplicate PO ID",IF($B171="","Missing: supplier",IF($C171="","Missing: SKU",IF(NOT(ISNUMBER($D171)),"Missing: qty",IF(NOT(ISNUMBER($F171)),"Missing: order date",IF(NOT(ISNUMBER($G171)),"Missing: expected date",IF($H171="","Missing: status",IF($I171="","Missing: source link",IF(COUNTIF(Suppliers!$A$2:$A$51,$B171)=0,"Unknown supplier",IF(COUNTIF(Products!$A$2:$A$101,$C171)=0,"Unknown SKU",IF(COUNTIF(Config!$C$15:$C$34,$H171)=0,"Unsupported status",IF($D171&lt;=0,"Qty must be above 0",IF($G171&lt;$F171,"Expected date before order date",IF($M171&gt;$D171,"Received more than ordered",IF(AND($H171="Received",$M171&lt;$D171),"Status Received but not fully received",IF(AND(IFERROR(INDEX(Config!$D$15:$D$34,MATCH($H171,Config!$C$15:$C$34,0)),"No")="Yes",$M171&gt;=$D171),"Fully received: update status","OK"))))))))))))))))))</f>
        <v/>
      </c>
      <c r="T171" s="52" t="str">
        <f>IF($O171=1,IFERROR(COUNTIFS($O$2:$O$301,1,$G$2:$G$301,"&lt;"&amp;$G171)+COUNTIFS($O$2:$O171,1,$G$2:$G171,$G171),""),"")</f>
        <v/>
      </c>
    </row>
    <row r="172">
      <c r="A172" s="46" t="n"/>
      <c r="B172" s="46" t="n"/>
      <c r="C172" s="46" t="n"/>
      <c r="D172" s="48" t="n"/>
      <c r="E172" s="47" t="n"/>
      <c r="F172" s="54" t="n"/>
      <c r="G172" s="54" t="n"/>
      <c r="H172" s="46" t="n"/>
      <c r="I172" s="46" t="n"/>
      <c r="J172" s="46" t="n"/>
      <c r="K172" s="49" t="str">
        <f>IF($A172="","",IFERROR(INDEX(Suppliers!$B$2:$B$51,MATCH($B172,Suppliers!$A$2:$A$51,0))&amp;"","(not found)"))</f>
        <v/>
      </c>
      <c r="L172" s="49" t="str">
        <f>IF($A172="","",IFERROR(INDEX(Products!$B$2:$B$101,MATCH($C172,Products!$A$2:$A$101,0))&amp;"","(not found)"))</f>
        <v/>
      </c>
      <c r="M172" s="50" t="str">
        <f>IF($A172="","",SUMIFS(Inventory_Ledger!$E$2:$E$2001,Inventory_Ledger!$H$2:$H$2001,$A172,Inventory_Ledger!$C$2:$C$2001,"Receipt",Inventory_Ledger!$D$2:$D$2001,$C172))</f>
        <v/>
      </c>
      <c r="N172" s="50" t="str">
        <f>IF($A172="","",IF(IFERROR(INDEX(Config!$D$15:$D$34,MATCH($H172,Config!$C$15:$C$34,0)),"No")="Yes",MAX(0,IF(ISNUMBER($D172),$D172,0)-$M172),0))</f>
        <v/>
      </c>
      <c r="O172" s="52" t="str">
        <f>IF($A172="","",IF($N172&gt;0,1,0))</f>
        <v/>
      </c>
      <c r="P172" s="52" t="str">
        <f>IF($A172="","",IF(AND($O172=1,ISNUMBER($G172)),IF($G172&lt;Config!$B$4,1,0),0))</f>
        <v/>
      </c>
      <c r="Q172" s="52" t="str">
        <f>IF($A172="","",IF($P172=1,Config!$B$4-$G172,0))</f>
        <v/>
      </c>
      <c r="R172" s="53" t="str">
        <f>IF($A172="","",IF(AND(ISNUMBER($D172),ISNUMBER($E172)),$D172*$E172,""))</f>
        <v/>
      </c>
      <c r="S172" s="49" t="str">
        <f>IF(COUNTA($A172:$J172)=0,"",IF($A172="","Missing: PO ID",IF(COUNTIF($A$2:$A$301,$A172)&gt;1,"Duplicate PO ID",IF($B172="","Missing: supplier",IF($C172="","Missing: SKU",IF(NOT(ISNUMBER($D172)),"Missing: qty",IF(NOT(ISNUMBER($F172)),"Missing: order date",IF(NOT(ISNUMBER($G172)),"Missing: expected date",IF($H172="","Missing: status",IF($I172="","Missing: source link",IF(COUNTIF(Suppliers!$A$2:$A$51,$B172)=0,"Unknown supplier",IF(COUNTIF(Products!$A$2:$A$101,$C172)=0,"Unknown SKU",IF(COUNTIF(Config!$C$15:$C$34,$H172)=0,"Unsupported status",IF($D172&lt;=0,"Qty must be above 0",IF($G172&lt;$F172,"Expected date before order date",IF($M172&gt;$D172,"Received more than ordered",IF(AND($H172="Received",$M172&lt;$D172),"Status Received but not fully received",IF(AND(IFERROR(INDEX(Config!$D$15:$D$34,MATCH($H172,Config!$C$15:$C$34,0)),"No")="Yes",$M172&gt;=$D172),"Fully received: update status","OK"))))))))))))))))))</f>
        <v/>
      </c>
      <c r="T172" s="52" t="str">
        <f>IF($O172=1,IFERROR(COUNTIFS($O$2:$O$301,1,$G$2:$G$301,"&lt;"&amp;$G172)+COUNTIFS($O$2:$O172,1,$G$2:$G172,$G172),""),"")</f>
        <v/>
      </c>
    </row>
    <row r="173">
      <c r="A173" s="46" t="n"/>
      <c r="B173" s="46" t="n"/>
      <c r="C173" s="46" t="n"/>
      <c r="D173" s="48" t="n"/>
      <c r="E173" s="47" t="n"/>
      <c r="F173" s="54" t="n"/>
      <c r="G173" s="54" t="n"/>
      <c r="H173" s="46" t="n"/>
      <c r="I173" s="46" t="n"/>
      <c r="J173" s="46" t="n"/>
      <c r="K173" s="49" t="str">
        <f>IF($A173="","",IFERROR(INDEX(Suppliers!$B$2:$B$51,MATCH($B173,Suppliers!$A$2:$A$51,0))&amp;"","(not found)"))</f>
        <v/>
      </c>
      <c r="L173" s="49" t="str">
        <f>IF($A173="","",IFERROR(INDEX(Products!$B$2:$B$101,MATCH($C173,Products!$A$2:$A$101,0))&amp;"","(not found)"))</f>
        <v/>
      </c>
      <c r="M173" s="50" t="str">
        <f>IF($A173="","",SUMIFS(Inventory_Ledger!$E$2:$E$2001,Inventory_Ledger!$H$2:$H$2001,$A173,Inventory_Ledger!$C$2:$C$2001,"Receipt",Inventory_Ledger!$D$2:$D$2001,$C173))</f>
        <v/>
      </c>
      <c r="N173" s="50" t="str">
        <f>IF($A173="","",IF(IFERROR(INDEX(Config!$D$15:$D$34,MATCH($H173,Config!$C$15:$C$34,0)),"No")="Yes",MAX(0,IF(ISNUMBER($D173),$D173,0)-$M173),0))</f>
        <v/>
      </c>
      <c r="O173" s="52" t="str">
        <f>IF($A173="","",IF($N173&gt;0,1,0))</f>
        <v/>
      </c>
      <c r="P173" s="52" t="str">
        <f>IF($A173="","",IF(AND($O173=1,ISNUMBER($G173)),IF($G173&lt;Config!$B$4,1,0),0))</f>
        <v/>
      </c>
      <c r="Q173" s="52" t="str">
        <f>IF($A173="","",IF($P173=1,Config!$B$4-$G173,0))</f>
        <v/>
      </c>
      <c r="R173" s="53" t="str">
        <f>IF($A173="","",IF(AND(ISNUMBER($D173),ISNUMBER($E173)),$D173*$E173,""))</f>
        <v/>
      </c>
      <c r="S173" s="49" t="str">
        <f>IF(COUNTA($A173:$J173)=0,"",IF($A173="","Missing: PO ID",IF(COUNTIF($A$2:$A$301,$A173)&gt;1,"Duplicate PO ID",IF($B173="","Missing: supplier",IF($C173="","Missing: SKU",IF(NOT(ISNUMBER($D173)),"Missing: qty",IF(NOT(ISNUMBER($F173)),"Missing: order date",IF(NOT(ISNUMBER($G173)),"Missing: expected date",IF($H173="","Missing: status",IF($I173="","Missing: source link",IF(COUNTIF(Suppliers!$A$2:$A$51,$B173)=0,"Unknown supplier",IF(COUNTIF(Products!$A$2:$A$101,$C173)=0,"Unknown SKU",IF(COUNTIF(Config!$C$15:$C$34,$H173)=0,"Unsupported status",IF($D173&lt;=0,"Qty must be above 0",IF($G173&lt;$F173,"Expected date before order date",IF($M173&gt;$D173,"Received more than ordered",IF(AND($H173="Received",$M173&lt;$D173),"Status Received but not fully received",IF(AND(IFERROR(INDEX(Config!$D$15:$D$34,MATCH($H173,Config!$C$15:$C$34,0)),"No")="Yes",$M173&gt;=$D173),"Fully received: update status","OK"))))))))))))))))))</f>
        <v/>
      </c>
      <c r="T173" s="52" t="str">
        <f>IF($O173=1,IFERROR(COUNTIFS($O$2:$O$301,1,$G$2:$G$301,"&lt;"&amp;$G173)+COUNTIFS($O$2:$O173,1,$G$2:$G173,$G173),""),"")</f>
        <v/>
      </c>
    </row>
    <row r="174">
      <c r="A174" s="46" t="n"/>
      <c r="B174" s="46" t="n"/>
      <c r="C174" s="46" t="n"/>
      <c r="D174" s="48" t="n"/>
      <c r="E174" s="47" t="n"/>
      <c r="F174" s="54" t="n"/>
      <c r="G174" s="54" t="n"/>
      <c r="H174" s="46" t="n"/>
      <c r="I174" s="46" t="n"/>
      <c r="J174" s="46" t="n"/>
      <c r="K174" s="49" t="str">
        <f>IF($A174="","",IFERROR(INDEX(Suppliers!$B$2:$B$51,MATCH($B174,Suppliers!$A$2:$A$51,0))&amp;"","(not found)"))</f>
        <v/>
      </c>
      <c r="L174" s="49" t="str">
        <f>IF($A174="","",IFERROR(INDEX(Products!$B$2:$B$101,MATCH($C174,Products!$A$2:$A$101,0))&amp;"","(not found)"))</f>
        <v/>
      </c>
      <c r="M174" s="50" t="str">
        <f>IF($A174="","",SUMIFS(Inventory_Ledger!$E$2:$E$2001,Inventory_Ledger!$H$2:$H$2001,$A174,Inventory_Ledger!$C$2:$C$2001,"Receipt",Inventory_Ledger!$D$2:$D$2001,$C174))</f>
        <v/>
      </c>
      <c r="N174" s="50" t="str">
        <f>IF($A174="","",IF(IFERROR(INDEX(Config!$D$15:$D$34,MATCH($H174,Config!$C$15:$C$34,0)),"No")="Yes",MAX(0,IF(ISNUMBER($D174),$D174,0)-$M174),0))</f>
        <v/>
      </c>
      <c r="O174" s="52" t="str">
        <f>IF($A174="","",IF($N174&gt;0,1,0))</f>
        <v/>
      </c>
      <c r="P174" s="52" t="str">
        <f>IF($A174="","",IF(AND($O174=1,ISNUMBER($G174)),IF($G174&lt;Config!$B$4,1,0),0))</f>
        <v/>
      </c>
      <c r="Q174" s="52" t="str">
        <f>IF($A174="","",IF($P174=1,Config!$B$4-$G174,0))</f>
        <v/>
      </c>
      <c r="R174" s="53" t="str">
        <f>IF($A174="","",IF(AND(ISNUMBER($D174),ISNUMBER($E174)),$D174*$E174,""))</f>
        <v/>
      </c>
      <c r="S174" s="49" t="str">
        <f>IF(COUNTA($A174:$J174)=0,"",IF($A174="","Missing: PO ID",IF(COUNTIF($A$2:$A$301,$A174)&gt;1,"Duplicate PO ID",IF($B174="","Missing: supplier",IF($C174="","Missing: SKU",IF(NOT(ISNUMBER($D174)),"Missing: qty",IF(NOT(ISNUMBER($F174)),"Missing: order date",IF(NOT(ISNUMBER($G174)),"Missing: expected date",IF($H174="","Missing: status",IF($I174="","Missing: source link",IF(COUNTIF(Suppliers!$A$2:$A$51,$B174)=0,"Unknown supplier",IF(COUNTIF(Products!$A$2:$A$101,$C174)=0,"Unknown SKU",IF(COUNTIF(Config!$C$15:$C$34,$H174)=0,"Unsupported status",IF($D174&lt;=0,"Qty must be above 0",IF($G174&lt;$F174,"Expected date before order date",IF($M174&gt;$D174,"Received more than ordered",IF(AND($H174="Received",$M174&lt;$D174),"Status Received but not fully received",IF(AND(IFERROR(INDEX(Config!$D$15:$D$34,MATCH($H174,Config!$C$15:$C$34,0)),"No")="Yes",$M174&gt;=$D174),"Fully received: update status","OK"))))))))))))))))))</f>
        <v/>
      </c>
      <c r="T174" s="52" t="str">
        <f>IF($O174=1,IFERROR(COUNTIFS($O$2:$O$301,1,$G$2:$G$301,"&lt;"&amp;$G174)+COUNTIFS($O$2:$O174,1,$G$2:$G174,$G174),""),"")</f>
        <v/>
      </c>
    </row>
    <row r="175">
      <c r="A175" s="46" t="n"/>
      <c r="B175" s="46" t="n"/>
      <c r="C175" s="46" t="n"/>
      <c r="D175" s="48" t="n"/>
      <c r="E175" s="47" t="n"/>
      <c r="F175" s="54" t="n"/>
      <c r="G175" s="54" t="n"/>
      <c r="H175" s="46" t="n"/>
      <c r="I175" s="46" t="n"/>
      <c r="J175" s="46" t="n"/>
      <c r="K175" s="49" t="str">
        <f>IF($A175="","",IFERROR(INDEX(Suppliers!$B$2:$B$51,MATCH($B175,Suppliers!$A$2:$A$51,0))&amp;"","(not found)"))</f>
        <v/>
      </c>
      <c r="L175" s="49" t="str">
        <f>IF($A175="","",IFERROR(INDEX(Products!$B$2:$B$101,MATCH($C175,Products!$A$2:$A$101,0))&amp;"","(not found)"))</f>
        <v/>
      </c>
      <c r="M175" s="50" t="str">
        <f>IF($A175="","",SUMIFS(Inventory_Ledger!$E$2:$E$2001,Inventory_Ledger!$H$2:$H$2001,$A175,Inventory_Ledger!$C$2:$C$2001,"Receipt",Inventory_Ledger!$D$2:$D$2001,$C175))</f>
        <v/>
      </c>
      <c r="N175" s="50" t="str">
        <f>IF($A175="","",IF(IFERROR(INDEX(Config!$D$15:$D$34,MATCH($H175,Config!$C$15:$C$34,0)),"No")="Yes",MAX(0,IF(ISNUMBER($D175),$D175,0)-$M175),0))</f>
        <v/>
      </c>
      <c r="O175" s="52" t="str">
        <f>IF($A175="","",IF($N175&gt;0,1,0))</f>
        <v/>
      </c>
      <c r="P175" s="52" t="str">
        <f>IF($A175="","",IF(AND($O175=1,ISNUMBER($G175)),IF($G175&lt;Config!$B$4,1,0),0))</f>
        <v/>
      </c>
      <c r="Q175" s="52" t="str">
        <f>IF($A175="","",IF($P175=1,Config!$B$4-$G175,0))</f>
        <v/>
      </c>
      <c r="R175" s="53" t="str">
        <f>IF($A175="","",IF(AND(ISNUMBER($D175),ISNUMBER($E175)),$D175*$E175,""))</f>
        <v/>
      </c>
      <c r="S175" s="49" t="str">
        <f>IF(COUNTA($A175:$J175)=0,"",IF($A175="","Missing: PO ID",IF(COUNTIF($A$2:$A$301,$A175)&gt;1,"Duplicate PO ID",IF($B175="","Missing: supplier",IF($C175="","Missing: SKU",IF(NOT(ISNUMBER($D175)),"Missing: qty",IF(NOT(ISNUMBER($F175)),"Missing: order date",IF(NOT(ISNUMBER($G175)),"Missing: expected date",IF($H175="","Missing: status",IF($I175="","Missing: source link",IF(COUNTIF(Suppliers!$A$2:$A$51,$B175)=0,"Unknown supplier",IF(COUNTIF(Products!$A$2:$A$101,$C175)=0,"Unknown SKU",IF(COUNTIF(Config!$C$15:$C$34,$H175)=0,"Unsupported status",IF($D175&lt;=0,"Qty must be above 0",IF($G175&lt;$F175,"Expected date before order date",IF($M175&gt;$D175,"Received more than ordered",IF(AND($H175="Received",$M175&lt;$D175),"Status Received but not fully received",IF(AND(IFERROR(INDEX(Config!$D$15:$D$34,MATCH($H175,Config!$C$15:$C$34,0)),"No")="Yes",$M175&gt;=$D175),"Fully received: update status","OK"))))))))))))))))))</f>
        <v/>
      </c>
      <c r="T175" s="52" t="str">
        <f>IF($O175=1,IFERROR(COUNTIFS($O$2:$O$301,1,$G$2:$G$301,"&lt;"&amp;$G175)+COUNTIFS($O$2:$O175,1,$G$2:$G175,$G175),""),"")</f>
        <v/>
      </c>
    </row>
    <row r="176">
      <c r="A176" s="46" t="n"/>
      <c r="B176" s="46" t="n"/>
      <c r="C176" s="46" t="n"/>
      <c r="D176" s="48" t="n"/>
      <c r="E176" s="47" t="n"/>
      <c r="F176" s="54" t="n"/>
      <c r="G176" s="54" t="n"/>
      <c r="H176" s="46" t="n"/>
      <c r="I176" s="46" t="n"/>
      <c r="J176" s="46" t="n"/>
      <c r="K176" s="49" t="str">
        <f>IF($A176="","",IFERROR(INDEX(Suppliers!$B$2:$B$51,MATCH($B176,Suppliers!$A$2:$A$51,0))&amp;"","(not found)"))</f>
        <v/>
      </c>
      <c r="L176" s="49" t="str">
        <f>IF($A176="","",IFERROR(INDEX(Products!$B$2:$B$101,MATCH($C176,Products!$A$2:$A$101,0))&amp;"","(not found)"))</f>
        <v/>
      </c>
      <c r="M176" s="50" t="str">
        <f>IF($A176="","",SUMIFS(Inventory_Ledger!$E$2:$E$2001,Inventory_Ledger!$H$2:$H$2001,$A176,Inventory_Ledger!$C$2:$C$2001,"Receipt",Inventory_Ledger!$D$2:$D$2001,$C176))</f>
        <v/>
      </c>
      <c r="N176" s="50" t="str">
        <f>IF($A176="","",IF(IFERROR(INDEX(Config!$D$15:$D$34,MATCH($H176,Config!$C$15:$C$34,0)),"No")="Yes",MAX(0,IF(ISNUMBER($D176),$D176,0)-$M176),0))</f>
        <v/>
      </c>
      <c r="O176" s="52" t="str">
        <f>IF($A176="","",IF($N176&gt;0,1,0))</f>
        <v/>
      </c>
      <c r="P176" s="52" t="str">
        <f>IF($A176="","",IF(AND($O176=1,ISNUMBER($G176)),IF($G176&lt;Config!$B$4,1,0),0))</f>
        <v/>
      </c>
      <c r="Q176" s="52" t="str">
        <f>IF($A176="","",IF($P176=1,Config!$B$4-$G176,0))</f>
        <v/>
      </c>
      <c r="R176" s="53" t="str">
        <f>IF($A176="","",IF(AND(ISNUMBER($D176),ISNUMBER($E176)),$D176*$E176,""))</f>
        <v/>
      </c>
      <c r="S176" s="49" t="str">
        <f>IF(COUNTA($A176:$J176)=0,"",IF($A176="","Missing: PO ID",IF(COUNTIF($A$2:$A$301,$A176)&gt;1,"Duplicate PO ID",IF($B176="","Missing: supplier",IF($C176="","Missing: SKU",IF(NOT(ISNUMBER($D176)),"Missing: qty",IF(NOT(ISNUMBER($F176)),"Missing: order date",IF(NOT(ISNUMBER($G176)),"Missing: expected date",IF($H176="","Missing: status",IF($I176="","Missing: source link",IF(COUNTIF(Suppliers!$A$2:$A$51,$B176)=0,"Unknown supplier",IF(COUNTIF(Products!$A$2:$A$101,$C176)=0,"Unknown SKU",IF(COUNTIF(Config!$C$15:$C$34,$H176)=0,"Unsupported status",IF($D176&lt;=0,"Qty must be above 0",IF($G176&lt;$F176,"Expected date before order date",IF($M176&gt;$D176,"Received more than ordered",IF(AND($H176="Received",$M176&lt;$D176),"Status Received but not fully received",IF(AND(IFERROR(INDEX(Config!$D$15:$D$34,MATCH($H176,Config!$C$15:$C$34,0)),"No")="Yes",$M176&gt;=$D176),"Fully received: update status","OK"))))))))))))))))))</f>
        <v/>
      </c>
      <c r="T176" s="52" t="str">
        <f>IF($O176=1,IFERROR(COUNTIFS($O$2:$O$301,1,$G$2:$G$301,"&lt;"&amp;$G176)+COUNTIFS($O$2:$O176,1,$G$2:$G176,$G176),""),"")</f>
        <v/>
      </c>
    </row>
    <row r="177">
      <c r="A177" s="46" t="n"/>
      <c r="B177" s="46" t="n"/>
      <c r="C177" s="46" t="n"/>
      <c r="D177" s="48" t="n"/>
      <c r="E177" s="47" t="n"/>
      <c r="F177" s="54" t="n"/>
      <c r="G177" s="54" t="n"/>
      <c r="H177" s="46" t="n"/>
      <c r="I177" s="46" t="n"/>
      <c r="J177" s="46" t="n"/>
      <c r="K177" s="49" t="str">
        <f>IF($A177="","",IFERROR(INDEX(Suppliers!$B$2:$B$51,MATCH($B177,Suppliers!$A$2:$A$51,0))&amp;"","(not found)"))</f>
        <v/>
      </c>
      <c r="L177" s="49" t="str">
        <f>IF($A177="","",IFERROR(INDEX(Products!$B$2:$B$101,MATCH($C177,Products!$A$2:$A$101,0))&amp;"","(not found)"))</f>
        <v/>
      </c>
      <c r="M177" s="50" t="str">
        <f>IF($A177="","",SUMIFS(Inventory_Ledger!$E$2:$E$2001,Inventory_Ledger!$H$2:$H$2001,$A177,Inventory_Ledger!$C$2:$C$2001,"Receipt",Inventory_Ledger!$D$2:$D$2001,$C177))</f>
        <v/>
      </c>
      <c r="N177" s="50" t="str">
        <f>IF($A177="","",IF(IFERROR(INDEX(Config!$D$15:$D$34,MATCH($H177,Config!$C$15:$C$34,0)),"No")="Yes",MAX(0,IF(ISNUMBER($D177),$D177,0)-$M177),0))</f>
        <v/>
      </c>
      <c r="O177" s="52" t="str">
        <f>IF($A177="","",IF($N177&gt;0,1,0))</f>
        <v/>
      </c>
      <c r="P177" s="52" t="str">
        <f>IF($A177="","",IF(AND($O177=1,ISNUMBER($G177)),IF($G177&lt;Config!$B$4,1,0),0))</f>
        <v/>
      </c>
      <c r="Q177" s="52" t="str">
        <f>IF($A177="","",IF($P177=1,Config!$B$4-$G177,0))</f>
        <v/>
      </c>
      <c r="R177" s="53" t="str">
        <f>IF($A177="","",IF(AND(ISNUMBER($D177),ISNUMBER($E177)),$D177*$E177,""))</f>
        <v/>
      </c>
      <c r="S177" s="49" t="str">
        <f>IF(COUNTA($A177:$J177)=0,"",IF($A177="","Missing: PO ID",IF(COUNTIF($A$2:$A$301,$A177)&gt;1,"Duplicate PO ID",IF($B177="","Missing: supplier",IF($C177="","Missing: SKU",IF(NOT(ISNUMBER($D177)),"Missing: qty",IF(NOT(ISNUMBER($F177)),"Missing: order date",IF(NOT(ISNUMBER($G177)),"Missing: expected date",IF($H177="","Missing: status",IF($I177="","Missing: source link",IF(COUNTIF(Suppliers!$A$2:$A$51,$B177)=0,"Unknown supplier",IF(COUNTIF(Products!$A$2:$A$101,$C177)=0,"Unknown SKU",IF(COUNTIF(Config!$C$15:$C$34,$H177)=0,"Unsupported status",IF($D177&lt;=0,"Qty must be above 0",IF($G177&lt;$F177,"Expected date before order date",IF($M177&gt;$D177,"Received more than ordered",IF(AND($H177="Received",$M177&lt;$D177),"Status Received but not fully received",IF(AND(IFERROR(INDEX(Config!$D$15:$D$34,MATCH($H177,Config!$C$15:$C$34,0)),"No")="Yes",$M177&gt;=$D177),"Fully received: update status","OK"))))))))))))))))))</f>
        <v/>
      </c>
      <c r="T177" s="52" t="str">
        <f>IF($O177=1,IFERROR(COUNTIFS($O$2:$O$301,1,$G$2:$G$301,"&lt;"&amp;$G177)+COUNTIFS($O$2:$O177,1,$G$2:$G177,$G177),""),"")</f>
        <v/>
      </c>
    </row>
    <row r="178">
      <c r="A178" s="46" t="n"/>
      <c r="B178" s="46" t="n"/>
      <c r="C178" s="46" t="n"/>
      <c r="D178" s="48" t="n"/>
      <c r="E178" s="47" t="n"/>
      <c r="F178" s="54" t="n"/>
      <c r="G178" s="54" t="n"/>
      <c r="H178" s="46" t="n"/>
      <c r="I178" s="46" t="n"/>
      <c r="J178" s="46" t="n"/>
      <c r="K178" s="49" t="str">
        <f>IF($A178="","",IFERROR(INDEX(Suppliers!$B$2:$B$51,MATCH($B178,Suppliers!$A$2:$A$51,0))&amp;"","(not found)"))</f>
        <v/>
      </c>
      <c r="L178" s="49" t="str">
        <f>IF($A178="","",IFERROR(INDEX(Products!$B$2:$B$101,MATCH($C178,Products!$A$2:$A$101,0))&amp;"","(not found)"))</f>
        <v/>
      </c>
      <c r="M178" s="50" t="str">
        <f>IF($A178="","",SUMIFS(Inventory_Ledger!$E$2:$E$2001,Inventory_Ledger!$H$2:$H$2001,$A178,Inventory_Ledger!$C$2:$C$2001,"Receipt",Inventory_Ledger!$D$2:$D$2001,$C178))</f>
        <v/>
      </c>
      <c r="N178" s="50" t="str">
        <f>IF($A178="","",IF(IFERROR(INDEX(Config!$D$15:$D$34,MATCH($H178,Config!$C$15:$C$34,0)),"No")="Yes",MAX(0,IF(ISNUMBER($D178),$D178,0)-$M178),0))</f>
        <v/>
      </c>
      <c r="O178" s="52" t="str">
        <f>IF($A178="","",IF($N178&gt;0,1,0))</f>
        <v/>
      </c>
      <c r="P178" s="52" t="str">
        <f>IF($A178="","",IF(AND($O178=1,ISNUMBER($G178)),IF($G178&lt;Config!$B$4,1,0),0))</f>
        <v/>
      </c>
      <c r="Q178" s="52" t="str">
        <f>IF($A178="","",IF($P178=1,Config!$B$4-$G178,0))</f>
        <v/>
      </c>
      <c r="R178" s="53" t="str">
        <f>IF($A178="","",IF(AND(ISNUMBER($D178),ISNUMBER($E178)),$D178*$E178,""))</f>
        <v/>
      </c>
      <c r="S178" s="49" t="str">
        <f>IF(COUNTA($A178:$J178)=0,"",IF($A178="","Missing: PO ID",IF(COUNTIF($A$2:$A$301,$A178)&gt;1,"Duplicate PO ID",IF($B178="","Missing: supplier",IF($C178="","Missing: SKU",IF(NOT(ISNUMBER($D178)),"Missing: qty",IF(NOT(ISNUMBER($F178)),"Missing: order date",IF(NOT(ISNUMBER($G178)),"Missing: expected date",IF($H178="","Missing: status",IF($I178="","Missing: source link",IF(COUNTIF(Suppliers!$A$2:$A$51,$B178)=0,"Unknown supplier",IF(COUNTIF(Products!$A$2:$A$101,$C178)=0,"Unknown SKU",IF(COUNTIF(Config!$C$15:$C$34,$H178)=0,"Unsupported status",IF($D178&lt;=0,"Qty must be above 0",IF($G178&lt;$F178,"Expected date before order date",IF($M178&gt;$D178,"Received more than ordered",IF(AND($H178="Received",$M178&lt;$D178),"Status Received but not fully received",IF(AND(IFERROR(INDEX(Config!$D$15:$D$34,MATCH($H178,Config!$C$15:$C$34,0)),"No")="Yes",$M178&gt;=$D178),"Fully received: update status","OK"))))))))))))))))))</f>
        <v/>
      </c>
      <c r="T178" s="52" t="str">
        <f>IF($O178=1,IFERROR(COUNTIFS($O$2:$O$301,1,$G$2:$G$301,"&lt;"&amp;$G178)+COUNTIFS($O$2:$O178,1,$G$2:$G178,$G178),""),"")</f>
        <v/>
      </c>
    </row>
    <row r="179">
      <c r="A179" s="46" t="n"/>
      <c r="B179" s="46" t="n"/>
      <c r="C179" s="46" t="n"/>
      <c r="D179" s="48" t="n"/>
      <c r="E179" s="47" t="n"/>
      <c r="F179" s="54" t="n"/>
      <c r="G179" s="54" t="n"/>
      <c r="H179" s="46" t="n"/>
      <c r="I179" s="46" t="n"/>
      <c r="J179" s="46" t="n"/>
      <c r="K179" s="49" t="str">
        <f>IF($A179="","",IFERROR(INDEX(Suppliers!$B$2:$B$51,MATCH($B179,Suppliers!$A$2:$A$51,0))&amp;"","(not found)"))</f>
        <v/>
      </c>
      <c r="L179" s="49" t="str">
        <f>IF($A179="","",IFERROR(INDEX(Products!$B$2:$B$101,MATCH($C179,Products!$A$2:$A$101,0))&amp;"","(not found)"))</f>
        <v/>
      </c>
      <c r="M179" s="50" t="str">
        <f>IF($A179="","",SUMIFS(Inventory_Ledger!$E$2:$E$2001,Inventory_Ledger!$H$2:$H$2001,$A179,Inventory_Ledger!$C$2:$C$2001,"Receipt",Inventory_Ledger!$D$2:$D$2001,$C179))</f>
        <v/>
      </c>
      <c r="N179" s="50" t="str">
        <f>IF($A179="","",IF(IFERROR(INDEX(Config!$D$15:$D$34,MATCH($H179,Config!$C$15:$C$34,0)),"No")="Yes",MAX(0,IF(ISNUMBER($D179),$D179,0)-$M179),0))</f>
        <v/>
      </c>
      <c r="O179" s="52" t="str">
        <f>IF($A179="","",IF($N179&gt;0,1,0))</f>
        <v/>
      </c>
      <c r="P179" s="52" t="str">
        <f>IF($A179="","",IF(AND($O179=1,ISNUMBER($G179)),IF($G179&lt;Config!$B$4,1,0),0))</f>
        <v/>
      </c>
      <c r="Q179" s="52" t="str">
        <f>IF($A179="","",IF($P179=1,Config!$B$4-$G179,0))</f>
        <v/>
      </c>
      <c r="R179" s="53" t="str">
        <f>IF($A179="","",IF(AND(ISNUMBER($D179),ISNUMBER($E179)),$D179*$E179,""))</f>
        <v/>
      </c>
      <c r="S179" s="49" t="str">
        <f>IF(COUNTA($A179:$J179)=0,"",IF($A179="","Missing: PO ID",IF(COUNTIF($A$2:$A$301,$A179)&gt;1,"Duplicate PO ID",IF($B179="","Missing: supplier",IF($C179="","Missing: SKU",IF(NOT(ISNUMBER($D179)),"Missing: qty",IF(NOT(ISNUMBER($F179)),"Missing: order date",IF(NOT(ISNUMBER($G179)),"Missing: expected date",IF($H179="","Missing: status",IF($I179="","Missing: source link",IF(COUNTIF(Suppliers!$A$2:$A$51,$B179)=0,"Unknown supplier",IF(COUNTIF(Products!$A$2:$A$101,$C179)=0,"Unknown SKU",IF(COUNTIF(Config!$C$15:$C$34,$H179)=0,"Unsupported status",IF($D179&lt;=0,"Qty must be above 0",IF($G179&lt;$F179,"Expected date before order date",IF($M179&gt;$D179,"Received more than ordered",IF(AND($H179="Received",$M179&lt;$D179),"Status Received but not fully received",IF(AND(IFERROR(INDEX(Config!$D$15:$D$34,MATCH($H179,Config!$C$15:$C$34,0)),"No")="Yes",$M179&gt;=$D179),"Fully received: update status","OK"))))))))))))))))))</f>
        <v/>
      </c>
      <c r="T179" s="52" t="str">
        <f>IF($O179=1,IFERROR(COUNTIFS($O$2:$O$301,1,$G$2:$G$301,"&lt;"&amp;$G179)+COUNTIFS($O$2:$O179,1,$G$2:$G179,$G179),""),"")</f>
        <v/>
      </c>
    </row>
    <row r="180">
      <c r="A180" s="46" t="n"/>
      <c r="B180" s="46" t="n"/>
      <c r="C180" s="46" t="n"/>
      <c r="D180" s="48" t="n"/>
      <c r="E180" s="47" t="n"/>
      <c r="F180" s="54" t="n"/>
      <c r="G180" s="54" t="n"/>
      <c r="H180" s="46" t="n"/>
      <c r="I180" s="46" t="n"/>
      <c r="J180" s="46" t="n"/>
      <c r="K180" s="49" t="str">
        <f>IF($A180="","",IFERROR(INDEX(Suppliers!$B$2:$B$51,MATCH($B180,Suppliers!$A$2:$A$51,0))&amp;"","(not found)"))</f>
        <v/>
      </c>
      <c r="L180" s="49" t="str">
        <f>IF($A180="","",IFERROR(INDEX(Products!$B$2:$B$101,MATCH($C180,Products!$A$2:$A$101,0))&amp;"","(not found)"))</f>
        <v/>
      </c>
      <c r="M180" s="50" t="str">
        <f>IF($A180="","",SUMIFS(Inventory_Ledger!$E$2:$E$2001,Inventory_Ledger!$H$2:$H$2001,$A180,Inventory_Ledger!$C$2:$C$2001,"Receipt",Inventory_Ledger!$D$2:$D$2001,$C180))</f>
        <v/>
      </c>
      <c r="N180" s="50" t="str">
        <f>IF($A180="","",IF(IFERROR(INDEX(Config!$D$15:$D$34,MATCH($H180,Config!$C$15:$C$34,0)),"No")="Yes",MAX(0,IF(ISNUMBER($D180),$D180,0)-$M180),0))</f>
        <v/>
      </c>
      <c r="O180" s="52" t="str">
        <f>IF($A180="","",IF($N180&gt;0,1,0))</f>
        <v/>
      </c>
      <c r="P180" s="52" t="str">
        <f>IF($A180="","",IF(AND($O180=1,ISNUMBER($G180)),IF($G180&lt;Config!$B$4,1,0),0))</f>
        <v/>
      </c>
      <c r="Q180" s="52" t="str">
        <f>IF($A180="","",IF($P180=1,Config!$B$4-$G180,0))</f>
        <v/>
      </c>
      <c r="R180" s="53" t="str">
        <f>IF($A180="","",IF(AND(ISNUMBER($D180),ISNUMBER($E180)),$D180*$E180,""))</f>
        <v/>
      </c>
      <c r="S180" s="49" t="str">
        <f>IF(COUNTA($A180:$J180)=0,"",IF($A180="","Missing: PO ID",IF(COUNTIF($A$2:$A$301,$A180)&gt;1,"Duplicate PO ID",IF($B180="","Missing: supplier",IF($C180="","Missing: SKU",IF(NOT(ISNUMBER($D180)),"Missing: qty",IF(NOT(ISNUMBER($F180)),"Missing: order date",IF(NOT(ISNUMBER($G180)),"Missing: expected date",IF($H180="","Missing: status",IF($I180="","Missing: source link",IF(COUNTIF(Suppliers!$A$2:$A$51,$B180)=0,"Unknown supplier",IF(COUNTIF(Products!$A$2:$A$101,$C180)=0,"Unknown SKU",IF(COUNTIF(Config!$C$15:$C$34,$H180)=0,"Unsupported status",IF($D180&lt;=0,"Qty must be above 0",IF($G180&lt;$F180,"Expected date before order date",IF($M180&gt;$D180,"Received more than ordered",IF(AND($H180="Received",$M180&lt;$D180),"Status Received but not fully received",IF(AND(IFERROR(INDEX(Config!$D$15:$D$34,MATCH($H180,Config!$C$15:$C$34,0)),"No")="Yes",$M180&gt;=$D180),"Fully received: update status","OK"))))))))))))))))))</f>
        <v/>
      </c>
      <c r="T180" s="52" t="str">
        <f>IF($O180=1,IFERROR(COUNTIFS($O$2:$O$301,1,$G$2:$G$301,"&lt;"&amp;$G180)+COUNTIFS($O$2:$O180,1,$G$2:$G180,$G180),""),"")</f>
        <v/>
      </c>
    </row>
    <row r="181">
      <c r="A181" s="46" t="n"/>
      <c r="B181" s="46" t="n"/>
      <c r="C181" s="46" t="n"/>
      <c r="D181" s="48" t="n"/>
      <c r="E181" s="47" t="n"/>
      <c r="F181" s="54" t="n"/>
      <c r="G181" s="54" t="n"/>
      <c r="H181" s="46" t="n"/>
      <c r="I181" s="46" t="n"/>
      <c r="J181" s="46" t="n"/>
      <c r="K181" s="49" t="str">
        <f>IF($A181="","",IFERROR(INDEX(Suppliers!$B$2:$B$51,MATCH($B181,Suppliers!$A$2:$A$51,0))&amp;"","(not found)"))</f>
        <v/>
      </c>
      <c r="L181" s="49" t="str">
        <f>IF($A181="","",IFERROR(INDEX(Products!$B$2:$B$101,MATCH($C181,Products!$A$2:$A$101,0))&amp;"","(not found)"))</f>
        <v/>
      </c>
      <c r="M181" s="50" t="str">
        <f>IF($A181="","",SUMIFS(Inventory_Ledger!$E$2:$E$2001,Inventory_Ledger!$H$2:$H$2001,$A181,Inventory_Ledger!$C$2:$C$2001,"Receipt",Inventory_Ledger!$D$2:$D$2001,$C181))</f>
        <v/>
      </c>
      <c r="N181" s="50" t="str">
        <f>IF($A181="","",IF(IFERROR(INDEX(Config!$D$15:$D$34,MATCH($H181,Config!$C$15:$C$34,0)),"No")="Yes",MAX(0,IF(ISNUMBER($D181),$D181,0)-$M181),0))</f>
        <v/>
      </c>
      <c r="O181" s="52" t="str">
        <f>IF($A181="","",IF($N181&gt;0,1,0))</f>
        <v/>
      </c>
      <c r="P181" s="52" t="str">
        <f>IF($A181="","",IF(AND($O181=1,ISNUMBER($G181)),IF($G181&lt;Config!$B$4,1,0),0))</f>
        <v/>
      </c>
      <c r="Q181" s="52" t="str">
        <f>IF($A181="","",IF($P181=1,Config!$B$4-$G181,0))</f>
        <v/>
      </c>
      <c r="R181" s="53" t="str">
        <f>IF($A181="","",IF(AND(ISNUMBER($D181),ISNUMBER($E181)),$D181*$E181,""))</f>
        <v/>
      </c>
      <c r="S181" s="49" t="str">
        <f>IF(COUNTA($A181:$J181)=0,"",IF($A181="","Missing: PO ID",IF(COUNTIF($A$2:$A$301,$A181)&gt;1,"Duplicate PO ID",IF($B181="","Missing: supplier",IF($C181="","Missing: SKU",IF(NOT(ISNUMBER($D181)),"Missing: qty",IF(NOT(ISNUMBER($F181)),"Missing: order date",IF(NOT(ISNUMBER($G181)),"Missing: expected date",IF($H181="","Missing: status",IF($I181="","Missing: source link",IF(COUNTIF(Suppliers!$A$2:$A$51,$B181)=0,"Unknown supplier",IF(COUNTIF(Products!$A$2:$A$101,$C181)=0,"Unknown SKU",IF(COUNTIF(Config!$C$15:$C$34,$H181)=0,"Unsupported status",IF($D181&lt;=0,"Qty must be above 0",IF($G181&lt;$F181,"Expected date before order date",IF($M181&gt;$D181,"Received more than ordered",IF(AND($H181="Received",$M181&lt;$D181),"Status Received but not fully received",IF(AND(IFERROR(INDEX(Config!$D$15:$D$34,MATCH($H181,Config!$C$15:$C$34,0)),"No")="Yes",$M181&gt;=$D181),"Fully received: update status","OK"))))))))))))))))))</f>
        <v/>
      </c>
      <c r="T181" s="52" t="str">
        <f>IF($O181=1,IFERROR(COUNTIFS($O$2:$O$301,1,$G$2:$G$301,"&lt;"&amp;$G181)+COUNTIFS($O$2:$O181,1,$G$2:$G181,$G181),""),"")</f>
        <v/>
      </c>
    </row>
    <row r="182">
      <c r="A182" s="46" t="n"/>
      <c r="B182" s="46" t="n"/>
      <c r="C182" s="46" t="n"/>
      <c r="D182" s="48" t="n"/>
      <c r="E182" s="47" t="n"/>
      <c r="F182" s="54" t="n"/>
      <c r="G182" s="54" t="n"/>
      <c r="H182" s="46" t="n"/>
      <c r="I182" s="46" t="n"/>
      <c r="J182" s="46" t="n"/>
      <c r="K182" s="49" t="str">
        <f>IF($A182="","",IFERROR(INDEX(Suppliers!$B$2:$B$51,MATCH($B182,Suppliers!$A$2:$A$51,0))&amp;"","(not found)"))</f>
        <v/>
      </c>
      <c r="L182" s="49" t="str">
        <f>IF($A182="","",IFERROR(INDEX(Products!$B$2:$B$101,MATCH($C182,Products!$A$2:$A$101,0))&amp;"","(not found)"))</f>
        <v/>
      </c>
      <c r="M182" s="50" t="str">
        <f>IF($A182="","",SUMIFS(Inventory_Ledger!$E$2:$E$2001,Inventory_Ledger!$H$2:$H$2001,$A182,Inventory_Ledger!$C$2:$C$2001,"Receipt",Inventory_Ledger!$D$2:$D$2001,$C182))</f>
        <v/>
      </c>
      <c r="N182" s="50" t="str">
        <f>IF($A182="","",IF(IFERROR(INDEX(Config!$D$15:$D$34,MATCH($H182,Config!$C$15:$C$34,0)),"No")="Yes",MAX(0,IF(ISNUMBER($D182),$D182,0)-$M182),0))</f>
        <v/>
      </c>
      <c r="O182" s="52" t="str">
        <f>IF($A182="","",IF($N182&gt;0,1,0))</f>
        <v/>
      </c>
      <c r="P182" s="52" t="str">
        <f>IF($A182="","",IF(AND($O182=1,ISNUMBER($G182)),IF($G182&lt;Config!$B$4,1,0),0))</f>
        <v/>
      </c>
      <c r="Q182" s="52" t="str">
        <f>IF($A182="","",IF($P182=1,Config!$B$4-$G182,0))</f>
        <v/>
      </c>
      <c r="R182" s="53" t="str">
        <f>IF($A182="","",IF(AND(ISNUMBER($D182),ISNUMBER($E182)),$D182*$E182,""))</f>
        <v/>
      </c>
      <c r="S182" s="49" t="str">
        <f>IF(COUNTA($A182:$J182)=0,"",IF($A182="","Missing: PO ID",IF(COUNTIF($A$2:$A$301,$A182)&gt;1,"Duplicate PO ID",IF($B182="","Missing: supplier",IF($C182="","Missing: SKU",IF(NOT(ISNUMBER($D182)),"Missing: qty",IF(NOT(ISNUMBER($F182)),"Missing: order date",IF(NOT(ISNUMBER($G182)),"Missing: expected date",IF($H182="","Missing: status",IF($I182="","Missing: source link",IF(COUNTIF(Suppliers!$A$2:$A$51,$B182)=0,"Unknown supplier",IF(COUNTIF(Products!$A$2:$A$101,$C182)=0,"Unknown SKU",IF(COUNTIF(Config!$C$15:$C$34,$H182)=0,"Unsupported status",IF($D182&lt;=0,"Qty must be above 0",IF($G182&lt;$F182,"Expected date before order date",IF($M182&gt;$D182,"Received more than ordered",IF(AND($H182="Received",$M182&lt;$D182),"Status Received but not fully received",IF(AND(IFERROR(INDEX(Config!$D$15:$D$34,MATCH($H182,Config!$C$15:$C$34,0)),"No")="Yes",$M182&gt;=$D182),"Fully received: update status","OK"))))))))))))))))))</f>
        <v/>
      </c>
      <c r="T182" s="52" t="str">
        <f>IF($O182=1,IFERROR(COUNTIFS($O$2:$O$301,1,$G$2:$G$301,"&lt;"&amp;$G182)+COUNTIFS($O$2:$O182,1,$G$2:$G182,$G182),""),"")</f>
        <v/>
      </c>
    </row>
    <row r="183">
      <c r="A183" s="46" t="n"/>
      <c r="B183" s="46" t="n"/>
      <c r="C183" s="46" t="n"/>
      <c r="D183" s="48" t="n"/>
      <c r="E183" s="47" t="n"/>
      <c r="F183" s="54" t="n"/>
      <c r="G183" s="54" t="n"/>
      <c r="H183" s="46" t="n"/>
      <c r="I183" s="46" t="n"/>
      <c r="J183" s="46" t="n"/>
      <c r="K183" s="49" t="str">
        <f>IF($A183="","",IFERROR(INDEX(Suppliers!$B$2:$B$51,MATCH($B183,Suppliers!$A$2:$A$51,0))&amp;"","(not found)"))</f>
        <v/>
      </c>
      <c r="L183" s="49" t="str">
        <f>IF($A183="","",IFERROR(INDEX(Products!$B$2:$B$101,MATCH($C183,Products!$A$2:$A$101,0))&amp;"","(not found)"))</f>
        <v/>
      </c>
      <c r="M183" s="50" t="str">
        <f>IF($A183="","",SUMIFS(Inventory_Ledger!$E$2:$E$2001,Inventory_Ledger!$H$2:$H$2001,$A183,Inventory_Ledger!$C$2:$C$2001,"Receipt",Inventory_Ledger!$D$2:$D$2001,$C183))</f>
        <v/>
      </c>
      <c r="N183" s="50" t="str">
        <f>IF($A183="","",IF(IFERROR(INDEX(Config!$D$15:$D$34,MATCH($H183,Config!$C$15:$C$34,0)),"No")="Yes",MAX(0,IF(ISNUMBER($D183),$D183,0)-$M183),0))</f>
        <v/>
      </c>
      <c r="O183" s="52" t="str">
        <f>IF($A183="","",IF($N183&gt;0,1,0))</f>
        <v/>
      </c>
      <c r="P183" s="52" t="str">
        <f>IF($A183="","",IF(AND($O183=1,ISNUMBER($G183)),IF($G183&lt;Config!$B$4,1,0),0))</f>
        <v/>
      </c>
      <c r="Q183" s="52" t="str">
        <f>IF($A183="","",IF($P183=1,Config!$B$4-$G183,0))</f>
        <v/>
      </c>
      <c r="R183" s="53" t="str">
        <f>IF($A183="","",IF(AND(ISNUMBER($D183),ISNUMBER($E183)),$D183*$E183,""))</f>
        <v/>
      </c>
      <c r="S183" s="49" t="str">
        <f>IF(COUNTA($A183:$J183)=0,"",IF($A183="","Missing: PO ID",IF(COUNTIF($A$2:$A$301,$A183)&gt;1,"Duplicate PO ID",IF($B183="","Missing: supplier",IF($C183="","Missing: SKU",IF(NOT(ISNUMBER($D183)),"Missing: qty",IF(NOT(ISNUMBER($F183)),"Missing: order date",IF(NOT(ISNUMBER($G183)),"Missing: expected date",IF($H183="","Missing: status",IF($I183="","Missing: source link",IF(COUNTIF(Suppliers!$A$2:$A$51,$B183)=0,"Unknown supplier",IF(COUNTIF(Products!$A$2:$A$101,$C183)=0,"Unknown SKU",IF(COUNTIF(Config!$C$15:$C$34,$H183)=0,"Unsupported status",IF($D183&lt;=0,"Qty must be above 0",IF($G183&lt;$F183,"Expected date before order date",IF($M183&gt;$D183,"Received more than ordered",IF(AND($H183="Received",$M183&lt;$D183),"Status Received but not fully received",IF(AND(IFERROR(INDEX(Config!$D$15:$D$34,MATCH($H183,Config!$C$15:$C$34,0)),"No")="Yes",$M183&gt;=$D183),"Fully received: update status","OK"))))))))))))))))))</f>
        <v/>
      </c>
      <c r="T183" s="52" t="str">
        <f>IF($O183=1,IFERROR(COUNTIFS($O$2:$O$301,1,$G$2:$G$301,"&lt;"&amp;$G183)+COUNTIFS($O$2:$O183,1,$G$2:$G183,$G183),""),"")</f>
        <v/>
      </c>
    </row>
    <row r="184">
      <c r="A184" s="46" t="n"/>
      <c r="B184" s="46" t="n"/>
      <c r="C184" s="46" t="n"/>
      <c r="D184" s="48" t="n"/>
      <c r="E184" s="47" t="n"/>
      <c r="F184" s="54" t="n"/>
      <c r="G184" s="54" t="n"/>
      <c r="H184" s="46" t="n"/>
      <c r="I184" s="46" t="n"/>
      <c r="J184" s="46" t="n"/>
      <c r="K184" s="49" t="str">
        <f>IF($A184="","",IFERROR(INDEX(Suppliers!$B$2:$B$51,MATCH($B184,Suppliers!$A$2:$A$51,0))&amp;"","(not found)"))</f>
        <v/>
      </c>
      <c r="L184" s="49" t="str">
        <f>IF($A184="","",IFERROR(INDEX(Products!$B$2:$B$101,MATCH($C184,Products!$A$2:$A$101,0))&amp;"","(not found)"))</f>
        <v/>
      </c>
      <c r="M184" s="50" t="str">
        <f>IF($A184="","",SUMIFS(Inventory_Ledger!$E$2:$E$2001,Inventory_Ledger!$H$2:$H$2001,$A184,Inventory_Ledger!$C$2:$C$2001,"Receipt",Inventory_Ledger!$D$2:$D$2001,$C184))</f>
        <v/>
      </c>
      <c r="N184" s="50" t="str">
        <f>IF($A184="","",IF(IFERROR(INDEX(Config!$D$15:$D$34,MATCH($H184,Config!$C$15:$C$34,0)),"No")="Yes",MAX(0,IF(ISNUMBER($D184),$D184,0)-$M184),0))</f>
        <v/>
      </c>
      <c r="O184" s="52" t="str">
        <f>IF($A184="","",IF($N184&gt;0,1,0))</f>
        <v/>
      </c>
      <c r="P184" s="52" t="str">
        <f>IF($A184="","",IF(AND($O184=1,ISNUMBER($G184)),IF($G184&lt;Config!$B$4,1,0),0))</f>
        <v/>
      </c>
      <c r="Q184" s="52" t="str">
        <f>IF($A184="","",IF($P184=1,Config!$B$4-$G184,0))</f>
        <v/>
      </c>
      <c r="R184" s="53" t="str">
        <f>IF($A184="","",IF(AND(ISNUMBER($D184),ISNUMBER($E184)),$D184*$E184,""))</f>
        <v/>
      </c>
      <c r="S184" s="49" t="str">
        <f>IF(COUNTA($A184:$J184)=0,"",IF($A184="","Missing: PO ID",IF(COUNTIF($A$2:$A$301,$A184)&gt;1,"Duplicate PO ID",IF($B184="","Missing: supplier",IF($C184="","Missing: SKU",IF(NOT(ISNUMBER($D184)),"Missing: qty",IF(NOT(ISNUMBER($F184)),"Missing: order date",IF(NOT(ISNUMBER($G184)),"Missing: expected date",IF($H184="","Missing: status",IF($I184="","Missing: source link",IF(COUNTIF(Suppliers!$A$2:$A$51,$B184)=0,"Unknown supplier",IF(COUNTIF(Products!$A$2:$A$101,$C184)=0,"Unknown SKU",IF(COUNTIF(Config!$C$15:$C$34,$H184)=0,"Unsupported status",IF($D184&lt;=0,"Qty must be above 0",IF($G184&lt;$F184,"Expected date before order date",IF($M184&gt;$D184,"Received more than ordered",IF(AND($H184="Received",$M184&lt;$D184),"Status Received but not fully received",IF(AND(IFERROR(INDEX(Config!$D$15:$D$34,MATCH($H184,Config!$C$15:$C$34,0)),"No")="Yes",$M184&gt;=$D184),"Fully received: update status","OK"))))))))))))))))))</f>
        <v/>
      </c>
      <c r="T184" s="52" t="str">
        <f>IF($O184=1,IFERROR(COUNTIFS($O$2:$O$301,1,$G$2:$G$301,"&lt;"&amp;$G184)+COUNTIFS($O$2:$O184,1,$G$2:$G184,$G184),""),"")</f>
        <v/>
      </c>
    </row>
    <row r="185">
      <c r="A185" s="46" t="n"/>
      <c r="B185" s="46" t="n"/>
      <c r="C185" s="46" t="n"/>
      <c r="D185" s="48" t="n"/>
      <c r="E185" s="47" t="n"/>
      <c r="F185" s="54" t="n"/>
      <c r="G185" s="54" t="n"/>
      <c r="H185" s="46" t="n"/>
      <c r="I185" s="46" t="n"/>
      <c r="J185" s="46" t="n"/>
      <c r="K185" s="49" t="str">
        <f>IF($A185="","",IFERROR(INDEX(Suppliers!$B$2:$B$51,MATCH($B185,Suppliers!$A$2:$A$51,0))&amp;"","(not found)"))</f>
        <v/>
      </c>
      <c r="L185" s="49" t="str">
        <f>IF($A185="","",IFERROR(INDEX(Products!$B$2:$B$101,MATCH($C185,Products!$A$2:$A$101,0))&amp;"","(not found)"))</f>
        <v/>
      </c>
      <c r="M185" s="50" t="str">
        <f>IF($A185="","",SUMIFS(Inventory_Ledger!$E$2:$E$2001,Inventory_Ledger!$H$2:$H$2001,$A185,Inventory_Ledger!$C$2:$C$2001,"Receipt",Inventory_Ledger!$D$2:$D$2001,$C185))</f>
        <v/>
      </c>
      <c r="N185" s="50" t="str">
        <f>IF($A185="","",IF(IFERROR(INDEX(Config!$D$15:$D$34,MATCH($H185,Config!$C$15:$C$34,0)),"No")="Yes",MAX(0,IF(ISNUMBER($D185),$D185,0)-$M185),0))</f>
        <v/>
      </c>
      <c r="O185" s="52" t="str">
        <f>IF($A185="","",IF($N185&gt;0,1,0))</f>
        <v/>
      </c>
      <c r="P185" s="52" t="str">
        <f>IF($A185="","",IF(AND($O185=1,ISNUMBER($G185)),IF($G185&lt;Config!$B$4,1,0),0))</f>
        <v/>
      </c>
      <c r="Q185" s="52" t="str">
        <f>IF($A185="","",IF($P185=1,Config!$B$4-$G185,0))</f>
        <v/>
      </c>
      <c r="R185" s="53" t="str">
        <f>IF($A185="","",IF(AND(ISNUMBER($D185),ISNUMBER($E185)),$D185*$E185,""))</f>
        <v/>
      </c>
      <c r="S185" s="49" t="str">
        <f>IF(COUNTA($A185:$J185)=0,"",IF($A185="","Missing: PO ID",IF(COUNTIF($A$2:$A$301,$A185)&gt;1,"Duplicate PO ID",IF($B185="","Missing: supplier",IF($C185="","Missing: SKU",IF(NOT(ISNUMBER($D185)),"Missing: qty",IF(NOT(ISNUMBER($F185)),"Missing: order date",IF(NOT(ISNUMBER($G185)),"Missing: expected date",IF($H185="","Missing: status",IF($I185="","Missing: source link",IF(COUNTIF(Suppliers!$A$2:$A$51,$B185)=0,"Unknown supplier",IF(COUNTIF(Products!$A$2:$A$101,$C185)=0,"Unknown SKU",IF(COUNTIF(Config!$C$15:$C$34,$H185)=0,"Unsupported status",IF($D185&lt;=0,"Qty must be above 0",IF($G185&lt;$F185,"Expected date before order date",IF($M185&gt;$D185,"Received more than ordered",IF(AND($H185="Received",$M185&lt;$D185),"Status Received but not fully received",IF(AND(IFERROR(INDEX(Config!$D$15:$D$34,MATCH($H185,Config!$C$15:$C$34,0)),"No")="Yes",$M185&gt;=$D185),"Fully received: update status","OK"))))))))))))))))))</f>
        <v/>
      </c>
      <c r="T185" s="52" t="str">
        <f>IF($O185=1,IFERROR(COUNTIFS($O$2:$O$301,1,$G$2:$G$301,"&lt;"&amp;$G185)+COUNTIFS($O$2:$O185,1,$G$2:$G185,$G185),""),"")</f>
        <v/>
      </c>
    </row>
    <row r="186">
      <c r="A186" s="46" t="n"/>
      <c r="B186" s="46" t="n"/>
      <c r="C186" s="46" t="n"/>
      <c r="D186" s="48" t="n"/>
      <c r="E186" s="47" t="n"/>
      <c r="F186" s="54" t="n"/>
      <c r="G186" s="54" t="n"/>
      <c r="H186" s="46" t="n"/>
      <c r="I186" s="46" t="n"/>
      <c r="J186" s="46" t="n"/>
      <c r="K186" s="49" t="str">
        <f>IF($A186="","",IFERROR(INDEX(Suppliers!$B$2:$B$51,MATCH($B186,Suppliers!$A$2:$A$51,0))&amp;"","(not found)"))</f>
        <v/>
      </c>
      <c r="L186" s="49" t="str">
        <f>IF($A186="","",IFERROR(INDEX(Products!$B$2:$B$101,MATCH($C186,Products!$A$2:$A$101,0))&amp;"","(not found)"))</f>
        <v/>
      </c>
      <c r="M186" s="50" t="str">
        <f>IF($A186="","",SUMIFS(Inventory_Ledger!$E$2:$E$2001,Inventory_Ledger!$H$2:$H$2001,$A186,Inventory_Ledger!$C$2:$C$2001,"Receipt",Inventory_Ledger!$D$2:$D$2001,$C186))</f>
        <v/>
      </c>
      <c r="N186" s="50" t="str">
        <f>IF($A186="","",IF(IFERROR(INDEX(Config!$D$15:$D$34,MATCH($H186,Config!$C$15:$C$34,0)),"No")="Yes",MAX(0,IF(ISNUMBER($D186),$D186,0)-$M186),0))</f>
        <v/>
      </c>
      <c r="O186" s="52" t="str">
        <f>IF($A186="","",IF($N186&gt;0,1,0))</f>
        <v/>
      </c>
      <c r="P186" s="52" t="str">
        <f>IF($A186="","",IF(AND($O186=1,ISNUMBER($G186)),IF($G186&lt;Config!$B$4,1,0),0))</f>
        <v/>
      </c>
      <c r="Q186" s="52" t="str">
        <f>IF($A186="","",IF($P186=1,Config!$B$4-$G186,0))</f>
        <v/>
      </c>
      <c r="R186" s="53" t="str">
        <f>IF($A186="","",IF(AND(ISNUMBER($D186),ISNUMBER($E186)),$D186*$E186,""))</f>
        <v/>
      </c>
      <c r="S186" s="49" t="str">
        <f>IF(COUNTA($A186:$J186)=0,"",IF($A186="","Missing: PO ID",IF(COUNTIF($A$2:$A$301,$A186)&gt;1,"Duplicate PO ID",IF($B186="","Missing: supplier",IF($C186="","Missing: SKU",IF(NOT(ISNUMBER($D186)),"Missing: qty",IF(NOT(ISNUMBER($F186)),"Missing: order date",IF(NOT(ISNUMBER($G186)),"Missing: expected date",IF($H186="","Missing: status",IF($I186="","Missing: source link",IF(COUNTIF(Suppliers!$A$2:$A$51,$B186)=0,"Unknown supplier",IF(COUNTIF(Products!$A$2:$A$101,$C186)=0,"Unknown SKU",IF(COUNTIF(Config!$C$15:$C$34,$H186)=0,"Unsupported status",IF($D186&lt;=0,"Qty must be above 0",IF($G186&lt;$F186,"Expected date before order date",IF($M186&gt;$D186,"Received more than ordered",IF(AND($H186="Received",$M186&lt;$D186),"Status Received but not fully received",IF(AND(IFERROR(INDEX(Config!$D$15:$D$34,MATCH($H186,Config!$C$15:$C$34,0)),"No")="Yes",$M186&gt;=$D186),"Fully received: update status","OK"))))))))))))))))))</f>
        <v/>
      </c>
      <c r="T186" s="52" t="str">
        <f>IF($O186=1,IFERROR(COUNTIFS($O$2:$O$301,1,$G$2:$G$301,"&lt;"&amp;$G186)+COUNTIFS($O$2:$O186,1,$G$2:$G186,$G186),""),"")</f>
        <v/>
      </c>
    </row>
    <row r="187">
      <c r="A187" s="46" t="n"/>
      <c r="B187" s="46" t="n"/>
      <c r="C187" s="46" t="n"/>
      <c r="D187" s="48" t="n"/>
      <c r="E187" s="47" t="n"/>
      <c r="F187" s="54" t="n"/>
      <c r="G187" s="54" t="n"/>
      <c r="H187" s="46" t="n"/>
      <c r="I187" s="46" t="n"/>
      <c r="J187" s="46" t="n"/>
      <c r="K187" s="49" t="str">
        <f>IF($A187="","",IFERROR(INDEX(Suppliers!$B$2:$B$51,MATCH($B187,Suppliers!$A$2:$A$51,0))&amp;"","(not found)"))</f>
        <v/>
      </c>
      <c r="L187" s="49" t="str">
        <f>IF($A187="","",IFERROR(INDEX(Products!$B$2:$B$101,MATCH($C187,Products!$A$2:$A$101,0))&amp;"","(not found)"))</f>
        <v/>
      </c>
      <c r="M187" s="50" t="str">
        <f>IF($A187="","",SUMIFS(Inventory_Ledger!$E$2:$E$2001,Inventory_Ledger!$H$2:$H$2001,$A187,Inventory_Ledger!$C$2:$C$2001,"Receipt",Inventory_Ledger!$D$2:$D$2001,$C187))</f>
        <v/>
      </c>
      <c r="N187" s="50" t="str">
        <f>IF($A187="","",IF(IFERROR(INDEX(Config!$D$15:$D$34,MATCH($H187,Config!$C$15:$C$34,0)),"No")="Yes",MAX(0,IF(ISNUMBER($D187),$D187,0)-$M187),0))</f>
        <v/>
      </c>
      <c r="O187" s="52" t="str">
        <f>IF($A187="","",IF($N187&gt;0,1,0))</f>
        <v/>
      </c>
      <c r="P187" s="52" t="str">
        <f>IF($A187="","",IF(AND($O187=1,ISNUMBER($G187)),IF($G187&lt;Config!$B$4,1,0),0))</f>
        <v/>
      </c>
      <c r="Q187" s="52" t="str">
        <f>IF($A187="","",IF($P187=1,Config!$B$4-$G187,0))</f>
        <v/>
      </c>
      <c r="R187" s="53" t="str">
        <f>IF($A187="","",IF(AND(ISNUMBER($D187),ISNUMBER($E187)),$D187*$E187,""))</f>
        <v/>
      </c>
      <c r="S187" s="49" t="str">
        <f>IF(COUNTA($A187:$J187)=0,"",IF($A187="","Missing: PO ID",IF(COUNTIF($A$2:$A$301,$A187)&gt;1,"Duplicate PO ID",IF($B187="","Missing: supplier",IF($C187="","Missing: SKU",IF(NOT(ISNUMBER($D187)),"Missing: qty",IF(NOT(ISNUMBER($F187)),"Missing: order date",IF(NOT(ISNUMBER($G187)),"Missing: expected date",IF($H187="","Missing: status",IF($I187="","Missing: source link",IF(COUNTIF(Suppliers!$A$2:$A$51,$B187)=0,"Unknown supplier",IF(COUNTIF(Products!$A$2:$A$101,$C187)=0,"Unknown SKU",IF(COUNTIF(Config!$C$15:$C$34,$H187)=0,"Unsupported status",IF($D187&lt;=0,"Qty must be above 0",IF($G187&lt;$F187,"Expected date before order date",IF($M187&gt;$D187,"Received more than ordered",IF(AND($H187="Received",$M187&lt;$D187),"Status Received but not fully received",IF(AND(IFERROR(INDEX(Config!$D$15:$D$34,MATCH($H187,Config!$C$15:$C$34,0)),"No")="Yes",$M187&gt;=$D187),"Fully received: update status","OK"))))))))))))))))))</f>
        <v/>
      </c>
      <c r="T187" s="52" t="str">
        <f>IF($O187=1,IFERROR(COUNTIFS($O$2:$O$301,1,$G$2:$G$301,"&lt;"&amp;$G187)+COUNTIFS($O$2:$O187,1,$G$2:$G187,$G187),""),"")</f>
        <v/>
      </c>
    </row>
    <row r="188">
      <c r="A188" s="46" t="n"/>
      <c r="B188" s="46" t="n"/>
      <c r="C188" s="46" t="n"/>
      <c r="D188" s="48" t="n"/>
      <c r="E188" s="47" t="n"/>
      <c r="F188" s="54" t="n"/>
      <c r="G188" s="54" t="n"/>
      <c r="H188" s="46" t="n"/>
      <c r="I188" s="46" t="n"/>
      <c r="J188" s="46" t="n"/>
      <c r="K188" s="49" t="str">
        <f>IF($A188="","",IFERROR(INDEX(Suppliers!$B$2:$B$51,MATCH($B188,Suppliers!$A$2:$A$51,0))&amp;"","(not found)"))</f>
        <v/>
      </c>
      <c r="L188" s="49" t="str">
        <f>IF($A188="","",IFERROR(INDEX(Products!$B$2:$B$101,MATCH($C188,Products!$A$2:$A$101,0))&amp;"","(not found)"))</f>
        <v/>
      </c>
      <c r="M188" s="50" t="str">
        <f>IF($A188="","",SUMIFS(Inventory_Ledger!$E$2:$E$2001,Inventory_Ledger!$H$2:$H$2001,$A188,Inventory_Ledger!$C$2:$C$2001,"Receipt",Inventory_Ledger!$D$2:$D$2001,$C188))</f>
        <v/>
      </c>
      <c r="N188" s="50" t="str">
        <f>IF($A188="","",IF(IFERROR(INDEX(Config!$D$15:$D$34,MATCH($H188,Config!$C$15:$C$34,0)),"No")="Yes",MAX(0,IF(ISNUMBER($D188),$D188,0)-$M188),0))</f>
        <v/>
      </c>
      <c r="O188" s="52" t="str">
        <f>IF($A188="","",IF($N188&gt;0,1,0))</f>
        <v/>
      </c>
      <c r="P188" s="52" t="str">
        <f>IF($A188="","",IF(AND($O188=1,ISNUMBER($G188)),IF($G188&lt;Config!$B$4,1,0),0))</f>
        <v/>
      </c>
      <c r="Q188" s="52" t="str">
        <f>IF($A188="","",IF($P188=1,Config!$B$4-$G188,0))</f>
        <v/>
      </c>
      <c r="R188" s="53" t="str">
        <f>IF($A188="","",IF(AND(ISNUMBER($D188),ISNUMBER($E188)),$D188*$E188,""))</f>
        <v/>
      </c>
      <c r="S188" s="49" t="str">
        <f>IF(COUNTA($A188:$J188)=0,"",IF($A188="","Missing: PO ID",IF(COUNTIF($A$2:$A$301,$A188)&gt;1,"Duplicate PO ID",IF($B188="","Missing: supplier",IF($C188="","Missing: SKU",IF(NOT(ISNUMBER($D188)),"Missing: qty",IF(NOT(ISNUMBER($F188)),"Missing: order date",IF(NOT(ISNUMBER($G188)),"Missing: expected date",IF($H188="","Missing: status",IF($I188="","Missing: source link",IF(COUNTIF(Suppliers!$A$2:$A$51,$B188)=0,"Unknown supplier",IF(COUNTIF(Products!$A$2:$A$101,$C188)=0,"Unknown SKU",IF(COUNTIF(Config!$C$15:$C$34,$H188)=0,"Unsupported status",IF($D188&lt;=0,"Qty must be above 0",IF($G188&lt;$F188,"Expected date before order date",IF($M188&gt;$D188,"Received more than ordered",IF(AND($H188="Received",$M188&lt;$D188),"Status Received but not fully received",IF(AND(IFERROR(INDEX(Config!$D$15:$D$34,MATCH($H188,Config!$C$15:$C$34,0)),"No")="Yes",$M188&gt;=$D188),"Fully received: update status","OK"))))))))))))))))))</f>
        <v/>
      </c>
      <c r="T188" s="52" t="str">
        <f>IF($O188=1,IFERROR(COUNTIFS($O$2:$O$301,1,$G$2:$G$301,"&lt;"&amp;$G188)+COUNTIFS($O$2:$O188,1,$G$2:$G188,$G188),""),"")</f>
        <v/>
      </c>
    </row>
    <row r="189">
      <c r="A189" s="46" t="n"/>
      <c r="B189" s="46" t="n"/>
      <c r="C189" s="46" t="n"/>
      <c r="D189" s="48" t="n"/>
      <c r="E189" s="47" t="n"/>
      <c r="F189" s="54" t="n"/>
      <c r="G189" s="54" t="n"/>
      <c r="H189" s="46" t="n"/>
      <c r="I189" s="46" t="n"/>
      <c r="J189" s="46" t="n"/>
      <c r="K189" s="49" t="str">
        <f>IF($A189="","",IFERROR(INDEX(Suppliers!$B$2:$B$51,MATCH($B189,Suppliers!$A$2:$A$51,0))&amp;"","(not found)"))</f>
        <v/>
      </c>
      <c r="L189" s="49" t="str">
        <f>IF($A189="","",IFERROR(INDEX(Products!$B$2:$B$101,MATCH($C189,Products!$A$2:$A$101,0))&amp;"","(not found)"))</f>
        <v/>
      </c>
      <c r="M189" s="50" t="str">
        <f>IF($A189="","",SUMIFS(Inventory_Ledger!$E$2:$E$2001,Inventory_Ledger!$H$2:$H$2001,$A189,Inventory_Ledger!$C$2:$C$2001,"Receipt",Inventory_Ledger!$D$2:$D$2001,$C189))</f>
        <v/>
      </c>
      <c r="N189" s="50" t="str">
        <f>IF($A189="","",IF(IFERROR(INDEX(Config!$D$15:$D$34,MATCH($H189,Config!$C$15:$C$34,0)),"No")="Yes",MAX(0,IF(ISNUMBER($D189),$D189,0)-$M189),0))</f>
        <v/>
      </c>
      <c r="O189" s="52" t="str">
        <f>IF($A189="","",IF($N189&gt;0,1,0))</f>
        <v/>
      </c>
      <c r="P189" s="52" t="str">
        <f>IF($A189="","",IF(AND($O189=1,ISNUMBER($G189)),IF($G189&lt;Config!$B$4,1,0),0))</f>
        <v/>
      </c>
      <c r="Q189" s="52" t="str">
        <f>IF($A189="","",IF($P189=1,Config!$B$4-$G189,0))</f>
        <v/>
      </c>
      <c r="R189" s="53" t="str">
        <f>IF($A189="","",IF(AND(ISNUMBER($D189),ISNUMBER($E189)),$D189*$E189,""))</f>
        <v/>
      </c>
      <c r="S189" s="49" t="str">
        <f>IF(COUNTA($A189:$J189)=0,"",IF($A189="","Missing: PO ID",IF(COUNTIF($A$2:$A$301,$A189)&gt;1,"Duplicate PO ID",IF($B189="","Missing: supplier",IF($C189="","Missing: SKU",IF(NOT(ISNUMBER($D189)),"Missing: qty",IF(NOT(ISNUMBER($F189)),"Missing: order date",IF(NOT(ISNUMBER($G189)),"Missing: expected date",IF($H189="","Missing: status",IF($I189="","Missing: source link",IF(COUNTIF(Suppliers!$A$2:$A$51,$B189)=0,"Unknown supplier",IF(COUNTIF(Products!$A$2:$A$101,$C189)=0,"Unknown SKU",IF(COUNTIF(Config!$C$15:$C$34,$H189)=0,"Unsupported status",IF($D189&lt;=0,"Qty must be above 0",IF($G189&lt;$F189,"Expected date before order date",IF($M189&gt;$D189,"Received more than ordered",IF(AND($H189="Received",$M189&lt;$D189),"Status Received but not fully received",IF(AND(IFERROR(INDEX(Config!$D$15:$D$34,MATCH($H189,Config!$C$15:$C$34,0)),"No")="Yes",$M189&gt;=$D189),"Fully received: update status","OK"))))))))))))))))))</f>
        <v/>
      </c>
      <c r="T189" s="52" t="str">
        <f>IF($O189=1,IFERROR(COUNTIFS($O$2:$O$301,1,$G$2:$G$301,"&lt;"&amp;$G189)+COUNTIFS($O$2:$O189,1,$G$2:$G189,$G189),""),"")</f>
        <v/>
      </c>
    </row>
    <row r="190">
      <c r="A190" s="46" t="n"/>
      <c r="B190" s="46" t="n"/>
      <c r="C190" s="46" t="n"/>
      <c r="D190" s="48" t="n"/>
      <c r="E190" s="47" t="n"/>
      <c r="F190" s="54" t="n"/>
      <c r="G190" s="54" t="n"/>
      <c r="H190" s="46" t="n"/>
      <c r="I190" s="46" t="n"/>
      <c r="J190" s="46" t="n"/>
      <c r="K190" s="49" t="str">
        <f>IF($A190="","",IFERROR(INDEX(Suppliers!$B$2:$B$51,MATCH($B190,Suppliers!$A$2:$A$51,0))&amp;"","(not found)"))</f>
        <v/>
      </c>
      <c r="L190" s="49" t="str">
        <f>IF($A190="","",IFERROR(INDEX(Products!$B$2:$B$101,MATCH($C190,Products!$A$2:$A$101,0))&amp;"","(not found)"))</f>
        <v/>
      </c>
      <c r="M190" s="50" t="str">
        <f>IF($A190="","",SUMIFS(Inventory_Ledger!$E$2:$E$2001,Inventory_Ledger!$H$2:$H$2001,$A190,Inventory_Ledger!$C$2:$C$2001,"Receipt",Inventory_Ledger!$D$2:$D$2001,$C190))</f>
        <v/>
      </c>
      <c r="N190" s="50" t="str">
        <f>IF($A190="","",IF(IFERROR(INDEX(Config!$D$15:$D$34,MATCH($H190,Config!$C$15:$C$34,0)),"No")="Yes",MAX(0,IF(ISNUMBER($D190),$D190,0)-$M190),0))</f>
        <v/>
      </c>
      <c r="O190" s="52" t="str">
        <f>IF($A190="","",IF($N190&gt;0,1,0))</f>
        <v/>
      </c>
      <c r="P190" s="52" t="str">
        <f>IF($A190="","",IF(AND($O190=1,ISNUMBER($G190)),IF($G190&lt;Config!$B$4,1,0),0))</f>
        <v/>
      </c>
      <c r="Q190" s="52" t="str">
        <f>IF($A190="","",IF($P190=1,Config!$B$4-$G190,0))</f>
        <v/>
      </c>
      <c r="R190" s="53" t="str">
        <f>IF($A190="","",IF(AND(ISNUMBER($D190),ISNUMBER($E190)),$D190*$E190,""))</f>
        <v/>
      </c>
      <c r="S190" s="49" t="str">
        <f>IF(COUNTA($A190:$J190)=0,"",IF($A190="","Missing: PO ID",IF(COUNTIF($A$2:$A$301,$A190)&gt;1,"Duplicate PO ID",IF($B190="","Missing: supplier",IF($C190="","Missing: SKU",IF(NOT(ISNUMBER($D190)),"Missing: qty",IF(NOT(ISNUMBER($F190)),"Missing: order date",IF(NOT(ISNUMBER($G190)),"Missing: expected date",IF($H190="","Missing: status",IF($I190="","Missing: source link",IF(COUNTIF(Suppliers!$A$2:$A$51,$B190)=0,"Unknown supplier",IF(COUNTIF(Products!$A$2:$A$101,$C190)=0,"Unknown SKU",IF(COUNTIF(Config!$C$15:$C$34,$H190)=0,"Unsupported status",IF($D190&lt;=0,"Qty must be above 0",IF($G190&lt;$F190,"Expected date before order date",IF($M190&gt;$D190,"Received more than ordered",IF(AND($H190="Received",$M190&lt;$D190),"Status Received but not fully received",IF(AND(IFERROR(INDEX(Config!$D$15:$D$34,MATCH($H190,Config!$C$15:$C$34,0)),"No")="Yes",$M190&gt;=$D190),"Fully received: update status","OK"))))))))))))))))))</f>
        <v/>
      </c>
      <c r="T190" s="52" t="str">
        <f>IF($O190=1,IFERROR(COUNTIFS($O$2:$O$301,1,$G$2:$G$301,"&lt;"&amp;$G190)+COUNTIFS($O$2:$O190,1,$G$2:$G190,$G190),""),"")</f>
        <v/>
      </c>
    </row>
    <row r="191">
      <c r="A191" s="46" t="n"/>
      <c r="B191" s="46" t="n"/>
      <c r="C191" s="46" t="n"/>
      <c r="D191" s="48" t="n"/>
      <c r="E191" s="47" t="n"/>
      <c r="F191" s="54" t="n"/>
      <c r="G191" s="54" t="n"/>
      <c r="H191" s="46" t="n"/>
      <c r="I191" s="46" t="n"/>
      <c r="J191" s="46" t="n"/>
      <c r="K191" s="49" t="str">
        <f>IF($A191="","",IFERROR(INDEX(Suppliers!$B$2:$B$51,MATCH($B191,Suppliers!$A$2:$A$51,0))&amp;"","(not found)"))</f>
        <v/>
      </c>
      <c r="L191" s="49" t="str">
        <f>IF($A191="","",IFERROR(INDEX(Products!$B$2:$B$101,MATCH($C191,Products!$A$2:$A$101,0))&amp;"","(not found)"))</f>
        <v/>
      </c>
      <c r="M191" s="50" t="str">
        <f>IF($A191="","",SUMIFS(Inventory_Ledger!$E$2:$E$2001,Inventory_Ledger!$H$2:$H$2001,$A191,Inventory_Ledger!$C$2:$C$2001,"Receipt",Inventory_Ledger!$D$2:$D$2001,$C191))</f>
        <v/>
      </c>
      <c r="N191" s="50" t="str">
        <f>IF($A191="","",IF(IFERROR(INDEX(Config!$D$15:$D$34,MATCH($H191,Config!$C$15:$C$34,0)),"No")="Yes",MAX(0,IF(ISNUMBER($D191),$D191,0)-$M191),0))</f>
        <v/>
      </c>
      <c r="O191" s="52" t="str">
        <f>IF($A191="","",IF($N191&gt;0,1,0))</f>
        <v/>
      </c>
      <c r="P191" s="52" t="str">
        <f>IF($A191="","",IF(AND($O191=1,ISNUMBER($G191)),IF($G191&lt;Config!$B$4,1,0),0))</f>
        <v/>
      </c>
      <c r="Q191" s="52" t="str">
        <f>IF($A191="","",IF($P191=1,Config!$B$4-$G191,0))</f>
        <v/>
      </c>
      <c r="R191" s="53" t="str">
        <f>IF($A191="","",IF(AND(ISNUMBER($D191),ISNUMBER($E191)),$D191*$E191,""))</f>
        <v/>
      </c>
      <c r="S191" s="49" t="str">
        <f>IF(COUNTA($A191:$J191)=0,"",IF($A191="","Missing: PO ID",IF(COUNTIF($A$2:$A$301,$A191)&gt;1,"Duplicate PO ID",IF($B191="","Missing: supplier",IF($C191="","Missing: SKU",IF(NOT(ISNUMBER($D191)),"Missing: qty",IF(NOT(ISNUMBER($F191)),"Missing: order date",IF(NOT(ISNUMBER($G191)),"Missing: expected date",IF($H191="","Missing: status",IF($I191="","Missing: source link",IF(COUNTIF(Suppliers!$A$2:$A$51,$B191)=0,"Unknown supplier",IF(COUNTIF(Products!$A$2:$A$101,$C191)=0,"Unknown SKU",IF(COUNTIF(Config!$C$15:$C$34,$H191)=0,"Unsupported status",IF($D191&lt;=0,"Qty must be above 0",IF($G191&lt;$F191,"Expected date before order date",IF($M191&gt;$D191,"Received more than ordered",IF(AND($H191="Received",$M191&lt;$D191),"Status Received but not fully received",IF(AND(IFERROR(INDEX(Config!$D$15:$D$34,MATCH($H191,Config!$C$15:$C$34,0)),"No")="Yes",$M191&gt;=$D191),"Fully received: update status","OK"))))))))))))))))))</f>
        <v/>
      </c>
      <c r="T191" s="52" t="str">
        <f>IF($O191=1,IFERROR(COUNTIFS($O$2:$O$301,1,$G$2:$G$301,"&lt;"&amp;$G191)+COUNTIFS($O$2:$O191,1,$G$2:$G191,$G191),""),"")</f>
        <v/>
      </c>
    </row>
    <row r="192">
      <c r="A192" s="46" t="n"/>
      <c r="B192" s="46" t="n"/>
      <c r="C192" s="46" t="n"/>
      <c r="D192" s="48" t="n"/>
      <c r="E192" s="47" t="n"/>
      <c r="F192" s="54" t="n"/>
      <c r="G192" s="54" t="n"/>
      <c r="H192" s="46" t="n"/>
      <c r="I192" s="46" t="n"/>
      <c r="J192" s="46" t="n"/>
      <c r="K192" s="49" t="str">
        <f>IF($A192="","",IFERROR(INDEX(Suppliers!$B$2:$B$51,MATCH($B192,Suppliers!$A$2:$A$51,0))&amp;"","(not found)"))</f>
        <v/>
      </c>
      <c r="L192" s="49" t="str">
        <f>IF($A192="","",IFERROR(INDEX(Products!$B$2:$B$101,MATCH($C192,Products!$A$2:$A$101,0))&amp;"","(not found)"))</f>
        <v/>
      </c>
      <c r="M192" s="50" t="str">
        <f>IF($A192="","",SUMIFS(Inventory_Ledger!$E$2:$E$2001,Inventory_Ledger!$H$2:$H$2001,$A192,Inventory_Ledger!$C$2:$C$2001,"Receipt",Inventory_Ledger!$D$2:$D$2001,$C192))</f>
        <v/>
      </c>
      <c r="N192" s="50" t="str">
        <f>IF($A192="","",IF(IFERROR(INDEX(Config!$D$15:$D$34,MATCH($H192,Config!$C$15:$C$34,0)),"No")="Yes",MAX(0,IF(ISNUMBER($D192),$D192,0)-$M192),0))</f>
        <v/>
      </c>
      <c r="O192" s="52" t="str">
        <f>IF($A192="","",IF($N192&gt;0,1,0))</f>
        <v/>
      </c>
      <c r="P192" s="52" t="str">
        <f>IF($A192="","",IF(AND($O192=1,ISNUMBER($G192)),IF($G192&lt;Config!$B$4,1,0),0))</f>
        <v/>
      </c>
      <c r="Q192" s="52" t="str">
        <f>IF($A192="","",IF($P192=1,Config!$B$4-$G192,0))</f>
        <v/>
      </c>
      <c r="R192" s="53" t="str">
        <f>IF($A192="","",IF(AND(ISNUMBER($D192),ISNUMBER($E192)),$D192*$E192,""))</f>
        <v/>
      </c>
      <c r="S192" s="49" t="str">
        <f>IF(COUNTA($A192:$J192)=0,"",IF($A192="","Missing: PO ID",IF(COUNTIF($A$2:$A$301,$A192)&gt;1,"Duplicate PO ID",IF($B192="","Missing: supplier",IF($C192="","Missing: SKU",IF(NOT(ISNUMBER($D192)),"Missing: qty",IF(NOT(ISNUMBER($F192)),"Missing: order date",IF(NOT(ISNUMBER($G192)),"Missing: expected date",IF($H192="","Missing: status",IF($I192="","Missing: source link",IF(COUNTIF(Suppliers!$A$2:$A$51,$B192)=0,"Unknown supplier",IF(COUNTIF(Products!$A$2:$A$101,$C192)=0,"Unknown SKU",IF(COUNTIF(Config!$C$15:$C$34,$H192)=0,"Unsupported status",IF($D192&lt;=0,"Qty must be above 0",IF($G192&lt;$F192,"Expected date before order date",IF($M192&gt;$D192,"Received more than ordered",IF(AND($H192="Received",$M192&lt;$D192),"Status Received but not fully received",IF(AND(IFERROR(INDEX(Config!$D$15:$D$34,MATCH($H192,Config!$C$15:$C$34,0)),"No")="Yes",$M192&gt;=$D192),"Fully received: update status","OK"))))))))))))))))))</f>
        <v/>
      </c>
      <c r="T192" s="52" t="str">
        <f>IF($O192=1,IFERROR(COUNTIFS($O$2:$O$301,1,$G$2:$G$301,"&lt;"&amp;$G192)+COUNTIFS($O$2:$O192,1,$G$2:$G192,$G192),""),"")</f>
        <v/>
      </c>
    </row>
    <row r="193">
      <c r="A193" s="46" t="n"/>
      <c r="B193" s="46" t="n"/>
      <c r="C193" s="46" t="n"/>
      <c r="D193" s="48" t="n"/>
      <c r="E193" s="47" t="n"/>
      <c r="F193" s="54" t="n"/>
      <c r="G193" s="54" t="n"/>
      <c r="H193" s="46" t="n"/>
      <c r="I193" s="46" t="n"/>
      <c r="J193" s="46" t="n"/>
      <c r="K193" s="49" t="str">
        <f>IF($A193="","",IFERROR(INDEX(Suppliers!$B$2:$B$51,MATCH($B193,Suppliers!$A$2:$A$51,0))&amp;"","(not found)"))</f>
        <v/>
      </c>
      <c r="L193" s="49" t="str">
        <f>IF($A193="","",IFERROR(INDEX(Products!$B$2:$B$101,MATCH($C193,Products!$A$2:$A$101,0))&amp;"","(not found)"))</f>
        <v/>
      </c>
      <c r="M193" s="50" t="str">
        <f>IF($A193="","",SUMIFS(Inventory_Ledger!$E$2:$E$2001,Inventory_Ledger!$H$2:$H$2001,$A193,Inventory_Ledger!$C$2:$C$2001,"Receipt",Inventory_Ledger!$D$2:$D$2001,$C193))</f>
        <v/>
      </c>
      <c r="N193" s="50" t="str">
        <f>IF($A193="","",IF(IFERROR(INDEX(Config!$D$15:$D$34,MATCH($H193,Config!$C$15:$C$34,0)),"No")="Yes",MAX(0,IF(ISNUMBER($D193),$D193,0)-$M193),0))</f>
        <v/>
      </c>
      <c r="O193" s="52" t="str">
        <f>IF($A193="","",IF($N193&gt;0,1,0))</f>
        <v/>
      </c>
      <c r="P193" s="52" t="str">
        <f>IF($A193="","",IF(AND($O193=1,ISNUMBER($G193)),IF($G193&lt;Config!$B$4,1,0),0))</f>
        <v/>
      </c>
      <c r="Q193" s="52" t="str">
        <f>IF($A193="","",IF($P193=1,Config!$B$4-$G193,0))</f>
        <v/>
      </c>
      <c r="R193" s="53" t="str">
        <f>IF($A193="","",IF(AND(ISNUMBER($D193),ISNUMBER($E193)),$D193*$E193,""))</f>
        <v/>
      </c>
      <c r="S193" s="49" t="str">
        <f>IF(COUNTA($A193:$J193)=0,"",IF($A193="","Missing: PO ID",IF(COUNTIF($A$2:$A$301,$A193)&gt;1,"Duplicate PO ID",IF($B193="","Missing: supplier",IF($C193="","Missing: SKU",IF(NOT(ISNUMBER($D193)),"Missing: qty",IF(NOT(ISNUMBER($F193)),"Missing: order date",IF(NOT(ISNUMBER($G193)),"Missing: expected date",IF($H193="","Missing: status",IF($I193="","Missing: source link",IF(COUNTIF(Suppliers!$A$2:$A$51,$B193)=0,"Unknown supplier",IF(COUNTIF(Products!$A$2:$A$101,$C193)=0,"Unknown SKU",IF(COUNTIF(Config!$C$15:$C$34,$H193)=0,"Unsupported status",IF($D193&lt;=0,"Qty must be above 0",IF($G193&lt;$F193,"Expected date before order date",IF($M193&gt;$D193,"Received more than ordered",IF(AND($H193="Received",$M193&lt;$D193),"Status Received but not fully received",IF(AND(IFERROR(INDEX(Config!$D$15:$D$34,MATCH($H193,Config!$C$15:$C$34,0)),"No")="Yes",$M193&gt;=$D193),"Fully received: update status","OK"))))))))))))))))))</f>
        <v/>
      </c>
      <c r="T193" s="52" t="str">
        <f>IF($O193=1,IFERROR(COUNTIFS($O$2:$O$301,1,$G$2:$G$301,"&lt;"&amp;$G193)+COUNTIFS($O$2:$O193,1,$G$2:$G193,$G193),""),"")</f>
        <v/>
      </c>
    </row>
    <row r="194">
      <c r="A194" s="46" t="n"/>
      <c r="B194" s="46" t="n"/>
      <c r="C194" s="46" t="n"/>
      <c r="D194" s="48" t="n"/>
      <c r="E194" s="47" t="n"/>
      <c r="F194" s="54" t="n"/>
      <c r="G194" s="54" t="n"/>
      <c r="H194" s="46" t="n"/>
      <c r="I194" s="46" t="n"/>
      <c r="J194" s="46" t="n"/>
      <c r="K194" s="49" t="str">
        <f>IF($A194="","",IFERROR(INDEX(Suppliers!$B$2:$B$51,MATCH($B194,Suppliers!$A$2:$A$51,0))&amp;"","(not found)"))</f>
        <v/>
      </c>
      <c r="L194" s="49" t="str">
        <f>IF($A194="","",IFERROR(INDEX(Products!$B$2:$B$101,MATCH($C194,Products!$A$2:$A$101,0))&amp;"","(not found)"))</f>
        <v/>
      </c>
      <c r="M194" s="50" t="str">
        <f>IF($A194="","",SUMIFS(Inventory_Ledger!$E$2:$E$2001,Inventory_Ledger!$H$2:$H$2001,$A194,Inventory_Ledger!$C$2:$C$2001,"Receipt",Inventory_Ledger!$D$2:$D$2001,$C194))</f>
        <v/>
      </c>
      <c r="N194" s="50" t="str">
        <f>IF($A194="","",IF(IFERROR(INDEX(Config!$D$15:$D$34,MATCH($H194,Config!$C$15:$C$34,0)),"No")="Yes",MAX(0,IF(ISNUMBER($D194),$D194,0)-$M194),0))</f>
        <v/>
      </c>
      <c r="O194" s="52" t="str">
        <f>IF($A194="","",IF($N194&gt;0,1,0))</f>
        <v/>
      </c>
      <c r="P194" s="52" t="str">
        <f>IF($A194="","",IF(AND($O194=1,ISNUMBER($G194)),IF($G194&lt;Config!$B$4,1,0),0))</f>
        <v/>
      </c>
      <c r="Q194" s="52" t="str">
        <f>IF($A194="","",IF($P194=1,Config!$B$4-$G194,0))</f>
        <v/>
      </c>
      <c r="R194" s="53" t="str">
        <f>IF($A194="","",IF(AND(ISNUMBER($D194),ISNUMBER($E194)),$D194*$E194,""))</f>
        <v/>
      </c>
      <c r="S194" s="49" t="str">
        <f>IF(COUNTA($A194:$J194)=0,"",IF($A194="","Missing: PO ID",IF(COUNTIF($A$2:$A$301,$A194)&gt;1,"Duplicate PO ID",IF($B194="","Missing: supplier",IF($C194="","Missing: SKU",IF(NOT(ISNUMBER($D194)),"Missing: qty",IF(NOT(ISNUMBER($F194)),"Missing: order date",IF(NOT(ISNUMBER($G194)),"Missing: expected date",IF($H194="","Missing: status",IF($I194="","Missing: source link",IF(COUNTIF(Suppliers!$A$2:$A$51,$B194)=0,"Unknown supplier",IF(COUNTIF(Products!$A$2:$A$101,$C194)=0,"Unknown SKU",IF(COUNTIF(Config!$C$15:$C$34,$H194)=0,"Unsupported status",IF($D194&lt;=0,"Qty must be above 0",IF($G194&lt;$F194,"Expected date before order date",IF($M194&gt;$D194,"Received more than ordered",IF(AND($H194="Received",$M194&lt;$D194),"Status Received but not fully received",IF(AND(IFERROR(INDEX(Config!$D$15:$D$34,MATCH($H194,Config!$C$15:$C$34,0)),"No")="Yes",$M194&gt;=$D194),"Fully received: update status","OK"))))))))))))))))))</f>
        <v/>
      </c>
      <c r="T194" s="52" t="str">
        <f>IF($O194=1,IFERROR(COUNTIFS($O$2:$O$301,1,$G$2:$G$301,"&lt;"&amp;$G194)+COUNTIFS($O$2:$O194,1,$G$2:$G194,$G194),""),"")</f>
        <v/>
      </c>
    </row>
    <row r="195">
      <c r="A195" s="46" t="n"/>
      <c r="B195" s="46" t="n"/>
      <c r="C195" s="46" t="n"/>
      <c r="D195" s="48" t="n"/>
      <c r="E195" s="47" t="n"/>
      <c r="F195" s="54" t="n"/>
      <c r="G195" s="54" t="n"/>
      <c r="H195" s="46" t="n"/>
      <c r="I195" s="46" t="n"/>
      <c r="J195" s="46" t="n"/>
      <c r="K195" s="49" t="str">
        <f>IF($A195="","",IFERROR(INDEX(Suppliers!$B$2:$B$51,MATCH($B195,Suppliers!$A$2:$A$51,0))&amp;"","(not found)"))</f>
        <v/>
      </c>
      <c r="L195" s="49" t="str">
        <f>IF($A195="","",IFERROR(INDEX(Products!$B$2:$B$101,MATCH($C195,Products!$A$2:$A$101,0))&amp;"","(not found)"))</f>
        <v/>
      </c>
      <c r="M195" s="50" t="str">
        <f>IF($A195="","",SUMIFS(Inventory_Ledger!$E$2:$E$2001,Inventory_Ledger!$H$2:$H$2001,$A195,Inventory_Ledger!$C$2:$C$2001,"Receipt",Inventory_Ledger!$D$2:$D$2001,$C195))</f>
        <v/>
      </c>
      <c r="N195" s="50" t="str">
        <f>IF($A195="","",IF(IFERROR(INDEX(Config!$D$15:$D$34,MATCH($H195,Config!$C$15:$C$34,0)),"No")="Yes",MAX(0,IF(ISNUMBER($D195),$D195,0)-$M195),0))</f>
        <v/>
      </c>
      <c r="O195" s="52" t="str">
        <f>IF($A195="","",IF($N195&gt;0,1,0))</f>
        <v/>
      </c>
      <c r="P195" s="52" t="str">
        <f>IF($A195="","",IF(AND($O195=1,ISNUMBER($G195)),IF($G195&lt;Config!$B$4,1,0),0))</f>
        <v/>
      </c>
      <c r="Q195" s="52" t="str">
        <f>IF($A195="","",IF($P195=1,Config!$B$4-$G195,0))</f>
        <v/>
      </c>
      <c r="R195" s="53" t="str">
        <f>IF($A195="","",IF(AND(ISNUMBER($D195),ISNUMBER($E195)),$D195*$E195,""))</f>
        <v/>
      </c>
      <c r="S195" s="49" t="str">
        <f>IF(COUNTA($A195:$J195)=0,"",IF($A195="","Missing: PO ID",IF(COUNTIF($A$2:$A$301,$A195)&gt;1,"Duplicate PO ID",IF($B195="","Missing: supplier",IF($C195="","Missing: SKU",IF(NOT(ISNUMBER($D195)),"Missing: qty",IF(NOT(ISNUMBER($F195)),"Missing: order date",IF(NOT(ISNUMBER($G195)),"Missing: expected date",IF($H195="","Missing: status",IF($I195="","Missing: source link",IF(COUNTIF(Suppliers!$A$2:$A$51,$B195)=0,"Unknown supplier",IF(COUNTIF(Products!$A$2:$A$101,$C195)=0,"Unknown SKU",IF(COUNTIF(Config!$C$15:$C$34,$H195)=0,"Unsupported status",IF($D195&lt;=0,"Qty must be above 0",IF($G195&lt;$F195,"Expected date before order date",IF($M195&gt;$D195,"Received more than ordered",IF(AND($H195="Received",$M195&lt;$D195),"Status Received but not fully received",IF(AND(IFERROR(INDEX(Config!$D$15:$D$34,MATCH($H195,Config!$C$15:$C$34,0)),"No")="Yes",$M195&gt;=$D195),"Fully received: update status","OK"))))))))))))))))))</f>
        <v/>
      </c>
      <c r="T195" s="52" t="str">
        <f>IF($O195=1,IFERROR(COUNTIFS($O$2:$O$301,1,$G$2:$G$301,"&lt;"&amp;$G195)+COUNTIFS($O$2:$O195,1,$G$2:$G195,$G195),""),"")</f>
        <v/>
      </c>
    </row>
    <row r="196">
      <c r="A196" s="46" t="n"/>
      <c r="B196" s="46" t="n"/>
      <c r="C196" s="46" t="n"/>
      <c r="D196" s="48" t="n"/>
      <c r="E196" s="47" t="n"/>
      <c r="F196" s="54" t="n"/>
      <c r="G196" s="54" t="n"/>
      <c r="H196" s="46" t="n"/>
      <c r="I196" s="46" t="n"/>
      <c r="J196" s="46" t="n"/>
      <c r="K196" s="49" t="str">
        <f>IF($A196="","",IFERROR(INDEX(Suppliers!$B$2:$B$51,MATCH($B196,Suppliers!$A$2:$A$51,0))&amp;"","(not found)"))</f>
        <v/>
      </c>
      <c r="L196" s="49" t="str">
        <f>IF($A196="","",IFERROR(INDEX(Products!$B$2:$B$101,MATCH($C196,Products!$A$2:$A$101,0))&amp;"","(not found)"))</f>
        <v/>
      </c>
      <c r="M196" s="50" t="str">
        <f>IF($A196="","",SUMIFS(Inventory_Ledger!$E$2:$E$2001,Inventory_Ledger!$H$2:$H$2001,$A196,Inventory_Ledger!$C$2:$C$2001,"Receipt",Inventory_Ledger!$D$2:$D$2001,$C196))</f>
        <v/>
      </c>
      <c r="N196" s="50" t="str">
        <f>IF($A196="","",IF(IFERROR(INDEX(Config!$D$15:$D$34,MATCH($H196,Config!$C$15:$C$34,0)),"No")="Yes",MAX(0,IF(ISNUMBER($D196),$D196,0)-$M196),0))</f>
        <v/>
      </c>
      <c r="O196" s="52" t="str">
        <f>IF($A196="","",IF($N196&gt;0,1,0))</f>
        <v/>
      </c>
      <c r="P196" s="52" t="str">
        <f>IF($A196="","",IF(AND($O196=1,ISNUMBER($G196)),IF($G196&lt;Config!$B$4,1,0),0))</f>
        <v/>
      </c>
      <c r="Q196" s="52" t="str">
        <f>IF($A196="","",IF($P196=1,Config!$B$4-$G196,0))</f>
        <v/>
      </c>
      <c r="R196" s="53" t="str">
        <f>IF($A196="","",IF(AND(ISNUMBER($D196),ISNUMBER($E196)),$D196*$E196,""))</f>
        <v/>
      </c>
      <c r="S196" s="49" t="str">
        <f>IF(COUNTA($A196:$J196)=0,"",IF($A196="","Missing: PO ID",IF(COUNTIF($A$2:$A$301,$A196)&gt;1,"Duplicate PO ID",IF($B196="","Missing: supplier",IF($C196="","Missing: SKU",IF(NOT(ISNUMBER($D196)),"Missing: qty",IF(NOT(ISNUMBER($F196)),"Missing: order date",IF(NOT(ISNUMBER($G196)),"Missing: expected date",IF($H196="","Missing: status",IF($I196="","Missing: source link",IF(COUNTIF(Suppliers!$A$2:$A$51,$B196)=0,"Unknown supplier",IF(COUNTIF(Products!$A$2:$A$101,$C196)=0,"Unknown SKU",IF(COUNTIF(Config!$C$15:$C$34,$H196)=0,"Unsupported status",IF($D196&lt;=0,"Qty must be above 0",IF($G196&lt;$F196,"Expected date before order date",IF($M196&gt;$D196,"Received more than ordered",IF(AND($H196="Received",$M196&lt;$D196),"Status Received but not fully received",IF(AND(IFERROR(INDEX(Config!$D$15:$D$34,MATCH($H196,Config!$C$15:$C$34,0)),"No")="Yes",$M196&gt;=$D196),"Fully received: update status","OK"))))))))))))))))))</f>
        <v/>
      </c>
      <c r="T196" s="52" t="str">
        <f>IF($O196=1,IFERROR(COUNTIFS($O$2:$O$301,1,$G$2:$G$301,"&lt;"&amp;$G196)+COUNTIFS($O$2:$O196,1,$G$2:$G196,$G196),""),"")</f>
        <v/>
      </c>
    </row>
    <row r="197">
      <c r="A197" s="46" t="n"/>
      <c r="B197" s="46" t="n"/>
      <c r="C197" s="46" t="n"/>
      <c r="D197" s="48" t="n"/>
      <c r="E197" s="47" t="n"/>
      <c r="F197" s="54" t="n"/>
      <c r="G197" s="54" t="n"/>
      <c r="H197" s="46" t="n"/>
      <c r="I197" s="46" t="n"/>
      <c r="J197" s="46" t="n"/>
      <c r="K197" s="49" t="str">
        <f>IF($A197="","",IFERROR(INDEX(Suppliers!$B$2:$B$51,MATCH($B197,Suppliers!$A$2:$A$51,0))&amp;"","(not found)"))</f>
        <v/>
      </c>
      <c r="L197" s="49" t="str">
        <f>IF($A197="","",IFERROR(INDEX(Products!$B$2:$B$101,MATCH($C197,Products!$A$2:$A$101,0))&amp;"","(not found)"))</f>
        <v/>
      </c>
      <c r="M197" s="50" t="str">
        <f>IF($A197="","",SUMIFS(Inventory_Ledger!$E$2:$E$2001,Inventory_Ledger!$H$2:$H$2001,$A197,Inventory_Ledger!$C$2:$C$2001,"Receipt",Inventory_Ledger!$D$2:$D$2001,$C197))</f>
        <v/>
      </c>
      <c r="N197" s="50" t="str">
        <f>IF($A197="","",IF(IFERROR(INDEX(Config!$D$15:$D$34,MATCH($H197,Config!$C$15:$C$34,0)),"No")="Yes",MAX(0,IF(ISNUMBER($D197),$D197,0)-$M197),0))</f>
        <v/>
      </c>
      <c r="O197" s="52" t="str">
        <f>IF($A197="","",IF($N197&gt;0,1,0))</f>
        <v/>
      </c>
      <c r="P197" s="52" t="str">
        <f>IF($A197="","",IF(AND($O197=1,ISNUMBER($G197)),IF($G197&lt;Config!$B$4,1,0),0))</f>
        <v/>
      </c>
      <c r="Q197" s="52" t="str">
        <f>IF($A197="","",IF($P197=1,Config!$B$4-$G197,0))</f>
        <v/>
      </c>
      <c r="R197" s="53" t="str">
        <f>IF($A197="","",IF(AND(ISNUMBER($D197),ISNUMBER($E197)),$D197*$E197,""))</f>
        <v/>
      </c>
      <c r="S197" s="49" t="str">
        <f>IF(COUNTA($A197:$J197)=0,"",IF($A197="","Missing: PO ID",IF(COUNTIF($A$2:$A$301,$A197)&gt;1,"Duplicate PO ID",IF($B197="","Missing: supplier",IF($C197="","Missing: SKU",IF(NOT(ISNUMBER($D197)),"Missing: qty",IF(NOT(ISNUMBER($F197)),"Missing: order date",IF(NOT(ISNUMBER($G197)),"Missing: expected date",IF($H197="","Missing: status",IF($I197="","Missing: source link",IF(COUNTIF(Suppliers!$A$2:$A$51,$B197)=0,"Unknown supplier",IF(COUNTIF(Products!$A$2:$A$101,$C197)=0,"Unknown SKU",IF(COUNTIF(Config!$C$15:$C$34,$H197)=0,"Unsupported status",IF($D197&lt;=0,"Qty must be above 0",IF($G197&lt;$F197,"Expected date before order date",IF($M197&gt;$D197,"Received more than ordered",IF(AND($H197="Received",$M197&lt;$D197),"Status Received but not fully received",IF(AND(IFERROR(INDEX(Config!$D$15:$D$34,MATCH($H197,Config!$C$15:$C$34,0)),"No")="Yes",$M197&gt;=$D197),"Fully received: update status","OK"))))))))))))))))))</f>
        <v/>
      </c>
      <c r="T197" s="52" t="str">
        <f>IF($O197=1,IFERROR(COUNTIFS($O$2:$O$301,1,$G$2:$G$301,"&lt;"&amp;$G197)+COUNTIFS($O$2:$O197,1,$G$2:$G197,$G197),""),"")</f>
        <v/>
      </c>
    </row>
    <row r="198">
      <c r="A198" s="46" t="n"/>
      <c r="B198" s="46" t="n"/>
      <c r="C198" s="46" t="n"/>
      <c r="D198" s="48" t="n"/>
      <c r="E198" s="47" t="n"/>
      <c r="F198" s="54" t="n"/>
      <c r="G198" s="54" t="n"/>
      <c r="H198" s="46" t="n"/>
      <c r="I198" s="46" t="n"/>
      <c r="J198" s="46" t="n"/>
      <c r="K198" s="49" t="str">
        <f>IF($A198="","",IFERROR(INDEX(Suppliers!$B$2:$B$51,MATCH($B198,Suppliers!$A$2:$A$51,0))&amp;"","(not found)"))</f>
        <v/>
      </c>
      <c r="L198" s="49" t="str">
        <f>IF($A198="","",IFERROR(INDEX(Products!$B$2:$B$101,MATCH($C198,Products!$A$2:$A$101,0))&amp;"","(not found)"))</f>
        <v/>
      </c>
      <c r="M198" s="50" t="str">
        <f>IF($A198="","",SUMIFS(Inventory_Ledger!$E$2:$E$2001,Inventory_Ledger!$H$2:$H$2001,$A198,Inventory_Ledger!$C$2:$C$2001,"Receipt",Inventory_Ledger!$D$2:$D$2001,$C198))</f>
        <v/>
      </c>
      <c r="N198" s="50" t="str">
        <f>IF($A198="","",IF(IFERROR(INDEX(Config!$D$15:$D$34,MATCH($H198,Config!$C$15:$C$34,0)),"No")="Yes",MAX(0,IF(ISNUMBER($D198),$D198,0)-$M198),0))</f>
        <v/>
      </c>
      <c r="O198" s="52" t="str">
        <f>IF($A198="","",IF($N198&gt;0,1,0))</f>
        <v/>
      </c>
      <c r="P198" s="52" t="str">
        <f>IF($A198="","",IF(AND($O198=1,ISNUMBER($G198)),IF($G198&lt;Config!$B$4,1,0),0))</f>
        <v/>
      </c>
      <c r="Q198" s="52" t="str">
        <f>IF($A198="","",IF($P198=1,Config!$B$4-$G198,0))</f>
        <v/>
      </c>
      <c r="R198" s="53" t="str">
        <f>IF($A198="","",IF(AND(ISNUMBER($D198),ISNUMBER($E198)),$D198*$E198,""))</f>
        <v/>
      </c>
      <c r="S198" s="49" t="str">
        <f>IF(COUNTA($A198:$J198)=0,"",IF($A198="","Missing: PO ID",IF(COUNTIF($A$2:$A$301,$A198)&gt;1,"Duplicate PO ID",IF($B198="","Missing: supplier",IF($C198="","Missing: SKU",IF(NOT(ISNUMBER($D198)),"Missing: qty",IF(NOT(ISNUMBER($F198)),"Missing: order date",IF(NOT(ISNUMBER($G198)),"Missing: expected date",IF($H198="","Missing: status",IF($I198="","Missing: source link",IF(COUNTIF(Suppliers!$A$2:$A$51,$B198)=0,"Unknown supplier",IF(COUNTIF(Products!$A$2:$A$101,$C198)=0,"Unknown SKU",IF(COUNTIF(Config!$C$15:$C$34,$H198)=0,"Unsupported status",IF($D198&lt;=0,"Qty must be above 0",IF($G198&lt;$F198,"Expected date before order date",IF($M198&gt;$D198,"Received more than ordered",IF(AND($H198="Received",$M198&lt;$D198),"Status Received but not fully received",IF(AND(IFERROR(INDEX(Config!$D$15:$D$34,MATCH($H198,Config!$C$15:$C$34,0)),"No")="Yes",$M198&gt;=$D198),"Fully received: update status","OK"))))))))))))))))))</f>
        <v/>
      </c>
      <c r="T198" s="52" t="str">
        <f>IF($O198=1,IFERROR(COUNTIFS($O$2:$O$301,1,$G$2:$G$301,"&lt;"&amp;$G198)+COUNTIFS($O$2:$O198,1,$G$2:$G198,$G198),""),"")</f>
        <v/>
      </c>
    </row>
    <row r="199">
      <c r="A199" s="46" t="n"/>
      <c r="B199" s="46" t="n"/>
      <c r="C199" s="46" t="n"/>
      <c r="D199" s="48" t="n"/>
      <c r="E199" s="47" t="n"/>
      <c r="F199" s="54" t="n"/>
      <c r="G199" s="54" t="n"/>
      <c r="H199" s="46" t="n"/>
      <c r="I199" s="46" t="n"/>
      <c r="J199" s="46" t="n"/>
      <c r="K199" s="49" t="str">
        <f>IF($A199="","",IFERROR(INDEX(Suppliers!$B$2:$B$51,MATCH($B199,Suppliers!$A$2:$A$51,0))&amp;"","(not found)"))</f>
        <v/>
      </c>
      <c r="L199" s="49" t="str">
        <f>IF($A199="","",IFERROR(INDEX(Products!$B$2:$B$101,MATCH($C199,Products!$A$2:$A$101,0))&amp;"","(not found)"))</f>
        <v/>
      </c>
      <c r="M199" s="50" t="str">
        <f>IF($A199="","",SUMIFS(Inventory_Ledger!$E$2:$E$2001,Inventory_Ledger!$H$2:$H$2001,$A199,Inventory_Ledger!$C$2:$C$2001,"Receipt",Inventory_Ledger!$D$2:$D$2001,$C199))</f>
        <v/>
      </c>
      <c r="N199" s="50" t="str">
        <f>IF($A199="","",IF(IFERROR(INDEX(Config!$D$15:$D$34,MATCH($H199,Config!$C$15:$C$34,0)),"No")="Yes",MAX(0,IF(ISNUMBER($D199),$D199,0)-$M199),0))</f>
        <v/>
      </c>
      <c r="O199" s="52" t="str">
        <f>IF($A199="","",IF($N199&gt;0,1,0))</f>
        <v/>
      </c>
      <c r="P199" s="52" t="str">
        <f>IF($A199="","",IF(AND($O199=1,ISNUMBER($G199)),IF($G199&lt;Config!$B$4,1,0),0))</f>
        <v/>
      </c>
      <c r="Q199" s="52" t="str">
        <f>IF($A199="","",IF($P199=1,Config!$B$4-$G199,0))</f>
        <v/>
      </c>
      <c r="R199" s="53" t="str">
        <f>IF($A199="","",IF(AND(ISNUMBER($D199),ISNUMBER($E199)),$D199*$E199,""))</f>
        <v/>
      </c>
      <c r="S199" s="49" t="str">
        <f>IF(COUNTA($A199:$J199)=0,"",IF($A199="","Missing: PO ID",IF(COUNTIF($A$2:$A$301,$A199)&gt;1,"Duplicate PO ID",IF($B199="","Missing: supplier",IF($C199="","Missing: SKU",IF(NOT(ISNUMBER($D199)),"Missing: qty",IF(NOT(ISNUMBER($F199)),"Missing: order date",IF(NOT(ISNUMBER($G199)),"Missing: expected date",IF($H199="","Missing: status",IF($I199="","Missing: source link",IF(COUNTIF(Suppliers!$A$2:$A$51,$B199)=0,"Unknown supplier",IF(COUNTIF(Products!$A$2:$A$101,$C199)=0,"Unknown SKU",IF(COUNTIF(Config!$C$15:$C$34,$H199)=0,"Unsupported status",IF($D199&lt;=0,"Qty must be above 0",IF($G199&lt;$F199,"Expected date before order date",IF($M199&gt;$D199,"Received more than ordered",IF(AND($H199="Received",$M199&lt;$D199),"Status Received but not fully received",IF(AND(IFERROR(INDEX(Config!$D$15:$D$34,MATCH($H199,Config!$C$15:$C$34,0)),"No")="Yes",$M199&gt;=$D199),"Fully received: update status","OK"))))))))))))))))))</f>
        <v/>
      </c>
      <c r="T199" s="52" t="str">
        <f>IF($O199=1,IFERROR(COUNTIFS($O$2:$O$301,1,$G$2:$G$301,"&lt;"&amp;$G199)+COUNTIFS($O$2:$O199,1,$G$2:$G199,$G199),""),"")</f>
        <v/>
      </c>
    </row>
    <row r="200">
      <c r="A200" s="46" t="n"/>
      <c r="B200" s="46" t="n"/>
      <c r="C200" s="46" t="n"/>
      <c r="D200" s="48" t="n"/>
      <c r="E200" s="47" t="n"/>
      <c r="F200" s="54" t="n"/>
      <c r="G200" s="54" t="n"/>
      <c r="H200" s="46" t="n"/>
      <c r="I200" s="46" t="n"/>
      <c r="J200" s="46" t="n"/>
      <c r="K200" s="49" t="str">
        <f>IF($A200="","",IFERROR(INDEX(Suppliers!$B$2:$B$51,MATCH($B200,Suppliers!$A$2:$A$51,0))&amp;"","(not found)"))</f>
        <v/>
      </c>
      <c r="L200" s="49" t="str">
        <f>IF($A200="","",IFERROR(INDEX(Products!$B$2:$B$101,MATCH($C200,Products!$A$2:$A$101,0))&amp;"","(not found)"))</f>
        <v/>
      </c>
      <c r="M200" s="50" t="str">
        <f>IF($A200="","",SUMIFS(Inventory_Ledger!$E$2:$E$2001,Inventory_Ledger!$H$2:$H$2001,$A200,Inventory_Ledger!$C$2:$C$2001,"Receipt",Inventory_Ledger!$D$2:$D$2001,$C200))</f>
        <v/>
      </c>
      <c r="N200" s="50" t="str">
        <f>IF($A200="","",IF(IFERROR(INDEX(Config!$D$15:$D$34,MATCH($H200,Config!$C$15:$C$34,0)),"No")="Yes",MAX(0,IF(ISNUMBER($D200),$D200,0)-$M200),0))</f>
        <v/>
      </c>
      <c r="O200" s="52" t="str">
        <f>IF($A200="","",IF($N200&gt;0,1,0))</f>
        <v/>
      </c>
      <c r="P200" s="52" t="str">
        <f>IF($A200="","",IF(AND($O200=1,ISNUMBER($G200)),IF($G200&lt;Config!$B$4,1,0),0))</f>
        <v/>
      </c>
      <c r="Q200" s="52" t="str">
        <f>IF($A200="","",IF($P200=1,Config!$B$4-$G200,0))</f>
        <v/>
      </c>
      <c r="R200" s="53" t="str">
        <f>IF($A200="","",IF(AND(ISNUMBER($D200),ISNUMBER($E200)),$D200*$E200,""))</f>
        <v/>
      </c>
      <c r="S200" s="49" t="str">
        <f>IF(COUNTA($A200:$J200)=0,"",IF($A200="","Missing: PO ID",IF(COUNTIF($A$2:$A$301,$A200)&gt;1,"Duplicate PO ID",IF($B200="","Missing: supplier",IF($C200="","Missing: SKU",IF(NOT(ISNUMBER($D200)),"Missing: qty",IF(NOT(ISNUMBER($F200)),"Missing: order date",IF(NOT(ISNUMBER($G200)),"Missing: expected date",IF($H200="","Missing: status",IF($I200="","Missing: source link",IF(COUNTIF(Suppliers!$A$2:$A$51,$B200)=0,"Unknown supplier",IF(COUNTIF(Products!$A$2:$A$101,$C200)=0,"Unknown SKU",IF(COUNTIF(Config!$C$15:$C$34,$H200)=0,"Unsupported status",IF($D200&lt;=0,"Qty must be above 0",IF($G200&lt;$F200,"Expected date before order date",IF($M200&gt;$D200,"Received more than ordered",IF(AND($H200="Received",$M200&lt;$D200),"Status Received but not fully received",IF(AND(IFERROR(INDEX(Config!$D$15:$D$34,MATCH($H200,Config!$C$15:$C$34,0)),"No")="Yes",$M200&gt;=$D200),"Fully received: update status","OK"))))))))))))))))))</f>
        <v/>
      </c>
      <c r="T200" s="52" t="str">
        <f>IF($O200=1,IFERROR(COUNTIFS($O$2:$O$301,1,$G$2:$G$301,"&lt;"&amp;$G200)+COUNTIFS($O$2:$O200,1,$G$2:$G200,$G200),""),"")</f>
        <v/>
      </c>
    </row>
    <row r="201">
      <c r="A201" s="46" t="n"/>
      <c r="B201" s="46" t="n"/>
      <c r="C201" s="46" t="n"/>
      <c r="D201" s="48" t="n"/>
      <c r="E201" s="47" t="n"/>
      <c r="F201" s="54" t="n"/>
      <c r="G201" s="54" t="n"/>
      <c r="H201" s="46" t="n"/>
      <c r="I201" s="46" t="n"/>
      <c r="J201" s="46" t="n"/>
      <c r="K201" s="49" t="str">
        <f>IF($A201="","",IFERROR(INDEX(Suppliers!$B$2:$B$51,MATCH($B201,Suppliers!$A$2:$A$51,0))&amp;"","(not found)"))</f>
        <v/>
      </c>
      <c r="L201" s="49" t="str">
        <f>IF($A201="","",IFERROR(INDEX(Products!$B$2:$B$101,MATCH($C201,Products!$A$2:$A$101,0))&amp;"","(not found)"))</f>
        <v/>
      </c>
      <c r="M201" s="50" t="str">
        <f>IF($A201="","",SUMIFS(Inventory_Ledger!$E$2:$E$2001,Inventory_Ledger!$H$2:$H$2001,$A201,Inventory_Ledger!$C$2:$C$2001,"Receipt",Inventory_Ledger!$D$2:$D$2001,$C201))</f>
        <v/>
      </c>
      <c r="N201" s="50" t="str">
        <f>IF($A201="","",IF(IFERROR(INDEX(Config!$D$15:$D$34,MATCH($H201,Config!$C$15:$C$34,0)),"No")="Yes",MAX(0,IF(ISNUMBER($D201),$D201,0)-$M201),0))</f>
        <v/>
      </c>
      <c r="O201" s="52" t="str">
        <f>IF($A201="","",IF($N201&gt;0,1,0))</f>
        <v/>
      </c>
      <c r="P201" s="52" t="str">
        <f>IF($A201="","",IF(AND($O201=1,ISNUMBER($G201)),IF($G201&lt;Config!$B$4,1,0),0))</f>
        <v/>
      </c>
      <c r="Q201" s="52" t="str">
        <f>IF($A201="","",IF($P201=1,Config!$B$4-$G201,0))</f>
        <v/>
      </c>
      <c r="R201" s="53" t="str">
        <f>IF($A201="","",IF(AND(ISNUMBER($D201),ISNUMBER($E201)),$D201*$E201,""))</f>
        <v/>
      </c>
      <c r="S201" s="49" t="str">
        <f>IF(COUNTA($A201:$J201)=0,"",IF($A201="","Missing: PO ID",IF(COUNTIF($A$2:$A$301,$A201)&gt;1,"Duplicate PO ID",IF($B201="","Missing: supplier",IF($C201="","Missing: SKU",IF(NOT(ISNUMBER($D201)),"Missing: qty",IF(NOT(ISNUMBER($F201)),"Missing: order date",IF(NOT(ISNUMBER($G201)),"Missing: expected date",IF($H201="","Missing: status",IF($I201="","Missing: source link",IF(COUNTIF(Suppliers!$A$2:$A$51,$B201)=0,"Unknown supplier",IF(COUNTIF(Products!$A$2:$A$101,$C201)=0,"Unknown SKU",IF(COUNTIF(Config!$C$15:$C$34,$H201)=0,"Unsupported status",IF($D201&lt;=0,"Qty must be above 0",IF($G201&lt;$F201,"Expected date before order date",IF($M201&gt;$D201,"Received more than ordered",IF(AND($H201="Received",$M201&lt;$D201),"Status Received but not fully received",IF(AND(IFERROR(INDEX(Config!$D$15:$D$34,MATCH($H201,Config!$C$15:$C$34,0)),"No")="Yes",$M201&gt;=$D201),"Fully received: update status","OK"))))))))))))))))))</f>
        <v/>
      </c>
      <c r="T201" s="52" t="str">
        <f>IF($O201=1,IFERROR(COUNTIFS($O$2:$O$301,1,$G$2:$G$301,"&lt;"&amp;$G201)+COUNTIFS($O$2:$O201,1,$G$2:$G201,$G201),""),"")</f>
        <v/>
      </c>
    </row>
    <row r="202">
      <c r="A202" s="46" t="n"/>
      <c r="B202" s="46" t="n"/>
      <c r="C202" s="46" t="n"/>
      <c r="D202" s="48" t="n"/>
      <c r="E202" s="47" t="n"/>
      <c r="F202" s="54" t="n"/>
      <c r="G202" s="54" t="n"/>
      <c r="H202" s="46" t="n"/>
      <c r="I202" s="46" t="n"/>
      <c r="J202" s="46" t="n"/>
      <c r="K202" s="49" t="str">
        <f>IF($A202="","",IFERROR(INDEX(Suppliers!$B$2:$B$51,MATCH($B202,Suppliers!$A$2:$A$51,0))&amp;"","(not found)"))</f>
        <v/>
      </c>
      <c r="L202" s="49" t="str">
        <f>IF($A202="","",IFERROR(INDEX(Products!$B$2:$B$101,MATCH($C202,Products!$A$2:$A$101,0))&amp;"","(not found)"))</f>
        <v/>
      </c>
      <c r="M202" s="50" t="str">
        <f>IF($A202="","",SUMIFS(Inventory_Ledger!$E$2:$E$2001,Inventory_Ledger!$H$2:$H$2001,$A202,Inventory_Ledger!$C$2:$C$2001,"Receipt",Inventory_Ledger!$D$2:$D$2001,$C202))</f>
        <v/>
      </c>
      <c r="N202" s="50" t="str">
        <f>IF($A202="","",IF(IFERROR(INDEX(Config!$D$15:$D$34,MATCH($H202,Config!$C$15:$C$34,0)),"No")="Yes",MAX(0,IF(ISNUMBER($D202),$D202,0)-$M202),0))</f>
        <v/>
      </c>
      <c r="O202" s="52" t="str">
        <f>IF($A202="","",IF($N202&gt;0,1,0))</f>
        <v/>
      </c>
      <c r="P202" s="52" t="str">
        <f>IF($A202="","",IF(AND($O202=1,ISNUMBER($G202)),IF($G202&lt;Config!$B$4,1,0),0))</f>
        <v/>
      </c>
      <c r="Q202" s="52" t="str">
        <f>IF($A202="","",IF($P202=1,Config!$B$4-$G202,0))</f>
        <v/>
      </c>
      <c r="R202" s="53" t="str">
        <f>IF($A202="","",IF(AND(ISNUMBER($D202),ISNUMBER($E202)),$D202*$E202,""))</f>
        <v/>
      </c>
      <c r="S202" s="49" t="str">
        <f>IF(COUNTA($A202:$J202)=0,"",IF($A202="","Missing: PO ID",IF(COUNTIF($A$2:$A$301,$A202)&gt;1,"Duplicate PO ID",IF($B202="","Missing: supplier",IF($C202="","Missing: SKU",IF(NOT(ISNUMBER($D202)),"Missing: qty",IF(NOT(ISNUMBER($F202)),"Missing: order date",IF(NOT(ISNUMBER($G202)),"Missing: expected date",IF($H202="","Missing: status",IF($I202="","Missing: source link",IF(COUNTIF(Suppliers!$A$2:$A$51,$B202)=0,"Unknown supplier",IF(COUNTIF(Products!$A$2:$A$101,$C202)=0,"Unknown SKU",IF(COUNTIF(Config!$C$15:$C$34,$H202)=0,"Unsupported status",IF($D202&lt;=0,"Qty must be above 0",IF($G202&lt;$F202,"Expected date before order date",IF($M202&gt;$D202,"Received more than ordered",IF(AND($H202="Received",$M202&lt;$D202),"Status Received but not fully received",IF(AND(IFERROR(INDEX(Config!$D$15:$D$34,MATCH($H202,Config!$C$15:$C$34,0)),"No")="Yes",$M202&gt;=$D202),"Fully received: update status","OK"))))))))))))))))))</f>
        <v/>
      </c>
      <c r="T202" s="52" t="str">
        <f>IF($O202=1,IFERROR(COUNTIFS($O$2:$O$301,1,$G$2:$G$301,"&lt;"&amp;$G202)+COUNTIFS($O$2:$O202,1,$G$2:$G202,$G202),""),"")</f>
        <v/>
      </c>
    </row>
    <row r="203">
      <c r="A203" s="46" t="n"/>
      <c r="B203" s="46" t="n"/>
      <c r="C203" s="46" t="n"/>
      <c r="D203" s="48" t="n"/>
      <c r="E203" s="47" t="n"/>
      <c r="F203" s="54" t="n"/>
      <c r="G203" s="54" t="n"/>
      <c r="H203" s="46" t="n"/>
      <c r="I203" s="46" t="n"/>
      <c r="J203" s="46" t="n"/>
      <c r="K203" s="49" t="str">
        <f>IF($A203="","",IFERROR(INDEX(Suppliers!$B$2:$B$51,MATCH($B203,Suppliers!$A$2:$A$51,0))&amp;"","(not found)"))</f>
        <v/>
      </c>
      <c r="L203" s="49" t="str">
        <f>IF($A203="","",IFERROR(INDEX(Products!$B$2:$B$101,MATCH($C203,Products!$A$2:$A$101,0))&amp;"","(not found)"))</f>
        <v/>
      </c>
      <c r="M203" s="50" t="str">
        <f>IF($A203="","",SUMIFS(Inventory_Ledger!$E$2:$E$2001,Inventory_Ledger!$H$2:$H$2001,$A203,Inventory_Ledger!$C$2:$C$2001,"Receipt",Inventory_Ledger!$D$2:$D$2001,$C203))</f>
        <v/>
      </c>
      <c r="N203" s="50" t="str">
        <f>IF($A203="","",IF(IFERROR(INDEX(Config!$D$15:$D$34,MATCH($H203,Config!$C$15:$C$34,0)),"No")="Yes",MAX(0,IF(ISNUMBER($D203),$D203,0)-$M203),0))</f>
        <v/>
      </c>
      <c r="O203" s="52" t="str">
        <f>IF($A203="","",IF($N203&gt;0,1,0))</f>
        <v/>
      </c>
      <c r="P203" s="52" t="str">
        <f>IF($A203="","",IF(AND($O203=1,ISNUMBER($G203)),IF($G203&lt;Config!$B$4,1,0),0))</f>
        <v/>
      </c>
      <c r="Q203" s="52" t="str">
        <f>IF($A203="","",IF($P203=1,Config!$B$4-$G203,0))</f>
        <v/>
      </c>
      <c r="R203" s="53" t="str">
        <f>IF($A203="","",IF(AND(ISNUMBER($D203),ISNUMBER($E203)),$D203*$E203,""))</f>
        <v/>
      </c>
      <c r="S203" s="49" t="str">
        <f>IF(COUNTA($A203:$J203)=0,"",IF($A203="","Missing: PO ID",IF(COUNTIF($A$2:$A$301,$A203)&gt;1,"Duplicate PO ID",IF($B203="","Missing: supplier",IF($C203="","Missing: SKU",IF(NOT(ISNUMBER($D203)),"Missing: qty",IF(NOT(ISNUMBER($F203)),"Missing: order date",IF(NOT(ISNUMBER($G203)),"Missing: expected date",IF($H203="","Missing: status",IF($I203="","Missing: source link",IF(COUNTIF(Suppliers!$A$2:$A$51,$B203)=0,"Unknown supplier",IF(COUNTIF(Products!$A$2:$A$101,$C203)=0,"Unknown SKU",IF(COUNTIF(Config!$C$15:$C$34,$H203)=0,"Unsupported status",IF($D203&lt;=0,"Qty must be above 0",IF($G203&lt;$F203,"Expected date before order date",IF($M203&gt;$D203,"Received more than ordered",IF(AND($H203="Received",$M203&lt;$D203),"Status Received but not fully received",IF(AND(IFERROR(INDEX(Config!$D$15:$D$34,MATCH($H203,Config!$C$15:$C$34,0)),"No")="Yes",$M203&gt;=$D203),"Fully received: update status","OK"))))))))))))))))))</f>
        <v/>
      </c>
      <c r="T203" s="52" t="str">
        <f>IF($O203=1,IFERROR(COUNTIFS($O$2:$O$301,1,$G$2:$G$301,"&lt;"&amp;$G203)+COUNTIFS($O$2:$O203,1,$G$2:$G203,$G203),""),"")</f>
        <v/>
      </c>
    </row>
    <row r="204">
      <c r="A204" s="46" t="n"/>
      <c r="B204" s="46" t="n"/>
      <c r="C204" s="46" t="n"/>
      <c r="D204" s="48" t="n"/>
      <c r="E204" s="47" t="n"/>
      <c r="F204" s="54" t="n"/>
      <c r="G204" s="54" t="n"/>
      <c r="H204" s="46" t="n"/>
      <c r="I204" s="46" t="n"/>
      <c r="J204" s="46" t="n"/>
      <c r="K204" s="49" t="str">
        <f>IF($A204="","",IFERROR(INDEX(Suppliers!$B$2:$B$51,MATCH($B204,Suppliers!$A$2:$A$51,0))&amp;"","(not found)"))</f>
        <v/>
      </c>
      <c r="L204" s="49" t="str">
        <f>IF($A204="","",IFERROR(INDEX(Products!$B$2:$B$101,MATCH($C204,Products!$A$2:$A$101,0))&amp;"","(not found)"))</f>
        <v/>
      </c>
      <c r="M204" s="50" t="str">
        <f>IF($A204="","",SUMIFS(Inventory_Ledger!$E$2:$E$2001,Inventory_Ledger!$H$2:$H$2001,$A204,Inventory_Ledger!$C$2:$C$2001,"Receipt",Inventory_Ledger!$D$2:$D$2001,$C204))</f>
        <v/>
      </c>
      <c r="N204" s="50" t="str">
        <f>IF($A204="","",IF(IFERROR(INDEX(Config!$D$15:$D$34,MATCH($H204,Config!$C$15:$C$34,0)),"No")="Yes",MAX(0,IF(ISNUMBER($D204),$D204,0)-$M204),0))</f>
        <v/>
      </c>
      <c r="O204" s="52" t="str">
        <f>IF($A204="","",IF($N204&gt;0,1,0))</f>
        <v/>
      </c>
      <c r="P204" s="52" t="str">
        <f>IF($A204="","",IF(AND($O204=1,ISNUMBER($G204)),IF($G204&lt;Config!$B$4,1,0),0))</f>
        <v/>
      </c>
      <c r="Q204" s="52" t="str">
        <f>IF($A204="","",IF($P204=1,Config!$B$4-$G204,0))</f>
        <v/>
      </c>
      <c r="R204" s="53" t="str">
        <f>IF($A204="","",IF(AND(ISNUMBER($D204),ISNUMBER($E204)),$D204*$E204,""))</f>
        <v/>
      </c>
      <c r="S204" s="49" t="str">
        <f>IF(COUNTA($A204:$J204)=0,"",IF($A204="","Missing: PO ID",IF(COUNTIF($A$2:$A$301,$A204)&gt;1,"Duplicate PO ID",IF($B204="","Missing: supplier",IF($C204="","Missing: SKU",IF(NOT(ISNUMBER($D204)),"Missing: qty",IF(NOT(ISNUMBER($F204)),"Missing: order date",IF(NOT(ISNUMBER($G204)),"Missing: expected date",IF($H204="","Missing: status",IF($I204="","Missing: source link",IF(COUNTIF(Suppliers!$A$2:$A$51,$B204)=0,"Unknown supplier",IF(COUNTIF(Products!$A$2:$A$101,$C204)=0,"Unknown SKU",IF(COUNTIF(Config!$C$15:$C$34,$H204)=0,"Unsupported status",IF($D204&lt;=0,"Qty must be above 0",IF($G204&lt;$F204,"Expected date before order date",IF($M204&gt;$D204,"Received more than ordered",IF(AND($H204="Received",$M204&lt;$D204),"Status Received but not fully received",IF(AND(IFERROR(INDEX(Config!$D$15:$D$34,MATCH($H204,Config!$C$15:$C$34,0)),"No")="Yes",$M204&gt;=$D204),"Fully received: update status","OK"))))))))))))))))))</f>
        <v/>
      </c>
      <c r="T204" s="52" t="str">
        <f>IF($O204=1,IFERROR(COUNTIFS($O$2:$O$301,1,$G$2:$G$301,"&lt;"&amp;$G204)+COUNTIFS($O$2:$O204,1,$G$2:$G204,$G204),""),"")</f>
        <v/>
      </c>
    </row>
    <row r="205">
      <c r="A205" s="46" t="n"/>
      <c r="B205" s="46" t="n"/>
      <c r="C205" s="46" t="n"/>
      <c r="D205" s="48" t="n"/>
      <c r="E205" s="47" t="n"/>
      <c r="F205" s="54" t="n"/>
      <c r="G205" s="54" t="n"/>
      <c r="H205" s="46" t="n"/>
      <c r="I205" s="46" t="n"/>
      <c r="J205" s="46" t="n"/>
      <c r="K205" s="49" t="str">
        <f>IF($A205="","",IFERROR(INDEX(Suppliers!$B$2:$B$51,MATCH($B205,Suppliers!$A$2:$A$51,0))&amp;"","(not found)"))</f>
        <v/>
      </c>
      <c r="L205" s="49" t="str">
        <f>IF($A205="","",IFERROR(INDEX(Products!$B$2:$B$101,MATCH($C205,Products!$A$2:$A$101,0))&amp;"","(not found)"))</f>
        <v/>
      </c>
      <c r="M205" s="50" t="str">
        <f>IF($A205="","",SUMIFS(Inventory_Ledger!$E$2:$E$2001,Inventory_Ledger!$H$2:$H$2001,$A205,Inventory_Ledger!$C$2:$C$2001,"Receipt",Inventory_Ledger!$D$2:$D$2001,$C205))</f>
        <v/>
      </c>
      <c r="N205" s="50" t="str">
        <f>IF($A205="","",IF(IFERROR(INDEX(Config!$D$15:$D$34,MATCH($H205,Config!$C$15:$C$34,0)),"No")="Yes",MAX(0,IF(ISNUMBER($D205),$D205,0)-$M205),0))</f>
        <v/>
      </c>
      <c r="O205" s="52" t="str">
        <f>IF($A205="","",IF($N205&gt;0,1,0))</f>
        <v/>
      </c>
      <c r="P205" s="52" t="str">
        <f>IF($A205="","",IF(AND($O205=1,ISNUMBER($G205)),IF($G205&lt;Config!$B$4,1,0),0))</f>
        <v/>
      </c>
      <c r="Q205" s="52" t="str">
        <f>IF($A205="","",IF($P205=1,Config!$B$4-$G205,0))</f>
        <v/>
      </c>
      <c r="R205" s="53" t="str">
        <f>IF($A205="","",IF(AND(ISNUMBER($D205),ISNUMBER($E205)),$D205*$E205,""))</f>
        <v/>
      </c>
      <c r="S205" s="49" t="str">
        <f>IF(COUNTA($A205:$J205)=0,"",IF($A205="","Missing: PO ID",IF(COUNTIF($A$2:$A$301,$A205)&gt;1,"Duplicate PO ID",IF($B205="","Missing: supplier",IF($C205="","Missing: SKU",IF(NOT(ISNUMBER($D205)),"Missing: qty",IF(NOT(ISNUMBER($F205)),"Missing: order date",IF(NOT(ISNUMBER($G205)),"Missing: expected date",IF($H205="","Missing: status",IF($I205="","Missing: source link",IF(COUNTIF(Suppliers!$A$2:$A$51,$B205)=0,"Unknown supplier",IF(COUNTIF(Products!$A$2:$A$101,$C205)=0,"Unknown SKU",IF(COUNTIF(Config!$C$15:$C$34,$H205)=0,"Unsupported status",IF($D205&lt;=0,"Qty must be above 0",IF($G205&lt;$F205,"Expected date before order date",IF($M205&gt;$D205,"Received more than ordered",IF(AND($H205="Received",$M205&lt;$D205),"Status Received but not fully received",IF(AND(IFERROR(INDEX(Config!$D$15:$D$34,MATCH($H205,Config!$C$15:$C$34,0)),"No")="Yes",$M205&gt;=$D205),"Fully received: update status","OK"))))))))))))))))))</f>
        <v/>
      </c>
      <c r="T205" s="52" t="str">
        <f>IF($O205=1,IFERROR(COUNTIFS($O$2:$O$301,1,$G$2:$G$301,"&lt;"&amp;$G205)+COUNTIFS($O$2:$O205,1,$G$2:$G205,$G205),""),"")</f>
        <v/>
      </c>
    </row>
    <row r="206">
      <c r="A206" s="46" t="n"/>
      <c r="B206" s="46" t="n"/>
      <c r="C206" s="46" t="n"/>
      <c r="D206" s="48" t="n"/>
      <c r="E206" s="47" t="n"/>
      <c r="F206" s="54" t="n"/>
      <c r="G206" s="54" t="n"/>
      <c r="H206" s="46" t="n"/>
      <c r="I206" s="46" t="n"/>
      <c r="J206" s="46" t="n"/>
      <c r="K206" s="49" t="str">
        <f>IF($A206="","",IFERROR(INDEX(Suppliers!$B$2:$B$51,MATCH($B206,Suppliers!$A$2:$A$51,0))&amp;"","(not found)"))</f>
        <v/>
      </c>
      <c r="L206" s="49" t="str">
        <f>IF($A206="","",IFERROR(INDEX(Products!$B$2:$B$101,MATCH($C206,Products!$A$2:$A$101,0))&amp;"","(not found)"))</f>
        <v/>
      </c>
      <c r="M206" s="50" t="str">
        <f>IF($A206="","",SUMIFS(Inventory_Ledger!$E$2:$E$2001,Inventory_Ledger!$H$2:$H$2001,$A206,Inventory_Ledger!$C$2:$C$2001,"Receipt",Inventory_Ledger!$D$2:$D$2001,$C206))</f>
        <v/>
      </c>
      <c r="N206" s="50" t="str">
        <f>IF($A206="","",IF(IFERROR(INDEX(Config!$D$15:$D$34,MATCH($H206,Config!$C$15:$C$34,0)),"No")="Yes",MAX(0,IF(ISNUMBER($D206),$D206,0)-$M206),0))</f>
        <v/>
      </c>
      <c r="O206" s="52" t="str">
        <f>IF($A206="","",IF($N206&gt;0,1,0))</f>
        <v/>
      </c>
      <c r="P206" s="52" t="str">
        <f>IF($A206="","",IF(AND($O206=1,ISNUMBER($G206)),IF($G206&lt;Config!$B$4,1,0),0))</f>
        <v/>
      </c>
      <c r="Q206" s="52" t="str">
        <f>IF($A206="","",IF($P206=1,Config!$B$4-$G206,0))</f>
        <v/>
      </c>
      <c r="R206" s="53" t="str">
        <f>IF($A206="","",IF(AND(ISNUMBER($D206),ISNUMBER($E206)),$D206*$E206,""))</f>
        <v/>
      </c>
      <c r="S206" s="49" t="str">
        <f>IF(COUNTA($A206:$J206)=0,"",IF($A206="","Missing: PO ID",IF(COUNTIF($A$2:$A$301,$A206)&gt;1,"Duplicate PO ID",IF($B206="","Missing: supplier",IF($C206="","Missing: SKU",IF(NOT(ISNUMBER($D206)),"Missing: qty",IF(NOT(ISNUMBER($F206)),"Missing: order date",IF(NOT(ISNUMBER($G206)),"Missing: expected date",IF($H206="","Missing: status",IF($I206="","Missing: source link",IF(COUNTIF(Suppliers!$A$2:$A$51,$B206)=0,"Unknown supplier",IF(COUNTIF(Products!$A$2:$A$101,$C206)=0,"Unknown SKU",IF(COUNTIF(Config!$C$15:$C$34,$H206)=0,"Unsupported status",IF($D206&lt;=0,"Qty must be above 0",IF($G206&lt;$F206,"Expected date before order date",IF($M206&gt;$D206,"Received more than ordered",IF(AND($H206="Received",$M206&lt;$D206),"Status Received but not fully received",IF(AND(IFERROR(INDEX(Config!$D$15:$D$34,MATCH($H206,Config!$C$15:$C$34,0)),"No")="Yes",$M206&gt;=$D206),"Fully received: update status","OK"))))))))))))))))))</f>
        <v/>
      </c>
      <c r="T206" s="52" t="str">
        <f>IF($O206=1,IFERROR(COUNTIFS($O$2:$O$301,1,$G$2:$G$301,"&lt;"&amp;$G206)+COUNTIFS($O$2:$O206,1,$G$2:$G206,$G206),""),"")</f>
        <v/>
      </c>
    </row>
    <row r="207">
      <c r="A207" s="46" t="n"/>
      <c r="B207" s="46" t="n"/>
      <c r="C207" s="46" t="n"/>
      <c r="D207" s="48" t="n"/>
      <c r="E207" s="47" t="n"/>
      <c r="F207" s="54" t="n"/>
      <c r="G207" s="54" t="n"/>
      <c r="H207" s="46" t="n"/>
      <c r="I207" s="46" t="n"/>
      <c r="J207" s="46" t="n"/>
      <c r="K207" s="49" t="str">
        <f>IF($A207="","",IFERROR(INDEX(Suppliers!$B$2:$B$51,MATCH($B207,Suppliers!$A$2:$A$51,0))&amp;"","(not found)"))</f>
        <v/>
      </c>
      <c r="L207" s="49" t="str">
        <f>IF($A207="","",IFERROR(INDEX(Products!$B$2:$B$101,MATCH($C207,Products!$A$2:$A$101,0))&amp;"","(not found)"))</f>
        <v/>
      </c>
      <c r="M207" s="50" t="str">
        <f>IF($A207="","",SUMIFS(Inventory_Ledger!$E$2:$E$2001,Inventory_Ledger!$H$2:$H$2001,$A207,Inventory_Ledger!$C$2:$C$2001,"Receipt",Inventory_Ledger!$D$2:$D$2001,$C207))</f>
        <v/>
      </c>
      <c r="N207" s="50" t="str">
        <f>IF($A207="","",IF(IFERROR(INDEX(Config!$D$15:$D$34,MATCH($H207,Config!$C$15:$C$34,0)),"No")="Yes",MAX(0,IF(ISNUMBER($D207),$D207,0)-$M207),0))</f>
        <v/>
      </c>
      <c r="O207" s="52" t="str">
        <f>IF($A207="","",IF($N207&gt;0,1,0))</f>
        <v/>
      </c>
      <c r="P207" s="52" t="str">
        <f>IF($A207="","",IF(AND($O207=1,ISNUMBER($G207)),IF($G207&lt;Config!$B$4,1,0),0))</f>
        <v/>
      </c>
      <c r="Q207" s="52" t="str">
        <f>IF($A207="","",IF($P207=1,Config!$B$4-$G207,0))</f>
        <v/>
      </c>
      <c r="R207" s="53" t="str">
        <f>IF($A207="","",IF(AND(ISNUMBER($D207),ISNUMBER($E207)),$D207*$E207,""))</f>
        <v/>
      </c>
      <c r="S207" s="49" t="str">
        <f>IF(COUNTA($A207:$J207)=0,"",IF($A207="","Missing: PO ID",IF(COUNTIF($A$2:$A$301,$A207)&gt;1,"Duplicate PO ID",IF($B207="","Missing: supplier",IF($C207="","Missing: SKU",IF(NOT(ISNUMBER($D207)),"Missing: qty",IF(NOT(ISNUMBER($F207)),"Missing: order date",IF(NOT(ISNUMBER($G207)),"Missing: expected date",IF($H207="","Missing: status",IF($I207="","Missing: source link",IF(COUNTIF(Suppliers!$A$2:$A$51,$B207)=0,"Unknown supplier",IF(COUNTIF(Products!$A$2:$A$101,$C207)=0,"Unknown SKU",IF(COUNTIF(Config!$C$15:$C$34,$H207)=0,"Unsupported status",IF($D207&lt;=0,"Qty must be above 0",IF($G207&lt;$F207,"Expected date before order date",IF($M207&gt;$D207,"Received more than ordered",IF(AND($H207="Received",$M207&lt;$D207),"Status Received but not fully received",IF(AND(IFERROR(INDEX(Config!$D$15:$D$34,MATCH($H207,Config!$C$15:$C$34,0)),"No")="Yes",$M207&gt;=$D207),"Fully received: update status","OK"))))))))))))))))))</f>
        <v/>
      </c>
      <c r="T207" s="52" t="str">
        <f>IF($O207=1,IFERROR(COUNTIFS($O$2:$O$301,1,$G$2:$G$301,"&lt;"&amp;$G207)+COUNTIFS($O$2:$O207,1,$G$2:$G207,$G207),""),"")</f>
        <v/>
      </c>
    </row>
    <row r="208">
      <c r="A208" s="46" t="n"/>
      <c r="B208" s="46" t="n"/>
      <c r="C208" s="46" t="n"/>
      <c r="D208" s="48" t="n"/>
      <c r="E208" s="47" t="n"/>
      <c r="F208" s="54" t="n"/>
      <c r="G208" s="54" t="n"/>
      <c r="H208" s="46" t="n"/>
      <c r="I208" s="46" t="n"/>
      <c r="J208" s="46" t="n"/>
      <c r="K208" s="49" t="str">
        <f>IF($A208="","",IFERROR(INDEX(Suppliers!$B$2:$B$51,MATCH($B208,Suppliers!$A$2:$A$51,0))&amp;"","(not found)"))</f>
        <v/>
      </c>
      <c r="L208" s="49" t="str">
        <f>IF($A208="","",IFERROR(INDEX(Products!$B$2:$B$101,MATCH($C208,Products!$A$2:$A$101,0))&amp;"","(not found)"))</f>
        <v/>
      </c>
      <c r="M208" s="50" t="str">
        <f>IF($A208="","",SUMIFS(Inventory_Ledger!$E$2:$E$2001,Inventory_Ledger!$H$2:$H$2001,$A208,Inventory_Ledger!$C$2:$C$2001,"Receipt",Inventory_Ledger!$D$2:$D$2001,$C208))</f>
        <v/>
      </c>
      <c r="N208" s="50" t="str">
        <f>IF($A208="","",IF(IFERROR(INDEX(Config!$D$15:$D$34,MATCH($H208,Config!$C$15:$C$34,0)),"No")="Yes",MAX(0,IF(ISNUMBER($D208),$D208,0)-$M208),0))</f>
        <v/>
      </c>
      <c r="O208" s="52" t="str">
        <f>IF($A208="","",IF($N208&gt;0,1,0))</f>
        <v/>
      </c>
      <c r="P208" s="52" t="str">
        <f>IF($A208="","",IF(AND($O208=1,ISNUMBER($G208)),IF($G208&lt;Config!$B$4,1,0),0))</f>
        <v/>
      </c>
      <c r="Q208" s="52" t="str">
        <f>IF($A208="","",IF($P208=1,Config!$B$4-$G208,0))</f>
        <v/>
      </c>
      <c r="R208" s="53" t="str">
        <f>IF($A208="","",IF(AND(ISNUMBER($D208),ISNUMBER($E208)),$D208*$E208,""))</f>
        <v/>
      </c>
      <c r="S208" s="49" t="str">
        <f>IF(COUNTA($A208:$J208)=0,"",IF($A208="","Missing: PO ID",IF(COUNTIF($A$2:$A$301,$A208)&gt;1,"Duplicate PO ID",IF($B208="","Missing: supplier",IF($C208="","Missing: SKU",IF(NOT(ISNUMBER($D208)),"Missing: qty",IF(NOT(ISNUMBER($F208)),"Missing: order date",IF(NOT(ISNUMBER($G208)),"Missing: expected date",IF($H208="","Missing: status",IF($I208="","Missing: source link",IF(COUNTIF(Suppliers!$A$2:$A$51,$B208)=0,"Unknown supplier",IF(COUNTIF(Products!$A$2:$A$101,$C208)=0,"Unknown SKU",IF(COUNTIF(Config!$C$15:$C$34,$H208)=0,"Unsupported status",IF($D208&lt;=0,"Qty must be above 0",IF($G208&lt;$F208,"Expected date before order date",IF($M208&gt;$D208,"Received more than ordered",IF(AND($H208="Received",$M208&lt;$D208),"Status Received but not fully received",IF(AND(IFERROR(INDEX(Config!$D$15:$D$34,MATCH($H208,Config!$C$15:$C$34,0)),"No")="Yes",$M208&gt;=$D208),"Fully received: update status","OK"))))))))))))))))))</f>
        <v/>
      </c>
      <c r="T208" s="52" t="str">
        <f>IF($O208=1,IFERROR(COUNTIFS($O$2:$O$301,1,$G$2:$G$301,"&lt;"&amp;$G208)+COUNTIFS($O$2:$O208,1,$G$2:$G208,$G208),""),"")</f>
        <v/>
      </c>
    </row>
    <row r="209">
      <c r="A209" s="46" t="n"/>
      <c r="B209" s="46" t="n"/>
      <c r="C209" s="46" t="n"/>
      <c r="D209" s="48" t="n"/>
      <c r="E209" s="47" t="n"/>
      <c r="F209" s="54" t="n"/>
      <c r="G209" s="54" t="n"/>
      <c r="H209" s="46" t="n"/>
      <c r="I209" s="46" t="n"/>
      <c r="J209" s="46" t="n"/>
      <c r="K209" s="49" t="str">
        <f>IF($A209="","",IFERROR(INDEX(Suppliers!$B$2:$B$51,MATCH($B209,Suppliers!$A$2:$A$51,0))&amp;"","(not found)"))</f>
        <v/>
      </c>
      <c r="L209" s="49" t="str">
        <f>IF($A209="","",IFERROR(INDEX(Products!$B$2:$B$101,MATCH($C209,Products!$A$2:$A$101,0))&amp;"","(not found)"))</f>
        <v/>
      </c>
      <c r="M209" s="50" t="str">
        <f>IF($A209="","",SUMIFS(Inventory_Ledger!$E$2:$E$2001,Inventory_Ledger!$H$2:$H$2001,$A209,Inventory_Ledger!$C$2:$C$2001,"Receipt",Inventory_Ledger!$D$2:$D$2001,$C209))</f>
        <v/>
      </c>
      <c r="N209" s="50" t="str">
        <f>IF($A209="","",IF(IFERROR(INDEX(Config!$D$15:$D$34,MATCH($H209,Config!$C$15:$C$34,0)),"No")="Yes",MAX(0,IF(ISNUMBER($D209),$D209,0)-$M209),0))</f>
        <v/>
      </c>
      <c r="O209" s="52" t="str">
        <f>IF($A209="","",IF($N209&gt;0,1,0))</f>
        <v/>
      </c>
      <c r="P209" s="52" t="str">
        <f>IF($A209="","",IF(AND($O209=1,ISNUMBER($G209)),IF($G209&lt;Config!$B$4,1,0),0))</f>
        <v/>
      </c>
      <c r="Q209" s="52" t="str">
        <f>IF($A209="","",IF($P209=1,Config!$B$4-$G209,0))</f>
        <v/>
      </c>
      <c r="R209" s="53" t="str">
        <f>IF($A209="","",IF(AND(ISNUMBER($D209),ISNUMBER($E209)),$D209*$E209,""))</f>
        <v/>
      </c>
      <c r="S209" s="49" t="str">
        <f>IF(COUNTA($A209:$J209)=0,"",IF($A209="","Missing: PO ID",IF(COUNTIF($A$2:$A$301,$A209)&gt;1,"Duplicate PO ID",IF($B209="","Missing: supplier",IF($C209="","Missing: SKU",IF(NOT(ISNUMBER($D209)),"Missing: qty",IF(NOT(ISNUMBER($F209)),"Missing: order date",IF(NOT(ISNUMBER($G209)),"Missing: expected date",IF($H209="","Missing: status",IF($I209="","Missing: source link",IF(COUNTIF(Suppliers!$A$2:$A$51,$B209)=0,"Unknown supplier",IF(COUNTIF(Products!$A$2:$A$101,$C209)=0,"Unknown SKU",IF(COUNTIF(Config!$C$15:$C$34,$H209)=0,"Unsupported status",IF($D209&lt;=0,"Qty must be above 0",IF($G209&lt;$F209,"Expected date before order date",IF($M209&gt;$D209,"Received more than ordered",IF(AND($H209="Received",$M209&lt;$D209),"Status Received but not fully received",IF(AND(IFERROR(INDEX(Config!$D$15:$D$34,MATCH($H209,Config!$C$15:$C$34,0)),"No")="Yes",$M209&gt;=$D209),"Fully received: update status","OK"))))))))))))))))))</f>
        <v/>
      </c>
      <c r="T209" s="52" t="str">
        <f>IF($O209=1,IFERROR(COUNTIFS($O$2:$O$301,1,$G$2:$G$301,"&lt;"&amp;$G209)+COUNTIFS($O$2:$O209,1,$G$2:$G209,$G209),""),"")</f>
        <v/>
      </c>
    </row>
    <row r="210">
      <c r="A210" s="46" t="n"/>
      <c r="B210" s="46" t="n"/>
      <c r="C210" s="46" t="n"/>
      <c r="D210" s="48" t="n"/>
      <c r="E210" s="47" t="n"/>
      <c r="F210" s="54" t="n"/>
      <c r="G210" s="54" t="n"/>
      <c r="H210" s="46" t="n"/>
      <c r="I210" s="46" t="n"/>
      <c r="J210" s="46" t="n"/>
      <c r="K210" s="49" t="str">
        <f>IF($A210="","",IFERROR(INDEX(Suppliers!$B$2:$B$51,MATCH($B210,Suppliers!$A$2:$A$51,0))&amp;"","(not found)"))</f>
        <v/>
      </c>
      <c r="L210" s="49" t="str">
        <f>IF($A210="","",IFERROR(INDEX(Products!$B$2:$B$101,MATCH($C210,Products!$A$2:$A$101,0))&amp;"","(not found)"))</f>
        <v/>
      </c>
      <c r="M210" s="50" t="str">
        <f>IF($A210="","",SUMIFS(Inventory_Ledger!$E$2:$E$2001,Inventory_Ledger!$H$2:$H$2001,$A210,Inventory_Ledger!$C$2:$C$2001,"Receipt",Inventory_Ledger!$D$2:$D$2001,$C210))</f>
        <v/>
      </c>
      <c r="N210" s="50" t="str">
        <f>IF($A210="","",IF(IFERROR(INDEX(Config!$D$15:$D$34,MATCH($H210,Config!$C$15:$C$34,0)),"No")="Yes",MAX(0,IF(ISNUMBER($D210),$D210,0)-$M210),0))</f>
        <v/>
      </c>
      <c r="O210" s="52" t="str">
        <f>IF($A210="","",IF($N210&gt;0,1,0))</f>
        <v/>
      </c>
      <c r="P210" s="52" t="str">
        <f>IF($A210="","",IF(AND($O210=1,ISNUMBER($G210)),IF($G210&lt;Config!$B$4,1,0),0))</f>
        <v/>
      </c>
      <c r="Q210" s="52" t="str">
        <f>IF($A210="","",IF($P210=1,Config!$B$4-$G210,0))</f>
        <v/>
      </c>
      <c r="R210" s="53" t="str">
        <f>IF($A210="","",IF(AND(ISNUMBER($D210),ISNUMBER($E210)),$D210*$E210,""))</f>
        <v/>
      </c>
      <c r="S210" s="49" t="str">
        <f>IF(COUNTA($A210:$J210)=0,"",IF($A210="","Missing: PO ID",IF(COUNTIF($A$2:$A$301,$A210)&gt;1,"Duplicate PO ID",IF($B210="","Missing: supplier",IF($C210="","Missing: SKU",IF(NOT(ISNUMBER($D210)),"Missing: qty",IF(NOT(ISNUMBER($F210)),"Missing: order date",IF(NOT(ISNUMBER($G210)),"Missing: expected date",IF($H210="","Missing: status",IF($I210="","Missing: source link",IF(COUNTIF(Suppliers!$A$2:$A$51,$B210)=0,"Unknown supplier",IF(COUNTIF(Products!$A$2:$A$101,$C210)=0,"Unknown SKU",IF(COUNTIF(Config!$C$15:$C$34,$H210)=0,"Unsupported status",IF($D210&lt;=0,"Qty must be above 0",IF($G210&lt;$F210,"Expected date before order date",IF($M210&gt;$D210,"Received more than ordered",IF(AND($H210="Received",$M210&lt;$D210),"Status Received but not fully received",IF(AND(IFERROR(INDEX(Config!$D$15:$D$34,MATCH($H210,Config!$C$15:$C$34,0)),"No")="Yes",$M210&gt;=$D210),"Fully received: update status","OK"))))))))))))))))))</f>
        <v/>
      </c>
      <c r="T210" s="52" t="str">
        <f>IF($O210=1,IFERROR(COUNTIFS($O$2:$O$301,1,$G$2:$G$301,"&lt;"&amp;$G210)+COUNTIFS($O$2:$O210,1,$G$2:$G210,$G210),""),"")</f>
        <v/>
      </c>
    </row>
    <row r="211">
      <c r="A211" s="46" t="n"/>
      <c r="B211" s="46" t="n"/>
      <c r="C211" s="46" t="n"/>
      <c r="D211" s="48" t="n"/>
      <c r="E211" s="47" t="n"/>
      <c r="F211" s="54" t="n"/>
      <c r="G211" s="54" t="n"/>
      <c r="H211" s="46" t="n"/>
      <c r="I211" s="46" t="n"/>
      <c r="J211" s="46" t="n"/>
      <c r="K211" s="49" t="str">
        <f>IF($A211="","",IFERROR(INDEX(Suppliers!$B$2:$B$51,MATCH($B211,Suppliers!$A$2:$A$51,0))&amp;"","(not found)"))</f>
        <v/>
      </c>
      <c r="L211" s="49" t="str">
        <f>IF($A211="","",IFERROR(INDEX(Products!$B$2:$B$101,MATCH($C211,Products!$A$2:$A$101,0))&amp;"","(not found)"))</f>
        <v/>
      </c>
      <c r="M211" s="50" t="str">
        <f>IF($A211="","",SUMIFS(Inventory_Ledger!$E$2:$E$2001,Inventory_Ledger!$H$2:$H$2001,$A211,Inventory_Ledger!$C$2:$C$2001,"Receipt",Inventory_Ledger!$D$2:$D$2001,$C211))</f>
        <v/>
      </c>
      <c r="N211" s="50" t="str">
        <f>IF($A211="","",IF(IFERROR(INDEX(Config!$D$15:$D$34,MATCH($H211,Config!$C$15:$C$34,0)),"No")="Yes",MAX(0,IF(ISNUMBER($D211),$D211,0)-$M211),0))</f>
        <v/>
      </c>
      <c r="O211" s="52" t="str">
        <f>IF($A211="","",IF($N211&gt;0,1,0))</f>
        <v/>
      </c>
      <c r="P211" s="52" t="str">
        <f>IF($A211="","",IF(AND($O211=1,ISNUMBER($G211)),IF($G211&lt;Config!$B$4,1,0),0))</f>
        <v/>
      </c>
      <c r="Q211" s="52" t="str">
        <f>IF($A211="","",IF($P211=1,Config!$B$4-$G211,0))</f>
        <v/>
      </c>
      <c r="R211" s="53" t="str">
        <f>IF($A211="","",IF(AND(ISNUMBER($D211),ISNUMBER($E211)),$D211*$E211,""))</f>
        <v/>
      </c>
      <c r="S211" s="49" t="str">
        <f>IF(COUNTA($A211:$J211)=0,"",IF($A211="","Missing: PO ID",IF(COUNTIF($A$2:$A$301,$A211)&gt;1,"Duplicate PO ID",IF($B211="","Missing: supplier",IF($C211="","Missing: SKU",IF(NOT(ISNUMBER($D211)),"Missing: qty",IF(NOT(ISNUMBER($F211)),"Missing: order date",IF(NOT(ISNUMBER($G211)),"Missing: expected date",IF($H211="","Missing: status",IF($I211="","Missing: source link",IF(COUNTIF(Suppliers!$A$2:$A$51,$B211)=0,"Unknown supplier",IF(COUNTIF(Products!$A$2:$A$101,$C211)=0,"Unknown SKU",IF(COUNTIF(Config!$C$15:$C$34,$H211)=0,"Unsupported status",IF($D211&lt;=0,"Qty must be above 0",IF($G211&lt;$F211,"Expected date before order date",IF($M211&gt;$D211,"Received more than ordered",IF(AND($H211="Received",$M211&lt;$D211),"Status Received but not fully received",IF(AND(IFERROR(INDEX(Config!$D$15:$D$34,MATCH($H211,Config!$C$15:$C$34,0)),"No")="Yes",$M211&gt;=$D211),"Fully received: update status","OK"))))))))))))))))))</f>
        <v/>
      </c>
      <c r="T211" s="52" t="str">
        <f>IF($O211=1,IFERROR(COUNTIFS($O$2:$O$301,1,$G$2:$G$301,"&lt;"&amp;$G211)+COUNTIFS($O$2:$O211,1,$G$2:$G211,$G211),""),"")</f>
        <v/>
      </c>
    </row>
    <row r="212">
      <c r="A212" s="46" t="n"/>
      <c r="B212" s="46" t="n"/>
      <c r="C212" s="46" t="n"/>
      <c r="D212" s="48" t="n"/>
      <c r="E212" s="47" t="n"/>
      <c r="F212" s="54" t="n"/>
      <c r="G212" s="54" t="n"/>
      <c r="H212" s="46" t="n"/>
      <c r="I212" s="46" t="n"/>
      <c r="J212" s="46" t="n"/>
      <c r="K212" s="49" t="str">
        <f>IF($A212="","",IFERROR(INDEX(Suppliers!$B$2:$B$51,MATCH($B212,Suppliers!$A$2:$A$51,0))&amp;"","(not found)"))</f>
        <v/>
      </c>
      <c r="L212" s="49" t="str">
        <f>IF($A212="","",IFERROR(INDEX(Products!$B$2:$B$101,MATCH($C212,Products!$A$2:$A$101,0))&amp;"","(not found)"))</f>
        <v/>
      </c>
      <c r="M212" s="50" t="str">
        <f>IF($A212="","",SUMIFS(Inventory_Ledger!$E$2:$E$2001,Inventory_Ledger!$H$2:$H$2001,$A212,Inventory_Ledger!$C$2:$C$2001,"Receipt",Inventory_Ledger!$D$2:$D$2001,$C212))</f>
        <v/>
      </c>
      <c r="N212" s="50" t="str">
        <f>IF($A212="","",IF(IFERROR(INDEX(Config!$D$15:$D$34,MATCH($H212,Config!$C$15:$C$34,0)),"No")="Yes",MAX(0,IF(ISNUMBER($D212),$D212,0)-$M212),0))</f>
        <v/>
      </c>
      <c r="O212" s="52" t="str">
        <f>IF($A212="","",IF($N212&gt;0,1,0))</f>
        <v/>
      </c>
      <c r="P212" s="52" t="str">
        <f>IF($A212="","",IF(AND($O212=1,ISNUMBER($G212)),IF($G212&lt;Config!$B$4,1,0),0))</f>
        <v/>
      </c>
      <c r="Q212" s="52" t="str">
        <f>IF($A212="","",IF($P212=1,Config!$B$4-$G212,0))</f>
        <v/>
      </c>
      <c r="R212" s="53" t="str">
        <f>IF($A212="","",IF(AND(ISNUMBER($D212),ISNUMBER($E212)),$D212*$E212,""))</f>
        <v/>
      </c>
      <c r="S212" s="49" t="str">
        <f>IF(COUNTA($A212:$J212)=0,"",IF($A212="","Missing: PO ID",IF(COUNTIF($A$2:$A$301,$A212)&gt;1,"Duplicate PO ID",IF($B212="","Missing: supplier",IF($C212="","Missing: SKU",IF(NOT(ISNUMBER($D212)),"Missing: qty",IF(NOT(ISNUMBER($F212)),"Missing: order date",IF(NOT(ISNUMBER($G212)),"Missing: expected date",IF($H212="","Missing: status",IF($I212="","Missing: source link",IF(COUNTIF(Suppliers!$A$2:$A$51,$B212)=0,"Unknown supplier",IF(COUNTIF(Products!$A$2:$A$101,$C212)=0,"Unknown SKU",IF(COUNTIF(Config!$C$15:$C$34,$H212)=0,"Unsupported status",IF($D212&lt;=0,"Qty must be above 0",IF($G212&lt;$F212,"Expected date before order date",IF($M212&gt;$D212,"Received more than ordered",IF(AND($H212="Received",$M212&lt;$D212),"Status Received but not fully received",IF(AND(IFERROR(INDEX(Config!$D$15:$D$34,MATCH($H212,Config!$C$15:$C$34,0)),"No")="Yes",$M212&gt;=$D212),"Fully received: update status","OK"))))))))))))))))))</f>
        <v/>
      </c>
      <c r="T212" s="52" t="str">
        <f>IF($O212=1,IFERROR(COUNTIFS($O$2:$O$301,1,$G$2:$G$301,"&lt;"&amp;$G212)+COUNTIFS($O$2:$O212,1,$G$2:$G212,$G212),""),"")</f>
        <v/>
      </c>
    </row>
    <row r="213">
      <c r="A213" s="46" t="n"/>
      <c r="B213" s="46" t="n"/>
      <c r="C213" s="46" t="n"/>
      <c r="D213" s="48" t="n"/>
      <c r="E213" s="47" t="n"/>
      <c r="F213" s="54" t="n"/>
      <c r="G213" s="54" t="n"/>
      <c r="H213" s="46" t="n"/>
      <c r="I213" s="46" t="n"/>
      <c r="J213" s="46" t="n"/>
      <c r="K213" s="49" t="str">
        <f>IF($A213="","",IFERROR(INDEX(Suppliers!$B$2:$B$51,MATCH($B213,Suppliers!$A$2:$A$51,0))&amp;"","(not found)"))</f>
        <v/>
      </c>
      <c r="L213" s="49" t="str">
        <f>IF($A213="","",IFERROR(INDEX(Products!$B$2:$B$101,MATCH($C213,Products!$A$2:$A$101,0))&amp;"","(not found)"))</f>
        <v/>
      </c>
      <c r="M213" s="50" t="str">
        <f>IF($A213="","",SUMIFS(Inventory_Ledger!$E$2:$E$2001,Inventory_Ledger!$H$2:$H$2001,$A213,Inventory_Ledger!$C$2:$C$2001,"Receipt",Inventory_Ledger!$D$2:$D$2001,$C213))</f>
        <v/>
      </c>
      <c r="N213" s="50" t="str">
        <f>IF($A213="","",IF(IFERROR(INDEX(Config!$D$15:$D$34,MATCH($H213,Config!$C$15:$C$34,0)),"No")="Yes",MAX(0,IF(ISNUMBER($D213),$D213,0)-$M213),0))</f>
        <v/>
      </c>
      <c r="O213" s="52" t="str">
        <f>IF($A213="","",IF($N213&gt;0,1,0))</f>
        <v/>
      </c>
      <c r="P213" s="52" t="str">
        <f>IF($A213="","",IF(AND($O213=1,ISNUMBER($G213)),IF($G213&lt;Config!$B$4,1,0),0))</f>
        <v/>
      </c>
      <c r="Q213" s="52" t="str">
        <f>IF($A213="","",IF($P213=1,Config!$B$4-$G213,0))</f>
        <v/>
      </c>
      <c r="R213" s="53" t="str">
        <f>IF($A213="","",IF(AND(ISNUMBER($D213),ISNUMBER($E213)),$D213*$E213,""))</f>
        <v/>
      </c>
      <c r="S213" s="49" t="str">
        <f>IF(COUNTA($A213:$J213)=0,"",IF($A213="","Missing: PO ID",IF(COUNTIF($A$2:$A$301,$A213)&gt;1,"Duplicate PO ID",IF($B213="","Missing: supplier",IF($C213="","Missing: SKU",IF(NOT(ISNUMBER($D213)),"Missing: qty",IF(NOT(ISNUMBER($F213)),"Missing: order date",IF(NOT(ISNUMBER($G213)),"Missing: expected date",IF($H213="","Missing: status",IF($I213="","Missing: source link",IF(COUNTIF(Suppliers!$A$2:$A$51,$B213)=0,"Unknown supplier",IF(COUNTIF(Products!$A$2:$A$101,$C213)=0,"Unknown SKU",IF(COUNTIF(Config!$C$15:$C$34,$H213)=0,"Unsupported status",IF($D213&lt;=0,"Qty must be above 0",IF($G213&lt;$F213,"Expected date before order date",IF($M213&gt;$D213,"Received more than ordered",IF(AND($H213="Received",$M213&lt;$D213),"Status Received but not fully received",IF(AND(IFERROR(INDEX(Config!$D$15:$D$34,MATCH($H213,Config!$C$15:$C$34,0)),"No")="Yes",$M213&gt;=$D213),"Fully received: update status","OK"))))))))))))))))))</f>
        <v/>
      </c>
      <c r="T213" s="52" t="str">
        <f>IF($O213=1,IFERROR(COUNTIFS($O$2:$O$301,1,$G$2:$G$301,"&lt;"&amp;$G213)+COUNTIFS($O$2:$O213,1,$G$2:$G213,$G213),""),"")</f>
        <v/>
      </c>
    </row>
    <row r="214">
      <c r="A214" s="46" t="n"/>
      <c r="B214" s="46" t="n"/>
      <c r="C214" s="46" t="n"/>
      <c r="D214" s="48" t="n"/>
      <c r="E214" s="47" t="n"/>
      <c r="F214" s="54" t="n"/>
      <c r="G214" s="54" t="n"/>
      <c r="H214" s="46" t="n"/>
      <c r="I214" s="46" t="n"/>
      <c r="J214" s="46" t="n"/>
      <c r="K214" s="49" t="str">
        <f>IF($A214="","",IFERROR(INDEX(Suppliers!$B$2:$B$51,MATCH($B214,Suppliers!$A$2:$A$51,0))&amp;"","(not found)"))</f>
        <v/>
      </c>
      <c r="L214" s="49" t="str">
        <f>IF($A214="","",IFERROR(INDEX(Products!$B$2:$B$101,MATCH($C214,Products!$A$2:$A$101,0))&amp;"","(not found)"))</f>
        <v/>
      </c>
      <c r="M214" s="50" t="str">
        <f>IF($A214="","",SUMIFS(Inventory_Ledger!$E$2:$E$2001,Inventory_Ledger!$H$2:$H$2001,$A214,Inventory_Ledger!$C$2:$C$2001,"Receipt",Inventory_Ledger!$D$2:$D$2001,$C214))</f>
        <v/>
      </c>
      <c r="N214" s="50" t="str">
        <f>IF($A214="","",IF(IFERROR(INDEX(Config!$D$15:$D$34,MATCH($H214,Config!$C$15:$C$34,0)),"No")="Yes",MAX(0,IF(ISNUMBER($D214),$D214,0)-$M214),0))</f>
        <v/>
      </c>
      <c r="O214" s="52" t="str">
        <f>IF($A214="","",IF($N214&gt;0,1,0))</f>
        <v/>
      </c>
      <c r="P214" s="52" t="str">
        <f>IF($A214="","",IF(AND($O214=1,ISNUMBER($G214)),IF($G214&lt;Config!$B$4,1,0),0))</f>
        <v/>
      </c>
      <c r="Q214" s="52" t="str">
        <f>IF($A214="","",IF($P214=1,Config!$B$4-$G214,0))</f>
        <v/>
      </c>
      <c r="R214" s="53" t="str">
        <f>IF($A214="","",IF(AND(ISNUMBER($D214),ISNUMBER($E214)),$D214*$E214,""))</f>
        <v/>
      </c>
      <c r="S214" s="49" t="str">
        <f>IF(COUNTA($A214:$J214)=0,"",IF($A214="","Missing: PO ID",IF(COUNTIF($A$2:$A$301,$A214)&gt;1,"Duplicate PO ID",IF($B214="","Missing: supplier",IF($C214="","Missing: SKU",IF(NOT(ISNUMBER($D214)),"Missing: qty",IF(NOT(ISNUMBER($F214)),"Missing: order date",IF(NOT(ISNUMBER($G214)),"Missing: expected date",IF($H214="","Missing: status",IF($I214="","Missing: source link",IF(COUNTIF(Suppliers!$A$2:$A$51,$B214)=0,"Unknown supplier",IF(COUNTIF(Products!$A$2:$A$101,$C214)=0,"Unknown SKU",IF(COUNTIF(Config!$C$15:$C$34,$H214)=0,"Unsupported status",IF($D214&lt;=0,"Qty must be above 0",IF($G214&lt;$F214,"Expected date before order date",IF($M214&gt;$D214,"Received more than ordered",IF(AND($H214="Received",$M214&lt;$D214),"Status Received but not fully received",IF(AND(IFERROR(INDEX(Config!$D$15:$D$34,MATCH($H214,Config!$C$15:$C$34,0)),"No")="Yes",$M214&gt;=$D214),"Fully received: update status","OK"))))))))))))))))))</f>
        <v/>
      </c>
      <c r="T214" s="52" t="str">
        <f>IF($O214=1,IFERROR(COUNTIFS($O$2:$O$301,1,$G$2:$G$301,"&lt;"&amp;$G214)+COUNTIFS($O$2:$O214,1,$G$2:$G214,$G214),""),"")</f>
        <v/>
      </c>
    </row>
    <row r="215">
      <c r="A215" s="46" t="n"/>
      <c r="B215" s="46" t="n"/>
      <c r="C215" s="46" t="n"/>
      <c r="D215" s="48" t="n"/>
      <c r="E215" s="47" t="n"/>
      <c r="F215" s="54" t="n"/>
      <c r="G215" s="54" t="n"/>
      <c r="H215" s="46" t="n"/>
      <c r="I215" s="46" t="n"/>
      <c r="J215" s="46" t="n"/>
      <c r="K215" s="49" t="str">
        <f>IF($A215="","",IFERROR(INDEX(Suppliers!$B$2:$B$51,MATCH($B215,Suppliers!$A$2:$A$51,0))&amp;"","(not found)"))</f>
        <v/>
      </c>
      <c r="L215" s="49" t="str">
        <f>IF($A215="","",IFERROR(INDEX(Products!$B$2:$B$101,MATCH($C215,Products!$A$2:$A$101,0))&amp;"","(not found)"))</f>
        <v/>
      </c>
      <c r="M215" s="50" t="str">
        <f>IF($A215="","",SUMIFS(Inventory_Ledger!$E$2:$E$2001,Inventory_Ledger!$H$2:$H$2001,$A215,Inventory_Ledger!$C$2:$C$2001,"Receipt",Inventory_Ledger!$D$2:$D$2001,$C215))</f>
        <v/>
      </c>
      <c r="N215" s="50" t="str">
        <f>IF($A215="","",IF(IFERROR(INDEX(Config!$D$15:$D$34,MATCH($H215,Config!$C$15:$C$34,0)),"No")="Yes",MAX(0,IF(ISNUMBER($D215),$D215,0)-$M215),0))</f>
        <v/>
      </c>
      <c r="O215" s="52" t="str">
        <f>IF($A215="","",IF($N215&gt;0,1,0))</f>
        <v/>
      </c>
      <c r="P215" s="52" t="str">
        <f>IF($A215="","",IF(AND($O215=1,ISNUMBER($G215)),IF($G215&lt;Config!$B$4,1,0),0))</f>
        <v/>
      </c>
      <c r="Q215" s="52" t="str">
        <f>IF($A215="","",IF($P215=1,Config!$B$4-$G215,0))</f>
        <v/>
      </c>
      <c r="R215" s="53" t="str">
        <f>IF($A215="","",IF(AND(ISNUMBER($D215),ISNUMBER($E215)),$D215*$E215,""))</f>
        <v/>
      </c>
      <c r="S215" s="49" t="str">
        <f>IF(COUNTA($A215:$J215)=0,"",IF($A215="","Missing: PO ID",IF(COUNTIF($A$2:$A$301,$A215)&gt;1,"Duplicate PO ID",IF($B215="","Missing: supplier",IF($C215="","Missing: SKU",IF(NOT(ISNUMBER($D215)),"Missing: qty",IF(NOT(ISNUMBER($F215)),"Missing: order date",IF(NOT(ISNUMBER($G215)),"Missing: expected date",IF($H215="","Missing: status",IF($I215="","Missing: source link",IF(COUNTIF(Suppliers!$A$2:$A$51,$B215)=0,"Unknown supplier",IF(COUNTIF(Products!$A$2:$A$101,$C215)=0,"Unknown SKU",IF(COUNTIF(Config!$C$15:$C$34,$H215)=0,"Unsupported status",IF($D215&lt;=0,"Qty must be above 0",IF($G215&lt;$F215,"Expected date before order date",IF($M215&gt;$D215,"Received more than ordered",IF(AND($H215="Received",$M215&lt;$D215),"Status Received but not fully received",IF(AND(IFERROR(INDEX(Config!$D$15:$D$34,MATCH($H215,Config!$C$15:$C$34,0)),"No")="Yes",$M215&gt;=$D215),"Fully received: update status","OK"))))))))))))))))))</f>
        <v/>
      </c>
      <c r="T215" s="52" t="str">
        <f>IF($O215=1,IFERROR(COUNTIFS($O$2:$O$301,1,$G$2:$G$301,"&lt;"&amp;$G215)+COUNTIFS($O$2:$O215,1,$G$2:$G215,$G215),""),"")</f>
        <v/>
      </c>
    </row>
    <row r="216">
      <c r="A216" s="46" t="n"/>
      <c r="B216" s="46" t="n"/>
      <c r="C216" s="46" t="n"/>
      <c r="D216" s="48" t="n"/>
      <c r="E216" s="47" t="n"/>
      <c r="F216" s="54" t="n"/>
      <c r="G216" s="54" t="n"/>
      <c r="H216" s="46" t="n"/>
      <c r="I216" s="46" t="n"/>
      <c r="J216" s="46" t="n"/>
      <c r="K216" s="49" t="str">
        <f>IF($A216="","",IFERROR(INDEX(Suppliers!$B$2:$B$51,MATCH($B216,Suppliers!$A$2:$A$51,0))&amp;"","(not found)"))</f>
        <v/>
      </c>
      <c r="L216" s="49" t="str">
        <f>IF($A216="","",IFERROR(INDEX(Products!$B$2:$B$101,MATCH($C216,Products!$A$2:$A$101,0))&amp;"","(not found)"))</f>
        <v/>
      </c>
      <c r="M216" s="50" t="str">
        <f>IF($A216="","",SUMIFS(Inventory_Ledger!$E$2:$E$2001,Inventory_Ledger!$H$2:$H$2001,$A216,Inventory_Ledger!$C$2:$C$2001,"Receipt",Inventory_Ledger!$D$2:$D$2001,$C216))</f>
        <v/>
      </c>
      <c r="N216" s="50" t="str">
        <f>IF($A216="","",IF(IFERROR(INDEX(Config!$D$15:$D$34,MATCH($H216,Config!$C$15:$C$34,0)),"No")="Yes",MAX(0,IF(ISNUMBER($D216),$D216,0)-$M216),0))</f>
        <v/>
      </c>
      <c r="O216" s="52" t="str">
        <f>IF($A216="","",IF($N216&gt;0,1,0))</f>
        <v/>
      </c>
      <c r="P216" s="52" t="str">
        <f>IF($A216="","",IF(AND($O216=1,ISNUMBER($G216)),IF($G216&lt;Config!$B$4,1,0),0))</f>
        <v/>
      </c>
      <c r="Q216" s="52" t="str">
        <f>IF($A216="","",IF($P216=1,Config!$B$4-$G216,0))</f>
        <v/>
      </c>
      <c r="R216" s="53" t="str">
        <f>IF($A216="","",IF(AND(ISNUMBER($D216),ISNUMBER($E216)),$D216*$E216,""))</f>
        <v/>
      </c>
      <c r="S216" s="49" t="str">
        <f>IF(COUNTA($A216:$J216)=0,"",IF($A216="","Missing: PO ID",IF(COUNTIF($A$2:$A$301,$A216)&gt;1,"Duplicate PO ID",IF($B216="","Missing: supplier",IF($C216="","Missing: SKU",IF(NOT(ISNUMBER($D216)),"Missing: qty",IF(NOT(ISNUMBER($F216)),"Missing: order date",IF(NOT(ISNUMBER($G216)),"Missing: expected date",IF($H216="","Missing: status",IF($I216="","Missing: source link",IF(COUNTIF(Suppliers!$A$2:$A$51,$B216)=0,"Unknown supplier",IF(COUNTIF(Products!$A$2:$A$101,$C216)=0,"Unknown SKU",IF(COUNTIF(Config!$C$15:$C$34,$H216)=0,"Unsupported status",IF($D216&lt;=0,"Qty must be above 0",IF($G216&lt;$F216,"Expected date before order date",IF($M216&gt;$D216,"Received more than ordered",IF(AND($H216="Received",$M216&lt;$D216),"Status Received but not fully received",IF(AND(IFERROR(INDEX(Config!$D$15:$D$34,MATCH($H216,Config!$C$15:$C$34,0)),"No")="Yes",$M216&gt;=$D216),"Fully received: update status","OK"))))))))))))))))))</f>
        <v/>
      </c>
      <c r="T216" s="52" t="str">
        <f>IF($O216=1,IFERROR(COUNTIFS($O$2:$O$301,1,$G$2:$G$301,"&lt;"&amp;$G216)+COUNTIFS($O$2:$O216,1,$G$2:$G216,$G216),""),"")</f>
        <v/>
      </c>
    </row>
    <row r="217">
      <c r="A217" s="46" t="n"/>
      <c r="B217" s="46" t="n"/>
      <c r="C217" s="46" t="n"/>
      <c r="D217" s="48" t="n"/>
      <c r="E217" s="47" t="n"/>
      <c r="F217" s="54" t="n"/>
      <c r="G217" s="54" t="n"/>
      <c r="H217" s="46" t="n"/>
      <c r="I217" s="46" t="n"/>
      <c r="J217" s="46" t="n"/>
      <c r="K217" s="49" t="str">
        <f>IF($A217="","",IFERROR(INDEX(Suppliers!$B$2:$B$51,MATCH($B217,Suppliers!$A$2:$A$51,0))&amp;"","(not found)"))</f>
        <v/>
      </c>
      <c r="L217" s="49" t="str">
        <f>IF($A217="","",IFERROR(INDEX(Products!$B$2:$B$101,MATCH($C217,Products!$A$2:$A$101,0))&amp;"","(not found)"))</f>
        <v/>
      </c>
      <c r="M217" s="50" t="str">
        <f>IF($A217="","",SUMIFS(Inventory_Ledger!$E$2:$E$2001,Inventory_Ledger!$H$2:$H$2001,$A217,Inventory_Ledger!$C$2:$C$2001,"Receipt",Inventory_Ledger!$D$2:$D$2001,$C217))</f>
        <v/>
      </c>
      <c r="N217" s="50" t="str">
        <f>IF($A217="","",IF(IFERROR(INDEX(Config!$D$15:$D$34,MATCH($H217,Config!$C$15:$C$34,0)),"No")="Yes",MAX(0,IF(ISNUMBER($D217),$D217,0)-$M217),0))</f>
        <v/>
      </c>
      <c r="O217" s="52" t="str">
        <f>IF($A217="","",IF($N217&gt;0,1,0))</f>
        <v/>
      </c>
      <c r="P217" s="52" t="str">
        <f>IF($A217="","",IF(AND($O217=1,ISNUMBER($G217)),IF($G217&lt;Config!$B$4,1,0),0))</f>
        <v/>
      </c>
      <c r="Q217" s="52" t="str">
        <f>IF($A217="","",IF($P217=1,Config!$B$4-$G217,0))</f>
        <v/>
      </c>
      <c r="R217" s="53" t="str">
        <f>IF($A217="","",IF(AND(ISNUMBER($D217),ISNUMBER($E217)),$D217*$E217,""))</f>
        <v/>
      </c>
      <c r="S217" s="49" t="str">
        <f>IF(COUNTA($A217:$J217)=0,"",IF($A217="","Missing: PO ID",IF(COUNTIF($A$2:$A$301,$A217)&gt;1,"Duplicate PO ID",IF($B217="","Missing: supplier",IF($C217="","Missing: SKU",IF(NOT(ISNUMBER($D217)),"Missing: qty",IF(NOT(ISNUMBER($F217)),"Missing: order date",IF(NOT(ISNUMBER($G217)),"Missing: expected date",IF($H217="","Missing: status",IF($I217="","Missing: source link",IF(COUNTIF(Suppliers!$A$2:$A$51,$B217)=0,"Unknown supplier",IF(COUNTIF(Products!$A$2:$A$101,$C217)=0,"Unknown SKU",IF(COUNTIF(Config!$C$15:$C$34,$H217)=0,"Unsupported status",IF($D217&lt;=0,"Qty must be above 0",IF($G217&lt;$F217,"Expected date before order date",IF($M217&gt;$D217,"Received more than ordered",IF(AND($H217="Received",$M217&lt;$D217),"Status Received but not fully received",IF(AND(IFERROR(INDEX(Config!$D$15:$D$34,MATCH($H217,Config!$C$15:$C$34,0)),"No")="Yes",$M217&gt;=$D217),"Fully received: update status","OK"))))))))))))))))))</f>
        <v/>
      </c>
      <c r="T217" s="52" t="str">
        <f>IF($O217=1,IFERROR(COUNTIFS($O$2:$O$301,1,$G$2:$G$301,"&lt;"&amp;$G217)+COUNTIFS($O$2:$O217,1,$G$2:$G217,$G217),""),"")</f>
        <v/>
      </c>
    </row>
    <row r="218">
      <c r="A218" s="46" t="n"/>
      <c r="B218" s="46" t="n"/>
      <c r="C218" s="46" t="n"/>
      <c r="D218" s="48" t="n"/>
      <c r="E218" s="47" t="n"/>
      <c r="F218" s="54" t="n"/>
      <c r="G218" s="54" t="n"/>
      <c r="H218" s="46" t="n"/>
      <c r="I218" s="46" t="n"/>
      <c r="J218" s="46" t="n"/>
      <c r="K218" s="49" t="str">
        <f>IF($A218="","",IFERROR(INDEX(Suppliers!$B$2:$B$51,MATCH($B218,Suppliers!$A$2:$A$51,0))&amp;"","(not found)"))</f>
        <v/>
      </c>
      <c r="L218" s="49" t="str">
        <f>IF($A218="","",IFERROR(INDEX(Products!$B$2:$B$101,MATCH($C218,Products!$A$2:$A$101,0))&amp;"","(not found)"))</f>
        <v/>
      </c>
      <c r="M218" s="50" t="str">
        <f>IF($A218="","",SUMIFS(Inventory_Ledger!$E$2:$E$2001,Inventory_Ledger!$H$2:$H$2001,$A218,Inventory_Ledger!$C$2:$C$2001,"Receipt",Inventory_Ledger!$D$2:$D$2001,$C218))</f>
        <v/>
      </c>
      <c r="N218" s="50" t="str">
        <f>IF($A218="","",IF(IFERROR(INDEX(Config!$D$15:$D$34,MATCH($H218,Config!$C$15:$C$34,0)),"No")="Yes",MAX(0,IF(ISNUMBER($D218),$D218,0)-$M218),0))</f>
        <v/>
      </c>
      <c r="O218" s="52" t="str">
        <f>IF($A218="","",IF($N218&gt;0,1,0))</f>
        <v/>
      </c>
      <c r="P218" s="52" t="str">
        <f>IF($A218="","",IF(AND($O218=1,ISNUMBER($G218)),IF($G218&lt;Config!$B$4,1,0),0))</f>
        <v/>
      </c>
      <c r="Q218" s="52" t="str">
        <f>IF($A218="","",IF($P218=1,Config!$B$4-$G218,0))</f>
        <v/>
      </c>
      <c r="R218" s="53" t="str">
        <f>IF($A218="","",IF(AND(ISNUMBER($D218),ISNUMBER($E218)),$D218*$E218,""))</f>
        <v/>
      </c>
      <c r="S218" s="49" t="str">
        <f>IF(COUNTA($A218:$J218)=0,"",IF($A218="","Missing: PO ID",IF(COUNTIF($A$2:$A$301,$A218)&gt;1,"Duplicate PO ID",IF($B218="","Missing: supplier",IF($C218="","Missing: SKU",IF(NOT(ISNUMBER($D218)),"Missing: qty",IF(NOT(ISNUMBER($F218)),"Missing: order date",IF(NOT(ISNUMBER($G218)),"Missing: expected date",IF($H218="","Missing: status",IF($I218="","Missing: source link",IF(COUNTIF(Suppliers!$A$2:$A$51,$B218)=0,"Unknown supplier",IF(COUNTIF(Products!$A$2:$A$101,$C218)=0,"Unknown SKU",IF(COUNTIF(Config!$C$15:$C$34,$H218)=0,"Unsupported status",IF($D218&lt;=0,"Qty must be above 0",IF($G218&lt;$F218,"Expected date before order date",IF($M218&gt;$D218,"Received more than ordered",IF(AND($H218="Received",$M218&lt;$D218),"Status Received but not fully received",IF(AND(IFERROR(INDEX(Config!$D$15:$D$34,MATCH($H218,Config!$C$15:$C$34,0)),"No")="Yes",$M218&gt;=$D218),"Fully received: update status","OK"))))))))))))))))))</f>
        <v/>
      </c>
      <c r="T218" s="52" t="str">
        <f>IF($O218=1,IFERROR(COUNTIFS($O$2:$O$301,1,$G$2:$G$301,"&lt;"&amp;$G218)+COUNTIFS($O$2:$O218,1,$G$2:$G218,$G218),""),"")</f>
        <v/>
      </c>
    </row>
    <row r="219">
      <c r="A219" s="46" t="n"/>
      <c r="B219" s="46" t="n"/>
      <c r="C219" s="46" t="n"/>
      <c r="D219" s="48" t="n"/>
      <c r="E219" s="47" t="n"/>
      <c r="F219" s="54" t="n"/>
      <c r="G219" s="54" t="n"/>
      <c r="H219" s="46" t="n"/>
      <c r="I219" s="46" t="n"/>
      <c r="J219" s="46" t="n"/>
      <c r="K219" s="49" t="str">
        <f>IF($A219="","",IFERROR(INDEX(Suppliers!$B$2:$B$51,MATCH($B219,Suppliers!$A$2:$A$51,0))&amp;"","(not found)"))</f>
        <v/>
      </c>
      <c r="L219" s="49" t="str">
        <f>IF($A219="","",IFERROR(INDEX(Products!$B$2:$B$101,MATCH($C219,Products!$A$2:$A$101,0))&amp;"","(not found)"))</f>
        <v/>
      </c>
      <c r="M219" s="50" t="str">
        <f>IF($A219="","",SUMIFS(Inventory_Ledger!$E$2:$E$2001,Inventory_Ledger!$H$2:$H$2001,$A219,Inventory_Ledger!$C$2:$C$2001,"Receipt",Inventory_Ledger!$D$2:$D$2001,$C219))</f>
        <v/>
      </c>
      <c r="N219" s="50" t="str">
        <f>IF($A219="","",IF(IFERROR(INDEX(Config!$D$15:$D$34,MATCH($H219,Config!$C$15:$C$34,0)),"No")="Yes",MAX(0,IF(ISNUMBER($D219),$D219,0)-$M219),0))</f>
        <v/>
      </c>
      <c r="O219" s="52" t="str">
        <f>IF($A219="","",IF($N219&gt;0,1,0))</f>
        <v/>
      </c>
      <c r="P219" s="52" t="str">
        <f>IF($A219="","",IF(AND($O219=1,ISNUMBER($G219)),IF($G219&lt;Config!$B$4,1,0),0))</f>
        <v/>
      </c>
      <c r="Q219" s="52" t="str">
        <f>IF($A219="","",IF($P219=1,Config!$B$4-$G219,0))</f>
        <v/>
      </c>
      <c r="R219" s="53" t="str">
        <f>IF($A219="","",IF(AND(ISNUMBER($D219),ISNUMBER($E219)),$D219*$E219,""))</f>
        <v/>
      </c>
      <c r="S219" s="49" t="str">
        <f>IF(COUNTA($A219:$J219)=0,"",IF($A219="","Missing: PO ID",IF(COUNTIF($A$2:$A$301,$A219)&gt;1,"Duplicate PO ID",IF($B219="","Missing: supplier",IF($C219="","Missing: SKU",IF(NOT(ISNUMBER($D219)),"Missing: qty",IF(NOT(ISNUMBER($F219)),"Missing: order date",IF(NOT(ISNUMBER($G219)),"Missing: expected date",IF($H219="","Missing: status",IF($I219="","Missing: source link",IF(COUNTIF(Suppliers!$A$2:$A$51,$B219)=0,"Unknown supplier",IF(COUNTIF(Products!$A$2:$A$101,$C219)=0,"Unknown SKU",IF(COUNTIF(Config!$C$15:$C$34,$H219)=0,"Unsupported status",IF($D219&lt;=0,"Qty must be above 0",IF($G219&lt;$F219,"Expected date before order date",IF($M219&gt;$D219,"Received more than ordered",IF(AND($H219="Received",$M219&lt;$D219),"Status Received but not fully received",IF(AND(IFERROR(INDEX(Config!$D$15:$D$34,MATCH($H219,Config!$C$15:$C$34,0)),"No")="Yes",$M219&gt;=$D219),"Fully received: update status","OK"))))))))))))))))))</f>
        <v/>
      </c>
      <c r="T219" s="52" t="str">
        <f>IF($O219=1,IFERROR(COUNTIFS($O$2:$O$301,1,$G$2:$G$301,"&lt;"&amp;$G219)+COUNTIFS($O$2:$O219,1,$G$2:$G219,$G219),""),"")</f>
        <v/>
      </c>
    </row>
    <row r="220">
      <c r="A220" s="46" t="n"/>
      <c r="B220" s="46" t="n"/>
      <c r="C220" s="46" t="n"/>
      <c r="D220" s="48" t="n"/>
      <c r="E220" s="47" t="n"/>
      <c r="F220" s="54" t="n"/>
      <c r="G220" s="54" t="n"/>
      <c r="H220" s="46" t="n"/>
      <c r="I220" s="46" t="n"/>
      <c r="J220" s="46" t="n"/>
      <c r="K220" s="49" t="str">
        <f>IF($A220="","",IFERROR(INDEX(Suppliers!$B$2:$B$51,MATCH($B220,Suppliers!$A$2:$A$51,0))&amp;"","(not found)"))</f>
        <v/>
      </c>
      <c r="L220" s="49" t="str">
        <f>IF($A220="","",IFERROR(INDEX(Products!$B$2:$B$101,MATCH($C220,Products!$A$2:$A$101,0))&amp;"","(not found)"))</f>
        <v/>
      </c>
      <c r="M220" s="50" t="str">
        <f>IF($A220="","",SUMIFS(Inventory_Ledger!$E$2:$E$2001,Inventory_Ledger!$H$2:$H$2001,$A220,Inventory_Ledger!$C$2:$C$2001,"Receipt",Inventory_Ledger!$D$2:$D$2001,$C220))</f>
        <v/>
      </c>
      <c r="N220" s="50" t="str">
        <f>IF($A220="","",IF(IFERROR(INDEX(Config!$D$15:$D$34,MATCH($H220,Config!$C$15:$C$34,0)),"No")="Yes",MAX(0,IF(ISNUMBER($D220),$D220,0)-$M220),0))</f>
        <v/>
      </c>
      <c r="O220" s="52" t="str">
        <f>IF($A220="","",IF($N220&gt;0,1,0))</f>
        <v/>
      </c>
      <c r="P220" s="52" t="str">
        <f>IF($A220="","",IF(AND($O220=1,ISNUMBER($G220)),IF($G220&lt;Config!$B$4,1,0),0))</f>
        <v/>
      </c>
      <c r="Q220" s="52" t="str">
        <f>IF($A220="","",IF($P220=1,Config!$B$4-$G220,0))</f>
        <v/>
      </c>
      <c r="R220" s="53" t="str">
        <f>IF($A220="","",IF(AND(ISNUMBER($D220),ISNUMBER($E220)),$D220*$E220,""))</f>
        <v/>
      </c>
      <c r="S220" s="49" t="str">
        <f>IF(COUNTA($A220:$J220)=0,"",IF($A220="","Missing: PO ID",IF(COUNTIF($A$2:$A$301,$A220)&gt;1,"Duplicate PO ID",IF($B220="","Missing: supplier",IF($C220="","Missing: SKU",IF(NOT(ISNUMBER($D220)),"Missing: qty",IF(NOT(ISNUMBER($F220)),"Missing: order date",IF(NOT(ISNUMBER($G220)),"Missing: expected date",IF($H220="","Missing: status",IF($I220="","Missing: source link",IF(COUNTIF(Suppliers!$A$2:$A$51,$B220)=0,"Unknown supplier",IF(COUNTIF(Products!$A$2:$A$101,$C220)=0,"Unknown SKU",IF(COUNTIF(Config!$C$15:$C$34,$H220)=0,"Unsupported status",IF($D220&lt;=0,"Qty must be above 0",IF($G220&lt;$F220,"Expected date before order date",IF($M220&gt;$D220,"Received more than ordered",IF(AND($H220="Received",$M220&lt;$D220),"Status Received but not fully received",IF(AND(IFERROR(INDEX(Config!$D$15:$D$34,MATCH($H220,Config!$C$15:$C$34,0)),"No")="Yes",$M220&gt;=$D220),"Fully received: update status","OK"))))))))))))))))))</f>
        <v/>
      </c>
      <c r="T220" s="52" t="str">
        <f>IF($O220=1,IFERROR(COUNTIFS($O$2:$O$301,1,$G$2:$G$301,"&lt;"&amp;$G220)+COUNTIFS($O$2:$O220,1,$G$2:$G220,$G220),""),"")</f>
        <v/>
      </c>
    </row>
    <row r="221">
      <c r="A221" s="46" t="n"/>
      <c r="B221" s="46" t="n"/>
      <c r="C221" s="46" t="n"/>
      <c r="D221" s="48" t="n"/>
      <c r="E221" s="47" t="n"/>
      <c r="F221" s="54" t="n"/>
      <c r="G221" s="54" t="n"/>
      <c r="H221" s="46" t="n"/>
      <c r="I221" s="46" t="n"/>
      <c r="J221" s="46" t="n"/>
      <c r="K221" s="49" t="str">
        <f>IF($A221="","",IFERROR(INDEX(Suppliers!$B$2:$B$51,MATCH($B221,Suppliers!$A$2:$A$51,0))&amp;"","(not found)"))</f>
        <v/>
      </c>
      <c r="L221" s="49" t="str">
        <f>IF($A221="","",IFERROR(INDEX(Products!$B$2:$B$101,MATCH($C221,Products!$A$2:$A$101,0))&amp;"","(not found)"))</f>
        <v/>
      </c>
      <c r="M221" s="50" t="str">
        <f>IF($A221="","",SUMIFS(Inventory_Ledger!$E$2:$E$2001,Inventory_Ledger!$H$2:$H$2001,$A221,Inventory_Ledger!$C$2:$C$2001,"Receipt",Inventory_Ledger!$D$2:$D$2001,$C221))</f>
        <v/>
      </c>
      <c r="N221" s="50" t="str">
        <f>IF($A221="","",IF(IFERROR(INDEX(Config!$D$15:$D$34,MATCH($H221,Config!$C$15:$C$34,0)),"No")="Yes",MAX(0,IF(ISNUMBER($D221),$D221,0)-$M221),0))</f>
        <v/>
      </c>
      <c r="O221" s="52" t="str">
        <f>IF($A221="","",IF($N221&gt;0,1,0))</f>
        <v/>
      </c>
      <c r="P221" s="52" t="str">
        <f>IF($A221="","",IF(AND($O221=1,ISNUMBER($G221)),IF($G221&lt;Config!$B$4,1,0),0))</f>
        <v/>
      </c>
      <c r="Q221" s="52" t="str">
        <f>IF($A221="","",IF($P221=1,Config!$B$4-$G221,0))</f>
        <v/>
      </c>
      <c r="R221" s="53" t="str">
        <f>IF($A221="","",IF(AND(ISNUMBER($D221),ISNUMBER($E221)),$D221*$E221,""))</f>
        <v/>
      </c>
      <c r="S221" s="49" t="str">
        <f>IF(COUNTA($A221:$J221)=0,"",IF($A221="","Missing: PO ID",IF(COUNTIF($A$2:$A$301,$A221)&gt;1,"Duplicate PO ID",IF($B221="","Missing: supplier",IF($C221="","Missing: SKU",IF(NOT(ISNUMBER($D221)),"Missing: qty",IF(NOT(ISNUMBER($F221)),"Missing: order date",IF(NOT(ISNUMBER($G221)),"Missing: expected date",IF($H221="","Missing: status",IF($I221="","Missing: source link",IF(COUNTIF(Suppliers!$A$2:$A$51,$B221)=0,"Unknown supplier",IF(COUNTIF(Products!$A$2:$A$101,$C221)=0,"Unknown SKU",IF(COUNTIF(Config!$C$15:$C$34,$H221)=0,"Unsupported status",IF($D221&lt;=0,"Qty must be above 0",IF($G221&lt;$F221,"Expected date before order date",IF($M221&gt;$D221,"Received more than ordered",IF(AND($H221="Received",$M221&lt;$D221),"Status Received but not fully received",IF(AND(IFERROR(INDEX(Config!$D$15:$D$34,MATCH($H221,Config!$C$15:$C$34,0)),"No")="Yes",$M221&gt;=$D221),"Fully received: update status","OK"))))))))))))))))))</f>
        <v/>
      </c>
      <c r="T221" s="52" t="str">
        <f>IF($O221=1,IFERROR(COUNTIFS($O$2:$O$301,1,$G$2:$G$301,"&lt;"&amp;$G221)+COUNTIFS($O$2:$O221,1,$G$2:$G221,$G221),""),"")</f>
        <v/>
      </c>
    </row>
    <row r="222">
      <c r="A222" s="46" t="n"/>
      <c r="B222" s="46" t="n"/>
      <c r="C222" s="46" t="n"/>
      <c r="D222" s="48" t="n"/>
      <c r="E222" s="47" t="n"/>
      <c r="F222" s="54" t="n"/>
      <c r="G222" s="54" t="n"/>
      <c r="H222" s="46" t="n"/>
      <c r="I222" s="46" t="n"/>
      <c r="J222" s="46" t="n"/>
      <c r="K222" s="49" t="str">
        <f>IF($A222="","",IFERROR(INDEX(Suppliers!$B$2:$B$51,MATCH($B222,Suppliers!$A$2:$A$51,0))&amp;"","(not found)"))</f>
        <v/>
      </c>
      <c r="L222" s="49" t="str">
        <f>IF($A222="","",IFERROR(INDEX(Products!$B$2:$B$101,MATCH($C222,Products!$A$2:$A$101,0))&amp;"","(not found)"))</f>
        <v/>
      </c>
      <c r="M222" s="50" t="str">
        <f>IF($A222="","",SUMIFS(Inventory_Ledger!$E$2:$E$2001,Inventory_Ledger!$H$2:$H$2001,$A222,Inventory_Ledger!$C$2:$C$2001,"Receipt",Inventory_Ledger!$D$2:$D$2001,$C222))</f>
        <v/>
      </c>
      <c r="N222" s="50" t="str">
        <f>IF($A222="","",IF(IFERROR(INDEX(Config!$D$15:$D$34,MATCH($H222,Config!$C$15:$C$34,0)),"No")="Yes",MAX(0,IF(ISNUMBER($D222),$D222,0)-$M222),0))</f>
        <v/>
      </c>
      <c r="O222" s="52" t="str">
        <f>IF($A222="","",IF($N222&gt;0,1,0))</f>
        <v/>
      </c>
      <c r="P222" s="52" t="str">
        <f>IF($A222="","",IF(AND($O222=1,ISNUMBER($G222)),IF($G222&lt;Config!$B$4,1,0),0))</f>
        <v/>
      </c>
      <c r="Q222" s="52" t="str">
        <f>IF($A222="","",IF($P222=1,Config!$B$4-$G222,0))</f>
        <v/>
      </c>
      <c r="R222" s="53" t="str">
        <f>IF($A222="","",IF(AND(ISNUMBER($D222),ISNUMBER($E222)),$D222*$E222,""))</f>
        <v/>
      </c>
      <c r="S222" s="49" t="str">
        <f>IF(COUNTA($A222:$J222)=0,"",IF($A222="","Missing: PO ID",IF(COUNTIF($A$2:$A$301,$A222)&gt;1,"Duplicate PO ID",IF($B222="","Missing: supplier",IF($C222="","Missing: SKU",IF(NOT(ISNUMBER($D222)),"Missing: qty",IF(NOT(ISNUMBER($F222)),"Missing: order date",IF(NOT(ISNUMBER($G222)),"Missing: expected date",IF($H222="","Missing: status",IF($I222="","Missing: source link",IF(COUNTIF(Suppliers!$A$2:$A$51,$B222)=0,"Unknown supplier",IF(COUNTIF(Products!$A$2:$A$101,$C222)=0,"Unknown SKU",IF(COUNTIF(Config!$C$15:$C$34,$H222)=0,"Unsupported status",IF($D222&lt;=0,"Qty must be above 0",IF($G222&lt;$F222,"Expected date before order date",IF($M222&gt;$D222,"Received more than ordered",IF(AND($H222="Received",$M222&lt;$D222),"Status Received but not fully received",IF(AND(IFERROR(INDEX(Config!$D$15:$D$34,MATCH($H222,Config!$C$15:$C$34,0)),"No")="Yes",$M222&gt;=$D222),"Fully received: update status","OK"))))))))))))))))))</f>
        <v/>
      </c>
      <c r="T222" s="52" t="str">
        <f>IF($O222=1,IFERROR(COUNTIFS($O$2:$O$301,1,$G$2:$G$301,"&lt;"&amp;$G222)+COUNTIFS($O$2:$O222,1,$G$2:$G222,$G222),""),"")</f>
        <v/>
      </c>
    </row>
    <row r="223">
      <c r="A223" s="46" t="n"/>
      <c r="B223" s="46" t="n"/>
      <c r="C223" s="46" t="n"/>
      <c r="D223" s="48" t="n"/>
      <c r="E223" s="47" t="n"/>
      <c r="F223" s="54" t="n"/>
      <c r="G223" s="54" t="n"/>
      <c r="H223" s="46" t="n"/>
      <c r="I223" s="46" t="n"/>
      <c r="J223" s="46" t="n"/>
      <c r="K223" s="49" t="str">
        <f>IF($A223="","",IFERROR(INDEX(Suppliers!$B$2:$B$51,MATCH($B223,Suppliers!$A$2:$A$51,0))&amp;"","(not found)"))</f>
        <v/>
      </c>
      <c r="L223" s="49" t="str">
        <f>IF($A223="","",IFERROR(INDEX(Products!$B$2:$B$101,MATCH($C223,Products!$A$2:$A$101,0))&amp;"","(not found)"))</f>
        <v/>
      </c>
      <c r="M223" s="50" t="str">
        <f>IF($A223="","",SUMIFS(Inventory_Ledger!$E$2:$E$2001,Inventory_Ledger!$H$2:$H$2001,$A223,Inventory_Ledger!$C$2:$C$2001,"Receipt",Inventory_Ledger!$D$2:$D$2001,$C223))</f>
        <v/>
      </c>
      <c r="N223" s="50" t="str">
        <f>IF($A223="","",IF(IFERROR(INDEX(Config!$D$15:$D$34,MATCH($H223,Config!$C$15:$C$34,0)),"No")="Yes",MAX(0,IF(ISNUMBER($D223),$D223,0)-$M223),0))</f>
        <v/>
      </c>
      <c r="O223" s="52" t="str">
        <f>IF($A223="","",IF($N223&gt;0,1,0))</f>
        <v/>
      </c>
      <c r="P223" s="52" t="str">
        <f>IF($A223="","",IF(AND($O223=1,ISNUMBER($G223)),IF($G223&lt;Config!$B$4,1,0),0))</f>
        <v/>
      </c>
      <c r="Q223" s="52" t="str">
        <f>IF($A223="","",IF($P223=1,Config!$B$4-$G223,0))</f>
        <v/>
      </c>
      <c r="R223" s="53" t="str">
        <f>IF($A223="","",IF(AND(ISNUMBER($D223),ISNUMBER($E223)),$D223*$E223,""))</f>
        <v/>
      </c>
      <c r="S223" s="49" t="str">
        <f>IF(COUNTA($A223:$J223)=0,"",IF($A223="","Missing: PO ID",IF(COUNTIF($A$2:$A$301,$A223)&gt;1,"Duplicate PO ID",IF($B223="","Missing: supplier",IF($C223="","Missing: SKU",IF(NOT(ISNUMBER($D223)),"Missing: qty",IF(NOT(ISNUMBER($F223)),"Missing: order date",IF(NOT(ISNUMBER($G223)),"Missing: expected date",IF($H223="","Missing: status",IF($I223="","Missing: source link",IF(COUNTIF(Suppliers!$A$2:$A$51,$B223)=0,"Unknown supplier",IF(COUNTIF(Products!$A$2:$A$101,$C223)=0,"Unknown SKU",IF(COUNTIF(Config!$C$15:$C$34,$H223)=0,"Unsupported status",IF($D223&lt;=0,"Qty must be above 0",IF($G223&lt;$F223,"Expected date before order date",IF($M223&gt;$D223,"Received more than ordered",IF(AND($H223="Received",$M223&lt;$D223),"Status Received but not fully received",IF(AND(IFERROR(INDEX(Config!$D$15:$D$34,MATCH($H223,Config!$C$15:$C$34,0)),"No")="Yes",$M223&gt;=$D223),"Fully received: update status","OK"))))))))))))))))))</f>
        <v/>
      </c>
      <c r="T223" s="52" t="str">
        <f>IF($O223=1,IFERROR(COUNTIFS($O$2:$O$301,1,$G$2:$G$301,"&lt;"&amp;$G223)+COUNTIFS($O$2:$O223,1,$G$2:$G223,$G223),""),"")</f>
        <v/>
      </c>
    </row>
    <row r="224">
      <c r="A224" s="46" t="n"/>
      <c r="B224" s="46" t="n"/>
      <c r="C224" s="46" t="n"/>
      <c r="D224" s="48" t="n"/>
      <c r="E224" s="47" t="n"/>
      <c r="F224" s="54" t="n"/>
      <c r="G224" s="54" t="n"/>
      <c r="H224" s="46" t="n"/>
      <c r="I224" s="46" t="n"/>
      <c r="J224" s="46" t="n"/>
      <c r="K224" s="49" t="str">
        <f>IF($A224="","",IFERROR(INDEX(Suppliers!$B$2:$B$51,MATCH($B224,Suppliers!$A$2:$A$51,0))&amp;"","(not found)"))</f>
        <v/>
      </c>
      <c r="L224" s="49" t="str">
        <f>IF($A224="","",IFERROR(INDEX(Products!$B$2:$B$101,MATCH($C224,Products!$A$2:$A$101,0))&amp;"","(not found)"))</f>
        <v/>
      </c>
      <c r="M224" s="50" t="str">
        <f>IF($A224="","",SUMIFS(Inventory_Ledger!$E$2:$E$2001,Inventory_Ledger!$H$2:$H$2001,$A224,Inventory_Ledger!$C$2:$C$2001,"Receipt",Inventory_Ledger!$D$2:$D$2001,$C224))</f>
        <v/>
      </c>
      <c r="N224" s="50" t="str">
        <f>IF($A224="","",IF(IFERROR(INDEX(Config!$D$15:$D$34,MATCH($H224,Config!$C$15:$C$34,0)),"No")="Yes",MAX(0,IF(ISNUMBER($D224),$D224,0)-$M224),0))</f>
        <v/>
      </c>
      <c r="O224" s="52" t="str">
        <f>IF($A224="","",IF($N224&gt;0,1,0))</f>
        <v/>
      </c>
      <c r="P224" s="52" t="str">
        <f>IF($A224="","",IF(AND($O224=1,ISNUMBER($G224)),IF($G224&lt;Config!$B$4,1,0),0))</f>
        <v/>
      </c>
      <c r="Q224" s="52" t="str">
        <f>IF($A224="","",IF($P224=1,Config!$B$4-$G224,0))</f>
        <v/>
      </c>
      <c r="R224" s="53" t="str">
        <f>IF($A224="","",IF(AND(ISNUMBER($D224),ISNUMBER($E224)),$D224*$E224,""))</f>
        <v/>
      </c>
      <c r="S224" s="49" t="str">
        <f>IF(COUNTA($A224:$J224)=0,"",IF($A224="","Missing: PO ID",IF(COUNTIF($A$2:$A$301,$A224)&gt;1,"Duplicate PO ID",IF($B224="","Missing: supplier",IF($C224="","Missing: SKU",IF(NOT(ISNUMBER($D224)),"Missing: qty",IF(NOT(ISNUMBER($F224)),"Missing: order date",IF(NOT(ISNUMBER($G224)),"Missing: expected date",IF($H224="","Missing: status",IF($I224="","Missing: source link",IF(COUNTIF(Suppliers!$A$2:$A$51,$B224)=0,"Unknown supplier",IF(COUNTIF(Products!$A$2:$A$101,$C224)=0,"Unknown SKU",IF(COUNTIF(Config!$C$15:$C$34,$H224)=0,"Unsupported status",IF($D224&lt;=0,"Qty must be above 0",IF($G224&lt;$F224,"Expected date before order date",IF($M224&gt;$D224,"Received more than ordered",IF(AND($H224="Received",$M224&lt;$D224),"Status Received but not fully received",IF(AND(IFERROR(INDEX(Config!$D$15:$D$34,MATCH($H224,Config!$C$15:$C$34,0)),"No")="Yes",$M224&gt;=$D224),"Fully received: update status","OK"))))))))))))))))))</f>
        <v/>
      </c>
      <c r="T224" s="52" t="str">
        <f>IF($O224=1,IFERROR(COUNTIFS($O$2:$O$301,1,$G$2:$G$301,"&lt;"&amp;$G224)+COUNTIFS($O$2:$O224,1,$G$2:$G224,$G224),""),"")</f>
        <v/>
      </c>
    </row>
    <row r="225">
      <c r="A225" s="46" t="n"/>
      <c r="B225" s="46" t="n"/>
      <c r="C225" s="46" t="n"/>
      <c r="D225" s="48" t="n"/>
      <c r="E225" s="47" t="n"/>
      <c r="F225" s="54" t="n"/>
      <c r="G225" s="54" t="n"/>
      <c r="H225" s="46" t="n"/>
      <c r="I225" s="46" t="n"/>
      <c r="J225" s="46" t="n"/>
      <c r="K225" s="49" t="str">
        <f>IF($A225="","",IFERROR(INDEX(Suppliers!$B$2:$B$51,MATCH($B225,Suppliers!$A$2:$A$51,0))&amp;"","(not found)"))</f>
        <v/>
      </c>
      <c r="L225" s="49" t="str">
        <f>IF($A225="","",IFERROR(INDEX(Products!$B$2:$B$101,MATCH($C225,Products!$A$2:$A$101,0))&amp;"","(not found)"))</f>
        <v/>
      </c>
      <c r="M225" s="50" t="str">
        <f>IF($A225="","",SUMIFS(Inventory_Ledger!$E$2:$E$2001,Inventory_Ledger!$H$2:$H$2001,$A225,Inventory_Ledger!$C$2:$C$2001,"Receipt",Inventory_Ledger!$D$2:$D$2001,$C225))</f>
        <v/>
      </c>
      <c r="N225" s="50" t="str">
        <f>IF($A225="","",IF(IFERROR(INDEX(Config!$D$15:$D$34,MATCH($H225,Config!$C$15:$C$34,0)),"No")="Yes",MAX(0,IF(ISNUMBER($D225),$D225,0)-$M225),0))</f>
        <v/>
      </c>
      <c r="O225" s="52" t="str">
        <f>IF($A225="","",IF($N225&gt;0,1,0))</f>
        <v/>
      </c>
      <c r="P225" s="52" t="str">
        <f>IF($A225="","",IF(AND($O225=1,ISNUMBER($G225)),IF($G225&lt;Config!$B$4,1,0),0))</f>
        <v/>
      </c>
      <c r="Q225" s="52" t="str">
        <f>IF($A225="","",IF($P225=1,Config!$B$4-$G225,0))</f>
        <v/>
      </c>
      <c r="R225" s="53" t="str">
        <f>IF($A225="","",IF(AND(ISNUMBER($D225),ISNUMBER($E225)),$D225*$E225,""))</f>
        <v/>
      </c>
      <c r="S225" s="49" t="str">
        <f>IF(COUNTA($A225:$J225)=0,"",IF($A225="","Missing: PO ID",IF(COUNTIF($A$2:$A$301,$A225)&gt;1,"Duplicate PO ID",IF($B225="","Missing: supplier",IF($C225="","Missing: SKU",IF(NOT(ISNUMBER($D225)),"Missing: qty",IF(NOT(ISNUMBER($F225)),"Missing: order date",IF(NOT(ISNUMBER($G225)),"Missing: expected date",IF($H225="","Missing: status",IF($I225="","Missing: source link",IF(COUNTIF(Suppliers!$A$2:$A$51,$B225)=0,"Unknown supplier",IF(COUNTIF(Products!$A$2:$A$101,$C225)=0,"Unknown SKU",IF(COUNTIF(Config!$C$15:$C$34,$H225)=0,"Unsupported status",IF($D225&lt;=0,"Qty must be above 0",IF($G225&lt;$F225,"Expected date before order date",IF($M225&gt;$D225,"Received more than ordered",IF(AND($H225="Received",$M225&lt;$D225),"Status Received but not fully received",IF(AND(IFERROR(INDEX(Config!$D$15:$D$34,MATCH($H225,Config!$C$15:$C$34,0)),"No")="Yes",$M225&gt;=$D225),"Fully received: update status","OK"))))))))))))))))))</f>
        <v/>
      </c>
      <c r="T225" s="52" t="str">
        <f>IF($O225=1,IFERROR(COUNTIFS($O$2:$O$301,1,$G$2:$G$301,"&lt;"&amp;$G225)+COUNTIFS($O$2:$O225,1,$G$2:$G225,$G225),""),"")</f>
        <v/>
      </c>
    </row>
    <row r="226">
      <c r="A226" s="46" t="n"/>
      <c r="B226" s="46" t="n"/>
      <c r="C226" s="46" t="n"/>
      <c r="D226" s="48" t="n"/>
      <c r="E226" s="47" t="n"/>
      <c r="F226" s="54" t="n"/>
      <c r="G226" s="54" t="n"/>
      <c r="H226" s="46" t="n"/>
      <c r="I226" s="46" t="n"/>
      <c r="J226" s="46" t="n"/>
      <c r="K226" s="49" t="str">
        <f>IF($A226="","",IFERROR(INDEX(Suppliers!$B$2:$B$51,MATCH($B226,Suppliers!$A$2:$A$51,0))&amp;"","(not found)"))</f>
        <v/>
      </c>
      <c r="L226" s="49" t="str">
        <f>IF($A226="","",IFERROR(INDEX(Products!$B$2:$B$101,MATCH($C226,Products!$A$2:$A$101,0))&amp;"","(not found)"))</f>
        <v/>
      </c>
      <c r="M226" s="50" t="str">
        <f>IF($A226="","",SUMIFS(Inventory_Ledger!$E$2:$E$2001,Inventory_Ledger!$H$2:$H$2001,$A226,Inventory_Ledger!$C$2:$C$2001,"Receipt",Inventory_Ledger!$D$2:$D$2001,$C226))</f>
        <v/>
      </c>
      <c r="N226" s="50" t="str">
        <f>IF($A226="","",IF(IFERROR(INDEX(Config!$D$15:$D$34,MATCH($H226,Config!$C$15:$C$34,0)),"No")="Yes",MAX(0,IF(ISNUMBER($D226),$D226,0)-$M226),0))</f>
        <v/>
      </c>
      <c r="O226" s="52" t="str">
        <f>IF($A226="","",IF($N226&gt;0,1,0))</f>
        <v/>
      </c>
      <c r="P226" s="52" t="str">
        <f>IF($A226="","",IF(AND($O226=1,ISNUMBER($G226)),IF($G226&lt;Config!$B$4,1,0),0))</f>
        <v/>
      </c>
      <c r="Q226" s="52" t="str">
        <f>IF($A226="","",IF($P226=1,Config!$B$4-$G226,0))</f>
        <v/>
      </c>
      <c r="R226" s="53" t="str">
        <f>IF($A226="","",IF(AND(ISNUMBER($D226),ISNUMBER($E226)),$D226*$E226,""))</f>
        <v/>
      </c>
      <c r="S226" s="49" t="str">
        <f>IF(COUNTA($A226:$J226)=0,"",IF($A226="","Missing: PO ID",IF(COUNTIF($A$2:$A$301,$A226)&gt;1,"Duplicate PO ID",IF($B226="","Missing: supplier",IF($C226="","Missing: SKU",IF(NOT(ISNUMBER($D226)),"Missing: qty",IF(NOT(ISNUMBER($F226)),"Missing: order date",IF(NOT(ISNUMBER($G226)),"Missing: expected date",IF($H226="","Missing: status",IF($I226="","Missing: source link",IF(COUNTIF(Suppliers!$A$2:$A$51,$B226)=0,"Unknown supplier",IF(COUNTIF(Products!$A$2:$A$101,$C226)=0,"Unknown SKU",IF(COUNTIF(Config!$C$15:$C$34,$H226)=0,"Unsupported status",IF($D226&lt;=0,"Qty must be above 0",IF($G226&lt;$F226,"Expected date before order date",IF($M226&gt;$D226,"Received more than ordered",IF(AND($H226="Received",$M226&lt;$D226),"Status Received but not fully received",IF(AND(IFERROR(INDEX(Config!$D$15:$D$34,MATCH($H226,Config!$C$15:$C$34,0)),"No")="Yes",$M226&gt;=$D226),"Fully received: update status","OK"))))))))))))))))))</f>
        <v/>
      </c>
      <c r="T226" s="52" t="str">
        <f>IF($O226=1,IFERROR(COUNTIFS($O$2:$O$301,1,$G$2:$G$301,"&lt;"&amp;$G226)+COUNTIFS($O$2:$O226,1,$G$2:$G226,$G226),""),"")</f>
        <v/>
      </c>
    </row>
    <row r="227">
      <c r="A227" s="46" t="n"/>
      <c r="B227" s="46" t="n"/>
      <c r="C227" s="46" t="n"/>
      <c r="D227" s="48" t="n"/>
      <c r="E227" s="47" t="n"/>
      <c r="F227" s="54" t="n"/>
      <c r="G227" s="54" t="n"/>
      <c r="H227" s="46" t="n"/>
      <c r="I227" s="46" t="n"/>
      <c r="J227" s="46" t="n"/>
      <c r="K227" s="49" t="str">
        <f>IF($A227="","",IFERROR(INDEX(Suppliers!$B$2:$B$51,MATCH($B227,Suppliers!$A$2:$A$51,0))&amp;"","(not found)"))</f>
        <v/>
      </c>
      <c r="L227" s="49" t="str">
        <f>IF($A227="","",IFERROR(INDEX(Products!$B$2:$B$101,MATCH($C227,Products!$A$2:$A$101,0))&amp;"","(not found)"))</f>
        <v/>
      </c>
      <c r="M227" s="50" t="str">
        <f>IF($A227="","",SUMIFS(Inventory_Ledger!$E$2:$E$2001,Inventory_Ledger!$H$2:$H$2001,$A227,Inventory_Ledger!$C$2:$C$2001,"Receipt",Inventory_Ledger!$D$2:$D$2001,$C227))</f>
        <v/>
      </c>
      <c r="N227" s="50" t="str">
        <f>IF($A227="","",IF(IFERROR(INDEX(Config!$D$15:$D$34,MATCH($H227,Config!$C$15:$C$34,0)),"No")="Yes",MAX(0,IF(ISNUMBER($D227),$D227,0)-$M227),0))</f>
        <v/>
      </c>
      <c r="O227" s="52" t="str">
        <f>IF($A227="","",IF($N227&gt;0,1,0))</f>
        <v/>
      </c>
      <c r="P227" s="52" t="str">
        <f>IF($A227="","",IF(AND($O227=1,ISNUMBER($G227)),IF($G227&lt;Config!$B$4,1,0),0))</f>
        <v/>
      </c>
      <c r="Q227" s="52" t="str">
        <f>IF($A227="","",IF($P227=1,Config!$B$4-$G227,0))</f>
        <v/>
      </c>
      <c r="R227" s="53" t="str">
        <f>IF($A227="","",IF(AND(ISNUMBER($D227),ISNUMBER($E227)),$D227*$E227,""))</f>
        <v/>
      </c>
      <c r="S227" s="49" t="str">
        <f>IF(COUNTA($A227:$J227)=0,"",IF($A227="","Missing: PO ID",IF(COUNTIF($A$2:$A$301,$A227)&gt;1,"Duplicate PO ID",IF($B227="","Missing: supplier",IF($C227="","Missing: SKU",IF(NOT(ISNUMBER($D227)),"Missing: qty",IF(NOT(ISNUMBER($F227)),"Missing: order date",IF(NOT(ISNUMBER($G227)),"Missing: expected date",IF($H227="","Missing: status",IF($I227="","Missing: source link",IF(COUNTIF(Suppliers!$A$2:$A$51,$B227)=0,"Unknown supplier",IF(COUNTIF(Products!$A$2:$A$101,$C227)=0,"Unknown SKU",IF(COUNTIF(Config!$C$15:$C$34,$H227)=0,"Unsupported status",IF($D227&lt;=0,"Qty must be above 0",IF($G227&lt;$F227,"Expected date before order date",IF($M227&gt;$D227,"Received more than ordered",IF(AND($H227="Received",$M227&lt;$D227),"Status Received but not fully received",IF(AND(IFERROR(INDEX(Config!$D$15:$D$34,MATCH($H227,Config!$C$15:$C$34,0)),"No")="Yes",$M227&gt;=$D227),"Fully received: update status","OK"))))))))))))))))))</f>
        <v/>
      </c>
      <c r="T227" s="52" t="str">
        <f>IF($O227=1,IFERROR(COUNTIFS($O$2:$O$301,1,$G$2:$G$301,"&lt;"&amp;$G227)+COUNTIFS($O$2:$O227,1,$G$2:$G227,$G227),""),"")</f>
        <v/>
      </c>
    </row>
    <row r="228">
      <c r="A228" s="46" t="n"/>
      <c r="B228" s="46" t="n"/>
      <c r="C228" s="46" t="n"/>
      <c r="D228" s="48" t="n"/>
      <c r="E228" s="47" t="n"/>
      <c r="F228" s="54" t="n"/>
      <c r="G228" s="54" t="n"/>
      <c r="H228" s="46" t="n"/>
      <c r="I228" s="46" t="n"/>
      <c r="J228" s="46" t="n"/>
      <c r="K228" s="49" t="str">
        <f>IF($A228="","",IFERROR(INDEX(Suppliers!$B$2:$B$51,MATCH($B228,Suppliers!$A$2:$A$51,0))&amp;"","(not found)"))</f>
        <v/>
      </c>
      <c r="L228" s="49" t="str">
        <f>IF($A228="","",IFERROR(INDEX(Products!$B$2:$B$101,MATCH($C228,Products!$A$2:$A$101,0))&amp;"","(not found)"))</f>
        <v/>
      </c>
      <c r="M228" s="50" t="str">
        <f>IF($A228="","",SUMIFS(Inventory_Ledger!$E$2:$E$2001,Inventory_Ledger!$H$2:$H$2001,$A228,Inventory_Ledger!$C$2:$C$2001,"Receipt",Inventory_Ledger!$D$2:$D$2001,$C228))</f>
        <v/>
      </c>
      <c r="N228" s="50" t="str">
        <f>IF($A228="","",IF(IFERROR(INDEX(Config!$D$15:$D$34,MATCH($H228,Config!$C$15:$C$34,0)),"No")="Yes",MAX(0,IF(ISNUMBER($D228),$D228,0)-$M228),0))</f>
        <v/>
      </c>
      <c r="O228" s="52" t="str">
        <f>IF($A228="","",IF($N228&gt;0,1,0))</f>
        <v/>
      </c>
      <c r="P228" s="52" t="str">
        <f>IF($A228="","",IF(AND($O228=1,ISNUMBER($G228)),IF($G228&lt;Config!$B$4,1,0),0))</f>
        <v/>
      </c>
      <c r="Q228" s="52" t="str">
        <f>IF($A228="","",IF($P228=1,Config!$B$4-$G228,0))</f>
        <v/>
      </c>
      <c r="R228" s="53" t="str">
        <f>IF($A228="","",IF(AND(ISNUMBER($D228),ISNUMBER($E228)),$D228*$E228,""))</f>
        <v/>
      </c>
      <c r="S228" s="49" t="str">
        <f>IF(COUNTA($A228:$J228)=0,"",IF($A228="","Missing: PO ID",IF(COUNTIF($A$2:$A$301,$A228)&gt;1,"Duplicate PO ID",IF($B228="","Missing: supplier",IF($C228="","Missing: SKU",IF(NOT(ISNUMBER($D228)),"Missing: qty",IF(NOT(ISNUMBER($F228)),"Missing: order date",IF(NOT(ISNUMBER($G228)),"Missing: expected date",IF($H228="","Missing: status",IF($I228="","Missing: source link",IF(COUNTIF(Suppliers!$A$2:$A$51,$B228)=0,"Unknown supplier",IF(COUNTIF(Products!$A$2:$A$101,$C228)=0,"Unknown SKU",IF(COUNTIF(Config!$C$15:$C$34,$H228)=0,"Unsupported status",IF($D228&lt;=0,"Qty must be above 0",IF($G228&lt;$F228,"Expected date before order date",IF($M228&gt;$D228,"Received more than ordered",IF(AND($H228="Received",$M228&lt;$D228),"Status Received but not fully received",IF(AND(IFERROR(INDEX(Config!$D$15:$D$34,MATCH($H228,Config!$C$15:$C$34,0)),"No")="Yes",$M228&gt;=$D228),"Fully received: update status","OK"))))))))))))))))))</f>
        <v/>
      </c>
      <c r="T228" s="52" t="str">
        <f>IF($O228=1,IFERROR(COUNTIFS($O$2:$O$301,1,$G$2:$G$301,"&lt;"&amp;$G228)+COUNTIFS($O$2:$O228,1,$G$2:$G228,$G228),""),"")</f>
        <v/>
      </c>
    </row>
    <row r="229">
      <c r="A229" s="46" t="n"/>
      <c r="B229" s="46" t="n"/>
      <c r="C229" s="46" t="n"/>
      <c r="D229" s="48" t="n"/>
      <c r="E229" s="47" t="n"/>
      <c r="F229" s="54" t="n"/>
      <c r="G229" s="54" t="n"/>
      <c r="H229" s="46" t="n"/>
      <c r="I229" s="46" t="n"/>
      <c r="J229" s="46" t="n"/>
      <c r="K229" s="49" t="str">
        <f>IF($A229="","",IFERROR(INDEX(Suppliers!$B$2:$B$51,MATCH($B229,Suppliers!$A$2:$A$51,0))&amp;"","(not found)"))</f>
        <v/>
      </c>
      <c r="L229" s="49" t="str">
        <f>IF($A229="","",IFERROR(INDEX(Products!$B$2:$B$101,MATCH($C229,Products!$A$2:$A$101,0))&amp;"","(not found)"))</f>
        <v/>
      </c>
      <c r="M229" s="50" t="str">
        <f>IF($A229="","",SUMIFS(Inventory_Ledger!$E$2:$E$2001,Inventory_Ledger!$H$2:$H$2001,$A229,Inventory_Ledger!$C$2:$C$2001,"Receipt",Inventory_Ledger!$D$2:$D$2001,$C229))</f>
        <v/>
      </c>
      <c r="N229" s="50" t="str">
        <f>IF($A229="","",IF(IFERROR(INDEX(Config!$D$15:$D$34,MATCH($H229,Config!$C$15:$C$34,0)),"No")="Yes",MAX(0,IF(ISNUMBER($D229),$D229,0)-$M229),0))</f>
        <v/>
      </c>
      <c r="O229" s="52" t="str">
        <f>IF($A229="","",IF($N229&gt;0,1,0))</f>
        <v/>
      </c>
      <c r="P229" s="52" t="str">
        <f>IF($A229="","",IF(AND($O229=1,ISNUMBER($G229)),IF($G229&lt;Config!$B$4,1,0),0))</f>
        <v/>
      </c>
      <c r="Q229" s="52" t="str">
        <f>IF($A229="","",IF($P229=1,Config!$B$4-$G229,0))</f>
        <v/>
      </c>
      <c r="R229" s="53" t="str">
        <f>IF($A229="","",IF(AND(ISNUMBER($D229),ISNUMBER($E229)),$D229*$E229,""))</f>
        <v/>
      </c>
      <c r="S229" s="49" t="str">
        <f>IF(COUNTA($A229:$J229)=0,"",IF($A229="","Missing: PO ID",IF(COUNTIF($A$2:$A$301,$A229)&gt;1,"Duplicate PO ID",IF($B229="","Missing: supplier",IF($C229="","Missing: SKU",IF(NOT(ISNUMBER($D229)),"Missing: qty",IF(NOT(ISNUMBER($F229)),"Missing: order date",IF(NOT(ISNUMBER($G229)),"Missing: expected date",IF($H229="","Missing: status",IF($I229="","Missing: source link",IF(COUNTIF(Suppliers!$A$2:$A$51,$B229)=0,"Unknown supplier",IF(COUNTIF(Products!$A$2:$A$101,$C229)=0,"Unknown SKU",IF(COUNTIF(Config!$C$15:$C$34,$H229)=0,"Unsupported status",IF($D229&lt;=0,"Qty must be above 0",IF($G229&lt;$F229,"Expected date before order date",IF($M229&gt;$D229,"Received more than ordered",IF(AND($H229="Received",$M229&lt;$D229),"Status Received but not fully received",IF(AND(IFERROR(INDEX(Config!$D$15:$D$34,MATCH($H229,Config!$C$15:$C$34,0)),"No")="Yes",$M229&gt;=$D229),"Fully received: update status","OK"))))))))))))))))))</f>
        <v/>
      </c>
      <c r="T229" s="52" t="str">
        <f>IF($O229=1,IFERROR(COUNTIFS($O$2:$O$301,1,$G$2:$G$301,"&lt;"&amp;$G229)+COUNTIFS($O$2:$O229,1,$G$2:$G229,$G229),""),"")</f>
        <v/>
      </c>
    </row>
    <row r="230">
      <c r="A230" s="46" t="n"/>
      <c r="B230" s="46" t="n"/>
      <c r="C230" s="46" t="n"/>
      <c r="D230" s="48" t="n"/>
      <c r="E230" s="47" t="n"/>
      <c r="F230" s="54" t="n"/>
      <c r="G230" s="54" t="n"/>
      <c r="H230" s="46" t="n"/>
      <c r="I230" s="46" t="n"/>
      <c r="J230" s="46" t="n"/>
      <c r="K230" s="49" t="str">
        <f>IF($A230="","",IFERROR(INDEX(Suppliers!$B$2:$B$51,MATCH($B230,Suppliers!$A$2:$A$51,0))&amp;"","(not found)"))</f>
        <v/>
      </c>
      <c r="L230" s="49" t="str">
        <f>IF($A230="","",IFERROR(INDEX(Products!$B$2:$B$101,MATCH($C230,Products!$A$2:$A$101,0))&amp;"","(not found)"))</f>
        <v/>
      </c>
      <c r="M230" s="50" t="str">
        <f>IF($A230="","",SUMIFS(Inventory_Ledger!$E$2:$E$2001,Inventory_Ledger!$H$2:$H$2001,$A230,Inventory_Ledger!$C$2:$C$2001,"Receipt",Inventory_Ledger!$D$2:$D$2001,$C230))</f>
        <v/>
      </c>
      <c r="N230" s="50" t="str">
        <f>IF($A230="","",IF(IFERROR(INDEX(Config!$D$15:$D$34,MATCH($H230,Config!$C$15:$C$34,0)),"No")="Yes",MAX(0,IF(ISNUMBER($D230),$D230,0)-$M230),0))</f>
        <v/>
      </c>
      <c r="O230" s="52" t="str">
        <f>IF($A230="","",IF($N230&gt;0,1,0))</f>
        <v/>
      </c>
      <c r="P230" s="52" t="str">
        <f>IF($A230="","",IF(AND($O230=1,ISNUMBER($G230)),IF($G230&lt;Config!$B$4,1,0),0))</f>
        <v/>
      </c>
      <c r="Q230" s="52" t="str">
        <f>IF($A230="","",IF($P230=1,Config!$B$4-$G230,0))</f>
        <v/>
      </c>
      <c r="R230" s="53" t="str">
        <f>IF($A230="","",IF(AND(ISNUMBER($D230),ISNUMBER($E230)),$D230*$E230,""))</f>
        <v/>
      </c>
      <c r="S230" s="49" t="str">
        <f>IF(COUNTA($A230:$J230)=0,"",IF($A230="","Missing: PO ID",IF(COUNTIF($A$2:$A$301,$A230)&gt;1,"Duplicate PO ID",IF($B230="","Missing: supplier",IF($C230="","Missing: SKU",IF(NOT(ISNUMBER($D230)),"Missing: qty",IF(NOT(ISNUMBER($F230)),"Missing: order date",IF(NOT(ISNUMBER($G230)),"Missing: expected date",IF($H230="","Missing: status",IF($I230="","Missing: source link",IF(COUNTIF(Suppliers!$A$2:$A$51,$B230)=0,"Unknown supplier",IF(COUNTIF(Products!$A$2:$A$101,$C230)=0,"Unknown SKU",IF(COUNTIF(Config!$C$15:$C$34,$H230)=0,"Unsupported status",IF($D230&lt;=0,"Qty must be above 0",IF($G230&lt;$F230,"Expected date before order date",IF($M230&gt;$D230,"Received more than ordered",IF(AND($H230="Received",$M230&lt;$D230),"Status Received but not fully received",IF(AND(IFERROR(INDEX(Config!$D$15:$D$34,MATCH($H230,Config!$C$15:$C$34,0)),"No")="Yes",$M230&gt;=$D230),"Fully received: update status","OK"))))))))))))))))))</f>
        <v/>
      </c>
      <c r="T230" s="52" t="str">
        <f>IF($O230=1,IFERROR(COUNTIFS($O$2:$O$301,1,$G$2:$G$301,"&lt;"&amp;$G230)+COUNTIFS($O$2:$O230,1,$G$2:$G230,$G230),""),"")</f>
        <v/>
      </c>
    </row>
    <row r="231">
      <c r="A231" s="46" t="n"/>
      <c r="B231" s="46" t="n"/>
      <c r="C231" s="46" t="n"/>
      <c r="D231" s="48" t="n"/>
      <c r="E231" s="47" t="n"/>
      <c r="F231" s="54" t="n"/>
      <c r="G231" s="54" t="n"/>
      <c r="H231" s="46" t="n"/>
      <c r="I231" s="46" t="n"/>
      <c r="J231" s="46" t="n"/>
      <c r="K231" s="49" t="str">
        <f>IF($A231="","",IFERROR(INDEX(Suppliers!$B$2:$B$51,MATCH($B231,Suppliers!$A$2:$A$51,0))&amp;"","(not found)"))</f>
        <v/>
      </c>
      <c r="L231" s="49" t="str">
        <f>IF($A231="","",IFERROR(INDEX(Products!$B$2:$B$101,MATCH($C231,Products!$A$2:$A$101,0))&amp;"","(not found)"))</f>
        <v/>
      </c>
      <c r="M231" s="50" t="str">
        <f>IF($A231="","",SUMIFS(Inventory_Ledger!$E$2:$E$2001,Inventory_Ledger!$H$2:$H$2001,$A231,Inventory_Ledger!$C$2:$C$2001,"Receipt",Inventory_Ledger!$D$2:$D$2001,$C231))</f>
        <v/>
      </c>
      <c r="N231" s="50" t="str">
        <f>IF($A231="","",IF(IFERROR(INDEX(Config!$D$15:$D$34,MATCH($H231,Config!$C$15:$C$34,0)),"No")="Yes",MAX(0,IF(ISNUMBER($D231),$D231,0)-$M231),0))</f>
        <v/>
      </c>
      <c r="O231" s="52" t="str">
        <f>IF($A231="","",IF($N231&gt;0,1,0))</f>
        <v/>
      </c>
      <c r="P231" s="52" t="str">
        <f>IF($A231="","",IF(AND($O231=1,ISNUMBER($G231)),IF($G231&lt;Config!$B$4,1,0),0))</f>
        <v/>
      </c>
      <c r="Q231" s="52" t="str">
        <f>IF($A231="","",IF($P231=1,Config!$B$4-$G231,0))</f>
        <v/>
      </c>
      <c r="R231" s="53" t="str">
        <f>IF($A231="","",IF(AND(ISNUMBER($D231),ISNUMBER($E231)),$D231*$E231,""))</f>
        <v/>
      </c>
      <c r="S231" s="49" t="str">
        <f>IF(COUNTA($A231:$J231)=0,"",IF($A231="","Missing: PO ID",IF(COUNTIF($A$2:$A$301,$A231)&gt;1,"Duplicate PO ID",IF($B231="","Missing: supplier",IF($C231="","Missing: SKU",IF(NOT(ISNUMBER($D231)),"Missing: qty",IF(NOT(ISNUMBER($F231)),"Missing: order date",IF(NOT(ISNUMBER($G231)),"Missing: expected date",IF($H231="","Missing: status",IF($I231="","Missing: source link",IF(COUNTIF(Suppliers!$A$2:$A$51,$B231)=0,"Unknown supplier",IF(COUNTIF(Products!$A$2:$A$101,$C231)=0,"Unknown SKU",IF(COUNTIF(Config!$C$15:$C$34,$H231)=0,"Unsupported status",IF($D231&lt;=0,"Qty must be above 0",IF($G231&lt;$F231,"Expected date before order date",IF($M231&gt;$D231,"Received more than ordered",IF(AND($H231="Received",$M231&lt;$D231),"Status Received but not fully received",IF(AND(IFERROR(INDEX(Config!$D$15:$D$34,MATCH($H231,Config!$C$15:$C$34,0)),"No")="Yes",$M231&gt;=$D231),"Fully received: update status","OK"))))))))))))))))))</f>
        <v/>
      </c>
      <c r="T231" s="52" t="str">
        <f>IF($O231=1,IFERROR(COUNTIFS($O$2:$O$301,1,$G$2:$G$301,"&lt;"&amp;$G231)+COUNTIFS($O$2:$O231,1,$G$2:$G231,$G231),""),"")</f>
        <v/>
      </c>
    </row>
    <row r="232">
      <c r="A232" s="46" t="n"/>
      <c r="B232" s="46" t="n"/>
      <c r="C232" s="46" t="n"/>
      <c r="D232" s="48" t="n"/>
      <c r="E232" s="47" t="n"/>
      <c r="F232" s="54" t="n"/>
      <c r="G232" s="54" t="n"/>
      <c r="H232" s="46" t="n"/>
      <c r="I232" s="46" t="n"/>
      <c r="J232" s="46" t="n"/>
      <c r="K232" s="49" t="str">
        <f>IF($A232="","",IFERROR(INDEX(Suppliers!$B$2:$B$51,MATCH($B232,Suppliers!$A$2:$A$51,0))&amp;"","(not found)"))</f>
        <v/>
      </c>
      <c r="L232" s="49" t="str">
        <f>IF($A232="","",IFERROR(INDEX(Products!$B$2:$B$101,MATCH($C232,Products!$A$2:$A$101,0))&amp;"","(not found)"))</f>
        <v/>
      </c>
      <c r="M232" s="50" t="str">
        <f>IF($A232="","",SUMIFS(Inventory_Ledger!$E$2:$E$2001,Inventory_Ledger!$H$2:$H$2001,$A232,Inventory_Ledger!$C$2:$C$2001,"Receipt",Inventory_Ledger!$D$2:$D$2001,$C232))</f>
        <v/>
      </c>
      <c r="N232" s="50" t="str">
        <f>IF($A232="","",IF(IFERROR(INDEX(Config!$D$15:$D$34,MATCH($H232,Config!$C$15:$C$34,0)),"No")="Yes",MAX(0,IF(ISNUMBER($D232),$D232,0)-$M232),0))</f>
        <v/>
      </c>
      <c r="O232" s="52" t="str">
        <f>IF($A232="","",IF($N232&gt;0,1,0))</f>
        <v/>
      </c>
      <c r="P232" s="52" t="str">
        <f>IF($A232="","",IF(AND($O232=1,ISNUMBER($G232)),IF($G232&lt;Config!$B$4,1,0),0))</f>
        <v/>
      </c>
      <c r="Q232" s="52" t="str">
        <f>IF($A232="","",IF($P232=1,Config!$B$4-$G232,0))</f>
        <v/>
      </c>
      <c r="R232" s="53" t="str">
        <f>IF($A232="","",IF(AND(ISNUMBER($D232),ISNUMBER($E232)),$D232*$E232,""))</f>
        <v/>
      </c>
      <c r="S232" s="49" t="str">
        <f>IF(COUNTA($A232:$J232)=0,"",IF($A232="","Missing: PO ID",IF(COUNTIF($A$2:$A$301,$A232)&gt;1,"Duplicate PO ID",IF($B232="","Missing: supplier",IF($C232="","Missing: SKU",IF(NOT(ISNUMBER($D232)),"Missing: qty",IF(NOT(ISNUMBER($F232)),"Missing: order date",IF(NOT(ISNUMBER($G232)),"Missing: expected date",IF($H232="","Missing: status",IF($I232="","Missing: source link",IF(COUNTIF(Suppliers!$A$2:$A$51,$B232)=0,"Unknown supplier",IF(COUNTIF(Products!$A$2:$A$101,$C232)=0,"Unknown SKU",IF(COUNTIF(Config!$C$15:$C$34,$H232)=0,"Unsupported status",IF($D232&lt;=0,"Qty must be above 0",IF($G232&lt;$F232,"Expected date before order date",IF($M232&gt;$D232,"Received more than ordered",IF(AND($H232="Received",$M232&lt;$D232),"Status Received but not fully received",IF(AND(IFERROR(INDEX(Config!$D$15:$D$34,MATCH($H232,Config!$C$15:$C$34,0)),"No")="Yes",$M232&gt;=$D232),"Fully received: update status","OK"))))))))))))))))))</f>
        <v/>
      </c>
      <c r="T232" s="52" t="str">
        <f>IF($O232=1,IFERROR(COUNTIFS($O$2:$O$301,1,$G$2:$G$301,"&lt;"&amp;$G232)+COUNTIFS($O$2:$O232,1,$G$2:$G232,$G232),""),"")</f>
        <v/>
      </c>
    </row>
    <row r="233">
      <c r="A233" s="46" t="n"/>
      <c r="B233" s="46" t="n"/>
      <c r="C233" s="46" t="n"/>
      <c r="D233" s="48" t="n"/>
      <c r="E233" s="47" t="n"/>
      <c r="F233" s="54" t="n"/>
      <c r="G233" s="54" t="n"/>
      <c r="H233" s="46" t="n"/>
      <c r="I233" s="46" t="n"/>
      <c r="J233" s="46" t="n"/>
      <c r="K233" s="49" t="str">
        <f>IF($A233="","",IFERROR(INDEX(Suppliers!$B$2:$B$51,MATCH($B233,Suppliers!$A$2:$A$51,0))&amp;"","(not found)"))</f>
        <v/>
      </c>
      <c r="L233" s="49" t="str">
        <f>IF($A233="","",IFERROR(INDEX(Products!$B$2:$B$101,MATCH($C233,Products!$A$2:$A$101,0))&amp;"","(not found)"))</f>
        <v/>
      </c>
      <c r="M233" s="50" t="str">
        <f>IF($A233="","",SUMIFS(Inventory_Ledger!$E$2:$E$2001,Inventory_Ledger!$H$2:$H$2001,$A233,Inventory_Ledger!$C$2:$C$2001,"Receipt",Inventory_Ledger!$D$2:$D$2001,$C233))</f>
        <v/>
      </c>
      <c r="N233" s="50" t="str">
        <f>IF($A233="","",IF(IFERROR(INDEX(Config!$D$15:$D$34,MATCH($H233,Config!$C$15:$C$34,0)),"No")="Yes",MAX(0,IF(ISNUMBER($D233),$D233,0)-$M233),0))</f>
        <v/>
      </c>
      <c r="O233" s="52" t="str">
        <f>IF($A233="","",IF($N233&gt;0,1,0))</f>
        <v/>
      </c>
      <c r="P233" s="52" t="str">
        <f>IF($A233="","",IF(AND($O233=1,ISNUMBER($G233)),IF($G233&lt;Config!$B$4,1,0),0))</f>
        <v/>
      </c>
      <c r="Q233" s="52" t="str">
        <f>IF($A233="","",IF($P233=1,Config!$B$4-$G233,0))</f>
        <v/>
      </c>
      <c r="R233" s="53" t="str">
        <f>IF($A233="","",IF(AND(ISNUMBER($D233),ISNUMBER($E233)),$D233*$E233,""))</f>
        <v/>
      </c>
      <c r="S233" s="49" t="str">
        <f>IF(COUNTA($A233:$J233)=0,"",IF($A233="","Missing: PO ID",IF(COUNTIF($A$2:$A$301,$A233)&gt;1,"Duplicate PO ID",IF($B233="","Missing: supplier",IF($C233="","Missing: SKU",IF(NOT(ISNUMBER($D233)),"Missing: qty",IF(NOT(ISNUMBER($F233)),"Missing: order date",IF(NOT(ISNUMBER($G233)),"Missing: expected date",IF($H233="","Missing: status",IF($I233="","Missing: source link",IF(COUNTIF(Suppliers!$A$2:$A$51,$B233)=0,"Unknown supplier",IF(COUNTIF(Products!$A$2:$A$101,$C233)=0,"Unknown SKU",IF(COUNTIF(Config!$C$15:$C$34,$H233)=0,"Unsupported status",IF($D233&lt;=0,"Qty must be above 0",IF($G233&lt;$F233,"Expected date before order date",IF($M233&gt;$D233,"Received more than ordered",IF(AND($H233="Received",$M233&lt;$D233),"Status Received but not fully received",IF(AND(IFERROR(INDEX(Config!$D$15:$D$34,MATCH($H233,Config!$C$15:$C$34,0)),"No")="Yes",$M233&gt;=$D233),"Fully received: update status","OK"))))))))))))))))))</f>
        <v/>
      </c>
      <c r="T233" s="52" t="str">
        <f>IF($O233=1,IFERROR(COUNTIFS($O$2:$O$301,1,$G$2:$G$301,"&lt;"&amp;$G233)+COUNTIFS($O$2:$O233,1,$G$2:$G233,$G233),""),"")</f>
        <v/>
      </c>
    </row>
    <row r="234">
      <c r="A234" s="46" t="n"/>
      <c r="B234" s="46" t="n"/>
      <c r="C234" s="46" t="n"/>
      <c r="D234" s="48" t="n"/>
      <c r="E234" s="47" t="n"/>
      <c r="F234" s="54" t="n"/>
      <c r="G234" s="54" t="n"/>
      <c r="H234" s="46" t="n"/>
      <c r="I234" s="46" t="n"/>
      <c r="J234" s="46" t="n"/>
      <c r="K234" s="49" t="str">
        <f>IF($A234="","",IFERROR(INDEX(Suppliers!$B$2:$B$51,MATCH($B234,Suppliers!$A$2:$A$51,0))&amp;"","(not found)"))</f>
        <v/>
      </c>
      <c r="L234" s="49" t="str">
        <f>IF($A234="","",IFERROR(INDEX(Products!$B$2:$B$101,MATCH($C234,Products!$A$2:$A$101,0))&amp;"","(not found)"))</f>
        <v/>
      </c>
      <c r="M234" s="50" t="str">
        <f>IF($A234="","",SUMIFS(Inventory_Ledger!$E$2:$E$2001,Inventory_Ledger!$H$2:$H$2001,$A234,Inventory_Ledger!$C$2:$C$2001,"Receipt",Inventory_Ledger!$D$2:$D$2001,$C234))</f>
        <v/>
      </c>
      <c r="N234" s="50" t="str">
        <f>IF($A234="","",IF(IFERROR(INDEX(Config!$D$15:$D$34,MATCH($H234,Config!$C$15:$C$34,0)),"No")="Yes",MAX(0,IF(ISNUMBER($D234),$D234,0)-$M234),0))</f>
        <v/>
      </c>
      <c r="O234" s="52" t="str">
        <f>IF($A234="","",IF($N234&gt;0,1,0))</f>
        <v/>
      </c>
      <c r="P234" s="52" t="str">
        <f>IF($A234="","",IF(AND($O234=1,ISNUMBER($G234)),IF($G234&lt;Config!$B$4,1,0),0))</f>
        <v/>
      </c>
      <c r="Q234" s="52" t="str">
        <f>IF($A234="","",IF($P234=1,Config!$B$4-$G234,0))</f>
        <v/>
      </c>
      <c r="R234" s="53" t="str">
        <f>IF($A234="","",IF(AND(ISNUMBER($D234),ISNUMBER($E234)),$D234*$E234,""))</f>
        <v/>
      </c>
      <c r="S234" s="49" t="str">
        <f>IF(COUNTA($A234:$J234)=0,"",IF($A234="","Missing: PO ID",IF(COUNTIF($A$2:$A$301,$A234)&gt;1,"Duplicate PO ID",IF($B234="","Missing: supplier",IF($C234="","Missing: SKU",IF(NOT(ISNUMBER($D234)),"Missing: qty",IF(NOT(ISNUMBER($F234)),"Missing: order date",IF(NOT(ISNUMBER($G234)),"Missing: expected date",IF($H234="","Missing: status",IF($I234="","Missing: source link",IF(COUNTIF(Suppliers!$A$2:$A$51,$B234)=0,"Unknown supplier",IF(COUNTIF(Products!$A$2:$A$101,$C234)=0,"Unknown SKU",IF(COUNTIF(Config!$C$15:$C$34,$H234)=0,"Unsupported status",IF($D234&lt;=0,"Qty must be above 0",IF($G234&lt;$F234,"Expected date before order date",IF($M234&gt;$D234,"Received more than ordered",IF(AND($H234="Received",$M234&lt;$D234),"Status Received but not fully received",IF(AND(IFERROR(INDEX(Config!$D$15:$D$34,MATCH($H234,Config!$C$15:$C$34,0)),"No")="Yes",$M234&gt;=$D234),"Fully received: update status","OK"))))))))))))))))))</f>
        <v/>
      </c>
      <c r="T234" s="52" t="str">
        <f>IF($O234=1,IFERROR(COUNTIFS($O$2:$O$301,1,$G$2:$G$301,"&lt;"&amp;$G234)+COUNTIFS($O$2:$O234,1,$G$2:$G234,$G234),""),"")</f>
        <v/>
      </c>
    </row>
    <row r="235">
      <c r="A235" s="46" t="n"/>
      <c r="B235" s="46" t="n"/>
      <c r="C235" s="46" t="n"/>
      <c r="D235" s="48" t="n"/>
      <c r="E235" s="47" t="n"/>
      <c r="F235" s="54" t="n"/>
      <c r="G235" s="54" t="n"/>
      <c r="H235" s="46" t="n"/>
      <c r="I235" s="46" t="n"/>
      <c r="J235" s="46" t="n"/>
      <c r="K235" s="49" t="str">
        <f>IF($A235="","",IFERROR(INDEX(Suppliers!$B$2:$B$51,MATCH($B235,Suppliers!$A$2:$A$51,0))&amp;"","(not found)"))</f>
        <v/>
      </c>
      <c r="L235" s="49" t="str">
        <f>IF($A235="","",IFERROR(INDEX(Products!$B$2:$B$101,MATCH($C235,Products!$A$2:$A$101,0))&amp;"","(not found)"))</f>
        <v/>
      </c>
      <c r="M235" s="50" t="str">
        <f>IF($A235="","",SUMIFS(Inventory_Ledger!$E$2:$E$2001,Inventory_Ledger!$H$2:$H$2001,$A235,Inventory_Ledger!$C$2:$C$2001,"Receipt",Inventory_Ledger!$D$2:$D$2001,$C235))</f>
        <v/>
      </c>
      <c r="N235" s="50" t="str">
        <f>IF($A235="","",IF(IFERROR(INDEX(Config!$D$15:$D$34,MATCH($H235,Config!$C$15:$C$34,0)),"No")="Yes",MAX(0,IF(ISNUMBER($D235),$D235,0)-$M235),0))</f>
        <v/>
      </c>
      <c r="O235" s="52" t="str">
        <f>IF($A235="","",IF($N235&gt;0,1,0))</f>
        <v/>
      </c>
      <c r="P235" s="52" t="str">
        <f>IF($A235="","",IF(AND($O235=1,ISNUMBER($G235)),IF($G235&lt;Config!$B$4,1,0),0))</f>
        <v/>
      </c>
      <c r="Q235" s="52" t="str">
        <f>IF($A235="","",IF($P235=1,Config!$B$4-$G235,0))</f>
        <v/>
      </c>
      <c r="R235" s="53" t="str">
        <f>IF($A235="","",IF(AND(ISNUMBER($D235),ISNUMBER($E235)),$D235*$E235,""))</f>
        <v/>
      </c>
      <c r="S235" s="49" t="str">
        <f>IF(COUNTA($A235:$J235)=0,"",IF($A235="","Missing: PO ID",IF(COUNTIF($A$2:$A$301,$A235)&gt;1,"Duplicate PO ID",IF($B235="","Missing: supplier",IF($C235="","Missing: SKU",IF(NOT(ISNUMBER($D235)),"Missing: qty",IF(NOT(ISNUMBER($F235)),"Missing: order date",IF(NOT(ISNUMBER($G235)),"Missing: expected date",IF($H235="","Missing: status",IF($I235="","Missing: source link",IF(COUNTIF(Suppliers!$A$2:$A$51,$B235)=0,"Unknown supplier",IF(COUNTIF(Products!$A$2:$A$101,$C235)=0,"Unknown SKU",IF(COUNTIF(Config!$C$15:$C$34,$H235)=0,"Unsupported status",IF($D235&lt;=0,"Qty must be above 0",IF($G235&lt;$F235,"Expected date before order date",IF($M235&gt;$D235,"Received more than ordered",IF(AND($H235="Received",$M235&lt;$D235),"Status Received but not fully received",IF(AND(IFERROR(INDEX(Config!$D$15:$D$34,MATCH($H235,Config!$C$15:$C$34,0)),"No")="Yes",$M235&gt;=$D235),"Fully received: update status","OK"))))))))))))))))))</f>
        <v/>
      </c>
      <c r="T235" s="52" t="str">
        <f>IF($O235=1,IFERROR(COUNTIFS($O$2:$O$301,1,$G$2:$G$301,"&lt;"&amp;$G235)+COUNTIFS($O$2:$O235,1,$G$2:$G235,$G235),""),"")</f>
        <v/>
      </c>
    </row>
    <row r="236">
      <c r="A236" s="46" t="n"/>
      <c r="B236" s="46" t="n"/>
      <c r="C236" s="46" t="n"/>
      <c r="D236" s="48" t="n"/>
      <c r="E236" s="47" t="n"/>
      <c r="F236" s="54" t="n"/>
      <c r="G236" s="54" t="n"/>
      <c r="H236" s="46" t="n"/>
      <c r="I236" s="46" t="n"/>
      <c r="J236" s="46" t="n"/>
      <c r="K236" s="49" t="str">
        <f>IF($A236="","",IFERROR(INDEX(Suppliers!$B$2:$B$51,MATCH($B236,Suppliers!$A$2:$A$51,0))&amp;"","(not found)"))</f>
        <v/>
      </c>
      <c r="L236" s="49" t="str">
        <f>IF($A236="","",IFERROR(INDEX(Products!$B$2:$B$101,MATCH($C236,Products!$A$2:$A$101,0))&amp;"","(not found)"))</f>
        <v/>
      </c>
      <c r="M236" s="50" t="str">
        <f>IF($A236="","",SUMIFS(Inventory_Ledger!$E$2:$E$2001,Inventory_Ledger!$H$2:$H$2001,$A236,Inventory_Ledger!$C$2:$C$2001,"Receipt",Inventory_Ledger!$D$2:$D$2001,$C236))</f>
        <v/>
      </c>
      <c r="N236" s="50" t="str">
        <f>IF($A236="","",IF(IFERROR(INDEX(Config!$D$15:$D$34,MATCH($H236,Config!$C$15:$C$34,0)),"No")="Yes",MAX(0,IF(ISNUMBER($D236),$D236,0)-$M236),0))</f>
        <v/>
      </c>
      <c r="O236" s="52" t="str">
        <f>IF($A236="","",IF($N236&gt;0,1,0))</f>
        <v/>
      </c>
      <c r="P236" s="52" t="str">
        <f>IF($A236="","",IF(AND($O236=1,ISNUMBER($G236)),IF($G236&lt;Config!$B$4,1,0),0))</f>
        <v/>
      </c>
      <c r="Q236" s="52" t="str">
        <f>IF($A236="","",IF($P236=1,Config!$B$4-$G236,0))</f>
        <v/>
      </c>
      <c r="R236" s="53" t="str">
        <f>IF($A236="","",IF(AND(ISNUMBER($D236),ISNUMBER($E236)),$D236*$E236,""))</f>
        <v/>
      </c>
      <c r="S236" s="49" t="str">
        <f>IF(COUNTA($A236:$J236)=0,"",IF($A236="","Missing: PO ID",IF(COUNTIF($A$2:$A$301,$A236)&gt;1,"Duplicate PO ID",IF($B236="","Missing: supplier",IF($C236="","Missing: SKU",IF(NOT(ISNUMBER($D236)),"Missing: qty",IF(NOT(ISNUMBER($F236)),"Missing: order date",IF(NOT(ISNUMBER($G236)),"Missing: expected date",IF($H236="","Missing: status",IF($I236="","Missing: source link",IF(COUNTIF(Suppliers!$A$2:$A$51,$B236)=0,"Unknown supplier",IF(COUNTIF(Products!$A$2:$A$101,$C236)=0,"Unknown SKU",IF(COUNTIF(Config!$C$15:$C$34,$H236)=0,"Unsupported status",IF($D236&lt;=0,"Qty must be above 0",IF($G236&lt;$F236,"Expected date before order date",IF($M236&gt;$D236,"Received more than ordered",IF(AND($H236="Received",$M236&lt;$D236),"Status Received but not fully received",IF(AND(IFERROR(INDEX(Config!$D$15:$D$34,MATCH($H236,Config!$C$15:$C$34,0)),"No")="Yes",$M236&gt;=$D236),"Fully received: update status","OK"))))))))))))))))))</f>
        <v/>
      </c>
      <c r="T236" s="52" t="str">
        <f>IF($O236=1,IFERROR(COUNTIFS($O$2:$O$301,1,$G$2:$G$301,"&lt;"&amp;$G236)+COUNTIFS($O$2:$O236,1,$G$2:$G236,$G236),""),"")</f>
        <v/>
      </c>
    </row>
    <row r="237">
      <c r="A237" s="46" t="n"/>
      <c r="B237" s="46" t="n"/>
      <c r="C237" s="46" t="n"/>
      <c r="D237" s="48" t="n"/>
      <c r="E237" s="47" t="n"/>
      <c r="F237" s="54" t="n"/>
      <c r="G237" s="54" t="n"/>
      <c r="H237" s="46" t="n"/>
      <c r="I237" s="46" t="n"/>
      <c r="J237" s="46" t="n"/>
      <c r="K237" s="49" t="str">
        <f>IF($A237="","",IFERROR(INDEX(Suppliers!$B$2:$B$51,MATCH($B237,Suppliers!$A$2:$A$51,0))&amp;"","(not found)"))</f>
        <v/>
      </c>
      <c r="L237" s="49" t="str">
        <f>IF($A237="","",IFERROR(INDEX(Products!$B$2:$B$101,MATCH($C237,Products!$A$2:$A$101,0))&amp;"","(not found)"))</f>
        <v/>
      </c>
      <c r="M237" s="50" t="str">
        <f>IF($A237="","",SUMIFS(Inventory_Ledger!$E$2:$E$2001,Inventory_Ledger!$H$2:$H$2001,$A237,Inventory_Ledger!$C$2:$C$2001,"Receipt",Inventory_Ledger!$D$2:$D$2001,$C237))</f>
        <v/>
      </c>
      <c r="N237" s="50" t="str">
        <f>IF($A237="","",IF(IFERROR(INDEX(Config!$D$15:$D$34,MATCH($H237,Config!$C$15:$C$34,0)),"No")="Yes",MAX(0,IF(ISNUMBER($D237),$D237,0)-$M237),0))</f>
        <v/>
      </c>
      <c r="O237" s="52" t="str">
        <f>IF($A237="","",IF($N237&gt;0,1,0))</f>
        <v/>
      </c>
      <c r="P237" s="52" t="str">
        <f>IF($A237="","",IF(AND($O237=1,ISNUMBER($G237)),IF($G237&lt;Config!$B$4,1,0),0))</f>
        <v/>
      </c>
      <c r="Q237" s="52" t="str">
        <f>IF($A237="","",IF($P237=1,Config!$B$4-$G237,0))</f>
        <v/>
      </c>
      <c r="R237" s="53" t="str">
        <f>IF($A237="","",IF(AND(ISNUMBER($D237),ISNUMBER($E237)),$D237*$E237,""))</f>
        <v/>
      </c>
      <c r="S237" s="49" t="str">
        <f>IF(COUNTA($A237:$J237)=0,"",IF($A237="","Missing: PO ID",IF(COUNTIF($A$2:$A$301,$A237)&gt;1,"Duplicate PO ID",IF($B237="","Missing: supplier",IF($C237="","Missing: SKU",IF(NOT(ISNUMBER($D237)),"Missing: qty",IF(NOT(ISNUMBER($F237)),"Missing: order date",IF(NOT(ISNUMBER($G237)),"Missing: expected date",IF($H237="","Missing: status",IF($I237="","Missing: source link",IF(COUNTIF(Suppliers!$A$2:$A$51,$B237)=0,"Unknown supplier",IF(COUNTIF(Products!$A$2:$A$101,$C237)=0,"Unknown SKU",IF(COUNTIF(Config!$C$15:$C$34,$H237)=0,"Unsupported status",IF($D237&lt;=0,"Qty must be above 0",IF($G237&lt;$F237,"Expected date before order date",IF($M237&gt;$D237,"Received more than ordered",IF(AND($H237="Received",$M237&lt;$D237),"Status Received but not fully received",IF(AND(IFERROR(INDEX(Config!$D$15:$D$34,MATCH($H237,Config!$C$15:$C$34,0)),"No")="Yes",$M237&gt;=$D237),"Fully received: update status","OK"))))))))))))))))))</f>
        <v/>
      </c>
      <c r="T237" s="52" t="str">
        <f>IF($O237=1,IFERROR(COUNTIFS($O$2:$O$301,1,$G$2:$G$301,"&lt;"&amp;$G237)+COUNTIFS($O$2:$O237,1,$G$2:$G237,$G237),""),"")</f>
        <v/>
      </c>
    </row>
    <row r="238">
      <c r="A238" s="46" t="n"/>
      <c r="B238" s="46" t="n"/>
      <c r="C238" s="46" t="n"/>
      <c r="D238" s="48" t="n"/>
      <c r="E238" s="47" t="n"/>
      <c r="F238" s="54" t="n"/>
      <c r="G238" s="54" t="n"/>
      <c r="H238" s="46" t="n"/>
      <c r="I238" s="46" t="n"/>
      <c r="J238" s="46" t="n"/>
      <c r="K238" s="49" t="str">
        <f>IF($A238="","",IFERROR(INDEX(Suppliers!$B$2:$B$51,MATCH($B238,Suppliers!$A$2:$A$51,0))&amp;"","(not found)"))</f>
        <v/>
      </c>
      <c r="L238" s="49" t="str">
        <f>IF($A238="","",IFERROR(INDEX(Products!$B$2:$B$101,MATCH($C238,Products!$A$2:$A$101,0))&amp;"","(not found)"))</f>
        <v/>
      </c>
      <c r="M238" s="50" t="str">
        <f>IF($A238="","",SUMIFS(Inventory_Ledger!$E$2:$E$2001,Inventory_Ledger!$H$2:$H$2001,$A238,Inventory_Ledger!$C$2:$C$2001,"Receipt",Inventory_Ledger!$D$2:$D$2001,$C238))</f>
        <v/>
      </c>
      <c r="N238" s="50" t="str">
        <f>IF($A238="","",IF(IFERROR(INDEX(Config!$D$15:$D$34,MATCH($H238,Config!$C$15:$C$34,0)),"No")="Yes",MAX(0,IF(ISNUMBER($D238),$D238,0)-$M238),0))</f>
        <v/>
      </c>
      <c r="O238" s="52" t="str">
        <f>IF($A238="","",IF($N238&gt;0,1,0))</f>
        <v/>
      </c>
      <c r="P238" s="52" t="str">
        <f>IF($A238="","",IF(AND($O238=1,ISNUMBER($G238)),IF($G238&lt;Config!$B$4,1,0),0))</f>
        <v/>
      </c>
      <c r="Q238" s="52" t="str">
        <f>IF($A238="","",IF($P238=1,Config!$B$4-$G238,0))</f>
        <v/>
      </c>
      <c r="R238" s="53" t="str">
        <f>IF($A238="","",IF(AND(ISNUMBER($D238),ISNUMBER($E238)),$D238*$E238,""))</f>
        <v/>
      </c>
      <c r="S238" s="49" t="str">
        <f>IF(COUNTA($A238:$J238)=0,"",IF($A238="","Missing: PO ID",IF(COUNTIF($A$2:$A$301,$A238)&gt;1,"Duplicate PO ID",IF($B238="","Missing: supplier",IF($C238="","Missing: SKU",IF(NOT(ISNUMBER($D238)),"Missing: qty",IF(NOT(ISNUMBER($F238)),"Missing: order date",IF(NOT(ISNUMBER($G238)),"Missing: expected date",IF($H238="","Missing: status",IF($I238="","Missing: source link",IF(COUNTIF(Suppliers!$A$2:$A$51,$B238)=0,"Unknown supplier",IF(COUNTIF(Products!$A$2:$A$101,$C238)=0,"Unknown SKU",IF(COUNTIF(Config!$C$15:$C$34,$H238)=0,"Unsupported status",IF($D238&lt;=0,"Qty must be above 0",IF($G238&lt;$F238,"Expected date before order date",IF($M238&gt;$D238,"Received more than ordered",IF(AND($H238="Received",$M238&lt;$D238),"Status Received but not fully received",IF(AND(IFERROR(INDEX(Config!$D$15:$D$34,MATCH($H238,Config!$C$15:$C$34,0)),"No")="Yes",$M238&gt;=$D238),"Fully received: update status","OK"))))))))))))))))))</f>
        <v/>
      </c>
      <c r="T238" s="52" t="str">
        <f>IF($O238=1,IFERROR(COUNTIFS($O$2:$O$301,1,$G$2:$G$301,"&lt;"&amp;$G238)+COUNTIFS($O$2:$O238,1,$G$2:$G238,$G238),""),"")</f>
        <v/>
      </c>
    </row>
    <row r="239">
      <c r="A239" s="46" t="n"/>
      <c r="B239" s="46" t="n"/>
      <c r="C239" s="46" t="n"/>
      <c r="D239" s="48" t="n"/>
      <c r="E239" s="47" t="n"/>
      <c r="F239" s="54" t="n"/>
      <c r="G239" s="54" t="n"/>
      <c r="H239" s="46" t="n"/>
      <c r="I239" s="46" t="n"/>
      <c r="J239" s="46" t="n"/>
      <c r="K239" s="49" t="str">
        <f>IF($A239="","",IFERROR(INDEX(Suppliers!$B$2:$B$51,MATCH($B239,Suppliers!$A$2:$A$51,0))&amp;"","(not found)"))</f>
        <v/>
      </c>
      <c r="L239" s="49" t="str">
        <f>IF($A239="","",IFERROR(INDEX(Products!$B$2:$B$101,MATCH($C239,Products!$A$2:$A$101,0))&amp;"","(not found)"))</f>
        <v/>
      </c>
      <c r="M239" s="50" t="str">
        <f>IF($A239="","",SUMIFS(Inventory_Ledger!$E$2:$E$2001,Inventory_Ledger!$H$2:$H$2001,$A239,Inventory_Ledger!$C$2:$C$2001,"Receipt",Inventory_Ledger!$D$2:$D$2001,$C239))</f>
        <v/>
      </c>
      <c r="N239" s="50" t="str">
        <f>IF($A239="","",IF(IFERROR(INDEX(Config!$D$15:$D$34,MATCH($H239,Config!$C$15:$C$34,0)),"No")="Yes",MAX(0,IF(ISNUMBER($D239),$D239,0)-$M239),0))</f>
        <v/>
      </c>
      <c r="O239" s="52" t="str">
        <f>IF($A239="","",IF($N239&gt;0,1,0))</f>
        <v/>
      </c>
      <c r="P239" s="52" t="str">
        <f>IF($A239="","",IF(AND($O239=1,ISNUMBER($G239)),IF($G239&lt;Config!$B$4,1,0),0))</f>
        <v/>
      </c>
      <c r="Q239" s="52" t="str">
        <f>IF($A239="","",IF($P239=1,Config!$B$4-$G239,0))</f>
        <v/>
      </c>
      <c r="R239" s="53" t="str">
        <f>IF($A239="","",IF(AND(ISNUMBER($D239),ISNUMBER($E239)),$D239*$E239,""))</f>
        <v/>
      </c>
      <c r="S239" s="49" t="str">
        <f>IF(COUNTA($A239:$J239)=0,"",IF($A239="","Missing: PO ID",IF(COUNTIF($A$2:$A$301,$A239)&gt;1,"Duplicate PO ID",IF($B239="","Missing: supplier",IF($C239="","Missing: SKU",IF(NOT(ISNUMBER($D239)),"Missing: qty",IF(NOT(ISNUMBER($F239)),"Missing: order date",IF(NOT(ISNUMBER($G239)),"Missing: expected date",IF($H239="","Missing: status",IF($I239="","Missing: source link",IF(COUNTIF(Suppliers!$A$2:$A$51,$B239)=0,"Unknown supplier",IF(COUNTIF(Products!$A$2:$A$101,$C239)=0,"Unknown SKU",IF(COUNTIF(Config!$C$15:$C$34,$H239)=0,"Unsupported status",IF($D239&lt;=0,"Qty must be above 0",IF($G239&lt;$F239,"Expected date before order date",IF($M239&gt;$D239,"Received more than ordered",IF(AND($H239="Received",$M239&lt;$D239),"Status Received but not fully received",IF(AND(IFERROR(INDEX(Config!$D$15:$D$34,MATCH($H239,Config!$C$15:$C$34,0)),"No")="Yes",$M239&gt;=$D239),"Fully received: update status","OK"))))))))))))))))))</f>
        <v/>
      </c>
      <c r="T239" s="52" t="str">
        <f>IF($O239=1,IFERROR(COUNTIFS($O$2:$O$301,1,$G$2:$G$301,"&lt;"&amp;$G239)+COUNTIFS($O$2:$O239,1,$G$2:$G239,$G239),""),"")</f>
        <v/>
      </c>
    </row>
    <row r="240">
      <c r="A240" s="46" t="n"/>
      <c r="B240" s="46" t="n"/>
      <c r="C240" s="46" t="n"/>
      <c r="D240" s="48" t="n"/>
      <c r="E240" s="47" t="n"/>
      <c r="F240" s="54" t="n"/>
      <c r="G240" s="54" t="n"/>
      <c r="H240" s="46" t="n"/>
      <c r="I240" s="46" t="n"/>
      <c r="J240" s="46" t="n"/>
      <c r="K240" s="49" t="str">
        <f>IF($A240="","",IFERROR(INDEX(Suppliers!$B$2:$B$51,MATCH($B240,Suppliers!$A$2:$A$51,0))&amp;"","(not found)"))</f>
        <v/>
      </c>
      <c r="L240" s="49" t="str">
        <f>IF($A240="","",IFERROR(INDEX(Products!$B$2:$B$101,MATCH($C240,Products!$A$2:$A$101,0))&amp;"","(not found)"))</f>
        <v/>
      </c>
      <c r="M240" s="50" t="str">
        <f>IF($A240="","",SUMIFS(Inventory_Ledger!$E$2:$E$2001,Inventory_Ledger!$H$2:$H$2001,$A240,Inventory_Ledger!$C$2:$C$2001,"Receipt",Inventory_Ledger!$D$2:$D$2001,$C240))</f>
        <v/>
      </c>
      <c r="N240" s="50" t="str">
        <f>IF($A240="","",IF(IFERROR(INDEX(Config!$D$15:$D$34,MATCH($H240,Config!$C$15:$C$34,0)),"No")="Yes",MAX(0,IF(ISNUMBER($D240),$D240,0)-$M240),0))</f>
        <v/>
      </c>
      <c r="O240" s="52" t="str">
        <f>IF($A240="","",IF($N240&gt;0,1,0))</f>
        <v/>
      </c>
      <c r="P240" s="52" t="str">
        <f>IF($A240="","",IF(AND($O240=1,ISNUMBER($G240)),IF($G240&lt;Config!$B$4,1,0),0))</f>
        <v/>
      </c>
      <c r="Q240" s="52" t="str">
        <f>IF($A240="","",IF($P240=1,Config!$B$4-$G240,0))</f>
        <v/>
      </c>
      <c r="R240" s="53" t="str">
        <f>IF($A240="","",IF(AND(ISNUMBER($D240),ISNUMBER($E240)),$D240*$E240,""))</f>
        <v/>
      </c>
      <c r="S240" s="49" t="str">
        <f>IF(COUNTA($A240:$J240)=0,"",IF($A240="","Missing: PO ID",IF(COUNTIF($A$2:$A$301,$A240)&gt;1,"Duplicate PO ID",IF($B240="","Missing: supplier",IF($C240="","Missing: SKU",IF(NOT(ISNUMBER($D240)),"Missing: qty",IF(NOT(ISNUMBER($F240)),"Missing: order date",IF(NOT(ISNUMBER($G240)),"Missing: expected date",IF($H240="","Missing: status",IF($I240="","Missing: source link",IF(COUNTIF(Suppliers!$A$2:$A$51,$B240)=0,"Unknown supplier",IF(COUNTIF(Products!$A$2:$A$101,$C240)=0,"Unknown SKU",IF(COUNTIF(Config!$C$15:$C$34,$H240)=0,"Unsupported status",IF($D240&lt;=0,"Qty must be above 0",IF($G240&lt;$F240,"Expected date before order date",IF($M240&gt;$D240,"Received more than ordered",IF(AND($H240="Received",$M240&lt;$D240),"Status Received but not fully received",IF(AND(IFERROR(INDEX(Config!$D$15:$D$34,MATCH($H240,Config!$C$15:$C$34,0)),"No")="Yes",$M240&gt;=$D240),"Fully received: update status","OK"))))))))))))))))))</f>
        <v/>
      </c>
      <c r="T240" s="52" t="str">
        <f>IF($O240=1,IFERROR(COUNTIFS($O$2:$O$301,1,$G$2:$G$301,"&lt;"&amp;$G240)+COUNTIFS($O$2:$O240,1,$G$2:$G240,$G240),""),"")</f>
        <v/>
      </c>
    </row>
    <row r="241">
      <c r="A241" s="46" t="n"/>
      <c r="B241" s="46" t="n"/>
      <c r="C241" s="46" t="n"/>
      <c r="D241" s="48" t="n"/>
      <c r="E241" s="47" t="n"/>
      <c r="F241" s="54" t="n"/>
      <c r="G241" s="54" t="n"/>
      <c r="H241" s="46" t="n"/>
      <c r="I241" s="46" t="n"/>
      <c r="J241" s="46" t="n"/>
      <c r="K241" s="49" t="str">
        <f>IF($A241="","",IFERROR(INDEX(Suppliers!$B$2:$B$51,MATCH($B241,Suppliers!$A$2:$A$51,0))&amp;"","(not found)"))</f>
        <v/>
      </c>
      <c r="L241" s="49" t="str">
        <f>IF($A241="","",IFERROR(INDEX(Products!$B$2:$B$101,MATCH($C241,Products!$A$2:$A$101,0))&amp;"","(not found)"))</f>
        <v/>
      </c>
      <c r="M241" s="50" t="str">
        <f>IF($A241="","",SUMIFS(Inventory_Ledger!$E$2:$E$2001,Inventory_Ledger!$H$2:$H$2001,$A241,Inventory_Ledger!$C$2:$C$2001,"Receipt",Inventory_Ledger!$D$2:$D$2001,$C241))</f>
        <v/>
      </c>
      <c r="N241" s="50" t="str">
        <f>IF($A241="","",IF(IFERROR(INDEX(Config!$D$15:$D$34,MATCH($H241,Config!$C$15:$C$34,0)),"No")="Yes",MAX(0,IF(ISNUMBER($D241),$D241,0)-$M241),0))</f>
        <v/>
      </c>
      <c r="O241" s="52" t="str">
        <f>IF($A241="","",IF($N241&gt;0,1,0))</f>
        <v/>
      </c>
      <c r="P241" s="52" t="str">
        <f>IF($A241="","",IF(AND($O241=1,ISNUMBER($G241)),IF($G241&lt;Config!$B$4,1,0),0))</f>
        <v/>
      </c>
      <c r="Q241" s="52" t="str">
        <f>IF($A241="","",IF($P241=1,Config!$B$4-$G241,0))</f>
        <v/>
      </c>
      <c r="R241" s="53" t="str">
        <f>IF($A241="","",IF(AND(ISNUMBER($D241),ISNUMBER($E241)),$D241*$E241,""))</f>
        <v/>
      </c>
      <c r="S241" s="49" t="str">
        <f>IF(COUNTA($A241:$J241)=0,"",IF($A241="","Missing: PO ID",IF(COUNTIF($A$2:$A$301,$A241)&gt;1,"Duplicate PO ID",IF($B241="","Missing: supplier",IF($C241="","Missing: SKU",IF(NOT(ISNUMBER($D241)),"Missing: qty",IF(NOT(ISNUMBER($F241)),"Missing: order date",IF(NOT(ISNUMBER($G241)),"Missing: expected date",IF($H241="","Missing: status",IF($I241="","Missing: source link",IF(COUNTIF(Suppliers!$A$2:$A$51,$B241)=0,"Unknown supplier",IF(COUNTIF(Products!$A$2:$A$101,$C241)=0,"Unknown SKU",IF(COUNTIF(Config!$C$15:$C$34,$H241)=0,"Unsupported status",IF($D241&lt;=0,"Qty must be above 0",IF($G241&lt;$F241,"Expected date before order date",IF($M241&gt;$D241,"Received more than ordered",IF(AND($H241="Received",$M241&lt;$D241),"Status Received but not fully received",IF(AND(IFERROR(INDEX(Config!$D$15:$D$34,MATCH($H241,Config!$C$15:$C$34,0)),"No")="Yes",$M241&gt;=$D241),"Fully received: update status","OK"))))))))))))))))))</f>
        <v/>
      </c>
      <c r="T241" s="52" t="str">
        <f>IF($O241=1,IFERROR(COUNTIFS($O$2:$O$301,1,$G$2:$G$301,"&lt;"&amp;$G241)+COUNTIFS($O$2:$O241,1,$G$2:$G241,$G241),""),"")</f>
        <v/>
      </c>
    </row>
    <row r="242">
      <c r="A242" s="46" t="n"/>
      <c r="B242" s="46" t="n"/>
      <c r="C242" s="46" t="n"/>
      <c r="D242" s="48" t="n"/>
      <c r="E242" s="47" t="n"/>
      <c r="F242" s="54" t="n"/>
      <c r="G242" s="54" t="n"/>
      <c r="H242" s="46" t="n"/>
      <c r="I242" s="46" t="n"/>
      <c r="J242" s="46" t="n"/>
      <c r="K242" s="49" t="str">
        <f>IF($A242="","",IFERROR(INDEX(Suppliers!$B$2:$B$51,MATCH($B242,Suppliers!$A$2:$A$51,0))&amp;"","(not found)"))</f>
        <v/>
      </c>
      <c r="L242" s="49" t="str">
        <f>IF($A242="","",IFERROR(INDEX(Products!$B$2:$B$101,MATCH($C242,Products!$A$2:$A$101,0))&amp;"","(not found)"))</f>
        <v/>
      </c>
      <c r="M242" s="50" t="str">
        <f>IF($A242="","",SUMIFS(Inventory_Ledger!$E$2:$E$2001,Inventory_Ledger!$H$2:$H$2001,$A242,Inventory_Ledger!$C$2:$C$2001,"Receipt",Inventory_Ledger!$D$2:$D$2001,$C242))</f>
        <v/>
      </c>
      <c r="N242" s="50" t="str">
        <f>IF($A242="","",IF(IFERROR(INDEX(Config!$D$15:$D$34,MATCH($H242,Config!$C$15:$C$34,0)),"No")="Yes",MAX(0,IF(ISNUMBER($D242),$D242,0)-$M242),0))</f>
        <v/>
      </c>
      <c r="O242" s="52" t="str">
        <f>IF($A242="","",IF($N242&gt;0,1,0))</f>
        <v/>
      </c>
      <c r="P242" s="52" t="str">
        <f>IF($A242="","",IF(AND($O242=1,ISNUMBER($G242)),IF($G242&lt;Config!$B$4,1,0),0))</f>
        <v/>
      </c>
      <c r="Q242" s="52" t="str">
        <f>IF($A242="","",IF($P242=1,Config!$B$4-$G242,0))</f>
        <v/>
      </c>
      <c r="R242" s="53" t="str">
        <f>IF($A242="","",IF(AND(ISNUMBER($D242),ISNUMBER($E242)),$D242*$E242,""))</f>
        <v/>
      </c>
      <c r="S242" s="49" t="str">
        <f>IF(COUNTA($A242:$J242)=0,"",IF($A242="","Missing: PO ID",IF(COUNTIF($A$2:$A$301,$A242)&gt;1,"Duplicate PO ID",IF($B242="","Missing: supplier",IF($C242="","Missing: SKU",IF(NOT(ISNUMBER($D242)),"Missing: qty",IF(NOT(ISNUMBER($F242)),"Missing: order date",IF(NOT(ISNUMBER($G242)),"Missing: expected date",IF($H242="","Missing: status",IF($I242="","Missing: source link",IF(COUNTIF(Suppliers!$A$2:$A$51,$B242)=0,"Unknown supplier",IF(COUNTIF(Products!$A$2:$A$101,$C242)=0,"Unknown SKU",IF(COUNTIF(Config!$C$15:$C$34,$H242)=0,"Unsupported status",IF($D242&lt;=0,"Qty must be above 0",IF($G242&lt;$F242,"Expected date before order date",IF($M242&gt;$D242,"Received more than ordered",IF(AND($H242="Received",$M242&lt;$D242),"Status Received but not fully received",IF(AND(IFERROR(INDEX(Config!$D$15:$D$34,MATCH($H242,Config!$C$15:$C$34,0)),"No")="Yes",$M242&gt;=$D242),"Fully received: update status","OK"))))))))))))))))))</f>
        <v/>
      </c>
      <c r="T242" s="52" t="str">
        <f>IF($O242=1,IFERROR(COUNTIFS($O$2:$O$301,1,$G$2:$G$301,"&lt;"&amp;$G242)+COUNTIFS($O$2:$O242,1,$G$2:$G242,$G242),""),"")</f>
        <v/>
      </c>
    </row>
    <row r="243">
      <c r="A243" s="46" t="n"/>
      <c r="B243" s="46" t="n"/>
      <c r="C243" s="46" t="n"/>
      <c r="D243" s="48" t="n"/>
      <c r="E243" s="47" t="n"/>
      <c r="F243" s="54" t="n"/>
      <c r="G243" s="54" t="n"/>
      <c r="H243" s="46" t="n"/>
      <c r="I243" s="46" t="n"/>
      <c r="J243" s="46" t="n"/>
      <c r="K243" s="49" t="str">
        <f>IF($A243="","",IFERROR(INDEX(Suppliers!$B$2:$B$51,MATCH($B243,Suppliers!$A$2:$A$51,0))&amp;"","(not found)"))</f>
        <v/>
      </c>
      <c r="L243" s="49" t="str">
        <f>IF($A243="","",IFERROR(INDEX(Products!$B$2:$B$101,MATCH($C243,Products!$A$2:$A$101,0))&amp;"","(not found)"))</f>
        <v/>
      </c>
      <c r="M243" s="50" t="str">
        <f>IF($A243="","",SUMIFS(Inventory_Ledger!$E$2:$E$2001,Inventory_Ledger!$H$2:$H$2001,$A243,Inventory_Ledger!$C$2:$C$2001,"Receipt",Inventory_Ledger!$D$2:$D$2001,$C243))</f>
        <v/>
      </c>
      <c r="N243" s="50" t="str">
        <f>IF($A243="","",IF(IFERROR(INDEX(Config!$D$15:$D$34,MATCH($H243,Config!$C$15:$C$34,0)),"No")="Yes",MAX(0,IF(ISNUMBER($D243),$D243,0)-$M243),0))</f>
        <v/>
      </c>
      <c r="O243" s="52" t="str">
        <f>IF($A243="","",IF($N243&gt;0,1,0))</f>
        <v/>
      </c>
      <c r="P243" s="52" t="str">
        <f>IF($A243="","",IF(AND($O243=1,ISNUMBER($G243)),IF($G243&lt;Config!$B$4,1,0),0))</f>
        <v/>
      </c>
      <c r="Q243" s="52" t="str">
        <f>IF($A243="","",IF($P243=1,Config!$B$4-$G243,0))</f>
        <v/>
      </c>
      <c r="R243" s="53" t="str">
        <f>IF($A243="","",IF(AND(ISNUMBER($D243),ISNUMBER($E243)),$D243*$E243,""))</f>
        <v/>
      </c>
      <c r="S243" s="49" t="str">
        <f>IF(COUNTA($A243:$J243)=0,"",IF($A243="","Missing: PO ID",IF(COUNTIF($A$2:$A$301,$A243)&gt;1,"Duplicate PO ID",IF($B243="","Missing: supplier",IF($C243="","Missing: SKU",IF(NOT(ISNUMBER($D243)),"Missing: qty",IF(NOT(ISNUMBER($F243)),"Missing: order date",IF(NOT(ISNUMBER($G243)),"Missing: expected date",IF($H243="","Missing: status",IF($I243="","Missing: source link",IF(COUNTIF(Suppliers!$A$2:$A$51,$B243)=0,"Unknown supplier",IF(COUNTIF(Products!$A$2:$A$101,$C243)=0,"Unknown SKU",IF(COUNTIF(Config!$C$15:$C$34,$H243)=0,"Unsupported status",IF($D243&lt;=0,"Qty must be above 0",IF($G243&lt;$F243,"Expected date before order date",IF($M243&gt;$D243,"Received more than ordered",IF(AND($H243="Received",$M243&lt;$D243),"Status Received but not fully received",IF(AND(IFERROR(INDEX(Config!$D$15:$D$34,MATCH($H243,Config!$C$15:$C$34,0)),"No")="Yes",$M243&gt;=$D243),"Fully received: update status","OK"))))))))))))))))))</f>
        <v/>
      </c>
      <c r="T243" s="52" t="str">
        <f>IF($O243=1,IFERROR(COUNTIFS($O$2:$O$301,1,$G$2:$G$301,"&lt;"&amp;$G243)+COUNTIFS($O$2:$O243,1,$G$2:$G243,$G243),""),"")</f>
        <v/>
      </c>
    </row>
    <row r="244">
      <c r="A244" s="46" t="n"/>
      <c r="B244" s="46" t="n"/>
      <c r="C244" s="46" t="n"/>
      <c r="D244" s="48" t="n"/>
      <c r="E244" s="47" t="n"/>
      <c r="F244" s="54" t="n"/>
      <c r="G244" s="54" t="n"/>
      <c r="H244" s="46" t="n"/>
      <c r="I244" s="46" t="n"/>
      <c r="J244" s="46" t="n"/>
      <c r="K244" s="49" t="str">
        <f>IF($A244="","",IFERROR(INDEX(Suppliers!$B$2:$B$51,MATCH($B244,Suppliers!$A$2:$A$51,0))&amp;"","(not found)"))</f>
        <v/>
      </c>
      <c r="L244" s="49" t="str">
        <f>IF($A244="","",IFERROR(INDEX(Products!$B$2:$B$101,MATCH($C244,Products!$A$2:$A$101,0))&amp;"","(not found)"))</f>
        <v/>
      </c>
      <c r="M244" s="50" t="str">
        <f>IF($A244="","",SUMIFS(Inventory_Ledger!$E$2:$E$2001,Inventory_Ledger!$H$2:$H$2001,$A244,Inventory_Ledger!$C$2:$C$2001,"Receipt",Inventory_Ledger!$D$2:$D$2001,$C244))</f>
        <v/>
      </c>
      <c r="N244" s="50" t="str">
        <f>IF($A244="","",IF(IFERROR(INDEX(Config!$D$15:$D$34,MATCH($H244,Config!$C$15:$C$34,0)),"No")="Yes",MAX(0,IF(ISNUMBER($D244),$D244,0)-$M244),0))</f>
        <v/>
      </c>
      <c r="O244" s="52" t="str">
        <f>IF($A244="","",IF($N244&gt;0,1,0))</f>
        <v/>
      </c>
      <c r="P244" s="52" t="str">
        <f>IF($A244="","",IF(AND($O244=1,ISNUMBER($G244)),IF($G244&lt;Config!$B$4,1,0),0))</f>
        <v/>
      </c>
      <c r="Q244" s="52" t="str">
        <f>IF($A244="","",IF($P244=1,Config!$B$4-$G244,0))</f>
        <v/>
      </c>
      <c r="R244" s="53" t="str">
        <f>IF($A244="","",IF(AND(ISNUMBER($D244),ISNUMBER($E244)),$D244*$E244,""))</f>
        <v/>
      </c>
      <c r="S244" s="49" t="str">
        <f>IF(COUNTA($A244:$J244)=0,"",IF($A244="","Missing: PO ID",IF(COUNTIF($A$2:$A$301,$A244)&gt;1,"Duplicate PO ID",IF($B244="","Missing: supplier",IF($C244="","Missing: SKU",IF(NOT(ISNUMBER($D244)),"Missing: qty",IF(NOT(ISNUMBER($F244)),"Missing: order date",IF(NOT(ISNUMBER($G244)),"Missing: expected date",IF($H244="","Missing: status",IF($I244="","Missing: source link",IF(COUNTIF(Suppliers!$A$2:$A$51,$B244)=0,"Unknown supplier",IF(COUNTIF(Products!$A$2:$A$101,$C244)=0,"Unknown SKU",IF(COUNTIF(Config!$C$15:$C$34,$H244)=0,"Unsupported status",IF($D244&lt;=0,"Qty must be above 0",IF($G244&lt;$F244,"Expected date before order date",IF($M244&gt;$D244,"Received more than ordered",IF(AND($H244="Received",$M244&lt;$D244),"Status Received but not fully received",IF(AND(IFERROR(INDEX(Config!$D$15:$D$34,MATCH($H244,Config!$C$15:$C$34,0)),"No")="Yes",$M244&gt;=$D244),"Fully received: update status","OK"))))))))))))))))))</f>
        <v/>
      </c>
      <c r="T244" s="52" t="str">
        <f>IF($O244=1,IFERROR(COUNTIFS($O$2:$O$301,1,$G$2:$G$301,"&lt;"&amp;$G244)+COUNTIFS($O$2:$O244,1,$G$2:$G244,$G244),""),"")</f>
        <v/>
      </c>
    </row>
    <row r="245">
      <c r="A245" s="46" t="n"/>
      <c r="B245" s="46" t="n"/>
      <c r="C245" s="46" t="n"/>
      <c r="D245" s="48" t="n"/>
      <c r="E245" s="47" t="n"/>
      <c r="F245" s="54" t="n"/>
      <c r="G245" s="54" t="n"/>
      <c r="H245" s="46" t="n"/>
      <c r="I245" s="46" t="n"/>
      <c r="J245" s="46" t="n"/>
      <c r="K245" s="49" t="str">
        <f>IF($A245="","",IFERROR(INDEX(Suppliers!$B$2:$B$51,MATCH($B245,Suppliers!$A$2:$A$51,0))&amp;"","(not found)"))</f>
        <v/>
      </c>
      <c r="L245" s="49" t="str">
        <f>IF($A245="","",IFERROR(INDEX(Products!$B$2:$B$101,MATCH($C245,Products!$A$2:$A$101,0))&amp;"","(not found)"))</f>
        <v/>
      </c>
      <c r="M245" s="50" t="str">
        <f>IF($A245="","",SUMIFS(Inventory_Ledger!$E$2:$E$2001,Inventory_Ledger!$H$2:$H$2001,$A245,Inventory_Ledger!$C$2:$C$2001,"Receipt",Inventory_Ledger!$D$2:$D$2001,$C245))</f>
        <v/>
      </c>
      <c r="N245" s="50" t="str">
        <f>IF($A245="","",IF(IFERROR(INDEX(Config!$D$15:$D$34,MATCH($H245,Config!$C$15:$C$34,0)),"No")="Yes",MAX(0,IF(ISNUMBER($D245),$D245,0)-$M245),0))</f>
        <v/>
      </c>
      <c r="O245" s="52" t="str">
        <f>IF($A245="","",IF($N245&gt;0,1,0))</f>
        <v/>
      </c>
      <c r="P245" s="52" t="str">
        <f>IF($A245="","",IF(AND($O245=1,ISNUMBER($G245)),IF($G245&lt;Config!$B$4,1,0),0))</f>
        <v/>
      </c>
      <c r="Q245" s="52" t="str">
        <f>IF($A245="","",IF($P245=1,Config!$B$4-$G245,0))</f>
        <v/>
      </c>
      <c r="R245" s="53" t="str">
        <f>IF($A245="","",IF(AND(ISNUMBER($D245),ISNUMBER($E245)),$D245*$E245,""))</f>
        <v/>
      </c>
      <c r="S245" s="49" t="str">
        <f>IF(COUNTA($A245:$J245)=0,"",IF($A245="","Missing: PO ID",IF(COUNTIF($A$2:$A$301,$A245)&gt;1,"Duplicate PO ID",IF($B245="","Missing: supplier",IF($C245="","Missing: SKU",IF(NOT(ISNUMBER($D245)),"Missing: qty",IF(NOT(ISNUMBER($F245)),"Missing: order date",IF(NOT(ISNUMBER($G245)),"Missing: expected date",IF($H245="","Missing: status",IF($I245="","Missing: source link",IF(COUNTIF(Suppliers!$A$2:$A$51,$B245)=0,"Unknown supplier",IF(COUNTIF(Products!$A$2:$A$101,$C245)=0,"Unknown SKU",IF(COUNTIF(Config!$C$15:$C$34,$H245)=0,"Unsupported status",IF($D245&lt;=0,"Qty must be above 0",IF($G245&lt;$F245,"Expected date before order date",IF($M245&gt;$D245,"Received more than ordered",IF(AND($H245="Received",$M245&lt;$D245),"Status Received but not fully received",IF(AND(IFERROR(INDEX(Config!$D$15:$D$34,MATCH($H245,Config!$C$15:$C$34,0)),"No")="Yes",$M245&gt;=$D245),"Fully received: update status","OK"))))))))))))))))))</f>
        <v/>
      </c>
      <c r="T245" s="52" t="str">
        <f>IF($O245=1,IFERROR(COUNTIFS($O$2:$O$301,1,$G$2:$G$301,"&lt;"&amp;$G245)+COUNTIFS($O$2:$O245,1,$G$2:$G245,$G245),""),"")</f>
        <v/>
      </c>
    </row>
    <row r="246">
      <c r="A246" s="46" t="n"/>
      <c r="B246" s="46" t="n"/>
      <c r="C246" s="46" t="n"/>
      <c r="D246" s="48" t="n"/>
      <c r="E246" s="47" t="n"/>
      <c r="F246" s="54" t="n"/>
      <c r="G246" s="54" t="n"/>
      <c r="H246" s="46" t="n"/>
      <c r="I246" s="46" t="n"/>
      <c r="J246" s="46" t="n"/>
      <c r="K246" s="49" t="str">
        <f>IF($A246="","",IFERROR(INDEX(Suppliers!$B$2:$B$51,MATCH($B246,Suppliers!$A$2:$A$51,0))&amp;"","(not found)"))</f>
        <v/>
      </c>
      <c r="L246" s="49" t="str">
        <f>IF($A246="","",IFERROR(INDEX(Products!$B$2:$B$101,MATCH($C246,Products!$A$2:$A$101,0))&amp;"","(not found)"))</f>
        <v/>
      </c>
      <c r="M246" s="50" t="str">
        <f>IF($A246="","",SUMIFS(Inventory_Ledger!$E$2:$E$2001,Inventory_Ledger!$H$2:$H$2001,$A246,Inventory_Ledger!$C$2:$C$2001,"Receipt",Inventory_Ledger!$D$2:$D$2001,$C246))</f>
        <v/>
      </c>
      <c r="N246" s="50" t="str">
        <f>IF($A246="","",IF(IFERROR(INDEX(Config!$D$15:$D$34,MATCH($H246,Config!$C$15:$C$34,0)),"No")="Yes",MAX(0,IF(ISNUMBER($D246),$D246,0)-$M246),0))</f>
        <v/>
      </c>
      <c r="O246" s="52" t="str">
        <f>IF($A246="","",IF($N246&gt;0,1,0))</f>
        <v/>
      </c>
      <c r="P246" s="52" t="str">
        <f>IF($A246="","",IF(AND($O246=1,ISNUMBER($G246)),IF($G246&lt;Config!$B$4,1,0),0))</f>
        <v/>
      </c>
      <c r="Q246" s="52" t="str">
        <f>IF($A246="","",IF($P246=1,Config!$B$4-$G246,0))</f>
        <v/>
      </c>
      <c r="R246" s="53" t="str">
        <f>IF($A246="","",IF(AND(ISNUMBER($D246),ISNUMBER($E246)),$D246*$E246,""))</f>
        <v/>
      </c>
      <c r="S246" s="49" t="str">
        <f>IF(COUNTA($A246:$J246)=0,"",IF($A246="","Missing: PO ID",IF(COUNTIF($A$2:$A$301,$A246)&gt;1,"Duplicate PO ID",IF($B246="","Missing: supplier",IF($C246="","Missing: SKU",IF(NOT(ISNUMBER($D246)),"Missing: qty",IF(NOT(ISNUMBER($F246)),"Missing: order date",IF(NOT(ISNUMBER($G246)),"Missing: expected date",IF($H246="","Missing: status",IF($I246="","Missing: source link",IF(COUNTIF(Suppliers!$A$2:$A$51,$B246)=0,"Unknown supplier",IF(COUNTIF(Products!$A$2:$A$101,$C246)=0,"Unknown SKU",IF(COUNTIF(Config!$C$15:$C$34,$H246)=0,"Unsupported status",IF($D246&lt;=0,"Qty must be above 0",IF($G246&lt;$F246,"Expected date before order date",IF($M246&gt;$D246,"Received more than ordered",IF(AND($H246="Received",$M246&lt;$D246),"Status Received but not fully received",IF(AND(IFERROR(INDEX(Config!$D$15:$D$34,MATCH($H246,Config!$C$15:$C$34,0)),"No")="Yes",$M246&gt;=$D246),"Fully received: update status","OK"))))))))))))))))))</f>
        <v/>
      </c>
      <c r="T246" s="52" t="str">
        <f>IF($O246=1,IFERROR(COUNTIFS($O$2:$O$301,1,$G$2:$G$301,"&lt;"&amp;$G246)+COUNTIFS($O$2:$O246,1,$G$2:$G246,$G246),""),"")</f>
        <v/>
      </c>
    </row>
    <row r="247">
      <c r="A247" s="46" t="n"/>
      <c r="B247" s="46" t="n"/>
      <c r="C247" s="46" t="n"/>
      <c r="D247" s="48" t="n"/>
      <c r="E247" s="47" t="n"/>
      <c r="F247" s="54" t="n"/>
      <c r="G247" s="54" t="n"/>
      <c r="H247" s="46" t="n"/>
      <c r="I247" s="46" t="n"/>
      <c r="J247" s="46" t="n"/>
      <c r="K247" s="49" t="str">
        <f>IF($A247="","",IFERROR(INDEX(Suppliers!$B$2:$B$51,MATCH($B247,Suppliers!$A$2:$A$51,0))&amp;"","(not found)"))</f>
        <v/>
      </c>
      <c r="L247" s="49" t="str">
        <f>IF($A247="","",IFERROR(INDEX(Products!$B$2:$B$101,MATCH($C247,Products!$A$2:$A$101,0))&amp;"","(not found)"))</f>
        <v/>
      </c>
      <c r="M247" s="50" t="str">
        <f>IF($A247="","",SUMIFS(Inventory_Ledger!$E$2:$E$2001,Inventory_Ledger!$H$2:$H$2001,$A247,Inventory_Ledger!$C$2:$C$2001,"Receipt",Inventory_Ledger!$D$2:$D$2001,$C247))</f>
        <v/>
      </c>
      <c r="N247" s="50" t="str">
        <f>IF($A247="","",IF(IFERROR(INDEX(Config!$D$15:$D$34,MATCH($H247,Config!$C$15:$C$34,0)),"No")="Yes",MAX(0,IF(ISNUMBER($D247),$D247,0)-$M247),0))</f>
        <v/>
      </c>
      <c r="O247" s="52" t="str">
        <f>IF($A247="","",IF($N247&gt;0,1,0))</f>
        <v/>
      </c>
      <c r="P247" s="52" t="str">
        <f>IF($A247="","",IF(AND($O247=1,ISNUMBER($G247)),IF($G247&lt;Config!$B$4,1,0),0))</f>
        <v/>
      </c>
      <c r="Q247" s="52" t="str">
        <f>IF($A247="","",IF($P247=1,Config!$B$4-$G247,0))</f>
        <v/>
      </c>
      <c r="R247" s="53" t="str">
        <f>IF($A247="","",IF(AND(ISNUMBER($D247),ISNUMBER($E247)),$D247*$E247,""))</f>
        <v/>
      </c>
      <c r="S247" s="49" t="str">
        <f>IF(COUNTA($A247:$J247)=0,"",IF($A247="","Missing: PO ID",IF(COUNTIF($A$2:$A$301,$A247)&gt;1,"Duplicate PO ID",IF($B247="","Missing: supplier",IF($C247="","Missing: SKU",IF(NOT(ISNUMBER($D247)),"Missing: qty",IF(NOT(ISNUMBER($F247)),"Missing: order date",IF(NOT(ISNUMBER($G247)),"Missing: expected date",IF($H247="","Missing: status",IF($I247="","Missing: source link",IF(COUNTIF(Suppliers!$A$2:$A$51,$B247)=0,"Unknown supplier",IF(COUNTIF(Products!$A$2:$A$101,$C247)=0,"Unknown SKU",IF(COUNTIF(Config!$C$15:$C$34,$H247)=0,"Unsupported status",IF($D247&lt;=0,"Qty must be above 0",IF($G247&lt;$F247,"Expected date before order date",IF($M247&gt;$D247,"Received more than ordered",IF(AND($H247="Received",$M247&lt;$D247),"Status Received but not fully received",IF(AND(IFERROR(INDEX(Config!$D$15:$D$34,MATCH($H247,Config!$C$15:$C$34,0)),"No")="Yes",$M247&gt;=$D247),"Fully received: update status","OK"))))))))))))))))))</f>
        <v/>
      </c>
      <c r="T247" s="52" t="str">
        <f>IF($O247=1,IFERROR(COUNTIFS($O$2:$O$301,1,$G$2:$G$301,"&lt;"&amp;$G247)+COUNTIFS($O$2:$O247,1,$G$2:$G247,$G247),""),"")</f>
        <v/>
      </c>
    </row>
    <row r="248">
      <c r="A248" s="46" t="n"/>
      <c r="B248" s="46" t="n"/>
      <c r="C248" s="46" t="n"/>
      <c r="D248" s="48" t="n"/>
      <c r="E248" s="47" t="n"/>
      <c r="F248" s="54" t="n"/>
      <c r="G248" s="54" t="n"/>
      <c r="H248" s="46" t="n"/>
      <c r="I248" s="46" t="n"/>
      <c r="J248" s="46" t="n"/>
      <c r="K248" s="49" t="str">
        <f>IF($A248="","",IFERROR(INDEX(Suppliers!$B$2:$B$51,MATCH($B248,Suppliers!$A$2:$A$51,0))&amp;"","(not found)"))</f>
        <v/>
      </c>
      <c r="L248" s="49" t="str">
        <f>IF($A248="","",IFERROR(INDEX(Products!$B$2:$B$101,MATCH($C248,Products!$A$2:$A$101,0))&amp;"","(not found)"))</f>
        <v/>
      </c>
      <c r="M248" s="50" t="str">
        <f>IF($A248="","",SUMIFS(Inventory_Ledger!$E$2:$E$2001,Inventory_Ledger!$H$2:$H$2001,$A248,Inventory_Ledger!$C$2:$C$2001,"Receipt",Inventory_Ledger!$D$2:$D$2001,$C248))</f>
        <v/>
      </c>
      <c r="N248" s="50" t="str">
        <f>IF($A248="","",IF(IFERROR(INDEX(Config!$D$15:$D$34,MATCH($H248,Config!$C$15:$C$34,0)),"No")="Yes",MAX(0,IF(ISNUMBER($D248),$D248,0)-$M248),0))</f>
        <v/>
      </c>
      <c r="O248" s="52" t="str">
        <f>IF($A248="","",IF($N248&gt;0,1,0))</f>
        <v/>
      </c>
      <c r="P248" s="52" t="str">
        <f>IF($A248="","",IF(AND($O248=1,ISNUMBER($G248)),IF($G248&lt;Config!$B$4,1,0),0))</f>
        <v/>
      </c>
      <c r="Q248" s="52" t="str">
        <f>IF($A248="","",IF($P248=1,Config!$B$4-$G248,0))</f>
        <v/>
      </c>
      <c r="R248" s="53" t="str">
        <f>IF($A248="","",IF(AND(ISNUMBER($D248),ISNUMBER($E248)),$D248*$E248,""))</f>
        <v/>
      </c>
      <c r="S248" s="49" t="str">
        <f>IF(COUNTA($A248:$J248)=0,"",IF($A248="","Missing: PO ID",IF(COUNTIF($A$2:$A$301,$A248)&gt;1,"Duplicate PO ID",IF($B248="","Missing: supplier",IF($C248="","Missing: SKU",IF(NOT(ISNUMBER($D248)),"Missing: qty",IF(NOT(ISNUMBER($F248)),"Missing: order date",IF(NOT(ISNUMBER($G248)),"Missing: expected date",IF($H248="","Missing: status",IF($I248="","Missing: source link",IF(COUNTIF(Suppliers!$A$2:$A$51,$B248)=0,"Unknown supplier",IF(COUNTIF(Products!$A$2:$A$101,$C248)=0,"Unknown SKU",IF(COUNTIF(Config!$C$15:$C$34,$H248)=0,"Unsupported status",IF($D248&lt;=0,"Qty must be above 0",IF($G248&lt;$F248,"Expected date before order date",IF($M248&gt;$D248,"Received more than ordered",IF(AND($H248="Received",$M248&lt;$D248),"Status Received but not fully received",IF(AND(IFERROR(INDEX(Config!$D$15:$D$34,MATCH($H248,Config!$C$15:$C$34,0)),"No")="Yes",$M248&gt;=$D248),"Fully received: update status","OK"))))))))))))))))))</f>
        <v/>
      </c>
      <c r="T248" s="52" t="str">
        <f>IF($O248=1,IFERROR(COUNTIFS($O$2:$O$301,1,$G$2:$G$301,"&lt;"&amp;$G248)+COUNTIFS($O$2:$O248,1,$G$2:$G248,$G248),""),"")</f>
        <v/>
      </c>
    </row>
    <row r="249">
      <c r="A249" s="46" t="n"/>
      <c r="B249" s="46" t="n"/>
      <c r="C249" s="46" t="n"/>
      <c r="D249" s="48" t="n"/>
      <c r="E249" s="47" t="n"/>
      <c r="F249" s="54" t="n"/>
      <c r="G249" s="54" t="n"/>
      <c r="H249" s="46" t="n"/>
      <c r="I249" s="46" t="n"/>
      <c r="J249" s="46" t="n"/>
      <c r="K249" s="49" t="str">
        <f>IF($A249="","",IFERROR(INDEX(Suppliers!$B$2:$B$51,MATCH($B249,Suppliers!$A$2:$A$51,0))&amp;"","(not found)"))</f>
        <v/>
      </c>
      <c r="L249" s="49" t="str">
        <f>IF($A249="","",IFERROR(INDEX(Products!$B$2:$B$101,MATCH($C249,Products!$A$2:$A$101,0))&amp;"","(not found)"))</f>
        <v/>
      </c>
      <c r="M249" s="50" t="str">
        <f>IF($A249="","",SUMIFS(Inventory_Ledger!$E$2:$E$2001,Inventory_Ledger!$H$2:$H$2001,$A249,Inventory_Ledger!$C$2:$C$2001,"Receipt",Inventory_Ledger!$D$2:$D$2001,$C249))</f>
        <v/>
      </c>
      <c r="N249" s="50" t="str">
        <f>IF($A249="","",IF(IFERROR(INDEX(Config!$D$15:$D$34,MATCH($H249,Config!$C$15:$C$34,0)),"No")="Yes",MAX(0,IF(ISNUMBER($D249),$D249,0)-$M249),0))</f>
        <v/>
      </c>
      <c r="O249" s="52" t="str">
        <f>IF($A249="","",IF($N249&gt;0,1,0))</f>
        <v/>
      </c>
      <c r="P249" s="52" t="str">
        <f>IF($A249="","",IF(AND($O249=1,ISNUMBER($G249)),IF($G249&lt;Config!$B$4,1,0),0))</f>
        <v/>
      </c>
      <c r="Q249" s="52" t="str">
        <f>IF($A249="","",IF($P249=1,Config!$B$4-$G249,0))</f>
        <v/>
      </c>
      <c r="R249" s="53" t="str">
        <f>IF($A249="","",IF(AND(ISNUMBER($D249),ISNUMBER($E249)),$D249*$E249,""))</f>
        <v/>
      </c>
      <c r="S249" s="49" t="str">
        <f>IF(COUNTA($A249:$J249)=0,"",IF($A249="","Missing: PO ID",IF(COUNTIF($A$2:$A$301,$A249)&gt;1,"Duplicate PO ID",IF($B249="","Missing: supplier",IF($C249="","Missing: SKU",IF(NOT(ISNUMBER($D249)),"Missing: qty",IF(NOT(ISNUMBER($F249)),"Missing: order date",IF(NOT(ISNUMBER($G249)),"Missing: expected date",IF($H249="","Missing: status",IF($I249="","Missing: source link",IF(COUNTIF(Suppliers!$A$2:$A$51,$B249)=0,"Unknown supplier",IF(COUNTIF(Products!$A$2:$A$101,$C249)=0,"Unknown SKU",IF(COUNTIF(Config!$C$15:$C$34,$H249)=0,"Unsupported status",IF($D249&lt;=0,"Qty must be above 0",IF($G249&lt;$F249,"Expected date before order date",IF($M249&gt;$D249,"Received more than ordered",IF(AND($H249="Received",$M249&lt;$D249),"Status Received but not fully received",IF(AND(IFERROR(INDEX(Config!$D$15:$D$34,MATCH($H249,Config!$C$15:$C$34,0)),"No")="Yes",$M249&gt;=$D249),"Fully received: update status","OK"))))))))))))))))))</f>
        <v/>
      </c>
      <c r="T249" s="52" t="str">
        <f>IF($O249=1,IFERROR(COUNTIFS($O$2:$O$301,1,$G$2:$G$301,"&lt;"&amp;$G249)+COUNTIFS($O$2:$O249,1,$G$2:$G249,$G249),""),"")</f>
        <v/>
      </c>
    </row>
    <row r="250">
      <c r="A250" s="46" t="n"/>
      <c r="B250" s="46" t="n"/>
      <c r="C250" s="46" t="n"/>
      <c r="D250" s="48" t="n"/>
      <c r="E250" s="47" t="n"/>
      <c r="F250" s="54" t="n"/>
      <c r="G250" s="54" t="n"/>
      <c r="H250" s="46" t="n"/>
      <c r="I250" s="46" t="n"/>
      <c r="J250" s="46" t="n"/>
      <c r="K250" s="49" t="str">
        <f>IF($A250="","",IFERROR(INDEX(Suppliers!$B$2:$B$51,MATCH($B250,Suppliers!$A$2:$A$51,0))&amp;"","(not found)"))</f>
        <v/>
      </c>
      <c r="L250" s="49" t="str">
        <f>IF($A250="","",IFERROR(INDEX(Products!$B$2:$B$101,MATCH($C250,Products!$A$2:$A$101,0))&amp;"","(not found)"))</f>
        <v/>
      </c>
      <c r="M250" s="50" t="str">
        <f>IF($A250="","",SUMIFS(Inventory_Ledger!$E$2:$E$2001,Inventory_Ledger!$H$2:$H$2001,$A250,Inventory_Ledger!$C$2:$C$2001,"Receipt",Inventory_Ledger!$D$2:$D$2001,$C250))</f>
        <v/>
      </c>
      <c r="N250" s="50" t="str">
        <f>IF($A250="","",IF(IFERROR(INDEX(Config!$D$15:$D$34,MATCH($H250,Config!$C$15:$C$34,0)),"No")="Yes",MAX(0,IF(ISNUMBER($D250),$D250,0)-$M250),0))</f>
        <v/>
      </c>
      <c r="O250" s="52" t="str">
        <f>IF($A250="","",IF($N250&gt;0,1,0))</f>
        <v/>
      </c>
      <c r="P250" s="52" t="str">
        <f>IF($A250="","",IF(AND($O250=1,ISNUMBER($G250)),IF($G250&lt;Config!$B$4,1,0),0))</f>
        <v/>
      </c>
      <c r="Q250" s="52" t="str">
        <f>IF($A250="","",IF($P250=1,Config!$B$4-$G250,0))</f>
        <v/>
      </c>
      <c r="R250" s="53" t="str">
        <f>IF($A250="","",IF(AND(ISNUMBER($D250),ISNUMBER($E250)),$D250*$E250,""))</f>
        <v/>
      </c>
      <c r="S250" s="49" t="str">
        <f>IF(COUNTA($A250:$J250)=0,"",IF($A250="","Missing: PO ID",IF(COUNTIF($A$2:$A$301,$A250)&gt;1,"Duplicate PO ID",IF($B250="","Missing: supplier",IF($C250="","Missing: SKU",IF(NOT(ISNUMBER($D250)),"Missing: qty",IF(NOT(ISNUMBER($F250)),"Missing: order date",IF(NOT(ISNUMBER($G250)),"Missing: expected date",IF($H250="","Missing: status",IF($I250="","Missing: source link",IF(COUNTIF(Suppliers!$A$2:$A$51,$B250)=0,"Unknown supplier",IF(COUNTIF(Products!$A$2:$A$101,$C250)=0,"Unknown SKU",IF(COUNTIF(Config!$C$15:$C$34,$H250)=0,"Unsupported status",IF($D250&lt;=0,"Qty must be above 0",IF($G250&lt;$F250,"Expected date before order date",IF($M250&gt;$D250,"Received more than ordered",IF(AND($H250="Received",$M250&lt;$D250),"Status Received but not fully received",IF(AND(IFERROR(INDEX(Config!$D$15:$D$34,MATCH($H250,Config!$C$15:$C$34,0)),"No")="Yes",$M250&gt;=$D250),"Fully received: update status","OK"))))))))))))))))))</f>
        <v/>
      </c>
      <c r="T250" s="52" t="str">
        <f>IF($O250=1,IFERROR(COUNTIFS($O$2:$O$301,1,$G$2:$G$301,"&lt;"&amp;$G250)+COUNTIFS($O$2:$O250,1,$G$2:$G250,$G250),""),"")</f>
        <v/>
      </c>
    </row>
    <row r="251">
      <c r="A251" s="46" t="n"/>
      <c r="B251" s="46" t="n"/>
      <c r="C251" s="46" t="n"/>
      <c r="D251" s="48" t="n"/>
      <c r="E251" s="47" t="n"/>
      <c r="F251" s="54" t="n"/>
      <c r="G251" s="54" t="n"/>
      <c r="H251" s="46" t="n"/>
      <c r="I251" s="46" t="n"/>
      <c r="J251" s="46" t="n"/>
      <c r="K251" s="49" t="str">
        <f>IF($A251="","",IFERROR(INDEX(Suppliers!$B$2:$B$51,MATCH($B251,Suppliers!$A$2:$A$51,0))&amp;"","(not found)"))</f>
        <v/>
      </c>
      <c r="L251" s="49" t="str">
        <f>IF($A251="","",IFERROR(INDEX(Products!$B$2:$B$101,MATCH($C251,Products!$A$2:$A$101,0))&amp;"","(not found)"))</f>
        <v/>
      </c>
      <c r="M251" s="50" t="str">
        <f>IF($A251="","",SUMIFS(Inventory_Ledger!$E$2:$E$2001,Inventory_Ledger!$H$2:$H$2001,$A251,Inventory_Ledger!$C$2:$C$2001,"Receipt",Inventory_Ledger!$D$2:$D$2001,$C251))</f>
        <v/>
      </c>
      <c r="N251" s="50" t="str">
        <f>IF($A251="","",IF(IFERROR(INDEX(Config!$D$15:$D$34,MATCH($H251,Config!$C$15:$C$34,0)),"No")="Yes",MAX(0,IF(ISNUMBER($D251),$D251,0)-$M251),0))</f>
        <v/>
      </c>
      <c r="O251" s="52" t="str">
        <f>IF($A251="","",IF($N251&gt;0,1,0))</f>
        <v/>
      </c>
      <c r="P251" s="52" t="str">
        <f>IF($A251="","",IF(AND($O251=1,ISNUMBER($G251)),IF($G251&lt;Config!$B$4,1,0),0))</f>
        <v/>
      </c>
      <c r="Q251" s="52" t="str">
        <f>IF($A251="","",IF($P251=1,Config!$B$4-$G251,0))</f>
        <v/>
      </c>
      <c r="R251" s="53" t="str">
        <f>IF($A251="","",IF(AND(ISNUMBER($D251),ISNUMBER($E251)),$D251*$E251,""))</f>
        <v/>
      </c>
      <c r="S251" s="49" t="str">
        <f>IF(COUNTA($A251:$J251)=0,"",IF($A251="","Missing: PO ID",IF(COUNTIF($A$2:$A$301,$A251)&gt;1,"Duplicate PO ID",IF($B251="","Missing: supplier",IF($C251="","Missing: SKU",IF(NOT(ISNUMBER($D251)),"Missing: qty",IF(NOT(ISNUMBER($F251)),"Missing: order date",IF(NOT(ISNUMBER($G251)),"Missing: expected date",IF($H251="","Missing: status",IF($I251="","Missing: source link",IF(COUNTIF(Suppliers!$A$2:$A$51,$B251)=0,"Unknown supplier",IF(COUNTIF(Products!$A$2:$A$101,$C251)=0,"Unknown SKU",IF(COUNTIF(Config!$C$15:$C$34,$H251)=0,"Unsupported status",IF($D251&lt;=0,"Qty must be above 0",IF($G251&lt;$F251,"Expected date before order date",IF($M251&gt;$D251,"Received more than ordered",IF(AND($H251="Received",$M251&lt;$D251),"Status Received but not fully received",IF(AND(IFERROR(INDEX(Config!$D$15:$D$34,MATCH($H251,Config!$C$15:$C$34,0)),"No")="Yes",$M251&gt;=$D251),"Fully received: update status","OK"))))))))))))))))))</f>
        <v/>
      </c>
      <c r="T251" s="52" t="str">
        <f>IF($O251=1,IFERROR(COUNTIFS($O$2:$O$301,1,$G$2:$G$301,"&lt;"&amp;$G251)+COUNTIFS($O$2:$O251,1,$G$2:$G251,$G251),""),"")</f>
        <v/>
      </c>
    </row>
    <row r="252">
      <c r="A252" s="46" t="n"/>
      <c r="B252" s="46" t="n"/>
      <c r="C252" s="46" t="n"/>
      <c r="D252" s="48" t="n"/>
      <c r="E252" s="47" t="n"/>
      <c r="F252" s="54" t="n"/>
      <c r="G252" s="54" t="n"/>
      <c r="H252" s="46" t="n"/>
      <c r="I252" s="46" t="n"/>
      <c r="J252" s="46" t="n"/>
      <c r="K252" s="49" t="str">
        <f>IF($A252="","",IFERROR(INDEX(Suppliers!$B$2:$B$51,MATCH($B252,Suppliers!$A$2:$A$51,0))&amp;"","(not found)"))</f>
        <v/>
      </c>
      <c r="L252" s="49" t="str">
        <f>IF($A252="","",IFERROR(INDEX(Products!$B$2:$B$101,MATCH($C252,Products!$A$2:$A$101,0))&amp;"","(not found)"))</f>
        <v/>
      </c>
      <c r="M252" s="50" t="str">
        <f>IF($A252="","",SUMIFS(Inventory_Ledger!$E$2:$E$2001,Inventory_Ledger!$H$2:$H$2001,$A252,Inventory_Ledger!$C$2:$C$2001,"Receipt",Inventory_Ledger!$D$2:$D$2001,$C252))</f>
        <v/>
      </c>
      <c r="N252" s="50" t="str">
        <f>IF($A252="","",IF(IFERROR(INDEX(Config!$D$15:$D$34,MATCH($H252,Config!$C$15:$C$34,0)),"No")="Yes",MAX(0,IF(ISNUMBER($D252),$D252,0)-$M252),0))</f>
        <v/>
      </c>
      <c r="O252" s="52" t="str">
        <f>IF($A252="","",IF($N252&gt;0,1,0))</f>
        <v/>
      </c>
      <c r="P252" s="52" t="str">
        <f>IF($A252="","",IF(AND($O252=1,ISNUMBER($G252)),IF($G252&lt;Config!$B$4,1,0),0))</f>
        <v/>
      </c>
      <c r="Q252" s="52" t="str">
        <f>IF($A252="","",IF($P252=1,Config!$B$4-$G252,0))</f>
        <v/>
      </c>
      <c r="R252" s="53" t="str">
        <f>IF($A252="","",IF(AND(ISNUMBER($D252),ISNUMBER($E252)),$D252*$E252,""))</f>
        <v/>
      </c>
      <c r="S252" s="49" t="str">
        <f>IF(COUNTA($A252:$J252)=0,"",IF($A252="","Missing: PO ID",IF(COUNTIF($A$2:$A$301,$A252)&gt;1,"Duplicate PO ID",IF($B252="","Missing: supplier",IF($C252="","Missing: SKU",IF(NOT(ISNUMBER($D252)),"Missing: qty",IF(NOT(ISNUMBER($F252)),"Missing: order date",IF(NOT(ISNUMBER($G252)),"Missing: expected date",IF($H252="","Missing: status",IF($I252="","Missing: source link",IF(COUNTIF(Suppliers!$A$2:$A$51,$B252)=0,"Unknown supplier",IF(COUNTIF(Products!$A$2:$A$101,$C252)=0,"Unknown SKU",IF(COUNTIF(Config!$C$15:$C$34,$H252)=0,"Unsupported status",IF($D252&lt;=0,"Qty must be above 0",IF($G252&lt;$F252,"Expected date before order date",IF($M252&gt;$D252,"Received more than ordered",IF(AND($H252="Received",$M252&lt;$D252),"Status Received but not fully received",IF(AND(IFERROR(INDEX(Config!$D$15:$D$34,MATCH($H252,Config!$C$15:$C$34,0)),"No")="Yes",$M252&gt;=$D252),"Fully received: update status","OK"))))))))))))))))))</f>
        <v/>
      </c>
      <c r="T252" s="52" t="str">
        <f>IF($O252=1,IFERROR(COUNTIFS($O$2:$O$301,1,$G$2:$G$301,"&lt;"&amp;$G252)+COUNTIFS($O$2:$O252,1,$G$2:$G252,$G252),""),"")</f>
        <v/>
      </c>
    </row>
    <row r="253">
      <c r="A253" s="46" t="n"/>
      <c r="B253" s="46" t="n"/>
      <c r="C253" s="46" t="n"/>
      <c r="D253" s="48" t="n"/>
      <c r="E253" s="47" t="n"/>
      <c r="F253" s="54" t="n"/>
      <c r="G253" s="54" t="n"/>
      <c r="H253" s="46" t="n"/>
      <c r="I253" s="46" t="n"/>
      <c r="J253" s="46" t="n"/>
      <c r="K253" s="49" t="str">
        <f>IF($A253="","",IFERROR(INDEX(Suppliers!$B$2:$B$51,MATCH($B253,Suppliers!$A$2:$A$51,0))&amp;"","(not found)"))</f>
        <v/>
      </c>
      <c r="L253" s="49" t="str">
        <f>IF($A253="","",IFERROR(INDEX(Products!$B$2:$B$101,MATCH($C253,Products!$A$2:$A$101,0))&amp;"","(not found)"))</f>
        <v/>
      </c>
      <c r="M253" s="50" t="str">
        <f>IF($A253="","",SUMIFS(Inventory_Ledger!$E$2:$E$2001,Inventory_Ledger!$H$2:$H$2001,$A253,Inventory_Ledger!$C$2:$C$2001,"Receipt",Inventory_Ledger!$D$2:$D$2001,$C253))</f>
        <v/>
      </c>
      <c r="N253" s="50" t="str">
        <f>IF($A253="","",IF(IFERROR(INDEX(Config!$D$15:$D$34,MATCH($H253,Config!$C$15:$C$34,0)),"No")="Yes",MAX(0,IF(ISNUMBER($D253),$D253,0)-$M253),0))</f>
        <v/>
      </c>
      <c r="O253" s="52" t="str">
        <f>IF($A253="","",IF($N253&gt;0,1,0))</f>
        <v/>
      </c>
      <c r="P253" s="52" t="str">
        <f>IF($A253="","",IF(AND($O253=1,ISNUMBER($G253)),IF($G253&lt;Config!$B$4,1,0),0))</f>
        <v/>
      </c>
      <c r="Q253" s="52" t="str">
        <f>IF($A253="","",IF($P253=1,Config!$B$4-$G253,0))</f>
        <v/>
      </c>
      <c r="R253" s="53" t="str">
        <f>IF($A253="","",IF(AND(ISNUMBER($D253),ISNUMBER($E253)),$D253*$E253,""))</f>
        <v/>
      </c>
      <c r="S253" s="49" t="str">
        <f>IF(COUNTA($A253:$J253)=0,"",IF($A253="","Missing: PO ID",IF(COUNTIF($A$2:$A$301,$A253)&gt;1,"Duplicate PO ID",IF($B253="","Missing: supplier",IF($C253="","Missing: SKU",IF(NOT(ISNUMBER($D253)),"Missing: qty",IF(NOT(ISNUMBER($F253)),"Missing: order date",IF(NOT(ISNUMBER($G253)),"Missing: expected date",IF($H253="","Missing: status",IF($I253="","Missing: source link",IF(COUNTIF(Suppliers!$A$2:$A$51,$B253)=0,"Unknown supplier",IF(COUNTIF(Products!$A$2:$A$101,$C253)=0,"Unknown SKU",IF(COUNTIF(Config!$C$15:$C$34,$H253)=0,"Unsupported status",IF($D253&lt;=0,"Qty must be above 0",IF($G253&lt;$F253,"Expected date before order date",IF($M253&gt;$D253,"Received more than ordered",IF(AND($H253="Received",$M253&lt;$D253),"Status Received but not fully received",IF(AND(IFERROR(INDEX(Config!$D$15:$D$34,MATCH($H253,Config!$C$15:$C$34,0)),"No")="Yes",$M253&gt;=$D253),"Fully received: update status","OK"))))))))))))))))))</f>
        <v/>
      </c>
      <c r="T253" s="52" t="str">
        <f>IF($O253=1,IFERROR(COUNTIFS($O$2:$O$301,1,$G$2:$G$301,"&lt;"&amp;$G253)+COUNTIFS($O$2:$O253,1,$G$2:$G253,$G253),""),"")</f>
        <v/>
      </c>
    </row>
    <row r="254">
      <c r="A254" s="46" t="n"/>
      <c r="B254" s="46" t="n"/>
      <c r="C254" s="46" t="n"/>
      <c r="D254" s="48" t="n"/>
      <c r="E254" s="47" t="n"/>
      <c r="F254" s="54" t="n"/>
      <c r="G254" s="54" t="n"/>
      <c r="H254" s="46" t="n"/>
      <c r="I254" s="46" t="n"/>
      <c r="J254" s="46" t="n"/>
      <c r="K254" s="49" t="str">
        <f>IF($A254="","",IFERROR(INDEX(Suppliers!$B$2:$B$51,MATCH($B254,Suppliers!$A$2:$A$51,0))&amp;"","(not found)"))</f>
        <v/>
      </c>
      <c r="L254" s="49" t="str">
        <f>IF($A254="","",IFERROR(INDEX(Products!$B$2:$B$101,MATCH($C254,Products!$A$2:$A$101,0))&amp;"","(not found)"))</f>
        <v/>
      </c>
      <c r="M254" s="50" t="str">
        <f>IF($A254="","",SUMIFS(Inventory_Ledger!$E$2:$E$2001,Inventory_Ledger!$H$2:$H$2001,$A254,Inventory_Ledger!$C$2:$C$2001,"Receipt",Inventory_Ledger!$D$2:$D$2001,$C254))</f>
        <v/>
      </c>
      <c r="N254" s="50" t="str">
        <f>IF($A254="","",IF(IFERROR(INDEX(Config!$D$15:$D$34,MATCH($H254,Config!$C$15:$C$34,0)),"No")="Yes",MAX(0,IF(ISNUMBER($D254),$D254,0)-$M254),0))</f>
        <v/>
      </c>
      <c r="O254" s="52" t="str">
        <f>IF($A254="","",IF($N254&gt;0,1,0))</f>
        <v/>
      </c>
      <c r="P254" s="52" t="str">
        <f>IF($A254="","",IF(AND($O254=1,ISNUMBER($G254)),IF($G254&lt;Config!$B$4,1,0),0))</f>
        <v/>
      </c>
      <c r="Q254" s="52" t="str">
        <f>IF($A254="","",IF($P254=1,Config!$B$4-$G254,0))</f>
        <v/>
      </c>
      <c r="R254" s="53" t="str">
        <f>IF($A254="","",IF(AND(ISNUMBER($D254),ISNUMBER($E254)),$D254*$E254,""))</f>
        <v/>
      </c>
      <c r="S254" s="49" t="str">
        <f>IF(COUNTA($A254:$J254)=0,"",IF($A254="","Missing: PO ID",IF(COUNTIF($A$2:$A$301,$A254)&gt;1,"Duplicate PO ID",IF($B254="","Missing: supplier",IF($C254="","Missing: SKU",IF(NOT(ISNUMBER($D254)),"Missing: qty",IF(NOT(ISNUMBER($F254)),"Missing: order date",IF(NOT(ISNUMBER($G254)),"Missing: expected date",IF($H254="","Missing: status",IF($I254="","Missing: source link",IF(COUNTIF(Suppliers!$A$2:$A$51,$B254)=0,"Unknown supplier",IF(COUNTIF(Products!$A$2:$A$101,$C254)=0,"Unknown SKU",IF(COUNTIF(Config!$C$15:$C$34,$H254)=0,"Unsupported status",IF($D254&lt;=0,"Qty must be above 0",IF($G254&lt;$F254,"Expected date before order date",IF($M254&gt;$D254,"Received more than ordered",IF(AND($H254="Received",$M254&lt;$D254),"Status Received but not fully received",IF(AND(IFERROR(INDEX(Config!$D$15:$D$34,MATCH($H254,Config!$C$15:$C$34,0)),"No")="Yes",$M254&gt;=$D254),"Fully received: update status","OK"))))))))))))))))))</f>
        <v/>
      </c>
      <c r="T254" s="52" t="str">
        <f>IF($O254=1,IFERROR(COUNTIFS($O$2:$O$301,1,$G$2:$G$301,"&lt;"&amp;$G254)+COUNTIFS($O$2:$O254,1,$G$2:$G254,$G254),""),"")</f>
        <v/>
      </c>
    </row>
    <row r="255">
      <c r="A255" s="46" t="n"/>
      <c r="B255" s="46" t="n"/>
      <c r="C255" s="46" t="n"/>
      <c r="D255" s="48" t="n"/>
      <c r="E255" s="47" t="n"/>
      <c r="F255" s="54" t="n"/>
      <c r="G255" s="54" t="n"/>
      <c r="H255" s="46" t="n"/>
      <c r="I255" s="46" t="n"/>
      <c r="J255" s="46" t="n"/>
      <c r="K255" s="49" t="str">
        <f>IF($A255="","",IFERROR(INDEX(Suppliers!$B$2:$B$51,MATCH($B255,Suppliers!$A$2:$A$51,0))&amp;"","(not found)"))</f>
        <v/>
      </c>
      <c r="L255" s="49" t="str">
        <f>IF($A255="","",IFERROR(INDEX(Products!$B$2:$B$101,MATCH($C255,Products!$A$2:$A$101,0))&amp;"","(not found)"))</f>
        <v/>
      </c>
      <c r="M255" s="50" t="str">
        <f>IF($A255="","",SUMIFS(Inventory_Ledger!$E$2:$E$2001,Inventory_Ledger!$H$2:$H$2001,$A255,Inventory_Ledger!$C$2:$C$2001,"Receipt",Inventory_Ledger!$D$2:$D$2001,$C255))</f>
        <v/>
      </c>
      <c r="N255" s="50" t="str">
        <f>IF($A255="","",IF(IFERROR(INDEX(Config!$D$15:$D$34,MATCH($H255,Config!$C$15:$C$34,0)),"No")="Yes",MAX(0,IF(ISNUMBER($D255),$D255,0)-$M255),0))</f>
        <v/>
      </c>
      <c r="O255" s="52" t="str">
        <f>IF($A255="","",IF($N255&gt;0,1,0))</f>
        <v/>
      </c>
      <c r="P255" s="52" t="str">
        <f>IF($A255="","",IF(AND($O255=1,ISNUMBER($G255)),IF($G255&lt;Config!$B$4,1,0),0))</f>
        <v/>
      </c>
      <c r="Q255" s="52" t="str">
        <f>IF($A255="","",IF($P255=1,Config!$B$4-$G255,0))</f>
        <v/>
      </c>
      <c r="R255" s="53" t="str">
        <f>IF($A255="","",IF(AND(ISNUMBER($D255),ISNUMBER($E255)),$D255*$E255,""))</f>
        <v/>
      </c>
      <c r="S255" s="49" t="str">
        <f>IF(COUNTA($A255:$J255)=0,"",IF($A255="","Missing: PO ID",IF(COUNTIF($A$2:$A$301,$A255)&gt;1,"Duplicate PO ID",IF($B255="","Missing: supplier",IF($C255="","Missing: SKU",IF(NOT(ISNUMBER($D255)),"Missing: qty",IF(NOT(ISNUMBER($F255)),"Missing: order date",IF(NOT(ISNUMBER($G255)),"Missing: expected date",IF($H255="","Missing: status",IF($I255="","Missing: source link",IF(COUNTIF(Suppliers!$A$2:$A$51,$B255)=0,"Unknown supplier",IF(COUNTIF(Products!$A$2:$A$101,$C255)=0,"Unknown SKU",IF(COUNTIF(Config!$C$15:$C$34,$H255)=0,"Unsupported status",IF($D255&lt;=0,"Qty must be above 0",IF($G255&lt;$F255,"Expected date before order date",IF($M255&gt;$D255,"Received more than ordered",IF(AND($H255="Received",$M255&lt;$D255),"Status Received but not fully received",IF(AND(IFERROR(INDEX(Config!$D$15:$D$34,MATCH($H255,Config!$C$15:$C$34,0)),"No")="Yes",$M255&gt;=$D255),"Fully received: update status","OK"))))))))))))))))))</f>
        <v/>
      </c>
      <c r="T255" s="52" t="str">
        <f>IF($O255=1,IFERROR(COUNTIFS($O$2:$O$301,1,$G$2:$G$301,"&lt;"&amp;$G255)+COUNTIFS($O$2:$O255,1,$G$2:$G255,$G255),""),"")</f>
        <v/>
      </c>
    </row>
    <row r="256">
      <c r="A256" s="46" t="n"/>
      <c r="B256" s="46" t="n"/>
      <c r="C256" s="46" t="n"/>
      <c r="D256" s="48" t="n"/>
      <c r="E256" s="47" t="n"/>
      <c r="F256" s="54" t="n"/>
      <c r="G256" s="54" t="n"/>
      <c r="H256" s="46" t="n"/>
      <c r="I256" s="46" t="n"/>
      <c r="J256" s="46" t="n"/>
      <c r="K256" s="49" t="str">
        <f>IF($A256="","",IFERROR(INDEX(Suppliers!$B$2:$B$51,MATCH($B256,Suppliers!$A$2:$A$51,0))&amp;"","(not found)"))</f>
        <v/>
      </c>
      <c r="L256" s="49" t="str">
        <f>IF($A256="","",IFERROR(INDEX(Products!$B$2:$B$101,MATCH($C256,Products!$A$2:$A$101,0))&amp;"","(not found)"))</f>
        <v/>
      </c>
      <c r="M256" s="50" t="str">
        <f>IF($A256="","",SUMIFS(Inventory_Ledger!$E$2:$E$2001,Inventory_Ledger!$H$2:$H$2001,$A256,Inventory_Ledger!$C$2:$C$2001,"Receipt",Inventory_Ledger!$D$2:$D$2001,$C256))</f>
        <v/>
      </c>
      <c r="N256" s="50" t="str">
        <f>IF($A256="","",IF(IFERROR(INDEX(Config!$D$15:$D$34,MATCH($H256,Config!$C$15:$C$34,0)),"No")="Yes",MAX(0,IF(ISNUMBER($D256),$D256,0)-$M256),0))</f>
        <v/>
      </c>
      <c r="O256" s="52" t="str">
        <f>IF($A256="","",IF($N256&gt;0,1,0))</f>
        <v/>
      </c>
      <c r="P256" s="52" t="str">
        <f>IF($A256="","",IF(AND($O256=1,ISNUMBER($G256)),IF($G256&lt;Config!$B$4,1,0),0))</f>
        <v/>
      </c>
      <c r="Q256" s="52" t="str">
        <f>IF($A256="","",IF($P256=1,Config!$B$4-$G256,0))</f>
        <v/>
      </c>
      <c r="R256" s="53" t="str">
        <f>IF($A256="","",IF(AND(ISNUMBER($D256),ISNUMBER($E256)),$D256*$E256,""))</f>
        <v/>
      </c>
      <c r="S256" s="49" t="str">
        <f>IF(COUNTA($A256:$J256)=0,"",IF($A256="","Missing: PO ID",IF(COUNTIF($A$2:$A$301,$A256)&gt;1,"Duplicate PO ID",IF($B256="","Missing: supplier",IF($C256="","Missing: SKU",IF(NOT(ISNUMBER($D256)),"Missing: qty",IF(NOT(ISNUMBER($F256)),"Missing: order date",IF(NOT(ISNUMBER($G256)),"Missing: expected date",IF($H256="","Missing: status",IF($I256="","Missing: source link",IF(COUNTIF(Suppliers!$A$2:$A$51,$B256)=0,"Unknown supplier",IF(COUNTIF(Products!$A$2:$A$101,$C256)=0,"Unknown SKU",IF(COUNTIF(Config!$C$15:$C$34,$H256)=0,"Unsupported status",IF($D256&lt;=0,"Qty must be above 0",IF($G256&lt;$F256,"Expected date before order date",IF($M256&gt;$D256,"Received more than ordered",IF(AND($H256="Received",$M256&lt;$D256),"Status Received but not fully received",IF(AND(IFERROR(INDEX(Config!$D$15:$D$34,MATCH($H256,Config!$C$15:$C$34,0)),"No")="Yes",$M256&gt;=$D256),"Fully received: update status","OK"))))))))))))))))))</f>
        <v/>
      </c>
      <c r="T256" s="52" t="str">
        <f>IF($O256=1,IFERROR(COUNTIFS($O$2:$O$301,1,$G$2:$G$301,"&lt;"&amp;$G256)+COUNTIFS($O$2:$O256,1,$G$2:$G256,$G256),""),"")</f>
        <v/>
      </c>
    </row>
    <row r="257">
      <c r="A257" s="46" t="n"/>
      <c r="B257" s="46" t="n"/>
      <c r="C257" s="46" t="n"/>
      <c r="D257" s="48" t="n"/>
      <c r="E257" s="47" t="n"/>
      <c r="F257" s="54" t="n"/>
      <c r="G257" s="54" t="n"/>
      <c r="H257" s="46" t="n"/>
      <c r="I257" s="46" t="n"/>
      <c r="J257" s="46" t="n"/>
      <c r="K257" s="49" t="str">
        <f>IF($A257="","",IFERROR(INDEX(Suppliers!$B$2:$B$51,MATCH($B257,Suppliers!$A$2:$A$51,0))&amp;"","(not found)"))</f>
        <v/>
      </c>
      <c r="L257" s="49" t="str">
        <f>IF($A257="","",IFERROR(INDEX(Products!$B$2:$B$101,MATCH($C257,Products!$A$2:$A$101,0))&amp;"","(not found)"))</f>
        <v/>
      </c>
      <c r="M257" s="50" t="str">
        <f>IF($A257="","",SUMIFS(Inventory_Ledger!$E$2:$E$2001,Inventory_Ledger!$H$2:$H$2001,$A257,Inventory_Ledger!$C$2:$C$2001,"Receipt",Inventory_Ledger!$D$2:$D$2001,$C257))</f>
        <v/>
      </c>
      <c r="N257" s="50" t="str">
        <f>IF($A257="","",IF(IFERROR(INDEX(Config!$D$15:$D$34,MATCH($H257,Config!$C$15:$C$34,0)),"No")="Yes",MAX(0,IF(ISNUMBER($D257),$D257,0)-$M257),0))</f>
        <v/>
      </c>
      <c r="O257" s="52" t="str">
        <f>IF($A257="","",IF($N257&gt;0,1,0))</f>
        <v/>
      </c>
      <c r="P257" s="52" t="str">
        <f>IF($A257="","",IF(AND($O257=1,ISNUMBER($G257)),IF($G257&lt;Config!$B$4,1,0),0))</f>
        <v/>
      </c>
      <c r="Q257" s="52" t="str">
        <f>IF($A257="","",IF($P257=1,Config!$B$4-$G257,0))</f>
        <v/>
      </c>
      <c r="R257" s="53" t="str">
        <f>IF($A257="","",IF(AND(ISNUMBER($D257),ISNUMBER($E257)),$D257*$E257,""))</f>
        <v/>
      </c>
      <c r="S257" s="49" t="str">
        <f>IF(COUNTA($A257:$J257)=0,"",IF($A257="","Missing: PO ID",IF(COUNTIF($A$2:$A$301,$A257)&gt;1,"Duplicate PO ID",IF($B257="","Missing: supplier",IF($C257="","Missing: SKU",IF(NOT(ISNUMBER($D257)),"Missing: qty",IF(NOT(ISNUMBER($F257)),"Missing: order date",IF(NOT(ISNUMBER($G257)),"Missing: expected date",IF($H257="","Missing: status",IF($I257="","Missing: source link",IF(COUNTIF(Suppliers!$A$2:$A$51,$B257)=0,"Unknown supplier",IF(COUNTIF(Products!$A$2:$A$101,$C257)=0,"Unknown SKU",IF(COUNTIF(Config!$C$15:$C$34,$H257)=0,"Unsupported status",IF($D257&lt;=0,"Qty must be above 0",IF($G257&lt;$F257,"Expected date before order date",IF($M257&gt;$D257,"Received more than ordered",IF(AND($H257="Received",$M257&lt;$D257),"Status Received but not fully received",IF(AND(IFERROR(INDEX(Config!$D$15:$D$34,MATCH($H257,Config!$C$15:$C$34,0)),"No")="Yes",$M257&gt;=$D257),"Fully received: update status","OK"))))))))))))))))))</f>
        <v/>
      </c>
      <c r="T257" s="52" t="str">
        <f>IF($O257=1,IFERROR(COUNTIFS($O$2:$O$301,1,$G$2:$G$301,"&lt;"&amp;$G257)+COUNTIFS($O$2:$O257,1,$G$2:$G257,$G257),""),"")</f>
        <v/>
      </c>
    </row>
    <row r="258">
      <c r="A258" s="46" t="n"/>
      <c r="B258" s="46" t="n"/>
      <c r="C258" s="46" t="n"/>
      <c r="D258" s="48" t="n"/>
      <c r="E258" s="47" t="n"/>
      <c r="F258" s="54" t="n"/>
      <c r="G258" s="54" t="n"/>
      <c r="H258" s="46" t="n"/>
      <c r="I258" s="46" t="n"/>
      <c r="J258" s="46" t="n"/>
      <c r="K258" s="49" t="str">
        <f>IF($A258="","",IFERROR(INDEX(Suppliers!$B$2:$B$51,MATCH($B258,Suppliers!$A$2:$A$51,0))&amp;"","(not found)"))</f>
        <v/>
      </c>
      <c r="L258" s="49" t="str">
        <f>IF($A258="","",IFERROR(INDEX(Products!$B$2:$B$101,MATCH($C258,Products!$A$2:$A$101,0))&amp;"","(not found)"))</f>
        <v/>
      </c>
      <c r="M258" s="50" t="str">
        <f>IF($A258="","",SUMIFS(Inventory_Ledger!$E$2:$E$2001,Inventory_Ledger!$H$2:$H$2001,$A258,Inventory_Ledger!$C$2:$C$2001,"Receipt",Inventory_Ledger!$D$2:$D$2001,$C258))</f>
        <v/>
      </c>
      <c r="N258" s="50" t="str">
        <f>IF($A258="","",IF(IFERROR(INDEX(Config!$D$15:$D$34,MATCH($H258,Config!$C$15:$C$34,0)),"No")="Yes",MAX(0,IF(ISNUMBER($D258),$D258,0)-$M258),0))</f>
        <v/>
      </c>
      <c r="O258" s="52" t="str">
        <f>IF($A258="","",IF($N258&gt;0,1,0))</f>
        <v/>
      </c>
      <c r="P258" s="52" t="str">
        <f>IF($A258="","",IF(AND($O258=1,ISNUMBER($G258)),IF($G258&lt;Config!$B$4,1,0),0))</f>
        <v/>
      </c>
      <c r="Q258" s="52" t="str">
        <f>IF($A258="","",IF($P258=1,Config!$B$4-$G258,0))</f>
        <v/>
      </c>
      <c r="R258" s="53" t="str">
        <f>IF($A258="","",IF(AND(ISNUMBER($D258),ISNUMBER($E258)),$D258*$E258,""))</f>
        <v/>
      </c>
      <c r="S258" s="49" t="str">
        <f>IF(COUNTA($A258:$J258)=0,"",IF($A258="","Missing: PO ID",IF(COUNTIF($A$2:$A$301,$A258)&gt;1,"Duplicate PO ID",IF($B258="","Missing: supplier",IF($C258="","Missing: SKU",IF(NOT(ISNUMBER($D258)),"Missing: qty",IF(NOT(ISNUMBER($F258)),"Missing: order date",IF(NOT(ISNUMBER($G258)),"Missing: expected date",IF($H258="","Missing: status",IF($I258="","Missing: source link",IF(COUNTIF(Suppliers!$A$2:$A$51,$B258)=0,"Unknown supplier",IF(COUNTIF(Products!$A$2:$A$101,$C258)=0,"Unknown SKU",IF(COUNTIF(Config!$C$15:$C$34,$H258)=0,"Unsupported status",IF($D258&lt;=0,"Qty must be above 0",IF($G258&lt;$F258,"Expected date before order date",IF($M258&gt;$D258,"Received more than ordered",IF(AND($H258="Received",$M258&lt;$D258),"Status Received but not fully received",IF(AND(IFERROR(INDEX(Config!$D$15:$D$34,MATCH($H258,Config!$C$15:$C$34,0)),"No")="Yes",$M258&gt;=$D258),"Fully received: update status","OK"))))))))))))))))))</f>
        <v/>
      </c>
      <c r="T258" s="52" t="str">
        <f>IF($O258=1,IFERROR(COUNTIFS($O$2:$O$301,1,$G$2:$G$301,"&lt;"&amp;$G258)+COUNTIFS($O$2:$O258,1,$G$2:$G258,$G258),""),"")</f>
        <v/>
      </c>
    </row>
    <row r="259">
      <c r="A259" s="46" t="n"/>
      <c r="B259" s="46" t="n"/>
      <c r="C259" s="46" t="n"/>
      <c r="D259" s="48" t="n"/>
      <c r="E259" s="47" t="n"/>
      <c r="F259" s="54" t="n"/>
      <c r="G259" s="54" t="n"/>
      <c r="H259" s="46" t="n"/>
      <c r="I259" s="46" t="n"/>
      <c r="J259" s="46" t="n"/>
      <c r="K259" s="49" t="str">
        <f>IF($A259="","",IFERROR(INDEX(Suppliers!$B$2:$B$51,MATCH($B259,Suppliers!$A$2:$A$51,0))&amp;"","(not found)"))</f>
        <v/>
      </c>
      <c r="L259" s="49" t="str">
        <f>IF($A259="","",IFERROR(INDEX(Products!$B$2:$B$101,MATCH($C259,Products!$A$2:$A$101,0))&amp;"","(not found)"))</f>
        <v/>
      </c>
      <c r="M259" s="50" t="str">
        <f>IF($A259="","",SUMIFS(Inventory_Ledger!$E$2:$E$2001,Inventory_Ledger!$H$2:$H$2001,$A259,Inventory_Ledger!$C$2:$C$2001,"Receipt",Inventory_Ledger!$D$2:$D$2001,$C259))</f>
        <v/>
      </c>
      <c r="N259" s="50" t="str">
        <f>IF($A259="","",IF(IFERROR(INDEX(Config!$D$15:$D$34,MATCH($H259,Config!$C$15:$C$34,0)),"No")="Yes",MAX(0,IF(ISNUMBER($D259),$D259,0)-$M259),0))</f>
        <v/>
      </c>
      <c r="O259" s="52" t="str">
        <f>IF($A259="","",IF($N259&gt;0,1,0))</f>
        <v/>
      </c>
      <c r="P259" s="52" t="str">
        <f>IF($A259="","",IF(AND($O259=1,ISNUMBER($G259)),IF($G259&lt;Config!$B$4,1,0),0))</f>
        <v/>
      </c>
      <c r="Q259" s="52" t="str">
        <f>IF($A259="","",IF($P259=1,Config!$B$4-$G259,0))</f>
        <v/>
      </c>
      <c r="R259" s="53" t="str">
        <f>IF($A259="","",IF(AND(ISNUMBER($D259),ISNUMBER($E259)),$D259*$E259,""))</f>
        <v/>
      </c>
      <c r="S259" s="49" t="str">
        <f>IF(COUNTA($A259:$J259)=0,"",IF($A259="","Missing: PO ID",IF(COUNTIF($A$2:$A$301,$A259)&gt;1,"Duplicate PO ID",IF($B259="","Missing: supplier",IF($C259="","Missing: SKU",IF(NOT(ISNUMBER($D259)),"Missing: qty",IF(NOT(ISNUMBER($F259)),"Missing: order date",IF(NOT(ISNUMBER($G259)),"Missing: expected date",IF($H259="","Missing: status",IF($I259="","Missing: source link",IF(COUNTIF(Suppliers!$A$2:$A$51,$B259)=0,"Unknown supplier",IF(COUNTIF(Products!$A$2:$A$101,$C259)=0,"Unknown SKU",IF(COUNTIF(Config!$C$15:$C$34,$H259)=0,"Unsupported status",IF($D259&lt;=0,"Qty must be above 0",IF($G259&lt;$F259,"Expected date before order date",IF($M259&gt;$D259,"Received more than ordered",IF(AND($H259="Received",$M259&lt;$D259),"Status Received but not fully received",IF(AND(IFERROR(INDEX(Config!$D$15:$D$34,MATCH($H259,Config!$C$15:$C$34,0)),"No")="Yes",$M259&gt;=$D259),"Fully received: update status","OK"))))))))))))))))))</f>
        <v/>
      </c>
      <c r="T259" s="52" t="str">
        <f>IF($O259=1,IFERROR(COUNTIFS($O$2:$O$301,1,$G$2:$G$301,"&lt;"&amp;$G259)+COUNTIFS($O$2:$O259,1,$G$2:$G259,$G259),""),"")</f>
        <v/>
      </c>
    </row>
    <row r="260">
      <c r="A260" s="46" t="n"/>
      <c r="B260" s="46" t="n"/>
      <c r="C260" s="46" t="n"/>
      <c r="D260" s="48" t="n"/>
      <c r="E260" s="47" t="n"/>
      <c r="F260" s="54" t="n"/>
      <c r="G260" s="54" t="n"/>
      <c r="H260" s="46" t="n"/>
      <c r="I260" s="46" t="n"/>
      <c r="J260" s="46" t="n"/>
      <c r="K260" s="49" t="str">
        <f>IF($A260="","",IFERROR(INDEX(Suppliers!$B$2:$B$51,MATCH($B260,Suppliers!$A$2:$A$51,0))&amp;"","(not found)"))</f>
        <v/>
      </c>
      <c r="L260" s="49" t="str">
        <f>IF($A260="","",IFERROR(INDEX(Products!$B$2:$B$101,MATCH($C260,Products!$A$2:$A$101,0))&amp;"","(not found)"))</f>
        <v/>
      </c>
      <c r="M260" s="50" t="str">
        <f>IF($A260="","",SUMIFS(Inventory_Ledger!$E$2:$E$2001,Inventory_Ledger!$H$2:$H$2001,$A260,Inventory_Ledger!$C$2:$C$2001,"Receipt",Inventory_Ledger!$D$2:$D$2001,$C260))</f>
        <v/>
      </c>
      <c r="N260" s="50" t="str">
        <f>IF($A260="","",IF(IFERROR(INDEX(Config!$D$15:$D$34,MATCH($H260,Config!$C$15:$C$34,0)),"No")="Yes",MAX(0,IF(ISNUMBER($D260),$D260,0)-$M260),0))</f>
        <v/>
      </c>
      <c r="O260" s="52" t="str">
        <f>IF($A260="","",IF($N260&gt;0,1,0))</f>
        <v/>
      </c>
      <c r="P260" s="52" t="str">
        <f>IF($A260="","",IF(AND($O260=1,ISNUMBER($G260)),IF($G260&lt;Config!$B$4,1,0),0))</f>
        <v/>
      </c>
      <c r="Q260" s="52" t="str">
        <f>IF($A260="","",IF($P260=1,Config!$B$4-$G260,0))</f>
        <v/>
      </c>
      <c r="R260" s="53" t="str">
        <f>IF($A260="","",IF(AND(ISNUMBER($D260),ISNUMBER($E260)),$D260*$E260,""))</f>
        <v/>
      </c>
      <c r="S260" s="49" t="str">
        <f>IF(COUNTA($A260:$J260)=0,"",IF($A260="","Missing: PO ID",IF(COUNTIF($A$2:$A$301,$A260)&gt;1,"Duplicate PO ID",IF($B260="","Missing: supplier",IF($C260="","Missing: SKU",IF(NOT(ISNUMBER($D260)),"Missing: qty",IF(NOT(ISNUMBER($F260)),"Missing: order date",IF(NOT(ISNUMBER($G260)),"Missing: expected date",IF($H260="","Missing: status",IF($I260="","Missing: source link",IF(COUNTIF(Suppliers!$A$2:$A$51,$B260)=0,"Unknown supplier",IF(COUNTIF(Products!$A$2:$A$101,$C260)=0,"Unknown SKU",IF(COUNTIF(Config!$C$15:$C$34,$H260)=0,"Unsupported status",IF($D260&lt;=0,"Qty must be above 0",IF($G260&lt;$F260,"Expected date before order date",IF($M260&gt;$D260,"Received more than ordered",IF(AND($H260="Received",$M260&lt;$D260),"Status Received but not fully received",IF(AND(IFERROR(INDEX(Config!$D$15:$D$34,MATCH($H260,Config!$C$15:$C$34,0)),"No")="Yes",$M260&gt;=$D260),"Fully received: update status","OK"))))))))))))))))))</f>
        <v/>
      </c>
      <c r="T260" s="52" t="str">
        <f>IF($O260=1,IFERROR(COUNTIFS($O$2:$O$301,1,$G$2:$G$301,"&lt;"&amp;$G260)+COUNTIFS($O$2:$O260,1,$G$2:$G260,$G260),""),"")</f>
        <v/>
      </c>
    </row>
    <row r="261">
      <c r="A261" s="46" t="n"/>
      <c r="B261" s="46" t="n"/>
      <c r="C261" s="46" t="n"/>
      <c r="D261" s="48" t="n"/>
      <c r="E261" s="47" t="n"/>
      <c r="F261" s="54" t="n"/>
      <c r="G261" s="54" t="n"/>
      <c r="H261" s="46" t="n"/>
      <c r="I261" s="46" t="n"/>
      <c r="J261" s="46" t="n"/>
      <c r="K261" s="49" t="str">
        <f>IF($A261="","",IFERROR(INDEX(Suppliers!$B$2:$B$51,MATCH($B261,Suppliers!$A$2:$A$51,0))&amp;"","(not found)"))</f>
        <v/>
      </c>
      <c r="L261" s="49" t="str">
        <f>IF($A261="","",IFERROR(INDEX(Products!$B$2:$B$101,MATCH($C261,Products!$A$2:$A$101,0))&amp;"","(not found)"))</f>
        <v/>
      </c>
      <c r="M261" s="50" t="str">
        <f>IF($A261="","",SUMIFS(Inventory_Ledger!$E$2:$E$2001,Inventory_Ledger!$H$2:$H$2001,$A261,Inventory_Ledger!$C$2:$C$2001,"Receipt",Inventory_Ledger!$D$2:$D$2001,$C261))</f>
        <v/>
      </c>
      <c r="N261" s="50" t="str">
        <f>IF($A261="","",IF(IFERROR(INDEX(Config!$D$15:$D$34,MATCH($H261,Config!$C$15:$C$34,0)),"No")="Yes",MAX(0,IF(ISNUMBER($D261),$D261,0)-$M261),0))</f>
        <v/>
      </c>
      <c r="O261" s="52" t="str">
        <f>IF($A261="","",IF($N261&gt;0,1,0))</f>
        <v/>
      </c>
      <c r="P261" s="52" t="str">
        <f>IF($A261="","",IF(AND($O261=1,ISNUMBER($G261)),IF($G261&lt;Config!$B$4,1,0),0))</f>
        <v/>
      </c>
      <c r="Q261" s="52" t="str">
        <f>IF($A261="","",IF($P261=1,Config!$B$4-$G261,0))</f>
        <v/>
      </c>
      <c r="R261" s="53" t="str">
        <f>IF($A261="","",IF(AND(ISNUMBER($D261),ISNUMBER($E261)),$D261*$E261,""))</f>
        <v/>
      </c>
      <c r="S261" s="49" t="str">
        <f>IF(COUNTA($A261:$J261)=0,"",IF($A261="","Missing: PO ID",IF(COUNTIF($A$2:$A$301,$A261)&gt;1,"Duplicate PO ID",IF($B261="","Missing: supplier",IF($C261="","Missing: SKU",IF(NOT(ISNUMBER($D261)),"Missing: qty",IF(NOT(ISNUMBER($F261)),"Missing: order date",IF(NOT(ISNUMBER($G261)),"Missing: expected date",IF($H261="","Missing: status",IF($I261="","Missing: source link",IF(COUNTIF(Suppliers!$A$2:$A$51,$B261)=0,"Unknown supplier",IF(COUNTIF(Products!$A$2:$A$101,$C261)=0,"Unknown SKU",IF(COUNTIF(Config!$C$15:$C$34,$H261)=0,"Unsupported status",IF($D261&lt;=0,"Qty must be above 0",IF($G261&lt;$F261,"Expected date before order date",IF($M261&gt;$D261,"Received more than ordered",IF(AND($H261="Received",$M261&lt;$D261),"Status Received but not fully received",IF(AND(IFERROR(INDEX(Config!$D$15:$D$34,MATCH($H261,Config!$C$15:$C$34,0)),"No")="Yes",$M261&gt;=$D261),"Fully received: update status","OK"))))))))))))))))))</f>
        <v/>
      </c>
      <c r="T261" s="52" t="str">
        <f>IF($O261=1,IFERROR(COUNTIFS($O$2:$O$301,1,$G$2:$G$301,"&lt;"&amp;$G261)+COUNTIFS($O$2:$O261,1,$G$2:$G261,$G261),""),"")</f>
        <v/>
      </c>
    </row>
    <row r="262">
      <c r="A262" s="46" t="n"/>
      <c r="B262" s="46" t="n"/>
      <c r="C262" s="46" t="n"/>
      <c r="D262" s="48" t="n"/>
      <c r="E262" s="47" t="n"/>
      <c r="F262" s="54" t="n"/>
      <c r="G262" s="54" t="n"/>
      <c r="H262" s="46" t="n"/>
      <c r="I262" s="46" t="n"/>
      <c r="J262" s="46" t="n"/>
      <c r="K262" s="49" t="str">
        <f>IF($A262="","",IFERROR(INDEX(Suppliers!$B$2:$B$51,MATCH($B262,Suppliers!$A$2:$A$51,0))&amp;"","(not found)"))</f>
        <v/>
      </c>
      <c r="L262" s="49" t="str">
        <f>IF($A262="","",IFERROR(INDEX(Products!$B$2:$B$101,MATCH($C262,Products!$A$2:$A$101,0))&amp;"","(not found)"))</f>
        <v/>
      </c>
      <c r="M262" s="50" t="str">
        <f>IF($A262="","",SUMIFS(Inventory_Ledger!$E$2:$E$2001,Inventory_Ledger!$H$2:$H$2001,$A262,Inventory_Ledger!$C$2:$C$2001,"Receipt",Inventory_Ledger!$D$2:$D$2001,$C262))</f>
        <v/>
      </c>
      <c r="N262" s="50" t="str">
        <f>IF($A262="","",IF(IFERROR(INDEX(Config!$D$15:$D$34,MATCH($H262,Config!$C$15:$C$34,0)),"No")="Yes",MAX(0,IF(ISNUMBER($D262),$D262,0)-$M262),0))</f>
        <v/>
      </c>
      <c r="O262" s="52" t="str">
        <f>IF($A262="","",IF($N262&gt;0,1,0))</f>
        <v/>
      </c>
      <c r="P262" s="52" t="str">
        <f>IF($A262="","",IF(AND($O262=1,ISNUMBER($G262)),IF($G262&lt;Config!$B$4,1,0),0))</f>
        <v/>
      </c>
      <c r="Q262" s="52" t="str">
        <f>IF($A262="","",IF($P262=1,Config!$B$4-$G262,0))</f>
        <v/>
      </c>
      <c r="R262" s="53" t="str">
        <f>IF($A262="","",IF(AND(ISNUMBER($D262),ISNUMBER($E262)),$D262*$E262,""))</f>
        <v/>
      </c>
      <c r="S262" s="49" t="str">
        <f>IF(COUNTA($A262:$J262)=0,"",IF($A262="","Missing: PO ID",IF(COUNTIF($A$2:$A$301,$A262)&gt;1,"Duplicate PO ID",IF($B262="","Missing: supplier",IF($C262="","Missing: SKU",IF(NOT(ISNUMBER($D262)),"Missing: qty",IF(NOT(ISNUMBER($F262)),"Missing: order date",IF(NOT(ISNUMBER($G262)),"Missing: expected date",IF($H262="","Missing: status",IF($I262="","Missing: source link",IF(COUNTIF(Suppliers!$A$2:$A$51,$B262)=0,"Unknown supplier",IF(COUNTIF(Products!$A$2:$A$101,$C262)=0,"Unknown SKU",IF(COUNTIF(Config!$C$15:$C$34,$H262)=0,"Unsupported status",IF($D262&lt;=0,"Qty must be above 0",IF($G262&lt;$F262,"Expected date before order date",IF($M262&gt;$D262,"Received more than ordered",IF(AND($H262="Received",$M262&lt;$D262),"Status Received but not fully received",IF(AND(IFERROR(INDEX(Config!$D$15:$D$34,MATCH($H262,Config!$C$15:$C$34,0)),"No")="Yes",$M262&gt;=$D262),"Fully received: update status","OK"))))))))))))))))))</f>
        <v/>
      </c>
      <c r="T262" s="52" t="str">
        <f>IF($O262=1,IFERROR(COUNTIFS($O$2:$O$301,1,$G$2:$G$301,"&lt;"&amp;$G262)+COUNTIFS($O$2:$O262,1,$G$2:$G262,$G262),""),"")</f>
        <v/>
      </c>
    </row>
    <row r="263">
      <c r="A263" s="46" t="n"/>
      <c r="B263" s="46" t="n"/>
      <c r="C263" s="46" t="n"/>
      <c r="D263" s="48" t="n"/>
      <c r="E263" s="47" t="n"/>
      <c r="F263" s="54" t="n"/>
      <c r="G263" s="54" t="n"/>
      <c r="H263" s="46" t="n"/>
      <c r="I263" s="46" t="n"/>
      <c r="J263" s="46" t="n"/>
      <c r="K263" s="49" t="str">
        <f>IF($A263="","",IFERROR(INDEX(Suppliers!$B$2:$B$51,MATCH($B263,Suppliers!$A$2:$A$51,0))&amp;"","(not found)"))</f>
        <v/>
      </c>
      <c r="L263" s="49" t="str">
        <f>IF($A263="","",IFERROR(INDEX(Products!$B$2:$B$101,MATCH($C263,Products!$A$2:$A$101,0))&amp;"","(not found)"))</f>
        <v/>
      </c>
      <c r="M263" s="50" t="str">
        <f>IF($A263="","",SUMIFS(Inventory_Ledger!$E$2:$E$2001,Inventory_Ledger!$H$2:$H$2001,$A263,Inventory_Ledger!$C$2:$C$2001,"Receipt",Inventory_Ledger!$D$2:$D$2001,$C263))</f>
        <v/>
      </c>
      <c r="N263" s="50" t="str">
        <f>IF($A263="","",IF(IFERROR(INDEX(Config!$D$15:$D$34,MATCH($H263,Config!$C$15:$C$34,0)),"No")="Yes",MAX(0,IF(ISNUMBER($D263),$D263,0)-$M263),0))</f>
        <v/>
      </c>
      <c r="O263" s="52" t="str">
        <f>IF($A263="","",IF($N263&gt;0,1,0))</f>
        <v/>
      </c>
      <c r="P263" s="52" t="str">
        <f>IF($A263="","",IF(AND($O263=1,ISNUMBER($G263)),IF($G263&lt;Config!$B$4,1,0),0))</f>
        <v/>
      </c>
      <c r="Q263" s="52" t="str">
        <f>IF($A263="","",IF($P263=1,Config!$B$4-$G263,0))</f>
        <v/>
      </c>
      <c r="R263" s="53" t="str">
        <f>IF($A263="","",IF(AND(ISNUMBER($D263),ISNUMBER($E263)),$D263*$E263,""))</f>
        <v/>
      </c>
      <c r="S263" s="49" t="str">
        <f>IF(COUNTA($A263:$J263)=0,"",IF($A263="","Missing: PO ID",IF(COUNTIF($A$2:$A$301,$A263)&gt;1,"Duplicate PO ID",IF($B263="","Missing: supplier",IF($C263="","Missing: SKU",IF(NOT(ISNUMBER($D263)),"Missing: qty",IF(NOT(ISNUMBER($F263)),"Missing: order date",IF(NOT(ISNUMBER($G263)),"Missing: expected date",IF($H263="","Missing: status",IF($I263="","Missing: source link",IF(COUNTIF(Suppliers!$A$2:$A$51,$B263)=0,"Unknown supplier",IF(COUNTIF(Products!$A$2:$A$101,$C263)=0,"Unknown SKU",IF(COUNTIF(Config!$C$15:$C$34,$H263)=0,"Unsupported status",IF($D263&lt;=0,"Qty must be above 0",IF($G263&lt;$F263,"Expected date before order date",IF($M263&gt;$D263,"Received more than ordered",IF(AND($H263="Received",$M263&lt;$D263),"Status Received but not fully received",IF(AND(IFERROR(INDEX(Config!$D$15:$D$34,MATCH($H263,Config!$C$15:$C$34,0)),"No")="Yes",$M263&gt;=$D263),"Fully received: update status","OK"))))))))))))))))))</f>
        <v/>
      </c>
      <c r="T263" s="52" t="str">
        <f>IF($O263=1,IFERROR(COUNTIFS($O$2:$O$301,1,$G$2:$G$301,"&lt;"&amp;$G263)+COUNTIFS($O$2:$O263,1,$G$2:$G263,$G263),""),"")</f>
        <v/>
      </c>
    </row>
    <row r="264">
      <c r="A264" s="46" t="n"/>
      <c r="B264" s="46" t="n"/>
      <c r="C264" s="46" t="n"/>
      <c r="D264" s="48" t="n"/>
      <c r="E264" s="47" t="n"/>
      <c r="F264" s="54" t="n"/>
      <c r="G264" s="54" t="n"/>
      <c r="H264" s="46" t="n"/>
      <c r="I264" s="46" t="n"/>
      <c r="J264" s="46" t="n"/>
      <c r="K264" s="49" t="str">
        <f>IF($A264="","",IFERROR(INDEX(Suppliers!$B$2:$B$51,MATCH($B264,Suppliers!$A$2:$A$51,0))&amp;"","(not found)"))</f>
        <v/>
      </c>
      <c r="L264" s="49" t="str">
        <f>IF($A264="","",IFERROR(INDEX(Products!$B$2:$B$101,MATCH($C264,Products!$A$2:$A$101,0))&amp;"","(not found)"))</f>
        <v/>
      </c>
      <c r="M264" s="50" t="str">
        <f>IF($A264="","",SUMIFS(Inventory_Ledger!$E$2:$E$2001,Inventory_Ledger!$H$2:$H$2001,$A264,Inventory_Ledger!$C$2:$C$2001,"Receipt",Inventory_Ledger!$D$2:$D$2001,$C264))</f>
        <v/>
      </c>
      <c r="N264" s="50" t="str">
        <f>IF($A264="","",IF(IFERROR(INDEX(Config!$D$15:$D$34,MATCH($H264,Config!$C$15:$C$34,0)),"No")="Yes",MAX(0,IF(ISNUMBER($D264),$D264,0)-$M264),0))</f>
        <v/>
      </c>
      <c r="O264" s="52" t="str">
        <f>IF($A264="","",IF($N264&gt;0,1,0))</f>
        <v/>
      </c>
      <c r="P264" s="52" t="str">
        <f>IF($A264="","",IF(AND($O264=1,ISNUMBER($G264)),IF($G264&lt;Config!$B$4,1,0),0))</f>
        <v/>
      </c>
      <c r="Q264" s="52" t="str">
        <f>IF($A264="","",IF($P264=1,Config!$B$4-$G264,0))</f>
        <v/>
      </c>
      <c r="R264" s="53" t="str">
        <f>IF($A264="","",IF(AND(ISNUMBER($D264),ISNUMBER($E264)),$D264*$E264,""))</f>
        <v/>
      </c>
      <c r="S264" s="49" t="str">
        <f>IF(COUNTA($A264:$J264)=0,"",IF($A264="","Missing: PO ID",IF(COUNTIF($A$2:$A$301,$A264)&gt;1,"Duplicate PO ID",IF($B264="","Missing: supplier",IF($C264="","Missing: SKU",IF(NOT(ISNUMBER($D264)),"Missing: qty",IF(NOT(ISNUMBER($F264)),"Missing: order date",IF(NOT(ISNUMBER($G264)),"Missing: expected date",IF($H264="","Missing: status",IF($I264="","Missing: source link",IF(COUNTIF(Suppliers!$A$2:$A$51,$B264)=0,"Unknown supplier",IF(COUNTIF(Products!$A$2:$A$101,$C264)=0,"Unknown SKU",IF(COUNTIF(Config!$C$15:$C$34,$H264)=0,"Unsupported status",IF($D264&lt;=0,"Qty must be above 0",IF($G264&lt;$F264,"Expected date before order date",IF($M264&gt;$D264,"Received more than ordered",IF(AND($H264="Received",$M264&lt;$D264),"Status Received but not fully received",IF(AND(IFERROR(INDEX(Config!$D$15:$D$34,MATCH($H264,Config!$C$15:$C$34,0)),"No")="Yes",$M264&gt;=$D264),"Fully received: update status","OK"))))))))))))))))))</f>
        <v/>
      </c>
      <c r="T264" s="52" t="str">
        <f>IF($O264=1,IFERROR(COUNTIFS($O$2:$O$301,1,$G$2:$G$301,"&lt;"&amp;$G264)+COUNTIFS($O$2:$O264,1,$G$2:$G264,$G264),""),"")</f>
        <v/>
      </c>
    </row>
    <row r="265">
      <c r="A265" s="46" t="n"/>
      <c r="B265" s="46" t="n"/>
      <c r="C265" s="46" t="n"/>
      <c r="D265" s="48" t="n"/>
      <c r="E265" s="47" t="n"/>
      <c r="F265" s="54" t="n"/>
      <c r="G265" s="54" t="n"/>
      <c r="H265" s="46" t="n"/>
      <c r="I265" s="46" t="n"/>
      <c r="J265" s="46" t="n"/>
      <c r="K265" s="49" t="str">
        <f>IF($A265="","",IFERROR(INDEX(Suppliers!$B$2:$B$51,MATCH($B265,Suppliers!$A$2:$A$51,0))&amp;"","(not found)"))</f>
        <v/>
      </c>
      <c r="L265" s="49" t="str">
        <f>IF($A265="","",IFERROR(INDEX(Products!$B$2:$B$101,MATCH($C265,Products!$A$2:$A$101,0))&amp;"","(not found)"))</f>
        <v/>
      </c>
      <c r="M265" s="50" t="str">
        <f>IF($A265="","",SUMIFS(Inventory_Ledger!$E$2:$E$2001,Inventory_Ledger!$H$2:$H$2001,$A265,Inventory_Ledger!$C$2:$C$2001,"Receipt",Inventory_Ledger!$D$2:$D$2001,$C265))</f>
        <v/>
      </c>
      <c r="N265" s="50" t="str">
        <f>IF($A265="","",IF(IFERROR(INDEX(Config!$D$15:$D$34,MATCH($H265,Config!$C$15:$C$34,0)),"No")="Yes",MAX(0,IF(ISNUMBER($D265),$D265,0)-$M265),0))</f>
        <v/>
      </c>
      <c r="O265" s="52" t="str">
        <f>IF($A265="","",IF($N265&gt;0,1,0))</f>
        <v/>
      </c>
      <c r="P265" s="52" t="str">
        <f>IF($A265="","",IF(AND($O265=1,ISNUMBER($G265)),IF($G265&lt;Config!$B$4,1,0),0))</f>
        <v/>
      </c>
      <c r="Q265" s="52" t="str">
        <f>IF($A265="","",IF($P265=1,Config!$B$4-$G265,0))</f>
        <v/>
      </c>
      <c r="R265" s="53" t="str">
        <f>IF($A265="","",IF(AND(ISNUMBER($D265),ISNUMBER($E265)),$D265*$E265,""))</f>
        <v/>
      </c>
      <c r="S265" s="49" t="str">
        <f>IF(COUNTA($A265:$J265)=0,"",IF($A265="","Missing: PO ID",IF(COUNTIF($A$2:$A$301,$A265)&gt;1,"Duplicate PO ID",IF($B265="","Missing: supplier",IF($C265="","Missing: SKU",IF(NOT(ISNUMBER($D265)),"Missing: qty",IF(NOT(ISNUMBER($F265)),"Missing: order date",IF(NOT(ISNUMBER($G265)),"Missing: expected date",IF($H265="","Missing: status",IF($I265="","Missing: source link",IF(COUNTIF(Suppliers!$A$2:$A$51,$B265)=0,"Unknown supplier",IF(COUNTIF(Products!$A$2:$A$101,$C265)=0,"Unknown SKU",IF(COUNTIF(Config!$C$15:$C$34,$H265)=0,"Unsupported status",IF($D265&lt;=0,"Qty must be above 0",IF($G265&lt;$F265,"Expected date before order date",IF($M265&gt;$D265,"Received more than ordered",IF(AND($H265="Received",$M265&lt;$D265),"Status Received but not fully received",IF(AND(IFERROR(INDEX(Config!$D$15:$D$34,MATCH($H265,Config!$C$15:$C$34,0)),"No")="Yes",$M265&gt;=$D265),"Fully received: update status","OK"))))))))))))))))))</f>
        <v/>
      </c>
      <c r="T265" s="52" t="str">
        <f>IF($O265=1,IFERROR(COUNTIFS($O$2:$O$301,1,$G$2:$G$301,"&lt;"&amp;$G265)+COUNTIFS($O$2:$O265,1,$G$2:$G265,$G265),""),"")</f>
        <v/>
      </c>
    </row>
    <row r="266">
      <c r="A266" s="46" t="n"/>
      <c r="B266" s="46" t="n"/>
      <c r="C266" s="46" t="n"/>
      <c r="D266" s="48" t="n"/>
      <c r="E266" s="47" t="n"/>
      <c r="F266" s="54" t="n"/>
      <c r="G266" s="54" t="n"/>
      <c r="H266" s="46" t="n"/>
      <c r="I266" s="46" t="n"/>
      <c r="J266" s="46" t="n"/>
      <c r="K266" s="49" t="str">
        <f>IF($A266="","",IFERROR(INDEX(Suppliers!$B$2:$B$51,MATCH($B266,Suppliers!$A$2:$A$51,0))&amp;"","(not found)"))</f>
        <v/>
      </c>
      <c r="L266" s="49" t="str">
        <f>IF($A266="","",IFERROR(INDEX(Products!$B$2:$B$101,MATCH($C266,Products!$A$2:$A$101,0))&amp;"","(not found)"))</f>
        <v/>
      </c>
      <c r="M266" s="50" t="str">
        <f>IF($A266="","",SUMIFS(Inventory_Ledger!$E$2:$E$2001,Inventory_Ledger!$H$2:$H$2001,$A266,Inventory_Ledger!$C$2:$C$2001,"Receipt",Inventory_Ledger!$D$2:$D$2001,$C266))</f>
        <v/>
      </c>
      <c r="N266" s="50" t="str">
        <f>IF($A266="","",IF(IFERROR(INDEX(Config!$D$15:$D$34,MATCH($H266,Config!$C$15:$C$34,0)),"No")="Yes",MAX(0,IF(ISNUMBER($D266),$D266,0)-$M266),0))</f>
        <v/>
      </c>
      <c r="O266" s="52" t="str">
        <f>IF($A266="","",IF($N266&gt;0,1,0))</f>
        <v/>
      </c>
      <c r="P266" s="52" t="str">
        <f>IF($A266="","",IF(AND($O266=1,ISNUMBER($G266)),IF($G266&lt;Config!$B$4,1,0),0))</f>
        <v/>
      </c>
      <c r="Q266" s="52" t="str">
        <f>IF($A266="","",IF($P266=1,Config!$B$4-$G266,0))</f>
        <v/>
      </c>
      <c r="R266" s="53" t="str">
        <f>IF($A266="","",IF(AND(ISNUMBER($D266),ISNUMBER($E266)),$D266*$E266,""))</f>
        <v/>
      </c>
      <c r="S266" s="49" t="str">
        <f>IF(COUNTA($A266:$J266)=0,"",IF($A266="","Missing: PO ID",IF(COUNTIF($A$2:$A$301,$A266)&gt;1,"Duplicate PO ID",IF($B266="","Missing: supplier",IF($C266="","Missing: SKU",IF(NOT(ISNUMBER($D266)),"Missing: qty",IF(NOT(ISNUMBER($F266)),"Missing: order date",IF(NOT(ISNUMBER($G266)),"Missing: expected date",IF($H266="","Missing: status",IF($I266="","Missing: source link",IF(COUNTIF(Suppliers!$A$2:$A$51,$B266)=0,"Unknown supplier",IF(COUNTIF(Products!$A$2:$A$101,$C266)=0,"Unknown SKU",IF(COUNTIF(Config!$C$15:$C$34,$H266)=0,"Unsupported status",IF($D266&lt;=0,"Qty must be above 0",IF($G266&lt;$F266,"Expected date before order date",IF($M266&gt;$D266,"Received more than ordered",IF(AND($H266="Received",$M266&lt;$D266),"Status Received but not fully received",IF(AND(IFERROR(INDEX(Config!$D$15:$D$34,MATCH($H266,Config!$C$15:$C$34,0)),"No")="Yes",$M266&gt;=$D266),"Fully received: update status","OK"))))))))))))))))))</f>
        <v/>
      </c>
      <c r="T266" s="52" t="str">
        <f>IF($O266=1,IFERROR(COUNTIFS($O$2:$O$301,1,$G$2:$G$301,"&lt;"&amp;$G266)+COUNTIFS($O$2:$O266,1,$G$2:$G266,$G266),""),"")</f>
        <v/>
      </c>
    </row>
    <row r="267">
      <c r="A267" s="46" t="n"/>
      <c r="B267" s="46" t="n"/>
      <c r="C267" s="46" t="n"/>
      <c r="D267" s="48" t="n"/>
      <c r="E267" s="47" t="n"/>
      <c r="F267" s="54" t="n"/>
      <c r="G267" s="54" t="n"/>
      <c r="H267" s="46" t="n"/>
      <c r="I267" s="46" t="n"/>
      <c r="J267" s="46" t="n"/>
      <c r="K267" s="49" t="str">
        <f>IF($A267="","",IFERROR(INDEX(Suppliers!$B$2:$B$51,MATCH($B267,Suppliers!$A$2:$A$51,0))&amp;"","(not found)"))</f>
        <v/>
      </c>
      <c r="L267" s="49" t="str">
        <f>IF($A267="","",IFERROR(INDEX(Products!$B$2:$B$101,MATCH($C267,Products!$A$2:$A$101,0))&amp;"","(not found)"))</f>
        <v/>
      </c>
      <c r="M267" s="50" t="str">
        <f>IF($A267="","",SUMIFS(Inventory_Ledger!$E$2:$E$2001,Inventory_Ledger!$H$2:$H$2001,$A267,Inventory_Ledger!$C$2:$C$2001,"Receipt",Inventory_Ledger!$D$2:$D$2001,$C267))</f>
        <v/>
      </c>
      <c r="N267" s="50" t="str">
        <f>IF($A267="","",IF(IFERROR(INDEX(Config!$D$15:$D$34,MATCH($H267,Config!$C$15:$C$34,0)),"No")="Yes",MAX(0,IF(ISNUMBER($D267),$D267,0)-$M267),0))</f>
        <v/>
      </c>
      <c r="O267" s="52" t="str">
        <f>IF($A267="","",IF($N267&gt;0,1,0))</f>
        <v/>
      </c>
      <c r="P267" s="52" t="str">
        <f>IF($A267="","",IF(AND($O267=1,ISNUMBER($G267)),IF($G267&lt;Config!$B$4,1,0),0))</f>
        <v/>
      </c>
      <c r="Q267" s="52" t="str">
        <f>IF($A267="","",IF($P267=1,Config!$B$4-$G267,0))</f>
        <v/>
      </c>
      <c r="R267" s="53" t="str">
        <f>IF($A267="","",IF(AND(ISNUMBER($D267),ISNUMBER($E267)),$D267*$E267,""))</f>
        <v/>
      </c>
      <c r="S267" s="49" t="str">
        <f>IF(COUNTA($A267:$J267)=0,"",IF($A267="","Missing: PO ID",IF(COUNTIF($A$2:$A$301,$A267)&gt;1,"Duplicate PO ID",IF($B267="","Missing: supplier",IF($C267="","Missing: SKU",IF(NOT(ISNUMBER($D267)),"Missing: qty",IF(NOT(ISNUMBER($F267)),"Missing: order date",IF(NOT(ISNUMBER($G267)),"Missing: expected date",IF($H267="","Missing: status",IF($I267="","Missing: source link",IF(COUNTIF(Suppliers!$A$2:$A$51,$B267)=0,"Unknown supplier",IF(COUNTIF(Products!$A$2:$A$101,$C267)=0,"Unknown SKU",IF(COUNTIF(Config!$C$15:$C$34,$H267)=0,"Unsupported status",IF($D267&lt;=0,"Qty must be above 0",IF($G267&lt;$F267,"Expected date before order date",IF($M267&gt;$D267,"Received more than ordered",IF(AND($H267="Received",$M267&lt;$D267),"Status Received but not fully received",IF(AND(IFERROR(INDEX(Config!$D$15:$D$34,MATCH($H267,Config!$C$15:$C$34,0)),"No")="Yes",$M267&gt;=$D267),"Fully received: update status","OK"))))))))))))))))))</f>
        <v/>
      </c>
      <c r="T267" s="52" t="str">
        <f>IF($O267=1,IFERROR(COUNTIFS($O$2:$O$301,1,$G$2:$G$301,"&lt;"&amp;$G267)+COUNTIFS($O$2:$O267,1,$G$2:$G267,$G267),""),"")</f>
        <v/>
      </c>
    </row>
    <row r="268">
      <c r="A268" s="46" t="n"/>
      <c r="B268" s="46" t="n"/>
      <c r="C268" s="46" t="n"/>
      <c r="D268" s="48" t="n"/>
      <c r="E268" s="47" t="n"/>
      <c r="F268" s="54" t="n"/>
      <c r="G268" s="54" t="n"/>
      <c r="H268" s="46" t="n"/>
      <c r="I268" s="46" t="n"/>
      <c r="J268" s="46" t="n"/>
      <c r="K268" s="49" t="str">
        <f>IF($A268="","",IFERROR(INDEX(Suppliers!$B$2:$B$51,MATCH($B268,Suppliers!$A$2:$A$51,0))&amp;"","(not found)"))</f>
        <v/>
      </c>
      <c r="L268" s="49" t="str">
        <f>IF($A268="","",IFERROR(INDEX(Products!$B$2:$B$101,MATCH($C268,Products!$A$2:$A$101,0))&amp;"","(not found)"))</f>
        <v/>
      </c>
      <c r="M268" s="50" t="str">
        <f>IF($A268="","",SUMIFS(Inventory_Ledger!$E$2:$E$2001,Inventory_Ledger!$H$2:$H$2001,$A268,Inventory_Ledger!$C$2:$C$2001,"Receipt",Inventory_Ledger!$D$2:$D$2001,$C268))</f>
        <v/>
      </c>
      <c r="N268" s="50" t="str">
        <f>IF($A268="","",IF(IFERROR(INDEX(Config!$D$15:$D$34,MATCH($H268,Config!$C$15:$C$34,0)),"No")="Yes",MAX(0,IF(ISNUMBER($D268),$D268,0)-$M268),0))</f>
        <v/>
      </c>
      <c r="O268" s="52" t="str">
        <f>IF($A268="","",IF($N268&gt;0,1,0))</f>
        <v/>
      </c>
      <c r="P268" s="52" t="str">
        <f>IF($A268="","",IF(AND($O268=1,ISNUMBER($G268)),IF($G268&lt;Config!$B$4,1,0),0))</f>
        <v/>
      </c>
      <c r="Q268" s="52" t="str">
        <f>IF($A268="","",IF($P268=1,Config!$B$4-$G268,0))</f>
        <v/>
      </c>
      <c r="R268" s="53" t="str">
        <f>IF($A268="","",IF(AND(ISNUMBER($D268),ISNUMBER($E268)),$D268*$E268,""))</f>
        <v/>
      </c>
      <c r="S268" s="49" t="str">
        <f>IF(COUNTA($A268:$J268)=0,"",IF($A268="","Missing: PO ID",IF(COUNTIF($A$2:$A$301,$A268)&gt;1,"Duplicate PO ID",IF($B268="","Missing: supplier",IF($C268="","Missing: SKU",IF(NOT(ISNUMBER($D268)),"Missing: qty",IF(NOT(ISNUMBER($F268)),"Missing: order date",IF(NOT(ISNUMBER($G268)),"Missing: expected date",IF($H268="","Missing: status",IF($I268="","Missing: source link",IF(COUNTIF(Suppliers!$A$2:$A$51,$B268)=0,"Unknown supplier",IF(COUNTIF(Products!$A$2:$A$101,$C268)=0,"Unknown SKU",IF(COUNTIF(Config!$C$15:$C$34,$H268)=0,"Unsupported status",IF($D268&lt;=0,"Qty must be above 0",IF($G268&lt;$F268,"Expected date before order date",IF($M268&gt;$D268,"Received more than ordered",IF(AND($H268="Received",$M268&lt;$D268),"Status Received but not fully received",IF(AND(IFERROR(INDEX(Config!$D$15:$D$34,MATCH($H268,Config!$C$15:$C$34,0)),"No")="Yes",$M268&gt;=$D268),"Fully received: update status","OK"))))))))))))))))))</f>
        <v/>
      </c>
      <c r="T268" s="52" t="str">
        <f>IF($O268=1,IFERROR(COUNTIFS($O$2:$O$301,1,$G$2:$G$301,"&lt;"&amp;$G268)+COUNTIFS($O$2:$O268,1,$G$2:$G268,$G268),""),"")</f>
        <v/>
      </c>
    </row>
    <row r="269">
      <c r="A269" s="46" t="n"/>
      <c r="B269" s="46" t="n"/>
      <c r="C269" s="46" t="n"/>
      <c r="D269" s="48" t="n"/>
      <c r="E269" s="47" t="n"/>
      <c r="F269" s="54" t="n"/>
      <c r="G269" s="54" t="n"/>
      <c r="H269" s="46" t="n"/>
      <c r="I269" s="46" t="n"/>
      <c r="J269" s="46" t="n"/>
      <c r="K269" s="49" t="str">
        <f>IF($A269="","",IFERROR(INDEX(Suppliers!$B$2:$B$51,MATCH($B269,Suppliers!$A$2:$A$51,0))&amp;"","(not found)"))</f>
        <v/>
      </c>
      <c r="L269" s="49" t="str">
        <f>IF($A269="","",IFERROR(INDEX(Products!$B$2:$B$101,MATCH($C269,Products!$A$2:$A$101,0))&amp;"","(not found)"))</f>
        <v/>
      </c>
      <c r="M269" s="50" t="str">
        <f>IF($A269="","",SUMIFS(Inventory_Ledger!$E$2:$E$2001,Inventory_Ledger!$H$2:$H$2001,$A269,Inventory_Ledger!$C$2:$C$2001,"Receipt",Inventory_Ledger!$D$2:$D$2001,$C269))</f>
        <v/>
      </c>
      <c r="N269" s="50" t="str">
        <f>IF($A269="","",IF(IFERROR(INDEX(Config!$D$15:$D$34,MATCH($H269,Config!$C$15:$C$34,0)),"No")="Yes",MAX(0,IF(ISNUMBER($D269),$D269,0)-$M269),0))</f>
        <v/>
      </c>
      <c r="O269" s="52" t="str">
        <f>IF($A269="","",IF($N269&gt;0,1,0))</f>
        <v/>
      </c>
      <c r="P269" s="52" t="str">
        <f>IF($A269="","",IF(AND($O269=1,ISNUMBER($G269)),IF($G269&lt;Config!$B$4,1,0),0))</f>
        <v/>
      </c>
      <c r="Q269" s="52" t="str">
        <f>IF($A269="","",IF($P269=1,Config!$B$4-$G269,0))</f>
        <v/>
      </c>
      <c r="R269" s="53" t="str">
        <f>IF($A269="","",IF(AND(ISNUMBER($D269),ISNUMBER($E269)),$D269*$E269,""))</f>
        <v/>
      </c>
      <c r="S269" s="49" t="str">
        <f>IF(COUNTA($A269:$J269)=0,"",IF($A269="","Missing: PO ID",IF(COUNTIF($A$2:$A$301,$A269)&gt;1,"Duplicate PO ID",IF($B269="","Missing: supplier",IF($C269="","Missing: SKU",IF(NOT(ISNUMBER($D269)),"Missing: qty",IF(NOT(ISNUMBER($F269)),"Missing: order date",IF(NOT(ISNUMBER($G269)),"Missing: expected date",IF($H269="","Missing: status",IF($I269="","Missing: source link",IF(COUNTIF(Suppliers!$A$2:$A$51,$B269)=0,"Unknown supplier",IF(COUNTIF(Products!$A$2:$A$101,$C269)=0,"Unknown SKU",IF(COUNTIF(Config!$C$15:$C$34,$H269)=0,"Unsupported status",IF($D269&lt;=0,"Qty must be above 0",IF($G269&lt;$F269,"Expected date before order date",IF($M269&gt;$D269,"Received more than ordered",IF(AND($H269="Received",$M269&lt;$D269),"Status Received but not fully received",IF(AND(IFERROR(INDEX(Config!$D$15:$D$34,MATCH($H269,Config!$C$15:$C$34,0)),"No")="Yes",$M269&gt;=$D269),"Fully received: update status","OK"))))))))))))))))))</f>
        <v/>
      </c>
      <c r="T269" s="52" t="str">
        <f>IF($O269=1,IFERROR(COUNTIFS($O$2:$O$301,1,$G$2:$G$301,"&lt;"&amp;$G269)+COUNTIFS($O$2:$O269,1,$G$2:$G269,$G269),""),"")</f>
        <v/>
      </c>
    </row>
    <row r="270">
      <c r="A270" s="46" t="n"/>
      <c r="B270" s="46" t="n"/>
      <c r="C270" s="46" t="n"/>
      <c r="D270" s="48" t="n"/>
      <c r="E270" s="47" t="n"/>
      <c r="F270" s="54" t="n"/>
      <c r="G270" s="54" t="n"/>
      <c r="H270" s="46" t="n"/>
      <c r="I270" s="46" t="n"/>
      <c r="J270" s="46" t="n"/>
      <c r="K270" s="49" t="str">
        <f>IF($A270="","",IFERROR(INDEX(Suppliers!$B$2:$B$51,MATCH($B270,Suppliers!$A$2:$A$51,0))&amp;"","(not found)"))</f>
        <v/>
      </c>
      <c r="L270" s="49" t="str">
        <f>IF($A270="","",IFERROR(INDEX(Products!$B$2:$B$101,MATCH($C270,Products!$A$2:$A$101,0))&amp;"","(not found)"))</f>
        <v/>
      </c>
      <c r="M270" s="50" t="str">
        <f>IF($A270="","",SUMIFS(Inventory_Ledger!$E$2:$E$2001,Inventory_Ledger!$H$2:$H$2001,$A270,Inventory_Ledger!$C$2:$C$2001,"Receipt",Inventory_Ledger!$D$2:$D$2001,$C270))</f>
        <v/>
      </c>
      <c r="N270" s="50" t="str">
        <f>IF($A270="","",IF(IFERROR(INDEX(Config!$D$15:$D$34,MATCH($H270,Config!$C$15:$C$34,0)),"No")="Yes",MAX(0,IF(ISNUMBER($D270),$D270,0)-$M270),0))</f>
        <v/>
      </c>
      <c r="O270" s="52" t="str">
        <f>IF($A270="","",IF($N270&gt;0,1,0))</f>
        <v/>
      </c>
      <c r="P270" s="52" t="str">
        <f>IF($A270="","",IF(AND($O270=1,ISNUMBER($G270)),IF($G270&lt;Config!$B$4,1,0),0))</f>
        <v/>
      </c>
      <c r="Q270" s="52" t="str">
        <f>IF($A270="","",IF($P270=1,Config!$B$4-$G270,0))</f>
        <v/>
      </c>
      <c r="R270" s="53" t="str">
        <f>IF($A270="","",IF(AND(ISNUMBER($D270),ISNUMBER($E270)),$D270*$E270,""))</f>
        <v/>
      </c>
      <c r="S270" s="49" t="str">
        <f>IF(COUNTA($A270:$J270)=0,"",IF($A270="","Missing: PO ID",IF(COUNTIF($A$2:$A$301,$A270)&gt;1,"Duplicate PO ID",IF($B270="","Missing: supplier",IF($C270="","Missing: SKU",IF(NOT(ISNUMBER($D270)),"Missing: qty",IF(NOT(ISNUMBER($F270)),"Missing: order date",IF(NOT(ISNUMBER($G270)),"Missing: expected date",IF($H270="","Missing: status",IF($I270="","Missing: source link",IF(COUNTIF(Suppliers!$A$2:$A$51,$B270)=0,"Unknown supplier",IF(COUNTIF(Products!$A$2:$A$101,$C270)=0,"Unknown SKU",IF(COUNTIF(Config!$C$15:$C$34,$H270)=0,"Unsupported status",IF($D270&lt;=0,"Qty must be above 0",IF($G270&lt;$F270,"Expected date before order date",IF($M270&gt;$D270,"Received more than ordered",IF(AND($H270="Received",$M270&lt;$D270),"Status Received but not fully received",IF(AND(IFERROR(INDEX(Config!$D$15:$D$34,MATCH($H270,Config!$C$15:$C$34,0)),"No")="Yes",$M270&gt;=$D270),"Fully received: update status","OK"))))))))))))))))))</f>
        <v/>
      </c>
      <c r="T270" s="52" t="str">
        <f>IF($O270=1,IFERROR(COUNTIFS($O$2:$O$301,1,$G$2:$G$301,"&lt;"&amp;$G270)+COUNTIFS($O$2:$O270,1,$G$2:$G270,$G270),""),"")</f>
        <v/>
      </c>
    </row>
    <row r="271">
      <c r="A271" s="46" t="n"/>
      <c r="B271" s="46" t="n"/>
      <c r="C271" s="46" t="n"/>
      <c r="D271" s="48" t="n"/>
      <c r="E271" s="47" t="n"/>
      <c r="F271" s="54" t="n"/>
      <c r="G271" s="54" t="n"/>
      <c r="H271" s="46" t="n"/>
      <c r="I271" s="46" t="n"/>
      <c r="J271" s="46" t="n"/>
      <c r="K271" s="49" t="str">
        <f>IF($A271="","",IFERROR(INDEX(Suppliers!$B$2:$B$51,MATCH($B271,Suppliers!$A$2:$A$51,0))&amp;"","(not found)"))</f>
        <v/>
      </c>
      <c r="L271" s="49" t="str">
        <f>IF($A271="","",IFERROR(INDEX(Products!$B$2:$B$101,MATCH($C271,Products!$A$2:$A$101,0))&amp;"","(not found)"))</f>
        <v/>
      </c>
      <c r="M271" s="50" t="str">
        <f>IF($A271="","",SUMIFS(Inventory_Ledger!$E$2:$E$2001,Inventory_Ledger!$H$2:$H$2001,$A271,Inventory_Ledger!$C$2:$C$2001,"Receipt",Inventory_Ledger!$D$2:$D$2001,$C271))</f>
        <v/>
      </c>
      <c r="N271" s="50" t="str">
        <f>IF($A271="","",IF(IFERROR(INDEX(Config!$D$15:$D$34,MATCH($H271,Config!$C$15:$C$34,0)),"No")="Yes",MAX(0,IF(ISNUMBER($D271),$D271,0)-$M271),0))</f>
        <v/>
      </c>
      <c r="O271" s="52" t="str">
        <f>IF($A271="","",IF($N271&gt;0,1,0))</f>
        <v/>
      </c>
      <c r="P271" s="52" t="str">
        <f>IF($A271="","",IF(AND($O271=1,ISNUMBER($G271)),IF($G271&lt;Config!$B$4,1,0),0))</f>
        <v/>
      </c>
      <c r="Q271" s="52" t="str">
        <f>IF($A271="","",IF($P271=1,Config!$B$4-$G271,0))</f>
        <v/>
      </c>
      <c r="R271" s="53" t="str">
        <f>IF($A271="","",IF(AND(ISNUMBER($D271),ISNUMBER($E271)),$D271*$E271,""))</f>
        <v/>
      </c>
      <c r="S271" s="49" t="str">
        <f>IF(COUNTA($A271:$J271)=0,"",IF($A271="","Missing: PO ID",IF(COUNTIF($A$2:$A$301,$A271)&gt;1,"Duplicate PO ID",IF($B271="","Missing: supplier",IF($C271="","Missing: SKU",IF(NOT(ISNUMBER($D271)),"Missing: qty",IF(NOT(ISNUMBER($F271)),"Missing: order date",IF(NOT(ISNUMBER($G271)),"Missing: expected date",IF($H271="","Missing: status",IF($I271="","Missing: source link",IF(COUNTIF(Suppliers!$A$2:$A$51,$B271)=0,"Unknown supplier",IF(COUNTIF(Products!$A$2:$A$101,$C271)=0,"Unknown SKU",IF(COUNTIF(Config!$C$15:$C$34,$H271)=0,"Unsupported status",IF($D271&lt;=0,"Qty must be above 0",IF($G271&lt;$F271,"Expected date before order date",IF($M271&gt;$D271,"Received more than ordered",IF(AND($H271="Received",$M271&lt;$D271),"Status Received but not fully received",IF(AND(IFERROR(INDEX(Config!$D$15:$D$34,MATCH($H271,Config!$C$15:$C$34,0)),"No")="Yes",$M271&gt;=$D271),"Fully received: update status","OK"))))))))))))))))))</f>
        <v/>
      </c>
      <c r="T271" s="52" t="str">
        <f>IF($O271=1,IFERROR(COUNTIFS($O$2:$O$301,1,$G$2:$G$301,"&lt;"&amp;$G271)+COUNTIFS($O$2:$O271,1,$G$2:$G271,$G271),""),"")</f>
        <v/>
      </c>
    </row>
    <row r="272">
      <c r="A272" s="46" t="n"/>
      <c r="B272" s="46" t="n"/>
      <c r="C272" s="46" t="n"/>
      <c r="D272" s="48" t="n"/>
      <c r="E272" s="47" t="n"/>
      <c r="F272" s="54" t="n"/>
      <c r="G272" s="54" t="n"/>
      <c r="H272" s="46" t="n"/>
      <c r="I272" s="46" t="n"/>
      <c r="J272" s="46" t="n"/>
      <c r="K272" s="49" t="str">
        <f>IF($A272="","",IFERROR(INDEX(Suppliers!$B$2:$B$51,MATCH($B272,Suppliers!$A$2:$A$51,0))&amp;"","(not found)"))</f>
        <v/>
      </c>
      <c r="L272" s="49" t="str">
        <f>IF($A272="","",IFERROR(INDEX(Products!$B$2:$B$101,MATCH($C272,Products!$A$2:$A$101,0))&amp;"","(not found)"))</f>
        <v/>
      </c>
      <c r="M272" s="50" t="str">
        <f>IF($A272="","",SUMIFS(Inventory_Ledger!$E$2:$E$2001,Inventory_Ledger!$H$2:$H$2001,$A272,Inventory_Ledger!$C$2:$C$2001,"Receipt",Inventory_Ledger!$D$2:$D$2001,$C272))</f>
        <v/>
      </c>
      <c r="N272" s="50" t="str">
        <f>IF($A272="","",IF(IFERROR(INDEX(Config!$D$15:$D$34,MATCH($H272,Config!$C$15:$C$34,0)),"No")="Yes",MAX(0,IF(ISNUMBER($D272),$D272,0)-$M272),0))</f>
        <v/>
      </c>
      <c r="O272" s="52" t="str">
        <f>IF($A272="","",IF($N272&gt;0,1,0))</f>
        <v/>
      </c>
      <c r="P272" s="52" t="str">
        <f>IF($A272="","",IF(AND($O272=1,ISNUMBER($G272)),IF($G272&lt;Config!$B$4,1,0),0))</f>
        <v/>
      </c>
      <c r="Q272" s="52" t="str">
        <f>IF($A272="","",IF($P272=1,Config!$B$4-$G272,0))</f>
        <v/>
      </c>
      <c r="R272" s="53" t="str">
        <f>IF($A272="","",IF(AND(ISNUMBER($D272),ISNUMBER($E272)),$D272*$E272,""))</f>
        <v/>
      </c>
      <c r="S272" s="49" t="str">
        <f>IF(COUNTA($A272:$J272)=0,"",IF($A272="","Missing: PO ID",IF(COUNTIF($A$2:$A$301,$A272)&gt;1,"Duplicate PO ID",IF($B272="","Missing: supplier",IF($C272="","Missing: SKU",IF(NOT(ISNUMBER($D272)),"Missing: qty",IF(NOT(ISNUMBER($F272)),"Missing: order date",IF(NOT(ISNUMBER($G272)),"Missing: expected date",IF($H272="","Missing: status",IF($I272="","Missing: source link",IF(COUNTIF(Suppliers!$A$2:$A$51,$B272)=0,"Unknown supplier",IF(COUNTIF(Products!$A$2:$A$101,$C272)=0,"Unknown SKU",IF(COUNTIF(Config!$C$15:$C$34,$H272)=0,"Unsupported status",IF($D272&lt;=0,"Qty must be above 0",IF($G272&lt;$F272,"Expected date before order date",IF($M272&gt;$D272,"Received more than ordered",IF(AND($H272="Received",$M272&lt;$D272),"Status Received but not fully received",IF(AND(IFERROR(INDEX(Config!$D$15:$D$34,MATCH($H272,Config!$C$15:$C$34,0)),"No")="Yes",$M272&gt;=$D272),"Fully received: update status","OK"))))))))))))))))))</f>
        <v/>
      </c>
      <c r="T272" s="52" t="str">
        <f>IF($O272=1,IFERROR(COUNTIFS($O$2:$O$301,1,$G$2:$G$301,"&lt;"&amp;$G272)+COUNTIFS($O$2:$O272,1,$G$2:$G272,$G272),""),"")</f>
        <v/>
      </c>
    </row>
    <row r="273">
      <c r="A273" s="46" t="n"/>
      <c r="B273" s="46" t="n"/>
      <c r="C273" s="46" t="n"/>
      <c r="D273" s="48" t="n"/>
      <c r="E273" s="47" t="n"/>
      <c r="F273" s="54" t="n"/>
      <c r="G273" s="54" t="n"/>
      <c r="H273" s="46" t="n"/>
      <c r="I273" s="46" t="n"/>
      <c r="J273" s="46" t="n"/>
      <c r="K273" s="49" t="str">
        <f>IF($A273="","",IFERROR(INDEX(Suppliers!$B$2:$B$51,MATCH($B273,Suppliers!$A$2:$A$51,0))&amp;"","(not found)"))</f>
        <v/>
      </c>
      <c r="L273" s="49" t="str">
        <f>IF($A273="","",IFERROR(INDEX(Products!$B$2:$B$101,MATCH($C273,Products!$A$2:$A$101,0))&amp;"","(not found)"))</f>
        <v/>
      </c>
      <c r="M273" s="50" t="str">
        <f>IF($A273="","",SUMIFS(Inventory_Ledger!$E$2:$E$2001,Inventory_Ledger!$H$2:$H$2001,$A273,Inventory_Ledger!$C$2:$C$2001,"Receipt",Inventory_Ledger!$D$2:$D$2001,$C273))</f>
        <v/>
      </c>
      <c r="N273" s="50" t="str">
        <f>IF($A273="","",IF(IFERROR(INDEX(Config!$D$15:$D$34,MATCH($H273,Config!$C$15:$C$34,0)),"No")="Yes",MAX(0,IF(ISNUMBER($D273),$D273,0)-$M273),0))</f>
        <v/>
      </c>
      <c r="O273" s="52" t="str">
        <f>IF($A273="","",IF($N273&gt;0,1,0))</f>
        <v/>
      </c>
      <c r="P273" s="52" t="str">
        <f>IF($A273="","",IF(AND($O273=1,ISNUMBER($G273)),IF($G273&lt;Config!$B$4,1,0),0))</f>
        <v/>
      </c>
      <c r="Q273" s="52" t="str">
        <f>IF($A273="","",IF($P273=1,Config!$B$4-$G273,0))</f>
        <v/>
      </c>
      <c r="R273" s="53" t="str">
        <f>IF($A273="","",IF(AND(ISNUMBER($D273),ISNUMBER($E273)),$D273*$E273,""))</f>
        <v/>
      </c>
      <c r="S273" s="49" t="str">
        <f>IF(COUNTA($A273:$J273)=0,"",IF($A273="","Missing: PO ID",IF(COUNTIF($A$2:$A$301,$A273)&gt;1,"Duplicate PO ID",IF($B273="","Missing: supplier",IF($C273="","Missing: SKU",IF(NOT(ISNUMBER($D273)),"Missing: qty",IF(NOT(ISNUMBER($F273)),"Missing: order date",IF(NOT(ISNUMBER($G273)),"Missing: expected date",IF($H273="","Missing: status",IF($I273="","Missing: source link",IF(COUNTIF(Suppliers!$A$2:$A$51,$B273)=0,"Unknown supplier",IF(COUNTIF(Products!$A$2:$A$101,$C273)=0,"Unknown SKU",IF(COUNTIF(Config!$C$15:$C$34,$H273)=0,"Unsupported status",IF($D273&lt;=0,"Qty must be above 0",IF($G273&lt;$F273,"Expected date before order date",IF($M273&gt;$D273,"Received more than ordered",IF(AND($H273="Received",$M273&lt;$D273),"Status Received but not fully received",IF(AND(IFERROR(INDEX(Config!$D$15:$D$34,MATCH($H273,Config!$C$15:$C$34,0)),"No")="Yes",$M273&gt;=$D273),"Fully received: update status","OK"))))))))))))))))))</f>
        <v/>
      </c>
      <c r="T273" s="52" t="str">
        <f>IF($O273=1,IFERROR(COUNTIFS($O$2:$O$301,1,$G$2:$G$301,"&lt;"&amp;$G273)+COUNTIFS($O$2:$O273,1,$G$2:$G273,$G273),""),"")</f>
        <v/>
      </c>
    </row>
    <row r="274">
      <c r="A274" s="46" t="n"/>
      <c r="B274" s="46" t="n"/>
      <c r="C274" s="46" t="n"/>
      <c r="D274" s="48" t="n"/>
      <c r="E274" s="47" t="n"/>
      <c r="F274" s="54" t="n"/>
      <c r="G274" s="54" t="n"/>
      <c r="H274" s="46" t="n"/>
      <c r="I274" s="46" t="n"/>
      <c r="J274" s="46" t="n"/>
      <c r="K274" s="49" t="str">
        <f>IF($A274="","",IFERROR(INDEX(Suppliers!$B$2:$B$51,MATCH($B274,Suppliers!$A$2:$A$51,0))&amp;"","(not found)"))</f>
        <v/>
      </c>
      <c r="L274" s="49" t="str">
        <f>IF($A274="","",IFERROR(INDEX(Products!$B$2:$B$101,MATCH($C274,Products!$A$2:$A$101,0))&amp;"","(not found)"))</f>
        <v/>
      </c>
      <c r="M274" s="50" t="str">
        <f>IF($A274="","",SUMIFS(Inventory_Ledger!$E$2:$E$2001,Inventory_Ledger!$H$2:$H$2001,$A274,Inventory_Ledger!$C$2:$C$2001,"Receipt",Inventory_Ledger!$D$2:$D$2001,$C274))</f>
        <v/>
      </c>
      <c r="N274" s="50" t="str">
        <f>IF($A274="","",IF(IFERROR(INDEX(Config!$D$15:$D$34,MATCH($H274,Config!$C$15:$C$34,0)),"No")="Yes",MAX(0,IF(ISNUMBER($D274),$D274,0)-$M274),0))</f>
        <v/>
      </c>
      <c r="O274" s="52" t="str">
        <f>IF($A274="","",IF($N274&gt;0,1,0))</f>
        <v/>
      </c>
      <c r="P274" s="52" t="str">
        <f>IF($A274="","",IF(AND($O274=1,ISNUMBER($G274)),IF($G274&lt;Config!$B$4,1,0),0))</f>
        <v/>
      </c>
      <c r="Q274" s="52" t="str">
        <f>IF($A274="","",IF($P274=1,Config!$B$4-$G274,0))</f>
        <v/>
      </c>
      <c r="R274" s="53" t="str">
        <f>IF($A274="","",IF(AND(ISNUMBER($D274),ISNUMBER($E274)),$D274*$E274,""))</f>
        <v/>
      </c>
      <c r="S274" s="49" t="str">
        <f>IF(COUNTA($A274:$J274)=0,"",IF($A274="","Missing: PO ID",IF(COUNTIF($A$2:$A$301,$A274)&gt;1,"Duplicate PO ID",IF($B274="","Missing: supplier",IF($C274="","Missing: SKU",IF(NOT(ISNUMBER($D274)),"Missing: qty",IF(NOT(ISNUMBER($F274)),"Missing: order date",IF(NOT(ISNUMBER($G274)),"Missing: expected date",IF($H274="","Missing: status",IF($I274="","Missing: source link",IF(COUNTIF(Suppliers!$A$2:$A$51,$B274)=0,"Unknown supplier",IF(COUNTIF(Products!$A$2:$A$101,$C274)=0,"Unknown SKU",IF(COUNTIF(Config!$C$15:$C$34,$H274)=0,"Unsupported status",IF($D274&lt;=0,"Qty must be above 0",IF($G274&lt;$F274,"Expected date before order date",IF($M274&gt;$D274,"Received more than ordered",IF(AND($H274="Received",$M274&lt;$D274),"Status Received but not fully received",IF(AND(IFERROR(INDEX(Config!$D$15:$D$34,MATCH($H274,Config!$C$15:$C$34,0)),"No")="Yes",$M274&gt;=$D274),"Fully received: update status","OK"))))))))))))))))))</f>
        <v/>
      </c>
      <c r="T274" s="52" t="str">
        <f>IF($O274=1,IFERROR(COUNTIFS($O$2:$O$301,1,$G$2:$G$301,"&lt;"&amp;$G274)+COUNTIFS($O$2:$O274,1,$G$2:$G274,$G274),""),"")</f>
        <v/>
      </c>
    </row>
    <row r="275">
      <c r="A275" s="46" t="n"/>
      <c r="B275" s="46" t="n"/>
      <c r="C275" s="46" t="n"/>
      <c r="D275" s="48" t="n"/>
      <c r="E275" s="47" t="n"/>
      <c r="F275" s="54" t="n"/>
      <c r="G275" s="54" t="n"/>
      <c r="H275" s="46" t="n"/>
      <c r="I275" s="46" t="n"/>
      <c r="J275" s="46" t="n"/>
      <c r="K275" s="49" t="str">
        <f>IF($A275="","",IFERROR(INDEX(Suppliers!$B$2:$B$51,MATCH($B275,Suppliers!$A$2:$A$51,0))&amp;"","(not found)"))</f>
        <v/>
      </c>
      <c r="L275" s="49" t="str">
        <f>IF($A275="","",IFERROR(INDEX(Products!$B$2:$B$101,MATCH($C275,Products!$A$2:$A$101,0))&amp;"","(not found)"))</f>
        <v/>
      </c>
      <c r="M275" s="50" t="str">
        <f>IF($A275="","",SUMIFS(Inventory_Ledger!$E$2:$E$2001,Inventory_Ledger!$H$2:$H$2001,$A275,Inventory_Ledger!$C$2:$C$2001,"Receipt",Inventory_Ledger!$D$2:$D$2001,$C275))</f>
        <v/>
      </c>
      <c r="N275" s="50" t="str">
        <f>IF($A275="","",IF(IFERROR(INDEX(Config!$D$15:$D$34,MATCH($H275,Config!$C$15:$C$34,0)),"No")="Yes",MAX(0,IF(ISNUMBER($D275),$D275,0)-$M275),0))</f>
        <v/>
      </c>
      <c r="O275" s="52" t="str">
        <f>IF($A275="","",IF($N275&gt;0,1,0))</f>
        <v/>
      </c>
      <c r="P275" s="52" t="str">
        <f>IF($A275="","",IF(AND($O275=1,ISNUMBER($G275)),IF($G275&lt;Config!$B$4,1,0),0))</f>
        <v/>
      </c>
      <c r="Q275" s="52" t="str">
        <f>IF($A275="","",IF($P275=1,Config!$B$4-$G275,0))</f>
        <v/>
      </c>
      <c r="R275" s="53" t="str">
        <f>IF($A275="","",IF(AND(ISNUMBER($D275),ISNUMBER($E275)),$D275*$E275,""))</f>
        <v/>
      </c>
      <c r="S275" s="49" t="str">
        <f>IF(COUNTA($A275:$J275)=0,"",IF($A275="","Missing: PO ID",IF(COUNTIF($A$2:$A$301,$A275)&gt;1,"Duplicate PO ID",IF($B275="","Missing: supplier",IF($C275="","Missing: SKU",IF(NOT(ISNUMBER($D275)),"Missing: qty",IF(NOT(ISNUMBER($F275)),"Missing: order date",IF(NOT(ISNUMBER($G275)),"Missing: expected date",IF($H275="","Missing: status",IF($I275="","Missing: source link",IF(COUNTIF(Suppliers!$A$2:$A$51,$B275)=0,"Unknown supplier",IF(COUNTIF(Products!$A$2:$A$101,$C275)=0,"Unknown SKU",IF(COUNTIF(Config!$C$15:$C$34,$H275)=0,"Unsupported status",IF($D275&lt;=0,"Qty must be above 0",IF($G275&lt;$F275,"Expected date before order date",IF($M275&gt;$D275,"Received more than ordered",IF(AND($H275="Received",$M275&lt;$D275),"Status Received but not fully received",IF(AND(IFERROR(INDEX(Config!$D$15:$D$34,MATCH($H275,Config!$C$15:$C$34,0)),"No")="Yes",$M275&gt;=$D275),"Fully received: update status","OK"))))))))))))))))))</f>
        <v/>
      </c>
      <c r="T275" s="52" t="str">
        <f>IF($O275=1,IFERROR(COUNTIFS($O$2:$O$301,1,$G$2:$G$301,"&lt;"&amp;$G275)+COUNTIFS($O$2:$O275,1,$G$2:$G275,$G275),""),"")</f>
        <v/>
      </c>
    </row>
    <row r="276">
      <c r="A276" s="46" t="n"/>
      <c r="B276" s="46" t="n"/>
      <c r="C276" s="46" t="n"/>
      <c r="D276" s="48" t="n"/>
      <c r="E276" s="47" t="n"/>
      <c r="F276" s="54" t="n"/>
      <c r="G276" s="54" t="n"/>
      <c r="H276" s="46" t="n"/>
      <c r="I276" s="46" t="n"/>
      <c r="J276" s="46" t="n"/>
      <c r="K276" s="49" t="str">
        <f>IF($A276="","",IFERROR(INDEX(Suppliers!$B$2:$B$51,MATCH($B276,Suppliers!$A$2:$A$51,0))&amp;"","(not found)"))</f>
        <v/>
      </c>
      <c r="L276" s="49" t="str">
        <f>IF($A276="","",IFERROR(INDEX(Products!$B$2:$B$101,MATCH($C276,Products!$A$2:$A$101,0))&amp;"","(not found)"))</f>
        <v/>
      </c>
      <c r="M276" s="50" t="str">
        <f>IF($A276="","",SUMIFS(Inventory_Ledger!$E$2:$E$2001,Inventory_Ledger!$H$2:$H$2001,$A276,Inventory_Ledger!$C$2:$C$2001,"Receipt",Inventory_Ledger!$D$2:$D$2001,$C276))</f>
        <v/>
      </c>
      <c r="N276" s="50" t="str">
        <f>IF($A276="","",IF(IFERROR(INDEX(Config!$D$15:$D$34,MATCH($H276,Config!$C$15:$C$34,0)),"No")="Yes",MAX(0,IF(ISNUMBER($D276),$D276,0)-$M276),0))</f>
        <v/>
      </c>
      <c r="O276" s="52" t="str">
        <f>IF($A276="","",IF($N276&gt;0,1,0))</f>
        <v/>
      </c>
      <c r="P276" s="52" t="str">
        <f>IF($A276="","",IF(AND($O276=1,ISNUMBER($G276)),IF($G276&lt;Config!$B$4,1,0),0))</f>
        <v/>
      </c>
      <c r="Q276" s="52" t="str">
        <f>IF($A276="","",IF($P276=1,Config!$B$4-$G276,0))</f>
        <v/>
      </c>
      <c r="R276" s="53" t="str">
        <f>IF($A276="","",IF(AND(ISNUMBER($D276),ISNUMBER($E276)),$D276*$E276,""))</f>
        <v/>
      </c>
      <c r="S276" s="49" t="str">
        <f>IF(COUNTA($A276:$J276)=0,"",IF($A276="","Missing: PO ID",IF(COUNTIF($A$2:$A$301,$A276)&gt;1,"Duplicate PO ID",IF($B276="","Missing: supplier",IF($C276="","Missing: SKU",IF(NOT(ISNUMBER($D276)),"Missing: qty",IF(NOT(ISNUMBER($F276)),"Missing: order date",IF(NOT(ISNUMBER($G276)),"Missing: expected date",IF($H276="","Missing: status",IF($I276="","Missing: source link",IF(COUNTIF(Suppliers!$A$2:$A$51,$B276)=0,"Unknown supplier",IF(COUNTIF(Products!$A$2:$A$101,$C276)=0,"Unknown SKU",IF(COUNTIF(Config!$C$15:$C$34,$H276)=0,"Unsupported status",IF($D276&lt;=0,"Qty must be above 0",IF($G276&lt;$F276,"Expected date before order date",IF($M276&gt;$D276,"Received more than ordered",IF(AND($H276="Received",$M276&lt;$D276),"Status Received but not fully received",IF(AND(IFERROR(INDEX(Config!$D$15:$D$34,MATCH($H276,Config!$C$15:$C$34,0)),"No")="Yes",$M276&gt;=$D276),"Fully received: update status","OK"))))))))))))))))))</f>
        <v/>
      </c>
      <c r="T276" s="52" t="str">
        <f>IF($O276=1,IFERROR(COUNTIFS($O$2:$O$301,1,$G$2:$G$301,"&lt;"&amp;$G276)+COUNTIFS($O$2:$O276,1,$G$2:$G276,$G276),""),"")</f>
        <v/>
      </c>
    </row>
    <row r="277">
      <c r="A277" s="46" t="n"/>
      <c r="B277" s="46" t="n"/>
      <c r="C277" s="46" t="n"/>
      <c r="D277" s="48" t="n"/>
      <c r="E277" s="47" t="n"/>
      <c r="F277" s="54" t="n"/>
      <c r="G277" s="54" t="n"/>
      <c r="H277" s="46" t="n"/>
      <c r="I277" s="46" t="n"/>
      <c r="J277" s="46" t="n"/>
      <c r="K277" s="49" t="str">
        <f>IF($A277="","",IFERROR(INDEX(Suppliers!$B$2:$B$51,MATCH($B277,Suppliers!$A$2:$A$51,0))&amp;"","(not found)"))</f>
        <v/>
      </c>
      <c r="L277" s="49" t="str">
        <f>IF($A277="","",IFERROR(INDEX(Products!$B$2:$B$101,MATCH($C277,Products!$A$2:$A$101,0))&amp;"","(not found)"))</f>
        <v/>
      </c>
      <c r="M277" s="50" t="str">
        <f>IF($A277="","",SUMIFS(Inventory_Ledger!$E$2:$E$2001,Inventory_Ledger!$H$2:$H$2001,$A277,Inventory_Ledger!$C$2:$C$2001,"Receipt",Inventory_Ledger!$D$2:$D$2001,$C277))</f>
        <v/>
      </c>
      <c r="N277" s="50" t="str">
        <f>IF($A277="","",IF(IFERROR(INDEX(Config!$D$15:$D$34,MATCH($H277,Config!$C$15:$C$34,0)),"No")="Yes",MAX(0,IF(ISNUMBER($D277),$D277,0)-$M277),0))</f>
        <v/>
      </c>
      <c r="O277" s="52" t="str">
        <f>IF($A277="","",IF($N277&gt;0,1,0))</f>
        <v/>
      </c>
      <c r="P277" s="52" t="str">
        <f>IF($A277="","",IF(AND($O277=1,ISNUMBER($G277)),IF($G277&lt;Config!$B$4,1,0),0))</f>
        <v/>
      </c>
      <c r="Q277" s="52" t="str">
        <f>IF($A277="","",IF($P277=1,Config!$B$4-$G277,0))</f>
        <v/>
      </c>
      <c r="R277" s="53" t="str">
        <f>IF($A277="","",IF(AND(ISNUMBER($D277),ISNUMBER($E277)),$D277*$E277,""))</f>
        <v/>
      </c>
      <c r="S277" s="49" t="str">
        <f>IF(COUNTA($A277:$J277)=0,"",IF($A277="","Missing: PO ID",IF(COUNTIF($A$2:$A$301,$A277)&gt;1,"Duplicate PO ID",IF($B277="","Missing: supplier",IF($C277="","Missing: SKU",IF(NOT(ISNUMBER($D277)),"Missing: qty",IF(NOT(ISNUMBER($F277)),"Missing: order date",IF(NOT(ISNUMBER($G277)),"Missing: expected date",IF($H277="","Missing: status",IF($I277="","Missing: source link",IF(COUNTIF(Suppliers!$A$2:$A$51,$B277)=0,"Unknown supplier",IF(COUNTIF(Products!$A$2:$A$101,$C277)=0,"Unknown SKU",IF(COUNTIF(Config!$C$15:$C$34,$H277)=0,"Unsupported status",IF($D277&lt;=0,"Qty must be above 0",IF($G277&lt;$F277,"Expected date before order date",IF($M277&gt;$D277,"Received more than ordered",IF(AND($H277="Received",$M277&lt;$D277),"Status Received but not fully received",IF(AND(IFERROR(INDEX(Config!$D$15:$D$34,MATCH($H277,Config!$C$15:$C$34,0)),"No")="Yes",$M277&gt;=$D277),"Fully received: update status","OK"))))))))))))))))))</f>
        <v/>
      </c>
      <c r="T277" s="52" t="str">
        <f>IF($O277=1,IFERROR(COUNTIFS($O$2:$O$301,1,$G$2:$G$301,"&lt;"&amp;$G277)+COUNTIFS($O$2:$O277,1,$G$2:$G277,$G277),""),"")</f>
        <v/>
      </c>
    </row>
    <row r="278">
      <c r="A278" s="46" t="n"/>
      <c r="B278" s="46" t="n"/>
      <c r="C278" s="46" t="n"/>
      <c r="D278" s="48" t="n"/>
      <c r="E278" s="47" t="n"/>
      <c r="F278" s="54" t="n"/>
      <c r="G278" s="54" t="n"/>
      <c r="H278" s="46" t="n"/>
      <c r="I278" s="46" t="n"/>
      <c r="J278" s="46" t="n"/>
      <c r="K278" s="49" t="str">
        <f>IF($A278="","",IFERROR(INDEX(Suppliers!$B$2:$B$51,MATCH($B278,Suppliers!$A$2:$A$51,0))&amp;"","(not found)"))</f>
        <v/>
      </c>
      <c r="L278" s="49" t="str">
        <f>IF($A278="","",IFERROR(INDEX(Products!$B$2:$B$101,MATCH($C278,Products!$A$2:$A$101,0))&amp;"","(not found)"))</f>
        <v/>
      </c>
      <c r="M278" s="50" t="str">
        <f>IF($A278="","",SUMIFS(Inventory_Ledger!$E$2:$E$2001,Inventory_Ledger!$H$2:$H$2001,$A278,Inventory_Ledger!$C$2:$C$2001,"Receipt",Inventory_Ledger!$D$2:$D$2001,$C278))</f>
        <v/>
      </c>
      <c r="N278" s="50" t="str">
        <f>IF($A278="","",IF(IFERROR(INDEX(Config!$D$15:$D$34,MATCH($H278,Config!$C$15:$C$34,0)),"No")="Yes",MAX(0,IF(ISNUMBER($D278),$D278,0)-$M278),0))</f>
        <v/>
      </c>
      <c r="O278" s="52" t="str">
        <f>IF($A278="","",IF($N278&gt;0,1,0))</f>
        <v/>
      </c>
      <c r="P278" s="52" t="str">
        <f>IF($A278="","",IF(AND($O278=1,ISNUMBER($G278)),IF($G278&lt;Config!$B$4,1,0),0))</f>
        <v/>
      </c>
      <c r="Q278" s="52" t="str">
        <f>IF($A278="","",IF($P278=1,Config!$B$4-$G278,0))</f>
        <v/>
      </c>
      <c r="R278" s="53" t="str">
        <f>IF($A278="","",IF(AND(ISNUMBER($D278),ISNUMBER($E278)),$D278*$E278,""))</f>
        <v/>
      </c>
      <c r="S278" s="49" t="str">
        <f>IF(COUNTA($A278:$J278)=0,"",IF($A278="","Missing: PO ID",IF(COUNTIF($A$2:$A$301,$A278)&gt;1,"Duplicate PO ID",IF($B278="","Missing: supplier",IF($C278="","Missing: SKU",IF(NOT(ISNUMBER($D278)),"Missing: qty",IF(NOT(ISNUMBER($F278)),"Missing: order date",IF(NOT(ISNUMBER($G278)),"Missing: expected date",IF($H278="","Missing: status",IF($I278="","Missing: source link",IF(COUNTIF(Suppliers!$A$2:$A$51,$B278)=0,"Unknown supplier",IF(COUNTIF(Products!$A$2:$A$101,$C278)=0,"Unknown SKU",IF(COUNTIF(Config!$C$15:$C$34,$H278)=0,"Unsupported status",IF($D278&lt;=0,"Qty must be above 0",IF($G278&lt;$F278,"Expected date before order date",IF($M278&gt;$D278,"Received more than ordered",IF(AND($H278="Received",$M278&lt;$D278),"Status Received but not fully received",IF(AND(IFERROR(INDEX(Config!$D$15:$D$34,MATCH($H278,Config!$C$15:$C$34,0)),"No")="Yes",$M278&gt;=$D278),"Fully received: update status","OK"))))))))))))))))))</f>
        <v/>
      </c>
      <c r="T278" s="52" t="str">
        <f>IF($O278=1,IFERROR(COUNTIFS($O$2:$O$301,1,$G$2:$G$301,"&lt;"&amp;$G278)+COUNTIFS($O$2:$O278,1,$G$2:$G278,$G278),""),"")</f>
        <v/>
      </c>
    </row>
    <row r="279">
      <c r="A279" s="46" t="n"/>
      <c r="B279" s="46" t="n"/>
      <c r="C279" s="46" t="n"/>
      <c r="D279" s="48" t="n"/>
      <c r="E279" s="47" t="n"/>
      <c r="F279" s="54" t="n"/>
      <c r="G279" s="54" t="n"/>
      <c r="H279" s="46" t="n"/>
      <c r="I279" s="46" t="n"/>
      <c r="J279" s="46" t="n"/>
      <c r="K279" s="49" t="str">
        <f>IF($A279="","",IFERROR(INDEX(Suppliers!$B$2:$B$51,MATCH($B279,Suppliers!$A$2:$A$51,0))&amp;"","(not found)"))</f>
        <v/>
      </c>
      <c r="L279" s="49" t="str">
        <f>IF($A279="","",IFERROR(INDEX(Products!$B$2:$B$101,MATCH($C279,Products!$A$2:$A$101,0))&amp;"","(not found)"))</f>
        <v/>
      </c>
      <c r="M279" s="50" t="str">
        <f>IF($A279="","",SUMIFS(Inventory_Ledger!$E$2:$E$2001,Inventory_Ledger!$H$2:$H$2001,$A279,Inventory_Ledger!$C$2:$C$2001,"Receipt",Inventory_Ledger!$D$2:$D$2001,$C279))</f>
        <v/>
      </c>
      <c r="N279" s="50" t="str">
        <f>IF($A279="","",IF(IFERROR(INDEX(Config!$D$15:$D$34,MATCH($H279,Config!$C$15:$C$34,0)),"No")="Yes",MAX(0,IF(ISNUMBER($D279),$D279,0)-$M279),0))</f>
        <v/>
      </c>
      <c r="O279" s="52" t="str">
        <f>IF($A279="","",IF($N279&gt;0,1,0))</f>
        <v/>
      </c>
      <c r="P279" s="52" t="str">
        <f>IF($A279="","",IF(AND($O279=1,ISNUMBER($G279)),IF($G279&lt;Config!$B$4,1,0),0))</f>
        <v/>
      </c>
      <c r="Q279" s="52" t="str">
        <f>IF($A279="","",IF($P279=1,Config!$B$4-$G279,0))</f>
        <v/>
      </c>
      <c r="R279" s="53" t="str">
        <f>IF($A279="","",IF(AND(ISNUMBER($D279),ISNUMBER($E279)),$D279*$E279,""))</f>
        <v/>
      </c>
      <c r="S279" s="49" t="str">
        <f>IF(COUNTA($A279:$J279)=0,"",IF($A279="","Missing: PO ID",IF(COUNTIF($A$2:$A$301,$A279)&gt;1,"Duplicate PO ID",IF($B279="","Missing: supplier",IF($C279="","Missing: SKU",IF(NOT(ISNUMBER($D279)),"Missing: qty",IF(NOT(ISNUMBER($F279)),"Missing: order date",IF(NOT(ISNUMBER($G279)),"Missing: expected date",IF($H279="","Missing: status",IF($I279="","Missing: source link",IF(COUNTIF(Suppliers!$A$2:$A$51,$B279)=0,"Unknown supplier",IF(COUNTIF(Products!$A$2:$A$101,$C279)=0,"Unknown SKU",IF(COUNTIF(Config!$C$15:$C$34,$H279)=0,"Unsupported status",IF($D279&lt;=0,"Qty must be above 0",IF($G279&lt;$F279,"Expected date before order date",IF($M279&gt;$D279,"Received more than ordered",IF(AND($H279="Received",$M279&lt;$D279),"Status Received but not fully received",IF(AND(IFERROR(INDEX(Config!$D$15:$D$34,MATCH($H279,Config!$C$15:$C$34,0)),"No")="Yes",$M279&gt;=$D279),"Fully received: update status","OK"))))))))))))))))))</f>
        <v/>
      </c>
      <c r="T279" s="52" t="str">
        <f>IF($O279=1,IFERROR(COUNTIFS($O$2:$O$301,1,$G$2:$G$301,"&lt;"&amp;$G279)+COUNTIFS($O$2:$O279,1,$G$2:$G279,$G279),""),"")</f>
        <v/>
      </c>
    </row>
    <row r="280">
      <c r="A280" s="46" t="n"/>
      <c r="B280" s="46" t="n"/>
      <c r="C280" s="46" t="n"/>
      <c r="D280" s="48" t="n"/>
      <c r="E280" s="47" t="n"/>
      <c r="F280" s="54" t="n"/>
      <c r="G280" s="54" t="n"/>
      <c r="H280" s="46" t="n"/>
      <c r="I280" s="46" t="n"/>
      <c r="J280" s="46" t="n"/>
      <c r="K280" s="49" t="str">
        <f>IF($A280="","",IFERROR(INDEX(Suppliers!$B$2:$B$51,MATCH($B280,Suppliers!$A$2:$A$51,0))&amp;"","(not found)"))</f>
        <v/>
      </c>
      <c r="L280" s="49" t="str">
        <f>IF($A280="","",IFERROR(INDEX(Products!$B$2:$B$101,MATCH($C280,Products!$A$2:$A$101,0))&amp;"","(not found)"))</f>
        <v/>
      </c>
      <c r="M280" s="50" t="str">
        <f>IF($A280="","",SUMIFS(Inventory_Ledger!$E$2:$E$2001,Inventory_Ledger!$H$2:$H$2001,$A280,Inventory_Ledger!$C$2:$C$2001,"Receipt",Inventory_Ledger!$D$2:$D$2001,$C280))</f>
        <v/>
      </c>
      <c r="N280" s="50" t="str">
        <f>IF($A280="","",IF(IFERROR(INDEX(Config!$D$15:$D$34,MATCH($H280,Config!$C$15:$C$34,0)),"No")="Yes",MAX(0,IF(ISNUMBER($D280),$D280,0)-$M280),0))</f>
        <v/>
      </c>
      <c r="O280" s="52" t="str">
        <f>IF($A280="","",IF($N280&gt;0,1,0))</f>
        <v/>
      </c>
      <c r="P280" s="52" t="str">
        <f>IF($A280="","",IF(AND($O280=1,ISNUMBER($G280)),IF($G280&lt;Config!$B$4,1,0),0))</f>
        <v/>
      </c>
      <c r="Q280" s="52" t="str">
        <f>IF($A280="","",IF($P280=1,Config!$B$4-$G280,0))</f>
        <v/>
      </c>
      <c r="R280" s="53" t="str">
        <f>IF($A280="","",IF(AND(ISNUMBER($D280),ISNUMBER($E280)),$D280*$E280,""))</f>
        <v/>
      </c>
      <c r="S280" s="49" t="str">
        <f>IF(COUNTA($A280:$J280)=0,"",IF($A280="","Missing: PO ID",IF(COUNTIF($A$2:$A$301,$A280)&gt;1,"Duplicate PO ID",IF($B280="","Missing: supplier",IF($C280="","Missing: SKU",IF(NOT(ISNUMBER($D280)),"Missing: qty",IF(NOT(ISNUMBER($F280)),"Missing: order date",IF(NOT(ISNUMBER($G280)),"Missing: expected date",IF($H280="","Missing: status",IF($I280="","Missing: source link",IF(COUNTIF(Suppliers!$A$2:$A$51,$B280)=0,"Unknown supplier",IF(COUNTIF(Products!$A$2:$A$101,$C280)=0,"Unknown SKU",IF(COUNTIF(Config!$C$15:$C$34,$H280)=0,"Unsupported status",IF($D280&lt;=0,"Qty must be above 0",IF($G280&lt;$F280,"Expected date before order date",IF($M280&gt;$D280,"Received more than ordered",IF(AND($H280="Received",$M280&lt;$D280),"Status Received but not fully received",IF(AND(IFERROR(INDEX(Config!$D$15:$D$34,MATCH($H280,Config!$C$15:$C$34,0)),"No")="Yes",$M280&gt;=$D280),"Fully received: update status","OK"))))))))))))))))))</f>
        <v/>
      </c>
      <c r="T280" s="52" t="str">
        <f>IF($O280=1,IFERROR(COUNTIFS($O$2:$O$301,1,$G$2:$G$301,"&lt;"&amp;$G280)+COUNTIFS($O$2:$O280,1,$G$2:$G280,$G280),""),"")</f>
        <v/>
      </c>
    </row>
    <row r="281">
      <c r="A281" s="46" t="n"/>
      <c r="B281" s="46" t="n"/>
      <c r="C281" s="46" t="n"/>
      <c r="D281" s="48" t="n"/>
      <c r="E281" s="47" t="n"/>
      <c r="F281" s="54" t="n"/>
      <c r="G281" s="54" t="n"/>
      <c r="H281" s="46" t="n"/>
      <c r="I281" s="46" t="n"/>
      <c r="J281" s="46" t="n"/>
      <c r="K281" s="49" t="str">
        <f>IF($A281="","",IFERROR(INDEX(Suppliers!$B$2:$B$51,MATCH($B281,Suppliers!$A$2:$A$51,0))&amp;"","(not found)"))</f>
        <v/>
      </c>
      <c r="L281" s="49" t="str">
        <f>IF($A281="","",IFERROR(INDEX(Products!$B$2:$B$101,MATCH($C281,Products!$A$2:$A$101,0))&amp;"","(not found)"))</f>
        <v/>
      </c>
      <c r="M281" s="50" t="str">
        <f>IF($A281="","",SUMIFS(Inventory_Ledger!$E$2:$E$2001,Inventory_Ledger!$H$2:$H$2001,$A281,Inventory_Ledger!$C$2:$C$2001,"Receipt",Inventory_Ledger!$D$2:$D$2001,$C281))</f>
        <v/>
      </c>
      <c r="N281" s="50" t="str">
        <f>IF($A281="","",IF(IFERROR(INDEX(Config!$D$15:$D$34,MATCH($H281,Config!$C$15:$C$34,0)),"No")="Yes",MAX(0,IF(ISNUMBER($D281),$D281,0)-$M281),0))</f>
        <v/>
      </c>
      <c r="O281" s="52" t="str">
        <f>IF($A281="","",IF($N281&gt;0,1,0))</f>
        <v/>
      </c>
      <c r="P281" s="52" t="str">
        <f>IF($A281="","",IF(AND($O281=1,ISNUMBER($G281)),IF($G281&lt;Config!$B$4,1,0),0))</f>
        <v/>
      </c>
      <c r="Q281" s="52" t="str">
        <f>IF($A281="","",IF($P281=1,Config!$B$4-$G281,0))</f>
        <v/>
      </c>
      <c r="R281" s="53" t="str">
        <f>IF($A281="","",IF(AND(ISNUMBER($D281),ISNUMBER($E281)),$D281*$E281,""))</f>
        <v/>
      </c>
      <c r="S281" s="49" t="str">
        <f>IF(COUNTA($A281:$J281)=0,"",IF($A281="","Missing: PO ID",IF(COUNTIF($A$2:$A$301,$A281)&gt;1,"Duplicate PO ID",IF($B281="","Missing: supplier",IF($C281="","Missing: SKU",IF(NOT(ISNUMBER($D281)),"Missing: qty",IF(NOT(ISNUMBER($F281)),"Missing: order date",IF(NOT(ISNUMBER($G281)),"Missing: expected date",IF($H281="","Missing: status",IF($I281="","Missing: source link",IF(COUNTIF(Suppliers!$A$2:$A$51,$B281)=0,"Unknown supplier",IF(COUNTIF(Products!$A$2:$A$101,$C281)=0,"Unknown SKU",IF(COUNTIF(Config!$C$15:$C$34,$H281)=0,"Unsupported status",IF($D281&lt;=0,"Qty must be above 0",IF($G281&lt;$F281,"Expected date before order date",IF($M281&gt;$D281,"Received more than ordered",IF(AND($H281="Received",$M281&lt;$D281),"Status Received but not fully received",IF(AND(IFERROR(INDEX(Config!$D$15:$D$34,MATCH($H281,Config!$C$15:$C$34,0)),"No")="Yes",$M281&gt;=$D281),"Fully received: update status","OK"))))))))))))))))))</f>
        <v/>
      </c>
      <c r="T281" s="52" t="str">
        <f>IF($O281=1,IFERROR(COUNTIFS($O$2:$O$301,1,$G$2:$G$301,"&lt;"&amp;$G281)+COUNTIFS($O$2:$O281,1,$G$2:$G281,$G281),""),"")</f>
        <v/>
      </c>
    </row>
    <row r="282">
      <c r="A282" s="46" t="n"/>
      <c r="B282" s="46" t="n"/>
      <c r="C282" s="46" t="n"/>
      <c r="D282" s="48" t="n"/>
      <c r="E282" s="47" t="n"/>
      <c r="F282" s="54" t="n"/>
      <c r="G282" s="54" t="n"/>
      <c r="H282" s="46" t="n"/>
      <c r="I282" s="46" t="n"/>
      <c r="J282" s="46" t="n"/>
      <c r="K282" s="49" t="str">
        <f>IF($A282="","",IFERROR(INDEX(Suppliers!$B$2:$B$51,MATCH($B282,Suppliers!$A$2:$A$51,0))&amp;"","(not found)"))</f>
        <v/>
      </c>
      <c r="L282" s="49" t="str">
        <f>IF($A282="","",IFERROR(INDEX(Products!$B$2:$B$101,MATCH($C282,Products!$A$2:$A$101,0))&amp;"","(not found)"))</f>
        <v/>
      </c>
      <c r="M282" s="50" t="str">
        <f>IF($A282="","",SUMIFS(Inventory_Ledger!$E$2:$E$2001,Inventory_Ledger!$H$2:$H$2001,$A282,Inventory_Ledger!$C$2:$C$2001,"Receipt",Inventory_Ledger!$D$2:$D$2001,$C282))</f>
        <v/>
      </c>
      <c r="N282" s="50" t="str">
        <f>IF($A282="","",IF(IFERROR(INDEX(Config!$D$15:$D$34,MATCH($H282,Config!$C$15:$C$34,0)),"No")="Yes",MAX(0,IF(ISNUMBER($D282),$D282,0)-$M282),0))</f>
        <v/>
      </c>
      <c r="O282" s="52" t="str">
        <f>IF($A282="","",IF($N282&gt;0,1,0))</f>
        <v/>
      </c>
      <c r="P282" s="52" t="str">
        <f>IF($A282="","",IF(AND($O282=1,ISNUMBER($G282)),IF($G282&lt;Config!$B$4,1,0),0))</f>
        <v/>
      </c>
      <c r="Q282" s="52" t="str">
        <f>IF($A282="","",IF($P282=1,Config!$B$4-$G282,0))</f>
        <v/>
      </c>
      <c r="R282" s="53" t="str">
        <f>IF($A282="","",IF(AND(ISNUMBER($D282),ISNUMBER($E282)),$D282*$E282,""))</f>
        <v/>
      </c>
      <c r="S282" s="49" t="str">
        <f>IF(COUNTA($A282:$J282)=0,"",IF($A282="","Missing: PO ID",IF(COUNTIF($A$2:$A$301,$A282)&gt;1,"Duplicate PO ID",IF($B282="","Missing: supplier",IF($C282="","Missing: SKU",IF(NOT(ISNUMBER($D282)),"Missing: qty",IF(NOT(ISNUMBER($F282)),"Missing: order date",IF(NOT(ISNUMBER($G282)),"Missing: expected date",IF($H282="","Missing: status",IF($I282="","Missing: source link",IF(COUNTIF(Suppliers!$A$2:$A$51,$B282)=0,"Unknown supplier",IF(COUNTIF(Products!$A$2:$A$101,$C282)=0,"Unknown SKU",IF(COUNTIF(Config!$C$15:$C$34,$H282)=0,"Unsupported status",IF($D282&lt;=0,"Qty must be above 0",IF($G282&lt;$F282,"Expected date before order date",IF($M282&gt;$D282,"Received more than ordered",IF(AND($H282="Received",$M282&lt;$D282),"Status Received but not fully received",IF(AND(IFERROR(INDEX(Config!$D$15:$D$34,MATCH($H282,Config!$C$15:$C$34,0)),"No")="Yes",$M282&gt;=$D282),"Fully received: update status","OK"))))))))))))))))))</f>
        <v/>
      </c>
      <c r="T282" s="52" t="str">
        <f>IF($O282=1,IFERROR(COUNTIFS($O$2:$O$301,1,$G$2:$G$301,"&lt;"&amp;$G282)+COUNTIFS($O$2:$O282,1,$G$2:$G282,$G282),""),"")</f>
        <v/>
      </c>
    </row>
    <row r="283">
      <c r="A283" s="46" t="n"/>
      <c r="B283" s="46" t="n"/>
      <c r="C283" s="46" t="n"/>
      <c r="D283" s="48" t="n"/>
      <c r="E283" s="47" t="n"/>
      <c r="F283" s="54" t="n"/>
      <c r="G283" s="54" t="n"/>
      <c r="H283" s="46" t="n"/>
      <c r="I283" s="46" t="n"/>
      <c r="J283" s="46" t="n"/>
      <c r="K283" s="49" t="str">
        <f>IF($A283="","",IFERROR(INDEX(Suppliers!$B$2:$B$51,MATCH($B283,Suppliers!$A$2:$A$51,0))&amp;"","(not found)"))</f>
        <v/>
      </c>
      <c r="L283" s="49" t="str">
        <f>IF($A283="","",IFERROR(INDEX(Products!$B$2:$B$101,MATCH($C283,Products!$A$2:$A$101,0))&amp;"","(not found)"))</f>
        <v/>
      </c>
      <c r="M283" s="50" t="str">
        <f>IF($A283="","",SUMIFS(Inventory_Ledger!$E$2:$E$2001,Inventory_Ledger!$H$2:$H$2001,$A283,Inventory_Ledger!$C$2:$C$2001,"Receipt",Inventory_Ledger!$D$2:$D$2001,$C283))</f>
        <v/>
      </c>
      <c r="N283" s="50" t="str">
        <f>IF($A283="","",IF(IFERROR(INDEX(Config!$D$15:$D$34,MATCH($H283,Config!$C$15:$C$34,0)),"No")="Yes",MAX(0,IF(ISNUMBER($D283),$D283,0)-$M283),0))</f>
        <v/>
      </c>
      <c r="O283" s="52" t="str">
        <f>IF($A283="","",IF($N283&gt;0,1,0))</f>
        <v/>
      </c>
      <c r="P283" s="52" t="str">
        <f>IF($A283="","",IF(AND($O283=1,ISNUMBER($G283)),IF($G283&lt;Config!$B$4,1,0),0))</f>
        <v/>
      </c>
      <c r="Q283" s="52" t="str">
        <f>IF($A283="","",IF($P283=1,Config!$B$4-$G283,0))</f>
        <v/>
      </c>
      <c r="R283" s="53" t="str">
        <f>IF($A283="","",IF(AND(ISNUMBER($D283),ISNUMBER($E283)),$D283*$E283,""))</f>
        <v/>
      </c>
      <c r="S283" s="49" t="str">
        <f>IF(COUNTA($A283:$J283)=0,"",IF($A283="","Missing: PO ID",IF(COUNTIF($A$2:$A$301,$A283)&gt;1,"Duplicate PO ID",IF($B283="","Missing: supplier",IF($C283="","Missing: SKU",IF(NOT(ISNUMBER($D283)),"Missing: qty",IF(NOT(ISNUMBER($F283)),"Missing: order date",IF(NOT(ISNUMBER($G283)),"Missing: expected date",IF($H283="","Missing: status",IF($I283="","Missing: source link",IF(COUNTIF(Suppliers!$A$2:$A$51,$B283)=0,"Unknown supplier",IF(COUNTIF(Products!$A$2:$A$101,$C283)=0,"Unknown SKU",IF(COUNTIF(Config!$C$15:$C$34,$H283)=0,"Unsupported status",IF($D283&lt;=0,"Qty must be above 0",IF($G283&lt;$F283,"Expected date before order date",IF($M283&gt;$D283,"Received more than ordered",IF(AND($H283="Received",$M283&lt;$D283),"Status Received but not fully received",IF(AND(IFERROR(INDEX(Config!$D$15:$D$34,MATCH($H283,Config!$C$15:$C$34,0)),"No")="Yes",$M283&gt;=$D283),"Fully received: update status","OK"))))))))))))))))))</f>
        <v/>
      </c>
      <c r="T283" s="52" t="str">
        <f>IF($O283=1,IFERROR(COUNTIFS($O$2:$O$301,1,$G$2:$G$301,"&lt;"&amp;$G283)+COUNTIFS($O$2:$O283,1,$G$2:$G283,$G283),""),"")</f>
        <v/>
      </c>
    </row>
    <row r="284">
      <c r="A284" s="46" t="n"/>
      <c r="B284" s="46" t="n"/>
      <c r="C284" s="46" t="n"/>
      <c r="D284" s="48" t="n"/>
      <c r="E284" s="47" t="n"/>
      <c r="F284" s="54" t="n"/>
      <c r="G284" s="54" t="n"/>
      <c r="H284" s="46" t="n"/>
      <c r="I284" s="46" t="n"/>
      <c r="J284" s="46" t="n"/>
      <c r="K284" s="49" t="str">
        <f>IF($A284="","",IFERROR(INDEX(Suppliers!$B$2:$B$51,MATCH($B284,Suppliers!$A$2:$A$51,0))&amp;"","(not found)"))</f>
        <v/>
      </c>
      <c r="L284" s="49" t="str">
        <f>IF($A284="","",IFERROR(INDEX(Products!$B$2:$B$101,MATCH($C284,Products!$A$2:$A$101,0))&amp;"","(not found)"))</f>
        <v/>
      </c>
      <c r="M284" s="50" t="str">
        <f>IF($A284="","",SUMIFS(Inventory_Ledger!$E$2:$E$2001,Inventory_Ledger!$H$2:$H$2001,$A284,Inventory_Ledger!$C$2:$C$2001,"Receipt",Inventory_Ledger!$D$2:$D$2001,$C284))</f>
        <v/>
      </c>
      <c r="N284" s="50" t="str">
        <f>IF($A284="","",IF(IFERROR(INDEX(Config!$D$15:$D$34,MATCH($H284,Config!$C$15:$C$34,0)),"No")="Yes",MAX(0,IF(ISNUMBER($D284),$D284,0)-$M284),0))</f>
        <v/>
      </c>
      <c r="O284" s="52" t="str">
        <f>IF($A284="","",IF($N284&gt;0,1,0))</f>
        <v/>
      </c>
      <c r="P284" s="52" t="str">
        <f>IF($A284="","",IF(AND($O284=1,ISNUMBER($G284)),IF($G284&lt;Config!$B$4,1,0),0))</f>
        <v/>
      </c>
      <c r="Q284" s="52" t="str">
        <f>IF($A284="","",IF($P284=1,Config!$B$4-$G284,0))</f>
        <v/>
      </c>
      <c r="R284" s="53" t="str">
        <f>IF($A284="","",IF(AND(ISNUMBER($D284),ISNUMBER($E284)),$D284*$E284,""))</f>
        <v/>
      </c>
      <c r="S284" s="49" t="str">
        <f>IF(COUNTA($A284:$J284)=0,"",IF($A284="","Missing: PO ID",IF(COUNTIF($A$2:$A$301,$A284)&gt;1,"Duplicate PO ID",IF($B284="","Missing: supplier",IF($C284="","Missing: SKU",IF(NOT(ISNUMBER($D284)),"Missing: qty",IF(NOT(ISNUMBER($F284)),"Missing: order date",IF(NOT(ISNUMBER($G284)),"Missing: expected date",IF($H284="","Missing: status",IF($I284="","Missing: source link",IF(COUNTIF(Suppliers!$A$2:$A$51,$B284)=0,"Unknown supplier",IF(COUNTIF(Products!$A$2:$A$101,$C284)=0,"Unknown SKU",IF(COUNTIF(Config!$C$15:$C$34,$H284)=0,"Unsupported status",IF($D284&lt;=0,"Qty must be above 0",IF($G284&lt;$F284,"Expected date before order date",IF($M284&gt;$D284,"Received more than ordered",IF(AND($H284="Received",$M284&lt;$D284),"Status Received but not fully received",IF(AND(IFERROR(INDEX(Config!$D$15:$D$34,MATCH($H284,Config!$C$15:$C$34,0)),"No")="Yes",$M284&gt;=$D284),"Fully received: update status","OK"))))))))))))))))))</f>
        <v/>
      </c>
      <c r="T284" s="52" t="str">
        <f>IF($O284=1,IFERROR(COUNTIFS($O$2:$O$301,1,$G$2:$G$301,"&lt;"&amp;$G284)+COUNTIFS($O$2:$O284,1,$G$2:$G284,$G284),""),"")</f>
        <v/>
      </c>
    </row>
    <row r="285">
      <c r="A285" s="46" t="n"/>
      <c r="B285" s="46" t="n"/>
      <c r="C285" s="46" t="n"/>
      <c r="D285" s="48" t="n"/>
      <c r="E285" s="47" t="n"/>
      <c r="F285" s="54" t="n"/>
      <c r="G285" s="54" t="n"/>
      <c r="H285" s="46" t="n"/>
      <c r="I285" s="46" t="n"/>
      <c r="J285" s="46" t="n"/>
      <c r="K285" s="49" t="str">
        <f>IF($A285="","",IFERROR(INDEX(Suppliers!$B$2:$B$51,MATCH($B285,Suppliers!$A$2:$A$51,0))&amp;"","(not found)"))</f>
        <v/>
      </c>
      <c r="L285" s="49" t="str">
        <f>IF($A285="","",IFERROR(INDEX(Products!$B$2:$B$101,MATCH($C285,Products!$A$2:$A$101,0))&amp;"","(not found)"))</f>
        <v/>
      </c>
      <c r="M285" s="50" t="str">
        <f>IF($A285="","",SUMIFS(Inventory_Ledger!$E$2:$E$2001,Inventory_Ledger!$H$2:$H$2001,$A285,Inventory_Ledger!$C$2:$C$2001,"Receipt",Inventory_Ledger!$D$2:$D$2001,$C285))</f>
        <v/>
      </c>
      <c r="N285" s="50" t="str">
        <f>IF($A285="","",IF(IFERROR(INDEX(Config!$D$15:$D$34,MATCH($H285,Config!$C$15:$C$34,0)),"No")="Yes",MAX(0,IF(ISNUMBER($D285),$D285,0)-$M285),0))</f>
        <v/>
      </c>
      <c r="O285" s="52" t="str">
        <f>IF($A285="","",IF($N285&gt;0,1,0))</f>
        <v/>
      </c>
      <c r="P285" s="52" t="str">
        <f>IF($A285="","",IF(AND($O285=1,ISNUMBER($G285)),IF($G285&lt;Config!$B$4,1,0),0))</f>
        <v/>
      </c>
      <c r="Q285" s="52" t="str">
        <f>IF($A285="","",IF($P285=1,Config!$B$4-$G285,0))</f>
        <v/>
      </c>
      <c r="R285" s="53" t="str">
        <f>IF($A285="","",IF(AND(ISNUMBER($D285),ISNUMBER($E285)),$D285*$E285,""))</f>
        <v/>
      </c>
      <c r="S285" s="49" t="str">
        <f>IF(COUNTA($A285:$J285)=0,"",IF($A285="","Missing: PO ID",IF(COUNTIF($A$2:$A$301,$A285)&gt;1,"Duplicate PO ID",IF($B285="","Missing: supplier",IF($C285="","Missing: SKU",IF(NOT(ISNUMBER($D285)),"Missing: qty",IF(NOT(ISNUMBER($F285)),"Missing: order date",IF(NOT(ISNUMBER($G285)),"Missing: expected date",IF($H285="","Missing: status",IF($I285="","Missing: source link",IF(COUNTIF(Suppliers!$A$2:$A$51,$B285)=0,"Unknown supplier",IF(COUNTIF(Products!$A$2:$A$101,$C285)=0,"Unknown SKU",IF(COUNTIF(Config!$C$15:$C$34,$H285)=0,"Unsupported status",IF($D285&lt;=0,"Qty must be above 0",IF($G285&lt;$F285,"Expected date before order date",IF($M285&gt;$D285,"Received more than ordered",IF(AND($H285="Received",$M285&lt;$D285),"Status Received but not fully received",IF(AND(IFERROR(INDEX(Config!$D$15:$D$34,MATCH($H285,Config!$C$15:$C$34,0)),"No")="Yes",$M285&gt;=$D285),"Fully received: update status","OK"))))))))))))))))))</f>
        <v/>
      </c>
      <c r="T285" s="52" t="str">
        <f>IF($O285=1,IFERROR(COUNTIFS($O$2:$O$301,1,$G$2:$G$301,"&lt;"&amp;$G285)+COUNTIFS($O$2:$O285,1,$G$2:$G285,$G285),""),"")</f>
        <v/>
      </c>
    </row>
    <row r="286">
      <c r="A286" s="46" t="n"/>
      <c r="B286" s="46" t="n"/>
      <c r="C286" s="46" t="n"/>
      <c r="D286" s="48" t="n"/>
      <c r="E286" s="47" t="n"/>
      <c r="F286" s="54" t="n"/>
      <c r="G286" s="54" t="n"/>
      <c r="H286" s="46" t="n"/>
      <c r="I286" s="46" t="n"/>
      <c r="J286" s="46" t="n"/>
      <c r="K286" s="49" t="str">
        <f>IF($A286="","",IFERROR(INDEX(Suppliers!$B$2:$B$51,MATCH($B286,Suppliers!$A$2:$A$51,0))&amp;"","(not found)"))</f>
        <v/>
      </c>
      <c r="L286" s="49" t="str">
        <f>IF($A286="","",IFERROR(INDEX(Products!$B$2:$B$101,MATCH($C286,Products!$A$2:$A$101,0))&amp;"","(not found)"))</f>
        <v/>
      </c>
      <c r="M286" s="50" t="str">
        <f>IF($A286="","",SUMIFS(Inventory_Ledger!$E$2:$E$2001,Inventory_Ledger!$H$2:$H$2001,$A286,Inventory_Ledger!$C$2:$C$2001,"Receipt",Inventory_Ledger!$D$2:$D$2001,$C286))</f>
        <v/>
      </c>
      <c r="N286" s="50" t="str">
        <f>IF($A286="","",IF(IFERROR(INDEX(Config!$D$15:$D$34,MATCH($H286,Config!$C$15:$C$34,0)),"No")="Yes",MAX(0,IF(ISNUMBER($D286),$D286,0)-$M286),0))</f>
        <v/>
      </c>
      <c r="O286" s="52" t="str">
        <f>IF($A286="","",IF($N286&gt;0,1,0))</f>
        <v/>
      </c>
      <c r="P286" s="52" t="str">
        <f>IF($A286="","",IF(AND($O286=1,ISNUMBER($G286)),IF($G286&lt;Config!$B$4,1,0),0))</f>
        <v/>
      </c>
      <c r="Q286" s="52" t="str">
        <f>IF($A286="","",IF($P286=1,Config!$B$4-$G286,0))</f>
        <v/>
      </c>
      <c r="R286" s="53" t="str">
        <f>IF($A286="","",IF(AND(ISNUMBER($D286),ISNUMBER($E286)),$D286*$E286,""))</f>
        <v/>
      </c>
      <c r="S286" s="49" t="str">
        <f>IF(COUNTA($A286:$J286)=0,"",IF($A286="","Missing: PO ID",IF(COUNTIF($A$2:$A$301,$A286)&gt;1,"Duplicate PO ID",IF($B286="","Missing: supplier",IF($C286="","Missing: SKU",IF(NOT(ISNUMBER($D286)),"Missing: qty",IF(NOT(ISNUMBER($F286)),"Missing: order date",IF(NOT(ISNUMBER($G286)),"Missing: expected date",IF($H286="","Missing: status",IF($I286="","Missing: source link",IF(COUNTIF(Suppliers!$A$2:$A$51,$B286)=0,"Unknown supplier",IF(COUNTIF(Products!$A$2:$A$101,$C286)=0,"Unknown SKU",IF(COUNTIF(Config!$C$15:$C$34,$H286)=0,"Unsupported status",IF($D286&lt;=0,"Qty must be above 0",IF($G286&lt;$F286,"Expected date before order date",IF($M286&gt;$D286,"Received more than ordered",IF(AND($H286="Received",$M286&lt;$D286),"Status Received but not fully received",IF(AND(IFERROR(INDEX(Config!$D$15:$D$34,MATCH($H286,Config!$C$15:$C$34,0)),"No")="Yes",$M286&gt;=$D286),"Fully received: update status","OK"))))))))))))))))))</f>
        <v/>
      </c>
      <c r="T286" s="52" t="str">
        <f>IF($O286=1,IFERROR(COUNTIFS($O$2:$O$301,1,$G$2:$G$301,"&lt;"&amp;$G286)+COUNTIFS($O$2:$O286,1,$G$2:$G286,$G286),""),"")</f>
        <v/>
      </c>
    </row>
    <row r="287">
      <c r="A287" s="46" t="n"/>
      <c r="B287" s="46" t="n"/>
      <c r="C287" s="46" t="n"/>
      <c r="D287" s="48" t="n"/>
      <c r="E287" s="47" t="n"/>
      <c r="F287" s="54" t="n"/>
      <c r="G287" s="54" t="n"/>
      <c r="H287" s="46" t="n"/>
      <c r="I287" s="46" t="n"/>
      <c r="J287" s="46" t="n"/>
      <c r="K287" s="49" t="str">
        <f>IF($A287="","",IFERROR(INDEX(Suppliers!$B$2:$B$51,MATCH($B287,Suppliers!$A$2:$A$51,0))&amp;"","(not found)"))</f>
        <v/>
      </c>
      <c r="L287" s="49" t="str">
        <f>IF($A287="","",IFERROR(INDEX(Products!$B$2:$B$101,MATCH($C287,Products!$A$2:$A$101,0))&amp;"","(not found)"))</f>
        <v/>
      </c>
      <c r="M287" s="50" t="str">
        <f>IF($A287="","",SUMIFS(Inventory_Ledger!$E$2:$E$2001,Inventory_Ledger!$H$2:$H$2001,$A287,Inventory_Ledger!$C$2:$C$2001,"Receipt",Inventory_Ledger!$D$2:$D$2001,$C287))</f>
        <v/>
      </c>
      <c r="N287" s="50" t="str">
        <f>IF($A287="","",IF(IFERROR(INDEX(Config!$D$15:$D$34,MATCH($H287,Config!$C$15:$C$34,0)),"No")="Yes",MAX(0,IF(ISNUMBER($D287),$D287,0)-$M287),0))</f>
        <v/>
      </c>
      <c r="O287" s="52" t="str">
        <f>IF($A287="","",IF($N287&gt;0,1,0))</f>
        <v/>
      </c>
      <c r="P287" s="52" t="str">
        <f>IF($A287="","",IF(AND($O287=1,ISNUMBER($G287)),IF($G287&lt;Config!$B$4,1,0),0))</f>
        <v/>
      </c>
      <c r="Q287" s="52" t="str">
        <f>IF($A287="","",IF($P287=1,Config!$B$4-$G287,0))</f>
        <v/>
      </c>
      <c r="R287" s="53" t="str">
        <f>IF($A287="","",IF(AND(ISNUMBER($D287),ISNUMBER($E287)),$D287*$E287,""))</f>
        <v/>
      </c>
      <c r="S287" s="49" t="str">
        <f>IF(COUNTA($A287:$J287)=0,"",IF($A287="","Missing: PO ID",IF(COUNTIF($A$2:$A$301,$A287)&gt;1,"Duplicate PO ID",IF($B287="","Missing: supplier",IF($C287="","Missing: SKU",IF(NOT(ISNUMBER($D287)),"Missing: qty",IF(NOT(ISNUMBER($F287)),"Missing: order date",IF(NOT(ISNUMBER($G287)),"Missing: expected date",IF($H287="","Missing: status",IF($I287="","Missing: source link",IF(COUNTIF(Suppliers!$A$2:$A$51,$B287)=0,"Unknown supplier",IF(COUNTIF(Products!$A$2:$A$101,$C287)=0,"Unknown SKU",IF(COUNTIF(Config!$C$15:$C$34,$H287)=0,"Unsupported status",IF($D287&lt;=0,"Qty must be above 0",IF($G287&lt;$F287,"Expected date before order date",IF($M287&gt;$D287,"Received more than ordered",IF(AND($H287="Received",$M287&lt;$D287),"Status Received but not fully received",IF(AND(IFERROR(INDEX(Config!$D$15:$D$34,MATCH($H287,Config!$C$15:$C$34,0)),"No")="Yes",$M287&gt;=$D287),"Fully received: update status","OK"))))))))))))))))))</f>
        <v/>
      </c>
      <c r="T287" s="52" t="str">
        <f>IF($O287=1,IFERROR(COUNTIFS($O$2:$O$301,1,$G$2:$G$301,"&lt;"&amp;$G287)+COUNTIFS($O$2:$O287,1,$G$2:$G287,$G287),""),"")</f>
        <v/>
      </c>
    </row>
    <row r="288">
      <c r="A288" s="46" t="n"/>
      <c r="B288" s="46" t="n"/>
      <c r="C288" s="46" t="n"/>
      <c r="D288" s="48" t="n"/>
      <c r="E288" s="47" t="n"/>
      <c r="F288" s="54" t="n"/>
      <c r="G288" s="54" t="n"/>
      <c r="H288" s="46" t="n"/>
      <c r="I288" s="46" t="n"/>
      <c r="J288" s="46" t="n"/>
      <c r="K288" s="49" t="str">
        <f>IF($A288="","",IFERROR(INDEX(Suppliers!$B$2:$B$51,MATCH($B288,Suppliers!$A$2:$A$51,0))&amp;"","(not found)"))</f>
        <v/>
      </c>
      <c r="L288" s="49" t="str">
        <f>IF($A288="","",IFERROR(INDEX(Products!$B$2:$B$101,MATCH($C288,Products!$A$2:$A$101,0))&amp;"","(not found)"))</f>
        <v/>
      </c>
      <c r="M288" s="50" t="str">
        <f>IF($A288="","",SUMIFS(Inventory_Ledger!$E$2:$E$2001,Inventory_Ledger!$H$2:$H$2001,$A288,Inventory_Ledger!$C$2:$C$2001,"Receipt",Inventory_Ledger!$D$2:$D$2001,$C288))</f>
        <v/>
      </c>
      <c r="N288" s="50" t="str">
        <f>IF($A288="","",IF(IFERROR(INDEX(Config!$D$15:$D$34,MATCH($H288,Config!$C$15:$C$34,0)),"No")="Yes",MAX(0,IF(ISNUMBER($D288),$D288,0)-$M288),0))</f>
        <v/>
      </c>
      <c r="O288" s="52" t="str">
        <f>IF($A288="","",IF($N288&gt;0,1,0))</f>
        <v/>
      </c>
      <c r="P288" s="52" t="str">
        <f>IF($A288="","",IF(AND($O288=1,ISNUMBER($G288)),IF($G288&lt;Config!$B$4,1,0),0))</f>
        <v/>
      </c>
      <c r="Q288" s="52" t="str">
        <f>IF($A288="","",IF($P288=1,Config!$B$4-$G288,0))</f>
        <v/>
      </c>
      <c r="R288" s="53" t="str">
        <f>IF($A288="","",IF(AND(ISNUMBER($D288),ISNUMBER($E288)),$D288*$E288,""))</f>
        <v/>
      </c>
      <c r="S288" s="49" t="str">
        <f>IF(COUNTA($A288:$J288)=0,"",IF($A288="","Missing: PO ID",IF(COUNTIF($A$2:$A$301,$A288)&gt;1,"Duplicate PO ID",IF($B288="","Missing: supplier",IF($C288="","Missing: SKU",IF(NOT(ISNUMBER($D288)),"Missing: qty",IF(NOT(ISNUMBER($F288)),"Missing: order date",IF(NOT(ISNUMBER($G288)),"Missing: expected date",IF($H288="","Missing: status",IF($I288="","Missing: source link",IF(COUNTIF(Suppliers!$A$2:$A$51,$B288)=0,"Unknown supplier",IF(COUNTIF(Products!$A$2:$A$101,$C288)=0,"Unknown SKU",IF(COUNTIF(Config!$C$15:$C$34,$H288)=0,"Unsupported status",IF($D288&lt;=0,"Qty must be above 0",IF($G288&lt;$F288,"Expected date before order date",IF($M288&gt;$D288,"Received more than ordered",IF(AND($H288="Received",$M288&lt;$D288),"Status Received but not fully received",IF(AND(IFERROR(INDEX(Config!$D$15:$D$34,MATCH($H288,Config!$C$15:$C$34,0)),"No")="Yes",$M288&gt;=$D288),"Fully received: update status","OK"))))))))))))))))))</f>
        <v/>
      </c>
      <c r="T288" s="52" t="str">
        <f>IF($O288=1,IFERROR(COUNTIFS($O$2:$O$301,1,$G$2:$G$301,"&lt;"&amp;$G288)+COUNTIFS($O$2:$O288,1,$G$2:$G288,$G288),""),"")</f>
        <v/>
      </c>
    </row>
    <row r="289">
      <c r="A289" s="46" t="n"/>
      <c r="B289" s="46" t="n"/>
      <c r="C289" s="46" t="n"/>
      <c r="D289" s="48" t="n"/>
      <c r="E289" s="47" t="n"/>
      <c r="F289" s="54" t="n"/>
      <c r="G289" s="54" t="n"/>
      <c r="H289" s="46" t="n"/>
      <c r="I289" s="46" t="n"/>
      <c r="J289" s="46" t="n"/>
      <c r="K289" s="49" t="str">
        <f>IF($A289="","",IFERROR(INDEX(Suppliers!$B$2:$B$51,MATCH($B289,Suppliers!$A$2:$A$51,0))&amp;"","(not found)"))</f>
        <v/>
      </c>
      <c r="L289" s="49" t="str">
        <f>IF($A289="","",IFERROR(INDEX(Products!$B$2:$B$101,MATCH($C289,Products!$A$2:$A$101,0))&amp;"","(not found)"))</f>
        <v/>
      </c>
      <c r="M289" s="50" t="str">
        <f>IF($A289="","",SUMIFS(Inventory_Ledger!$E$2:$E$2001,Inventory_Ledger!$H$2:$H$2001,$A289,Inventory_Ledger!$C$2:$C$2001,"Receipt",Inventory_Ledger!$D$2:$D$2001,$C289))</f>
        <v/>
      </c>
      <c r="N289" s="50" t="str">
        <f>IF($A289="","",IF(IFERROR(INDEX(Config!$D$15:$D$34,MATCH($H289,Config!$C$15:$C$34,0)),"No")="Yes",MAX(0,IF(ISNUMBER($D289),$D289,0)-$M289),0))</f>
        <v/>
      </c>
      <c r="O289" s="52" t="str">
        <f>IF($A289="","",IF($N289&gt;0,1,0))</f>
        <v/>
      </c>
      <c r="P289" s="52" t="str">
        <f>IF($A289="","",IF(AND($O289=1,ISNUMBER($G289)),IF($G289&lt;Config!$B$4,1,0),0))</f>
        <v/>
      </c>
      <c r="Q289" s="52" t="str">
        <f>IF($A289="","",IF($P289=1,Config!$B$4-$G289,0))</f>
        <v/>
      </c>
      <c r="R289" s="53" t="str">
        <f>IF($A289="","",IF(AND(ISNUMBER($D289),ISNUMBER($E289)),$D289*$E289,""))</f>
        <v/>
      </c>
      <c r="S289" s="49" t="str">
        <f>IF(COUNTA($A289:$J289)=0,"",IF($A289="","Missing: PO ID",IF(COUNTIF($A$2:$A$301,$A289)&gt;1,"Duplicate PO ID",IF($B289="","Missing: supplier",IF($C289="","Missing: SKU",IF(NOT(ISNUMBER($D289)),"Missing: qty",IF(NOT(ISNUMBER($F289)),"Missing: order date",IF(NOT(ISNUMBER($G289)),"Missing: expected date",IF($H289="","Missing: status",IF($I289="","Missing: source link",IF(COUNTIF(Suppliers!$A$2:$A$51,$B289)=0,"Unknown supplier",IF(COUNTIF(Products!$A$2:$A$101,$C289)=0,"Unknown SKU",IF(COUNTIF(Config!$C$15:$C$34,$H289)=0,"Unsupported status",IF($D289&lt;=0,"Qty must be above 0",IF($G289&lt;$F289,"Expected date before order date",IF($M289&gt;$D289,"Received more than ordered",IF(AND($H289="Received",$M289&lt;$D289),"Status Received but not fully received",IF(AND(IFERROR(INDEX(Config!$D$15:$D$34,MATCH($H289,Config!$C$15:$C$34,0)),"No")="Yes",$M289&gt;=$D289),"Fully received: update status","OK"))))))))))))))))))</f>
        <v/>
      </c>
      <c r="T289" s="52" t="str">
        <f>IF($O289=1,IFERROR(COUNTIFS($O$2:$O$301,1,$G$2:$G$301,"&lt;"&amp;$G289)+COUNTIFS($O$2:$O289,1,$G$2:$G289,$G289),""),"")</f>
        <v/>
      </c>
    </row>
    <row r="290">
      <c r="A290" s="46" t="n"/>
      <c r="B290" s="46" t="n"/>
      <c r="C290" s="46" t="n"/>
      <c r="D290" s="48" t="n"/>
      <c r="E290" s="47" t="n"/>
      <c r="F290" s="54" t="n"/>
      <c r="G290" s="54" t="n"/>
      <c r="H290" s="46" t="n"/>
      <c r="I290" s="46" t="n"/>
      <c r="J290" s="46" t="n"/>
      <c r="K290" s="49" t="str">
        <f>IF($A290="","",IFERROR(INDEX(Suppliers!$B$2:$B$51,MATCH($B290,Suppliers!$A$2:$A$51,0))&amp;"","(not found)"))</f>
        <v/>
      </c>
      <c r="L290" s="49" t="str">
        <f>IF($A290="","",IFERROR(INDEX(Products!$B$2:$B$101,MATCH($C290,Products!$A$2:$A$101,0))&amp;"","(not found)"))</f>
        <v/>
      </c>
      <c r="M290" s="50" t="str">
        <f>IF($A290="","",SUMIFS(Inventory_Ledger!$E$2:$E$2001,Inventory_Ledger!$H$2:$H$2001,$A290,Inventory_Ledger!$C$2:$C$2001,"Receipt",Inventory_Ledger!$D$2:$D$2001,$C290))</f>
        <v/>
      </c>
      <c r="N290" s="50" t="str">
        <f>IF($A290="","",IF(IFERROR(INDEX(Config!$D$15:$D$34,MATCH($H290,Config!$C$15:$C$34,0)),"No")="Yes",MAX(0,IF(ISNUMBER($D290),$D290,0)-$M290),0))</f>
        <v/>
      </c>
      <c r="O290" s="52" t="str">
        <f>IF($A290="","",IF($N290&gt;0,1,0))</f>
        <v/>
      </c>
      <c r="P290" s="52" t="str">
        <f>IF($A290="","",IF(AND($O290=1,ISNUMBER($G290)),IF($G290&lt;Config!$B$4,1,0),0))</f>
        <v/>
      </c>
      <c r="Q290" s="52" t="str">
        <f>IF($A290="","",IF($P290=1,Config!$B$4-$G290,0))</f>
        <v/>
      </c>
      <c r="R290" s="53" t="str">
        <f>IF($A290="","",IF(AND(ISNUMBER($D290),ISNUMBER($E290)),$D290*$E290,""))</f>
        <v/>
      </c>
      <c r="S290" s="49" t="str">
        <f>IF(COUNTA($A290:$J290)=0,"",IF($A290="","Missing: PO ID",IF(COUNTIF($A$2:$A$301,$A290)&gt;1,"Duplicate PO ID",IF($B290="","Missing: supplier",IF($C290="","Missing: SKU",IF(NOT(ISNUMBER($D290)),"Missing: qty",IF(NOT(ISNUMBER($F290)),"Missing: order date",IF(NOT(ISNUMBER($G290)),"Missing: expected date",IF($H290="","Missing: status",IF($I290="","Missing: source link",IF(COUNTIF(Suppliers!$A$2:$A$51,$B290)=0,"Unknown supplier",IF(COUNTIF(Products!$A$2:$A$101,$C290)=0,"Unknown SKU",IF(COUNTIF(Config!$C$15:$C$34,$H290)=0,"Unsupported status",IF($D290&lt;=0,"Qty must be above 0",IF($G290&lt;$F290,"Expected date before order date",IF($M290&gt;$D290,"Received more than ordered",IF(AND($H290="Received",$M290&lt;$D290),"Status Received but not fully received",IF(AND(IFERROR(INDEX(Config!$D$15:$D$34,MATCH($H290,Config!$C$15:$C$34,0)),"No")="Yes",$M290&gt;=$D290),"Fully received: update status","OK"))))))))))))))))))</f>
        <v/>
      </c>
      <c r="T290" s="52" t="str">
        <f>IF($O290=1,IFERROR(COUNTIFS($O$2:$O$301,1,$G$2:$G$301,"&lt;"&amp;$G290)+COUNTIFS($O$2:$O290,1,$G$2:$G290,$G290),""),"")</f>
        <v/>
      </c>
    </row>
    <row r="291">
      <c r="A291" s="46" t="n"/>
      <c r="B291" s="46" t="n"/>
      <c r="C291" s="46" t="n"/>
      <c r="D291" s="48" t="n"/>
      <c r="E291" s="47" t="n"/>
      <c r="F291" s="54" t="n"/>
      <c r="G291" s="54" t="n"/>
      <c r="H291" s="46" t="n"/>
      <c r="I291" s="46" t="n"/>
      <c r="J291" s="46" t="n"/>
      <c r="K291" s="49" t="str">
        <f>IF($A291="","",IFERROR(INDEX(Suppliers!$B$2:$B$51,MATCH($B291,Suppliers!$A$2:$A$51,0))&amp;"","(not found)"))</f>
        <v/>
      </c>
      <c r="L291" s="49" t="str">
        <f>IF($A291="","",IFERROR(INDEX(Products!$B$2:$B$101,MATCH($C291,Products!$A$2:$A$101,0))&amp;"","(not found)"))</f>
        <v/>
      </c>
      <c r="M291" s="50" t="str">
        <f>IF($A291="","",SUMIFS(Inventory_Ledger!$E$2:$E$2001,Inventory_Ledger!$H$2:$H$2001,$A291,Inventory_Ledger!$C$2:$C$2001,"Receipt",Inventory_Ledger!$D$2:$D$2001,$C291))</f>
        <v/>
      </c>
      <c r="N291" s="50" t="str">
        <f>IF($A291="","",IF(IFERROR(INDEX(Config!$D$15:$D$34,MATCH($H291,Config!$C$15:$C$34,0)),"No")="Yes",MAX(0,IF(ISNUMBER($D291),$D291,0)-$M291),0))</f>
        <v/>
      </c>
      <c r="O291" s="52" t="str">
        <f>IF($A291="","",IF($N291&gt;0,1,0))</f>
        <v/>
      </c>
      <c r="P291" s="52" t="str">
        <f>IF($A291="","",IF(AND($O291=1,ISNUMBER($G291)),IF($G291&lt;Config!$B$4,1,0),0))</f>
        <v/>
      </c>
      <c r="Q291" s="52" t="str">
        <f>IF($A291="","",IF($P291=1,Config!$B$4-$G291,0))</f>
        <v/>
      </c>
      <c r="R291" s="53" t="str">
        <f>IF($A291="","",IF(AND(ISNUMBER($D291),ISNUMBER($E291)),$D291*$E291,""))</f>
        <v/>
      </c>
      <c r="S291" s="49" t="str">
        <f>IF(COUNTA($A291:$J291)=0,"",IF($A291="","Missing: PO ID",IF(COUNTIF($A$2:$A$301,$A291)&gt;1,"Duplicate PO ID",IF($B291="","Missing: supplier",IF($C291="","Missing: SKU",IF(NOT(ISNUMBER($D291)),"Missing: qty",IF(NOT(ISNUMBER($F291)),"Missing: order date",IF(NOT(ISNUMBER($G291)),"Missing: expected date",IF($H291="","Missing: status",IF($I291="","Missing: source link",IF(COUNTIF(Suppliers!$A$2:$A$51,$B291)=0,"Unknown supplier",IF(COUNTIF(Products!$A$2:$A$101,$C291)=0,"Unknown SKU",IF(COUNTIF(Config!$C$15:$C$34,$H291)=0,"Unsupported status",IF($D291&lt;=0,"Qty must be above 0",IF($G291&lt;$F291,"Expected date before order date",IF($M291&gt;$D291,"Received more than ordered",IF(AND($H291="Received",$M291&lt;$D291),"Status Received but not fully received",IF(AND(IFERROR(INDEX(Config!$D$15:$D$34,MATCH($H291,Config!$C$15:$C$34,0)),"No")="Yes",$M291&gt;=$D291),"Fully received: update status","OK"))))))))))))))))))</f>
        <v/>
      </c>
      <c r="T291" s="52" t="str">
        <f>IF($O291=1,IFERROR(COUNTIFS($O$2:$O$301,1,$G$2:$G$301,"&lt;"&amp;$G291)+COUNTIFS($O$2:$O291,1,$G$2:$G291,$G291),""),"")</f>
        <v/>
      </c>
    </row>
    <row r="292">
      <c r="A292" s="46" t="n"/>
      <c r="B292" s="46" t="n"/>
      <c r="C292" s="46" t="n"/>
      <c r="D292" s="48" t="n"/>
      <c r="E292" s="47" t="n"/>
      <c r="F292" s="54" t="n"/>
      <c r="G292" s="54" t="n"/>
      <c r="H292" s="46" t="n"/>
      <c r="I292" s="46" t="n"/>
      <c r="J292" s="46" t="n"/>
      <c r="K292" s="49" t="str">
        <f>IF($A292="","",IFERROR(INDEX(Suppliers!$B$2:$B$51,MATCH($B292,Suppliers!$A$2:$A$51,0))&amp;"","(not found)"))</f>
        <v/>
      </c>
      <c r="L292" s="49" t="str">
        <f>IF($A292="","",IFERROR(INDEX(Products!$B$2:$B$101,MATCH($C292,Products!$A$2:$A$101,0))&amp;"","(not found)"))</f>
        <v/>
      </c>
      <c r="M292" s="50" t="str">
        <f>IF($A292="","",SUMIFS(Inventory_Ledger!$E$2:$E$2001,Inventory_Ledger!$H$2:$H$2001,$A292,Inventory_Ledger!$C$2:$C$2001,"Receipt",Inventory_Ledger!$D$2:$D$2001,$C292))</f>
        <v/>
      </c>
      <c r="N292" s="50" t="str">
        <f>IF($A292="","",IF(IFERROR(INDEX(Config!$D$15:$D$34,MATCH($H292,Config!$C$15:$C$34,0)),"No")="Yes",MAX(0,IF(ISNUMBER($D292),$D292,0)-$M292),0))</f>
        <v/>
      </c>
      <c r="O292" s="52" t="str">
        <f>IF($A292="","",IF($N292&gt;0,1,0))</f>
        <v/>
      </c>
      <c r="P292" s="52" t="str">
        <f>IF($A292="","",IF(AND($O292=1,ISNUMBER($G292)),IF($G292&lt;Config!$B$4,1,0),0))</f>
        <v/>
      </c>
      <c r="Q292" s="52" t="str">
        <f>IF($A292="","",IF($P292=1,Config!$B$4-$G292,0))</f>
        <v/>
      </c>
      <c r="R292" s="53" t="str">
        <f>IF($A292="","",IF(AND(ISNUMBER($D292),ISNUMBER($E292)),$D292*$E292,""))</f>
        <v/>
      </c>
      <c r="S292" s="49" t="str">
        <f>IF(COUNTA($A292:$J292)=0,"",IF($A292="","Missing: PO ID",IF(COUNTIF($A$2:$A$301,$A292)&gt;1,"Duplicate PO ID",IF($B292="","Missing: supplier",IF($C292="","Missing: SKU",IF(NOT(ISNUMBER($D292)),"Missing: qty",IF(NOT(ISNUMBER($F292)),"Missing: order date",IF(NOT(ISNUMBER($G292)),"Missing: expected date",IF($H292="","Missing: status",IF($I292="","Missing: source link",IF(COUNTIF(Suppliers!$A$2:$A$51,$B292)=0,"Unknown supplier",IF(COUNTIF(Products!$A$2:$A$101,$C292)=0,"Unknown SKU",IF(COUNTIF(Config!$C$15:$C$34,$H292)=0,"Unsupported status",IF($D292&lt;=0,"Qty must be above 0",IF($G292&lt;$F292,"Expected date before order date",IF($M292&gt;$D292,"Received more than ordered",IF(AND($H292="Received",$M292&lt;$D292),"Status Received but not fully received",IF(AND(IFERROR(INDEX(Config!$D$15:$D$34,MATCH($H292,Config!$C$15:$C$34,0)),"No")="Yes",$M292&gt;=$D292),"Fully received: update status","OK"))))))))))))))))))</f>
        <v/>
      </c>
      <c r="T292" s="52" t="str">
        <f>IF($O292=1,IFERROR(COUNTIFS($O$2:$O$301,1,$G$2:$G$301,"&lt;"&amp;$G292)+COUNTIFS($O$2:$O292,1,$G$2:$G292,$G292),""),"")</f>
        <v/>
      </c>
    </row>
    <row r="293">
      <c r="A293" s="46" t="n"/>
      <c r="B293" s="46" t="n"/>
      <c r="C293" s="46" t="n"/>
      <c r="D293" s="48" t="n"/>
      <c r="E293" s="47" t="n"/>
      <c r="F293" s="54" t="n"/>
      <c r="G293" s="54" t="n"/>
      <c r="H293" s="46" t="n"/>
      <c r="I293" s="46" t="n"/>
      <c r="J293" s="46" t="n"/>
      <c r="K293" s="49" t="str">
        <f>IF($A293="","",IFERROR(INDEX(Suppliers!$B$2:$B$51,MATCH($B293,Suppliers!$A$2:$A$51,0))&amp;"","(not found)"))</f>
        <v/>
      </c>
      <c r="L293" s="49" t="str">
        <f>IF($A293="","",IFERROR(INDEX(Products!$B$2:$B$101,MATCH($C293,Products!$A$2:$A$101,0))&amp;"","(not found)"))</f>
        <v/>
      </c>
      <c r="M293" s="50" t="str">
        <f>IF($A293="","",SUMIFS(Inventory_Ledger!$E$2:$E$2001,Inventory_Ledger!$H$2:$H$2001,$A293,Inventory_Ledger!$C$2:$C$2001,"Receipt",Inventory_Ledger!$D$2:$D$2001,$C293))</f>
        <v/>
      </c>
      <c r="N293" s="50" t="str">
        <f>IF($A293="","",IF(IFERROR(INDEX(Config!$D$15:$D$34,MATCH($H293,Config!$C$15:$C$34,0)),"No")="Yes",MAX(0,IF(ISNUMBER($D293),$D293,0)-$M293),0))</f>
        <v/>
      </c>
      <c r="O293" s="52" t="str">
        <f>IF($A293="","",IF($N293&gt;0,1,0))</f>
        <v/>
      </c>
      <c r="P293" s="52" t="str">
        <f>IF($A293="","",IF(AND($O293=1,ISNUMBER($G293)),IF($G293&lt;Config!$B$4,1,0),0))</f>
        <v/>
      </c>
      <c r="Q293" s="52" t="str">
        <f>IF($A293="","",IF($P293=1,Config!$B$4-$G293,0))</f>
        <v/>
      </c>
      <c r="R293" s="53" t="str">
        <f>IF($A293="","",IF(AND(ISNUMBER($D293),ISNUMBER($E293)),$D293*$E293,""))</f>
        <v/>
      </c>
      <c r="S293" s="49" t="str">
        <f>IF(COUNTA($A293:$J293)=0,"",IF($A293="","Missing: PO ID",IF(COUNTIF($A$2:$A$301,$A293)&gt;1,"Duplicate PO ID",IF($B293="","Missing: supplier",IF($C293="","Missing: SKU",IF(NOT(ISNUMBER($D293)),"Missing: qty",IF(NOT(ISNUMBER($F293)),"Missing: order date",IF(NOT(ISNUMBER($G293)),"Missing: expected date",IF($H293="","Missing: status",IF($I293="","Missing: source link",IF(COUNTIF(Suppliers!$A$2:$A$51,$B293)=0,"Unknown supplier",IF(COUNTIF(Products!$A$2:$A$101,$C293)=0,"Unknown SKU",IF(COUNTIF(Config!$C$15:$C$34,$H293)=0,"Unsupported status",IF($D293&lt;=0,"Qty must be above 0",IF($G293&lt;$F293,"Expected date before order date",IF($M293&gt;$D293,"Received more than ordered",IF(AND($H293="Received",$M293&lt;$D293),"Status Received but not fully received",IF(AND(IFERROR(INDEX(Config!$D$15:$D$34,MATCH($H293,Config!$C$15:$C$34,0)),"No")="Yes",$M293&gt;=$D293),"Fully received: update status","OK"))))))))))))))))))</f>
        <v/>
      </c>
      <c r="T293" s="52" t="str">
        <f>IF($O293=1,IFERROR(COUNTIFS($O$2:$O$301,1,$G$2:$G$301,"&lt;"&amp;$G293)+COUNTIFS($O$2:$O293,1,$G$2:$G293,$G293),""),"")</f>
        <v/>
      </c>
    </row>
    <row r="294">
      <c r="A294" s="46" t="n"/>
      <c r="B294" s="46" t="n"/>
      <c r="C294" s="46" t="n"/>
      <c r="D294" s="48" t="n"/>
      <c r="E294" s="47" t="n"/>
      <c r="F294" s="54" t="n"/>
      <c r="G294" s="54" t="n"/>
      <c r="H294" s="46" t="n"/>
      <c r="I294" s="46" t="n"/>
      <c r="J294" s="46" t="n"/>
      <c r="K294" s="49" t="str">
        <f>IF($A294="","",IFERROR(INDEX(Suppliers!$B$2:$B$51,MATCH($B294,Suppliers!$A$2:$A$51,0))&amp;"","(not found)"))</f>
        <v/>
      </c>
      <c r="L294" s="49" t="str">
        <f>IF($A294="","",IFERROR(INDEX(Products!$B$2:$B$101,MATCH($C294,Products!$A$2:$A$101,0))&amp;"","(not found)"))</f>
        <v/>
      </c>
      <c r="M294" s="50" t="str">
        <f>IF($A294="","",SUMIFS(Inventory_Ledger!$E$2:$E$2001,Inventory_Ledger!$H$2:$H$2001,$A294,Inventory_Ledger!$C$2:$C$2001,"Receipt",Inventory_Ledger!$D$2:$D$2001,$C294))</f>
        <v/>
      </c>
      <c r="N294" s="50" t="str">
        <f>IF($A294="","",IF(IFERROR(INDEX(Config!$D$15:$D$34,MATCH($H294,Config!$C$15:$C$34,0)),"No")="Yes",MAX(0,IF(ISNUMBER($D294),$D294,0)-$M294),0))</f>
        <v/>
      </c>
      <c r="O294" s="52" t="str">
        <f>IF($A294="","",IF($N294&gt;0,1,0))</f>
        <v/>
      </c>
      <c r="P294" s="52" t="str">
        <f>IF($A294="","",IF(AND($O294=1,ISNUMBER($G294)),IF($G294&lt;Config!$B$4,1,0),0))</f>
        <v/>
      </c>
      <c r="Q294" s="52" t="str">
        <f>IF($A294="","",IF($P294=1,Config!$B$4-$G294,0))</f>
        <v/>
      </c>
      <c r="R294" s="53" t="str">
        <f>IF($A294="","",IF(AND(ISNUMBER($D294),ISNUMBER($E294)),$D294*$E294,""))</f>
        <v/>
      </c>
      <c r="S294" s="49" t="str">
        <f>IF(COUNTA($A294:$J294)=0,"",IF($A294="","Missing: PO ID",IF(COUNTIF($A$2:$A$301,$A294)&gt;1,"Duplicate PO ID",IF($B294="","Missing: supplier",IF($C294="","Missing: SKU",IF(NOT(ISNUMBER($D294)),"Missing: qty",IF(NOT(ISNUMBER($F294)),"Missing: order date",IF(NOT(ISNUMBER($G294)),"Missing: expected date",IF($H294="","Missing: status",IF($I294="","Missing: source link",IF(COUNTIF(Suppliers!$A$2:$A$51,$B294)=0,"Unknown supplier",IF(COUNTIF(Products!$A$2:$A$101,$C294)=0,"Unknown SKU",IF(COUNTIF(Config!$C$15:$C$34,$H294)=0,"Unsupported status",IF($D294&lt;=0,"Qty must be above 0",IF($G294&lt;$F294,"Expected date before order date",IF($M294&gt;$D294,"Received more than ordered",IF(AND($H294="Received",$M294&lt;$D294),"Status Received but not fully received",IF(AND(IFERROR(INDEX(Config!$D$15:$D$34,MATCH($H294,Config!$C$15:$C$34,0)),"No")="Yes",$M294&gt;=$D294),"Fully received: update status","OK"))))))))))))))))))</f>
        <v/>
      </c>
      <c r="T294" s="52" t="str">
        <f>IF($O294=1,IFERROR(COUNTIFS($O$2:$O$301,1,$G$2:$G$301,"&lt;"&amp;$G294)+COUNTIFS($O$2:$O294,1,$G$2:$G294,$G294),""),"")</f>
        <v/>
      </c>
    </row>
    <row r="295">
      <c r="A295" s="46" t="n"/>
      <c r="B295" s="46" t="n"/>
      <c r="C295" s="46" t="n"/>
      <c r="D295" s="48" t="n"/>
      <c r="E295" s="47" t="n"/>
      <c r="F295" s="54" t="n"/>
      <c r="G295" s="54" t="n"/>
      <c r="H295" s="46" t="n"/>
      <c r="I295" s="46" t="n"/>
      <c r="J295" s="46" t="n"/>
      <c r="K295" s="49" t="str">
        <f>IF($A295="","",IFERROR(INDEX(Suppliers!$B$2:$B$51,MATCH($B295,Suppliers!$A$2:$A$51,0))&amp;"","(not found)"))</f>
        <v/>
      </c>
      <c r="L295" s="49" t="str">
        <f>IF($A295="","",IFERROR(INDEX(Products!$B$2:$B$101,MATCH($C295,Products!$A$2:$A$101,0))&amp;"","(not found)"))</f>
        <v/>
      </c>
      <c r="M295" s="50" t="str">
        <f>IF($A295="","",SUMIFS(Inventory_Ledger!$E$2:$E$2001,Inventory_Ledger!$H$2:$H$2001,$A295,Inventory_Ledger!$C$2:$C$2001,"Receipt",Inventory_Ledger!$D$2:$D$2001,$C295))</f>
        <v/>
      </c>
      <c r="N295" s="50" t="str">
        <f>IF($A295="","",IF(IFERROR(INDEX(Config!$D$15:$D$34,MATCH($H295,Config!$C$15:$C$34,0)),"No")="Yes",MAX(0,IF(ISNUMBER($D295),$D295,0)-$M295),0))</f>
        <v/>
      </c>
      <c r="O295" s="52" t="str">
        <f>IF($A295="","",IF($N295&gt;0,1,0))</f>
        <v/>
      </c>
      <c r="P295" s="52" t="str">
        <f>IF($A295="","",IF(AND($O295=1,ISNUMBER($G295)),IF($G295&lt;Config!$B$4,1,0),0))</f>
        <v/>
      </c>
      <c r="Q295" s="52" t="str">
        <f>IF($A295="","",IF($P295=1,Config!$B$4-$G295,0))</f>
        <v/>
      </c>
      <c r="R295" s="53" t="str">
        <f>IF($A295="","",IF(AND(ISNUMBER($D295),ISNUMBER($E295)),$D295*$E295,""))</f>
        <v/>
      </c>
      <c r="S295" s="49" t="str">
        <f>IF(COUNTA($A295:$J295)=0,"",IF($A295="","Missing: PO ID",IF(COUNTIF($A$2:$A$301,$A295)&gt;1,"Duplicate PO ID",IF($B295="","Missing: supplier",IF($C295="","Missing: SKU",IF(NOT(ISNUMBER($D295)),"Missing: qty",IF(NOT(ISNUMBER($F295)),"Missing: order date",IF(NOT(ISNUMBER($G295)),"Missing: expected date",IF($H295="","Missing: status",IF($I295="","Missing: source link",IF(COUNTIF(Suppliers!$A$2:$A$51,$B295)=0,"Unknown supplier",IF(COUNTIF(Products!$A$2:$A$101,$C295)=0,"Unknown SKU",IF(COUNTIF(Config!$C$15:$C$34,$H295)=0,"Unsupported status",IF($D295&lt;=0,"Qty must be above 0",IF($G295&lt;$F295,"Expected date before order date",IF($M295&gt;$D295,"Received more than ordered",IF(AND($H295="Received",$M295&lt;$D295),"Status Received but not fully received",IF(AND(IFERROR(INDEX(Config!$D$15:$D$34,MATCH($H295,Config!$C$15:$C$34,0)),"No")="Yes",$M295&gt;=$D295),"Fully received: update status","OK"))))))))))))))))))</f>
        <v/>
      </c>
      <c r="T295" s="52" t="str">
        <f>IF($O295=1,IFERROR(COUNTIFS($O$2:$O$301,1,$G$2:$G$301,"&lt;"&amp;$G295)+COUNTIFS($O$2:$O295,1,$G$2:$G295,$G295),""),"")</f>
        <v/>
      </c>
    </row>
    <row r="296">
      <c r="A296" s="46" t="n"/>
      <c r="B296" s="46" t="n"/>
      <c r="C296" s="46" t="n"/>
      <c r="D296" s="48" t="n"/>
      <c r="E296" s="47" t="n"/>
      <c r="F296" s="54" t="n"/>
      <c r="G296" s="54" t="n"/>
      <c r="H296" s="46" t="n"/>
      <c r="I296" s="46" t="n"/>
      <c r="J296" s="46" t="n"/>
      <c r="K296" s="49" t="str">
        <f>IF($A296="","",IFERROR(INDEX(Suppliers!$B$2:$B$51,MATCH($B296,Suppliers!$A$2:$A$51,0))&amp;"","(not found)"))</f>
        <v/>
      </c>
      <c r="L296" s="49" t="str">
        <f>IF($A296="","",IFERROR(INDEX(Products!$B$2:$B$101,MATCH($C296,Products!$A$2:$A$101,0))&amp;"","(not found)"))</f>
        <v/>
      </c>
      <c r="M296" s="50" t="str">
        <f>IF($A296="","",SUMIFS(Inventory_Ledger!$E$2:$E$2001,Inventory_Ledger!$H$2:$H$2001,$A296,Inventory_Ledger!$C$2:$C$2001,"Receipt",Inventory_Ledger!$D$2:$D$2001,$C296))</f>
        <v/>
      </c>
      <c r="N296" s="50" t="str">
        <f>IF($A296="","",IF(IFERROR(INDEX(Config!$D$15:$D$34,MATCH($H296,Config!$C$15:$C$34,0)),"No")="Yes",MAX(0,IF(ISNUMBER($D296),$D296,0)-$M296),0))</f>
        <v/>
      </c>
      <c r="O296" s="52" t="str">
        <f>IF($A296="","",IF($N296&gt;0,1,0))</f>
        <v/>
      </c>
      <c r="P296" s="52" t="str">
        <f>IF($A296="","",IF(AND($O296=1,ISNUMBER($G296)),IF($G296&lt;Config!$B$4,1,0),0))</f>
        <v/>
      </c>
      <c r="Q296" s="52" t="str">
        <f>IF($A296="","",IF($P296=1,Config!$B$4-$G296,0))</f>
        <v/>
      </c>
      <c r="R296" s="53" t="str">
        <f>IF($A296="","",IF(AND(ISNUMBER($D296),ISNUMBER($E296)),$D296*$E296,""))</f>
        <v/>
      </c>
      <c r="S296" s="49" t="str">
        <f>IF(COUNTA($A296:$J296)=0,"",IF($A296="","Missing: PO ID",IF(COUNTIF($A$2:$A$301,$A296)&gt;1,"Duplicate PO ID",IF($B296="","Missing: supplier",IF($C296="","Missing: SKU",IF(NOT(ISNUMBER($D296)),"Missing: qty",IF(NOT(ISNUMBER($F296)),"Missing: order date",IF(NOT(ISNUMBER($G296)),"Missing: expected date",IF($H296="","Missing: status",IF($I296="","Missing: source link",IF(COUNTIF(Suppliers!$A$2:$A$51,$B296)=0,"Unknown supplier",IF(COUNTIF(Products!$A$2:$A$101,$C296)=0,"Unknown SKU",IF(COUNTIF(Config!$C$15:$C$34,$H296)=0,"Unsupported status",IF($D296&lt;=0,"Qty must be above 0",IF($G296&lt;$F296,"Expected date before order date",IF($M296&gt;$D296,"Received more than ordered",IF(AND($H296="Received",$M296&lt;$D296),"Status Received but not fully received",IF(AND(IFERROR(INDEX(Config!$D$15:$D$34,MATCH($H296,Config!$C$15:$C$34,0)),"No")="Yes",$M296&gt;=$D296),"Fully received: update status","OK"))))))))))))))))))</f>
        <v/>
      </c>
      <c r="T296" s="52" t="str">
        <f>IF($O296=1,IFERROR(COUNTIFS($O$2:$O$301,1,$G$2:$G$301,"&lt;"&amp;$G296)+COUNTIFS($O$2:$O296,1,$G$2:$G296,$G296),""),"")</f>
        <v/>
      </c>
    </row>
    <row r="297">
      <c r="A297" s="46" t="n"/>
      <c r="B297" s="46" t="n"/>
      <c r="C297" s="46" t="n"/>
      <c r="D297" s="48" t="n"/>
      <c r="E297" s="47" t="n"/>
      <c r="F297" s="54" t="n"/>
      <c r="G297" s="54" t="n"/>
      <c r="H297" s="46" t="n"/>
      <c r="I297" s="46" t="n"/>
      <c r="J297" s="46" t="n"/>
      <c r="K297" s="49" t="str">
        <f>IF($A297="","",IFERROR(INDEX(Suppliers!$B$2:$B$51,MATCH($B297,Suppliers!$A$2:$A$51,0))&amp;"","(not found)"))</f>
        <v/>
      </c>
      <c r="L297" s="49" t="str">
        <f>IF($A297="","",IFERROR(INDEX(Products!$B$2:$B$101,MATCH($C297,Products!$A$2:$A$101,0))&amp;"","(not found)"))</f>
        <v/>
      </c>
      <c r="M297" s="50" t="str">
        <f>IF($A297="","",SUMIFS(Inventory_Ledger!$E$2:$E$2001,Inventory_Ledger!$H$2:$H$2001,$A297,Inventory_Ledger!$C$2:$C$2001,"Receipt",Inventory_Ledger!$D$2:$D$2001,$C297))</f>
        <v/>
      </c>
      <c r="N297" s="50" t="str">
        <f>IF($A297="","",IF(IFERROR(INDEX(Config!$D$15:$D$34,MATCH($H297,Config!$C$15:$C$34,0)),"No")="Yes",MAX(0,IF(ISNUMBER($D297),$D297,0)-$M297),0))</f>
        <v/>
      </c>
      <c r="O297" s="52" t="str">
        <f>IF($A297="","",IF($N297&gt;0,1,0))</f>
        <v/>
      </c>
      <c r="P297" s="52" t="str">
        <f>IF($A297="","",IF(AND($O297=1,ISNUMBER($G297)),IF($G297&lt;Config!$B$4,1,0),0))</f>
        <v/>
      </c>
      <c r="Q297" s="52" t="str">
        <f>IF($A297="","",IF($P297=1,Config!$B$4-$G297,0))</f>
        <v/>
      </c>
      <c r="R297" s="53" t="str">
        <f>IF($A297="","",IF(AND(ISNUMBER($D297),ISNUMBER($E297)),$D297*$E297,""))</f>
        <v/>
      </c>
      <c r="S297" s="49" t="str">
        <f>IF(COUNTA($A297:$J297)=0,"",IF($A297="","Missing: PO ID",IF(COUNTIF($A$2:$A$301,$A297)&gt;1,"Duplicate PO ID",IF($B297="","Missing: supplier",IF($C297="","Missing: SKU",IF(NOT(ISNUMBER($D297)),"Missing: qty",IF(NOT(ISNUMBER($F297)),"Missing: order date",IF(NOT(ISNUMBER($G297)),"Missing: expected date",IF($H297="","Missing: status",IF($I297="","Missing: source link",IF(COUNTIF(Suppliers!$A$2:$A$51,$B297)=0,"Unknown supplier",IF(COUNTIF(Products!$A$2:$A$101,$C297)=0,"Unknown SKU",IF(COUNTIF(Config!$C$15:$C$34,$H297)=0,"Unsupported status",IF($D297&lt;=0,"Qty must be above 0",IF($G297&lt;$F297,"Expected date before order date",IF($M297&gt;$D297,"Received more than ordered",IF(AND($H297="Received",$M297&lt;$D297),"Status Received but not fully received",IF(AND(IFERROR(INDEX(Config!$D$15:$D$34,MATCH($H297,Config!$C$15:$C$34,0)),"No")="Yes",$M297&gt;=$D297),"Fully received: update status","OK"))))))))))))))))))</f>
        <v/>
      </c>
      <c r="T297" s="52" t="str">
        <f>IF($O297=1,IFERROR(COUNTIFS($O$2:$O$301,1,$G$2:$G$301,"&lt;"&amp;$G297)+COUNTIFS($O$2:$O297,1,$G$2:$G297,$G297),""),"")</f>
        <v/>
      </c>
    </row>
    <row r="298">
      <c r="A298" s="46" t="n"/>
      <c r="B298" s="46" t="n"/>
      <c r="C298" s="46" t="n"/>
      <c r="D298" s="48" t="n"/>
      <c r="E298" s="47" t="n"/>
      <c r="F298" s="54" t="n"/>
      <c r="G298" s="54" t="n"/>
      <c r="H298" s="46" t="n"/>
      <c r="I298" s="46" t="n"/>
      <c r="J298" s="46" t="n"/>
      <c r="K298" s="49" t="str">
        <f>IF($A298="","",IFERROR(INDEX(Suppliers!$B$2:$B$51,MATCH($B298,Suppliers!$A$2:$A$51,0))&amp;"","(not found)"))</f>
        <v/>
      </c>
      <c r="L298" s="49" t="str">
        <f>IF($A298="","",IFERROR(INDEX(Products!$B$2:$B$101,MATCH($C298,Products!$A$2:$A$101,0))&amp;"","(not found)"))</f>
        <v/>
      </c>
      <c r="M298" s="50" t="str">
        <f>IF($A298="","",SUMIFS(Inventory_Ledger!$E$2:$E$2001,Inventory_Ledger!$H$2:$H$2001,$A298,Inventory_Ledger!$C$2:$C$2001,"Receipt",Inventory_Ledger!$D$2:$D$2001,$C298))</f>
        <v/>
      </c>
      <c r="N298" s="50" t="str">
        <f>IF($A298="","",IF(IFERROR(INDEX(Config!$D$15:$D$34,MATCH($H298,Config!$C$15:$C$34,0)),"No")="Yes",MAX(0,IF(ISNUMBER($D298),$D298,0)-$M298),0))</f>
        <v/>
      </c>
      <c r="O298" s="52" t="str">
        <f>IF($A298="","",IF($N298&gt;0,1,0))</f>
        <v/>
      </c>
      <c r="P298" s="52" t="str">
        <f>IF($A298="","",IF(AND($O298=1,ISNUMBER($G298)),IF($G298&lt;Config!$B$4,1,0),0))</f>
        <v/>
      </c>
      <c r="Q298" s="52" t="str">
        <f>IF($A298="","",IF($P298=1,Config!$B$4-$G298,0))</f>
        <v/>
      </c>
      <c r="R298" s="53" t="str">
        <f>IF($A298="","",IF(AND(ISNUMBER($D298),ISNUMBER($E298)),$D298*$E298,""))</f>
        <v/>
      </c>
      <c r="S298" s="49" t="str">
        <f>IF(COUNTA($A298:$J298)=0,"",IF($A298="","Missing: PO ID",IF(COUNTIF($A$2:$A$301,$A298)&gt;1,"Duplicate PO ID",IF($B298="","Missing: supplier",IF($C298="","Missing: SKU",IF(NOT(ISNUMBER($D298)),"Missing: qty",IF(NOT(ISNUMBER($F298)),"Missing: order date",IF(NOT(ISNUMBER($G298)),"Missing: expected date",IF($H298="","Missing: status",IF($I298="","Missing: source link",IF(COUNTIF(Suppliers!$A$2:$A$51,$B298)=0,"Unknown supplier",IF(COUNTIF(Products!$A$2:$A$101,$C298)=0,"Unknown SKU",IF(COUNTIF(Config!$C$15:$C$34,$H298)=0,"Unsupported status",IF($D298&lt;=0,"Qty must be above 0",IF($G298&lt;$F298,"Expected date before order date",IF($M298&gt;$D298,"Received more than ordered",IF(AND($H298="Received",$M298&lt;$D298),"Status Received but not fully received",IF(AND(IFERROR(INDEX(Config!$D$15:$D$34,MATCH($H298,Config!$C$15:$C$34,0)),"No")="Yes",$M298&gt;=$D298),"Fully received: update status","OK"))))))))))))))))))</f>
        <v/>
      </c>
      <c r="T298" s="52" t="str">
        <f>IF($O298=1,IFERROR(COUNTIFS($O$2:$O$301,1,$G$2:$G$301,"&lt;"&amp;$G298)+COUNTIFS($O$2:$O298,1,$G$2:$G298,$G298),""),"")</f>
        <v/>
      </c>
    </row>
    <row r="299">
      <c r="A299" s="46" t="n"/>
      <c r="B299" s="46" t="n"/>
      <c r="C299" s="46" t="n"/>
      <c r="D299" s="48" t="n"/>
      <c r="E299" s="47" t="n"/>
      <c r="F299" s="54" t="n"/>
      <c r="G299" s="54" t="n"/>
      <c r="H299" s="46" t="n"/>
      <c r="I299" s="46" t="n"/>
      <c r="J299" s="46" t="n"/>
      <c r="K299" s="49" t="str">
        <f>IF($A299="","",IFERROR(INDEX(Suppliers!$B$2:$B$51,MATCH($B299,Suppliers!$A$2:$A$51,0))&amp;"","(not found)"))</f>
        <v/>
      </c>
      <c r="L299" s="49" t="str">
        <f>IF($A299="","",IFERROR(INDEX(Products!$B$2:$B$101,MATCH($C299,Products!$A$2:$A$101,0))&amp;"","(not found)"))</f>
        <v/>
      </c>
      <c r="M299" s="50" t="str">
        <f>IF($A299="","",SUMIFS(Inventory_Ledger!$E$2:$E$2001,Inventory_Ledger!$H$2:$H$2001,$A299,Inventory_Ledger!$C$2:$C$2001,"Receipt",Inventory_Ledger!$D$2:$D$2001,$C299))</f>
        <v/>
      </c>
      <c r="N299" s="50" t="str">
        <f>IF($A299="","",IF(IFERROR(INDEX(Config!$D$15:$D$34,MATCH($H299,Config!$C$15:$C$34,0)),"No")="Yes",MAX(0,IF(ISNUMBER($D299),$D299,0)-$M299),0))</f>
        <v/>
      </c>
      <c r="O299" s="52" t="str">
        <f>IF($A299="","",IF($N299&gt;0,1,0))</f>
        <v/>
      </c>
      <c r="P299" s="52" t="str">
        <f>IF($A299="","",IF(AND($O299=1,ISNUMBER($G299)),IF($G299&lt;Config!$B$4,1,0),0))</f>
        <v/>
      </c>
      <c r="Q299" s="52" t="str">
        <f>IF($A299="","",IF($P299=1,Config!$B$4-$G299,0))</f>
        <v/>
      </c>
      <c r="R299" s="53" t="str">
        <f>IF($A299="","",IF(AND(ISNUMBER($D299),ISNUMBER($E299)),$D299*$E299,""))</f>
        <v/>
      </c>
      <c r="S299" s="49" t="str">
        <f>IF(COUNTA($A299:$J299)=0,"",IF($A299="","Missing: PO ID",IF(COUNTIF($A$2:$A$301,$A299)&gt;1,"Duplicate PO ID",IF($B299="","Missing: supplier",IF($C299="","Missing: SKU",IF(NOT(ISNUMBER($D299)),"Missing: qty",IF(NOT(ISNUMBER($F299)),"Missing: order date",IF(NOT(ISNUMBER($G299)),"Missing: expected date",IF($H299="","Missing: status",IF($I299="","Missing: source link",IF(COUNTIF(Suppliers!$A$2:$A$51,$B299)=0,"Unknown supplier",IF(COUNTIF(Products!$A$2:$A$101,$C299)=0,"Unknown SKU",IF(COUNTIF(Config!$C$15:$C$34,$H299)=0,"Unsupported status",IF($D299&lt;=0,"Qty must be above 0",IF($G299&lt;$F299,"Expected date before order date",IF($M299&gt;$D299,"Received more than ordered",IF(AND($H299="Received",$M299&lt;$D299),"Status Received but not fully received",IF(AND(IFERROR(INDEX(Config!$D$15:$D$34,MATCH($H299,Config!$C$15:$C$34,0)),"No")="Yes",$M299&gt;=$D299),"Fully received: update status","OK"))))))))))))))))))</f>
        <v/>
      </c>
      <c r="T299" s="52" t="str">
        <f>IF($O299=1,IFERROR(COUNTIFS($O$2:$O$301,1,$G$2:$G$301,"&lt;"&amp;$G299)+COUNTIFS($O$2:$O299,1,$G$2:$G299,$G299),""),"")</f>
        <v/>
      </c>
    </row>
    <row r="300">
      <c r="A300" s="46" t="n"/>
      <c r="B300" s="46" t="n"/>
      <c r="C300" s="46" t="n"/>
      <c r="D300" s="48" t="n"/>
      <c r="E300" s="47" t="n"/>
      <c r="F300" s="54" t="n"/>
      <c r="G300" s="54" t="n"/>
      <c r="H300" s="46" t="n"/>
      <c r="I300" s="46" t="n"/>
      <c r="J300" s="46" t="n"/>
      <c r="K300" s="49" t="str">
        <f>IF($A300="","",IFERROR(INDEX(Suppliers!$B$2:$B$51,MATCH($B300,Suppliers!$A$2:$A$51,0))&amp;"","(not found)"))</f>
        <v/>
      </c>
      <c r="L300" s="49" t="str">
        <f>IF($A300="","",IFERROR(INDEX(Products!$B$2:$B$101,MATCH($C300,Products!$A$2:$A$101,0))&amp;"","(not found)"))</f>
        <v/>
      </c>
      <c r="M300" s="50" t="str">
        <f>IF($A300="","",SUMIFS(Inventory_Ledger!$E$2:$E$2001,Inventory_Ledger!$H$2:$H$2001,$A300,Inventory_Ledger!$C$2:$C$2001,"Receipt",Inventory_Ledger!$D$2:$D$2001,$C300))</f>
        <v/>
      </c>
      <c r="N300" s="50" t="str">
        <f>IF($A300="","",IF(IFERROR(INDEX(Config!$D$15:$D$34,MATCH($H300,Config!$C$15:$C$34,0)),"No")="Yes",MAX(0,IF(ISNUMBER($D300),$D300,0)-$M300),0))</f>
        <v/>
      </c>
      <c r="O300" s="52" t="str">
        <f>IF($A300="","",IF($N300&gt;0,1,0))</f>
        <v/>
      </c>
      <c r="P300" s="52" t="str">
        <f>IF($A300="","",IF(AND($O300=1,ISNUMBER($G300)),IF($G300&lt;Config!$B$4,1,0),0))</f>
        <v/>
      </c>
      <c r="Q300" s="52" t="str">
        <f>IF($A300="","",IF($P300=1,Config!$B$4-$G300,0))</f>
        <v/>
      </c>
      <c r="R300" s="53" t="str">
        <f>IF($A300="","",IF(AND(ISNUMBER($D300),ISNUMBER($E300)),$D300*$E300,""))</f>
        <v/>
      </c>
      <c r="S300" s="49" t="str">
        <f>IF(COUNTA($A300:$J300)=0,"",IF($A300="","Missing: PO ID",IF(COUNTIF($A$2:$A$301,$A300)&gt;1,"Duplicate PO ID",IF($B300="","Missing: supplier",IF($C300="","Missing: SKU",IF(NOT(ISNUMBER($D300)),"Missing: qty",IF(NOT(ISNUMBER($F300)),"Missing: order date",IF(NOT(ISNUMBER($G300)),"Missing: expected date",IF($H300="","Missing: status",IF($I300="","Missing: source link",IF(COUNTIF(Suppliers!$A$2:$A$51,$B300)=0,"Unknown supplier",IF(COUNTIF(Products!$A$2:$A$101,$C300)=0,"Unknown SKU",IF(COUNTIF(Config!$C$15:$C$34,$H300)=0,"Unsupported status",IF($D300&lt;=0,"Qty must be above 0",IF($G300&lt;$F300,"Expected date before order date",IF($M300&gt;$D300,"Received more than ordered",IF(AND($H300="Received",$M300&lt;$D300),"Status Received but not fully received",IF(AND(IFERROR(INDEX(Config!$D$15:$D$34,MATCH($H300,Config!$C$15:$C$34,0)),"No")="Yes",$M300&gt;=$D300),"Fully received: update status","OK"))))))))))))))))))</f>
        <v/>
      </c>
      <c r="T300" s="52" t="str">
        <f>IF($O300=1,IFERROR(COUNTIFS($O$2:$O$301,1,$G$2:$G$301,"&lt;"&amp;$G300)+COUNTIFS($O$2:$O300,1,$G$2:$G300,$G300),""),"")</f>
        <v/>
      </c>
    </row>
    <row r="301">
      <c r="A301" s="46" t="n"/>
      <c r="B301" s="46" t="n"/>
      <c r="C301" s="46" t="n"/>
      <c r="D301" s="48" t="n"/>
      <c r="E301" s="47" t="n"/>
      <c r="F301" s="54" t="n"/>
      <c r="G301" s="54" t="n"/>
      <c r="H301" s="46" t="n"/>
      <c r="I301" s="46" t="n"/>
      <c r="J301" s="46" t="n"/>
      <c r="K301" s="49" t="str">
        <f>IF($A301="","",IFERROR(INDEX(Suppliers!$B$2:$B$51,MATCH($B301,Suppliers!$A$2:$A$51,0))&amp;"","(not found)"))</f>
        <v/>
      </c>
      <c r="L301" s="49" t="str">
        <f>IF($A301="","",IFERROR(INDEX(Products!$B$2:$B$101,MATCH($C301,Products!$A$2:$A$101,0))&amp;"","(not found)"))</f>
        <v/>
      </c>
      <c r="M301" s="50" t="str">
        <f>IF($A301="","",SUMIFS(Inventory_Ledger!$E$2:$E$2001,Inventory_Ledger!$H$2:$H$2001,$A301,Inventory_Ledger!$C$2:$C$2001,"Receipt",Inventory_Ledger!$D$2:$D$2001,$C301))</f>
        <v/>
      </c>
      <c r="N301" s="50" t="str">
        <f>IF($A301="","",IF(IFERROR(INDEX(Config!$D$15:$D$34,MATCH($H301,Config!$C$15:$C$34,0)),"No")="Yes",MAX(0,IF(ISNUMBER($D301),$D301,0)-$M301),0))</f>
        <v/>
      </c>
      <c r="O301" s="52" t="str">
        <f>IF($A301="","",IF($N301&gt;0,1,0))</f>
        <v/>
      </c>
      <c r="P301" s="52" t="str">
        <f>IF($A301="","",IF(AND($O301=1,ISNUMBER($G301)),IF($G301&lt;Config!$B$4,1,0),0))</f>
        <v/>
      </c>
      <c r="Q301" s="52" t="str">
        <f>IF($A301="","",IF($P301=1,Config!$B$4-$G301,0))</f>
        <v/>
      </c>
      <c r="R301" s="53" t="str">
        <f>IF($A301="","",IF(AND(ISNUMBER($D301),ISNUMBER($E301)),$D301*$E301,""))</f>
        <v/>
      </c>
      <c r="S301" s="49" t="str">
        <f>IF(COUNTA($A301:$J301)=0,"",IF($A301="","Missing: PO ID",IF(COUNTIF($A$2:$A$301,$A301)&gt;1,"Duplicate PO ID",IF($B301="","Missing: supplier",IF($C301="","Missing: SKU",IF(NOT(ISNUMBER($D301)),"Missing: qty",IF(NOT(ISNUMBER($F301)),"Missing: order date",IF(NOT(ISNUMBER($G301)),"Missing: expected date",IF($H301="","Missing: status",IF($I301="","Missing: source link",IF(COUNTIF(Suppliers!$A$2:$A$51,$B301)=0,"Unknown supplier",IF(COUNTIF(Products!$A$2:$A$101,$C301)=0,"Unknown SKU",IF(COUNTIF(Config!$C$15:$C$34,$H301)=0,"Unsupported status",IF($D301&lt;=0,"Qty must be above 0",IF($G301&lt;$F301,"Expected date before order date",IF($M301&gt;$D301,"Received more than ordered",IF(AND($H301="Received",$M301&lt;$D301),"Status Received but not fully received",IF(AND(IFERROR(INDEX(Config!$D$15:$D$34,MATCH($H301,Config!$C$15:$C$34,0)),"No")="Yes",$M301&gt;=$D301),"Fully received: update status","OK"))))))))))))))))))</f>
        <v/>
      </c>
      <c r="T301" s="52" t="str">
        <f>IF($O301=1,IFERROR(COUNTIFS($O$2:$O$301,1,$G$2:$G$301,"&lt;"&amp;$G301)+COUNTIFS($O$2:$O301,1,$G$2:$G301,$G301),""),"")</f>
        <v/>
      </c>
    </row>
  </sheetData>
  <sheetProtection selectLockedCells="0" selectUnlockedCells="0" sheet="1" objects="0" insertRows="1" insertHyperlinks="1" autoFilter="0" scenarios="0" formatColumns="0" deleteColumns="1" insertColumns="1" pivotTables="1" deleteRows="1" formatCells="1" formatRows="0" sort="0"/>
  <autoFilter ref="A1:T301"/>
  <conditionalFormatting sqref="S2:S301">
    <cfRule type="expression" priority="1" dxfId="4">
      <formula>AND($S2&lt;&gt;"",$S2&lt;&gt;"OK")</formula>
    </cfRule>
  </conditionalFormatting>
  <conditionalFormatting sqref="A2:T301">
    <cfRule type="expression" priority="2" dxfId="0">
      <formula>$P2=1</formula>
    </cfRule>
  </conditionalFormatting>
  <dataValidations count="8">
    <dataValidation sqref="A2:A301" showDropDown="0" showInputMessage="1" showErrorMessage="1" allowBlank="1" errorTitle="Duplicate ID" error="This ID is already used in this sheet. IDs must be unique." promptTitle="PO ID" prompt="Required. Must be unique in this sheet." type="custom">
      <formula1>COUNTIF($A$2:$A$301,A2)&lt;=1</formula1>
    </dataValidation>
    <dataValidation sqref="B2:B301" showDropDown="0" showInputMessage="1" showErrorMessage="1" allowBlank="1" errorTitle="Not in the list" error="Pick a value from the dropdown list." promptTitle="Supplier ID" prompt="Required. Pick from the list." type="list">
      <formula1>Suppliers!$A$2:$A$51</formula1>
    </dataValidation>
    <dataValidation sqref="C2:C301" showDropDown="0" showInputMessage="1" showErrorMessage="1" allowBlank="1" errorTitle="Not in the list" error="Pick a value from the dropdown list." promptTitle="SKU" prompt="Required. Pick from the list." type="list">
      <formula1>Products!$A$2:$A$101</formula1>
    </dataValidation>
    <dataValidation sqref="D2:D301" showDropDown="0" showInputMessage="1" showErrorMessage="1" allowBlank="1" errorTitle="Whole number needed" error="Enter a whole number of 1 or more." promptTitle="Qty ordered" prompt="Required. Whole number." type="whole" operator="between">
      <formula1>1</formula1>
      <formula2>10000000</formula2>
    </dataValidation>
    <dataValidation sqref="E2:E301" showDropDown="0" showInputMessage="1" showErrorMessage="1" allowBlank="1" errorTitle="Number needed" error="Enter a number of 0 or more." promptTitle="Unit cost (USD)" prompt="Optional. Number, USD. Leave blank if not supplied." type="decimal" operator="greaterThanOrEqual">
      <formula1>0</formula1>
    </dataValidation>
    <dataValidation sqref="F2:F301" showDropDown="0" showInputMessage="1" showErrorMessage="1" allowBlank="1" errorTitle="Date needed" error="Enter a date (yyyy-mm-dd)." promptTitle="Order date" prompt="Required. Date as yyyy-mm-dd." type="date" operator="greaterThan">
      <formula1>36526</formula1>
    </dataValidation>
    <dataValidation sqref="G2:G301" showDropDown="0" showInputMessage="1" showErrorMessage="1" allowBlank="1" errorTitle="Date needed" error="Enter a date (yyyy-mm-dd)." promptTitle="Expected date" prompt="Required. Date as yyyy-mm-dd." type="date" operator="greaterThan">
      <formula1>36526</formula1>
    </dataValidation>
    <dataValidation sqref="H2:H301" showDropDown="0" showInputMessage="1" showErrorMessage="1" allowBlank="1" errorTitle="Not in the list" error="Pick a value from the dropdown list." promptTitle="Status" prompt="Required. Pick from the list." type="list">
      <formula1>Config!$C$15:$C$34</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1F3A5F"/>
    <outlinePr summaryBelow="1" summaryRight="1"/>
    <pageSetUpPr/>
  </sheetPr>
  <dimension ref="A1:P2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11" customWidth="1" min="3" max="3"/>
    <col width="14" customWidth="1" min="4" max="4"/>
    <col width="8" customWidth="1" min="5" max="5"/>
    <col width="11" customWidth="1" min="6" max="6"/>
    <col width="20" customWidth="1" min="7" max="7"/>
    <col width="13" customWidth="1" min="8" max="8"/>
    <col width="36" customWidth="1" min="9" max="9"/>
    <col width="13" customWidth="1" min="10" max="10"/>
    <col width="32" customWidth="1" min="11" max="11"/>
    <col width="34" customWidth="1" min="12" max="12"/>
    <col width="9" customWidth="1" min="13" max="13"/>
    <col width="30" customWidth="1" min="14" max="14"/>
    <col width="14" customWidth="1" min="15" max="15"/>
    <col width="30" customWidth="1" min="16" max="16"/>
  </cols>
  <sheetData>
    <row r="1" ht="42" customHeight="1">
      <c r="A1" s="41" t="inlineStr">
        <is>
          <t>Entry ID *</t>
        </is>
      </c>
      <c r="B1" s="41" t="inlineStr">
        <is>
          <t>Date *</t>
        </is>
      </c>
      <c r="C1" s="41" t="inlineStr">
        <is>
          <t>Type *</t>
        </is>
      </c>
      <c r="D1" s="41" t="inlineStr">
        <is>
          <t>SKU *</t>
        </is>
      </c>
      <c r="E1" s="41" t="inlineStr">
        <is>
          <t>Qty *</t>
        </is>
      </c>
      <c r="F1" s="41" t="inlineStr">
        <is>
          <t>Lot *</t>
        </is>
      </c>
      <c r="G1" s="41" t="inlineStr">
        <is>
          <t>Reason (adjustments)</t>
        </is>
      </c>
      <c r="H1" s="41" t="inlineStr">
        <is>
          <t>Reference</t>
        </is>
      </c>
      <c r="I1" s="41" t="inlineStr">
        <is>
          <t>Source link *</t>
        </is>
      </c>
      <c r="J1" s="41" t="inlineStr">
        <is>
          <t>Entered by</t>
        </is>
      </c>
      <c r="K1" s="41" t="inlineStr">
        <is>
          <t>Import batch</t>
        </is>
      </c>
      <c r="L1" s="41" t="inlineStr">
        <is>
          <t>Notes</t>
        </is>
      </c>
      <c r="M1" s="23" t="inlineStr">
        <is>
          <t>Signed qty</t>
        </is>
      </c>
      <c r="N1" s="23" t="inlineStr">
        <is>
          <t>Product name</t>
        </is>
      </c>
      <c r="O1" s="23" t="inlineStr">
        <is>
          <t>Lot belongs to</t>
        </is>
      </c>
      <c r="P1" s="23" t="inlineStr">
        <is>
          <t>Record check</t>
        </is>
      </c>
    </row>
    <row r="2">
      <c r="A2" s="46" t="inlineStr">
        <is>
          <t>ADJ-2607-001</t>
        </is>
      </c>
      <c r="B2" s="54" t="n">
        <v>46221</v>
      </c>
      <c r="C2" s="46" t="inlineStr">
        <is>
          <t>Adjustment</t>
        </is>
      </c>
      <c r="D2" s="46" t="inlineStr">
        <is>
          <t>WPI-CHO-2LB</t>
        </is>
      </c>
      <c r="E2" s="55" t="n">
        <v>-6</v>
      </c>
      <c r="F2" s="46" t="inlineStr">
        <is>
          <t>WCH2502A</t>
        </is>
      </c>
      <c r="G2" s="46" t="inlineStr">
        <is>
          <t>Damaged in warehouse</t>
        </is>
      </c>
      <c r="H2" s="46" t="inlineStr">
        <is>
          <t>CC-0718</t>
        </is>
      </c>
      <c r="I2" s="46" t="inlineStr">
        <is>
          <t>https://example.com/ops/adjustments/ADJ-2607-001</t>
        </is>
      </c>
      <c r="J2" s="46" t="inlineStr">
        <is>
          <t>Ben Okafor</t>
        </is>
      </c>
      <c r="K2" s="46" t="n"/>
      <c r="L2" s="46" t="inlineStr">
        <is>
          <t>Six tubs crushed on a pallet</t>
        </is>
      </c>
      <c r="M2" s="51">
        <f>IF(NOT(ISNUMBER($E2)),"",IF($C2="Receipt",$E2,IF($C2="Shipment",-$E2,IF($C2="Adjustment",$E2,0))))</f>
        <v>-6</v>
      </c>
      <c r="N2" s="49" t="str">
        <f>IF($D2="","",IFERROR(INDEX(Products!$B$2:$B$101,MATCH($D2,Products!$A$2:$A$101,0))&amp;"","(not found)"))</f>
        <v>Whey Protein Isolate, Chocolate, 2 lb</v>
      </c>
      <c r="O2" s="49" t="str">
        <f>IF($F2="","",IFERROR(INDEX(Batches!$B$2:$B$301,MATCH($F2,Batches!$A$2:$A$301,0))&amp;"","(not found)"))</f>
        <v>WPI-CHO-2LB</v>
      </c>
      <c r="P2" s="49" t="str">
        <f>IF(COUNTA($A2:$L2)=0,"",IF($A2="","Missing: entry ID",IF(COUNTIF($A$2:$A$2001,$A2)&gt;1,"Duplicate entry ID",IF(NOT(ISNUMBER($B2)),"Missing or invalid: date",IF($C2="","Missing: type",IF($D2="","Missing: SKU",IF(NOT(ISNUMBER($E2)),"Missing: qty",IF($F2="","Missing: lot",IF($I2="","Missing: source link",IF(COUNTIF(Config!$A$15:$A$34,$C2)=0,"Unsupported type",IF(COUNTIF(Products!$A$2:$A$101,$D2)=0,"Unknown SKU",IF(COUNTIFS(Batches!$A$2:$A$301,$F2,Batches!$B$2:$B$301,$D2)=0,"Unknown lot for this SKU",IF(AND($C2="Adjustment",$G2=""),"Missing: reason",IF(AND($G2&lt;&gt;"",COUNTIF(Config!$B$15:$B$34,$G2)=0),"Unsupported reason",IF(OR(INT($E2)&lt;&gt;$E2,AND(OR($C2="Receipt",$C2="Shipment"),$E2&lt;=0),AND($C2="Adjustment",$E2=0)),"Invalid qty",IF($B2&gt;Config!$B$4,"Date after the as-of date",IF($B2&lt;Config!$B$5,"Date before the opening balance date","OK")))))))))))))))))</f>
        <v>OK</v>
      </c>
    </row>
    <row r="3">
      <c r="A3" s="46" t="inlineStr">
        <is>
          <t>MV-2607-001</t>
        </is>
      </c>
      <c r="B3" s="54" t="n">
        <v>46227</v>
      </c>
      <c r="C3" s="46" t="inlineStr">
        <is>
          <t>Receipt</t>
        </is>
      </c>
      <c r="D3" s="46" t="inlineStr">
        <is>
          <t>WPI-CHO-2LB</t>
        </is>
      </c>
      <c r="E3" s="55" t="n">
        <v>1500</v>
      </c>
      <c r="F3" s="46" t="inlineStr">
        <is>
          <t>WCH2607A</t>
        </is>
      </c>
      <c r="G3" s="46" t="n"/>
      <c r="H3" s="46" t="inlineStr">
        <is>
          <t>PO-2026-018</t>
        </is>
      </c>
      <c r="I3" s="46" t="inlineStr">
        <is>
          <t>https://example.com/3pl/receiving/PO-2026-018</t>
        </is>
      </c>
      <c r="J3" s="46" t="inlineStr">
        <is>
          <t>3PL import</t>
        </is>
      </c>
      <c r="K3" s="46" t="inlineStr">
        <is>
          <t>warehouse-movements-2026-07.csv</t>
        </is>
      </c>
      <c r="L3" s="46" t="inlineStr">
        <is>
          <t>Received against PO-2026-018</t>
        </is>
      </c>
      <c r="M3" s="51">
        <f>IF(NOT(ISNUMBER($E3)),"",IF($C3="Receipt",$E3,IF($C3="Shipment",-$E3,IF($C3="Adjustment",$E3,0))))</f>
        <v>1500</v>
      </c>
      <c r="N3" s="49" t="str">
        <f>IF($D3="","",IFERROR(INDEX(Products!$B$2:$B$101,MATCH($D3,Products!$A$2:$A$101,0))&amp;"","(not found)"))</f>
        <v>Whey Protein Isolate, Chocolate, 2 lb</v>
      </c>
      <c r="O3" s="49" t="str">
        <f>IF($F3="","",IFERROR(INDEX(Batches!$B$2:$B$301,MATCH($F3,Batches!$A$2:$A$301,0))&amp;"","(not found)"))</f>
        <v>WPI-CHO-2LB</v>
      </c>
      <c r="P3" s="49" t="str">
        <f>IF(COUNTA($A3:$L3)=0,"",IF($A3="","Missing: entry ID",IF(COUNTIF($A$2:$A$2001,$A3)&gt;1,"Duplicate entry ID",IF(NOT(ISNUMBER($B3)),"Missing or invalid: date",IF($C3="","Missing: type",IF($D3="","Missing: SKU",IF(NOT(ISNUMBER($E3)),"Missing: qty",IF($F3="","Missing: lot",IF($I3="","Missing: source link",IF(COUNTIF(Config!$A$15:$A$34,$C3)=0,"Unsupported type",IF(COUNTIF(Products!$A$2:$A$101,$D3)=0,"Unknown SKU",IF(COUNTIFS(Batches!$A$2:$A$301,$F3,Batches!$B$2:$B$301,$D3)=0,"Unknown lot for this SKU",IF(AND($C3="Adjustment",$G3=""),"Missing: reason",IF(AND($G3&lt;&gt;"",COUNTIF(Config!$B$15:$B$34,$G3)=0),"Unsupported reason",IF(OR(INT($E3)&lt;&gt;$E3,AND(OR($C3="Receipt",$C3="Shipment"),$E3&lt;=0),AND($C3="Adjustment",$E3=0)),"Invalid qty",IF($B3&gt;Config!$B$4,"Date after the as-of date",IF($B3&lt;Config!$B$5,"Date before the opening balance date","OK")))))))))))))))))</f>
        <v>OK</v>
      </c>
    </row>
    <row r="4">
      <c r="A4" s="46" t="inlineStr">
        <is>
          <t>MV-2607-002</t>
        </is>
      </c>
      <c r="B4" s="54" t="n">
        <v>46234</v>
      </c>
      <c r="C4" s="46" t="inlineStr">
        <is>
          <t>Shipment</t>
        </is>
      </c>
      <c r="D4" s="46" t="inlineStr">
        <is>
          <t>WPI-CHO-2LB</t>
        </is>
      </c>
      <c r="E4" s="55" t="n">
        <v>534</v>
      </c>
      <c r="F4" s="46" t="inlineStr">
        <is>
          <t>WCH2502A</t>
        </is>
      </c>
      <c r="G4" s="46" t="n"/>
      <c r="H4" s="46" t="inlineStr">
        <is>
          <t>OB-2607</t>
        </is>
      </c>
      <c r="I4" s="46" t="inlineStr">
        <is>
          <t>https://example.com/3pl/outbound/2026-07</t>
        </is>
      </c>
      <c r="J4" s="46" t="inlineStr">
        <is>
          <t>3PL import</t>
        </is>
      </c>
      <c r="K4" s="46" t="inlineStr">
        <is>
          <t>warehouse-movements-2026-07.csv</t>
        </is>
      </c>
      <c r="L4" s="46" t="inlineStr">
        <is>
          <t>July outbound summary (FEFO)</t>
        </is>
      </c>
      <c r="M4" s="51">
        <f>IF(NOT(ISNUMBER($E4)),"",IF($C4="Receipt",$E4,IF($C4="Shipment",-$E4,IF($C4="Adjustment",$E4,0))))</f>
        <v>-534</v>
      </c>
      <c r="N4" s="49" t="str">
        <f>IF($D4="","",IFERROR(INDEX(Products!$B$2:$B$101,MATCH($D4,Products!$A$2:$A$101,0))&amp;"","(not found)"))</f>
        <v>Whey Protein Isolate, Chocolate, 2 lb</v>
      </c>
      <c r="O4" s="49" t="str">
        <f>IF($F4="","",IFERROR(INDEX(Batches!$B$2:$B$301,MATCH($F4,Batches!$A$2:$A$301,0))&amp;"","(not found)"))</f>
        <v>WPI-CHO-2LB</v>
      </c>
      <c r="P4" s="49" t="str">
        <f>IF(COUNTA($A4:$L4)=0,"",IF($A4="","Missing: entry ID",IF(COUNTIF($A$2:$A$2001,$A4)&gt;1,"Duplicate entry ID",IF(NOT(ISNUMBER($B4)),"Missing or invalid: date",IF($C4="","Missing: type",IF($D4="","Missing: SKU",IF(NOT(ISNUMBER($E4)),"Missing: qty",IF($F4="","Missing: lot",IF($I4="","Missing: source link",IF(COUNTIF(Config!$A$15:$A$34,$C4)=0,"Unsupported type",IF(COUNTIF(Products!$A$2:$A$101,$D4)=0,"Unknown SKU",IF(COUNTIFS(Batches!$A$2:$A$301,$F4,Batches!$B$2:$B$301,$D4)=0,"Unknown lot for this SKU",IF(AND($C4="Adjustment",$G4=""),"Missing: reason",IF(AND($G4&lt;&gt;"",COUNTIF(Config!$B$15:$B$34,$G4)=0),"Unsupported reason",IF(OR(INT($E4)&lt;&gt;$E4,AND(OR($C4="Receipt",$C4="Shipment"),$E4&lt;=0),AND($C4="Adjustment",$E4=0)),"Invalid qty",IF($B4&gt;Config!$B$4,"Date after the as-of date",IF($B4&lt;Config!$B$5,"Date before the opening balance date","OK")))))))))))))))))</f>
        <v>OK</v>
      </c>
    </row>
    <row r="5">
      <c r="A5" s="46" t="inlineStr">
        <is>
          <t>MV-2607-003</t>
        </is>
      </c>
      <c r="B5" s="54" t="n">
        <v>46234</v>
      </c>
      <c r="C5" s="46" t="inlineStr">
        <is>
          <t>Shipment</t>
        </is>
      </c>
      <c r="D5" s="46" t="inlineStr">
        <is>
          <t>WPI-CHO-2LB</t>
        </is>
      </c>
      <c r="E5" s="55" t="n">
        <v>224</v>
      </c>
      <c r="F5" s="46" t="inlineStr">
        <is>
          <t>WCH2504A</t>
        </is>
      </c>
      <c r="G5" s="46" t="n"/>
      <c r="H5" s="46" t="inlineStr">
        <is>
          <t>OB-2607</t>
        </is>
      </c>
      <c r="I5" s="46" t="inlineStr">
        <is>
          <t>https://example.com/3pl/outbound/2026-07</t>
        </is>
      </c>
      <c r="J5" s="46" t="inlineStr">
        <is>
          <t>3PL import</t>
        </is>
      </c>
      <c r="K5" s="46" t="inlineStr">
        <is>
          <t>warehouse-movements-2026-07.csv</t>
        </is>
      </c>
      <c r="L5" s="46" t="inlineStr">
        <is>
          <t>July outbound summary (FEFO)</t>
        </is>
      </c>
      <c r="M5" s="51">
        <f>IF(NOT(ISNUMBER($E5)),"",IF($C5="Receipt",$E5,IF($C5="Shipment",-$E5,IF($C5="Adjustment",$E5,0))))</f>
        <v>-224</v>
      </c>
      <c r="N5" s="49" t="str">
        <f>IF($D5="","",IFERROR(INDEX(Products!$B$2:$B$101,MATCH($D5,Products!$A$2:$A$101,0))&amp;"","(not found)"))</f>
        <v>Whey Protein Isolate, Chocolate, 2 lb</v>
      </c>
      <c r="O5" s="49" t="str">
        <f>IF($F5="","",IFERROR(INDEX(Batches!$B$2:$B$301,MATCH($F5,Batches!$A$2:$A$301,0))&amp;"","(not found)"))</f>
        <v>WPI-CHO-2LB</v>
      </c>
      <c r="P5" s="49" t="str">
        <f>IF(COUNTA($A5:$L5)=0,"",IF($A5="","Missing: entry ID",IF(COUNTIF($A$2:$A$2001,$A5)&gt;1,"Duplicate entry ID",IF(NOT(ISNUMBER($B5)),"Missing or invalid: date",IF($C5="","Missing: type",IF($D5="","Missing: SKU",IF(NOT(ISNUMBER($E5)),"Missing: qty",IF($F5="","Missing: lot",IF($I5="","Missing: source link",IF(COUNTIF(Config!$A$15:$A$34,$C5)=0,"Unsupported type",IF(COUNTIF(Products!$A$2:$A$101,$D5)=0,"Unknown SKU",IF(COUNTIFS(Batches!$A$2:$A$301,$F5,Batches!$B$2:$B$301,$D5)=0,"Unknown lot for this SKU",IF(AND($C5="Adjustment",$G5=""),"Missing: reason",IF(AND($G5&lt;&gt;"",COUNTIF(Config!$B$15:$B$34,$G5)=0),"Unsupported reason",IF(OR(INT($E5)&lt;&gt;$E5,AND(OR($C5="Receipt",$C5="Shipment"),$E5&lt;=0),AND($C5="Adjustment",$E5=0)),"Invalid qty",IF($B5&gt;Config!$B$4,"Date after the as-of date",IF($B5&lt;Config!$B$5,"Date before the opening balance date","OK")))))))))))))))))</f>
        <v>OK</v>
      </c>
    </row>
    <row r="6">
      <c r="A6" s="46" t="inlineStr">
        <is>
          <t>MV-2607-004</t>
        </is>
      </c>
      <c r="B6" s="54" t="n">
        <v>46234</v>
      </c>
      <c r="C6" s="46" t="inlineStr">
        <is>
          <t>Shipment</t>
        </is>
      </c>
      <c r="D6" s="46" t="inlineStr">
        <is>
          <t>WPI-VAN-2LB</t>
        </is>
      </c>
      <c r="E6" s="55" t="n">
        <v>182</v>
      </c>
      <c r="F6" s="46" t="inlineStr">
        <is>
          <t>WVA2411A</t>
        </is>
      </c>
      <c r="G6" s="46" t="n"/>
      <c r="H6" s="46" t="inlineStr">
        <is>
          <t>OB-2607</t>
        </is>
      </c>
      <c r="I6" s="46" t="inlineStr">
        <is>
          <t>https://example.com/3pl/outbound/2026-07</t>
        </is>
      </c>
      <c r="J6" s="46" t="inlineStr">
        <is>
          <t>3PL import</t>
        </is>
      </c>
      <c r="K6" s="46" t="inlineStr">
        <is>
          <t>warehouse-movements-2026-07.csv</t>
        </is>
      </c>
      <c r="L6" s="46" t="inlineStr">
        <is>
          <t>July outbound summary (FEFO)</t>
        </is>
      </c>
      <c r="M6" s="51">
        <f>IF(NOT(ISNUMBER($E6)),"",IF($C6="Receipt",$E6,IF($C6="Shipment",-$E6,IF($C6="Adjustment",$E6,0))))</f>
        <v>-182</v>
      </c>
      <c r="N6" s="49" t="str">
        <f>IF($D6="","",IFERROR(INDEX(Products!$B$2:$B$101,MATCH($D6,Products!$A$2:$A$101,0))&amp;"","(not found)"))</f>
        <v>Whey Protein Isolate, Vanilla, 2 lb</v>
      </c>
      <c r="O6" s="49" t="str">
        <f>IF($F6="","",IFERROR(INDEX(Batches!$B$2:$B$301,MATCH($F6,Batches!$A$2:$A$301,0))&amp;"","(not found)"))</f>
        <v>WPI-VAN-2LB</v>
      </c>
      <c r="P6" s="49" t="str">
        <f>IF(COUNTA($A6:$L6)=0,"",IF($A6="","Missing: entry ID",IF(COUNTIF($A$2:$A$2001,$A6)&gt;1,"Duplicate entry ID",IF(NOT(ISNUMBER($B6)),"Missing or invalid: date",IF($C6="","Missing: type",IF($D6="","Missing: SKU",IF(NOT(ISNUMBER($E6)),"Missing: qty",IF($F6="","Missing: lot",IF($I6="","Missing: source link",IF(COUNTIF(Config!$A$15:$A$34,$C6)=0,"Unsupported type",IF(COUNTIF(Products!$A$2:$A$101,$D6)=0,"Unknown SKU",IF(COUNTIFS(Batches!$A$2:$A$301,$F6,Batches!$B$2:$B$301,$D6)=0,"Unknown lot for this SKU",IF(AND($C6="Adjustment",$G6=""),"Missing: reason",IF(AND($G6&lt;&gt;"",COUNTIF(Config!$B$15:$B$34,$G6)=0),"Unsupported reason",IF(OR(INT($E6)&lt;&gt;$E6,AND(OR($C6="Receipt",$C6="Shipment"),$E6&lt;=0),AND($C6="Adjustment",$E6=0)),"Invalid qty",IF($B6&gt;Config!$B$4,"Date after the as-of date",IF($B6&lt;Config!$B$5,"Date before the opening balance date","OK")))))))))))))))))</f>
        <v>OK</v>
      </c>
    </row>
    <row r="7">
      <c r="A7" s="46" t="inlineStr">
        <is>
          <t>MV-2607-005</t>
        </is>
      </c>
      <c r="B7" s="54" t="n">
        <v>46234</v>
      </c>
      <c r="C7" s="46" t="inlineStr">
        <is>
          <t>Shipment</t>
        </is>
      </c>
      <c r="D7" s="46" t="inlineStr">
        <is>
          <t>WPI-CHO-5LB</t>
        </is>
      </c>
      <c r="E7" s="55" t="n">
        <v>59</v>
      </c>
      <c r="F7" s="46" t="inlineStr">
        <is>
          <t>W5C2501A</t>
        </is>
      </c>
      <c r="G7" s="46" t="n"/>
      <c r="H7" s="46" t="inlineStr">
        <is>
          <t>OB-2607</t>
        </is>
      </c>
      <c r="I7" s="46" t="inlineStr">
        <is>
          <t>https://example.com/3pl/outbound/2026-07</t>
        </is>
      </c>
      <c r="J7" s="46" t="inlineStr">
        <is>
          <t>3PL import</t>
        </is>
      </c>
      <c r="K7" s="46" t="inlineStr">
        <is>
          <t>warehouse-movements-2026-07.csv</t>
        </is>
      </c>
      <c r="L7" s="46" t="inlineStr">
        <is>
          <t>July outbound summary (FEFO)</t>
        </is>
      </c>
      <c r="M7" s="51">
        <f>IF(NOT(ISNUMBER($E7)),"",IF($C7="Receipt",$E7,IF($C7="Shipment",-$E7,IF($C7="Adjustment",$E7,0))))</f>
        <v>-59</v>
      </c>
      <c r="N7" s="49" t="str">
        <f>IF($D7="","",IFERROR(INDEX(Products!$B$2:$B$101,MATCH($D7,Products!$A$2:$A$101,0))&amp;"","(not found)"))</f>
        <v>Whey Protein Isolate, Chocolate, 5 lb</v>
      </c>
      <c r="O7" s="49" t="str">
        <f>IF($F7="","",IFERROR(INDEX(Batches!$B$2:$B$301,MATCH($F7,Batches!$A$2:$A$301,0))&amp;"","(not found)"))</f>
        <v>WPI-CHO-5LB</v>
      </c>
      <c r="P7" s="49" t="str">
        <f>IF(COUNTA($A7:$L7)=0,"",IF($A7="","Missing: entry ID",IF(COUNTIF($A$2:$A$2001,$A7)&gt;1,"Duplicate entry ID",IF(NOT(ISNUMBER($B7)),"Missing or invalid: date",IF($C7="","Missing: type",IF($D7="","Missing: SKU",IF(NOT(ISNUMBER($E7)),"Missing: qty",IF($F7="","Missing: lot",IF($I7="","Missing: source link",IF(COUNTIF(Config!$A$15:$A$34,$C7)=0,"Unsupported type",IF(COUNTIF(Products!$A$2:$A$101,$D7)=0,"Unknown SKU",IF(COUNTIFS(Batches!$A$2:$A$301,$F7,Batches!$B$2:$B$301,$D7)=0,"Unknown lot for this SKU",IF(AND($C7="Adjustment",$G7=""),"Missing: reason",IF(AND($G7&lt;&gt;"",COUNTIF(Config!$B$15:$B$34,$G7)=0),"Unsupported reason",IF(OR(INT($E7)&lt;&gt;$E7,AND(OR($C7="Receipt",$C7="Shipment"),$E7&lt;=0),AND($C7="Adjustment",$E7=0)),"Invalid qty",IF($B7&gt;Config!$B$4,"Date after the as-of date",IF($B7&lt;Config!$B$5,"Date before the opening balance date","OK")))))))))))))))))</f>
        <v>OK</v>
      </c>
    </row>
    <row r="8">
      <c r="A8" s="46" t="inlineStr">
        <is>
          <t>MV-2607-006</t>
        </is>
      </c>
      <c r="B8" s="54" t="n">
        <v>46234</v>
      </c>
      <c r="C8" s="46" t="inlineStr">
        <is>
          <t>Shipment</t>
        </is>
      </c>
      <c r="D8" s="46" t="inlineStr">
        <is>
          <t>PLT-CHO-2LB</t>
        </is>
      </c>
      <c r="E8" s="55" t="n">
        <v>134</v>
      </c>
      <c r="F8" s="46" t="inlineStr">
        <is>
          <t>PCH2412A</t>
        </is>
      </c>
      <c r="G8" s="46" t="n"/>
      <c r="H8" s="46" t="inlineStr">
        <is>
          <t>OB-2607</t>
        </is>
      </c>
      <c r="I8" s="46" t="inlineStr">
        <is>
          <t>https://example.com/3pl/outbound/2026-07</t>
        </is>
      </c>
      <c r="J8" s="46" t="inlineStr">
        <is>
          <t>3PL import</t>
        </is>
      </c>
      <c r="K8" s="46" t="inlineStr">
        <is>
          <t>warehouse-movements-2026-07.csv</t>
        </is>
      </c>
      <c r="L8" s="46" t="inlineStr">
        <is>
          <t>July outbound summary (FEFO)</t>
        </is>
      </c>
      <c r="M8" s="51">
        <f>IF(NOT(ISNUMBER($E8)),"",IF($C8="Receipt",$E8,IF($C8="Shipment",-$E8,IF($C8="Adjustment",$E8,0))))</f>
        <v>-134</v>
      </c>
      <c r="N8" s="49" t="str">
        <f>IF($D8="","",IFERROR(INDEX(Products!$B$2:$B$101,MATCH($D8,Products!$A$2:$A$101,0))&amp;"","(not found)"))</f>
        <v>Plant Protein, Chocolate, 2 lb</v>
      </c>
      <c r="O8" s="49" t="str">
        <f>IF($F8="","",IFERROR(INDEX(Batches!$B$2:$B$301,MATCH($F8,Batches!$A$2:$A$301,0))&amp;"","(not found)"))</f>
        <v>PLT-CHO-2LB</v>
      </c>
      <c r="P8" s="49" t="str">
        <f>IF(COUNTA($A8:$L8)=0,"",IF($A8="","Missing: entry ID",IF(COUNTIF($A$2:$A$2001,$A8)&gt;1,"Duplicate entry ID",IF(NOT(ISNUMBER($B8)),"Missing or invalid: date",IF($C8="","Missing: type",IF($D8="","Missing: SKU",IF(NOT(ISNUMBER($E8)),"Missing: qty",IF($F8="","Missing: lot",IF($I8="","Missing: source link",IF(COUNTIF(Config!$A$15:$A$34,$C8)=0,"Unsupported type",IF(COUNTIF(Products!$A$2:$A$101,$D8)=0,"Unknown SKU",IF(COUNTIFS(Batches!$A$2:$A$301,$F8,Batches!$B$2:$B$301,$D8)=0,"Unknown lot for this SKU",IF(AND($C8="Adjustment",$G8=""),"Missing: reason",IF(AND($G8&lt;&gt;"",COUNTIF(Config!$B$15:$B$34,$G8)=0),"Unsupported reason",IF(OR(INT($E8)&lt;&gt;$E8,AND(OR($C8="Receipt",$C8="Shipment"),$E8&lt;=0),AND($C8="Adjustment",$E8=0)),"Invalid qty",IF($B8&gt;Config!$B$4,"Date after the as-of date",IF($B8&lt;Config!$B$5,"Date before the opening balance date","OK")))))))))))))))))</f>
        <v>OK</v>
      </c>
    </row>
    <row r="9">
      <c r="A9" s="46" t="inlineStr">
        <is>
          <t>MV-2607-007</t>
        </is>
      </c>
      <c r="B9" s="54" t="n">
        <v>46234</v>
      </c>
      <c r="C9" s="46" t="inlineStr">
        <is>
          <t>Shipment</t>
        </is>
      </c>
      <c r="D9" s="46" t="inlineStr">
        <is>
          <t>PLT-VAN-2LB</t>
        </is>
      </c>
      <c r="E9" s="55" t="n">
        <v>85</v>
      </c>
      <c r="F9" s="46" t="inlineStr">
        <is>
          <t>PVA2411A</t>
        </is>
      </c>
      <c r="G9" s="46" t="n"/>
      <c r="H9" s="46" t="inlineStr">
        <is>
          <t>OB-2607</t>
        </is>
      </c>
      <c r="I9" s="46" t="inlineStr">
        <is>
          <t>https://example.com/3pl/outbound/2026-07</t>
        </is>
      </c>
      <c r="J9" s="46" t="inlineStr">
        <is>
          <t>3PL import</t>
        </is>
      </c>
      <c r="K9" s="46" t="inlineStr">
        <is>
          <t>warehouse-movements-2026-07.csv</t>
        </is>
      </c>
      <c r="L9" s="46" t="inlineStr">
        <is>
          <t>July outbound summary (FEFO)</t>
        </is>
      </c>
      <c r="M9" s="51">
        <f>IF(NOT(ISNUMBER($E9)),"",IF($C9="Receipt",$E9,IF($C9="Shipment",-$E9,IF($C9="Adjustment",$E9,0))))</f>
        <v>-85</v>
      </c>
      <c r="N9" s="49" t="str">
        <f>IF($D9="","",IFERROR(INDEX(Products!$B$2:$B$101,MATCH($D9,Products!$A$2:$A$101,0))&amp;"","(not found)"))</f>
        <v>Plant Protein, Vanilla, 2 lb</v>
      </c>
      <c r="O9" s="49" t="str">
        <f>IF($F9="","",IFERROR(INDEX(Batches!$B$2:$B$301,MATCH($F9,Batches!$A$2:$A$301,0))&amp;"","(not found)"))</f>
        <v>PLT-VAN-2LB</v>
      </c>
      <c r="P9" s="49" t="str">
        <f>IF(COUNTA($A9:$L9)=0,"",IF($A9="","Missing: entry ID",IF(COUNTIF($A$2:$A$2001,$A9)&gt;1,"Duplicate entry ID",IF(NOT(ISNUMBER($B9)),"Missing or invalid: date",IF($C9="","Missing: type",IF($D9="","Missing: SKU",IF(NOT(ISNUMBER($E9)),"Missing: qty",IF($F9="","Missing: lot",IF($I9="","Missing: source link",IF(COUNTIF(Config!$A$15:$A$34,$C9)=0,"Unsupported type",IF(COUNTIF(Products!$A$2:$A$101,$D9)=0,"Unknown SKU",IF(COUNTIFS(Batches!$A$2:$A$301,$F9,Batches!$B$2:$B$301,$D9)=0,"Unknown lot for this SKU",IF(AND($C9="Adjustment",$G9=""),"Missing: reason",IF(AND($G9&lt;&gt;"",COUNTIF(Config!$B$15:$B$34,$G9)=0),"Unsupported reason",IF(OR(INT($E9)&lt;&gt;$E9,AND(OR($C9="Receipt",$C9="Shipment"),$E9&lt;=0),AND($C9="Adjustment",$E9=0)),"Invalid qty",IF($B9&gt;Config!$B$4,"Date after the as-of date",IF($B9&lt;Config!$B$5,"Date before the opening balance date","OK")))))))))))))))))</f>
        <v>OK</v>
      </c>
    </row>
    <row r="10">
      <c r="A10" s="46" t="inlineStr">
        <is>
          <t>MV-2607-008</t>
        </is>
      </c>
      <c r="B10" s="54" t="n">
        <v>46234</v>
      </c>
      <c r="C10" s="46" t="inlineStr">
        <is>
          <t>Shipment</t>
        </is>
      </c>
      <c r="D10" s="46" t="inlineStr">
        <is>
          <t>BAR-PBC-12</t>
        </is>
      </c>
      <c r="E10" s="55" t="n">
        <v>562</v>
      </c>
      <c r="F10" s="46" t="inlineStr">
        <is>
          <t>PBC2511A</t>
        </is>
      </c>
      <c r="G10" s="46" t="n"/>
      <c r="H10" s="46" t="inlineStr">
        <is>
          <t>OB-2607</t>
        </is>
      </c>
      <c r="I10" s="46" t="inlineStr">
        <is>
          <t>https://example.com/3pl/outbound/2026-07</t>
        </is>
      </c>
      <c r="J10" s="46" t="inlineStr">
        <is>
          <t>3PL import</t>
        </is>
      </c>
      <c r="K10" s="46" t="inlineStr">
        <is>
          <t>warehouse-movements-2026-07.csv</t>
        </is>
      </c>
      <c r="L10" s="46" t="inlineStr">
        <is>
          <t>July outbound summary (FEFO)</t>
        </is>
      </c>
      <c r="M10" s="51">
        <f>IF(NOT(ISNUMBER($E10)),"",IF($C10="Receipt",$E10,IF($C10="Shipment",-$E10,IF($C10="Adjustment",$E10,0))))</f>
        <v>-562</v>
      </c>
      <c r="N10" s="49" t="str">
        <f>IF($D10="","",IFERROR(INDEX(Products!$B$2:$B$101,MATCH($D10,Products!$A$2:$A$101,0))&amp;"","(not found)"))</f>
        <v>Protein Bar, Peanut Butter Chocolate, 12-pack</v>
      </c>
      <c r="O10" s="49" t="str">
        <f>IF($F10="","",IFERROR(INDEX(Batches!$B$2:$B$301,MATCH($F10,Batches!$A$2:$A$301,0))&amp;"","(not found)"))</f>
        <v>BAR-PBC-12</v>
      </c>
      <c r="P10" s="49" t="str">
        <f>IF(COUNTA($A10:$L10)=0,"",IF($A10="","Missing: entry ID",IF(COUNTIF($A$2:$A$2001,$A10)&gt;1,"Duplicate entry ID",IF(NOT(ISNUMBER($B10)),"Missing or invalid: date",IF($C10="","Missing: type",IF($D10="","Missing: SKU",IF(NOT(ISNUMBER($E10)),"Missing: qty",IF($F10="","Missing: lot",IF($I10="","Missing: source link",IF(COUNTIF(Config!$A$15:$A$34,$C10)=0,"Unsupported type",IF(COUNTIF(Products!$A$2:$A$101,$D10)=0,"Unknown SKU",IF(COUNTIFS(Batches!$A$2:$A$301,$F10,Batches!$B$2:$B$301,$D10)=0,"Unknown lot for this SKU",IF(AND($C10="Adjustment",$G10=""),"Missing: reason",IF(AND($G10&lt;&gt;"",COUNTIF(Config!$B$15:$B$34,$G10)=0),"Unsupported reason",IF(OR(INT($E10)&lt;&gt;$E10,AND(OR($C10="Receipt",$C10="Shipment"),$E10&lt;=0),AND($C10="Adjustment",$E10=0)),"Invalid qty",IF($B10&gt;Config!$B$4,"Date after the as-of date",IF($B10&lt;Config!$B$5,"Date before the opening balance date","OK")))))))))))))))))</f>
        <v>OK</v>
      </c>
    </row>
    <row r="11">
      <c r="A11" s="46" t="inlineStr">
        <is>
          <t>MV-2607-009</t>
        </is>
      </c>
      <c r="B11" s="54" t="n">
        <v>46234</v>
      </c>
      <c r="C11" s="46" t="inlineStr">
        <is>
          <t>Shipment</t>
        </is>
      </c>
      <c r="D11" s="46" t="inlineStr">
        <is>
          <t>BAR-CKD-12</t>
        </is>
      </c>
      <c r="E11" s="55" t="n">
        <v>521</v>
      </c>
      <c r="F11" s="46" t="inlineStr">
        <is>
          <t>CKD2510A</t>
        </is>
      </c>
      <c r="G11" s="46" t="n"/>
      <c r="H11" s="46" t="inlineStr">
        <is>
          <t>OB-2607</t>
        </is>
      </c>
      <c r="I11" s="46" t="inlineStr">
        <is>
          <t>https://example.com/3pl/outbound/2026-07</t>
        </is>
      </c>
      <c r="J11" s="46" t="inlineStr">
        <is>
          <t>3PL import</t>
        </is>
      </c>
      <c r="K11" s="46" t="inlineStr">
        <is>
          <t>warehouse-movements-2026-07.csv</t>
        </is>
      </c>
      <c r="L11" s="46" t="inlineStr">
        <is>
          <t>July outbound summary (FEFO)</t>
        </is>
      </c>
      <c r="M11" s="51">
        <f>IF(NOT(ISNUMBER($E11)),"",IF($C11="Receipt",$E11,IF($C11="Shipment",-$E11,IF($C11="Adjustment",$E11,0))))</f>
        <v>-521</v>
      </c>
      <c r="N11" s="49" t="str">
        <f>IF($D11="","",IFERROR(INDEX(Products!$B$2:$B$101,MATCH($D11,Products!$A$2:$A$101,0))&amp;"","(not found)"))</f>
        <v>Protein Bar, Cookie Dough, 12-pack</v>
      </c>
      <c r="O11" s="49" t="str">
        <f>IF($F11="","",IFERROR(INDEX(Batches!$B$2:$B$301,MATCH($F11,Batches!$A$2:$A$301,0))&amp;"","(not found)"))</f>
        <v>BAR-CKD-12</v>
      </c>
      <c r="P11" s="49" t="str">
        <f>IF(COUNTA($A11:$L11)=0,"",IF($A11="","Missing: entry ID",IF(COUNTIF($A$2:$A$2001,$A11)&gt;1,"Duplicate entry ID",IF(NOT(ISNUMBER($B11)),"Missing or invalid: date",IF($C11="","Missing: type",IF($D11="","Missing: SKU",IF(NOT(ISNUMBER($E11)),"Missing: qty",IF($F11="","Missing: lot",IF($I11="","Missing: source link",IF(COUNTIF(Config!$A$15:$A$34,$C11)=0,"Unsupported type",IF(COUNTIF(Products!$A$2:$A$101,$D11)=0,"Unknown SKU",IF(COUNTIFS(Batches!$A$2:$A$301,$F11,Batches!$B$2:$B$301,$D11)=0,"Unknown lot for this SKU",IF(AND($C11="Adjustment",$G11=""),"Missing: reason",IF(AND($G11&lt;&gt;"",COUNTIF(Config!$B$15:$B$34,$G11)=0),"Unsupported reason",IF(OR(INT($E11)&lt;&gt;$E11,AND(OR($C11="Receipt",$C11="Shipment"),$E11&lt;=0),AND($C11="Adjustment",$E11=0)),"Invalid qty",IF($B11&gt;Config!$B$4,"Date after the as-of date",IF($B11&lt;Config!$B$5,"Date before the opening balance date","OK")))))))))))))))))</f>
        <v>OK</v>
      </c>
    </row>
    <row r="12">
      <c r="A12" s="46" t="inlineStr">
        <is>
          <t>MV-2607-010</t>
        </is>
      </c>
      <c r="B12" s="54" t="n">
        <v>46234</v>
      </c>
      <c r="C12" s="46" t="inlineStr">
        <is>
          <t>Shipment</t>
        </is>
      </c>
      <c r="D12" s="46" t="inlineStr">
        <is>
          <t>CRE-UNF-300G</t>
        </is>
      </c>
      <c r="E12" s="55" t="n">
        <v>236</v>
      </c>
      <c r="F12" s="46" t="inlineStr">
        <is>
          <t>CRT2502A</t>
        </is>
      </c>
      <c r="G12" s="46" t="n"/>
      <c r="H12" s="46" t="inlineStr">
        <is>
          <t>OB-2607</t>
        </is>
      </c>
      <c r="I12" s="46" t="inlineStr">
        <is>
          <t>https://example.com/3pl/outbound/2026-07</t>
        </is>
      </c>
      <c r="J12" s="46" t="inlineStr">
        <is>
          <t>3PL import</t>
        </is>
      </c>
      <c r="K12" s="46" t="inlineStr">
        <is>
          <t>warehouse-movements-2026-07.csv</t>
        </is>
      </c>
      <c r="L12" s="46" t="inlineStr">
        <is>
          <t>July outbound summary (FEFO)</t>
        </is>
      </c>
      <c r="M12" s="51">
        <f>IF(NOT(ISNUMBER($E12)),"",IF($C12="Receipt",$E12,IF($C12="Shipment",-$E12,IF($C12="Adjustment",$E12,0))))</f>
        <v>-236</v>
      </c>
      <c r="N12" s="49" t="str">
        <f>IF($D12="","",IFERROR(INDEX(Products!$B$2:$B$101,MATCH($D12,Products!$A$2:$A$101,0))&amp;"","(not found)"))</f>
        <v>Creatine Monohydrate, Unflavoured, 300 g</v>
      </c>
      <c r="O12" s="49" t="str">
        <f>IF($F12="","",IFERROR(INDEX(Batches!$B$2:$B$301,MATCH($F12,Batches!$A$2:$A$301,0))&amp;"","(not found)"))</f>
        <v>CRE-UNF-300G</v>
      </c>
      <c r="P12" s="49" t="str">
        <f>IF(COUNTA($A12:$L12)=0,"",IF($A12="","Missing: entry ID",IF(COUNTIF($A$2:$A$2001,$A12)&gt;1,"Duplicate entry ID",IF(NOT(ISNUMBER($B12)),"Missing or invalid: date",IF($C12="","Missing: type",IF($D12="","Missing: SKU",IF(NOT(ISNUMBER($E12)),"Missing: qty",IF($F12="","Missing: lot",IF($I12="","Missing: source link",IF(COUNTIF(Config!$A$15:$A$34,$C12)=0,"Unsupported type",IF(COUNTIF(Products!$A$2:$A$101,$D12)=0,"Unknown SKU",IF(COUNTIFS(Batches!$A$2:$A$301,$F12,Batches!$B$2:$B$301,$D12)=0,"Unknown lot for this SKU",IF(AND($C12="Adjustment",$G12=""),"Missing: reason",IF(AND($G12&lt;&gt;"",COUNTIF(Config!$B$15:$B$34,$G12)=0),"Unsupported reason",IF(OR(INT($E12)&lt;&gt;$E12,AND(OR($C12="Receipt",$C12="Shipment"),$E12&lt;=0),AND($C12="Adjustment",$E12=0)),"Invalid qty",IF($B12&gt;Config!$B$4,"Date after the as-of date",IF($B12&lt;Config!$B$5,"Date before the opening balance date","OK")))))))))))))))))</f>
        <v>OK</v>
      </c>
    </row>
    <row r="13">
      <c r="A13" s="46" t="inlineStr">
        <is>
          <t>MV-2607-011</t>
        </is>
      </c>
      <c r="B13" s="54" t="n">
        <v>46234</v>
      </c>
      <c r="C13" s="46" t="inlineStr">
        <is>
          <t>Shipment</t>
        </is>
      </c>
      <c r="D13" s="46" t="inlineStr">
        <is>
          <t>CRE-UNF-500G</t>
        </is>
      </c>
      <c r="E13" s="55" t="n">
        <v>106</v>
      </c>
      <c r="F13" s="46" t="inlineStr">
        <is>
          <t>CRL2504A</t>
        </is>
      </c>
      <c r="G13" s="46" t="n"/>
      <c r="H13" s="46" t="inlineStr">
        <is>
          <t>OB-2607</t>
        </is>
      </c>
      <c r="I13" s="46" t="inlineStr">
        <is>
          <t>https://example.com/3pl/outbound/2026-07</t>
        </is>
      </c>
      <c r="J13" s="46" t="inlineStr">
        <is>
          <t>3PL import</t>
        </is>
      </c>
      <c r="K13" s="46" t="inlineStr">
        <is>
          <t>warehouse-movements-2026-07.csv</t>
        </is>
      </c>
      <c r="L13" s="46" t="inlineStr">
        <is>
          <t>July outbound summary (FEFO)</t>
        </is>
      </c>
      <c r="M13" s="51">
        <f>IF(NOT(ISNUMBER($E13)),"",IF($C13="Receipt",$E13,IF($C13="Shipment",-$E13,IF($C13="Adjustment",$E13,0))))</f>
        <v>-106</v>
      </c>
      <c r="N13" s="49" t="str">
        <f>IF($D13="","",IFERROR(INDEX(Products!$B$2:$B$101,MATCH($D13,Products!$A$2:$A$101,0))&amp;"","(not found)"))</f>
        <v>Creatine Monohydrate, Unflavoured, 500 g</v>
      </c>
      <c r="O13" s="49" t="str">
        <f>IF($F13="","",IFERROR(INDEX(Batches!$B$2:$B$301,MATCH($F13,Batches!$A$2:$A$301,0))&amp;"","(not found)"))</f>
        <v>CRE-UNF-500G</v>
      </c>
      <c r="P13" s="49" t="str">
        <f>IF(COUNTA($A13:$L13)=0,"",IF($A13="","Missing: entry ID",IF(COUNTIF($A$2:$A$2001,$A13)&gt;1,"Duplicate entry ID",IF(NOT(ISNUMBER($B13)),"Missing or invalid: date",IF($C13="","Missing: type",IF($D13="","Missing: SKU",IF(NOT(ISNUMBER($E13)),"Missing: qty",IF($F13="","Missing: lot",IF($I13="","Missing: source link",IF(COUNTIF(Config!$A$15:$A$34,$C13)=0,"Unsupported type",IF(COUNTIF(Products!$A$2:$A$101,$D13)=0,"Unknown SKU",IF(COUNTIFS(Batches!$A$2:$A$301,$F13,Batches!$B$2:$B$301,$D13)=0,"Unknown lot for this SKU",IF(AND($C13="Adjustment",$G13=""),"Missing: reason",IF(AND($G13&lt;&gt;"",COUNTIF(Config!$B$15:$B$34,$G13)=0),"Unsupported reason",IF(OR(INT($E13)&lt;&gt;$E13,AND(OR($C13="Receipt",$C13="Shipment"),$E13&lt;=0),AND($C13="Adjustment",$E13=0)),"Invalid qty",IF($B13&gt;Config!$B$4,"Date after the as-of date",IF($B13&lt;Config!$B$5,"Date before the opening balance date","OK")))))))))))))))))</f>
        <v>OK</v>
      </c>
    </row>
    <row r="14">
      <c r="A14" s="46" t="inlineStr">
        <is>
          <t>MV-2607-012</t>
        </is>
      </c>
      <c r="B14" s="54" t="n">
        <v>46234</v>
      </c>
      <c r="C14" s="46" t="inlineStr">
        <is>
          <t>Shipment</t>
        </is>
      </c>
      <c r="D14" s="46" t="inlineStr">
        <is>
          <t>PRE-BRZ-30</t>
        </is>
      </c>
      <c r="E14" s="55" t="n">
        <v>217</v>
      </c>
      <c r="F14" s="46" t="inlineStr">
        <is>
          <t>PBZ2501A</t>
        </is>
      </c>
      <c r="G14" s="46" t="n"/>
      <c r="H14" s="46" t="inlineStr">
        <is>
          <t>OB-2607</t>
        </is>
      </c>
      <c r="I14" s="46" t="inlineStr">
        <is>
          <t>https://example.com/3pl/outbound/2026-07</t>
        </is>
      </c>
      <c r="J14" s="46" t="inlineStr">
        <is>
          <t>3PL import</t>
        </is>
      </c>
      <c r="K14" s="46" t="inlineStr">
        <is>
          <t>warehouse-movements-2026-07.csv</t>
        </is>
      </c>
      <c r="L14" s="46" t="inlineStr">
        <is>
          <t>July outbound summary (FEFO)</t>
        </is>
      </c>
      <c r="M14" s="51">
        <f>IF(NOT(ISNUMBER($E14)),"",IF($C14="Receipt",$E14,IF($C14="Shipment",-$E14,IF($C14="Adjustment",$E14,0))))</f>
        <v>-217</v>
      </c>
      <c r="N14" s="49" t="str">
        <f>IF($D14="","",IFERROR(INDEX(Products!$B$2:$B$101,MATCH($D14,Products!$A$2:$A$101,0))&amp;"","(not found)"))</f>
        <v>Pre-Workout, Blue Raspberry, 30 servings</v>
      </c>
      <c r="O14" s="49" t="str">
        <f>IF($F14="","",IFERROR(INDEX(Batches!$B$2:$B$301,MATCH($F14,Batches!$A$2:$A$301,0))&amp;"","(not found)"))</f>
        <v>PRE-BRZ-30</v>
      </c>
      <c r="P14" s="49" t="str">
        <f>IF(COUNTA($A14:$L14)=0,"",IF($A14="","Missing: entry ID",IF(COUNTIF($A$2:$A$2001,$A14)&gt;1,"Duplicate entry ID",IF(NOT(ISNUMBER($B14)),"Missing or invalid: date",IF($C14="","Missing: type",IF($D14="","Missing: SKU",IF(NOT(ISNUMBER($E14)),"Missing: qty",IF($F14="","Missing: lot",IF($I14="","Missing: source link",IF(COUNTIF(Config!$A$15:$A$34,$C14)=0,"Unsupported type",IF(COUNTIF(Products!$A$2:$A$101,$D14)=0,"Unknown SKU",IF(COUNTIFS(Batches!$A$2:$A$301,$F14,Batches!$B$2:$B$301,$D14)=0,"Unknown lot for this SKU",IF(AND($C14="Adjustment",$G14=""),"Missing: reason",IF(AND($G14&lt;&gt;"",COUNTIF(Config!$B$15:$B$34,$G14)=0),"Unsupported reason",IF(OR(INT($E14)&lt;&gt;$E14,AND(OR($C14="Receipt",$C14="Shipment"),$E14&lt;=0),AND($C14="Adjustment",$E14=0)),"Invalid qty",IF($B14&gt;Config!$B$4,"Date after the as-of date",IF($B14&lt;Config!$B$5,"Date before the opening balance date","OK")))))))))))))))))</f>
        <v>OK</v>
      </c>
    </row>
    <row r="15">
      <c r="A15" s="46" t="inlineStr">
        <is>
          <t>MV-2607-013</t>
        </is>
      </c>
      <c r="B15" s="54" t="n">
        <v>46234</v>
      </c>
      <c r="C15" s="46" t="inlineStr">
        <is>
          <t>Shipment</t>
        </is>
      </c>
      <c r="D15" s="46" t="inlineStr">
        <is>
          <t>PRE-WTM-30</t>
        </is>
      </c>
      <c r="E15" s="55" t="n">
        <v>113</v>
      </c>
      <c r="F15" s="46" t="inlineStr">
        <is>
          <t>PWM2409A</t>
        </is>
      </c>
      <c r="G15" s="46" t="n"/>
      <c r="H15" s="46" t="inlineStr">
        <is>
          <t>OB-2607</t>
        </is>
      </c>
      <c r="I15" s="46" t="inlineStr">
        <is>
          <t>https://example.com/3pl/outbound/2026-07</t>
        </is>
      </c>
      <c r="J15" s="46" t="inlineStr">
        <is>
          <t>3PL import</t>
        </is>
      </c>
      <c r="K15" s="46" t="inlineStr">
        <is>
          <t>warehouse-movements-2026-07.csv</t>
        </is>
      </c>
      <c r="L15" s="46" t="inlineStr">
        <is>
          <t>July outbound summary (FEFO)</t>
        </is>
      </c>
      <c r="M15" s="51">
        <f>IF(NOT(ISNUMBER($E15)),"",IF($C15="Receipt",$E15,IF($C15="Shipment",-$E15,IF($C15="Adjustment",$E15,0))))</f>
        <v>-113</v>
      </c>
      <c r="N15" s="49" t="str">
        <f>IF($D15="","",IFERROR(INDEX(Products!$B$2:$B$101,MATCH($D15,Products!$A$2:$A$101,0))&amp;"","(not found)"))</f>
        <v>Pre-Workout, Watermelon, 30 servings</v>
      </c>
      <c r="O15" s="49" t="str">
        <f>IF($F15="","",IFERROR(INDEX(Batches!$B$2:$B$301,MATCH($F15,Batches!$A$2:$A$301,0))&amp;"","(not found)"))</f>
        <v>PRE-WTM-30</v>
      </c>
      <c r="P15" s="49" t="str">
        <f>IF(COUNTA($A15:$L15)=0,"",IF($A15="","Missing: entry ID",IF(COUNTIF($A$2:$A$2001,$A15)&gt;1,"Duplicate entry ID",IF(NOT(ISNUMBER($B15)),"Missing or invalid: date",IF($C15="","Missing: type",IF($D15="","Missing: SKU",IF(NOT(ISNUMBER($E15)),"Missing: qty",IF($F15="","Missing: lot",IF($I15="","Missing: source link",IF(COUNTIF(Config!$A$15:$A$34,$C15)=0,"Unsupported type",IF(COUNTIF(Products!$A$2:$A$101,$D15)=0,"Unknown SKU",IF(COUNTIFS(Batches!$A$2:$A$301,$F15,Batches!$B$2:$B$301,$D15)=0,"Unknown lot for this SKU",IF(AND($C15="Adjustment",$G15=""),"Missing: reason",IF(AND($G15&lt;&gt;"",COUNTIF(Config!$B$15:$B$34,$G15)=0),"Unsupported reason",IF(OR(INT($E15)&lt;&gt;$E15,AND(OR($C15="Receipt",$C15="Shipment"),$E15&lt;=0),AND($C15="Adjustment",$E15=0)),"Invalid qty",IF($B15&gt;Config!$B$4,"Date after the as-of date",IF($B15&lt;Config!$B$5,"Date before the opening balance date","OK")))))))))))))))))</f>
        <v>OK</v>
      </c>
    </row>
    <row r="16">
      <c r="A16" s="46" t="inlineStr">
        <is>
          <t>MV-2607-014</t>
        </is>
      </c>
      <c r="B16" s="54" t="n">
        <v>46234</v>
      </c>
      <c r="C16" s="46" t="inlineStr">
        <is>
          <t>Shipment</t>
        </is>
      </c>
      <c r="D16" s="46" t="inlineStr">
        <is>
          <t>CAS-CHO-2LB</t>
        </is>
      </c>
      <c r="E16" s="55" t="n">
        <v>66</v>
      </c>
      <c r="F16" s="46" t="inlineStr">
        <is>
          <t>CCA2412A</t>
        </is>
      </c>
      <c r="G16" s="46" t="n"/>
      <c r="H16" s="46" t="inlineStr">
        <is>
          <t>OB-2607</t>
        </is>
      </c>
      <c r="I16" s="46" t="inlineStr">
        <is>
          <t>https://example.com/3pl/outbound/2026-07</t>
        </is>
      </c>
      <c r="J16" s="46" t="inlineStr">
        <is>
          <t>3PL import</t>
        </is>
      </c>
      <c r="K16" s="46" t="inlineStr">
        <is>
          <t>warehouse-movements-2026-07.csv</t>
        </is>
      </c>
      <c r="L16" s="46" t="inlineStr">
        <is>
          <t>July outbound summary (FEFO)</t>
        </is>
      </c>
      <c r="M16" s="51">
        <f>IF(NOT(ISNUMBER($E16)),"",IF($C16="Receipt",$E16,IF($C16="Shipment",-$E16,IF($C16="Adjustment",$E16,0))))</f>
        <v>-66</v>
      </c>
      <c r="N16" s="49" t="str">
        <f>IF($D16="","",IFERROR(INDEX(Products!$B$2:$B$101,MATCH($D16,Products!$A$2:$A$101,0))&amp;"","(not found)"))</f>
        <v>Micellar Casein, Chocolate, 2 lb</v>
      </c>
      <c r="O16" s="49" t="str">
        <f>IF($F16="","",IFERROR(INDEX(Batches!$B$2:$B$301,MATCH($F16,Batches!$A$2:$A$301,0))&amp;"","(not found)"))</f>
        <v>CAS-CHO-2LB</v>
      </c>
      <c r="P16" s="49" t="str">
        <f>IF(COUNTA($A16:$L16)=0,"",IF($A16="","Missing: entry ID",IF(COUNTIF($A$2:$A$2001,$A16)&gt;1,"Duplicate entry ID",IF(NOT(ISNUMBER($B16)),"Missing or invalid: date",IF($C16="","Missing: type",IF($D16="","Missing: SKU",IF(NOT(ISNUMBER($E16)),"Missing: qty",IF($F16="","Missing: lot",IF($I16="","Missing: source link",IF(COUNTIF(Config!$A$15:$A$34,$C16)=0,"Unsupported type",IF(COUNTIF(Products!$A$2:$A$101,$D16)=0,"Unknown SKU",IF(COUNTIFS(Batches!$A$2:$A$301,$F16,Batches!$B$2:$B$301,$D16)=0,"Unknown lot for this SKU",IF(AND($C16="Adjustment",$G16=""),"Missing: reason",IF(AND($G16&lt;&gt;"",COUNTIF(Config!$B$15:$B$34,$G16)=0),"Unsupported reason",IF(OR(INT($E16)&lt;&gt;$E16,AND(OR($C16="Receipt",$C16="Shipment"),$E16&lt;=0),AND($C16="Adjustment",$E16=0)),"Invalid qty",IF($B16&gt;Config!$B$4,"Date after the as-of date",IF($B16&lt;Config!$B$5,"Date before the opening balance date","OK")))))))))))))))))</f>
        <v>OK</v>
      </c>
    </row>
    <row r="17">
      <c r="A17" s="46" t="inlineStr">
        <is>
          <t>MV-2608-001</t>
        </is>
      </c>
      <c r="B17" s="54" t="n">
        <v>46246</v>
      </c>
      <c r="C17" s="46" t="inlineStr">
        <is>
          <t>Receipt</t>
        </is>
      </c>
      <c r="D17" s="46" t="inlineStr">
        <is>
          <t>BAR-PBC-12</t>
        </is>
      </c>
      <c r="E17" s="55" t="n">
        <v>2400</v>
      </c>
      <c r="F17" s="46" t="inlineStr">
        <is>
          <t>PBC2607A</t>
        </is>
      </c>
      <c r="G17" s="46" t="n"/>
      <c r="H17" s="46" t="inlineStr">
        <is>
          <t>PO-2026-021</t>
        </is>
      </c>
      <c r="I17" s="46" t="inlineStr">
        <is>
          <t>https://example.com/3pl/receiving/PO-2026-021</t>
        </is>
      </c>
      <c r="J17" s="46" t="inlineStr">
        <is>
          <t>3PL import</t>
        </is>
      </c>
      <c r="K17" s="46" t="inlineStr">
        <is>
          <t>warehouse-movements-2026-08.csv</t>
        </is>
      </c>
      <c r="L17" s="46" t="inlineStr">
        <is>
          <t>Received against PO-2026-021</t>
        </is>
      </c>
      <c r="M17" s="51">
        <f>IF(NOT(ISNUMBER($E17)),"",IF($C17="Receipt",$E17,IF($C17="Shipment",-$E17,IF($C17="Adjustment",$E17,0))))</f>
        <v>2400</v>
      </c>
      <c r="N17" s="49" t="str">
        <f>IF($D17="","",IFERROR(INDEX(Products!$B$2:$B$101,MATCH($D17,Products!$A$2:$A$101,0))&amp;"","(not found)"))</f>
        <v>Protein Bar, Peanut Butter Chocolate, 12-pack</v>
      </c>
      <c r="O17" s="49" t="str">
        <f>IF($F17="","",IFERROR(INDEX(Batches!$B$2:$B$301,MATCH($F17,Batches!$A$2:$A$301,0))&amp;"","(not found)"))</f>
        <v>BAR-PBC-12</v>
      </c>
      <c r="P17" s="49" t="str">
        <f>IF(COUNTA($A17:$L17)=0,"",IF($A17="","Missing: entry ID",IF(COUNTIF($A$2:$A$2001,$A17)&gt;1,"Duplicate entry ID",IF(NOT(ISNUMBER($B17)),"Missing or invalid: date",IF($C17="","Missing: type",IF($D17="","Missing: SKU",IF(NOT(ISNUMBER($E17)),"Missing: qty",IF($F17="","Missing: lot",IF($I17="","Missing: source link",IF(COUNTIF(Config!$A$15:$A$34,$C17)=0,"Unsupported type",IF(COUNTIF(Products!$A$2:$A$101,$D17)=0,"Unknown SKU",IF(COUNTIFS(Batches!$A$2:$A$301,$F17,Batches!$B$2:$B$301,$D17)=0,"Unknown lot for this SKU",IF(AND($C17="Adjustment",$G17=""),"Missing: reason",IF(AND($G17&lt;&gt;"",COUNTIF(Config!$B$15:$B$34,$G17)=0),"Unsupported reason",IF(OR(INT($E17)&lt;&gt;$E17,AND(OR($C17="Receipt",$C17="Shipment"),$E17&lt;=0),AND($C17="Adjustment",$E17=0)),"Invalid qty",IF($B17&gt;Config!$B$4,"Date after the as-of date",IF($B17&lt;Config!$B$5,"Date before the opening balance date","OK")))))))))))))))))</f>
        <v>OK</v>
      </c>
    </row>
    <row r="18">
      <c r="A18" s="46" t="inlineStr">
        <is>
          <t>MV-2608-002</t>
        </is>
      </c>
      <c r="B18" s="54" t="n">
        <v>46262</v>
      </c>
      <c r="C18" s="46" t="inlineStr">
        <is>
          <t>Receipt</t>
        </is>
      </c>
      <c r="D18" s="46" t="inlineStr">
        <is>
          <t>CRE-UNF-300G</t>
        </is>
      </c>
      <c r="E18" s="55" t="n">
        <v>1000</v>
      </c>
      <c r="F18" s="46" t="inlineStr">
        <is>
          <t>CRT2608A</t>
        </is>
      </c>
      <c r="G18" s="46" t="n"/>
      <c r="H18" s="46" t="inlineStr">
        <is>
          <t>PO-2026-022</t>
        </is>
      </c>
      <c r="I18" s="46" t="inlineStr">
        <is>
          <t>https://example.com/3pl/receiving/PO-2026-022</t>
        </is>
      </c>
      <c r="J18" s="46" t="inlineStr">
        <is>
          <t>3PL import</t>
        </is>
      </c>
      <c r="K18" s="46" t="inlineStr">
        <is>
          <t>warehouse-movements-2026-08.csv</t>
        </is>
      </c>
      <c r="L18" s="46" t="inlineStr">
        <is>
          <t>Received against PO-2026-022</t>
        </is>
      </c>
      <c r="M18" s="51">
        <f>IF(NOT(ISNUMBER($E18)),"",IF($C18="Receipt",$E18,IF($C18="Shipment",-$E18,IF($C18="Adjustment",$E18,0))))</f>
        <v>1000</v>
      </c>
      <c r="N18" s="49" t="str">
        <f>IF($D18="","",IFERROR(INDEX(Products!$B$2:$B$101,MATCH($D18,Products!$A$2:$A$101,0))&amp;"","(not found)"))</f>
        <v>Creatine Monohydrate, Unflavoured, 300 g</v>
      </c>
      <c r="O18" s="49" t="str">
        <f>IF($F18="","",IFERROR(INDEX(Batches!$B$2:$B$301,MATCH($F18,Batches!$A$2:$A$301,0))&amp;"","(not found)"))</f>
        <v>CRE-UNF-300G</v>
      </c>
      <c r="P18" s="49" t="str">
        <f>IF(COUNTA($A18:$L18)=0,"",IF($A18="","Missing: entry ID",IF(COUNTIF($A$2:$A$2001,$A18)&gt;1,"Duplicate entry ID",IF(NOT(ISNUMBER($B18)),"Missing or invalid: date",IF($C18="","Missing: type",IF($D18="","Missing: SKU",IF(NOT(ISNUMBER($E18)),"Missing: qty",IF($F18="","Missing: lot",IF($I18="","Missing: source link",IF(COUNTIF(Config!$A$15:$A$34,$C18)=0,"Unsupported type",IF(COUNTIF(Products!$A$2:$A$101,$D18)=0,"Unknown SKU",IF(COUNTIFS(Batches!$A$2:$A$301,$F18,Batches!$B$2:$B$301,$D18)=0,"Unknown lot for this SKU",IF(AND($C18="Adjustment",$G18=""),"Missing: reason",IF(AND($G18&lt;&gt;"",COUNTIF(Config!$B$15:$B$34,$G18)=0),"Unsupported reason",IF(OR(INT($E18)&lt;&gt;$E18,AND(OR($C18="Receipt",$C18="Shipment"),$E18&lt;=0),AND($C18="Adjustment",$E18=0)),"Invalid qty",IF($B18&gt;Config!$B$4,"Date after the as-of date",IF($B18&lt;Config!$B$5,"Date before the opening balance date","OK")))))))))))))))))</f>
        <v>OK</v>
      </c>
    </row>
    <row r="19">
      <c r="A19" s="46" t="inlineStr">
        <is>
          <t>MV-2608-003</t>
        </is>
      </c>
      <c r="B19" s="54" t="n">
        <v>46265</v>
      </c>
      <c r="C19" s="46" t="inlineStr">
        <is>
          <t>Shipment</t>
        </is>
      </c>
      <c r="D19" s="46" t="inlineStr">
        <is>
          <t>WPI-CHO-2LB</t>
        </is>
      </c>
      <c r="E19" s="55" t="n">
        <v>476</v>
      </c>
      <c r="F19" s="46" t="inlineStr">
        <is>
          <t>WCH2504A</t>
        </is>
      </c>
      <c r="G19" s="46" t="n"/>
      <c r="H19" s="46" t="inlineStr">
        <is>
          <t>OB-2608</t>
        </is>
      </c>
      <c r="I19" s="46" t="inlineStr">
        <is>
          <t>https://example.com/3pl/outbound/2026-08</t>
        </is>
      </c>
      <c r="J19" s="46" t="inlineStr">
        <is>
          <t>3PL import</t>
        </is>
      </c>
      <c r="K19" s="46" t="inlineStr">
        <is>
          <t>warehouse-movements-2026-08.csv</t>
        </is>
      </c>
      <c r="L19" s="46" t="inlineStr">
        <is>
          <t>August outbound summary (FEFO)</t>
        </is>
      </c>
      <c r="M19" s="51">
        <f>IF(NOT(ISNUMBER($E19)),"",IF($C19="Receipt",$E19,IF($C19="Shipment",-$E19,IF($C19="Adjustment",$E19,0))))</f>
        <v>-476</v>
      </c>
      <c r="N19" s="49" t="str">
        <f>IF($D19="","",IFERROR(INDEX(Products!$B$2:$B$101,MATCH($D19,Products!$A$2:$A$101,0))&amp;"","(not found)"))</f>
        <v>Whey Protein Isolate, Chocolate, 2 lb</v>
      </c>
      <c r="O19" s="49" t="str">
        <f>IF($F19="","",IFERROR(INDEX(Batches!$B$2:$B$301,MATCH($F19,Batches!$A$2:$A$301,0))&amp;"","(not found)"))</f>
        <v>WPI-CHO-2LB</v>
      </c>
      <c r="P19" s="49" t="str">
        <f>IF(COUNTA($A19:$L19)=0,"",IF($A19="","Missing: entry ID",IF(COUNTIF($A$2:$A$2001,$A19)&gt;1,"Duplicate entry ID",IF(NOT(ISNUMBER($B19)),"Missing or invalid: date",IF($C19="","Missing: type",IF($D19="","Missing: SKU",IF(NOT(ISNUMBER($E19)),"Missing: qty",IF($F19="","Missing: lot",IF($I19="","Missing: source link",IF(COUNTIF(Config!$A$15:$A$34,$C19)=0,"Unsupported type",IF(COUNTIF(Products!$A$2:$A$101,$D19)=0,"Unknown SKU",IF(COUNTIFS(Batches!$A$2:$A$301,$F19,Batches!$B$2:$B$301,$D19)=0,"Unknown lot for this SKU",IF(AND($C19="Adjustment",$G19=""),"Missing: reason",IF(AND($G19&lt;&gt;"",COUNTIF(Config!$B$15:$B$34,$G19)=0),"Unsupported reason",IF(OR(INT($E19)&lt;&gt;$E19,AND(OR($C19="Receipt",$C19="Shipment"),$E19&lt;=0),AND($C19="Adjustment",$E19=0)),"Invalid qty",IF($B19&gt;Config!$B$4,"Date after the as-of date",IF($B19&lt;Config!$B$5,"Date before the opening balance date","OK")))))))))))))))))</f>
        <v>OK</v>
      </c>
    </row>
    <row r="20">
      <c r="A20" s="46" t="inlineStr">
        <is>
          <t>MV-2608-004</t>
        </is>
      </c>
      <c r="B20" s="54" t="n">
        <v>46265</v>
      </c>
      <c r="C20" s="46" t="inlineStr">
        <is>
          <t>Shipment</t>
        </is>
      </c>
      <c r="D20" s="46" t="inlineStr">
        <is>
          <t>WPI-CHO-2LB</t>
        </is>
      </c>
      <c r="E20" s="55" t="n">
        <v>182</v>
      </c>
      <c r="F20" s="46" t="inlineStr">
        <is>
          <t>WCH2607A</t>
        </is>
      </c>
      <c r="G20" s="46" t="n"/>
      <c r="H20" s="46" t="inlineStr">
        <is>
          <t>OB-2608</t>
        </is>
      </c>
      <c r="I20" s="46" t="inlineStr">
        <is>
          <t>https://example.com/3pl/outbound/2026-08</t>
        </is>
      </c>
      <c r="J20" s="46" t="inlineStr">
        <is>
          <t>3PL import</t>
        </is>
      </c>
      <c r="K20" s="46" t="inlineStr">
        <is>
          <t>warehouse-movements-2026-08.csv</t>
        </is>
      </c>
      <c r="L20" s="46" t="inlineStr">
        <is>
          <t>August outbound summary (FEFO)</t>
        </is>
      </c>
      <c r="M20" s="51">
        <f>IF(NOT(ISNUMBER($E20)),"",IF($C20="Receipt",$E20,IF($C20="Shipment",-$E20,IF($C20="Adjustment",$E20,0))))</f>
        <v>-182</v>
      </c>
      <c r="N20" s="49" t="str">
        <f>IF($D20="","",IFERROR(INDEX(Products!$B$2:$B$101,MATCH($D20,Products!$A$2:$A$101,0))&amp;"","(not found)"))</f>
        <v>Whey Protein Isolate, Chocolate, 2 lb</v>
      </c>
      <c r="O20" s="49" t="str">
        <f>IF($F20="","",IFERROR(INDEX(Batches!$B$2:$B$301,MATCH($F20,Batches!$A$2:$A$301,0))&amp;"","(not found)"))</f>
        <v>WPI-CHO-2LB</v>
      </c>
      <c r="P20" s="49" t="str">
        <f>IF(COUNTA($A20:$L20)=0,"",IF($A20="","Missing: entry ID",IF(COUNTIF($A$2:$A$2001,$A20)&gt;1,"Duplicate entry ID",IF(NOT(ISNUMBER($B20)),"Missing or invalid: date",IF($C20="","Missing: type",IF($D20="","Missing: SKU",IF(NOT(ISNUMBER($E20)),"Missing: qty",IF($F20="","Missing: lot",IF($I20="","Missing: source link",IF(COUNTIF(Config!$A$15:$A$34,$C20)=0,"Unsupported type",IF(COUNTIF(Products!$A$2:$A$101,$D20)=0,"Unknown SKU",IF(COUNTIFS(Batches!$A$2:$A$301,$F20,Batches!$B$2:$B$301,$D20)=0,"Unknown lot for this SKU",IF(AND($C20="Adjustment",$G20=""),"Missing: reason",IF(AND($G20&lt;&gt;"",COUNTIF(Config!$B$15:$B$34,$G20)=0),"Unsupported reason",IF(OR(INT($E20)&lt;&gt;$E20,AND(OR($C20="Receipt",$C20="Shipment"),$E20&lt;=0),AND($C20="Adjustment",$E20=0)),"Invalid qty",IF($B20&gt;Config!$B$4,"Date after the as-of date",IF($B20&lt;Config!$B$5,"Date before the opening balance date","OK")))))))))))))))))</f>
        <v>OK</v>
      </c>
    </row>
    <row r="21">
      <c r="A21" s="46" t="inlineStr">
        <is>
          <t>MV-2608-005</t>
        </is>
      </c>
      <c r="B21" s="54" t="n">
        <v>46265</v>
      </c>
      <c r="C21" s="46" t="inlineStr">
        <is>
          <t>Shipment</t>
        </is>
      </c>
      <c r="D21" s="46" t="inlineStr">
        <is>
          <t>WPI-VAN-2LB</t>
        </is>
      </c>
      <c r="E21" s="55" t="n">
        <v>204</v>
      </c>
      <c r="F21" s="46" t="inlineStr">
        <is>
          <t>WVA2411A</t>
        </is>
      </c>
      <c r="G21" s="46" t="n"/>
      <c r="H21" s="46" t="inlineStr">
        <is>
          <t>OB-2608</t>
        </is>
      </c>
      <c r="I21" s="46" t="inlineStr">
        <is>
          <t>https://example.com/3pl/outbound/2026-08</t>
        </is>
      </c>
      <c r="J21" s="46" t="inlineStr">
        <is>
          <t>3PL import</t>
        </is>
      </c>
      <c r="K21" s="46" t="inlineStr">
        <is>
          <t>warehouse-movements-2026-08.csv</t>
        </is>
      </c>
      <c r="L21" s="46" t="inlineStr">
        <is>
          <t>August outbound summary (FEFO)</t>
        </is>
      </c>
      <c r="M21" s="51">
        <f>IF(NOT(ISNUMBER($E21)),"",IF($C21="Receipt",$E21,IF($C21="Shipment",-$E21,IF($C21="Adjustment",$E21,0))))</f>
        <v>-204</v>
      </c>
      <c r="N21" s="49" t="str">
        <f>IF($D21="","",IFERROR(INDEX(Products!$B$2:$B$101,MATCH($D21,Products!$A$2:$A$101,0))&amp;"","(not found)"))</f>
        <v>Whey Protein Isolate, Vanilla, 2 lb</v>
      </c>
      <c r="O21" s="49" t="str">
        <f>IF($F21="","",IFERROR(INDEX(Batches!$B$2:$B$301,MATCH($F21,Batches!$A$2:$A$301,0))&amp;"","(not found)"))</f>
        <v>WPI-VAN-2LB</v>
      </c>
      <c r="P21" s="49" t="str">
        <f>IF(COUNTA($A21:$L21)=0,"",IF($A21="","Missing: entry ID",IF(COUNTIF($A$2:$A$2001,$A21)&gt;1,"Duplicate entry ID",IF(NOT(ISNUMBER($B21)),"Missing or invalid: date",IF($C21="","Missing: type",IF($D21="","Missing: SKU",IF(NOT(ISNUMBER($E21)),"Missing: qty",IF($F21="","Missing: lot",IF($I21="","Missing: source link",IF(COUNTIF(Config!$A$15:$A$34,$C21)=0,"Unsupported type",IF(COUNTIF(Products!$A$2:$A$101,$D21)=0,"Unknown SKU",IF(COUNTIFS(Batches!$A$2:$A$301,$F21,Batches!$B$2:$B$301,$D21)=0,"Unknown lot for this SKU",IF(AND($C21="Adjustment",$G21=""),"Missing: reason",IF(AND($G21&lt;&gt;"",COUNTIF(Config!$B$15:$B$34,$G21)=0),"Unsupported reason",IF(OR(INT($E21)&lt;&gt;$E21,AND(OR($C21="Receipt",$C21="Shipment"),$E21&lt;=0),AND($C21="Adjustment",$E21=0)),"Invalid qty",IF($B21&gt;Config!$B$4,"Date after the as-of date",IF($B21&lt;Config!$B$5,"Date before the opening balance date","OK")))))))))))))))))</f>
        <v>OK</v>
      </c>
    </row>
    <row r="22">
      <c r="A22" s="46" t="inlineStr">
        <is>
          <t>MV-2608-006</t>
        </is>
      </c>
      <c r="B22" s="54" t="n">
        <v>46265</v>
      </c>
      <c r="C22" s="46" t="inlineStr">
        <is>
          <t>Shipment</t>
        </is>
      </c>
      <c r="D22" s="46" t="inlineStr">
        <is>
          <t>WPI-CHO-5LB</t>
        </is>
      </c>
      <c r="E22" s="55" t="n">
        <v>62</v>
      </c>
      <c r="F22" s="46" t="inlineStr">
        <is>
          <t>W5C2501A</t>
        </is>
      </c>
      <c r="G22" s="46" t="n"/>
      <c r="H22" s="46" t="inlineStr">
        <is>
          <t>OB-2608</t>
        </is>
      </c>
      <c r="I22" s="46" t="inlineStr">
        <is>
          <t>https://example.com/3pl/outbound/2026-08</t>
        </is>
      </c>
      <c r="J22" s="46" t="inlineStr">
        <is>
          <t>3PL import</t>
        </is>
      </c>
      <c r="K22" s="46" t="inlineStr">
        <is>
          <t>warehouse-movements-2026-08.csv</t>
        </is>
      </c>
      <c r="L22" s="46" t="inlineStr">
        <is>
          <t>August outbound summary (FEFO)</t>
        </is>
      </c>
      <c r="M22" s="51">
        <f>IF(NOT(ISNUMBER($E22)),"",IF($C22="Receipt",$E22,IF($C22="Shipment",-$E22,IF($C22="Adjustment",$E22,0))))</f>
        <v>-62</v>
      </c>
      <c r="N22" s="49" t="str">
        <f>IF($D22="","",IFERROR(INDEX(Products!$B$2:$B$101,MATCH($D22,Products!$A$2:$A$101,0))&amp;"","(not found)"))</f>
        <v>Whey Protein Isolate, Chocolate, 5 lb</v>
      </c>
      <c r="O22" s="49" t="str">
        <f>IF($F22="","",IFERROR(INDEX(Batches!$B$2:$B$301,MATCH($F22,Batches!$A$2:$A$301,0))&amp;"","(not found)"))</f>
        <v>WPI-CHO-5LB</v>
      </c>
      <c r="P22" s="49" t="str">
        <f>IF(COUNTA($A22:$L22)=0,"",IF($A22="","Missing: entry ID",IF(COUNTIF($A$2:$A$2001,$A22)&gt;1,"Duplicate entry ID",IF(NOT(ISNUMBER($B22)),"Missing or invalid: date",IF($C22="","Missing: type",IF($D22="","Missing: SKU",IF(NOT(ISNUMBER($E22)),"Missing: qty",IF($F22="","Missing: lot",IF($I22="","Missing: source link",IF(COUNTIF(Config!$A$15:$A$34,$C22)=0,"Unsupported type",IF(COUNTIF(Products!$A$2:$A$101,$D22)=0,"Unknown SKU",IF(COUNTIFS(Batches!$A$2:$A$301,$F22,Batches!$B$2:$B$301,$D22)=0,"Unknown lot for this SKU",IF(AND($C22="Adjustment",$G22=""),"Missing: reason",IF(AND($G22&lt;&gt;"",COUNTIF(Config!$B$15:$B$34,$G22)=0),"Unsupported reason",IF(OR(INT($E22)&lt;&gt;$E22,AND(OR($C22="Receipt",$C22="Shipment"),$E22&lt;=0),AND($C22="Adjustment",$E22=0)),"Invalid qty",IF($B22&gt;Config!$B$4,"Date after the as-of date",IF($B22&lt;Config!$B$5,"Date before the opening balance date","OK")))))))))))))))))</f>
        <v>OK</v>
      </c>
    </row>
    <row r="23">
      <c r="A23" s="46" t="inlineStr">
        <is>
          <t>MV-2608-007</t>
        </is>
      </c>
      <c r="B23" s="54" t="n">
        <v>46265</v>
      </c>
      <c r="C23" s="46" t="inlineStr">
        <is>
          <t>Shipment</t>
        </is>
      </c>
      <c r="D23" s="46" t="inlineStr">
        <is>
          <t>PLT-CHO-2LB</t>
        </is>
      </c>
      <c r="E23" s="55" t="n">
        <v>143</v>
      </c>
      <c r="F23" s="46" t="inlineStr">
        <is>
          <t>PCH2412A</t>
        </is>
      </c>
      <c r="G23" s="46" t="n"/>
      <c r="H23" s="46" t="inlineStr">
        <is>
          <t>OB-2608</t>
        </is>
      </c>
      <c r="I23" s="46" t="inlineStr">
        <is>
          <t>https://example.com/3pl/outbound/2026-08</t>
        </is>
      </c>
      <c r="J23" s="46" t="inlineStr">
        <is>
          <t>3PL import</t>
        </is>
      </c>
      <c r="K23" s="46" t="inlineStr">
        <is>
          <t>warehouse-movements-2026-08.csv</t>
        </is>
      </c>
      <c r="L23" s="46" t="inlineStr">
        <is>
          <t>August outbound summary (FEFO)</t>
        </is>
      </c>
      <c r="M23" s="51">
        <f>IF(NOT(ISNUMBER($E23)),"",IF($C23="Receipt",$E23,IF($C23="Shipment",-$E23,IF($C23="Adjustment",$E23,0))))</f>
        <v>-143</v>
      </c>
      <c r="N23" s="49" t="str">
        <f>IF($D23="","",IFERROR(INDEX(Products!$B$2:$B$101,MATCH($D23,Products!$A$2:$A$101,0))&amp;"","(not found)"))</f>
        <v>Plant Protein, Chocolate, 2 lb</v>
      </c>
      <c r="O23" s="49" t="str">
        <f>IF($F23="","",IFERROR(INDEX(Batches!$B$2:$B$301,MATCH($F23,Batches!$A$2:$A$301,0))&amp;"","(not found)"))</f>
        <v>PLT-CHO-2LB</v>
      </c>
      <c r="P23" s="49" t="str">
        <f>IF(COUNTA($A23:$L23)=0,"",IF($A23="","Missing: entry ID",IF(COUNTIF($A$2:$A$2001,$A23)&gt;1,"Duplicate entry ID",IF(NOT(ISNUMBER($B23)),"Missing or invalid: date",IF($C23="","Missing: type",IF($D23="","Missing: SKU",IF(NOT(ISNUMBER($E23)),"Missing: qty",IF($F23="","Missing: lot",IF($I23="","Missing: source link",IF(COUNTIF(Config!$A$15:$A$34,$C23)=0,"Unsupported type",IF(COUNTIF(Products!$A$2:$A$101,$D23)=0,"Unknown SKU",IF(COUNTIFS(Batches!$A$2:$A$301,$F23,Batches!$B$2:$B$301,$D23)=0,"Unknown lot for this SKU",IF(AND($C23="Adjustment",$G23=""),"Missing: reason",IF(AND($G23&lt;&gt;"",COUNTIF(Config!$B$15:$B$34,$G23)=0),"Unsupported reason",IF(OR(INT($E23)&lt;&gt;$E23,AND(OR($C23="Receipt",$C23="Shipment"),$E23&lt;=0),AND($C23="Adjustment",$E23=0)),"Invalid qty",IF($B23&gt;Config!$B$4,"Date after the as-of date",IF($B23&lt;Config!$B$5,"Date before the opening balance date","OK")))))))))))))))))</f>
        <v>OK</v>
      </c>
    </row>
    <row r="24">
      <c r="A24" s="46" t="inlineStr">
        <is>
          <t>MV-2608-008</t>
        </is>
      </c>
      <c r="B24" s="54" t="n">
        <v>46265</v>
      </c>
      <c r="C24" s="46" t="inlineStr">
        <is>
          <t>Shipment</t>
        </is>
      </c>
      <c r="D24" s="46" t="inlineStr">
        <is>
          <t>PLT-VAN-2LB</t>
        </is>
      </c>
      <c r="E24" s="55" t="n">
        <v>91</v>
      </c>
      <c r="F24" s="46" t="inlineStr">
        <is>
          <t>PVA2411A</t>
        </is>
      </c>
      <c r="G24" s="46" t="n"/>
      <c r="H24" s="46" t="inlineStr">
        <is>
          <t>OB-2608</t>
        </is>
      </c>
      <c r="I24" s="46" t="inlineStr">
        <is>
          <t>https://example.com/3pl/outbound/2026-08</t>
        </is>
      </c>
      <c r="J24" s="46" t="inlineStr">
        <is>
          <t>3PL import</t>
        </is>
      </c>
      <c r="K24" s="46" t="inlineStr">
        <is>
          <t>warehouse-movements-2026-08.csv</t>
        </is>
      </c>
      <c r="L24" s="46" t="inlineStr">
        <is>
          <t>August outbound summary (FEFO)</t>
        </is>
      </c>
      <c r="M24" s="51">
        <f>IF(NOT(ISNUMBER($E24)),"",IF($C24="Receipt",$E24,IF($C24="Shipment",-$E24,IF($C24="Adjustment",$E24,0))))</f>
        <v>-91</v>
      </c>
      <c r="N24" s="49" t="str">
        <f>IF($D24="","",IFERROR(INDEX(Products!$B$2:$B$101,MATCH($D24,Products!$A$2:$A$101,0))&amp;"","(not found)"))</f>
        <v>Plant Protein, Vanilla, 2 lb</v>
      </c>
      <c r="O24" s="49" t="str">
        <f>IF($F24="","",IFERROR(INDEX(Batches!$B$2:$B$301,MATCH($F24,Batches!$A$2:$A$301,0))&amp;"","(not found)"))</f>
        <v>PLT-VAN-2LB</v>
      </c>
      <c r="P24" s="49" t="str">
        <f>IF(COUNTA($A24:$L24)=0,"",IF($A24="","Missing: entry ID",IF(COUNTIF($A$2:$A$2001,$A24)&gt;1,"Duplicate entry ID",IF(NOT(ISNUMBER($B24)),"Missing or invalid: date",IF($C24="","Missing: type",IF($D24="","Missing: SKU",IF(NOT(ISNUMBER($E24)),"Missing: qty",IF($F24="","Missing: lot",IF($I24="","Missing: source link",IF(COUNTIF(Config!$A$15:$A$34,$C24)=0,"Unsupported type",IF(COUNTIF(Products!$A$2:$A$101,$D24)=0,"Unknown SKU",IF(COUNTIFS(Batches!$A$2:$A$301,$F24,Batches!$B$2:$B$301,$D24)=0,"Unknown lot for this SKU",IF(AND($C24="Adjustment",$G24=""),"Missing: reason",IF(AND($G24&lt;&gt;"",COUNTIF(Config!$B$15:$B$34,$G24)=0),"Unsupported reason",IF(OR(INT($E24)&lt;&gt;$E24,AND(OR($C24="Receipt",$C24="Shipment"),$E24&lt;=0),AND($C24="Adjustment",$E24=0)),"Invalid qty",IF($B24&gt;Config!$B$4,"Date after the as-of date",IF($B24&lt;Config!$B$5,"Date before the opening balance date","OK")))))))))))))))))</f>
        <v>OK</v>
      </c>
    </row>
    <row r="25">
      <c r="A25" s="46" t="inlineStr">
        <is>
          <t>MV-2608-009</t>
        </is>
      </c>
      <c r="B25" s="54" t="n">
        <v>46265</v>
      </c>
      <c r="C25" s="46" t="inlineStr">
        <is>
          <t>Shipment</t>
        </is>
      </c>
      <c r="D25" s="46" t="inlineStr">
        <is>
          <t>BAR-PBC-12</t>
        </is>
      </c>
      <c r="E25" s="55" t="n">
        <v>659</v>
      </c>
      <c r="F25" s="46" t="inlineStr">
        <is>
          <t>PBC2511A</t>
        </is>
      </c>
      <c r="G25" s="46" t="n"/>
      <c r="H25" s="46" t="inlineStr">
        <is>
          <t>OB-2608</t>
        </is>
      </c>
      <c r="I25" s="46" t="inlineStr">
        <is>
          <t>https://example.com/3pl/outbound/2026-08</t>
        </is>
      </c>
      <c r="J25" s="46" t="inlineStr">
        <is>
          <t>3PL import</t>
        </is>
      </c>
      <c r="K25" s="46" t="inlineStr">
        <is>
          <t>warehouse-movements-2026-08.csv</t>
        </is>
      </c>
      <c r="L25" s="46" t="inlineStr">
        <is>
          <t>August outbound summary (FEFO)</t>
        </is>
      </c>
      <c r="M25" s="51">
        <f>IF(NOT(ISNUMBER($E25)),"",IF($C25="Receipt",$E25,IF($C25="Shipment",-$E25,IF($C25="Adjustment",$E25,0))))</f>
        <v>-659</v>
      </c>
      <c r="N25" s="49" t="str">
        <f>IF($D25="","",IFERROR(INDEX(Products!$B$2:$B$101,MATCH($D25,Products!$A$2:$A$101,0))&amp;"","(not found)"))</f>
        <v>Protein Bar, Peanut Butter Chocolate, 12-pack</v>
      </c>
      <c r="O25" s="49" t="str">
        <f>IF($F25="","",IFERROR(INDEX(Batches!$B$2:$B$301,MATCH($F25,Batches!$A$2:$A$301,0))&amp;"","(not found)"))</f>
        <v>BAR-PBC-12</v>
      </c>
      <c r="P25" s="49" t="str">
        <f>IF(COUNTA($A25:$L25)=0,"",IF($A25="","Missing: entry ID",IF(COUNTIF($A$2:$A$2001,$A25)&gt;1,"Duplicate entry ID",IF(NOT(ISNUMBER($B25)),"Missing or invalid: date",IF($C25="","Missing: type",IF($D25="","Missing: SKU",IF(NOT(ISNUMBER($E25)),"Missing: qty",IF($F25="","Missing: lot",IF($I25="","Missing: source link",IF(COUNTIF(Config!$A$15:$A$34,$C25)=0,"Unsupported type",IF(COUNTIF(Products!$A$2:$A$101,$D25)=0,"Unknown SKU",IF(COUNTIFS(Batches!$A$2:$A$301,$F25,Batches!$B$2:$B$301,$D25)=0,"Unknown lot for this SKU",IF(AND($C25="Adjustment",$G25=""),"Missing: reason",IF(AND($G25&lt;&gt;"",COUNTIF(Config!$B$15:$B$34,$G25)=0),"Unsupported reason",IF(OR(INT($E25)&lt;&gt;$E25,AND(OR($C25="Receipt",$C25="Shipment"),$E25&lt;=0),AND($C25="Adjustment",$E25=0)),"Invalid qty",IF($B25&gt;Config!$B$4,"Date after the as-of date",IF($B25&lt;Config!$B$5,"Date before the opening balance date","OK")))))))))))))))))</f>
        <v>OK</v>
      </c>
    </row>
    <row r="26">
      <c r="A26" s="46" t="inlineStr">
        <is>
          <t>MV-2608-010</t>
        </is>
      </c>
      <c r="B26" s="54" t="n">
        <v>46265</v>
      </c>
      <c r="C26" s="46" t="inlineStr">
        <is>
          <t>Shipment</t>
        </is>
      </c>
      <c r="D26" s="46" t="inlineStr">
        <is>
          <t>BAR-CKD-12</t>
        </is>
      </c>
      <c r="E26" s="55" t="n">
        <v>458</v>
      </c>
      <c r="F26" s="46" t="inlineStr">
        <is>
          <t>CKD2511A</t>
        </is>
      </c>
      <c r="G26" s="46" t="n"/>
      <c r="H26" s="46" t="inlineStr">
        <is>
          <t>OB-2608</t>
        </is>
      </c>
      <c r="I26" s="46" t="inlineStr">
        <is>
          <t>https://example.com/3pl/outbound/2026-08</t>
        </is>
      </c>
      <c r="J26" s="46" t="inlineStr">
        <is>
          <t>3PL import</t>
        </is>
      </c>
      <c r="K26" s="46" t="inlineStr">
        <is>
          <t>warehouse-movements-2026-08.csv</t>
        </is>
      </c>
      <c r="L26" s="46" t="inlineStr">
        <is>
          <t>August outbound summary (FEFO)</t>
        </is>
      </c>
      <c r="M26" s="51">
        <f>IF(NOT(ISNUMBER($E26)),"",IF($C26="Receipt",$E26,IF($C26="Shipment",-$E26,IF($C26="Adjustment",$E26,0))))</f>
        <v>-458</v>
      </c>
      <c r="N26" s="49" t="str">
        <f>IF($D26="","",IFERROR(INDEX(Products!$B$2:$B$101,MATCH($D26,Products!$A$2:$A$101,0))&amp;"","(not found)"))</f>
        <v>Protein Bar, Cookie Dough, 12-pack</v>
      </c>
      <c r="O26" s="49" t="str">
        <f>IF($F26="","",IFERROR(INDEX(Batches!$B$2:$B$301,MATCH($F26,Batches!$A$2:$A$301,0))&amp;"","(not found)"))</f>
        <v>BAR-CKD-12</v>
      </c>
      <c r="P26" s="49" t="str">
        <f>IF(COUNTA($A26:$L26)=0,"",IF($A26="","Missing: entry ID",IF(COUNTIF($A$2:$A$2001,$A26)&gt;1,"Duplicate entry ID",IF(NOT(ISNUMBER($B26)),"Missing or invalid: date",IF($C26="","Missing: type",IF($D26="","Missing: SKU",IF(NOT(ISNUMBER($E26)),"Missing: qty",IF($F26="","Missing: lot",IF($I26="","Missing: source link",IF(COUNTIF(Config!$A$15:$A$34,$C26)=0,"Unsupported type",IF(COUNTIF(Products!$A$2:$A$101,$D26)=0,"Unknown SKU",IF(COUNTIFS(Batches!$A$2:$A$301,$F26,Batches!$B$2:$B$301,$D26)=0,"Unknown lot for this SKU",IF(AND($C26="Adjustment",$G26=""),"Missing: reason",IF(AND($G26&lt;&gt;"",COUNTIF(Config!$B$15:$B$34,$G26)=0),"Unsupported reason",IF(OR(INT($E26)&lt;&gt;$E26,AND(OR($C26="Receipt",$C26="Shipment"),$E26&lt;=0),AND($C26="Adjustment",$E26=0)),"Invalid qty",IF($B26&gt;Config!$B$4,"Date after the as-of date",IF($B26&lt;Config!$B$5,"Date before the opening balance date","OK")))))))))))))))))</f>
        <v>OK</v>
      </c>
    </row>
    <row r="27">
      <c r="A27" s="46" t="inlineStr">
        <is>
          <t>MV-2608-011</t>
        </is>
      </c>
      <c r="B27" s="54" t="n">
        <v>46265</v>
      </c>
      <c r="C27" s="46" t="inlineStr">
        <is>
          <t>Shipment</t>
        </is>
      </c>
      <c r="D27" s="46" t="inlineStr">
        <is>
          <t>CRE-UNF-300G</t>
        </is>
      </c>
      <c r="E27" s="55" t="n">
        <v>264</v>
      </c>
      <c r="F27" s="46" t="inlineStr">
        <is>
          <t>CRT2502A</t>
        </is>
      </c>
      <c r="G27" s="46" t="n"/>
      <c r="H27" s="46" t="inlineStr">
        <is>
          <t>OB-2608</t>
        </is>
      </c>
      <c r="I27" s="46" t="inlineStr">
        <is>
          <t>https://example.com/3pl/outbound/2026-08</t>
        </is>
      </c>
      <c r="J27" s="46" t="inlineStr">
        <is>
          <t>3PL import</t>
        </is>
      </c>
      <c r="K27" s="46" t="inlineStr">
        <is>
          <t>warehouse-movements-2026-08.csv</t>
        </is>
      </c>
      <c r="L27" s="46" t="inlineStr">
        <is>
          <t>August outbound summary (FEFO)</t>
        </is>
      </c>
      <c r="M27" s="51">
        <f>IF(NOT(ISNUMBER($E27)),"",IF($C27="Receipt",$E27,IF($C27="Shipment",-$E27,IF($C27="Adjustment",$E27,0))))</f>
        <v>-264</v>
      </c>
      <c r="N27" s="49" t="str">
        <f>IF($D27="","",IFERROR(INDEX(Products!$B$2:$B$101,MATCH($D27,Products!$A$2:$A$101,0))&amp;"","(not found)"))</f>
        <v>Creatine Monohydrate, Unflavoured, 300 g</v>
      </c>
      <c r="O27" s="49" t="str">
        <f>IF($F27="","",IFERROR(INDEX(Batches!$B$2:$B$301,MATCH($F27,Batches!$A$2:$A$301,0))&amp;"","(not found)"))</f>
        <v>CRE-UNF-300G</v>
      </c>
      <c r="P27" s="49" t="str">
        <f>IF(COUNTA($A27:$L27)=0,"",IF($A27="","Missing: entry ID",IF(COUNTIF($A$2:$A$2001,$A27)&gt;1,"Duplicate entry ID",IF(NOT(ISNUMBER($B27)),"Missing or invalid: date",IF($C27="","Missing: type",IF($D27="","Missing: SKU",IF(NOT(ISNUMBER($E27)),"Missing: qty",IF($F27="","Missing: lot",IF($I27="","Missing: source link",IF(COUNTIF(Config!$A$15:$A$34,$C27)=0,"Unsupported type",IF(COUNTIF(Products!$A$2:$A$101,$D27)=0,"Unknown SKU",IF(COUNTIFS(Batches!$A$2:$A$301,$F27,Batches!$B$2:$B$301,$D27)=0,"Unknown lot for this SKU",IF(AND($C27="Adjustment",$G27=""),"Missing: reason",IF(AND($G27&lt;&gt;"",COUNTIF(Config!$B$15:$B$34,$G27)=0),"Unsupported reason",IF(OR(INT($E27)&lt;&gt;$E27,AND(OR($C27="Receipt",$C27="Shipment"),$E27&lt;=0),AND($C27="Adjustment",$E27=0)),"Invalid qty",IF($B27&gt;Config!$B$4,"Date after the as-of date",IF($B27&lt;Config!$B$5,"Date before the opening balance date","OK")))))))))))))))))</f>
        <v>OK</v>
      </c>
    </row>
    <row r="28">
      <c r="A28" s="46" t="inlineStr">
        <is>
          <t>MV-2608-012</t>
        </is>
      </c>
      <c r="B28" s="54" t="n">
        <v>46265</v>
      </c>
      <c r="C28" s="46" t="inlineStr">
        <is>
          <t>Shipment</t>
        </is>
      </c>
      <c r="D28" s="46" t="inlineStr">
        <is>
          <t>CRE-UNF-300G</t>
        </is>
      </c>
      <c r="E28" s="55" t="n">
        <v>12</v>
      </c>
      <c r="F28" s="46" t="inlineStr">
        <is>
          <t>CRT2505A</t>
        </is>
      </c>
      <c r="G28" s="46" t="n"/>
      <c r="H28" s="46" t="inlineStr">
        <is>
          <t>OB-2608</t>
        </is>
      </c>
      <c r="I28" s="46" t="inlineStr">
        <is>
          <t>https://example.com/3pl/outbound/2026-08</t>
        </is>
      </c>
      <c r="J28" s="46" t="inlineStr">
        <is>
          <t>3PL import</t>
        </is>
      </c>
      <c r="K28" s="46" t="inlineStr">
        <is>
          <t>warehouse-movements-2026-08.csv</t>
        </is>
      </c>
      <c r="L28" s="46" t="inlineStr">
        <is>
          <t>August outbound summary (FEFO)</t>
        </is>
      </c>
      <c r="M28" s="51">
        <f>IF(NOT(ISNUMBER($E28)),"",IF($C28="Receipt",$E28,IF($C28="Shipment",-$E28,IF($C28="Adjustment",$E28,0))))</f>
        <v>-12</v>
      </c>
      <c r="N28" s="49" t="str">
        <f>IF($D28="","",IFERROR(INDEX(Products!$B$2:$B$101,MATCH($D28,Products!$A$2:$A$101,0))&amp;"","(not found)"))</f>
        <v>Creatine Monohydrate, Unflavoured, 300 g</v>
      </c>
      <c r="O28" s="49" t="str">
        <f>IF($F28="","",IFERROR(INDEX(Batches!$B$2:$B$301,MATCH($F28,Batches!$A$2:$A$301,0))&amp;"","(not found)"))</f>
        <v>CRE-UNF-300G</v>
      </c>
      <c r="P28" s="49" t="str">
        <f>IF(COUNTA($A28:$L28)=0,"",IF($A28="","Missing: entry ID",IF(COUNTIF($A$2:$A$2001,$A28)&gt;1,"Duplicate entry ID",IF(NOT(ISNUMBER($B28)),"Missing or invalid: date",IF($C28="","Missing: type",IF($D28="","Missing: SKU",IF(NOT(ISNUMBER($E28)),"Missing: qty",IF($F28="","Missing: lot",IF($I28="","Missing: source link",IF(COUNTIF(Config!$A$15:$A$34,$C28)=0,"Unsupported type",IF(COUNTIF(Products!$A$2:$A$101,$D28)=0,"Unknown SKU",IF(COUNTIFS(Batches!$A$2:$A$301,$F28,Batches!$B$2:$B$301,$D28)=0,"Unknown lot for this SKU",IF(AND($C28="Adjustment",$G28=""),"Missing: reason",IF(AND($G28&lt;&gt;"",COUNTIF(Config!$B$15:$B$34,$G28)=0),"Unsupported reason",IF(OR(INT($E28)&lt;&gt;$E28,AND(OR($C28="Receipt",$C28="Shipment"),$E28&lt;=0),AND($C28="Adjustment",$E28=0)),"Invalid qty",IF($B28&gt;Config!$B$4,"Date after the as-of date",IF($B28&lt;Config!$B$5,"Date before the opening balance date","OK")))))))))))))))))</f>
        <v>OK</v>
      </c>
    </row>
    <row r="29">
      <c r="A29" s="46" t="inlineStr">
        <is>
          <t>MV-2608-013</t>
        </is>
      </c>
      <c r="B29" s="54" t="n">
        <v>46265</v>
      </c>
      <c r="C29" s="46" t="inlineStr">
        <is>
          <t>Shipment</t>
        </is>
      </c>
      <c r="D29" s="46" t="inlineStr">
        <is>
          <t>CRE-UNF-500G</t>
        </is>
      </c>
      <c r="E29" s="55" t="n">
        <v>103</v>
      </c>
      <c r="F29" s="46" t="inlineStr">
        <is>
          <t>CRL2504A</t>
        </is>
      </c>
      <c r="G29" s="46" t="n"/>
      <c r="H29" s="46" t="inlineStr">
        <is>
          <t>OB-2608</t>
        </is>
      </c>
      <c r="I29" s="46" t="inlineStr">
        <is>
          <t>https://example.com/3pl/outbound/2026-08</t>
        </is>
      </c>
      <c r="J29" s="46" t="inlineStr">
        <is>
          <t>3PL import</t>
        </is>
      </c>
      <c r="K29" s="46" t="inlineStr">
        <is>
          <t>warehouse-movements-2026-08.csv</t>
        </is>
      </c>
      <c r="L29" s="46" t="inlineStr">
        <is>
          <t>August outbound summary (FEFO)</t>
        </is>
      </c>
      <c r="M29" s="51">
        <f>IF(NOT(ISNUMBER($E29)),"",IF($C29="Receipt",$E29,IF($C29="Shipment",-$E29,IF($C29="Adjustment",$E29,0))))</f>
        <v>-103</v>
      </c>
      <c r="N29" s="49" t="str">
        <f>IF($D29="","",IFERROR(INDEX(Products!$B$2:$B$101,MATCH($D29,Products!$A$2:$A$101,0))&amp;"","(not found)"))</f>
        <v>Creatine Monohydrate, Unflavoured, 500 g</v>
      </c>
      <c r="O29" s="49" t="str">
        <f>IF($F29="","",IFERROR(INDEX(Batches!$B$2:$B$301,MATCH($F29,Batches!$A$2:$A$301,0))&amp;"","(not found)"))</f>
        <v>CRE-UNF-500G</v>
      </c>
      <c r="P29" s="49" t="str">
        <f>IF(COUNTA($A29:$L29)=0,"",IF($A29="","Missing: entry ID",IF(COUNTIF($A$2:$A$2001,$A29)&gt;1,"Duplicate entry ID",IF(NOT(ISNUMBER($B29)),"Missing or invalid: date",IF($C29="","Missing: type",IF($D29="","Missing: SKU",IF(NOT(ISNUMBER($E29)),"Missing: qty",IF($F29="","Missing: lot",IF($I29="","Missing: source link",IF(COUNTIF(Config!$A$15:$A$34,$C29)=0,"Unsupported type",IF(COUNTIF(Products!$A$2:$A$101,$D29)=0,"Unknown SKU",IF(COUNTIFS(Batches!$A$2:$A$301,$F29,Batches!$B$2:$B$301,$D29)=0,"Unknown lot for this SKU",IF(AND($C29="Adjustment",$G29=""),"Missing: reason",IF(AND($G29&lt;&gt;"",COUNTIF(Config!$B$15:$B$34,$G29)=0),"Unsupported reason",IF(OR(INT($E29)&lt;&gt;$E29,AND(OR($C29="Receipt",$C29="Shipment"),$E29&lt;=0),AND($C29="Adjustment",$E29=0)),"Invalid qty",IF($B29&gt;Config!$B$4,"Date after the as-of date",IF($B29&lt;Config!$B$5,"Date before the opening balance date","OK")))))))))))))))))</f>
        <v>OK</v>
      </c>
    </row>
    <row r="30">
      <c r="A30" s="46" t="inlineStr">
        <is>
          <t>MV-2608-014</t>
        </is>
      </c>
      <c r="B30" s="54" t="n">
        <v>46265</v>
      </c>
      <c r="C30" s="46" t="inlineStr">
        <is>
          <t>Shipment</t>
        </is>
      </c>
      <c r="D30" s="46" t="inlineStr">
        <is>
          <t>PRE-BRZ-30</t>
        </is>
      </c>
      <c r="E30" s="55" t="n">
        <v>210</v>
      </c>
      <c r="F30" s="46" t="inlineStr">
        <is>
          <t>PBZ2501A</t>
        </is>
      </c>
      <c r="G30" s="46" t="n"/>
      <c r="H30" s="46" t="inlineStr">
        <is>
          <t>OB-2608</t>
        </is>
      </c>
      <c r="I30" s="46" t="inlineStr">
        <is>
          <t>https://example.com/3pl/outbound/2026-08</t>
        </is>
      </c>
      <c r="J30" s="46" t="inlineStr">
        <is>
          <t>3PL import</t>
        </is>
      </c>
      <c r="K30" s="46" t="inlineStr">
        <is>
          <t>warehouse-movements-2026-08.csv</t>
        </is>
      </c>
      <c r="L30" s="46" t="inlineStr">
        <is>
          <t>August outbound summary (FEFO)</t>
        </is>
      </c>
      <c r="M30" s="51">
        <f>IF(NOT(ISNUMBER($E30)),"",IF($C30="Receipt",$E30,IF($C30="Shipment",-$E30,IF($C30="Adjustment",$E30,0))))</f>
        <v>-210</v>
      </c>
      <c r="N30" s="49" t="str">
        <f>IF($D30="","",IFERROR(INDEX(Products!$B$2:$B$101,MATCH($D30,Products!$A$2:$A$101,0))&amp;"","(not found)"))</f>
        <v>Pre-Workout, Blue Raspberry, 30 servings</v>
      </c>
      <c r="O30" s="49" t="str">
        <f>IF($F30="","",IFERROR(INDEX(Batches!$B$2:$B$301,MATCH($F30,Batches!$A$2:$A$301,0))&amp;"","(not found)"))</f>
        <v>PRE-BRZ-30</v>
      </c>
      <c r="P30" s="49" t="str">
        <f>IF(COUNTA($A30:$L30)=0,"",IF($A30="","Missing: entry ID",IF(COUNTIF($A$2:$A$2001,$A30)&gt;1,"Duplicate entry ID",IF(NOT(ISNUMBER($B30)),"Missing or invalid: date",IF($C30="","Missing: type",IF($D30="","Missing: SKU",IF(NOT(ISNUMBER($E30)),"Missing: qty",IF($F30="","Missing: lot",IF($I30="","Missing: source link",IF(COUNTIF(Config!$A$15:$A$34,$C30)=0,"Unsupported type",IF(COUNTIF(Products!$A$2:$A$101,$D30)=0,"Unknown SKU",IF(COUNTIFS(Batches!$A$2:$A$301,$F30,Batches!$B$2:$B$301,$D30)=0,"Unknown lot for this SKU",IF(AND($C30="Adjustment",$G30=""),"Missing: reason",IF(AND($G30&lt;&gt;"",COUNTIF(Config!$B$15:$B$34,$G30)=0),"Unsupported reason",IF(OR(INT($E30)&lt;&gt;$E30,AND(OR($C30="Receipt",$C30="Shipment"),$E30&lt;=0),AND($C30="Adjustment",$E30=0)),"Invalid qty",IF($B30&gt;Config!$B$4,"Date after the as-of date",IF($B30&lt;Config!$B$5,"Date before the opening balance date","OK")))))))))))))))))</f>
        <v>OK</v>
      </c>
    </row>
    <row r="31">
      <c r="A31" s="46" t="inlineStr">
        <is>
          <t>MV-2608-015</t>
        </is>
      </c>
      <c r="B31" s="54" t="n">
        <v>46265</v>
      </c>
      <c r="C31" s="46" t="inlineStr">
        <is>
          <t>Shipment</t>
        </is>
      </c>
      <c r="D31" s="46" t="inlineStr">
        <is>
          <t>PRE-WTM-30</t>
        </is>
      </c>
      <c r="E31" s="55" t="n">
        <v>109</v>
      </c>
      <c r="F31" s="46" t="inlineStr">
        <is>
          <t>PWM2409A</t>
        </is>
      </c>
      <c r="G31" s="46" t="n"/>
      <c r="H31" s="46" t="inlineStr">
        <is>
          <t>OB-2608</t>
        </is>
      </c>
      <c r="I31" s="46" t="inlineStr">
        <is>
          <t>https://example.com/3pl/outbound/2026-08</t>
        </is>
      </c>
      <c r="J31" s="46" t="inlineStr">
        <is>
          <t>3PL import</t>
        </is>
      </c>
      <c r="K31" s="46" t="inlineStr">
        <is>
          <t>warehouse-movements-2026-08.csv</t>
        </is>
      </c>
      <c r="L31" s="46" t="inlineStr">
        <is>
          <t>August outbound summary (FEFO)</t>
        </is>
      </c>
      <c r="M31" s="51">
        <f>IF(NOT(ISNUMBER($E31)),"",IF($C31="Receipt",$E31,IF($C31="Shipment",-$E31,IF($C31="Adjustment",$E31,0))))</f>
        <v>-109</v>
      </c>
      <c r="N31" s="49" t="str">
        <f>IF($D31="","",IFERROR(INDEX(Products!$B$2:$B$101,MATCH($D31,Products!$A$2:$A$101,0))&amp;"","(not found)"))</f>
        <v>Pre-Workout, Watermelon, 30 servings</v>
      </c>
      <c r="O31" s="49" t="str">
        <f>IF($F31="","",IFERROR(INDEX(Batches!$B$2:$B$301,MATCH($F31,Batches!$A$2:$A$301,0))&amp;"","(not found)"))</f>
        <v>PRE-WTM-30</v>
      </c>
      <c r="P31" s="49" t="str">
        <f>IF(COUNTA($A31:$L31)=0,"",IF($A31="","Missing: entry ID",IF(COUNTIF($A$2:$A$2001,$A31)&gt;1,"Duplicate entry ID",IF(NOT(ISNUMBER($B31)),"Missing or invalid: date",IF($C31="","Missing: type",IF($D31="","Missing: SKU",IF(NOT(ISNUMBER($E31)),"Missing: qty",IF($F31="","Missing: lot",IF($I31="","Missing: source link",IF(COUNTIF(Config!$A$15:$A$34,$C31)=0,"Unsupported type",IF(COUNTIF(Products!$A$2:$A$101,$D31)=0,"Unknown SKU",IF(COUNTIFS(Batches!$A$2:$A$301,$F31,Batches!$B$2:$B$301,$D31)=0,"Unknown lot for this SKU",IF(AND($C31="Adjustment",$G31=""),"Missing: reason",IF(AND($G31&lt;&gt;"",COUNTIF(Config!$B$15:$B$34,$G31)=0),"Unsupported reason",IF(OR(INT($E31)&lt;&gt;$E31,AND(OR($C31="Receipt",$C31="Shipment"),$E31&lt;=0),AND($C31="Adjustment",$E31=0)),"Invalid qty",IF($B31&gt;Config!$B$4,"Date after the as-of date",IF($B31&lt;Config!$B$5,"Date before the opening balance date","OK")))))))))))))))))</f>
        <v>OK</v>
      </c>
    </row>
    <row r="32">
      <c r="A32" s="46" t="inlineStr">
        <is>
          <t>MV-2608-016</t>
        </is>
      </c>
      <c r="B32" s="54" t="n">
        <v>46265</v>
      </c>
      <c r="C32" s="46" t="inlineStr">
        <is>
          <t>Shipment</t>
        </is>
      </c>
      <c r="D32" s="46" t="inlineStr">
        <is>
          <t>CAS-CHO-2LB</t>
        </is>
      </c>
      <c r="E32" s="55" t="n">
        <v>63</v>
      </c>
      <c r="F32" s="46" t="inlineStr">
        <is>
          <t>CCA2412A</t>
        </is>
      </c>
      <c r="G32" s="46" t="n"/>
      <c r="H32" s="46" t="inlineStr">
        <is>
          <t>OB-2608</t>
        </is>
      </c>
      <c r="I32" s="46" t="inlineStr">
        <is>
          <t>https://example.com/3pl/outbound/2026-08</t>
        </is>
      </c>
      <c r="J32" s="46" t="inlineStr">
        <is>
          <t>3PL import</t>
        </is>
      </c>
      <c r="K32" s="46" t="inlineStr">
        <is>
          <t>warehouse-movements-2026-08.csv</t>
        </is>
      </c>
      <c r="L32" s="46" t="inlineStr">
        <is>
          <t>August outbound summary (FEFO)</t>
        </is>
      </c>
      <c r="M32" s="51">
        <f>IF(NOT(ISNUMBER($E32)),"",IF($C32="Receipt",$E32,IF($C32="Shipment",-$E32,IF($C32="Adjustment",$E32,0))))</f>
        <v>-63</v>
      </c>
      <c r="N32" s="49" t="str">
        <f>IF($D32="","",IFERROR(INDEX(Products!$B$2:$B$101,MATCH($D32,Products!$A$2:$A$101,0))&amp;"","(not found)"))</f>
        <v>Micellar Casein, Chocolate, 2 lb</v>
      </c>
      <c r="O32" s="49" t="str">
        <f>IF($F32="","",IFERROR(INDEX(Batches!$B$2:$B$301,MATCH($F32,Batches!$A$2:$A$301,0))&amp;"","(not found)"))</f>
        <v>CAS-CHO-2LB</v>
      </c>
      <c r="P32" s="49" t="str">
        <f>IF(COUNTA($A32:$L32)=0,"",IF($A32="","Missing: entry ID",IF(COUNTIF($A$2:$A$2001,$A32)&gt;1,"Duplicate entry ID",IF(NOT(ISNUMBER($B32)),"Missing or invalid: date",IF($C32="","Missing: type",IF($D32="","Missing: SKU",IF(NOT(ISNUMBER($E32)),"Missing: qty",IF($F32="","Missing: lot",IF($I32="","Missing: source link",IF(COUNTIF(Config!$A$15:$A$34,$C32)=0,"Unsupported type",IF(COUNTIF(Products!$A$2:$A$101,$D32)=0,"Unknown SKU",IF(COUNTIFS(Batches!$A$2:$A$301,$F32,Batches!$B$2:$B$301,$D32)=0,"Unknown lot for this SKU",IF(AND($C32="Adjustment",$G32=""),"Missing: reason",IF(AND($G32&lt;&gt;"",COUNTIF(Config!$B$15:$B$34,$G32)=0),"Unsupported reason",IF(OR(INT($E32)&lt;&gt;$E32,AND(OR($C32="Receipt",$C32="Shipment"),$E32&lt;=0),AND($C32="Adjustment",$E32=0)),"Invalid qty",IF($B32&gt;Config!$B$4,"Date after the as-of date",IF($B32&lt;Config!$B$5,"Date before the opening balance date","OK")))))))))))))))))</f>
        <v>OK</v>
      </c>
    </row>
    <row r="33">
      <c r="A33" s="46" t="inlineStr">
        <is>
          <t>MV-2609-001</t>
        </is>
      </c>
      <c r="B33" s="54" t="n">
        <v>46274</v>
      </c>
      <c r="C33" s="46" t="inlineStr">
        <is>
          <t>Receipt</t>
        </is>
      </c>
      <c r="D33" s="46" t="inlineStr">
        <is>
          <t>BAR-CKD-12</t>
        </is>
      </c>
      <c r="E33" s="55" t="n">
        <v>1500</v>
      </c>
      <c r="F33" s="46" t="inlineStr">
        <is>
          <t>CKD2608A</t>
        </is>
      </c>
      <c r="G33" s="46" t="n"/>
      <c r="H33" s="46" t="inlineStr">
        <is>
          <t>PO-2026-024</t>
        </is>
      </c>
      <c r="I33" s="46" t="inlineStr">
        <is>
          <t>https://example.com/3pl/receiving/PO-2026-024</t>
        </is>
      </c>
      <c r="J33" s="46" t="inlineStr">
        <is>
          <t>3PL import</t>
        </is>
      </c>
      <c r="K33" s="46" t="inlineStr">
        <is>
          <t>warehouse-movements-2026-09.csv</t>
        </is>
      </c>
      <c r="L33" s="46" t="inlineStr">
        <is>
          <t>Received against PO-2026-024</t>
        </is>
      </c>
      <c r="M33" s="51">
        <f>IF(NOT(ISNUMBER($E33)),"",IF($C33="Receipt",$E33,IF($C33="Shipment",-$E33,IF($C33="Adjustment",$E33,0))))</f>
        <v>1500</v>
      </c>
      <c r="N33" s="49" t="str">
        <f>IF($D33="","",IFERROR(INDEX(Products!$B$2:$B$101,MATCH($D33,Products!$A$2:$A$101,0))&amp;"","(not found)"))</f>
        <v>Protein Bar, Cookie Dough, 12-pack</v>
      </c>
      <c r="O33" s="49" t="str">
        <f>IF($F33="","",IFERROR(INDEX(Batches!$B$2:$B$301,MATCH($F33,Batches!$A$2:$A$301,0))&amp;"","(not found)"))</f>
        <v>BAR-CKD-12</v>
      </c>
      <c r="P33" s="49" t="str">
        <f>IF(COUNTA($A33:$L33)=0,"",IF($A33="","Missing: entry ID",IF(COUNTIF($A$2:$A$2001,$A33)&gt;1,"Duplicate entry ID",IF(NOT(ISNUMBER($B33)),"Missing or invalid: date",IF($C33="","Missing: type",IF($D33="","Missing: SKU",IF(NOT(ISNUMBER($E33)),"Missing: qty",IF($F33="","Missing: lot",IF($I33="","Missing: source link",IF(COUNTIF(Config!$A$15:$A$34,$C33)=0,"Unsupported type",IF(COUNTIF(Products!$A$2:$A$101,$D33)=0,"Unknown SKU",IF(COUNTIFS(Batches!$A$2:$A$301,$F33,Batches!$B$2:$B$301,$D33)=0,"Unknown lot for this SKU",IF(AND($C33="Adjustment",$G33=""),"Missing: reason",IF(AND($G33&lt;&gt;"",COUNTIF(Config!$B$15:$B$34,$G33)=0),"Unsupported reason",IF(OR(INT($E33)&lt;&gt;$E33,AND(OR($C33="Receipt",$C33="Shipment"),$E33&lt;=0),AND($C33="Adjustment",$E33=0)),"Invalid qty",IF($B33&gt;Config!$B$4,"Date after the as-of date",IF($B33&lt;Config!$B$5,"Date before the opening balance date","OK")))))))))))))))))</f>
        <v>OK</v>
      </c>
    </row>
    <row r="34">
      <c r="A34" s="46" t="inlineStr">
        <is>
          <t>MV-2609-002</t>
        </is>
      </c>
      <c r="B34" s="54" t="n">
        <v>46280</v>
      </c>
      <c r="C34" s="46" t="inlineStr">
        <is>
          <t>Receipt</t>
        </is>
      </c>
      <c r="D34" s="46" t="inlineStr">
        <is>
          <t>PRE-BRZ-30</t>
        </is>
      </c>
      <c r="E34" s="55" t="n">
        <v>800</v>
      </c>
      <c r="F34" s="46" t="inlineStr">
        <is>
          <t>PBZ2609A</t>
        </is>
      </c>
      <c r="G34" s="46" t="n"/>
      <c r="H34" s="46" t="inlineStr">
        <is>
          <t>PO-2026-025</t>
        </is>
      </c>
      <c r="I34" s="46" t="inlineStr">
        <is>
          <t>https://example.com/3pl/receiving/PO-2026-025</t>
        </is>
      </c>
      <c r="J34" s="46" t="inlineStr">
        <is>
          <t>3PL import</t>
        </is>
      </c>
      <c r="K34" s="46" t="inlineStr">
        <is>
          <t>warehouse-movements-2026-09.csv</t>
        </is>
      </c>
      <c r="L34" s="46" t="inlineStr">
        <is>
          <t>Received against PO-2026-025</t>
        </is>
      </c>
      <c r="M34" s="51">
        <f>IF(NOT(ISNUMBER($E34)),"",IF($C34="Receipt",$E34,IF($C34="Shipment",-$E34,IF($C34="Adjustment",$E34,0))))</f>
        <v>800</v>
      </c>
      <c r="N34" s="49" t="str">
        <f>IF($D34="","",IFERROR(INDEX(Products!$B$2:$B$101,MATCH($D34,Products!$A$2:$A$101,0))&amp;"","(not found)"))</f>
        <v>Pre-Workout, Blue Raspberry, 30 servings</v>
      </c>
      <c r="O34" s="49" t="str">
        <f>IF($F34="","",IFERROR(INDEX(Batches!$B$2:$B$301,MATCH($F34,Batches!$A$2:$A$301,0))&amp;"","(not found)"))</f>
        <v>PRE-BRZ-30</v>
      </c>
      <c r="P34" s="49" t="str">
        <f>IF(COUNTA($A34:$L34)=0,"",IF($A34="","Missing: entry ID",IF(COUNTIF($A$2:$A$2001,$A34)&gt;1,"Duplicate entry ID",IF(NOT(ISNUMBER($B34)),"Missing or invalid: date",IF($C34="","Missing: type",IF($D34="","Missing: SKU",IF(NOT(ISNUMBER($E34)),"Missing: qty",IF($F34="","Missing: lot",IF($I34="","Missing: source link",IF(COUNTIF(Config!$A$15:$A$34,$C34)=0,"Unsupported type",IF(COUNTIF(Products!$A$2:$A$101,$D34)=0,"Unknown SKU",IF(COUNTIFS(Batches!$A$2:$A$301,$F34,Batches!$B$2:$B$301,$D34)=0,"Unknown lot for this SKU",IF(AND($C34="Adjustment",$G34=""),"Missing: reason",IF(AND($G34&lt;&gt;"",COUNTIF(Config!$B$15:$B$34,$G34)=0),"Unsupported reason",IF(OR(INT($E34)&lt;&gt;$E34,AND(OR($C34="Receipt",$C34="Shipment"),$E34&lt;=0),AND($C34="Adjustment",$E34=0)),"Invalid qty",IF($B34&gt;Config!$B$4,"Date after the as-of date",IF($B34&lt;Config!$B$5,"Date before the opening balance date","OK")))))))))))))))))</f>
        <v>OK</v>
      </c>
    </row>
    <row r="35">
      <c r="A35" s="46" t="inlineStr">
        <is>
          <t>ADJ-2609-001</t>
        </is>
      </c>
      <c r="B35" s="54" t="n">
        <v>46287</v>
      </c>
      <c r="C35" s="46" t="inlineStr">
        <is>
          <t>Adjustment</t>
        </is>
      </c>
      <c r="D35" s="46" t="inlineStr">
        <is>
          <t>PRE-WTM-30</t>
        </is>
      </c>
      <c r="E35" s="55" t="n">
        <v>-24</v>
      </c>
      <c r="F35" s="46" t="inlineStr">
        <is>
          <t>PWM2409A</t>
        </is>
      </c>
      <c r="G35" s="46" t="inlineStr">
        <is>
          <t>Expired write-off</t>
        </is>
      </c>
      <c r="H35" s="46" t="inlineStr">
        <is>
          <t>QA-0922</t>
        </is>
      </c>
      <c r="I35" s="46" t="inlineStr">
        <is>
          <t>https://example.com/ops/adjustments/ADJ-2609-001</t>
        </is>
      </c>
      <c r="J35" s="46" t="inlineStr">
        <is>
          <t>Priya Nair</t>
        </is>
      </c>
      <c r="K35" s="46" t="n"/>
      <c r="L35" s="46" t="inlineStr">
        <is>
          <t>Lot expired 2026-09-20; destroyed under SOP DOC-007</t>
        </is>
      </c>
      <c r="M35" s="51">
        <f>IF(NOT(ISNUMBER($E35)),"",IF($C35="Receipt",$E35,IF($C35="Shipment",-$E35,IF($C35="Adjustment",$E35,0))))</f>
        <v>-24</v>
      </c>
      <c r="N35" s="49" t="str">
        <f>IF($D35="","",IFERROR(INDEX(Products!$B$2:$B$101,MATCH($D35,Products!$A$2:$A$101,0))&amp;"","(not found)"))</f>
        <v>Pre-Workout, Watermelon, 30 servings</v>
      </c>
      <c r="O35" s="49" t="str">
        <f>IF($F35="","",IFERROR(INDEX(Batches!$B$2:$B$301,MATCH($F35,Batches!$A$2:$A$301,0))&amp;"","(not found)"))</f>
        <v>PRE-WTM-30</v>
      </c>
      <c r="P35" s="49" t="str">
        <f>IF(COUNTA($A35:$L35)=0,"",IF($A35="","Missing: entry ID",IF(COUNTIF($A$2:$A$2001,$A35)&gt;1,"Duplicate entry ID",IF(NOT(ISNUMBER($B35)),"Missing or invalid: date",IF($C35="","Missing: type",IF($D35="","Missing: SKU",IF(NOT(ISNUMBER($E35)),"Missing: qty",IF($F35="","Missing: lot",IF($I35="","Missing: source link",IF(COUNTIF(Config!$A$15:$A$34,$C35)=0,"Unsupported type",IF(COUNTIF(Products!$A$2:$A$101,$D35)=0,"Unknown SKU",IF(COUNTIFS(Batches!$A$2:$A$301,$F35,Batches!$B$2:$B$301,$D35)=0,"Unknown lot for this SKU",IF(AND($C35="Adjustment",$G35=""),"Missing: reason",IF(AND($G35&lt;&gt;"",COUNTIF(Config!$B$15:$B$34,$G35)=0),"Unsupported reason",IF(OR(INT($E35)&lt;&gt;$E35,AND(OR($C35="Receipt",$C35="Shipment"),$E35&lt;=0),AND($C35="Adjustment",$E35=0)),"Invalid qty",IF($B35&gt;Config!$B$4,"Date after the as-of date",IF($B35&lt;Config!$B$5,"Date before the opening balance date","OK")))))))))))))))))</f>
        <v>OK</v>
      </c>
    </row>
    <row r="36">
      <c r="A36" s="46" t="inlineStr">
        <is>
          <t>ADJ-2609-002</t>
        </is>
      </c>
      <c r="B36" s="54" t="n">
        <v>46295</v>
      </c>
      <c r="C36" s="46" t="inlineStr">
        <is>
          <t>Adjustment</t>
        </is>
      </c>
      <c r="D36" s="46" t="inlineStr">
        <is>
          <t>CRE-UNF-300G</t>
        </is>
      </c>
      <c r="E36" s="55" t="n">
        <v>4</v>
      </c>
      <c r="F36" s="46" t="inlineStr">
        <is>
          <t>CRT2505A</t>
        </is>
      </c>
      <c r="G36" s="46" t="inlineStr">
        <is>
          <t>Cycle count</t>
        </is>
      </c>
      <c r="H36" s="46" t="inlineStr">
        <is>
          <t>CC-0930</t>
        </is>
      </c>
      <c r="I36" s="46" t="inlineStr">
        <is>
          <t>https://example.com/ops/adjustments/ADJ-2609-002</t>
        </is>
      </c>
      <c r="J36" s="46" t="inlineStr">
        <is>
          <t>Ben Okafor</t>
        </is>
      </c>
      <c r="K36" s="46" t="n"/>
      <c r="L36" s="46" t="inlineStr">
        <is>
          <t>Count found 4 more tubs than recorded</t>
        </is>
      </c>
      <c r="M36" s="51">
        <f>IF(NOT(ISNUMBER($E36)),"",IF($C36="Receipt",$E36,IF($C36="Shipment",-$E36,IF($C36="Adjustment",$E36,0))))</f>
        <v>4</v>
      </c>
      <c r="N36" s="49" t="str">
        <f>IF($D36="","",IFERROR(INDEX(Products!$B$2:$B$101,MATCH($D36,Products!$A$2:$A$101,0))&amp;"","(not found)"))</f>
        <v>Creatine Monohydrate, Unflavoured, 300 g</v>
      </c>
      <c r="O36" s="49" t="str">
        <f>IF($F36="","",IFERROR(INDEX(Batches!$B$2:$B$301,MATCH($F36,Batches!$A$2:$A$301,0))&amp;"","(not found)"))</f>
        <v>CRE-UNF-300G</v>
      </c>
      <c r="P36" s="49" t="str">
        <f>IF(COUNTA($A36:$L36)=0,"",IF($A36="","Missing: entry ID",IF(COUNTIF($A$2:$A$2001,$A36)&gt;1,"Duplicate entry ID",IF(NOT(ISNUMBER($B36)),"Missing or invalid: date",IF($C36="","Missing: type",IF($D36="","Missing: SKU",IF(NOT(ISNUMBER($E36)),"Missing: qty",IF($F36="","Missing: lot",IF($I36="","Missing: source link",IF(COUNTIF(Config!$A$15:$A$34,$C36)=0,"Unsupported type",IF(COUNTIF(Products!$A$2:$A$101,$D36)=0,"Unknown SKU",IF(COUNTIFS(Batches!$A$2:$A$301,$F36,Batches!$B$2:$B$301,$D36)=0,"Unknown lot for this SKU",IF(AND($C36="Adjustment",$G36=""),"Missing: reason",IF(AND($G36&lt;&gt;"",COUNTIF(Config!$B$15:$B$34,$G36)=0),"Unsupported reason",IF(OR(INT($E36)&lt;&gt;$E36,AND(OR($C36="Receipt",$C36="Shipment"),$E36&lt;=0),AND($C36="Adjustment",$E36=0)),"Invalid qty",IF($B36&gt;Config!$B$4,"Date after the as-of date",IF($B36&lt;Config!$B$5,"Date before the opening balance date","OK")))))))))))))))))</f>
        <v>OK</v>
      </c>
    </row>
    <row r="37">
      <c r="A37" s="46" t="inlineStr">
        <is>
          <t>MV-2609-003</t>
        </is>
      </c>
      <c r="B37" s="54" t="n">
        <v>46295</v>
      </c>
      <c r="C37" s="46" t="inlineStr">
        <is>
          <t>Shipment</t>
        </is>
      </c>
      <c r="D37" s="46" t="inlineStr">
        <is>
          <t>WPI-CHO-2LB</t>
        </is>
      </c>
      <c r="E37" s="55" t="n">
        <v>697</v>
      </c>
      <c r="F37" s="46" t="inlineStr">
        <is>
          <t>WCH2607A</t>
        </is>
      </c>
      <c r="G37" s="46" t="n"/>
      <c r="H37" s="46" t="inlineStr">
        <is>
          <t>OB-2609</t>
        </is>
      </c>
      <c r="I37" s="46" t="inlineStr">
        <is>
          <t>https://example.com/3pl/outbound/2026-09</t>
        </is>
      </c>
      <c r="J37" s="46" t="inlineStr">
        <is>
          <t>3PL import</t>
        </is>
      </c>
      <c r="K37" s="46" t="inlineStr">
        <is>
          <t>warehouse-movements-2026-09.csv</t>
        </is>
      </c>
      <c r="L37" s="46" t="inlineStr">
        <is>
          <t>September outbound summary (FEFO)</t>
        </is>
      </c>
      <c r="M37" s="51">
        <f>IF(NOT(ISNUMBER($E37)),"",IF($C37="Receipt",$E37,IF($C37="Shipment",-$E37,IF($C37="Adjustment",$E37,0))))</f>
        <v>-697</v>
      </c>
      <c r="N37" s="49" t="str">
        <f>IF($D37="","",IFERROR(INDEX(Products!$B$2:$B$101,MATCH($D37,Products!$A$2:$A$101,0))&amp;"","(not found)"))</f>
        <v>Whey Protein Isolate, Chocolate, 2 lb</v>
      </c>
      <c r="O37" s="49" t="str">
        <f>IF($F37="","",IFERROR(INDEX(Batches!$B$2:$B$301,MATCH($F37,Batches!$A$2:$A$301,0))&amp;"","(not found)"))</f>
        <v>WPI-CHO-2LB</v>
      </c>
      <c r="P37" s="49" t="str">
        <f>IF(COUNTA($A37:$L37)=0,"",IF($A37="","Missing: entry ID",IF(COUNTIF($A$2:$A$2001,$A37)&gt;1,"Duplicate entry ID",IF(NOT(ISNUMBER($B37)),"Missing or invalid: date",IF($C37="","Missing: type",IF($D37="","Missing: SKU",IF(NOT(ISNUMBER($E37)),"Missing: qty",IF($F37="","Missing: lot",IF($I37="","Missing: source link",IF(COUNTIF(Config!$A$15:$A$34,$C37)=0,"Unsupported type",IF(COUNTIF(Products!$A$2:$A$101,$D37)=0,"Unknown SKU",IF(COUNTIFS(Batches!$A$2:$A$301,$F37,Batches!$B$2:$B$301,$D37)=0,"Unknown lot for this SKU",IF(AND($C37="Adjustment",$G37=""),"Missing: reason",IF(AND($G37&lt;&gt;"",COUNTIF(Config!$B$15:$B$34,$G37)=0),"Unsupported reason",IF(OR(INT($E37)&lt;&gt;$E37,AND(OR($C37="Receipt",$C37="Shipment"),$E37&lt;=0),AND($C37="Adjustment",$E37=0)),"Invalid qty",IF($B37&gt;Config!$B$4,"Date after the as-of date",IF($B37&lt;Config!$B$5,"Date before the opening balance date","OK")))))))))))))))))</f>
        <v>OK</v>
      </c>
    </row>
    <row r="38">
      <c r="A38" s="46" t="inlineStr">
        <is>
          <t>MV-2609-004</t>
        </is>
      </c>
      <c r="B38" s="54" t="n">
        <v>46295</v>
      </c>
      <c r="C38" s="46" t="inlineStr">
        <is>
          <t>Shipment</t>
        </is>
      </c>
      <c r="D38" s="46" t="inlineStr">
        <is>
          <t>WPI-VAN-2LB</t>
        </is>
      </c>
      <c r="E38" s="55" t="n">
        <v>201</v>
      </c>
      <c r="F38" s="46" t="inlineStr">
        <is>
          <t>WVA2411A</t>
        </is>
      </c>
      <c r="G38" s="46" t="n"/>
      <c r="H38" s="46" t="inlineStr">
        <is>
          <t>OB-2609</t>
        </is>
      </c>
      <c r="I38" s="46" t="inlineStr">
        <is>
          <t>https://example.com/3pl/outbound/2026-09</t>
        </is>
      </c>
      <c r="J38" s="46" t="inlineStr">
        <is>
          <t>3PL import</t>
        </is>
      </c>
      <c r="K38" s="46" t="inlineStr">
        <is>
          <t>warehouse-movements-2026-09.csv</t>
        </is>
      </c>
      <c r="L38" s="46" t="inlineStr">
        <is>
          <t>September outbound summary (FEFO)</t>
        </is>
      </c>
      <c r="M38" s="51">
        <f>IF(NOT(ISNUMBER($E38)),"",IF($C38="Receipt",$E38,IF($C38="Shipment",-$E38,IF($C38="Adjustment",$E38,0))))</f>
        <v>-201</v>
      </c>
      <c r="N38" s="49" t="str">
        <f>IF($D38="","",IFERROR(INDEX(Products!$B$2:$B$101,MATCH($D38,Products!$A$2:$A$101,0))&amp;"","(not found)"))</f>
        <v>Whey Protein Isolate, Vanilla, 2 lb</v>
      </c>
      <c r="O38" s="49" t="str">
        <f>IF($F38="","",IFERROR(INDEX(Batches!$B$2:$B$301,MATCH($F38,Batches!$A$2:$A$301,0))&amp;"","(not found)"))</f>
        <v>WPI-VAN-2LB</v>
      </c>
      <c r="P38" s="49" t="str">
        <f>IF(COUNTA($A38:$L38)=0,"",IF($A38="","Missing: entry ID",IF(COUNTIF($A$2:$A$2001,$A38)&gt;1,"Duplicate entry ID",IF(NOT(ISNUMBER($B38)),"Missing or invalid: date",IF($C38="","Missing: type",IF($D38="","Missing: SKU",IF(NOT(ISNUMBER($E38)),"Missing: qty",IF($F38="","Missing: lot",IF($I38="","Missing: source link",IF(COUNTIF(Config!$A$15:$A$34,$C38)=0,"Unsupported type",IF(COUNTIF(Products!$A$2:$A$101,$D38)=0,"Unknown SKU",IF(COUNTIFS(Batches!$A$2:$A$301,$F38,Batches!$B$2:$B$301,$D38)=0,"Unknown lot for this SKU",IF(AND($C38="Adjustment",$G38=""),"Missing: reason",IF(AND($G38&lt;&gt;"",COUNTIF(Config!$B$15:$B$34,$G38)=0),"Unsupported reason",IF(OR(INT($E38)&lt;&gt;$E38,AND(OR($C38="Receipt",$C38="Shipment"),$E38&lt;=0),AND($C38="Adjustment",$E38=0)),"Invalid qty",IF($B38&gt;Config!$B$4,"Date after the as-of date",IF($B38&lt;Config!$B$5,"Date before the opening balance date","OK")))))))))))))))))</f>
        <v>OK</v>
      </c>
    </row>
    <row r="39">
      <c r="A39" s="46" t="inlineStr">
        <is>
          <t>MV-2609-005</t>
        </is>
      </c>
      <c r="B39" s="54" t="n">
        <v>46295</v>
      </c>
      <c r="C39" s="46" t="inlineStr">
        <is>
          <t>Shipment</t>
        </is>
      </c>
      <c r="D39" s="46" t="inlineStr">
        <is>
          <t>WPI-CHO-5LB</t>
        </is>
      </c>
      <c r="E39" s="55" t="n">
        <v>66</v>
      </c>
      <c r="F39" s="46" t="inlineStr">
        <is>
          <t>W5C2501A</t>
        </is>
      </c>
      <c r="G39" s="46" t="n"/>
      <c r="H39" s="46" t="inlineStr">
        <is>
          <t>OB-2609</t>
        </is>
      </c>
      <c r="I39" s="46" t="inlineStr">
        <is>
          <t>https://example.com/3pl/outbound/2026-09</t>
        </is>
      </c>
      <c r="J39" s="46" t="inlineStr">
        <is>
          <t>3PL import</t>
        </is>
      </c>
      <c r="K39" s="46" t="inlineStr">
        <is>
          <t>warehouse-movements-2026-09.csv</t>
        </is>
      </c>
      <c r="L39" s="46" t="inlineStr">
        <is>
          <t>September outbound summary (FEFO)</t>
        </is>
      </c>
      <c r="M39" s="51">
        <f>IF(NOT(ISNUMBER($E39)),"",IF($C39="Receipt",$E39,IF($C39="Shipment",-$E39,IF($C39="Adjustment",$E39,0))))</f>
        <v>-66</v>
      </c>
      <c r="N39" s="49" t="str">
        <f>IF($D39="","",IFERROR(INDEX(Products!$B$2:$B$101,MATCH($D39,Products!$A$2:$A$101,0))&amp;"","(not found)"))</f>
        <v>Whey Protein Isolate, Chocolate, 5 lb</v>
      </c>
      <c r="O39" s="49" t="str">
        <f>IF($F39="","",IFERROR(INDEX(Batches!$B$2:$B$301,MATCH($F39,Batches!$A$2:$A$301,0))&amp;"","(not found)"))</f>
        <v>WPI-CHO-5LB</v>
      </c>
      <c r="P39" s="49" t="str">
        <f>IF(COUNTA($A39:$L39)=0,"",IF($A39="","Missing: entry ID",IF(COUNTIF($A$2:$A$2001,$A39)&gt;1,"Duplicate entry ID",IF(NOT(ISNUMBER($B39)),"Missing or invalid: date",IF($C39="","Missing: type",IF($D39="","Missing: SKU",IF(NOT(ISNUMBER($E39)),"Missing: qty",IF($F39="","Missing: lot",IF($I39="","Missing: source link",IF(COUNTIF(Config!$A$15:$A$34,$C39)=0,"Unsupported type",IF(COUNTIF(Products!$A$2:$A$101,$D39)=0,"Unknown SKU",IF(COUNTIFS(Batches!$A$2:$A$301,$F39,Batches!$B$2:$B$301,$D39)=0,"Unknown lot for this SKU",IF(AND($C39="Adjustment",$G39=""),"Missing: reason",IF(AND($G39&lt;&gt;"",COUNTIF(Config!$B$15:$B$34,$G39)=0),"Unsupported reason",IF(OR(INT($E39)&lt;&gt;$E39,AND(OR($C39="Receipt",$C39="Shipment"),$E39&lt;=0),AND($C39="Adjustment",$E39=0)),"Invalid qty",IF($B39&gt;Config!$B$4,"Date after the as-of date",IF($B39&lt;Config!$B$5,"Date before the opening balance date","OK")))))))))))))))))</f>
        <v>OK</v>
      </c>
    </row>
    <row r="40">
      <c r="A40" s="46" t="inlineStr">
        <is>
          <t>MV-2609-006</t>
        </is>
      </c>
      <c r="B40" s="54" t="n">
        <v>46295</v>
      </c>
      <c r="C40" s="46" t="inlineStr">
        <is>
          <t>Shipment</t>
        </is>
      </c>
      <c r="D40" s="46" t="inlineStr">
        <is>
          <t>PLT-CHO-2LB</t>
        </is>
      </c>
      <c r="E40" s="55" t="n">
        <v>139</v>
      </c>
      <c r="F40" s="46" t="inlineStr">
        <is>
          <t>PCH2412A</t>
        </is>
      </c>
      <c r="G40" s="46" t="n"/>
      <c r="H40" s="46" t="inlineStr">
        <is>
          <t>OB-2609</t>
        </is>
      </c>
      <c r="I40" s="46" t="inlineStr">
        <is>
          <t>https://example.com/3pl/outbound/2026-09</t>
        </is>
      </c>
      <c r="J40" s="46" t="inlineStr">
        <is>
          <t>3PL import</t>
        </is>
      </c>
      <c r="K40" s="46" t="inlineStr">
        <is>
          <t>warehouse-movements-2026-09.csv</t>
        </is>
      </c>
      <c r="L40" s="46" t="inlineStr">
        <is>
          <t>September outbound summary (FEFO)</t>
        </is>
      </c>
      <c r="M40" s="51">
        <f>IF(NOT(ISNUMBER($E40)),"",IF($C40="Receipt",$E40,IF($C40="Shipment",-$E40,IF($C40="Adjustment",$E40,0))))</f>
        <v>-139</v>
      </c>
      <c r="N40" s="49" t="str">
        <f>IF($D40="","",IFERROR(INDEX(Products!$B$2:$B$101,MATCH($D40,Products!$A$2:$A$101,0))&amp;"","(not found)"))</f>
        <v>Plant Protein, Chocolate, 2 lb</v>
      </c>
      <c r="O40" s="49" t="str">
        <f>IF($F40="","",IFERROR(INDEX(Batches!$B$2:$B$301,MATCH($F40,Batches!$A$2:$A$301,0))&amp;"","(not found)"))</f>
        <v>PLT-CHO-2LB</v>
      </c>
      <c r="P40" s="49" t="str">
        <f>IF(COUNTA($A40:$L40)=0,"",IF($A40="","Missing: entry ID",IF(COUNTIF($A$2:$A$2001,$A40)&gt;1,"Duplicate entry ID",IF(NOT(ISNUMBER($B40)),"Missing or invalid: date",IF($C40="","Missing: type",IF($D40="","Missing: SKU",IF(NOT(ISNUMBER($E40)),"Missing: qty",IF($F40="","Missing: lot",IF($I40="","Missing: source link",IF(COUNTIF(Config!$A$15:$A$34,$C40)=0,"Unsupported type",IF(COUNTIF(Products!$A$2:$A$101,$D40)=0,"Unknown SKU",IF(COUNTIFS(Batches!$A$2:$A$301,$F40,Batches!$B$2:$B$301,$D40)=0,"Unknown lot for this SKU",IF(AND($C40="Adjustment",$G40=""),"Missing: reason",IF(AND($G40&lt;&gt;"",COUNTIF(Config!$B$15:$B$34,$G40)=0),"Unsupported reason",IF(OR(INT($E40)&lt;&gt;$E40,AND(OR($C40="Receipt",$C40="Shipment"),$E40&lt;=0),AND($C40="Adjustment",$E40=0)),"Invalid qty",IF($B40&gt;Config!$B$4,"Date after the as-of date",IF($B40&lt;Config!$B$5,"Date before the opening balance date","OK")))))))))))))))))</f>
        <v>OK</v>
      </c>
    </row>
    <row r="41">
      <c r="A41" s="46" t="inlineStr">
        <is>
          <t>MV-2609-007</t>
        </is>
      </c>
      <c r="B41" s="54" t="n">
        <v>46295</v>
      </c>
      <c r="C41" s="46" t="inlineStr">
        <is>
          <t>Shipment</t>
        </is>
      </c>
      <c r="D41" s="46" t="inlineStr">
        <is>
          <t>PLT-VAN-2LB</t>
        </is>
      </c>
      <c r="E41" s="55" t="n">
        <v>77</v>
      </c>
      <c r="F41" s="46" t="inlineStr">
        <is>
          <t>PVA2411A</t>
        </is>
      </c>
      <c r="G41" s="46" t="n"/>
      <c r="H41" s="46" t="inlineStr">
        <is>
          <t>OB-2609</t>
        </is>
      </c>
      <c r="I41" s="46" t="inlineStr">
        <is>
          <t>https://example.com/3pl/outbound/2026-09</t>
        </is>
      </c>
      <c r="J41" s="46" t="inlineStr">
        <is>
          <t>3PL import</t>
        </is>
      </c>
      <c r="K41" s="46" t="inlineStr">
        <is>
          <t>warehouse-movements-2026-09.csv</t>
        </is>
      </c>
      <c r="L41" s="46" t="inlineStr">
        <is>
          <t>September outbound summary (FEFO)</t>
        </is>
      </c>
      <c r="M41" s="51">
        <f>IF(NOT(ISNUMBER($E41)),"",IF($C41="Receipt",$E41,IF($C41="Shipment",-$E41,IF($C41="Adjustment",$E41,0))))</f>
        <v>-77</v>
      </c>
      <c r="N41" s="49" t="str">
        <f>IF($D41="","",IFERROR(INDEX(Products!$B$2:$B$101,MATCH($D41,Products!$A$2:$A$101,0))&amp;"","(not found)"))</f>
        <v>Plant Protein, Vanilla, 2 lb</v>
      </c>
      <c r="O41" s="49" t="str">
        <f>IF($F41="","",IFERROR(INDEX(Batches!$B$2:$B$301,MATCH($F41,Batches!$A$2:$A$301,0))&amp;"","(not found)"))</f>
        <v>PLT-VAN-2LB</v>
      </c>
      <c r="P41" s="49" t="str">
        <f>IF(COUNTA($A41:$L41)=0,"",IF($A41="","Missing: entry ID",IF(COUNTIF($A$2:$A$2001,$A41)&gt;1,"Duplicate entry ID",IF(NOT(ISNUMBER($B41)),"Missing or invalid: date",IF($C41="","Missing: type",IF($D41="","Missing: SKU",IF(NOT(ISNUMBER($E41)),"Missing: qty",IF($F41="","Missing: lot",IF($I41="","Missing: source link",IF(COUNTIF(Config!$A$15:$A$34,$C41)=0,"Unsupported type",IF(COUNTIF(Products!$A$2:$A$101,$D41)=0,"Unknown SKU",IF(COUNTIFS(Batches!$A$2:$A$301,$F41,Batches!$B$2:$B$301,$D41)=0,"Unknown lot for this SKU",IF(AND($C41="Adjustment",$G41=""),"Missing: reason",IF(AND($G41&lt;&gt;"",COUNTIF(Config!$B$15:$B$34,$G41)=0),"Unsupported reason",IF(OR(INT($E41)&lt;&gt;$E41,AND(OR($C41="Receipt",$C41="Shipment"),$E41&lt;=0),AND($C41="Adjustment",$E41=0)),"Invalid qty",IF($B41&gt;Config!$B$4,"Date after the as-of date",IF($B41&lt;Config!$B$5,"Date before the opening balance date","OK")))))))))))))))))</f>
        <v>OK</v>
      </c>
    </row>
    <row r="42">
      <c r="A42" s="46" t="inlineStr">
        <is>
          <t>MV-2609-008</t>
        </is>
      </c>
      <c r="B42" s="54" t="n">
        <v>46295</v>
      </c>
      <c r="C42" s="46" t="inlineStr">
        <is>
          <t>Shipment</t>
        </is>
      </c>
      <c r="D42" s="46" t="inlineStr">
        <is>
          <t>BAR-PBC-12</t>
        </is>
      </c>
      <c r="E42" s="55" t="n">
        <v>573</v>
      </c>
      <c r="F42" s="46" t="inlineStr">
        <is>
          <t>PBC2511A</t>
        </is>
      </c>
      <c r="G42" s="46" t="n"/>
      <c r="H42" s="46" t="inlineStr">
        <is>
          <t>OB-2609</t>
        </is>
      </c>
      <c r="I42" s="46" t="inlineStr">
        <is>
          <t>https://example.com/3pl/outbound/2026-09</t>
        </is>
      </c>
      <c r="J42" s="46" t="inlineStr">
        <is>
          <t>3PL import</t>
        </is>
      </c>
      <c r="K42" s="46" t="inlineStr">
        <is>
          <t>warehouse-movements-2026-09.csv</t>
        </is>
      </c>
      <c r="L42" s="46" t="inlineStr">
        <is>
          <t>September outbound summary (FEFO)</t>
        </is>
      </c>
      <c r="M42" s="51">
        <f>IF(NOT(ISNUMBER($E42)),"",IF($C42="Receipt",$E42,IF($C42="Shipment",-$E42,IF($C42="Adjustment",$E42,0))))</f>
        <v>-573</v>
      </c>
      <c r="N42" s="49" t="str">
        <f>IF($D42="","",IFERROR(INDEX(Products!$B$2:$B$101,MATCH($D42,Products!$A$2:$A$101,0))&amp;"","(not found)"))</f>
        <v>Protein Bar, Peanut Butter Chocolate, 12-pack</v>
      </c>
      <c r="O42" s="49" t="str">
        <f>IF($F42="","",IFERROR(INDEX(Batches!$B$2:$B$301,MATCH($F42,Batches!$A$2:$A$301,0))&amp;"","(not found)"))</f>
        <v>BAR-PBC-12</v>
      </c>
      <c r="P42" s="49" t="str">
        <f>IF(COUNTA($A42:$L42)=0,"",IF($A42="","Missing: entry ID",IF(COUNTIF($A$2:$A$2001,$A42)&gt;1,"Duplicate entry ID",IF(NOT(ISNUMBER($B42)),"Missing or invalid: date",IF($C42="","Missing: type",IF($D42="","Missing: SKU",IF(NOT(ISNUMBER($E42)),"Missing: qty",IF($F42="","Missing: lot",IF($I42="","Missing: source link",IF(COUNTIF(Config!$A$15:$A$34,$C42)=0,"Unsupported type",IF(COUNTIF(Products!$A$2:$A$101,$D42)=0,"Unknown SKU",IF(COUNTIFS(Batches!$A$2:$A$301,$F42,Batches!$B$2:$B$301,$D42)=0,"Unknown lot for this SKU",IF(AND($C42="Adjustment",$G42=""),"Missing: reason",IF(AND($G42&lt;&gt;"",COUNTIF(Config!$B$15:$B$34,$G42)=0),"Unsupported reason",IF(OR(INT($E42)&lt;&gt;$E42,AND(OR($C42="Receipt",$C42="Shipment"),$E42&lt;=0),AND($C42="Adjustment",$E42=0)),"Invalid qty",IF($B42&gt;Config!$B$4,"Date after the as-of date",IF($B42&lt;Config!$B$5,"Date before the opening balance date","OK")))))))))))))))))</f>
        <v>OK</v>
      </c>
    </row>
    <row r="43">
      <c r="A43" s="46" t="inlineStr">
        <is>
          <t>MV-2609-009</t>
        </is>
      </c>
      <c r="B43" s="54" t="n">
        <v>46295</v>
      </c>
      <c r="C43" s="46" t="inlineStr">
        <is>
          <t>Shipment</t>
        </is>
      </c>
      <c r="D43" s="46" t="inlineStr">
        <is>
          <t>BAR-CKD-12</t>
        </is>
      </c>
      <c r="E43" s="55" t="n">
        <v>470</v>
      </c>
      <c r="F43" s="46" t="inlineStr">
        <is>
          <t>CKD2511A</t>
        </is>
      </c>
      <c r="G43" s="46" t="n"/>
      <c r="H43" s="46" t="inlineStr">
        <is>
          <t>OB-2609</t>
        </is>
      </c>
      <c r="I43" s="46" t="inlineStr">
        <is>
          <t>https://example.com/3pl/outbound/2026-09</t>
        </is>
      </c>
      <c r="J43" s="46" t="inlineStr">
        <is>
          <t>3PL import</t>
        </is>
      </c>
      <c r="K43" s="46" t="inlineStr">
        <is>
          <t>warehouse-movements-2026-09.csv</t>
        </is>
      </c>
      <c r="L43" s="46" t="inlineStr">
        <is>
          <t>September outbound summary (FEFO)</t>
        </is>
      </c>
      <c r="M43" s="51">
        <f>IF(NOT(ISNUMBER($E43)),"",IF($C43="Receipt",$E43,IF($C43="Shipment",-$E43,IF($C43="Adjustment",$E43,0))))</f>
        <v>-470</v>
      </c>
      <c r="N43" s="49" t="str">
        <f>IF($D43="","",IFERROR(INDEX(Products!$B$2:$B$101,MATCH($D43,Products!$A$2:$A$101,0))&amp;"","(not found)"))</f>
        <v>Protein Bar, Cookie Dough, 12-pack</v>
      </c>
      <c r="O43" s="49" t="str">
        <f>IF($F43="","",IFERROR(INDEX(Batches!$B$2:$B$301,MATCH($F43,Batches!$A$2:$A$301,0))&amp;"","(not found)"))</f>
        <v>BAR-CKD-12</v>
      </c>
      <c r="P43" s="49" t="str">
        <f>IF(COUNTA($A43:$L43)=0,"",IF($A43="","Missing: entry ID",IF(COUNTIF($A$2:$A$2001,$A43)&gt;1,"Duplicate entry ID",IF(NOT(ISNUMBER($B43)),"Missing or invalid: date",IF($C43="","Missing: type",IF($D43="","Missing: SKU",IF(NOT(ISNUMBER($E43)),"Missing: qty",IF($F43="","Missing: lot",IF($I43="","Missing: source link",IF(COUNTIF(Config!$A$15:$A$34,$C43)=0,"Unsupported type",IF(COUNTIF(Products!$A$2:$A$101,$D43)=0,"Unknown SKU",IF(COUNTIFS(Batches!$A$2:$A$301,$F43,Batches!$B$2:$B$301,$D43)=0,"Unknown lot for this SKU",IF(AND($C43="Adjustment",$G43=""),"Missing: reason",IF(AND($G43&lt;&gt;"",COUNTIF(Config!$B$15:$B$34,$G43)=0),"Unsupported reason",IF(OR(INT($E43)&lt;&gt;$E43,AND(OR($C43="Receipt",$C43="Shipment"),$E43&lt;=0),AND($C43="Adjustment",$E43=0)),"Invalid qty",IF($B43&gt;Config!$B$4,"Date after the as-of date",IF($B43&lt;Config!$B$5,"Date before the opening balance date","OK")))))))))))))))))</f>
        <v>OK</v>
      </c>
    </row>
    <row r="44">
      <c r="A44" s="46" t="inlineStr">
        <is>
          <t>MV-2609-010</t>
        </is>
      </c>
      <c r="B44" s="54" t="n">
        <v>46295</v>
      </c>
      <c r="C44" s="46" t="inlineStr">
        <is>
          <t>Shipment</t>
        </is>
      </c>
      <c r="D44" s="46" t="inlineStr">
        <is>
          <t>CRE-UNF-300G</t>
        </is>
      </c>
      <c r="E44" s="55" t="n">
        <v>282</v>
      </c>
      <c r="F44" s="46" t="inlineStr">
        <is>
          <t>CRT2505A</t>
        </is>
      </c>
      <c r="G44" s="46" t="n"/>
      <c r="H44" s="46" t="inlineStr">
        <is>
          <t>OB-2609</t>
        </is>
      </c>
      <c r="I44" s="46" t="inlineStr">
        <is>
          <t>https://example.com/3pl/outbound/2026-09</t>
        </is>
      </c>
      <c r="J44" s="46" t="inlineStr">
        <is>
          <t>3PL import</t>
        </is>
      </c>
      <c r="K44" s="46" t="inlineStr">
        <is>
          <t>warehouse-movements-2026-09.csv</t>
        </is>
      </c>
      <c r="L44" s="46" t="inlineStr">
        <is>
          <t>September outbound summary (FEFO)</t>
        </is>
      </c>
      <c r="M44" s="51">
        <f>IF(NOT(ISNUMBER($E44)),"",IF($C44="Receipt",$E44,IF($C44="Shipment",-$E44,IF($C44="Adjustment",$E44,0))))</f>
        <v>-282</v>
      </c>
      <c r="N44" s="49" t="str">
        <f>IF($D44="","",IFERROR(INDEX(Products!$B$2:$B$101,MATCH($D44,Products!$A$2:$A$101,0))&amp;"","(not found)"))</f>
        <v>Creatine Monohydrate, Unflavoured, 300 g</v>
      </c>
      <c r="O44" s="49" t="str">
        <f>IF($F44="","",IFERROR(INDEX(Batches!$B$2:$B$301,MATCH($F44,Batches!$A$2:$A$301,0))&amp;"","(not found)"))</f>
        <v>CRE-UNF-300G</v>
      </c>
      <c r="P44" s="49" t="str">
        <f>IF(COUNTA($A44:$L44)=0,"",IF($A44="","Missing: entry ID",IF(COUNTIF($A$2:$A$2001,$A44)&gt;1,"Duplicate entry ID",IF(NOT(ISNUMBER($B44)),"Missing or invalid: date",IF($C44="","Missing: type",IF($D44="","Missing: SKU",IF(NOT(ISNUMBER($E44)),"Missing: qty",IF($F44="","Missing: lot",IF($I44="","Missing: source link",IF(COUNTIF(Config!$A$15:$A$34,$C44)=0,"Unsupported type",IF(COUNTIF(Products!$A$2:$A$101,$D44)=0,"Unknown SKU",IF(COUNTIFS(Batches!$A$2:$A$301,$F44,Batches!$B$2:$B$301,$D44)=0,"Unknown lot for this SKU",IF(AND($C44="Adjustment",$G44=""),"Missing: reason",IF(AND($G44&lt;&gt;"",COUNTIF(Config!$B$15:$B$34,$G44)=0),"Unsupported reason",IF(OR(INT($E44)&lt;&gt;$E44,AND(OR($C44="Receipt",$C44="Shipment"),$E44&lt;=0),AND($C44="Adjustment",$E44=0)),"Invalid qty",IF($B44&gt;Config!$B$4,"Date after the as-of date",IF($B44&lt;Config!$B$5,"Date before the opening balance date","OK")))))))))))))))))</f>
        <v>OK</v>
      </c>
    </row>
    <row r="45">
      <c r="A45" s="46" t="inlineStr">
        <is>
          <t>MV-2609-011</t>
        </is>
      </c>
      <c r="B45" s="54" t="n">
        <v>46295</v>
      </c>
      <c r="C45" s="46" t="inlineStr">
        <is>
          <t>Shipment</t>
        </is>
      </c>
      <c r="D45" s="46" t="inlineStr">
        <is>
          <t>CRE-UNF-500G</t>
        </is>
      </c>
      <c r="E45" s="55" t="n">
        <v>113</v>
      </c>
      <c r="F45" s="46" t="inlineStr">
        <is>
          <t>CRL2504A</t>
        </is>
      </c>
      <c r="G45" s="46" t="n"/>
      <c r="H45" s="46" t="inlineStr">
        <is>
          <t>OB-2609</t>
        </is>
      </c>
      <c r="I45" s="46" t="inlineStr">
        <is>
          <t>https://example.com/3pl/outbound/2026-09</t>
        </is>
      </c>
      <c r="J45" s="46" t="inlineStr">
        <is>
          <t>3PL import</t>
        </is>
      </c>
      <c r="K45" s="46" t="inlineStr">
        <is>
          <t>warehouse-movements-2026-09.csv</t>
        </is>
      </c>
      <c r="L45" s="46" t="inlineStr">
        <is>
          <t>September outbound summary (FEFO)</t>
        </is>
      </c>
      <c r="M45" s="51">
        <f>IF(NOT(ISNUMBER($E45)),"",IF($C45="Receipt",$E45,IF($C45="Shipment",-$E45,IF($C45="Adjustment",$E45,0))))</f>
        <v>-113</v>
      </c>
      <c r="N45" s="49" t="str">
        <f>IF($D45="","",IFERROR(INDEX(Products!$B$2:$B$101,MATCH($D45,Products!$A$2:$A$101,0))&amp;"","(not found)"))</f>
        <v>Creatine Monohydrate, Unflavoured, 500 g</v>
      </c>
      <c r="O45" s="49" t="str">
        <f>IF($F45="","",IFERROR(INDEX(Batches!$B$2:$B$301,MATCH($F45,Batches!$A$2:$A$301,0))&amp;"","(not found)"))</f>
        <v>CRE-UNF-500G</v>
      </c>
      <c r="P45" s="49" t="str">
        <f>IF(COUNTA($A45:$L45)=0,"",IF($A45="","Missing: entry ID",IF(COUNTIF($A$2:$A$2001,$A45)&gt;1,"Duplicate entry ID",IF(NOT(ISNUMBER($B45)),"Missing or invalid: date",IF($C45="","Missing: type",IF($D45="","Missing: SKU",IF(NOT(ISNUMBER($E45)),"Missing: qty",IF($F45="","Missing: lot",IF($I45="","Missing: source link",IF(COUNTIF(Config!$A$15:$A$34,$C45)=0,"Unsupported type",IF(COUNTIF(Products!$A$2:$A$101,$D45)=0,"Unknown SKU",IF(COUNTIFS(Batches!$A$2:$A$301,$F45,Batches!$B$2:$B$301,$D45)=0,"Unknown lot for this SKU",IF(AND($C45="Adjustment",$G45=""),"Missing: reason",IF(AND($G45&lt;&gt;"",COUNTIF(Config!$B$15:$B$34,$G45)=0),"Unsupported reason",IF(OR(INT($E45)&lt;&gt;$E45,AND(OR($C45="Receipt",$C45="Shipment"),$E45&lt;=0),AND($C45="Adjustment",$E45=0)),"Invalid qty",IF($B45&gt;Config!$B$4,"Date after the as-of date",IF($B45&lt;Config!$B$5,"Date before the opening balance date","OK")))))))))))))))))</f>
        <v>OK</v>
      </c>
    </row>
    <row r="46">
      <c r="A46" s="46" t="inlineStr">
        <is>
          <t>MV-2609-012</t>
        </is>
      </c>
      <c r="B46" s="54" t="n">
        <v>46295</v>
      </c>
      <c r="C46" s="46" t="inlineStr">
        <is>
          <t>Shipment</t>
        </is>
      </c>
      <c r="D46" s="46" t="inlineStr">
        <is>
          <t>PRE-BRZ-30</t>
        </is>
      </c>
      <c r="E46" s="55" t="n">
        <v>194</v>
      </c>
      <c r="F46" s="46" t="inlineStr">
        <is>
          <t>PBZ2501A</t>
        </is>
      </c>
      <c r="G46" s="46" t="n"/>
      <c r="H46" s="46" t="inlineStr">
        <is>
          <t>OB-2609</t>
        </is>
      </c>
      <c r="I46" s="46" t="inlineStr">
        <is>
          <t>https://example.com/3pl/outbound/2026-09</t>
        </is>
      </c>
      <c r="J46" s="46" t="inlineStr">
        <is>
          <t>3PL import</t>
        </is>
      </c>
      <c r="K46" s="46" t="inlineStr">
        <is>
          <t>warehouse-movements-2026-09.csv</t>
        </is>
      </c>
      <c r="L46" s="46" t="inlineStr">
        <is>
          <t>September outbound summary (FEFO)</t>
        </is>
      </c>
      <c r="M46" s="51">
        <f>IF(NOT(ISNUMBER($E46)),"",IF($C46="Receipt",$E46,IF($C46="Shipment",-$E46,IF($C46="Adjustment",$E46,0))))</f>
        <v>-194</v>
      </c>
      <c r="N46" s="49" t="str">
        <f>IF($D46="","",IFERROR(INDEX(Products!$B$2:$B$101,MATCH($D46,Products!$A$2:$A$101,0))&amp;"","(not found)"))</f>
        <v>Pre-Workout, Blue Raspberry, 30 servings</v>
      </c>
      <c r="O46" s="49" t="str">
        <f>IF($F46="","",IFERROR(INDEX(Batches!$B$2:$B$301,MATCH($F46,Batches!$A$2:$A$301,0))&amp;"","(not found)"))</f>
        <v>PRE-BRZ-30</v>
      </c>
      <c r="P46" s="49" t="str">
        <f>IF(COUNTA($A46:$L46)=0,"",IF($A46="","Missing: entry ID",IF(COUNTIF($A$2:$A$2001,$A46)&gt;1,"Duplicate entry ID",IF(NOT(ISNUMBER($B46)),"Missing or invalid: date",IF($C46="","Missing: type",IF($D46="","Missing: SKU",IF(NOT(ISNUMBER($E46)),"Missing: qty",IF($F46="","Missing: lot",IF($I46="","Missing: source link",IF(COUNTIF(Config!$A$15:$A$34,$C46)=0,"Unsupported type",IF(COUNTIF(Products!$A$2:$A$101,$D46)=0,"Unknown SKU",IF(COUNTIFS(Batches!$A$2:$A$301,$F46,Batches!$B$2:$B$301,$D46)=0,"Unknown lot for this SKU",IF(AND($C46="Adjustment",$G46=""),"Missing: reason",IF(AND($G46&lt;&gt;"",COUNTIF(Config!$B$15:$B$34,$G46)=0),"Unsupported reason",IF(OR(INT($E46)&lt;&gt;$E46,AND(OR($C46="Receipt",$C46="Shipment"),$E46&lt;=0),AND($C46="Adjustment",$E46=0)),"Invalid qty",IF($B46&gt;Config!$B$4,"Date after the as-of date",IF($B46&lt;Config!$B$5,"Date before the opening balance date","OK")))))))))))))))))</f>
        <v>OK</v>
      </c>
    </row>
    <row r="47">
      <c r="A47" s="46" t="inlineStr">
        <is>
          <t>MV-2609-013</t>
        </is>
      </c>
      <c r="B47" s="54" t="n">
        <v>46295</v>
      </c>
      <c r="C47" s="46" t="inlineStr">
        <is>
          <t>Shipment</t>
        </is>
      </c>
      <c r="D47" s="46" t="inlineStr">
        <is>
          <t>PRE-WTM-30</t>
        </is>
      </c>
      <c r="E47" s="55" t="n">
        <v>119</v>
      </c>
      <c r="F47" s="46" t="inlineStr">
        <is>
          <t>PWM2504A</t>
        </is>
      </c>
      <c r="G47" s="46" t="n"/>
      <c r="H47" s="46" t="inlineStr">
        <is>
          <t>OB-2609</t>
        </is>
      </c>
      <c r="I47" s="46" t="inlineStr">
        <is>
          <t>https://example.com/3pl/outbound/2026-09</t>
        </is>
      </c>
      <c r="J47" s="46" t="inlineStr">
        <is>
          <t>3PL import</t>
        </is>
      </c>
      <c r="K47" s="46" t="inlineStr">
        <is>
          <t>warehouse-movements-2026-09.csv</t>
        </is>
      </c>
      <c r="L47" s="46" t="inlineStr">
        <is>
          <t>September outbound summary (FEFO)</t>
        </is>
      </c>
      <c r="M47" s="51">
        <f>IF(NOT(ISNUMBER($E47)),"",IF($C47="Receipt",$E47,IF($C47="Shipment",-$E47,IF($C47="Adjustment",$E47,0))))</f>
        <v>-119</v>
      </c>
      <c r="N47" s="49" t="str">
        <f>IF($D47="","",IFERROR(INDEX(Products!$B$2:$B$101,MATCH($D47,Products!$A$2:$A$101,0))&amp;"","(not found)"))</f>
        <v>Pre-Workout, Watermelon, 30 servings</v>
      </c>
      <c r="O47" s="49" t="str">
        <f>IF($F47="","",IFERROR(INDEX(Batches!$B$2:$B$301,MATCH($F47,Batches!$A$2:$A$301,0))&amp;"","(not found)"))</f>
        <v>PRE-WTM-30</v>
      </c>
      <c r="P47" s="49" t="str">
        <f>IF(COUNTA($A47:$L47)=0,"",IF($A47="","Missing: entry ID",IF(COUNTIF($A$2:$A$2001,$A47)&gt;1,"Duplicate entry ID",IF(NOT(ISNUMBER($B47)),"Missing or invalid: date",IF($C47="","Missing: type",IF($D47="","Missing: SKU",IF(NOT(ISNUMBER($E47)),"Missing: qty",IF($F47="","Missing: lot",IF($I47="","Missing: source link",IF(COUNTIF(Config!$A$15:$A$34,$C47)=0,"Unsupported type",IF(COUNTIF(Products!$A$2:$A$101,$D47)=0,"Unknown SKU",IF(COUNTIFS(Batches!$A$2:$A$301,$F47,Batches!$B$2:$B$301,$D47)=0,"Unknown lot for this SKU",IF(AND($C47="Adjustment",$G47=""),"Missing: reason",IF(AND($G47&lt;&gt;"",COUNTIF(Config!$B$15:$B$34,$G47)=0),"Unsupported reason",IF(OR(INT($E47)&lt;&gt;$E47,AND(OR($C47="Receipt",$C47="Shipment"),$E47&lt;=0),AND($C47="Adjustment",$E47=0)),"Invalid qty",IF($B47&gt;Config!$B$4,"Date after the as-of date",IF($B47&lt;Config!$B$5,"Date before the opening balance date","OK")))))))))))))))))</f>
        <v>OK</v>
      </c>
    </row>
    <row r="48">
      <c r="A48" s="46" t="inlineStr">
        <is>
          <t>MV-2609-014</t>
        </is>
      </c>
      <c r="B48" s="54" t="n">
        <v>46295</v>
      </c>
      <c r="C48" s="46" t="inlineStr">
        <is>
          <t>Shipment</t>
        </is>
      </c>
      <c r="D48" s="46" t="inlineStr">
        <is>
          <t>CAS-CHO-2LB</t>
        </is>
      </c>
      <c r="E48" s="55" t="n">
        <v>76</v>
      </c>
      <c r="F48" s="46" t="inlineStr">
        <is>
          <t>CCA2412A</t>
        </is>
      </c>
      <c r="G48" s="46" t="n"/>
      <c r="H48" s="46" t="inlineStr">
        <is>
          <t>OB-2609</t>
        </is>
      </c>
      <c r="I48" s="46" t="inlineStr">
        <is>
          <t>https://example.com/3pl/outbound/2026-09</t>
        </is>
      </c>
      <c r="J48" s="46" t="inlineStr">
        <is>
          <t>3PL import</t>
        </is>
      </c>
      <c r="K48" s="46" t="inlineStr">
        <is>
          <t>warehouse-movements-2026-09.csv</t>
        </is>
      </c>
      <c r="L48" s="46" t="inlineStr">
        <is>
          <t>September outbound summary (FEFO)</t>
        </is>
      </c>
      <c r="M48" s="51">
        <f>IF(NOT(ISNUMBER($E48)),"",IF($C48="Receipt",$E48,IF($C48="Shipment",-$E48,IF($C48="Adjustment",$E48,0))))</f>
        <v>-76</v>
      </c>
      <c r="N48" s="49" t="str">
        <f>IF($D48="","",IFERROR(INDEX(Products!$B$2:$B$101,MATCH($D48,Products!$A$2:$A$101,0))&amp;"","(not found)"))</f>
        <v>Micellar Casein, Chocolate, 2 lb</v>
      </c>
      <c r="O48" s="49" t="str">
        <f>IF($F48="","",IFERROR(INDEX(Batches!$B$2:$B$301,MATCH($F48,Batches!$A$2:$A$301,0))&amp;"","(not found)"))</f>
        <v>CAS-CHO-2LB</v>
      </c>
      <c r="P48" s="49" t="str">
        <f>IF(COUNTA($A48:$L48)=0,"",IF($A48="","Missing: entry ID",IF(COUNTIF($A$2:$A$2001,$A48)&gt;1,"Duplicate entry ID",IF(NOT(ISNUMBER($B48)),"Missing or invalid: date",IF($C48="","Missing: type",IF($D48="","Missing: SKU",IF(NOT(ISNUMBER($E48)),"Missing: qty",IF($F48="","Missing: lot",IF($I48="","Missing: source link",IF(COUNTIF(Config!$A$15:$A$34,$C48)=0,"Unsupported type",IF(COUNTIF(Products!$A$2:$A$101,$D48)=0,"Unknown SKU",IF(COUNTIFS(Batches!$A$2:$A$301,$F48,Batches!$B$2:$B$301,$D48)=0,"Unknown lot for this SKU",IF(AND($C48="Adjustment",$G48=""),"Missing: reason",IF(AND($G48&lt;&gt;"",COUNTIF(Config!$B$15:$B$34,$G48)=0),"Unsupported reason",IF(OR(INT($E48)&lt;&gt;$E48,AND(OR($C48="Receipt",$C48="Shipment"),$E48&lt;=0),AND($C48="Adjustment",$E48=0)),"Invalid qty",IF($B48&gt;Config!$B$4,"Date after the as-of date",IF($B48&lt;Config!$B$5,"Date before the opening balance date","OK")))))))))))))))))</f>
        <v>OK</v>
      </c>
    </row>
    <row r="49">
      <c r="A49" s="46" t="inlineStr">
        <is>
          <t>ADJ-2610-001</t>
        </is>
      </c>
      <c r="B49" s="54" t="n">
        <v>46297</v>
      </c>
      <c r="C49" s="46" t="inlineStr">
        <is>
          <t>Adjustment</t>
        </is>
      </c>
      <c r="D49" s="46" t="inlineStr">
        <is>
          <t>BAR-CKD-12</t>
        </is>
      </c>
      <c r="E49" s="55" t="n">
        <v>-60</v>
      </c>
      <c r="F49" s="46" t="inlineStr">
        <is>
          <t>CKD2511A</t>
        </is>
      </c>
      <c r="G49" s="46" t="inlineStr">
        <is>
          <t>Marketing samples</t>
        </is>
      </c>
      <c r="H49" s="46" t="inlineStr">
        <is>
          <t>CMP-2026-04</t>
        </is>
      </c>
      <c r="I49" s="46" t="inlineStr">
        <is>
          <t>https://example.com/ops/adjustments/ADJ-2610-001</t>
        </is>
      </c>
      <c r="J49" s="46" t="inlineStr">
        <is>
          <t>Maya Torres</t>
        </is>
      </c>
      <c r="K49" s="46" t="n"/>
      <c r="L49" s="46" t="inlineStr">
        <is>
          <t>Creator kits for CMP-2026-04</t>
        </is>
      </c>
      <c r="M49" s="51">
        <f>IF(NOT(ISNUMBER($E49)),"",IF($C49="Receipt",$E49,IF($C49="Shipment",-$E49,IF($C49="Adjustment",$E49,0))))</f>
        <v>-60</v>
      </c>
      <c r="N49" s="49" t="str">
        <f>IF($D49="","",IFERROR(INDEX(Products!$B$2:$B$101,MATCH($D49,Products!$A$2:$A$101,0))&amp;"","(not found)"))</f>
        <v>Protein Bar, Cookie Dough, 12-pack</v>
      </c>
      <c r="O49" s="49" t="str">
        <f>IF($F49="","",IFERROR(INDEX(Batches!$B$2:$B$301,MATCH($F49,Batches!$A$2:$A$301,0))&amp;"","(not found)"))</f>
        <v>BAR-CKD-12</v>
      </c>
      <c r="P49" s="49" t="str">
        <f>IF(COUNTA($A49:$L49)=0,"",IF($A49="","Missing: entry ID",IF(COUNTIF($A$2:$A$2001,$A49)&gt;1,"Duplicate entry ID",IF(NOT(ISNUMBER($B49)),"Missing or invalid: date",IF($C49="","Missing: type",IF($D49="","Missing: SKU",IF(NOT(ISNUMBER($E49)),"Missing: qty",IF($F49="","Missing: lot",IF($I49="","Missing: source link",IF(COUNTIF(Config!$A$15:$A$34,$C49)=0,"Unsupported type",IF(COUNTIF(Products!$A$2:$A$101,$D49)=0,"Unknown SKU",IF(COUNTIFS(Batches!$A$2:$A$301,$F49,Batches!$B$2:$B$301,$D49)=0,"Unknown lot for this SKU",IF(AND($C49="Adjustment",$G49=""),"Missing: reason",IF(AND($G49&lt;&gt;"",COUNTIF(Config!$B$15:$B$34,$G49)=0),"Unsupported reason",IF(OR(INT($E49)&lt;&gt;$E49,AND(OR($C49="Receipt",$C49="Shipment"),$E49&lt;=0),AND($C49="Adjustment",$E49=0)),"Invalid qty",IF($B49&gt;Config!$B$4,"Date after the as-of date",IF($B49&lt;Config!$B$5,"Date before the opening balance date","OK")))))))))))))))))</f>
        <v>OK</v>
      </c>
    </row>
    <row r="50">
      <c r="A50" s="46" t="inlineStr">
        <is>
          <t>ADJ-2610-002</t>
        </is>
      </c>
      <c r="B50" s="54" t="n">
        <v>46302</v>
      </c>
      <c r="C50" s="46" t="inlineStr">
        <is>
          <t>Adjustment</t>
        </is>
      </c>
      <c r="D50" s="46" t="inlineStr">
        <is>
          <t>PLT-CHO-2LB</t>
        </is>
      </c>
      <c r="E50" s="55" t="n">
        <v>-3</v>
      </c>
      <c r="F50" s="46" t="inlineStr">
        <is>
          <t>PCH2412A</t>
        </is>
      </c>
      <c r="G50" s="46" t="inlineStr">
        <is>
          <t>Cycle count</t>
        </is>
      </c>
      <c r="H50" s="46" t="inlineStr">
        <is>
          <t>CC-1007</t>
        </is>
      </c>
      <c r="I50" s="46" t="inlineStr">
        <is>
          <t>https://example.com/ops/adjustments/ADJ-2610-002</t>
        </is>
      </c>
      <c r="J50" s="46" t="inlineStr">
        <is>
          <t>Ben Okafor</t>
        </is>
      </c>
      <c r="K50" s="46" t="n"/>
      <c r="L50" s="46" t="inlineStr">
        <is>
          <t>Count found 3 fewer tubs than recorded</t>
        </is>
      </c>
      <c r="M50" s="51">
        <f>IF(NOT(ISNUMBER($E50)),"",IF($C50="Receipt",$E50,IF($C50="Shipment",-$E50,IF($C50="Adjustment",$E50,0))))</f>
        <v>-3</v>
      </c>
      <c r="N50" s="49" t="str">
        <f>IF($D50="","",IFERROR(INDEX(Products!$B$2:$B$101,MATCH($D50,Products!$A$2:$A$101,0))&amp;"","(not found)"))</f>
        <v>Plant Protein, Chocolate, 2 lb</v>
      </c>
      <c r="O50" s="49" t="str">
        <f>IF($F50="","",IFERROR(INDEX(Batches!$B$2:$B$301,MATCH($F50,Batches!$A$2:$A$301,0))&amp;"","(not found)"))</f>
        <v>PLT-CHO-2LB</v>
      </c>
      <c r="P50" s="49" t="str">
        <f>IF(COUNTA($A50:$L50)=0,"",IF($A50="","Missing: entry ID",IF(COUNTIF($A$2:$A$2001,$A50)&gt;1,"Duplicate entry ID",IF(NOT(ISNUMBER($B50)),"Missing or invalid: date",IF($C50="","Missing: type",IF($D50="","Missing: SKU",IF(NOT(ISNUMBER($E50)),"Missing: qty",IF($F50="","Missing: lot",IF($I50="","Missing: source link",IF(COUNTIF(Config!$A$15:$A$34,$C50)=0,"Unsupported type",IF(COUNTIF(Products!$A$2:$A$101,$D50)=0,"Unknown SKU",IF(COUNTIFS(Batches!$A$2:$A$301,$F50,Batches!$B$2:$B$301,$D50)=0,"Unknown lot for this SKU",IF(AND($C50="Adjustment",$G50=""),"Missing: reason",IF(AND($G50&lt;&gt;"",COUNTIF(Config!$B$15:$B$34,$G50)=0),"Unsupported reason",IF(OR(INT($E50)&lt;&gt;$E50,AND(OR($C50="Receipt",$C50="Shipment"),$E50&lt;=0),AND($C50="Adjustment",$E50=0)),"Invalid qty",IF($B50&gt;Config!$B$4,"Date after the as-of date",IF($B50&lt;Config!$B$5,"Date before the opening balance date","OK")))))))))))))))))</f>
        <v>OK</v>
      </c>
    </row>
    <row r="51">
      <c r="A51" s="46" t="inlineStr">
        <is>
          <t>MV-2610-001</t>
        </is>
      </c>
      <c r="B51" s="54" t="n">
        <v>46303</v>
      </c>
      <c r="C51" s="46" t="inlineStr">
        <is>
          <t>Receipt</t>
        </is>
      </c>
      <c r="D51" s="46" t="inlineStr">
        <is>
          <t>WPI-VAN-2LB</t>
        </is>
      </c>
      <c r="E51" s="55" t="n">
        <v>600</v>
      </c>
      <c r="F51" s="46" t="inlineStr">
        <is>
          <t>WVA2609A</t>
        </is>
      </c>
      <c r="G51" s="46" t="n"/>
      <c r="H51" s="46" t="inlineStr">
        <is>
          <t>PO-2026-027</t>
        </is>
      </c>
      <c r="I51" s="46" t="inlineStr">
        <is>
          <t>https://example.com/3pl/receiving/PO-2026-027</t>
        </is>
      </c>
      <c r="J51" s="46" t="inlineStr">
        <is>
          <t>3PL import</t>
        </is>
      </c>
      <c r="K51" s="46" t="inlineStr">
        <is>
          <t>warehouse-movements-2026-10-08.csv</t>
        </is>
      </c>
      <c r="L51" s="46" t="inlineStr">
        <is>
          <t>Received against PO-2026-027</t>
        </is>
      </c>
      <c r="M51" s="51">
        <f>IF(NOT(ISNUMBER($E51)),"",IF($C51="Receipt",$E51,IF($C51="Shipment",-$E51,IF($C51="Adjustment",$E51,0))))</f>
        <v>600</v>
      </c>
      <c r="N51" s="49" t="str">
        <f>IF($D51="","",IFERROR(INDEX(Products!$B$2:$B$101,MATCH($D51,Products!$A$2:$A$101,0))&amp;"","(not found)"))</f>
        <v>Whey Protein Isolate, Vanilla, 2 lb</v>
      </c>
      <c r="O51" s="49" t="str">
        <f>IF($F51="","",IFERROR(INDEX(Batches!$B$2:$B$301,MATCH($F51,Batches!$A$2:$A$301,0))&amp;"","(not found)"))</f>
        <v>WPI-VAN-2LB</v>
      </c>
      <c r="P51" s="49" t="str">
        <f>IF(COUNTA($A51:$L51)=0,"",IF($A51="","Missing: entry ID",IF(COUNTIF($A$2:$A$2001,$A51)&gt;1,"Duplicate entry ID",IF(NOT(ISNUMBER($B51)),"Missing or invalid: date",IF($C51="","Missing: type",IF($D51="","Missing: SKU",IF(NOT(ISNUMBER($E51)),"Missing: qty",IF($F51="","Missing: lot",IF($I51="","Missing: source link",IF(COUNTIF(Config!$A$15:$A$34,$C51)=0,"Unsupported type",IF(COUNTIF(Products!$A$2:$A$101,$D51)=0,"Unknown SKU",IF(COUNTIFS(Batches!$A$2:$A$301,$F51,Batches!$B$2:$B$301,$D51)=0,"Unknown lot for this SKU",IF(AND($C51="Adjustment",$G51=""),"Missing: reason",IF(AND($G51&lt;&gt;"",COUNTIF(Config!$B$15:$B$34,$G51)=0),"Unsupported reason",IF(OR(INT($E51)&lt;&gt;$E51,AND(OR($C51="Receipt",$C51="Shipment"),$E51&lt;=0),AND($C51="Adjustment",$E51=0)),"Invalid qty",IF($B51&gt;Config!$B$4,"Date after the as-of date",IF($B51&lt;Config!$B$5,"Date before the opening balance date","OK")))))))))))))))))</f>
        <v>OK</v>
      </c>
    </row>
    <row r="52">
      <c r="A52" s="46" t="inlineStr">
        <is>
          <t>MV-2610-002</t>
        </is>
      </c>
      <c r="B52" s="54" t="n">
        <v>46303</v>
      </c>
      <c r="C52" s="46" t="inlineStr">
        <is>
          <t>Shipment</t>
        </is>
      </c>
      <c r="D52" s="46" t="inlineStr">
        <is>
          <t>WPI-CHO-2LB</t>
        </is>
      </c>
      <c r="E52" s="55" t="n">
        <v>192</v>
      </c>
      <c r="F52" s="46" t="inlineStr">
        <is>
          <t>WCH2607A</t>
        </is>
      </c>
      <c r="G52" s="46" t="n"/>
      <c r="H52" s="46" t="inlineStr">
        <is>
          <t>OB-2610</t>
        </is>
      </c>
      <c r="I52" s="46" t="inlineStr">
        <is>
          <t>https://example.com/3pl/outbound/2026-10</t>
        </is>
      </c>
      <c r="J52" s="46" t="inlineStr">
        <is>
          <t>3PL import</t>
        </is>
      </c>
      <c r="K52" s="46" t="inlineStr">
        <is>
          <t>warehouse-movements-2026-10-08.csv</t>
        </is>
      </c>
      <c r="L52" s="46" t="inlineStr">
        <is>
          <t>October 1-8 outbound summary (FEFO)</t>
        </is>
      </c>
      <c r="M52" s="51">
        <f>IF(NOT(ISNUMBER($E52)),"",IF($C52="Receipt",$E52,IF($C52="Shipment",-$E52,IF($C52="Adjustment",$E52,0))))</f>
        <v>-192</v>
      </c>
      <c r="N52" s="49" t="str">
        <f>IF($D52="","",IFERROR(INDEX(Products!$B$2:$B$101,MATCH($D52,Products!$A$2:$A$101,0))&amp;"","(not found)"))</f>
        <v>Whey Protein Isolate, Chocolate, 2 lb</v>
      </c>
      <c r="O52" s="49" t="str">
        <f>IF($F52="","",IFERROR(INDEX(Batches!$B$2:$B$301,MATCH($F52,Batches!$A$2:$A$301,0))&amp;"","(not found)"))</f>
        <v>WPI-CHO-2LB</v>
      </c>
      <c r="P52" s="49" t="str">
        <f>IF(COUNTA($A52:$L52)=0,"",IF($A52="","Missing: entry ID",IF(COUNTIF($A$2:$A$2001,$A52)&gt;1,"Duplicate entry ID",IF(NOT(ISNUMBER($B52)),"Missing or invalid: date",IF($C52="","Missing: type",IF($D52="","Missing: SKU",IF(NOT(ISNUMBER($E52)),"Missing: qty",IF($F52="","Missing: lot",IF($I52="","Missing: source link",IF(COUNTIF(Config!$A$15:$A$34,$C52)=0,"Unsupported type",IF(COUNTIF(Products!$A$2:$A$101,$D52)=0,"Unknown SKU",IF(COUNTIFS(Batches!$A$2:$A$301,$F52,Batches!$B$2:$B$301,$D52)=0,"Unknown lot for this SKU",IF(AND($C52="Adjustment",$G52=""),"Missing: reason",IF(AND($G52&lt;&gt;"",COUNTIF(Config!$B$15:$B$34,$G52)=0),"Unsupported reason",IF(OR(INT($E52)&lt;&gt;$E52,AND(OR($C52="Receipt",$C52="Shipment"),$E52&lt;=0),AND($C52="Adjustment",$E52=0)),"Invalid qty",IF($B52&gt;Config!$B$4,"Date after the as-of date",IF($B52&lt;Config!$B$5,"Date before the opening balance date","OK")))))))))))))))))</f>
        <v>OK</v>
      </c>
    </row>
    <row r="53">
      <c r="A53" s="46" t="inlineStr">
        <is>
          <t>MV-2610-003</t>
        </is>
      </c>
      <c r="B53" s="54" t="n">
        <v>46303</v>
      </c>
      <c r="C53" s="46" t="inlineStr">
        <is>
          <t>Shipment</t>
        </is>
      </c>
      <c r="D53" s="46" t="inlineStr">
        <is>
          <t>WPI-VAN-2LB</t>
        </is>
      </c>
      <c r="E53" s="55" t="n">
        <v>51</v>
      </c>
      <c r="F53" s="46" t="inlineStr">
        <is>
          <t>WVA2411A</t>
        </is>
      </c>
      <c r="G53" s="46" t="n"/>
      <c r="H53" s="46" t="inlineStr">
        <is>
          <t>OB-2610</t>
        </is>
      </c>
      <c r="I53" s="46" t="inlineStr">
        <is>
          <t>https://example.com/3pl/outbound/2026-10</t>
        </is>
      </c>
      <c r="J53" s="46" t="inlineStr">
        <is>
          <t>3PL import</t>
        </is>
      </c>
      <c r="K53" s="46" t="inlineStr">
        <is>
          <t>warehouse-movements-2026-10-08.csv</t>
        </is>
      </c>
      <c r="L53" s="46" t="inlineStr">
        <is>
          <t>October 1-8 outbound summary (FEFO)</t>
        </is>
      </c>
      <c r="M53" s="51">
        <f>IF(NOT(ISNUMBER($E53)),"",IF($C53="Receipt",$E53,IF($C53="Shipment",-$E53,IF($C53="Adjustment",$E53,0))))</f>
        <v>-51</v>
      </c>
      <c r="N53" s="49" t="str">
        <f>IF($D53="","",IFERROR(INDEX(Products!$B$2:$B$101,MATCH($D53,Products!$A$2:$A$101,0))&amp;"","(not found)"))</f>
        <v>Whey Protein Isolate, Vanilla, 2 lb</v>
      </c>
      <c r="O53" s="49" t="str">
        <f>IF($F53="","",IFERROR(INDEX(Batches!$B$2:$B$301,MATCH($F53,Batches!$A$2:$A$301,0))&amp;"","(not found)"))</f>
        <v>WPI-VAN-2LB</v>
      </c>
      <c r="P53" s="49" t="str">
        <f>IF(COUNTA($A53:$L53)=0,"",IF($A53="","Missing: entry ID",IF(COUNTIF($A$2:$A$2001,$A53)&gt;1,"Duplicate entry ID",IF(NOT(ISNUMBER($B53)),"Missing or invalid: date",IF($C53="","Missing: type",IF($D53="","Missing: SKU",IF(NOT(ISNUMBER($E53)),"Missing: qty",IF($F53="","Missing: lot",IF($I53="","Missing: source link",IF(COUNTIF(Config!$A$15:$A$34,$C53)=0,"Unsupported type",IF(COUNTIF(Products!$A$2:$A$101,$D53)=0,"Unknown SKU",IF(COUNTIFS(Batches!$A$2:$A$301,$F53,Batches!$B$2:$B$301,$D53)=0,"Unknown lot for this SKU",IF(AND($C53="Adjustment",$G53=""),"Missing: reason",IF(AND($G53&lt;&gt;"",COUNTIF(Config!$B$15:$B$34,$G53)=0),"Unsupported reason",IF(OR(INT($E53)&lt;&gt;$E53,AND(OR($C53="Receipt",$C53="Shipment"),$E53&lt;=0),AND($C53="Adjustment",$E53=0)),"Invalid qty",IF($B53&gt;Config!$B$4,"Date after the as-of date",IF($B53&lt;Config!$B$5,"Date before the opening balance date","OK")))))))))))))))))</f>
        <v>OK</v>
      </c>
    </row>
    <row r="54">
      <c r="A54" s="46" t="inlineStr">
        <is>
          <t>MV-2610-004</t>
        </is>
      </c>
      <c r="B54" s="54" t="n">
        <v>46303</v>
      </c>
      <c r="C54" s="46" t="inlineStr">
        <is>
          <t>Shipment</t>
        </is>
      </c>
      <c r="D54" s="46" t="inlineStr">
        <is>
          <t>WPI-CHO-5LB</t>
        </is>
      </c>
      <c r="E54" s="55" t="n">
        <v>16</v>
      </c>
      <c r="F54" s="46" t="inlineStr">
        <is>
          <t>W5C2501A</t>
        </is>
      </c>
      <c r="G54" s="46" t="n"/>
      <c r="H54" s="46" t="inlineStr">
        <is>
          <t>OB-2610</t>
        </is>
      </c>
      <c r="I54" s="46" t="inlineStr">
        <is>
          <t>https://example.com/3pl/outbound/2026-10</t>
        </is>
      </c>
      <c r="J54" s="46" t="inlineStr">
        <is>
          <t>3PL import</t>
        </is>
      </c>
      <c r="K54" s="46" t="inlineStr">
        <is>
          <t>warehouse-movements-2026-10-08.csv</t>
        </is>
      </c>
      <c r="L54" s="46" t="inlineStr">
        <is>
          <t>October 1-8 outbound summary (FEFO)</t>
        </is>
      </c>
      <c r="M54" s="51">
        <f>IF(NOT(ISNUMBER($E54)),"",IF($C54="Receipt",$E54,IF($C54="Shipment",-$E54,IF($C54="Adjustment",$E54,0))))</f>
        <v>-16</v>
      </c>
      <c r="N54" s="49" t="str">
        <f>IF($D54="","",IFERROR(INDEX(Products!$B$2:$B$101,MATCH($D54,Products!$A$2:$A$101,0))&amp;"","(not found)"))</f>
        <v>Whey Protein Isolate, Chocolate, 5 lb</v>
      </c>
      <c r="O54" s="49" t="str">
        <f>IF($F54="","",IFERROR(INDEX(Batches!$B$2:$B$301,MATCH($F54,Batches!$A$2:$A$301,0))&amp;"","(not found)"))</f>
        <v>WPI-CHO-5LB</v>
      </c>
      <c r="P54" s="49" t="str">
        <f>IF(COUNTA($A54:$L54)=0,"",IF($A54="","Missing: entry ID",IF(COUNTIF($A$2:$A$2001,$A54)&gt;1,"Duplicate entry ID",IF(NOT(ISNUMBER($B54)),"Missing or invalid: date",IF($C54="","Missing: type",IF($D54="","Missing: SKU",IF(NOT(ISNUMBER($E54)),"Missing: qty",IF($F54="","Missing: lot",IF($I54="","Missing: source link",IF(COUNTIF(Config!$A$15:$A$34,$C54)=0,"Unsupported type",IF(COUNTIF(Products!$A$2:$A$101,$D54)=0,"Unknown SKU",IF(COUNTIFS(Batches!$A$2:$A$301,$F54,Batches!$B$2:$B$301,$D54)=0,"Unknown lot for this SKU",IF(AND($C54="Adjustment",$G54=""),"Missing: reason",IF(AND($G54&lt;&gt;"",COUNTIF(Config!$B$15:$B$34,$G54)=0),"Unsupported reason",IF(OR(INT($E54)&lt;&gt;$E54,AND(OR($C54="Receipt",$C54="Shipment"),$E54&lt;=0),AND($C54="Adjustment",$E54=0)),"Invalid qty",IF($B54&gt;Config!$B$4,"Date after the as-of date",IF($B54&lt;Config!$B$5,"Date before the opening balance date","OK")))))))))))))))))</f>
        <v>OK</v>
      </c>
    </row>
    <row r="55">
      <c r="A55" s="46" t="inlineStr">
        <is>
          <t>MV-2610-005</t>
        </is>
      </c>
      <c r="B55" s="54" t="n">
        <v>46303</v>
      </c>
      <c r="C55" s="46" t="inlineStr">
        <is>
          <t>Shipment</t>
        </is>
      </c>
      <c r="D55" s="46" t="inlineStr">
        <is>
          <t>PLT-CHO-2LB</t>
        </is>
      </c>
      <c r="E55" s="55" t="n">
        <v>35</v>
      </c>
      <c r="F55" s="46" t="inlineStr">
        <is>
          <t>PCH2412A</t>
        </is>
      </c>
      <c r="G55" s="46" t="n"/>
      <c r="H55" s="46" t="inlineStr">
        <is>
          <t>OB-2610</t>
        </is>
      </c>
      <c r="I55" s="46" t="inlineStr">
        <is>
          <t>https://example.com/3pl/outbound/2026-10</t>
        </is>
      </c>
      <c r="J55" s="46" t="inlineStr">
        <is>
          <t>3PL import</t>
        </is>
      </c>
      <c r="K55" s="46" t="inlineStr">
        <is>
          <t>warehouse-movements-2026-10-08.csv</t>
        </is>
      </c>
      <c r="L55" s="46" t="inlineStr">
        <is>
          <t>October 1-8 outbound summary (FEFO)</t>
        </is>
      </c>
      <c r="M55" s="51">
        <f>IF(NOT(ISNUMBER($E55)),"",IF($C55="Receipt",$E55,IF($C55="Shipment",-$E55,IF($C55="Adjustment",$E55,0))))</f>
        <v>-35</v>
      </c>
      <c r="N55" s="49" t="str">
        <f>IF($D55="","",IFERROR(INDEX(Products!$B$2:$B$101,MATCH($D55,Products!$A$2:$A$101,0))&amp;"","(not found)"))</f>
        <v>Plant Protein, Chocolate, 2 lb</v>
      </c>
      <c r="O55" s="49" t="str">
        <f>IF($F55="","",IFERROR(INDEX(Batches!$B$2:$B$301,MATCH($F55,Batches!$A$2:$A$301,0))&amp;"","(not found)"))</f>
        <v>PLT-CHO-2LB</v>
      </c>
      <c r="P55" s="49" t="str">
        <f>IF(COUNTA($A55:$L55)=0,"",IF($A55="","Missing: entry ID",IF(COUNTIF($A$2:$A$2001,$A55)&gt;1,"Duplicate entry ID",IF(NOT(ISNUMBER($B55)),"Missing or invalid: date",IF($C55="","Missing: type",IF($D55="","Missing: SKU",IF(NOT(ISNUMBER($E55)),"Missing: qty",IF($F55="","Missing: lot",IF($I55="","Missing: source link",IF(COUNTIF(Config!$A$15:$A$34,$C55)=0,"Unsupported type",IF(COUNTIF(Products!$A$2:$A$101,$D55)=0,"Unknown SKU",IF(COUNTIFS(Batches!$A$2:$A$301,$F55,Batches!$B$2:$B$301,$D55)=0,"Unknown lot for this SKU",IF(AND($C55="Adjustment",$G55=""),"Missing: reason",IF(AND($G55&lt;&gt;"",COUNTIF(Config!$B$15:$B$34,$G55)=0),"Unsupported reason",IF(OR(INT($E55)&lt;&gt;$E55,AND(OR($C55="Receipt",$C55="Shipment"),$E55&lt;=0),AND($C55="Adjustment",$E55=0)),"Invalid qty",IF($B55&gt;Config!$B$4,"Date after the as-of date",IF($B55&lt;Config!$B$5,"Date before the opening balance date","OK")))))))))))))))))</f>
        <v>OK</v>
      </c>
    </row>
    <row r="56">
      <c r="A56" s="46" t="inlineStr">
        <is>
          <t>MV-2610-006</t>
        </is>
      </c>
      <c r="B56" s="54" t="n">
        <v>46303</v>
      </c>
      <c r="C56" s="46" t="inlineStr">
        <is>
          <t>Shipment</t>
        </is>
      </c>
      <c r="D56" s="46" t="inlineStr">
        <is>
          <t>PLT-VAN-2LB</t>
        </is>
      </c>
      <c r="E56" s="55" t="n">
        <v>21</v>
      </c>
      <c r="F56" s="46" t="inlineStr">
        <is>
          <t>PVA2411A</t>
        </is>
      </c>
      <c r="G56" s="46" t="n"/>
      <c r="H56" s="46" t="inlineStr">
        <is>
          <t>OB-2610</t>
        </is>
      </c>
      <c r="I56" s="46" t="inlineStr">
        <is>
          <t>https://example.com/3pl/outbound/2026-10</t>
        </is>
      </c>
      <c r="J56" s="46" t="inlineStr">
        <is>
          <t>3PL import</t>
        </is>
      </c>
      <c r="K56" s="46" t="inlineStr">
        <is>
          <t>warehouse-movements-2026-10-08.csv</t>
        </is>
      </c>
      <c r="L56" s="46" t="inlineStr">
        <is>
          <t>October 1-8 outbound summary (FEFO)</t>
        </is>
      </c>
      <c r="M56" s="51">
        <f>IF(NOT(ISNUMBER($E56)),"",IF($C56="Receipt",$E56,IF($C56="Shipment",-$E56,IF($C56="Adjustment",$E56,0))))</f>
        <v>-21</v>
      </c>
      <c r="N56" s="49" t="str">
        <f>IF($D56="","",IFERROR(INDEX(Products!$B$2:$B$101,MATCH($D56,Products!$A$2:$A$101,0))&amp;"","(not found)"))</f>
        <v>Plant Protein, Vanilla, 2 lb</v>
      </c>
      <c r="O56" s="49" t="str">
        <f>IF($F56="","",IFERROR(INDEX(Batches!$B$2:$B$301,MATCH($F56,Batches!$A$2:$A$301,0))&amp;"","(not found)"))</f>
        <v>PLT-VAN-2LB</v>
      </c>
      <c r="P56" s="49" t="str">
        <f>IF(COUNTA($A56:$L56)=0,"",IF($A56="","Missing: entry ID",IF(COUNTIF($A$2:$A$2001,$A56)&gt;1,"Duplicate entry ID",IF(NOT(ISNUMBER($B56)),"Missing or invalid: date",IF($C56="","Missing: type",IF($D56="","Missing: SKU",IF(NOT(ISNUMBER($E56)),"Missing: qty",IF($F56="","Missing: lot",IF($I56="","Missing: source link",IF(COUNTIF(Config!$A$15:$A$34,$C56)=0,"Unsupported type",IF(COUNTIF(Products!$A$2:$A$101,$D56)=0,"Unknown SKU",IF(COUNTIFS(Batches!$A$2:$A$301,$F56,Batches!$B$2:$B$301,$D56)=0,"Unknown lot for this SKU",IF(AND($C56="Adjustment",$G56=""),"Missing: reason",IF(AND($G56&lt;&gt;"",COUNTIF(Config!$B$15:$B$34,$G56)=0),"Unsupported reason",IF(OR(INT($E56)&lt;&gt;$E56,AND(OR($C56="Receipt",$C56="Shipment"),$E56&lt;=0),AND($C56="Adjustment",$E56=0)),"Invalid qty",IF($B56&gt;Config!$B$4,"Date after the as-of date",IF($B56&lt;Config!$B$5,"Date before the opening balance date","OK")))))))))))))))))</f>
        <v>OK</v>
      </c>
    </row>
    <row r="57">
      <c r="A57" s="46" t="inlineStr">
        <is>
          <t>MV-2610-007</t>
        </is>
      </c>
      <c r="B57" s="54" t="n">
        <v>46303</v>
      </c>
      <c r="C57" s="46" t="inlineStr">
        <is>
          <t>Shipment</t>
        </is>
      </c>
      <c r="D57" s="46" t="inlineStr">
        <is>
          <t>BAR-PBC-12</t>
        </is>
      </c>
      <c r="E57" s="55" t="n">
        <v>150</v>
      </c>
      <c r="F57" s="46" t="inlineStr">
        <is>
          <t>PBC2511A</t>
        </is>
      </c>
      <c r="G57" s="46" t="n"/>
      <c r="H57" s="46" t="inlineStr">
        <is>
          <t>OB-2610</t>
        </is>
      </c>
      <c r="I57" s="46" t="inlineStr">
        <is>
          <t>https://example.com/3pl/outbound/2026-10</t>
        </is>
      </c>
      <c r="J57" s="46" t="inlineStr">
        <is>
          <t>3PL import</t>
        </is>
      </c>
      <c r="K57" s="46" t="inlineStr">
        <is>
          <t>warehouse-movements-2026-10-08.csv</t>
        </is>
      </c>
      <c r="L57" s="46" t="inlineStr">
        <is>
          <t>October 1-8 outbound summary (FEFO)</t>
        </is>
      </c>
      <c r="M57" s="51">
        <f>IF(NOT(ISNUMBER($E57)),"",IF($C57="Receipt",$E57,IF($C57="Shipment",-$E57,IF($C57="Adjustment",$E57,0))))</f>
        <v>-150</v>
      </c>
      <c r="N57" s="49" t="str">
        <f>IF($D57="","",IFERROR(INDEX(Products!$B$2:$B$101,MATCH($D57,Products!$A$2:$A$101,0))&amp;"","(not found)"))</f>
        <v>Protein Bar, Peanut Butter Chocolate, 12-pack</v>
      </c>
      <c r="O57" s="49" t="str">
        <f>IF($F57="","",IFERROR(INDEX(Batches!$B$2:$B$301,MATCH($F57,Batches!$A$2:$A$301,0))&amp;"","(not found)"))</f>
        <v>BAR-PBC-12</v>
      </c>
      <c r="P57" s="49" t="str">
        <f>IF(COUNTA($A57:$L57)=0,"",IF($A57="","Missing: entry ID",IF(COUNTIF($A$2:$A$2001,$A57)&gt;1,"Duplicate entry ID",IF(NOT(ISNUMBER($B57)),"Missing or invalid: date",IF($C57="","Missing: type",IF($D57="","Missing: SKU",IF(NOT(ISNUMBER($E57)),"Missing: qty",IF($F57="","Missing: lot",IF($I57="","Missing: source link",IF(COUNTIF(Config!$A$15:$A$34,$C57)=0,"Unsupported type",IF(COUNTIF(Products!$A$2:$A$101,$D57)=0,"Unknown SKU",IF(COUNTIFS(Batches!$A$2:$A$301,$F57,Batches!$B$2:$B$301,$D57)=0,"Unknown lot for this SKU",IF(AND($C57="Adjustment",$G57=""),"Missing: reason",IF(AND($G57&lt;&gt;"",COUNTIF(Config!$B$15:$B$34,$G57)=0),"Unsupported reason",IF(OR(INT($E57)&lt;&gt;$E57,AND(OR($C57="Receipt",$C57="Shipment"),$E57&lt;=0),AND($C57="Adjustment",$E57=0)),"Invalid qty",IF($B57&gt;Config!$B$4,"Date after the as-of date",IF($B57&lt;Config!$B$5,"Date before the opening balance date","OK")))))))))))))))))</f>
        <v>OK</v>
      </c>
    </row>
    <row r="58">
      <c r="A58" s="46" t="inlineStr">
        <is>
          <t>MV-2610-008</t>
        </is>
      </c>
      <c r="B58" s="54" t="n">
        <v>46303</v>
      </c>
      <c r="C58" s="46" t="inlineStr">
        <is>
          <t>Shipment</t>
        </is>
      </c>
      <c r="D58" s="46" t="inlineStr">
        <is>
          <t>BAR-CKD-12</t>
        </is>
      </c>
      <c r="E58" s="55" t="n">
        <v>132</v>
      </c>
      <c r="F58" s="46" t="inlineStr">
        <is>
          <t>CKD2511A</t>
        </is>
      </c>
      <c r="G58" s="46" t="n"/>
      <c r="H58" s="46" t="inlineStr">
        <is>
          <t>OB-2610</t>
        </is>
      </c>
      <c r="I58" s="46" t="inlineStr">
        <is>
          <t>https://example.com/3pl/outbound/2026-10</t>
        </is>
      </c>
      <c r="J58" s="46" t="inlineStr">
        <is>
          <t>3PL import</t>
        </is>
      </c>
      <c r="K58" s="46" t="inlineStr">
        <is>
          <t>warehouse-movements-2026-10-08.csv</t>
        </is>
      </c>
      <c r="L58" s="46" t="inlineStr">
        <is>
          <t>October 1-8 outbound summary (FEFO)</t>
        </is>
      </c>
      <c r="M58" s="51">
        <f>IF(NOT(ISNUMBER($E58)),"",IF($C58="Receipt",$E58,IF($C58="Shipment",-$E58,IF($C58="Adjustment",$E58,0))))</f>
        <v>-132</v>
      </c>
      <c r="N58" s="49" t="str">
        <f>IF($D58="","",IFERROR(INDEX(Products!$B$2:$B$101,MATCH($D58,Products!$A$2:$A$101,0))&amp;"","(not found)"))</f>
        <v>Protein Bar, Cookie Dough, 12-pack</v>
      </c>
      <c r="O58" s="49" t="str">
        <f>IF($F58="","",IFERROR(INDEX(Batches!$B$2:$B$301,MATCH($F58,Batches!$A$2:$A$301,0))&amp;"","(not found)"))</f>
        <v>BAR-CKD-12</v>
      </c>
      <c r="P58" s="49" t="str">
        <f>IF(COUNTA($A58:$L58)=0,"",IF($A58="","Missing: entry ID",IF(COUNTIF($A$2:$A$2001,$A58)&gt;1,"Duplicate entry ID",IF(NOT(ISNUMBER($B58)),"Missing or invalid: date",IF($C58="","Missing: type",IF($D58="","Missing: SKU",IF(NOT(ISNUMBER($E58)),"Missing: qty",IF($F58="","Missing: lot",IF($I58="","Missing: source link",IF(COUNTIF(Config!$A$15:$A$34,$C58)=0,"Unsupported type",IF(COUNTIF(Products!$A$2:$A$101,$D58)=0,"Unknown SKU",IF(COUNTIFS(Batches!$A$2:$A$301,$F58,Batches!$B$2:$B$301,$D58)=0,"Unknown lot for this SKU",IF(AND($C58="Adjustment",$G58=""),"Missing: reason",IF(AND($G58&lt;&gt;"",COUNTIF(Config!$B$15:$B$34,$G58)=0),"Unsupported reason",IF(OR(INT($E58)&lt;&gt;$E58,AND(OR($C58="Receipt",$C58="Shipment"),$E58&lt;=0),AND($C58="Adjustment",$E58=0)),"Invalid qty",IF($B58&gt;Config!$B$4,"Date after the as-of date",IF($B58&lt;Config!$B$5,"Date before the opening balance date","OK")))))))))))))))))</f>
        <v>OK</v>
      </c>
    </row>
    <row r="59">
      <c r="A59" s="46" t="inlineStr">
        <is>
          <t>MV-2610-009</t>
        </is>
      </c>
      <c r="B59" s="54" t="n">
        <v>46303</v>
      </c>
      <c r="C59" s="46" t="inlineStr">
        <is>
          <t>Shipment</t>
        </is>
      </c>
      <c r="D59" s="46" t="inlineStr">
        <is>
          <t>CRE-UNF-300G</t>
        </is>
      </c>
      <c r="E59" s="55" t="n">
        <v>71</v>
      </c>
      <c r="F59" s="46" t="inlineStr">
        <is>
          <t>CRT2505A</t>
        </is>
      </c>
      <c r="G59" s="46" t="n"/>
      <c r="H59" s="46" t="inlineStr">
        <is>
          <t>OB-2610</t>
        </is>
      </c>
      <c r="I59" s="46" t="inlineStr">
        <is>
          <t>https://example.com/3pl/outbound/2026-10</t>
        </is>
      </c>
      <c r="J59" s="46" t="inlineStr">
        <is>
          <t>3PL import</t>
        </is>
      </c>
      <c r="K59" s="46" t="inlineStr">
        <is>
          <t>warehouse-movements-2026-10-08.csv</t>
        </is>
      </c>
      <c r="L59" s="46" t="inlineStr">
        <is>
          <t>October 1-8 outbound summary (FEFO)</t>
        </is>
      </c>
      <c r="M59" s="51">
        <f>IF(NOT(ISNUMBER($E59)),"",IF($C59="Receipt",$E59,IF($C59="Shipment",-$E59,IF($C59="Adjustment",$E59,0))))</f>
        <v>-71</v>
      </c>
      <c r="N59" s="49" t="str">
        <f>IF($D59="","",IFERROR(INDEX(Products!$B$2:$B$101,MATCH($D59,Products!$A$2:$A$101,0))&amp;"","(not found)"))</f>
        <v>Creatine Monohydrate, Unflavoured, 300 g</v>
      </c>
      <c r="O59" s="49" t="str">
        <f>IF($F59="","",IFERROR(INDEX(Batches!$B$2:$B$301,MATCH($F59,Batches!$A$2:$A$301,0))&amp;"","(not found)"))</f>
        <v>CRE-UNF-300G</v>
      </c>
      <c r="P59" s="49" t="str">
        <f>IF(COUNTA($A59:$L59)=0,"",IF($A59="","Missing: entry ID",IF(COUNTIF($A$2:$A$2001,$A59)&gt;1,"Duplicate entry ID",IF(NOT(ISNUMBER($B59)),"Missing or invalid: date",IF($C59="","Missing: type",IF($D59="","Missing: SKU",IF(NOT(ISNUMBER($E59)),"Missing: qty",IF($F59="","Missing: lot",IF($I59="","Missing: source link",IF(COUNTIF(Config!$A$15:$A$34,$C59)=0,"Unsupported type",IF(COUNTIF(Products!$A$2:$A$101,$D59)=0,"Unknown SKU",IF(COUNTIFS(Batches!$A$2:$A$301,$F59,Batches!$B$2:$B$301,$D59)=0,"Unknown lot for this SKU",IF(AND($C59="Adjustment",$G59=""),"Missing: reason",IF(AND($G59&lt;&gt;"",COUNTIF(Config!$B$15:$B$34,$G59)=0),"Unsupported reason",IF(OR(INT($E59)&lt;&gt;$E59,AND(OR($C59="Receipt",$C59="Shipment"),$E59&lt;=0),AND($C59="Adjustment",$E59=0)),"Invalid qty",IF($B59&gt;Config!$B$4,"Date after the as-of date",IF($B59&lt;Config!$B$5,"Date before the opening balance date","OK")))))))))))))))))</f>
        <v>OK</v>
      </c>
    </row>
    <row r="60">
      <c r="A60" s="46" t="inlineStr">
        <is>
          <t>MV-2610-010</t>
        </is>
      </c>
      <c r="B60" s="54" t="n">
        <v>46303</v>
      </c>
      <c r="C60" s="46" t="inlineStr">
        <is>
          <t>Shipment</t>
        </is>
      </c>
      <c r="D60" s="46" t="inlineStr">
        <is>
          <t>CRE-UNF-500G</t>
        </is>
      </c>
      <c r="E60" s="55" t="n">
        <v>28</v>
      </c>
      <c r="F60" s="46" t="inlineStr">
        <is>
          <t>CRL2504A</t>
        </is>
      </c>
      <c r="G60" s="46" t="n"/>
      <c r="H60" s="46" t="inlineStr">
        <is>
          <t>OB-2610</t>
        </is>
      </c>
      <c r="I60" s="46" t="inlineStr">
        <is>
          <t>https://example.com/3pl/outbound/2026-10</t>
        </is>
      </c>
      <c r="J60" s="46" t="inlineStr">
        <is>
          <t>3PL import</t>
        </is>
      </c>
      <c r="K60" s="46" t="inlineStr">
        <is>
          <t>warehouse-movements-2026-10-08.csv</t>
        </is>
      </c>
      <c r="L60" s="46" t="inlineStr">
        <is>
          <t>October 1-8 outbound summary (FEFO)</t>
        </is>
      </c>
      <c r="M60" s="51">
        <f>IF(NOT(ISNUMBER($E60)),"",IF($C60="Receipt",$E60,IF($C60="Shipment",-$E60,IF($C60="Adjustment",$E60,0))))</f>
        <v>-28</v>
      </c>
      <c r="N60" s="49" t="str">
        <f>IF($D60="","",IFERROR(INDEX(Products!$B$2:$B$101,MATCH($D60,Products!$A$2:$A$101,0))&amp;"","(not found)"))</f>
        <v>Creatine Monohydrate, Unflavoured, 500 g</v>
      </c>
      <c r="O60" s="49" t="str">
        <f>IF($F60="","",IFERROR(INDEX(Batches!$B$2:$B$301,MATCH($F60,Batches!$A$2:$A$301,0))&amp;"","(not found)"))</f>
        <v>CRE-UNF-500G</v>
      </c>
      <c r="P60" s="49" t="str">
        <f>IF(COUNTA($A60:$L60)=0,"",IF($A60="","Missing: entry ID",IF(COUNTIF($A$2:$A$2001,$A60)&gt;1,"Duplicate entry ID",IF(NOT(ISNUMBER($B60)),"Missing or invalid: date",IF($C60="","Missing: type",IF($D60="","Missing: SKU",IF(NOT(ISNUMBER($E60)),"Missing: qty",IF($F60="","Missing: lot",IF($I60="","Missing: source link",IF(COUNTIF(Config!$A$15:$A$34,$C60)=0,"Unsupported type",IF(COUNTIF(Products!$A$2:$A$101,$D60)=0,"Unknown SKU",IF(COUNTIFS(Batches!$A$2:$A$301,$F60,Batches!$B$2:$B$301,$D60)=0,"Unknown lot for this SKU",IF(AND($C60="Adjustment",$G60=""),"Missing: reason",IF(AND($G60&lt;&gt;"",COUNTIF(Config!$B$15:$B$34,$G60)=0),"Unsupported reason",IF(OR(INT($E60)&lt;&gt;$E60,AND(OR($C60="Receipt",$C60="Shipment"),$E60&lt;=0),AND($C60="Adjustment",$E60=0)),"Invalid qty",IF($B60&gt;Config!$B$4,"Date after the as-of date",IF($B60&lt;Config!$B$5,"Date before the opening balance date","OK")))))))))))))))))</f>
        <v>OK</v>
      </c>
    </row>
    <row r="61">
      <c r="A61" s="46" t="inlineStr">
        <is>
          <t>MV-2610-011</t>
        </is>
      </c>
      <c r="B61" s="54" t="n">
        <v>46303</v>
      </c>
      <c r="C61" s="46" t="inlineStr">
        <is>
          <t>Shipment</t>
        </is>
      </c>
      <c r="D61" s="46" t="inlineStr">
        <is>
          <t>PRE-BRZ-30</t>
        </is>
      </c>
      <c r="E61" s="55" t="n">
        <v>50</v>
      </c>
      <c r="F61" s="46" t="inlineStr">
        <is>
          <t>PBZ2501A</t>
        </is>
      </c>
      <c r="G61" s="46" t="n"/>
      <c r="H61" s="46" t="inlineStr">
        <is>
          <t>OB-2610</t>
        </is>
      </c>
      <c r="I61" s="46" t="inlineStr">
        <is>
          <t>https://example.com/3pl/outbound/2026-10</t>
        </is>
      </c>
      <c r="J61" s="46" t="inlineStr">
        <is>
          <t>3PL import</t>
        </is>
      </c>
      <c r="K61" s="46" t="inlineStr">
        <is>
          <t>warehouse-movements-2026-10-08.csv</t>
        </is>
      </c>
      <c r="L61" s="46" t="inlineStr">
        <is>
          <t>October 1-8 outbound summary (FEFO)</t>
        </is>
      </c>
      <c r="M61" s="51">
        <f>IF(NOT(ISNUMBER($E61)),"",IF($C61="Receipt",$E61,IF($C61="Shipment",-$E61,IF($C61="Adjustment",$E61,0))))</f>
        <v>-50</v>
      </c>
      <c r="N61" s="49" t="str">
        <f>IF($D61="","",IFERROR(INDEX(Products!$B$2:$B$101,MATCH($D61,Products!$A$2:$A$101,0))&amp;"","(not found)"))</f>
        <v>Pre-Workout, Blue Raspberry, 30 servings</v>
      </c>
      <c r="O61" s="49" t="str">
        <f>IF($F61="","",IFERROR(INDEX(Batches!$B$2:$B$301,MATCH($F61,Batches!$A$2:$A$301,0))&amp;"","(not found)"))</f>
        <v>PRE-BRZ-30</v>
      </c>
      <c r="P61" s="49" t="str">
        <f>IF(COUNTA($A61:$L61)=0,"",IF($A61="","Missing: entry ID",IF(COUNTIF($A$2:$A$2001,$A61)&gt;1,"Duplicate entry ID",IF(NOT(ISNUMBER($B61)),"Missing or invalid: date",IF($C61="","Missing: type",IF($D61="","Missing: SKU",IF(NOT(ISNUMBER($E61)),"Missing: qty",IF($F61="","Missing: lot",IF($I61="","Missing: source link",IF(COUNTIF(Config!$A$15:$A$34,$C61)=0,"Unsupported type",IF(COUNTIF(Products!$A$2:$A$101,$D61)=0,"Unknown SKU",IF(COUNTIFS(Batches!$A$2:$A$301,$F61,Batches!$B$2:$B$301,$D61)=0,"Unknown lot for this SKU",IF(AND($C61="Adjustment",$G61=""),"Missing: reason",IF(AND($G61&lt;&gt;"",COUNTIF(Config!$B$15:$B$34,$G61)=0),"Unsupported reason",IF(OR(INT($E61)&lt;&gt;$E61,AND(OR($C61="Receipt",$C61="Shipment"),$E61&lt;=0),AND($C61="Adjustment",$E61=0)),"Invalid qty",IF($B61&gt;Config!$B$4,"Date after the as-of date",IF($B61&lt;Config!$B$5,"Date before the opening balance date","OK")))))))))))))))))</f>
        <v>OK</v>
      </c>
    </row>
    <row r="62">
      <c r="A62" s="46" t="inlineStr">
        <is>
          <t>MV-2610-012</t>
        </is>
      </c>
      <c r="B62" s="54" t="n">
        <v>46303</v>
      </c>
      <c r="C62" s="46" t="inlineStr">
        <is>
          <t>Shipment</t>
        </is>
      </c>
      <c r="D62" s="46" t="inlineStr">
        <is>
          <t>PRE-WTM-30</t>
        </is>
      </c>
      <c r="E62" s="55" t="n">
        <v>33</v>
      </c>
      <c r="F62" s="46" t="inlineStr">
        <is>
          <t>PWM2504A</t>
        </is>
      </c>
      <c r="G62" s="46" t="n"/>
      <c r="H62" s="46" t="inlineStr">
        <is>
          <t>OB-2610</t>
        </is>
      </c>
      <c r="I62" s="46" t="inlineStr">
        <is>
          <t>https://example.com/3pl/outbound/2026-10</t>
        </is>
      </c>
      <c r="J62" s="46" t="inlineStr">
        <is>
          <t>3PL import</t>
        </is>
      </c>
      <c r="K62" s="46" t="inlineStr">
        <is>
          <t>warehouse-movements-2026-10-08.csv</t>
        </is>
      </c>
      <c r="L62" s="46" t="inlineStr">
        <is>
          <t>October 1-8 outbound summary (FEFO)</t>
        </is>
      </c>
      <c r="M62" s="51">
        <f>IF(NOT(ISNUMBER($E62)),"",IF($C62="Receipt",$E62,IF($C62="Shipment",-$E62,IF($C62="Adjustment",$E62,0))))</f>
        <v>-33</v>
      </c>
      <c r="N62" s="49" t="str">
        <f>IF($D62="","",IFERROR(INDEX(Products!$B$2:$B$101,MATCH($D62,Products!$A$2:$A$101,0))&amp;"","(not found)"))</f>
        <v>Pre-Workout, Watermelon, 30 servings</v>
      </c>
      <c r="O62" s="49" t="str">
        <f>IF($F62="","",IFERROR(INDEX(Batches!$B$2:$B$301,MATCH($F62,Batches!$A$2:$A$301,0))&amp;"","(not found)"))</f>
        <v>PRE-WTM-30</v>
      </c>
      <c r="P62" s="49" t="str">
        <f>IF(COUNTA($A62:$L62)=0,"",IF($A62="","Missing: entry ID",IF(COUNTIF($A$2:$A$2001,$A62)&gt;1,"Duplicate entry ID",IF(NOT(ISNUMBER($B62)),"Missing or invalid: date",IF($C62="","Missing: type",IF($D62="","Missing: SKU",IF(NOT(ISNUMBER($E62)),"Missing: qty",IF($F62="","Missing: lot",IF($I62="","Missing: source link",IF(COUNTIF(Config!$A$15:$A$34,$C62)=0,"Unsupported type",IF(COUNTIF(Products!$A$2:$A$101,$D62)=0,"Unknown SKU",IF(COUNTIFS(Batches!$A$2:$A$301,$F62,Batches!$B$2:$B$301,$D62)=0,"Unknown lot for this SKU",IF(AND($C62="Adjustment",$G62=""),"Missing: reason",IF(AND($G62&lt;&gt;"",COUNTIF(Config!$B$15:$B$34,$G62)=0),"Unsupported reason",IF(OR(INT($E62)&lt;&gt;$E62,AND(OR($C62="Receipt",$C62="Shipment"),$E62&lt;=0),AND($C62="Adjustment",$E62=0)),"Invalid qty",IF($B62&gt;Config!$B$4,"Date after the as-of date",IF($B62&lt;Config!$B$5,"Date before the opening balance date","OK")))))))))))))))))</f>
        <v>OK</v>
      </c>
    </row>
    <row r="63">
      <c r="A63" s="46" t="inlineStr">
        <is>
          <t>MV-2610-013</t>
        </is>
      </c>
      <c r="B63" s="54" t="n">
        <v>46303</v>
      </c>
      <c r="C63" s="46" t="inlineStr">
        <is>
          <t>Shipment</t>
        </is>
      </c>
      <c r="D63" s="46" t="inlineStr">
        <is>
          <t>CAS-CHO-2LB</t>
        </is>
      </c>
      <c r="E63" s="55" t="n">
        <v>18</v>
      </c>
      <c r="F63" s="46" t="inlineStr">
        <is>
          <t>CCA2412A</t>
        </is>
      </c>
      <c r="G63" s="46" t="n"/>
      <c r="H63" s="46" t="inlineStr">
        <is>
          <t>OB-2610</t>
        </is>
      </c>
      <c r="I63" s="46" t="inlineStr">
        <is>
          <t>https://example.com/3pl/outbound/2026-10</t>
        </is>
      </c>
      <c r="J63" s="46" t="inlineStr">
        <is>
          <t>3PL import</t>
        </is>
      </c>
      <c r="K63" s="46" t="inlineStr">
        <is>
          <t>warehouse-movements-2026-10-08.csv</t>
        </is>
      </c>
      <c r="L63" s="46" t="inlineStr">
        <is>
          <t>October 1-8 outbound summary (FEFO)</t>
        </is>
      </c>
      <c r="M63" s="51">
        <f>IF(NOT(ISNUMBER($E63)),"",IF($C63="Receipt",$E63,IF($C63="Shipment",-$E63,IF($C63="Adjustment",$E63,0))))</f>
        <v>-18</v>
      </c>
      <c r="N63" s="49" t="str">
        <f>IF($D63="","",IFERROR(INDEX(Products!$B$2:$B$101,MATCH($D63,Products!$A$2:$A$101,0))&amp;"","(not found)"))</f>
        <v>Micellar Casein, Chocolate, 2 lb</v>
      </c>
      <c r="O63" s="49" t="str">
        <f>IF($F63="","",IFERROR(INDEX(Batches!$B$2:$B$301,MATCH($F63,Batches!$A$2:$A$301,0))&amp;"","(not found)"))</f>
        <v>CAS-CHO-2LB</v>
      </c>
      <c r="P63" s="49" t="str">
        <f>IF(COUNTA($A63:$L63)=0,"",IF($A63="","Missing: entry ID",IF(COUNTIF($A$2:$A$2001,$A63)&gt;1,"Duplicate entry ID",IF(NOT(ISNUMBER($B63)),"Missing or invalid: date",IF($C63="","Missing: type",IF($D63="","Missing: SKU",IF(NOT(ISNUMBER($E63)),"Missing: qty",IF($F63="","Missing: lot",IF($I63="","Missing: source link",IF(COUNTIF(Config!$A$15:$A$34,$C63)=0,"Unsupported type",IF(COUNTIF(Products!$A$2:$A$101,$D63)=0,"Unknown SKU",IF(COUNTIFS(Batches!$A$2:$A$301,$F63,Batches!$B$2:$B$301,$D63)=0,"Unknown lot for this SKU",IF(AND($C63="Adjustment",$G63=""),"Missing: reason",IF(AND($G63&lt;&gt;"",COUNTIF(Config!$B$15:$B$34,$G63)=0),"Unsupported reason",IF(OR(INT($E63)&lt;&gt;$E63,AND(OR($C63="Receipt",$C63="Shipment"),$E63&lt;=0),AND($C63="Adjustment",$E63=0)),"Invalid qty",IF($B63&gt;Config!$B$4,"Date after the as-of date",IF($B63&lt;Config!$B$5,"Date before the opening balance date","OK")))))))))))))))))</f>
        <v>OK</v>
      </c>
    </row>
    <row r="64">
      <c r="A64" s="46" t="n"/>
      <c r="B64" s="54" t="n"/>
      <c r="C64" s="46" t="n"/>
      <c r="D64" s="46" t="n"/>
      <c r="E64" s="55" t="n"/>
      <c r="F64" s="46" t="n"/>
      <c r="G64" s="46" t="n"/>
      <c r="H64" s="46" t="n"/>
      <c r="I64" s="46" t="n"/>
      <c r="J64" s="46" t="n"/>
      <c r="K64" s="46" t="n"/>
      <c r="L64" s="46" t="n"/>
      <c r="M64" s="51" t="str">
        <f>IF(NOT(ISNUMBER($E64)),"",IF($C64="Receipt",$E64,IF($C64="Shipment",-$E64,IF($C64="Adjustment",$E64,0))))</f>
        <v/>
      </c>
      <c r="N64" s="49" t="str">
        <f>IF($D64="","",IFERROR(INDEX(Products!$B$2:$B$101,MATCH($D64,Products!$A$2:$A$101,0))&amp;"","(not found)"))</f>
        <v/>
      </c>
      <c r="O64" s="49" t="str">
        <f>IF($F64="","",IFERROR(INDEX(Batches!$B$2:$B$301,MATCH($F64,Batches!$A$2:$A$301,0))&amp;"","(not found)"))</f>
        <v/>
      </c>
      <c r="P64" s="49" t="str">
        <f>IF(COUNTA($A64:$L64)=0,"",IF($A64="","Missing: entry ID",IF(COUNTIF($A$2:$A$2001,$A64)&gt;1,"Duplicate entry ID",IF(NOT(ISNUMBER($B64)),"Missing or invalid: date",IF($C64="","Missing: type",IF($D64="","Missing: SKU",IF(NOT(ISNUMBER($E64)),"Missing: qty",IF($F64="","Missing: lot",IF($I64="","Missing: source link",IF(COUNTIF(Config!$A$15:$A$34,$C64)=0,"Unsupported type",IF(COUNTIF(Products!$A$2:$A$101,$D64)=0,"Unknown SKU",IF(COUNTIFS(Batches!$A$2:$A$301,$F64,Batches!$B$2:$B$301,$D64)=0,"Unknown lot for this SKU",IF(AND($C64="Adjustment",$G64=""),"Missing: reason",IF(AND($G64&lt;&gt;"",COUNTIF(Config!$B$15:$B$34,$G64)=0),"Unsupported reason",IF(OR(INT($E64)&lt;&gt;$E64,AND(OR($C64="Receipt",$C64="Shipment"),$E64&lt;=0),AND($C64="Adjustment",$E64=0)),"Invalid qty",IF($B64&gt;Config!$B$4,"Date after the as-of date",IF($B64&lt;Config!$B$5,"Date before the opening balance date","OK")))))))))))))))))</f>
        <v/>
      </c>
    </row>
    <row r="65">
      <c r="A65" s="46" t="n"/>
      <c r="B65" s="54" t="n"/>
      <c r="C65" s="46" t="n"/>
      <c r="D65" s="46" t="n"/>
      <c r="E65" s="55" t="n"/>
      <c r="F65" s="46" t="n"/>
      <c r="G65" s="46" t="n"/>
      <c r="H65" s="46" t="n"/>
      <c r="I65" s="46" t="n"/>
      <c r="J65" s="46" t="n"/>
      <c r="K65" s="46" t="n"/>
      <c r="L65" s="46" t="n"/>
      <c r="M65" s="51" t="str">
        <f>IF(NOT(ISNUMBER($E65)),"",IF($C65="Receipt",$E65,IF($C65="Shipment",-$E65,IF($C65="Adjustment",$E65,0))))</f>
        <v/>
      </c>
      <c r="N65" s="49" t="str">
        <f>IF($D65="","",IFERROR(INDEX(Products!$B$2:$B$101,MATCH($D65,Products!$A$2:$A$101,0))&amp;"","(not found)"))</f>
        <v/>
      </c>
      <c r="O65" s="49" t="str">
        <f>IF($F65="","",IFERROR(INDEX(Batches!$B$2:$B$301,MATCH($F65,Batches!$A$2:$A$301,0))&amp;"","(not found)"))</f>
        <v/>
      </c>
      <c r="P65" s="49" t="str">
        <f>IF(COUNTA($A65:$L65)=0,"",IF($A65="","Missing: entry ID",IF(COUNTIF($A$2:$A$2001,$A65)&gt;1,"Duplicate entry ID",IF(NOT(ISNUMBER($B65)),"Missing or invalid: date",IF($C65="","Missing: type",IF($D65="","Missing: SKU",IF(NOT(ISNUMBER($E65)),"Missing: qty",IF($F65="","Missing: lot",IF($I65="","Missing: source link",IF(COUNTIF(Config!$A$15:$A$34,$C65)=0,"Unsupported type",IF(COUNTIF(Products!$A$2:$A$101,$D65)=0,"Unknown SKU",IF(COUNTIFS(Batches!$A$2:$A$301,$F65,Batches!$B$2:$B$301,$D65)=0,"Unknown lot for this SKU",IF(AND($C65="Adjustment",$G65=""),"Missing: reason",IF(AND($G65&lt;&gt;"",COUNTIF(Config!$B$15:$B$34,$G65)=0),"Unsupported reason",IF(OR(INT($E65)&lt;&gt;$E65,AND(OR($C65="Receipt",$C65="Shipment"),$E65&lt;=0),AND($C65="Adjustment",$E65=0)),"Invalid qty",IF($B65&gt;Config!$B$4,"Date after the as-of date",IF($B65&lt;Config!$B$5,"Date before the opening balance date","OK")))))))))))))))))</f>
        <v/>
      </c>
    </row>
    <row r="66">
      <c r="A66" s="46" t="n"/>
      <c r="B66" s="54" t="n"/>
      <c r="C66" s="46" t="n"/>
      <c r="D66" s="46" t="n"/>
      <c r="E66" s="55" t="n"/>
      <c r="F66" s="46" t="n"/>
      <c r="G66" s="46" t="n"/>
      <c r="H66" s="46" t="n"/>
      <c r="I66" s="46" t="n"/>
      <c r="J66" s="46" t="n"/>
      <c r="K66" s="46" t="n"/>
      <c r="L66" s="46" t="n"/>
      <c r="M66" s="51" t="str">
        <f>IF(NOT(ISNUMBER($E66)),"",IF($C66="Receipt",$E66,IF($C66="Shipment",-$E66,IF($C66="Adjustment",$E66,0))))</f>
        <v/>
      </c>
      <c r="N66" s="49" t="str">
        <f>IF($D66="","",IFERROR(INDEX(Products!$B$2:$B$101,MATCH($D66,Products!$A$2:$A$101,0))&amp;"","(not found)"))</f>
        <v/>
      </c>
      <c r="O66" s="49" t="str">
        <f>IF($F66="","",IFERROR(INDEX(Batches!$B$2:$B$301,MATCH($F66,Batches!$A$2:$A$301,0))&amp;"","(not found)"))</f>
        <v/>
      </c>
      <c r="P66" s="49" t="str">
        <f>IF(COUNTA($A66:$L66)=0,"",IF($A66="","Missing: entry ID",IF(COUNTIF($A$2:$A$2001,$A66)&gt;1,"Duplicate entry ID",IF(NOT(ISNUMBER($B66)),"Missing or invalid: date",IF($C66="","Missing: type",IF($D66="","Missing: SKU",IF(NOT(ISNUMBER($E66)),"Missing: qty",IF($F66="","Missing: lot",IF($I66="","Missing: source link",IF(COUNTIF(Config!$A$15:$A$34,$C66)=0,"Unsupported type",IF(COUNTIF(Products!$A$2:$A$101,$D66)=0,"Unknown SKU",IF(COUNTIFS(Batches!$A$2:$A$301,$F66,Batches!$B$2:$B$301,$D66)=0,"Unknown lot for this SKU",IF(AND($C66="Adjustment",$G66=""),"Missing: reason",IF(AND($G66&lt;&gt;"",COUNTIF(Config!$B$15:$B$34,$G66)=0),"Unsupported reason",IF(OR(INT($E66)&lt;&gt;$E66,AND(OR($C66="Receipt",$C66="Shipment"),$E66&lt;=0),AND($C66="Adjustment",$E66=0)),"Invalid qty",IF($B66&gt;Config!$B$4,"Date after the as-of date",IF($B66&lt;Config!$B$5,"Date before the opening balance date","OK")))))))))))))))))</f>
        <v/>
      </c>
    </row>
    <row r="67">
      <c r="A67" s="46" t="n"/>
      <c r="B67" s="54" t="n"/>
      <c r="C67" s="46" t="n"/>
      <c r="D67" s="46" t="n"/>
      <c r="E67" s="55" t="n"/>
      <c r="F67" s="46" t="n"/>
      <c r="G67" s="46" t="n"/>
      <c r="H67" s="46" t="n"/>
      <c r="I67" s="46" t="n"/>
      <c r="J67" s="46" t="n"/>
      <c r="K67" s="46" t="n"/>
      <c r="L67" s="46" t="n"/>
      <c r="M67" s="51" t="str">
        <f>IF(NOT(ISNUMBER($E67)),"",IF($C67="Receipt",$E67,IF($C67="Shipment",-$E67,IF($C67="Adjustment",$E67,0))))</f>
        <v/>
      </c>
      <c r="N67" s="49" t="str">
        <f>IF($D67="","",IFERROR(INDEX(Products!$B$2:$B$101,MATCH($D67,Products!$A$2:$A$101,0))&amp;"","(not found)"))</f>
        <v/>
      </c>
      <c r="O67" s="49" t="str">
        <f>IF($F67="","",IFERROR(INDEX(Batches!$B$2:$B$301,MATCH($F67,Batches!$A$2:$A$301,0))&amp;"","(not found)"))</f>
        <v/>
      </c>
      <c r="P67" s="49" t="str">
        <f>IF(COUNTA($A67:$L67)=0,"",IF($A67="","Missing: entry ID",IF(COUNTIF($A$2:$A$2001,$A67)&gt;1,"Duplicate entry ID",IF(NOT(ISNUMBER($B67)),"Missing or invalid: date",IF($C67="","Missing: type",IF($D67="","Missing: SKU",IF(NOT(ISNUMBER($E67)),"Missing: qty",IF($F67="","Missing: lot",IF($I67="","Missing: source link",IF(COUNTIF(Config!$A$15:$A$34,$C67)=0,"Unsupported type",IF(COUNTIF(Products!$A$2:$A$101,$D67)=0,"Unknown SKU",IF(COUNTIFS(Batches!$A$2:$A$301,$F67,Batches!$B$2:$B$301,$D67)=0,"Unknown lot for this SKU",IF(AND($C67="Adjustment",$G67=""),"Missing: reason",IF(AND($G67&lt;&gt;"",COUNTIF(Config!$B$15:$B$34,$G67)=0),"Unsupported reason",IF(OR(INT($E67)&lt;&gt;$E67,AND(OR($C67="Receipt",$C67="Shipment"),$E67&lt;=0),AND($C67="Adjustment",$E67=0)),"Invalid qty",IF($B67&gt;Config!$B$4,"Date after the as-of date",IF($B67&lt;Config!$B$5,"Date before the opening balance date","OK")))))))))))))))))</f>
        <v/>
      </c>
    </row>
    <row r="68">
      <c r="A68" s="46" t="n"/>
      <c r="B68" s="54" t="n"/>
      <c r="C68" s="46" t="n"/>
      <c r="D68" s="46" t="n"/>
      <c r="E68" s="55" t="n"/>
      <c r="F68" s="46" t="n"/>
      <c r="G68" s="46" t="n"/>
      <c r="H68" s="46" t="n"/>
      <c r="I68" s="46" t="n"/>
      <c r="J68" s="46" t="n"/>
      <c r="K68" s="46" t="n"/>
      <c r="L68" s="46" t="n"/>
      <c r="M68" s="51" t="str">
        <f>IF(NOT(ISNUMBER($E68)),"",IF($C68="Receipt",$E68,IF($C68="Shipment",-$E68,IF($C68="Adjustment",$E68,0))))</f>
        <v/>
      </c>
      <c r="N68" s="49" t="str">
        <f>IF($D68="","",IFERROR(INDEX(Products!$B$2:$B$101,MATCH($D68,Products!$A$2:$A$101,0))&amp;"","(not found)"))</f>
        <v/>
      </c>
      <c r="O68" s="49" t="str">
        <f>IF($F68="","",IFERROR(INDEX(Batches!$B$2:$B$301,MATCH($F68,Batches!$A$2:$A$301,0))&amp;"","(not found)"))</f>
        <v/>
      </c>
      <c r="P68" s="49" t="str">
        <f>IF(COUNTA($A68:$L68)=0,"",IF($A68="","Missing: entry ID",IF(COUNTIF($A$2:$A$2001,$A68)&gt;1,"Duplicate entry ID",IF(NOT(ISNUMBER($B68)),"Missing or invalid: date",IF($C68="","Missing: type",IF($D68="","Missing: SKU",IF(NOT(ISNUMBER($E68)),"Missing: qty",IF($F68="","Missing: lot",IF($I68="","Missing: source link",IF(COUNTIF(Config!$A$15:$A$34,$C68)=0,"Unsupported type",IF(COUNTIF(Products!$A$2:$A$101,$D68)=0,"Unknown SKU",IF(COUNTIFS(Batches!$A$2:$A$301,$F68,Batches!$B$2:$B$301,$D68)=0,"Unknown lot for this SKU",IF(AND($C68="Adjustment",$G68=""),"Missing: reason",IF(AND($G68&lt;&gt;"",COUNTIF(Config!$B$15:$B$34,$G68)=0),"Unsupported reason",IF(OR(INT($E68)&lt;&gt;$E68,AND(OR($C68="Receipt",$C68="Shipment"),$E68&lt;=0),AND($C68="Adjustment",$E68=0)),"Invalid qty",IF($B68&gt;Config!$B$4,"Date after the as-of date",IF($B68&lt;Config!$B$5,"Date before the opening balance date","OK")))))))))))))))))</f>
        <v/>
      </c>
    </row>
    <row r="69">
      <c r="A69" s="46" t="n"/>
      <c r="B69" s="54" t="n"/>
      <c r="C69" s="46" t="n"/>
      <c r="D69" s="46" t="n"/>
      <c r="E69" s="55" t="n"/>
      <c r="F69" s="46" t="n"/>
      <c r="G69" s="46" t="n"/>
      <c r="H69" s="46" t="n"/>
      <c r="I69" s="46" t="n"/>
      <c r="J69" s="46" t="n"/>
      <c r="K69" s="46" t="n"/>
      <c r="L69" s="46" t="n"/>
      <c r="M69" s="51" t="str">
        <f>IF(NOT(ISNUMBER($E69)),"",IF($C69="Receipt",$E69,IF($C69="Shipment",-$E69,IF($C69="Adjustment",$E69,0))))</f>
        <v/>
      </c>
      <c r="N69" s="49" t="str">
        <f>IF($D69="","",IFERROR(INDEX(Products!$B$2:$B$101,MATCH($D69,Products!$A$2:$A$101,0))&amp;"","(not found)"))</f>
        <v/>
      </c>
      <c r="O69" s="49" t="str">
        <f>IF($F69="","",IFERROR(INDEX(Batches!$B$2:$B$301,MATCH($F69,Batches!$A$2:$A$301,0))&amp;"","(not found)"))</f>
        <v/>
      </c>
      <c r="P69" s="49" t="str">
        <f>IF(COUNTA($A69:$L69)=0,"",IF($A69="","Missing: entry ID",IF(COUNTIF($A$2:$A$2001,$A69)&gt;1,"Duplicate entry ID",IF(NOT(ISNUMBER($B69)),"Missing or invalid: date",IF($C69="","Missing: type",IF($D69="","Missing: SKU",IF(NOT(ISNUMBER($E69)),"Missing: qty",IF($F69="","Missing: lot",IF($I69="","Missing: source link",IF(COUNTIF(Config!$A$15:$A$34,$C69)=0,"Unsupported type",IF(COUNTIF(Products!$A$2:$A$101,$D69)=0,"Unknown SKU",IF(COUNTIFS(Batches!$A$2:$A$301,$F69,Batches!$B$2:$B$301,$D69)=0,"Unknown lot for this SKU",IF(AND($C69="Adjustment",$G69=""),"Missing: reason",IF(AND($G69&lt;&gt;"",COUNTIF(Config!$B$15:$B$34,$G69)=0),"Unsupported reason",IF(OR(INT($E69)&lt;&gt;$E69,AND(OR($C69="Receipt",$C69="Shipment"),$E69&lt;=0),AND($C69="Adjustment",$E69=0)),"Invalid qty",IF($B69&gt;Config!$B$4,"Date after the as-of date",IF($B69&lt;Config!$B$5,"Date before the opening balance date","OK")))))))))))))))))</f>
        <v/>
      </c>
    </row>
    <row r="70">
      <c r="A70" s="46" t="n"/>
      <c r="B70" s="54" t="n"/>
      <c r="C70" s="46" t="n"/>
      <c r="D70" s="46" t="n"/>
      <c r="E70" s="55" t="n"/>
      <c r="F70" s="46" t="n"/>
      <c r="G70" s="46" t="n"/>
      <c r="H70" s="46" t="n"/>
      <c r="I70" s="46" t="n"/>
      <c r="J70" s="46" t="n"/>
      <c r="K70" s="46" t="n"/>
      <c r="L70" s="46" t="n"/>
      <c r="M70" s="51" t="str">
        <f>IF(NOT(ISNUMBER($E70)),"",IF($C70="Receipt",$E70,IF($C70="Shipment",-$E70,IF($C70="Adjustment",$E70,0))))</f>
        <v/>
      </c>
      <c r="N70" s="49" t="str">
        <f>IF($D70="","",IFERROR(INDEX(Products!$B$2:$B$101,MATCH($D70,Products!$A$2:$A$101,0))&amp;"","(not found)"))</f>
        <v/>
      </c>
      <c r="O70" s="49" t="str">
        <f>IF($F70="","",IFERROR(INDEX(Batches!$B$2:$B$301,MATCH($F70,Batches!$A$2:$A$301,0))&amp;"","(not found)"))</f>
        <v/>
      </c>
      <c r="P70" s="49" t="str">
        <f>IF(COUNTA($A70:$L70)=0,"",IF($A70="","Missing: entry ID",IF(COUNTIF($A$2:$A$2001,$A70)&gt;1,"Duplicate entry ID",IF(NOT(ISNUMBER($B70)),"Missing or invalid: date",IF($C70="","Missing: type",IF($D70="","Missing: SKU",IF(NOT(ISNUMBER($E70)),"Missing: qty",IF($F70="","Missing: lot",IF($I70="","Missing: source link",IF(COUNTIF(Config!$A$15:$A$34,$C70)=0,"Unsupported type",IF(COUNTIF(Products!$A$2:$A$101,$D70)=0,"Unknown SKU",IF(COUNTIFS(Batches!$A$2:$A$301,$F70,Batches!$B$2:$B$301,$D70)=0,"Unknown lot for this SKU",IF(AND($C70="Adjustment",$G70=""),"Missing: reason",IF(AND($G70&lt;&gt;"",COUNTIF(Config!$B$15:$B$34,$G70)=0),"Unsupported reason",IF(OR(INT($E70)&lt;&gt;$E70,AND(OR($C70="Receipt",$C70="Shipment"),$E70&lt;=0),AND($C70="Adjustment",$E70=0)),"Invalid qty",IF($B70&gt;Config!$B$4,"Date after the as-of date",IF($B70&lt;Config!$B$5,"Date before the opening balance date","OK")))))))))))))))))</f>
        <v/>
      </c>
    </row>
    <row r="71">
      <c r="A71" s="46" t="n"/>
      <c r="B71" s="54" t="n"/>
      <c r="C71" s="46" t="n"/>
      <c r="D71" s="46" t="n"/>
      <c r="E71" s="55" t="n"/>
      <c r="F71" s="46" t="n"/>
      <c r="G71" s="46" t="n"/>
      <c r="H71" s="46" t="n"/>
      <c r="I71" s="46" t="n"/>
      <c r="J71" s="46" t="n"/>
      <c r="K71" s="46" t="n"/>
      <c r="L71" s="46" t="n"/>
      <c r="M71" s="51" t="str">
        <f>IF(NOT(ISNUMBER($E71)),"",IF($C71="Receipt",$E71,IF($C71="Shipment",-$E71,IF($C71="Adjustment",$E71,0))))</f>
        <v/>
      </c>
      <c r="N71" s="49" t="str">
        <f>IF($D71="","",IFERROR(INDEX(Products!$B$2:$B$101,MATCH($D71,Products!$A$2:$A$101,0))&amp;"","(not found)"))</f>
        <v/>
      </c>
      <c r="O71" s="49" t="str">
        <f>IF($F71="","",IFERROR(INDEX(Batches!$B$2:$B$301,MATCH($F71,Batches!$A$2:$A$301,0))&amp;"","(not found)"))</f>
        <v/>
      </c>
      <c r="P71" s="49" t="str">
        <f>IF(COUNTA($A71:$L71)=0,"",IF($A71="","Missing: entry ID",IF(COUNTIF($A$2:$A$2001,$A71)&gt;1,"Duplicate entry ID",IF(NOT(ISNUMBER($B71)),"Missing or invalid: date",IF($C71="","Missing: type",IF($D71="","Missing: SKU",IF(NOT(ISNUMBER($E71)),"Missing: qty",IF($F71="","Missing: lot",IF($I71="","Missing: source link",IF(COUNTIF(Config!$A$15:$A$34,$C71)=0,"Unsupported type",IF(COUNTIF(Products!$A$2:$A$101,$D71)=0,"Unknown SKU",IF(COUNTIFS(Batches!$A$2:$A$301,$F71,Batches!$B$2:$B$301,$D71)=0,"Unknown lot for this SKU",IF(AND($C71="Adjustment",$G71=""),"Missing: reason",IF(AND($G71&lt;&gt;"",COUNTIF(Config!$B$15:$B$34,$G71)=0),"Unsupported reason",IF(OR(INT($E71)&lt;&gt;$E71,AND(OR($C71="Receipt",$C71="Shipment"),$E71&lt;=0),AND($C71="Adjustment",$E71=0)),"Invalid qty",IF($B71&gt;Config!$B$4,"Date after the as-of date",IF($B71&lt;Config!$B$5,"Date before the opening balance date","OK")))))))))))))))))</f>
        <v/>
      </c>
    </row>
    <row r="72">
      <c r="A72" s="46" t="n"/>
      <c r="B72" s="54" t="n"/>
      <c r="C72" s="46" t="n"/>
      <c r="D72" s="46" t="n"/>
      <c r="E72" s="55" t="n"/>
      <c r="F72" s="46" t="n"/>
      <c r="G72" s="46" t="n"/>
      <c r="H72" s="46" t="n"/>
      <c r="I72" s="46" t="n"/>
      <c r="J72" s="46" t="n"/>
      <c r="K72" s="46" t="n"/>
      <c r="L72" s="46" t="n"/>
      <c r="M72" s="51" t="str">
        <f>IF(NOT(ISNUMBER($E72)),"",IF($C72="Receipt",$E72,IF($C72="Shipment",-$E72,IF($C72="Adjustment",$E72,0))))</f>
        <v/>
      </c>
      <c r="N72" s="49" t="str">
        <f>IF($D72="","",IFERROR(INDEX(Products!$B$2:$B$101,MATCH($D72,Products!$A$2:$A$101,0))&amp;"","(not found)"))</f>
        <v/>
      </c>
      <c r="O72" s="49" t="str">
        <f>IF($F72="","",IFERROR(INDEX(Batches!$B$2:$B$301,MATCH($F72,Batches!$A$2:$A$301,0))&amp;"","(not found)"))</f>
        <v/>
      </c>
      <c r="P72" s="49" t="str">
        <f>IF(COUNTA($A72:$L72)=0,"",IF($A72="","Missing: entry ID",IF(COUNTIF($A$2:$A$2001,$A72)&gt;1,"Duplicate entry ID",IF(NOT(ISNUMBER($B72)),"Missing or invalid: date",IF($C72="","Missing: type",IF($D72="","Missing: SKU",IF(NOT(ISNUMBER($E72)),"Missing: qty",IF($F72="","Missing: lot",IF($I72="","Missing: source link",IF(COUNTIF(Config!$A$15:$A$34,$C72)=0,"Unsupported type",IF(COUNTIF(Products!$A$2:$A$101,$D72)=0,"Unknown SKU",IF(COUNTIFS(Batches!$A$2:$A$301,$F72,Batches!$B$2:$B$301,$D72)=0,"Unknown lot for this SKU",IF(AND($C72="Adjustment",$G72=""),"Missing: reason",IF(AND($G72&lt;&gt;"",COUNTIF(Config!$B$15:$B$34,$G72)=0),"Unsupported reason",IF(OR(INT($E72)&lt;&gt;$E72,AND(OR($C72="Receipt",$C72="Shipment"),$E72&lt;=0),AND($C72="Adjustment",$E72=0)),"Invalid qty",IF($B72&gt;Config!$B$4,"Date after the as-of date",IF($B72&lt;Config!$B$5,"Date before the opening balance date","OK")))))))))))))))))</f>
        <v/>
      </c>
    </row>
    <row r="73">
      <c r="A73" s="46" t="n"/>
      <c r="B73" s="54" t="n"/>
      <c r="C73" s="46" t="n"/>
      <c r="D73" s="46" t="n"/>
      <c r="E73" s="55" t="n"/>
      <c r="F73" s="46" t="n"/>
      <c r="G73" s="46" t="n"/>
      <c r="H73" s="46" t="n"/>
      <c r="I73" s="46" t="n"/>
      <c r="J73" s="46" t="n"/>
      <c r="K73" s="46" t="n"/>
      <c r="L73" s="46" t="n"/>
      <c r="M73" s="51" t="str">
        <f>IF(NOT(ISNUMBER($E73)),"",IF($C73="Receipt",$E73,IF($C73="Shipment",-$E73,IF($C73="Adjustment",$E73,0))))</f>
        <v/>
      </c>
      <c r="N73" s="49" t="str">
        <f>IF($D73="","",IFERROR(INDEX(Products!$B$2:$B$101,MATCH($D73,Products!$A$2:$A$101,0))&amp;"","(not found)"))</f>
        <v/>
      </c>
      <c r="O73" s="49" t="str">
        <f>IF($F73="","",IFERROR(INDEX(Batches!$B$2:$B$301,MATCH($F73,Batches!$A$2:$A$301,0))&amp;"","(not found)"))</f>
        <v/>
      </c>
      <c r="P73" s="49" t="str">
        <f>IF(COUNTA($A73:$L73)=0,"",IF($A73="","Missing: entry ID",IF(COUNTIF($A$2:$A$2001,$A73)&gt;1,"Duplicate entry ID",IF(NOT(ISNUMBER($B73)),"Missing or invalid: date",IF($C73="","Missing: type",IF($D73="","Missing: SKU",IF(NOT(ISNUMBER($E73)),"Missing: qty",IF($F73="","Missing: lot",IF($I73="","Missing: source link",IF(COUNTIF(Config!$A$15:$A$34,$C73)=0,"Unsupported type",IF(COUNTIF(Products!$A$2:$A$101,$D73)=0,"Unknown SKU",IF(COUNTIFS(Batches!$A$2:$A$301,$F73,Batches!$B$2:$B$301,$D73)=0,"Unknown lot for this SKU",IF(AND($C73="Adjustment",$G73=""),"Missing: reason",IF(AND($G73&lt;&gt;"",COUNTIF(Config!$B$15:$B$34,$G73)=0),"Unsupported reason",IF(OR(INT($E73)&lt;&gt;$E73,AND(OR($C73="Receipt",$C73="Shipment"),$E73&lt;=0),AND($C73="Adjustment",$E73=0)),"Invalid qty",IF($B73&gt;Config!$B$4,"Date after the as-of date",IF($B73&lt;Config!$B$5,"Date before the opening balance date","OK")))))))))))))))))</f>
        <v/>
      </c>
    </row>
    <row r="74">
      <c r="A74" s="46" t="n"/>
      <c r="B74" s="54" t="n"/>
      <c r="C74" s="46" t="n"/>
      <c r="D74" s="46" t="n"/>
      <c r="E74" s="55" t="n"/>
      <c r="F74" s="46" t="n"/>
      <c r="G74" s="46" t="n"/>
      <c r="H74" s="46" t="n"/>
      <c r="I74" s="46" t="n"/>
      <c r="J74" s="46" t="n"/>
      <c r="K74" s="46" t="n"/>
      <c r="L74" s="46" t="n"/>
      <c r="M74" s="51" t="str">
        <f>IF(NOT(ISNUMBER($E74)),"",IF($C74="Receipt",$E74,IF($C74="Shipment",-$E74,IF($C74="Adjustment",$E74,0))))</f>
        <v/>
      </c>
      <c r="N74" s="49" t="str">
        <f>IF($D74="","",IFERROR(INDEX(Products!$B$2:$B$101,MATCH($D74,Products!$A$2:$A$101,0))&amp;"","(not found)"))</f>
        <v/>
      </c>
      <c r="O74" s="49" t="str">
        <f>IF($F74="","",IFERROR(INDEX(Batches!$B$2:$B$301,MATCH($F74,Batches!$A$2:$A$301,0))&amp;"","(not found)"))</f>
        <v/>
      </c>
      <c r="P74" s="49" t="str">
        <f>IF(COUNTA($A74:$L74)=0,"",IF($A74="","Missing: entry ID",IF(COUNTIF($A$2:$A$2001,$A74)&gt;1,"Duplicate entry ID",IF(NOT(ISNUMBER($B74)),"Missing or invalid: date",IF($C74="","Missing: type",IF($D74="","Missing: SKU",IF(NOT(ISNUMBER($E74)),"Missing: qty",IF($F74="","Missing: lot",IF($I74="","Missing: source link",IF(COUNTIF(Config!$A$15:$A$34,$C74)=0,"Unsupported type",IF(COUNTIF(Products!$A$2:$A$101,$D74)=0,"Unknown SKU",IF(COUNTIFS(Batches!$A$2:$A$301,$F74,Batches!$B$2:$B$301,$D74)=0,"Unknown lot for this SKU",IF(AND($C74="Adjustment",$G74=""),"Missing: reason",IF(AND($G74&lt;&gt;"",COUNTIF(Config!$B$15:$B$34,$G74)=0),"Unsupported reason",IF(OR(INT($E74)&lt;&gt;$E74,AND(OR($C74="Receipt",$C74="Shipment"),$E74&lt;=0),AND($C74="Adjustment",$E74=0)),"Invalid qty",IF($B74&gt;Config!$B$4,"Date after the as-of date",IF($B74&lt;Config!$B$5,"Date before the opening balance date","OK")))))))))))))))))</f>
        <v/>
      </c>
    </row>
    <row r="75">
      <c r="A75" s="46" t="n"/>
      <c r="B75" s="54" t="n"/>
      <c r="C75" s="46" t="n"/>
      <c r="D75" s="46" t="n"/>
      <c r="E75" s="55" t="n"/>
      <c r="F75" s="46" t="n"/>
      <c r="G75" s="46" t="n"/>
      <c r="H75" s="46" t="n"/>
      <c r="I75" s="46" t="n"/>
      <c r="J75" s="46" t="n"/>
      <c r="K75" s="46" t="n"/>
      <c r="L75" s="46" t="n"/>
      <c r="M75" s="51" t="str">
        <f>IF(NOT(ISNUMBER($E75)),"",IF($C75="Receipt",$E75,IF($C75="Shipment",-$E75,IF($C75="Adjustment",$E75,0))))</f>
        <v/>
      </c>
      <c r="N75" s="49" t="str">
        <f>IF($D75="","",IFERROR(INDEX(Products!$B$2:$B$101,MATCH($D75,Products!$A$2:$A$101,0))&amp;"","(not found)"))</f>
        <v/>
      </c>
      <c r="O75" s="49" t="str">
        <f>IF($F75="","",IFERROR(INDEX(Batches!$B$2:$B$301,MATCH($F75,Batches!$A$2:$A$301,0))&amp;"","(not found)"))</f>
        <v/>
      </c>
      <c r="P75" s="49" t="str">
        <f>IF(COUNTA($A75:$L75)=0,"",IF($A75="","Missing: entry ID",IF(COUNTIF($A$2:$A$2001,$A75)&gt;1,"Duplicate entry ID",IF(NOT(ISNUMBER($B75)),"Missing or invalid: date",IF($C75="","Missing: type",IF($D75="","Missing: SKU",IF(NOT(ISNUMBER($E75)),"Missing: qty",IF($F75="","Missing: lot",IF($I75="","Missing: source link",IF(COUNTIF(Config!$A$15:$A$34,$C75)=0,"Unsupported type",IF(COUNTIF(Products!$A$2:$A$101,$D75)=0,"Unknown SKU",IF(COUNTIFS(Batches!$A$2:$A$301,$F75,Batches!$B$2:$B$301,$D75)=0,"Unknown lot for this SKU",IF(AND($C75="Adjustment",$G75=""),"Missing: reason",IF(AND($G75&lt;&gt;"",COUNTIF(Config!$B$15:$B$34,$G75)=0),"Unsupported reason",IF(OR(INT($E75)&lt;&gt;$E75,AND(OR($C75="Receipt",$C75="Shipment"),$E75&lt;=0),AND($C75="Adjustment",$E75=0)),"Invalid qty",IF($B75&gt;Config!$B$4,"Date after the as-of date",IF($B75&lt;Config!$B$5,"Date before the opening balance date","OK")))))))))))))))))</f>
        <v/>
      </c>
    </row>
    <row r="76">
      <c r="A76" s="46" t="n"/>
      <c r="B76" s="54" t="n"/>
      <c r="C76" s="46" t="n"/>
      <c r="D76" s="46" t="n"/>
      <c r="E76" s="55" t="n"/>
      <c r="F76" s="46" t="n"/>
      <c r="G76" s="46" t="n"/>
      <c r="H76" s="46" t="n"/>
      <c r="I76" s="46" t="n"/>
      <c r="J76" s="46" t="n"/>
      <c r="K76" s="46" t="n"/>
      <c r="L76" s="46" t="n"/>
      <c r="M76" s="51" t="str">
        <f>IF(NOT(ISNUMBER($E76)),"",IF($C76="Receipt",$E76,IF($C76="Shipment",-$E76,IF($C76="Adjustment",$E76,0))))</f>
        <v/>
      </c>
      <c r="N76" s="49" t="str">
        <f>IF($D76="","",IFERROR(INDEX(Products!$B$2:$B$101,MATCH($D76,Products!$A$2:$A$101,0))&amp;"","(not found)"))</f>
        <v/>
      </c>
      <c r="O76" s="49" t="str">
        <f>IF($F76="","",IFERROR(INDEX(Batches!$B$2:$B$301,MATCH($F76,Batches!$A$2:$A$301,0))&amp;"","(not found)"))</f>
        <v/>
      </c>
      <c r="P76" s="49" t="str">
        <f>IF(COUNTA($A76:$L76)=0,"",IF($A76="","Missing: entry ID",IF(COUNTIF($A$2:$A$2001,$A76)&gt;1,"Duplicate entry ID",IF(NOT(ISNUMBER($B76)),"Missing or invalid: date",IF($C76="","Missing: type",IF($D76="","Missing: SKU",IF(NOT(ISNUMBER($E76)),"Missing: qty",IF($F76="","Missing: lot",IF($I76="","Missing: source link",IF(COUNTIF(Config!$A$15:$A$34,$C76)=0,"Unsupported type",IF(COUNTIF(Products!$A$2:$A$101,$D76)=0,"Unknown SKU",IF(COUNTIFS(Batches!$A$2:$A$301,$F76,Batches!$B$2:$B$301,$D76)=0,"Unknown lot for this SKU",IF(AND($C76="Adjustment",$G76=""),"Missing: reason",IF(AND($G76&lt;&gt;"",COUNTIF(Config!$B$15:$B$34,$G76)=0),"Unsupported reason",IF(OR(INT($E76)&lt;&gt;$E76,AND(OR($C76="Receipt",$C76="Shipment"),$E76&lt;=0),AND($C76="Adjustment",$E76=0)),"Invalid qty",IF($B76&gt;Config!$B$4,"Date after the as-of date",IF($B76&lt;Config!$B$5,"Date before the opening balance date","OK")))))))))))))))))</f>
        <v/>
      </c>
    </row>
    <row r="77">
      <c r="A77" s="46" t="n"/>
      <c r="B77" s="54" t="n"/>
      <c r="C77" s="46" t="n"/>
      <c r="D77" s="46" t="n"/>
      <c r="E77" s="55" t="n"/>
      <c r="F77" s="46" t="n"/>
      <c r="G77" s="46" t="n"/>
      <c r="H77" s="46" t="n"/>
      <c r="I77" s="46" t="n"/>
      <c r="J77" s="46" t="n"/>
      <c r="K77" s="46" t="n"/>
      <c r="L77" s="46" t="n"/>
      <c r="M77" s="51" t="str">
        <f>IF(NOT(ISNUMBER($E77)),"",IF($C77="Receipt",$E77,IF($C77="Shipment",-$E77,IF($C77="Adjustment",$E77,0))))</f>
        <v/>
      </c>
      <c r="N77" s="49" t="str">
        <f>IF($D77="","",IFERROR(INDEX(Products!$B$2:$B$101,MATCH($D77,Products!$A$2:$A$101,0))&amp;"","(not found)"))</f>
        <v/>
      </c>
      <c r="O77" s="49" t="str">
        <f>IF($F77="","",IFERROR(INDEX(Batches!$B$2:$B$301,MATCH($F77,Batches!$A$2:$A$301,0))&amp;"","(not found)"))</f>
        <v/>
      </c>
      <c r="P77" s="49" t="str">
        <f>IF(COUNTA($A77:$L77)=0,"",IF($A77="","Missing: entry ID",IF(COUNTIF($A$2:$A$2001,$A77)&gt;1,"Duplicate entry ID",IF(NOT(ISNUMBER($B77)),"Missing or invalid: date",IF($C77="","Missing: type",IF($D77="","Missing: SKU",IF(NOT(ISNUMBER($E77)),"Missing: qty",IF($F77="","Missing: lot",IF($I77="","Missing: source link",IF(COUNTIF(Config!$A$15:$A$34,$C77)=0,"Unsupported type",IF(COUNTIF(Products!$A$2:$A$101,$D77)=0,"Unknown SKU",IF(COUNTIFS(Batches!$A$2:$A$301,$F77,Batches!$B$2:$B$301,$D77)=0,"Unknown lot for this SKU",IF(AND($C77="Adjustment",$G77=""),"Missing: reason",IF(AND($G77&lt;&gt;"",COUNTIF(Config!$B$15:$B$34,$G77)=0),"Unsupported reason",IF(OR(INT($E77)&lt;&gt;$E77,AND(OR($C77="Receipt",$C77="Shipment"),$E77&lt;=0),AND($C77="Adjustment",$E77=0)),"Invalid qty",IF($B77&gt;Config!$B$4,"Date after the as-of date",IF($B77&lt;Config!$B$5,"Date before the opening balance date","OK")))))))))))))))))</f>
        <v/>
      </c>
    </row>
    <row r="78">
      <c r="A78" s="46" t="n"/>
      <c r="B78" s="54" t="n"/>
      <c r="C78" s="46" t="n"/>
      <c r="D78" s="46" t="n"/>
      <c r="E78" s="55" t="n"/>
      <c r="F78" s="46" t="n"/>
      <c r="G78" s="46" t="n"/>
      <c r="H78" s="46" t="n"/>
      <c r="I78" s="46" t="n"/>
      <c r="J78" s="46" t="n"/>
      <c r="K78" s="46" t="n"/>
      <c r="L78" s="46" t="n"/>
      <c r="M78" s="51" t="str">
        <f>IF(NOT(ISNUMBER($E78)),"",IF($C78="Receipt",$E78,IF($C78="Shipment",-$E78,IF($C78="Adjustment",$E78,0))))</f>
        <v/>
      </c>
      <c r="N78" s="49" t="str">
        <f>IF($D78="","",IFERROR(INDEX(Products!$B$2:$B$101,MATCH($D78,Products!$A$2:$A$101,0))&amp;"","(not found)"))</f>
        <v/>
      </c>
      <c r="O78" s="49" t="str">
        <f>IF($F78="","",IFERROR(INDEX(Batches!$B$2:$B$301,MATCH($F78,Batches!$A$2:$A$301,0))&amp;"","(not found)"))</f>
        <v/>
      </c>
      <c r="P78" s="49" t="str">
        <f>IF(COUNTA($A78:$L78)=0,"",IF($A78="","Missing: entry ID",IF(COUNTIF($A$2:$A$2001,$A78)&gt;1,"Duplicate entry ID",IF(NOT(ISNUMBER($B78)),"Missing or invalid: date",IF($C78="","Missing: type",IF($D78="","Missing: SKU",IF(NOT(ISNUMBER($E78)),"Missing: qty",IF($F78="","Missing: lot",IF($I78="","Missing: source link",IF(COUNTIF(Config!$A$15:$A$34,$C78)=0,"Unsupported type",IF(COUNTIF(Products!$A$2:$A$101,$D78)=0,"Unknown SKU",IF(COUNTIFS(Batches!$A$2:$A$301,$F78,Batches!$B$2:$B$301,$D78)=0,"Unknown lot for this SKU",IF(AND($C78="Adjustment",$G78=""),"Missing: reason",IF(AND($G78&lt;&gt;"",COUNTIF(Config!$B$15:$B$34,$G78)=0),"Unsupported reason",IF(OR(INT($E78)&lt;&gt;$E78,AND(OR($C78="Receipt",$C78="Shipment"),$E78&lt;=0),AND($C78="Adjustment",$E78=0)),"Invalid qty",IF($B78&gt;Config!$B$4,"Date after the as-of date",IF($B78&lt;Config!$B$5,"Date before the opening balance date","OK")))))))))))))))))</f>
        <v/>
      </c>
    </row>
    <row r="79">
      <c r="A79" s="46" t="n"/>
      <c r="B79" s="54" t="n"/>
      <c r="C79" s="46" t="n"/>
      <c r="D79" s="46" t="n"/>
      <c r="E79" s="55" t="n"/>
      <c r="F79" s="46" t="n"/>
      <c r="G79" s="46" t="n"/>
      <c r="H79" s="46" t="n"/>
      <c r="I79" s="46" t="n"/>
      <c r="J79" s="46" t="n"/>
      <c r="K79" s="46" t="n"/>
      <c r="L79" s="46" t="n"/>
      <c r="M79" s="51" t="str">
        <f>IF(NOT(ISNUMBER($E79)),"",IF($C79="Receipt",$E79,IF($C79="Shipment",-$E79,IF($C79="Adjustment",$E79,0))))</f>
        <v/>
      </c>
      <c r="N79" s="49" t="str">
        <f>IF($D79="","",IFERROR(INDEX(Products!$B$2:$B$101,MATCH($D79,Products!$A$2:$A$101,0))&amp;"","(not found)"))</f>
        <v/>
      </c>
      <c r="O79" s="49" t="str">
        <f>IF($F79="","",IFERROR(INDEX(Batches!$B$2:$B$301,MATCH($F79,Batches!$A$2:$A$301,0))&amp;"","(not found)"))</f>
        <v/>
      </c>
      <c r="P79" s="49" t="str">
        <f>IF(COUNTA($A79:$L79)=0,"",IF($A79="","Missing: entry ID",IF(COUNTIF($A$2:$A$2001,$A79)&gt;1,"Duplicate entry ID",IF(NOT(ISNUMBER($B79)),"Missing or invalid: date",IF($C79="","Missing: type",IF($D79="","Missing: SKU",IF(NOT(ISNUMBER($E79)),"Missing: qty",IF($F79="","Missing: lot",IF($I79="","Missing: source link",IF(COUNTIF(Config!$A$15:$A$34,$C79)=0,"Unsupported type",IF(COUNTIF(Products!$A$2:$A$101,$D79)=0,"Unknown SKU",IF(COUNTIFS(Batches!$A$2:$A$301,$F79,Batches!$B$2:$B$301,$D79)=0,"Unknown lot for this SKU",IF(AND($C79="Adjustment",$G79=""),"Missing: reason",IF(AND($G79&lt;&gt;"",COUNTIF(Config!$B$15:$B$34,$G79)=0),"Unsupported reason",IF(OR(INT($E79)&lt;&gt;$E79,AND(OR($C79="Receipt",$C79="Shipment"),$E79&lt;=0),AND($C79="Adjustment",$E79=0)),"Invalid qty",IF($B79&gt;Config!$B$4,"Date after the as-of date",IF($B79&lt;Config!$B$5,"Date before the opening balance date","OK")))))))))))))))))</f>
        <v/>
      </c>
    </row>
    <row r="80">
      <c r="A80" s="46" t="n"/>
      <c r="B80" s="54" t="n"/>
      <c r="C80" s="46" t="n"/>
      <c r="D80" s="46" t="n"/>
      <c r="E80" s="55" t="n"/>
      <c r="F80" s="46" t="n"/>
      <c r="G80" s="46" t="n"/>
      <c r="H80" s="46" t="n"/>
      <c r="I80" s="46" t="n"/>
      <c r="J80" s="46" t="n"/>
      <c r="K80" s="46" t="n"/>
      <c r="L80" s="46" t="n"/>
      <c r="M80" s="51" t="str">
        <f>IF(NOT(ISNUMBER($E80)),"",IF($C80="Receipt",$E80,IF($C80="Shipment",-$E80,IF($C80="Adjustment",$E80,0))))</f>
        <v/>
      </c>
      <c r="N80" s="49" t="str">
        <f>IF($D80="","",IFERROR(INDEX(Products!$B$2:$B$101,MATCH($D80,Products!$A$2:$A$101,0))&amp;"","(not found)"))</f>
        <v/>
      </c>
      <c r="O80" s="49" t="str">
        <f>IF($F80="","",IFERROR(INDEX(Batches!$B$2:$B$301,MATCH($F80,Batches!$A$2:$A$301,0))&amp;"","(not found)"))</f>
        <v/>
      </c>
      <c r="P80" s="49" t="str">
        <f>IF(COUNTA($A80:$L80)=0,"",IF($A80="","Missing: entry ID",IF(COUNTIF($A$2:$A$2001,$A80)&gt;1,"Duplicate entry ID",IF(NOT(ISNUMBER($B80)),"Missing or invalid: date",IF($C80="","Missing: type",IF($D80="","Missing: SKU",IF(NOT(ISNUMBER($E80)),"Missing: qty",IF($F80="","Missing: lot",IF($I80="","Missing: source link",IF(COUNTIF(Config!$A$15:$A$34,$C80)=0,"Unsupported type",IF(COUNTIF(Products!$A$2:$A$101,$D80)=0,"Unknown SKU",IF(COUNTIFS(Batches!$A$2:$A$301,$F80,Batches!$B$2:$B$301,$D80)=0,"Unknown lot for this SKU",IF(AND($C80="Adjustment",$G80=""),"Missing: reason",IF(AND($G80&lt;&gt;"",COUNTIF(Config!$B$15:$B$34,$G80)=0),"Unsupported reason",IF(OR(INT($E80)&lt;&gt;$E80,AND(OR($C80="Receipt",$C80="Shipment"),$E80&lt;=0),AND($C80="Adjustment",$E80=0)),"Invalid qty",IF($B80&gt;Config!$B$4,"Date after the as-of date",IF($B80&lt;Config!$B$5,"Date before the opening balance date","OK")))))))))))))))))</f>
        <v/>
      </c>
    </row>
    <row r="81">
      <c r="A81" s="46" t="n"/>
      <c r="B81" s="54" t="n"/>
      <c r="C81" s="46" t="n"/>
      <c r="D81" s="46" t="n"/>
      <c r="E81" s="55" t="n"/>
      <c r="F81" s="46" t="n"/>
      <c r="G81" s="46" t="n"/>
      <c r="H81" s="46" t="n"/>
      <c r="I81" s="46" t="n"/>
      <c r="J81" s="46" t="n"/>
      <c r="K81" s="46" t="n"/>
      <c r="L81" s="46" t="n"/>
      <c r="M81" s="51" t="str">
        <f>IF(NOT(ISNUMBER($E81)),"",IF($C81="Receipt",$E81,IF($C81="Shipment",-$E81,IF($C81="Adjustment",$E81,0))))</f>
        <v/>
      </c>
      <c r="N81" s="49" t="str">
        <f>IF($D81="","",IFERROR(INDEX(Products!$B$2:$B$101,MATCH($D81,Products!$A$2:$A$101,0))&amp;"","(not found)"))</f>
        <v/>
      </c>
      <c r="O81" s="49" t="str">
        <f>IF($F81="","",IFERROR(INDEX(Batches!$B$2:$B$301,MATCH($F81,Batches!$A$2:$A$301,0))&amp;"","(not found)"))</f>
        <v/>
      </c>
      <c r="P81" s="49" t="str">
        <f>IF(COUNTA($A81:$L81)=0,"",IF($A81="","Missing: entry ID",IF(COUNTIF($A$2:$A$2001,$A81)&gt;1,"Duplicate entry ID",IF(NOT(ISNUMBER($B81)),"Missing or invalid: date",IF($C81="","Missing: type",IF($D81="","Missing: SKU",IF(NOT(ISNUMBER($E81)),"Missing: qty",IF($F81="","Missing: lot",IF($I81="","Missing: source link",IF(COUNTIF(Config!$A$15:$A$34,$C81)=0,"Unsupported type",IF(COUNTIF(Products!$A$2:$A$101,$D81)=0,"Unknown SKU",IF(COUNTIFS(Batches!$A$2:$A$301,$F81,Batches!$B$2:$B$301,$D81)=0,"Unknown lot for this SKU",IF(AND($C81="Adjustment",$G81=""),"Missing: reason",IF(AND($G81&lt;&gt;"",COUNTIF(Config!$B$15:$B$34,$G81)=0),"Unsupported reason",IF(OR(INT($E81)&lt;&gt;$E81,AND(OR($C81="Receipt",$C81="Shipment"),$E81&lt;=0),AND($C81="Adjustment",$E81=0)),"Invalid qty",IF($B81&gt;Config!$B$4,"Date after the as-of date",IF($B81&lt;Config!$B$5,"Date before the opening balance date","OK")))))))))))))))))</f>
        <v/>
      </c>
    </row>
    <row r="82">
      <c r="A82" s="46" t="n"/>
      <c r="B82" s="54" t="n"/>
      <c r="C82" s="46" t="n"/>
      <c r="D82" s="46" t="n"/>
      <c r="E82" s="55" t="n"/>
      <c r="F82" s="46" t="n"/>
      <c r="G82" s="46" t="n"/>
      <c r="H82" s="46" t="n"/>
      <c r="I82" s="46" t="n"/>
      <c r="J82" s="46" t="n"/>
      <c r="K82" s="46" t="n"/>
      <c r="L82" s="46" t="n"/>
      <c r="M82" s="51" t="str">
        <f>IF(NOT(ISNUMBER($E82)),"",IF($C82="Receipt",$E82,IF($C82="Shipment",-$E82,IF($C82="Adjustment",$E82,0))))</f>
        <v/>
      </c>
      <c r="N82" s="49" t="str">
        <f>IF($D82="","",IFERROR(INDEX(Products!$B$2:$B$101,MATCH($D82,Products!$A$2:$A$101,0))&amp;"","(not found)"))</f>
        <v/>
      </c>
      <c r="O82" s="49" t="str">
        <f>IF($F82="","",IFERROR(INDEX(Batches!$B$2:$B$301,MATCH($F82,Batches!$A$2:$A$301,0))&amp;"","(not found)"))</f>
        <v/>
      </c>
      <c r="P82" s="49" t="str">
        <f>IF(COUNTA($A82:$L82)=0,"",IF($A82="","Missing: entry ID",IF(COUNTIF($A$2:$A$2001,$A82)&gt;1,"Duplicate entry ID",IF(NOT(ISNUMBER($B82)),"Missing or invalid: date",IF($C82="","Missing: type",IF($D82="","Missing: SKU",IF(NOT(ISNUMBER($E82)),"Missing: qty",IF($F82="","Missing: lot",IF($I82="","Missing: source link",IF(COUNTIF(Config!$A$15:$A$34,$C82)=0,"Unsupported type",IF(COUNTIF(Products!$A$2:$A$101,$D82)=0,"Unknown SKU",IF(COUNTIFS(Batches!$A$2:$A$301,$F82,Batches!$B$2:$B$301,$D82)=0,"Unknown lot for this SKU",IF(AND($C82="Adjustment",$G82=""),"Missing: reason",IF(AND($G82&lt;&gt;"",COUNTIF(Config!$B$15:$B$34,$G82)=0),"Unsupported reason",IF(OR(INT($E82)&lt;&gt;$E82,AND(OR($C82="Receipt",$C82="Shipment"),$E82&lt;=0),AND($C82="Adjustment",$E82=0)),"Invalid qty",IF($B82&gt;Config!$B$4,"Date after the as-of date",IF($B82&lt;Config!$B$5,"Date before the opening balance date","OK")))))))))))))))))</f>
        <v/>
      </c>
    </row>
    <row r="83">
      <c r="A83" s="46" t="n"/>
      <c r="B83" s="54" t="n"/>
      <c r="C83" s="46" t="n"/>
      <c r="D83" s="46" t="n"/>
      <c r="E83" s="55" t="n"/>
      <c r="F83" s="46" t="n"/>
      <c r="G83" s="46" t="n"/>
      <c r="H83" s="46" t="n"/>
      <c r="I83" s="46" t="n"/>
      <c r="J83" s="46" t="n"/>
      <c r="K83" s="46" t="n"/>
      <c r="L83" s="46" t="n"/>
      <c r="M83" s="51" t="str">
        <f>IF(NOT(ISNUMBER($E83)),"",IF($C83="Receipt",$E83,IF($C83="Shipment",-$E83,IF($C83="Adjustment",$E83,0))))</f>
        <v/>
      </c>
      <c r="N83" s="49" t="str">
        <f>IF($D83="","",IFERROR(INDEX(Products!$B$2:$B$101,MATCH($D83,Products!$A$2:$A$101,0))&amp;"","(not found)"))</f>
        <v/>
      </c>
      <c r="O83" s="49" t="str">
        <f>IF($F83="","",IFERROR(INDEX(Batches!$B$2:$B$301,MATCH($F83,Batches!$A$2:$A$301,0))&amp;"","(not found)"))</f>
        <v/>
      </c>
      <c r="P83" s="49" t="str">
        <f>IF(COUNTA($A83:$L83)=0,"",IF($A83="","Missing: entry ID",IF(COUNTIF($A$2:$A$2001,$A83)&gt;1,"Duplicate entry ID",IF(NOT(ISNUMBER($B83)),"Missing or invalid: date",IF($C83="","Missing: type",IF($D83="","Missing: SKU",IF(NOT(ISNUMBER($E83)),"Missing: qty",IF($F83="","Missing: lot",IF($I83="","Missing: source link",IF(COUNTIF(Config!$A$15:$A$34,$C83)=0,"Unsupported type",IF(COUNTIF(Products!$A$2:$A$101,$D83)=0,"Unknown SKU",IF(COUNTIFS(Batches!$A$2:$A$301,$F83,Batches!$B$2:$B$301,$D83)=0,"Unknown lot for this SKU",IF(AND($C83="Adjustment",$G83=""),"Missing: reason",IF(AND($G83&lt;&gt;"",COUNTIF(Config!$B$15:$B$34,$G83)=0),"Unsupported reason",IF(OR(INT($E83)&lt;&gt;$E83,AND(OR($C83="Receipt",$C83="Shipment"),$E83&lt;=0),AND($C83="Adjustment",$E83=0)),"Invalid qty",IF($B83&gt;Config!$B$4,"Date after the as-of date",IF($B83&lt;Config!$B$5,"Date before the opening balance date","OK")))))))))))))))))</f>
        <v/>
      </c>
    </row>
    <row r="84">
      <c r="A84" s="46" t="n"/>
      <c r="B84" s="54" t="n"/>
      <c r="C84" s="46" t="n"/>
      <c r="D84" s="46" t="n"/>
      <c r="E84" s="55" t="n"/>
      <c r="F84" s="46" t="n"/>
      <c r="G84" s="46" t="n"/>
      <c r="H84" s="46" t="n"/>
      <c r="I84" s="46" t="n"/>
      <c r="J84" s="46" t="n"/>
      <c r="K84" s="46" t="n"/>
      <c r="L84" s="46" t="n"/>
      <c r="M84" s="51" t="str">
        <f>IF(NOT(ISNUMBER($E84)),"",IF($C84="Receipt",$E84,IF($C84="Shipment",-$E84,IF($C84="Adjustment",$E84,0))))</f>
        <v/>
      </c>
      <c r="N84" s="49" t="str">
        <f>IF($D84="","",IFERROR(INDEX(Products!$B$2:$B$101,MATCH($D84,Products!$A$2:$A$101,0))&amp;"","(not found)"))</f>
        <v/>
      </c>
      <c r="O84" s="49" t="str">
        <f>IF($F84="","",IFERROR(INDEX(Batches!$B$2:$B$301,MATCH($F84,Batches!$A$2:$A$301,0))&amp;"","(not found)"))</f>
        <v/>
      </c>
      <c r="P84" s="49" t="str">
        <f>IF(COUNTA($A84:$L84)=0,"",IF($A84="","Missing: entry ID",IF(COUNTIF($A$2:$A$2001,$A84)&gt;1,"Duplicate entry ID",IF(NOT(ISNUMBER($B84)),"Missing or invalid: date",IF($C84="","Missing: type",IF($D84="","Missing: SKU",IF(NOT(ISNUMBER($E84)),"Missing: qty",IF($F84="","Missing: lot",IF($I84="","Missing: source link",IF(COUNTIF(Config!$A$15:$A$34,$C84)=0,"Unsupported type",IF(COUNTIF(Products!$A$2:$A$101,$D84)=0,"Unknown SKU",IF(COUNTIFS(Batches!$A$2:$A$301,$F84,Batches!$B$2:$B$301,$D84)=0,"Unknown lot for this SKU",IF(AND($C84="Adjustment",$G84=""),"Missing: reason",IF(AND($G84&lt;&gt;"",COUNTIF(Config!$B$15:$B$34,$G84)=0),"Unsupported reason",IF(OR(INT($E84)&lt;&gt;$E84,AND(OR($C84="Receipt",$C84="Shipment"),$E84&lt;=0),AND($C84="Adjustment",$E84=0)),"Invalid qty",IF($B84&gt;Config!$B$4,"Date after the as-of date",IF($B84&lt;Config!$B$5,"Date before the opening balance date","OK")))))))))))))))))</f>
        <v/>
      </c>
    </row>
    <row r="85">
      <c r="A85" s="46" t="n"/>
      <c r="B85" s="54" t="n"/>
      <c r="C85" s="46" t="n"/>
      <c r="D85" s="46" t="n"/>
      <c r="E85" s="55" t="n"/>
      <c r="F85" s="46" t="n"/>
      <c r="G85" s="46" t="n"/>
      <c r="H85" s="46" t="n"/>
      <c r="I85" s="46" t="n"/>
      <c r="J85" s="46" t="n"/>
      <c r="K85" s="46" t="n"/>
      <c r="L85" s="46" t="n"/>
      <c r="M85" s="51" t="str">
        <f>IF(NOT(ISNUMBER($E85)),"",IF($C85="Receipt",$E85,IF($C85="Shipment",-$E85,IF($C85="Adjustment",$E85,0))))</f>
        <v/>
      </c>
      <c r="N85" s="49" t="str">
        <f>IF($D85="","",IFERROR(INDEX(Products!$B$2:$B$101,MATCH($D85,Products!$A$2:$A$101,0))&amp;"","(not found)"))</f>
        <v/>
      </c>
      <c r="O85" s="49" t="str">
        <f>IF($F85="","",IFERROR(INDEX(Batches!$B$2:$B$301,MATCH($F85,Batches!$A$2:$A$301,0))&amp;"","(not found)"))</f>
        <v/>
      </c>
      <c r="P85" s="49" t="str">
        <f>IF(COUNTA($A85:$L85)=0,"",IF($A85="","Missing: entry ID",IF(COUNTIF($A$2:$A$2001,$A85)&gt;1,"Duplicate entry ID",IF(NOT(ISNUMBER($B85)),"Missing or invalid: date",IF($C85="","Missing: type",IF($D85="","Missing: SKU",IF(NOT(ISNUMBER($E85)),"Missing: qty",IF($F85="","Missing: lot",IF($I85="","Missing: source link",IF(COUNTIF(Config!$A$15:$A$34,$C85)=0,"Unsupported type",IF(COUNTIF(Products!$A$2:$A$101,$D85)=0,"Unknown SKU",IF(COUNTIFS(Batches!$A$2:$A$301,$F85,Batches!$B$2:$B$301,$D85)=0,"Unknown lot for this SKU",IF(AND($C85="Adjustment",$G85=""),"Missing: reason",IF(AND($G85&lt;&gt;"",COUNTIF(Config!$B$15:$B$34,$G85)=0),"Unsupported reason",IF(OR(INT($E85)&lt;&gt;$E85,AND(OR($C85="Receipt",$C85="Shipment"),$E85&lt;=0),AND($C85="Adjustment",$E85=0)),"Invalid qty",IF($B85&gt;Config!$B$4,"Date after the as-of date",IF($B85&lt;Config!$B$5,"Date before the opening balance date","OK")))))))))))))))))</f>
        <v/>
      </c>
    </row>
    <row r="86">
      <c r="A86" s="46" t="n"/>
      <c r="B86" s="54" t="n"/>
      <c r="C86" s="46" t="n"/>
      <c r="D86" s="46" t="n"/>
      <c r="E86" s="55" t="n"/>
      <c r="F86" s="46" t="n"/>
      <c r="G86" s="46" t="n"/>
      <c r="H86" s="46" t="n"/>
      <c r="I86" s="46" t="n"/>
      <c r="J86" s="46" t="n"/>
      <c r="K86" s="46" t="n"/>
      <c r="L86" s="46" t="n"/>
      <c r="M86" s="51" t="str">
        <f>IF(NOT(ISNUMBER($E86)),"",IF($C86="Receipt",$E86,IF($C86="Shipment",-$E86,IF($C86="Adjustment",$E86,0))))</f>
        <v/>
      </c>
      <c r="N86" s="49" t="str">
        <f>IF($D86="","",IFERROR(INDEX(Products!$B$2:$B$101,MATCH($D86,Products!$A$2:$A$101,0))&amp;"","(not found)"))</f>
        <v/>
      </c>
      <c r="O86" s="49" t="str">
        <f>IF($F86="","",IFERROR(INDEX(Batches!$B$2:$B$301,MATCH($F86,Batches!$A$2:$A$301,0))&amp;"","(not found)"))</f>
        <v/>
      </c>
      <c r="P86" s="49" t="str">
        <f>IF(COUNTA($A86:$L86)=0,"",IF($A86="","Missing: entry ID",IF(COUNTIF($A$2:$A$2001,$A86)&gt;1,"Duplicate entry ID",IF(NOT(ISNUMBER($B86)),"Missing or invalid: date",IF($C86="","Missing: type",IF($D86="","Missing: SKU",IF(NOT(ISNUMBER($E86)),"Missing: qty",IF($F86="","Missing: lot",IF($I86="","Missing: source link",IF(COUNTIF(Config!$A$15:$A$34,$C86)=0,"Unsupported type",IF(COUNTIF(Products!$A$2:$A$101,$D86)=0,"Unknown SKU",IF(COUNTIFS(Batches!$A$2:$A$301,$F86,Batches!$B$2:$B$301,$D86)=0,"Unknown lot for this SKU",IF(AND($C86="Adjustment",$G86=""),"Missing: reason",IF(AND($G86&lt;&gt;"",COUNTIF(Config!$B$15:$B$34,$G86)=0),"Unsupported reason",IF(OR(INT($E86)&lt;&gt;$E86,AND(OR($C86="Receipt",$C86="Shipment"),$E86&lt;=0),AND($C86="Adjustment",$E86=0)),"Invalid qty",IF($B86&gt;Config!$B$4,"Date after the as-of date",IF($B86&lt;Config!$B$5,"Date before the opening balance date","OK")))))))))))))))))</f>
        <v/>
      </c>
    </row>
    <row r="87">
      <c r="A87" s="46" t="n"/>
      <c r="B87" s="54" t="n"/>
      <c r="C87" s="46" t="n"/>
      <c r="D87" s="46" t="n"/>
      <c r="E87" s="55" t="n"/>
      <c r="F87" s="46" t="n"/>
      <c r="G87" s="46" t="n"/>
      <c r="H87" s="46" t="n"/>
      <c r="I87" s="46" t="n"/>
      <c r="J87" s="46" t="n"/>
      <c r="K87" s="46" t="n"/>
      <c r="L87" s="46" t="n"/>
      <c r="M87" s="51" t="str">
        <f>IF(NOT(ISNUMBER($E87)),"",IF($C87="Receipt",$E87,IF($C87="Shipment",-$E87,IF($C87="Adjustment",$E87,0))))</f>
        <v/>
      </c>
      <c r="N87" s="49" t="str">
        <f>IF($D87="","",IFERROR(INDEX(Products!$B$2:$B$101,MATCH($D87,Products!$A$2:$A$101,0))&amp;"","(not found)"))</f>
        <v/>
      </c>
      <c r="O87" s="49" t="str">
        <f>IF($F87="","",IFERROR(INDEX(Batches!$B$2:$B$301,MATCH($F87,Batches!$A$2:$A$301,0))&amp;"","(not found)"))</f>
        <v/>
      </c>
      <c r="P87" s="49" t="str">
        <f>IF(COUNTA($A87:$L87)=0,"",IF($A87="","Missing: entry ID",IF(COUNTIF($A$2:$A$2001,$A87)&gt;1,"Duplicate entry ID",IF(NOT(ISNUMBER($B87)),"Missing or invalid: date",IF($C87="","Missing: type",IF($D87="","Missing: SKU",IF(NOT(ISNUMBER($E87)),"Missing: qty",IF($F87="","Missing: lot",IF($I87="","Missing: source link",IF(COUNTIF(Config!$A$15:$A$34,$C87)=0,"Unsupported type",IF(COUNTIF(Products!$A$2:$A$101,$D87)=0,"Unknown SKU",IF(COUNTIFS(Batches!$A$2:$A$301,$F87,Batches!$B$2:$B$301,$D87)=0,"Unknown lot for this SKU",IF(AND($C87="Adjustment",$G87=""),"Missing: reason",IF(AND($G87&lt;&gt;"",COUNTIF(Config!$B$15:$B$34,$G87)=0),"Unsupported reason",IF(OR(INT($E87)&lt;&gt;$E87,AND(OR($C87="Receipt",$C87="Shipment"),$E87&lt;=0),AND($C87="Adjustment",$E87=0)),"Invalid qty",IF($B87&gt;Config!$B$4,"Date after the as-of date",IF($B87&lt;Config!$B$5,"Date before the opening balance date","OK")))))))))))))))))</f>
        <v/>
      </c>
    </row>
    <row r="88">
      <c r="A88" s="46" t="n"/>
      <c r="B88" s="54" t="n"/>
      <c r="C88" s="46" t="n"/>
      <c r="D88" s="46" t="n"/>
      <c r="E88" s="55" t="n"/>
      <c r="F88" s="46" t="n"/>
      <c r="G88" s="46" t="n"/>
      <c r="H88" s="46" t="n"/>
      <c r="I88" s="46" t="n"/>
      <c r="J88" s="46" t="n"/>
      <c r="K88" s="46" t="n"/>
      <c r="L88" s="46" t="n"/>
      <c r="M88" s="51" t="str">
        <f>IF(NOT(ISNUMBER($E88)),"",IF($C88="Receipt",$E88,IF($C88="Shipment",-$E88,IF($C88="Adjustment",$E88,0))))</f>
        <v/>
      </c>
      <c r="N88" s="49" t="str">
        <f>IF($D88="","",IFERROR(INDEX(Products!$B$2:$B$101,MATCH($D88,Products!$A$2:$A$101,0))&amp;"","(not found)"))</f>
        <v/>
      </c>
      <c r="O88" s="49" t="str">
        <f>IF($F88="","",IFERROR(INDEX(Batches!$B$2:$B$301,MATCH($F88,Batches!$A$2:$A$301,0))&amp;"","(not found)"))</f>
        <v/>
      </c>
      <c r="P88" s="49" t="str">
        <f>IF(COUNTA($A88:$L88)=0,"",IF($A88="","Missing: entry ID",IF(COUNTIF($A$2:$A$2001,$A88)&gt;1,"Duplicate entry ID",IF(NOT(ISNUMBER($B88)),"Missing or invalid: date",IF($C88="","Missing: type",IF($D88="","Missing: SKU",IF(NOT(ISNUMBER($E88)),"Missing: qty",IF($F88="","Missing: lot",IF($I88="","Missing: source link",IF(COUNTIF(Config!$A$15:$A$34,$C88)=0,"Unsupported type",IF(COUNTIF(Products!$A$2:$A$101,$D88)=0,"Unknown SKU",IF(COUNTIFS(Batches!$A$2:$A$301,$F88,Batches!$B$2:$B$301,$D88)=0,"Unknown lot for this SKU",IF(AND($C88="Adjustment",$G88=""),"Missing: reason",IF(AND($G88&lt;&gt;"",COUNTIF(Config!$B$15:$B$34,$G88)=0),"Unsupported reason",IF(OR(INT($E88)&lt;&gt;$E88,AND(OR($C88="Receipt",$C88="Shipment"),$E88&lt;=0),AND($C88="Adjustment",$E88=0)),"Invalid qty",IF($B88&gt;Config!$B$4,"Date after the as-of date",IF($B88&lt;Config!$B$5,"Date before the opening balance date","OK")))))))))))))))))</f>
        <v/>
      </c>
    </row>
    <row r="89">
      <c r="A89" s="46" t="n"/>
      <c r="B89" s="54" t="n"/>
      <c r="C89" s="46" t="n"/>
      <c r="D89" s="46" t="n"/>
      <c r="E89" s="55" t="n"/>
      <c r="F89" s="46" t="n"/>
      <c r="G89" s="46" t="n"/>
      <c r="H89" s="46" t="n"/>
      <c r="I89" s="46" t="n"/>
      <c r="J89" s="46" t="n"/>
      <c r="K89" s="46" t="n"/>
      <c r="L89" s="46" t="n"/>
      <c r="M89" s="51" t="str">
        <f>IF(NOT(ISNUMBER($E89)),"",IF($C89="Receipt",$E89,IF($C89="Shipment",-$E89,IF($C89="Adjustment",$E89,0))))</f>
        <v/>
      </c>
      <c r="N89" s="49" t="str">
        <f>IF($D89="","",IFERROR(INDEX(Products!$B$2:$B$101,MATCH($D89,Products!$A$2:$A$101,0))&amp;"","(not found)"))</f>
        <v/>
      </c>
      <c r="O89" s="49" t="str">
        <f>IF($F89="","",IFERROR(INDEX(Batches!$B$2:$B$301,MATCH($F89,Batches!$A$2:$A$301,0))&amp;"","(not found)"))</f>
        <v/>
      </c>
      <c r="P89" s="49" t="str">
        <f>IF(COUNTA($A89:$L89)=0,"",IF($A89="","Missing: entry ID",IF(COUNTIF($A$2:$A$2001,$A89)&gt;1,"Duplicate entry ID",IF(NOT(ISNUMBER($B89)),"Missing or invalid: date",IF($C89="","Missing: type",IF($D89="","Missing: SKU",IF(NOT(ISNUMBER($E89)),"Missing: qty",IF($F89="","Missing: lot",IF($I89="","Missing: source link",IF(COUNTIF(Config!$A$15:$A$34,$C89)=0,"Unsupported type",IF(COUNTIF(Products!$A$2:$A$101,$D89)=0,"Unknown SKU",IF(COUNTIFS(Batches!$A$2:$A$301,$F89,Batches!$B$2:$B$301,$D89)=0,"Unknown lot for this SKU",IF(AND($C89="Adjustment",$G89=""),"Missing: reason",IF(AND($G89&lt;&gt;"",COUNTIF(Config!$B$15:$B$34,$G89)=0),"Unsupported reason",IF(OR(INT($E89)&lt;&gt;$E89,AND(OR($C89="Receipt",$C89="Shipment"),$E89&lt;=0),AND($C89="Adjustment",$E89=0)),"Invalid qty",IF($B89&gt;Config!$B$4,"Date after the as-of date",IF($B89&lt;Config!$B$5,"Date before the opening balance date","OK")))))))))))))))))</f>
        <v/>
      </c>
    </row>
    <row r="90">
      <c r="A90" s="46" t="n"/>
      <c r="B90" s="54" t="n"/>
      <c r="C90" s="46" t="n"/>
      <c r="D90" s="46" t="n"/>
      <c r="E90" s="55" t="n"/>
      <c r="F90" s="46" t="n"/>
      <c r="G90" s="46" t="n"/>
      <c r="H90" s="46" t="n"/>
      <c r="I90" s="46" t="n"/>
      <c r="J90" s="46" t="n"/>
      <c r="K90" s="46" t="n"/>
      <c r="L90" s="46" t="n"/>
      <c r="M90" s="51" t="str">
        <f>IF(NOT(ISNUMBER($E90)),"",IF($C90="Receipt",$E90,IF($C90="Shipment",-$E90,IF($C90="Adjustment",$E90,0))))</f>
        <v/>
      </c>
      <c r="N90" s="49" t="str">
        <f>IF($D90="","",IFERROR(INDEX(Products!$B$2:$B$101,MATCH($D90,Products!$A$2:$A$101,0))&amp;"","(not found)"))</f>
        <v/>
      </c>
      <c r="O90" s="49" t="str">
        <f>IF($F90="","",IFERROR(INDEX(Batches!$B$2:$B$301,MATCH($F90,Batches!$A$2:$A$301,0))&amp;"","(not found)"))</f>
        <v/>
      </c>
      <c r="P90" s="49" t="str">
        <f>IF(COUNTA($A90:$L90)=0,"",IF($A90="","Missing: entry ID",IF(COUNTIF($A$2:$A$2001,$A90)&gt;1,"Duplicate entry ID",IF(NOT(ISNUMBER($B90)),"Missing or invalid: date",IF($C90="","Missing: type",IF($D90="","Missing: SKU",IF(NOT(ISNUMBER($E90)),"Missing: qty",IF($F90="","Missing: lot",IF($I90="","Missing: source link",IF(COUNTIF(Config!$A$15:$A$34,$C90)=0,"Unsupported type",IF(COUNTIF(Products!$A$2:$A$101,$D90)=0,"Unknown SKU",IF(COUNTIFS(Batches!$A$2:$A$301,$F90,Batches!$B$2:$B$301,$D90)=0,"Unknown lot for this SKU",IF(AND($C90="Adjustment",$G90=""),"Missing: reason",IF(AND($G90&lt;&gt;"",COUNTIF(Config!$B$15:$B$34,$G90)=0),"Unsupported reason",IF(OR(INT($E90)&lt;&gt;$E90,AND(OR($C90="Receipt",$C90="Shipment"),$E90&lt;=0),AND($C90="Adjustment",$E90=0)),"Invalid qty",IF($B90&gt;Config!$B$4,"Date after the as-of date",IF($B90&lt;Config!$B$5,"Date before the opening balance date","OK")))))))))))))))))</f>
        <v/>
      </c>
    </row>
    <row r="91">
      <c r="A91" s="46" t="n"/>
      <c r="B91" s="54" t="n"/>
      <c r="C91" s="46" t="n"/>
      <c r="D91" s="46" t="n"/>
      <c r="E91" s="55" t="n"/>
      <c r="F91" s="46" t="n"/>
      <c r="G91" s="46" t="n"/>
      <c r="H91" s="46" t="n"/>
      <c r="I91" s="46" t="n"/>
      <c r="J91" s="46" t="n"/>
      <c r="K91" s="46" t="n"/>
      <c r="L91" s="46" t="n"/>
      <c r="M91" s="51" t="str">
        <f>IF(NOT(ISNUMBER($E91)),"",IF($C91="Receipt",$E91,IF($C91="Shipment",-$E91,IF($C91="Adjustment",$E91,0))))</f>
        <v/>
      </c>
      <c r="N91" s="49" t="str">
        <f>IF($D91="","",IFERROR(INDEX(Products!$B$2:$B$101,MATCH($D91,Products!$A$2:$A$101,0))&amp;"","(not found)"))</f>
        <v/>
      </c>
      <c r="O91" s="49" t="str">
        <f>IF($F91="","",IFERROR(INDEX(Batches!$B$2:$B$301,MATCH($F91,Batches!$A$2:$A$301,0))&amp;"","(not found)"))</f>
        <v/>
      </c>
      <c r="P91" s="49" t="str">
        <f>IF(COUNTA($A91:$L91)=0,"",IF($A91="","Missing: entry ID",IF(COUNTIF($A$2:$A$2001,$A91)&gt;1,"Duplicate entry ID",IF(NOT(ISNUMBER($B91)),"Missing or invalid: date",IF($C91="","Missing: type",IF($D91="","Missing: SKU",IF(NOT(ISNUMBER($E91)),"Missing: qty",IF($F91="","Missing: lot",IF($I91="","Missing: source link",IF(COUNTIF(Config!$A$15:$A$34,$C91)=0,"Unsupported type",IF(COUNTIF(Products!$A$2:$A$101,$D91)=0,"Unknown SKU",IF(COUNTIFS(Batches!$A$2:$A$301,$F91,Batches!$B$2:$B$301,$D91)=0,"Unknown lot for this SKU",IF(AND($C91="Adjustment",$G91=""),"Missing: reason",IF(AND($G91&lt;&gt;"",COUNTIF(Config!$B$15:$B$34,$G91)=0),"Unsupported reason",IF(OR(INT($E91)&lt;&gt;$E91,AND(OR($C91="Receipt",$C91="Shipment"),$E91&lt;=0),AND($C91="Adjustment",$E91=0)),"Invalid qty",IF($B91&gt;Config!$B$4,"Date after the as-of date",IF($B91&lt;Config!$B$5,"Date before the opening balance date","OK")))))))))))))))))</f>
        <v/>
      </c>
    </row>
    <row r="92">
      <c r="A92" s="46" t="n"/>
      <c r="B92" s="54" t="n"/>
      <c r="C92" s="46" t="n"/>
      <c r="D92" s="46" t="n"/>
      <c r="E92" s="55" t="n"/>
      <c r="F92" s="46" t="n"/>
      <c r="G92" s="46" t="n"/>
      <c r="H92" s="46" t="n"/>
      <c r="I92" s="46" t="n"/>
      <c r="J92" s="46" t="n"/>
      <c r="K92" s="46" t="n"/>
      <c r="L92" s="46" t="n"/>
      <c r="M92" s="51" t="str">
        <f>IF(NOT(ISNUMBER($E92)),"",IF($C92="Receipt",$E92,IF($C92="Shipment",-$E92,IF($C92="Adjustment",$E92,0))))</f>
        <v/>
      </c>
      <c r="N92" s="49" t="str">
        <f>IF($D92="","",IFERROR(INDEX(Products!$B$2:$B$101,MATCH($D92,Products!$A$2:$A$101,0))&amp;"","(not found)"))</f>
        <v/>
      </c>
      <c r="O92" s="49" t="str">
        <f>IF($F92="","",IFERROR(INDEX(Batches!$B$2:$B$301,MATCH($F92,Batches!$A$2:$A$301,0))&amp;"","(not found)"))</f>
        <v/>
      </c>
      <c r="P92" s="49" t="str">
        <f>IF(COUNTA($A92:$L92)=0,"",IF($A92="","Missing: entry ID",IF(COUNTIF($A$2:$A$2001,$A92)&gt;1,"Duplicate entry ID",IF(NOT(ISNUMBER($B92)),"Missing or invalid: date",IF($C92="","Missing: type",IF($D92="","Missing: SKU",IF(NOT(ISNUMBER($E92)),"Missing: qty",IF($F92="","Missing: lot",IF($I92="","Missing: source link",IF(COUNTIF(Config!$A$15:$A$34,$C92)=0,"Unsupported type",IF(COUNTIF(Products!$A$2:$A$101,$D92)=0,"Unknown SKU",IF(COUNTIFS(Batches!$A$2:$A$301,$F92,Batches!$B$2:$B$301,$D92)=0,"Unknown lot for this SKU",IF(AND($C92="Adjustment",$G92=""),"Missing: reason",IF(AND($G92&lt;&gt;"",COUNTIF(Config!$B$15:$B$34,$G92)=0),"Unsupported reason",IF(OR(INT($E92)&lt;&gt;$E92,AND(OR($C92="Receipt",$C92="Shipment"),$E92&lt;=0),AND($C92="Adjustment",$E92=0)),"Invalid qty",IF($B92&gt;Config!$B$4,"Date after the as-of date",IF($B92&lt;Config!$B$5,"Date before the opening balance date","OK")))))))))))))))))</f>
        <v/>
      </c>
    </row>
    <row r="93">
      <c r="A93" s="46" t="n"/>
      <c r="B93" s="54" t="n"/>
      <c r="C93" s="46" t="n"/>
      <c r="D93" s="46" t="n"/>
      <c r="E93" s="55" t="n"/>
      <c r="F93" s="46" t="n"/>
      <c r="G93" s="46" t="n"/>
      <c r="H93" s="46" t="n"/>
      <c r="I93" s="46" t="n"/>
      <c r="J93" s="46" t="n"/>
      <c r="K93" s="46" t="n"/>
      <c r="L93" s="46" t="n"/>
      <c r="M93" s="51" t="str">
        <f>IF(NOT(ISNUMBER($E93)),"",IF($C93="Receipt",$E93,IF($C93="Shipment",-$E93,IF($C93="Adjustment",$E93,0))))</f>
        <v/>
      </c>
      <c r="N93" s="49" t="str">
        <f>IF($D93="","",IFERROR(INDEX(Products!$B$2:$B$101,MATCH($D93,Products!$A$2:$A$101,0))&amp;"","(not found)"))</f>
        <v/>
      </c>
      <c r="O93" s="49" t="str">
        <f>IF($F93="","",IFERROR(INDEX(Batches!$B$2:$B$301,MATCH($F93,Batches!$A$2:$A$301,0))&amp;"","(not found)"))</f>
        <v/>
      </c>
      <c r="P93" s="49" t="str">
        <f>IF(COUNTA($A93:$L93)=0,"",IF($A93="","Missing: entry ID",IF(COUNTIF($A$2:$A$2001,$A93)&gt;1,"Duplicate entry ID",IF(NOT(ISNUMBER($B93)),"Missing or invalid: date",IF($C93="","Missing: type",IF($D93="","Missing: SKU",IF(NOT(ISNUMBER($E93)),"Missing: qty",IF($F93="","Missing: lot",IF($I93="","Missing: source link",IF(COUNTIF(Config!$A$15:$A$34,$C93)=0,"Unsupported type",IF(COUNTIF(Products!$A$2:$A$101,$D93)=0,"Unknown SKU",IF(COUNTIFS(Batches!$A$2:$A$301,$F93,Batches!$B$2:$B$301,$D93)=0,"Unknown lot for this SKU",IF(AND($C93="Adjustment",$G93=""),"Missing: reason",IF(AND($G93&lt;&gt;"",COUNTIF(Config!$B$15:$B$34,$G93)=0),"Unsupported reason",IF(OR(INT($E93)&lt;&gt;$E93,AND(OR($C93="Receipt",$C93="Shipment"),$E93&lt;=0),AND($C93="Adjustment",$E93=0)),"Invalid qty",IF($B93&gt;Config!$B$4,"Date after the as-of date",IF($B93&lt;Config!$B$5,"Date before the opening balance date","OK")))))))))))))))))</f>
        <v/>
      </c>
    </row>
    <row r="94">
      <c r="A94" s="46" t="n"/>
      <c r="B94" s="54" t="n"/>
      <c r="C94" s="46" t="n"/>
      <c r="D94" s="46" t="n"/>
      <c r="E94" s="55" t="n"/>
      <c r="F94" s="46" t="n"/>
      <c r="G94" s="46" t="n"/>
      <c r="H94" s="46" t="n"/>
      <c r="I94" s="46" t="n"/>
      <c r="J94" s="46" t="n"/>
      <c r="K94" s="46" t="n"/>
      <c r="L94" s="46" t="n"/>
      <c r="M94" s="51" t="str">
        <f>IF(NOT(ISNUMBER($E94)),"",IF($C94="Receipt",$E94,IF($C94="Shipment",-$E94,IF($C94="Adjustment",$E94,0))))</f>
        <v/>
      </c>
      <c r="N94" s="49" t="str">
        <f>IF($D94="","",IFERROR(INDEX(Products!$B$2:$B$101,MATCH($D94,Products!$A$2:$A$101,0))&amp;"","(not found)"))</f>
        <v/>
      </c>
      <c r="O94" s="49" t="str">
        <f>IF($F94="","",IFERROR(INDEX(Batches!$B$2:$B$301,MATCH($F94,Batches!$A$2:$A$301,0))&amp;"","(not found)"))</f>
        <v/>
      </c>
      <c r="P94" s="49" t="str">
        <f>IF(COUNTA($A94:$L94)=0,"",IF($A94="","Missing: entry ID",IF(COUNTIF($A$2:$A$2001,$A94)&gt;1,"Duplicate entry ID",IF(NOT(ISNUMBER($B94)),"Missing or invalid: date",IF($C94="","Missing: type",IF($D94="","Missing: SKU",IF(NOT(ISNUMBER($E94)),"Missing: qty",IF($F94="","Missing: lot",IF($I94="","Missing: source link",IF(COUNTIF(Config!$A$15:$A$34,$C94)=0,"Unsupported type",IF(COUNTIF(Products!$A$2:$A$101,$D94)=0,"Unknown SKU",IF(COUNTIFS(Batches!$A$2:$A$301,$F94,Batches!$B$2:$B$301,$D94)=0,"Unknown lot for this SKU",IF(AND($C94="Adjustment",$G94=""),"Missing: reason",IF(AND($G94&lt;&gt;"",COUNTIF(Config!$B$15:$B$34,$G94)=0),"Unsupported reason",IF(OR(INT($E94)&lt;&gt;$E94,AND(OR($C94="Receipt",$C94="Shipment"),$E94&lt;=0),AND($C94="Adjustment",$E94=0)),"Invalid qty",IF($B94&gt;Config!$B$4,"Date after the as-of date",IF($B94&lt;Config!$B$5,"Date before the opening balance date","OK")))))))))))))))))</f>
        <v/>
      </c>
    </row>
    <row r="95">
      <c r="A95" s="46" t="n"/>
      <c r="B95" s="54" t="n"/>
      <c r="C95" s="46" t="n"/>
      <c r="D95" s="46" t="n"/>
      <c r="E95" s="55" t="n"/>
      <c r="F95" s="46" t="n"/>
      <c r="G95" s="46" t="n"/>
      <c r="H95" s="46" t="n"/>
      <c r="I95" s="46" t="n"/>
      <c r="J95" s="46" t="n"/>
      <c r="K95" s="46" t="n"/>
      <c r="L95" s="46" t="n"/>
      <c r="M95" s="51" t="str">
        <f>IF(NOT(ISNUMBER($E95)),"",IF($C95="Receipt",$E95,IF($C95="Shipment",-$E95,IF($C95="Adjustment",$E95,0))))</f>
        <v/>
      </c>
      <c r="N95" s="49" t="str">
        <f>IF($D95="","",IFERROR(INDEX(Products!$B$2:$B$101,MATCH($D95,Products!$A$2:$A$101,0))&amp;"","(not found)"))</f>
        <v/>
      </c>
      <c r="O95" s="49" t="str">
        <f>IF($F95="","",IFERROR(INDEX(Batches!$B$2:$B$301,MATCH($F95,Batches!$A$2:$A$301,0))&amp;"","(not found)"))</f>
        <v/>
      </c>
      <c r="P95" s="49" t="str">
        <f>IF(COUNTA($A95:$L95)=0,"",IF($A95="","Missing: entry ID",IF(COUNTIF($A$2:$A$2001,$A95)&gt;1,"Duplicate entry ID",IF(NOT(ISNUMBER($B95)),"Missing or invalid: date",IF($C95="","Missing: type",IF($D95="","Missing: SKU",IF(NOT(ISNUMBER($E95)),"Missing: qty",IF($F95="","Missing: lot",IF($I95="","Missing: source link",IF(COUNTIF(Config!$A$15:$A$34,$C95)=0,"Unsupported type",IF(COUNTIF(Products!$A$2:$A$101,$D95)=0,"Unknown SKU",IF(COUNTIFS(Batches!$A$2:$A$301,$F95,Batches!$B$2:$B$301,$D95)=0,"Unknown lot for this SKU",IF(AND($C95="Adjustment",$G95=""),"Missing: reason",IF(AND($G95&lt;&gt;"",COUNTIF(Config!$B$15:$B$34,$G95)=0),"Unsupported reason",IF(OR(INT($E95)&lt;&gt;$E95,AND(OR($C95="Receipt",$C95="Shipment"),$E95&lt;=0),AND($C95="Adjustment",$E95=0)),"Invalid qty",IF($B95&gt;Config!$B$4,"Date after the as-of date",IF($B95&lt;Config!$B$5,"Date before the opening balance date","OK")))))))))))))))))</f>
        <v/>
      </c>
    </row>
    <row r="96">
      <c r="A96" s="46" t="n"/>
      <c r="B96" s="54" t="n"/>
      <c r="C96" s="46" t="n"/>
      <c r="D96" s="46" t="n"/>
      <c r="E96" s="55" t="n"/>
      <c r="F96" s="46" t="n"/>
      <c r="G96" s="46" t="n"/>
      <c r="H96" s="46" t="n"/>
      <c r="I96" s="46" t="n"/>
      <c r="J96" s="46" t="n"/>
      <c r="K96" s="46" t="n"/>
      <c r="L96" s="46" t="n"/>
      <c r="M96" s="51" t="str">
        <f>IF(NOT(ISNUMBER($E96)),"",IF($C96="Receipt",$E96,IF($C96="Shipment",-$E96,IF($C96="Adjustment",$E96,0))))</f>
        <v/>
      </c>
      <c r="N96" s="49" t="str">
        <f>IF($D96="","",IFERROR(INDEX(Products!$B$2:$B$101,MATCH($D96,Products!$A$2:$A$101,0))&amp;"","(not found)"))</f>
        <v/>
      </c>
      <c r="O96" s="49" t="str">
        <f>IF($F96="","",IFERROR(INDEX(Batches!$B$2:$B$301,MATCH($F96,Batches!$A$2:$A$301,0))&amp;"","(not found)"))</f>
        <v/>
      </c>
      <c r="P96" s="49" t="str">
        <f>IF(COUNTA($A96:$L96)=0,"",IF($A96="","Missing: entry ID",IF(COUNTIF($A$2:$A$2001,$A96)&gt;1,"Duplicate entry ID",IF(NOT(ISNUMBER($B96)),"Missing or invalid: date",IF($C96="","Missing: type",IF($D96="","Missing: SKU",IF(NOT(ISNUMBER($E96)),"Missing: qty",IF($F96="","Missing: lot",IF($I96="","Missing: source link",IF(COUNTIF(Config!$A$15:$A$34,$C96)=0,"Unsupported type",IF(COUNTIF(Products!$A$2:$A$101,$D96)=0,"Unknown SKU",IF(COUNTIFS(Batches!$A$2:$A$301,$F96,Batches!$B$2:$B$301,$D96)=0,"Unknown lot for this SKU",IF(AND($C96="Adjustment",$G96=""),"Missing: reason",IF(AND($G96&lt;&gt;"",COUNTIF(Config!$B$15:$B$34,$G96)=0),"Unsupported reason",IF(OR(INT($E96)&lt;&gt;$E96,AND(OR($C96="Receipt",$C96="Shipment"),$E96&lt;=0),AND($C96="Adjustment",$E96=0)),"Invalid qty",IF($B96&gt;Config!$B$4,"Date after the as-of date",IF($B96&lt;Config!$B$5,"Date before the opening balance date","OK")))))))))))))))))</f>
        <v/>
      </c>
    </row>
    <row r="97">
      <c r="A97" s="46" t="n"/>
      <c r="B97" s="54" t="n"/>
      <c r="C97" s="46" t="n"/>
      <c r="D97" s="46" t="n"/>
      <c r="E97" s="55" t="n"/>
      <c r="F97" s="46" t="n"/>
      <c r="G97" s="46" t="n"/>
      <c r="H97" s="46" t="n"/>
      <c r="I97" s="46" t="n"/>
      <c r="J97" s="46" t="n"/>
      <c r="K97" s="46" t="n"/>
      <c r="L97" s="46" t="n"/>
      <c r="M97" s="51" t="str">
        <f>IF(NOT(ISNUMBER($E97)),"",IF($C97="Receipt",$E97,IF($C97="Shipment",-$E97,IF($C97="Adjustment",$E97,0))))</f>
        <v/>
      </c>
      <c r="N97" s="49" t="str">
        <f>IF($D97="","",IFERROR(INDEX(Products!$B$2:$B$101,MATCH($D97,Products!$A$2:$A$101,0))&amp;"","(not found)"))</f>
        <v/>
      </c>
      <c r="O97" s="49" t="str">
        <f>IF($F97="","",IFERROR(INDEX(Batches!$B$2:$B$301,MATCH($F97,Batches!$A$2:$A$301,0))&amp;"","(not found)"))</f>
        <v/>
      </c>
      <c r="P97" s="49" t="str">
        <f>IF(COUNTA($A97:$L97)=0,"",IF($A97="","Missing: entry ID",IF(COUNTIF($A$2:$A$2001,$A97)&gt;1,"Duplicate entry ID",IF(NOT(ISNUMBER($B97)),"Missing or invalid: date",IF($C97="","Missing: type",IF($D97="","Missing: SKU",IF(NOT(ISNUMBER($E97)),"Missing: qty",IF($F97="","Missing: lot",IF($I97="","Missing: source link",IF(COUNTIF(Config!$A$15:$A$34,$C97)=0,"Unsupported type",IF(COUNTIF(Products!$A$2:$A$101,$D97)=0,"Unknown SKU",IF(COUNTIFS(Batches!$A$2:$A$301,$F97,Batches!$B$2:$B$301,$D97)=0,"Unknown lot for this SKU",IF(AND($C97="Adjustment",$G97=""),"Missing: reason",IF(AND($G97&lt;&gt;"",COUNTIF(Config!$B$15:$B$34,$G97)=0),"Unsupported reason",IF(OR(INT($E97)&lt;&gt;$E97,AND(OR($C97="Receipt",$C97="Shipment"),$E97&lt;=0),AND($C97="Adjustment",$E97=0)),"Invalid qty",IF($B97&gt;Config!$B$4,"Date after the as-of date",IF($B97&lt;Config!$B$5,"Date before the opening balance date","OK")))))))))))))))))</f>
        <v/>
      </c>
    </row>
    <row r="98">
      <c r="A98" s="46" t="n"/>
      <c r="B98" s="54" t="n"/>
      <c r="C98" s="46" t="n"/>
      <c r="D98" s="46" t="n"/>
      <c r="E98" s="55" t="n"/>
      <c r="F98" s="46" t="n"/>
      <c r="G98" s="46" t="n"/>
      <c r="H98" s="46" t="n"/>
      <c r="I98" s="46" t="n"/>
      <c r="J98" s="46" t="n"/>
      <c r="K98" s="46" t="n"/>
      <c r="L98" s="46" t="n"/>
      <c r="M98" s="51" t="str">
        <f>IF(NOT(ISNUMBER($E98)),"",IF($C98="Receipt",$E98,IF($C98="Shipment",-$E98,IF($C98="Adjustment",$E98,0))))</f>
        <v/>
      </c>
      <c r="N98" s="49" t="str">
        <f>IF($D98="","",IFERROR(INDEX(Products!$B$2:$B$101,MATCH($D98,Products!$A$2:$A$101,0))&amp;"","(not found)"))</f>
        <v/>
      </c>
      <c r="O98" s="49" t="str">
        <f>IF($F98="","",IFERROR(INDEX(Batches!$B$2:$B$301,MATCH($F98,Batches!$A$2:$A$301,0))&amp;"","(not found)"))</f>
        <v/>
      </c>
      <c r="P98" s="49" t="str">
        <f>IF(COUNTA($A98:$L98)=0,"",IF($A98="","Missing: entry ID",IF(COUNTIF($A$2:$A$2001,$A98)&gt;1,"Duplicate entry ID",IF(NOT(ISNUMBER($B98)),"Missing or invalid: date",IF($C98="","Missing: type",IF($D98="","Missing: SKU",IF(NOT(ISNUMBER($E98)),"Missing: qty",IF($F98="","Missing: lot",IF($I98="","Missing: source link",IF(COUNTIF(Config!$A$15:$A$34,$C98)=0,"Unsupported type",IF(COUNTIF(Products!$A$2:$A$101,$D98)=0,"Unknown SKU",IF(COUNTIFS(Batches!$A$2:$A$301,$F98,Batches!$B$2:$B$301,$D98)=0,"Unknown lot for this SKU",IF(AND($C98="Adjustment",$G98=""),"Missing: reason",IF(AND($G98&lt;&gt;"",COUNTIF(Config!$B$15:$B$34,$G98)=0),"Unsupported reason",IF(OR(INT($E98)&lt;&gt;$E98,AND(OR($C98="Receipt",$C98="Shipment"),$E98&lt;=0),AND($C98="Adjustment",$E98=0)),"Invalid qty",IF($B98&gt;Config!$B$4,"Date after the as-of date",IF($B98&lt;Config!$B$5,"Date before the opening balance date","OK")))))))))))))))))</f>
        <v/>
      </c>
    </row>
    <row r="99">
      <c r="A99" s="46" t="n"/>
      <c r="B99" s="54" t="n"/>
      <c r="C99" s="46" t="n"/>
      <c r="D99" s="46" t="n"/>
      <c r="E99" s="55" t="n"/>
      <c r="F99" s="46" t="n"/>
      <c r="G99" s="46" t="n"/>
      <c r="H99" s="46" t="n"/>
      <c r="I99" s="46" t="n"/>
      <c r="J99" s="46" t="n"/>
      <c r="K99" s="46" t="n"/>
      <c r="L99" s="46" t="n"/>
      <c r="M99" s="51" t="str">
        <f>IF(NOT(ISNUMBER($E99)),"",IF($C99="Receipt",$E99,IF($C99="Shipment",-$E99,IF($C99="Adjustment",$E99,0))))</f>
        <v/>
      </c>
      <c r="N99" s="49" t="str">
        <f>IF($D99="","",IFERROR(INDEX(Products!$B$2:$B$101,MATCH($D99,Products!$A$2:$A$101,0))&amp;"","(not found)"))</f>
        <v/>
      </c>
      <c r="O99" s="49" t="str">
        <f>IF($F99="","",IFERROR(INDEX(Batches!$B$2:$B$301,MATCH($F99,Batches!$A$2:$A$301,0))&amp;"","(not found)"))</f>
        <v/>
      </c>
      <c r="P99" s="49" t="str">
        <f>IF(COUNTA($A99:$L99)=0,"",IF($A99="","Missing: entry ID",IF(COUNTIF($A$2:$A$2001,$A99)&gt;1,"Duplicate entry ID",IF(NOT(ISNUMBER($B99)),"Missing or invalid: date",IF($C99="","Missing: type",IF($D99="","Missing: SKU",IF(NOT(ISNUMBER($E99)),"Missing: qty",IF($F99="","Missing: lot",IF($I99="","Missing: source link",IF(COUNTIF(Config!$A$15:$A$34,$C99)=0,"Unsupported type",IF(COUNTIF(Products!$A$2:$A$101,$D99)=0,"Unknown SKU",IF(COUNTIFS(Batches!$A$2:$A$301,$F99,Batches!$B$2:$B$301,$D99)=0,"Unknown lot for this SKU",IF(AND($C99="Adjustment",$G99=""),"Missing: reason",IF(AND($G99&lt;&gt;"",COUNTIF(Config!$B$15:$B$34,$G99)=0),"Unsupported reason",IF(OR(INT($E99)&lt;&gt;$E99,AND(OR($C99="Receipt",$C99="Shipment"),$E99&lt;=0),AND($C99="Adjustment",$E99=0)),"Invalid qty",IF($B99&gt;Config!$B$4,"Date after the as-of date",IF($B99&lt;Config!$B$5,"Date before the opening balance date","OK")))))))))))))))))</f>
        <v/>
      </c>
    </row>
    <row r="100">
      <c r="A100" s="46" t="n"/>
      <c r="B100" s="54" t="n"/>
      <c r="C100" s="46" t="n"/>
      <c r="D100" s="46" t="n"/>
      <c r="E100" s="55" t="n"/>
      <c r="F100" s="46" t="n"/>
      <c r="G100" s="46" t="n"/>
      <c r="H100" s="46" t="n"/>
      <c r="I100" s="46" t="n"/>
      <c r="J100" s="46" t="n"/>
      <c r="K100" s="46" t="n"/>
      <c r="L100" s="46" t="n"/>
      <c r="M100" s="51" t="str">
        <f>IF(NOT(ISNUMBER($E100)),"",IF($C100="Receipt",$E100,IF($C100="Shipment",-$E100,IF($C100="Adjustment",$E100,0))))</f>
        <v/>
      </c>
      <c r="N100" s="49" t="str">
        <f>IF($D100="","",IFERROR(INDEX(Products!$B$2:$B$101,MATCH($D100,Products!$A$2:$A$101,0))&amp;"","(not found)"))</f>
        <v/>
      </c>
      <c r="O100" s="49" t="str">
        <f>IF($F100="","",IFERROR(INDEX(Batches!$B$2:$B$301,MATCH($F100,Batches!$A$2:$A$301,0))&amp;"","(not found)"))</f>
        <v/>
      </c>
      <c r="P100" s="49" t="str">
        <f>IF(COUNTA($A100:$L100)=0,"",IF($A100="","Missing: entry ID",IF(COUNTIF($A$2:$A$2001,$A100)&gt;1,"Duplicate entry ID",IF(NOT(ISNUMBER($B100)),"Missing or invalid: date",IF($C100="","Missing: type",IF($D100="","Missing: SKU",IF(NOT(ISNUMBER($E100)),"Missing: qty",IF($F100="","Missing: lot",IF($I100="","Missing: source link",IF(COUNTIF(Config!$A$15:$A$34,$C100)=0,"Unsupported type",IF(COUNTIF(Products!$A$2:$A$101,$D100)=0,"Unknown SKU",IF(COUNTIFS(Batches!$A$2:$A$301,$F100,Batches!$B$2:$B$301,$D100)=0,"Unknown lot for this SKU",IF(AND($C100="Adjustment",$G100=""),"Missing: reason",IF(AND($G100&lt;&gt;"",COUNTIF(Config!$B$15:$B$34,$G100)=0),"Unsupported reason",IF(OR(INT($E100)&lt;&gt;$E100,AND(OR($C100="Receipt",$C100="Shipment"),$E100&lt;=0),AND($C100="Adjustment",$E100=0)),"Invalid qty",IF($B100&gt;Config!$B$4,"Date after the as-of date",IF($B100&lt;Config!$B$5,"Date before the opening balance date","OK")))))))))))))))))</f>
        <v/>
      </c>
    </row>
    <row r="101">
      <c r="A101" s="46" t="n"/>
      <c r="B101" s="54" t="n"/>
      <c r="C101" s="46" t="n"/>
      <c r="D101" s="46" t="n"/>
      <c r="E101" s="55" t="n"/>
      <c r="F101" s="46" t="n"/>
      <c r="G101" s="46" t="n"/>
      <c r="H101" s="46" t="n"/>
      <c r="I101" s="46" t="n"/>
      <c r="J101" s="46" t="n"/>
      <c r="K101" s="46" t="n"/>
      <c r="L101" s="46" t="n"/>
      <c r="M101" s="51" t="str">
        <f>IF(NOT(ISNUMBER($E101)),"",IF($C101="Receipt",$E101,IF($C101="Shipment",-$E101,IF($C101="Adjustment",$E101,0))))</f>
        <v/>
      </c>
      <c r="N101" s="49" t="str">
        <f>IF($D101="","",IFERROR(INDEX(Products!$B$2:$B$101,MATCH($D101,Products!$A$2:$A$101,0))&amp;"","(not found)"))</f>
        <v/>
      </c>
      <c r="O101" s="49" t="str">
        <f>IF($F101="","",IFERROR(INDEX(Batches!$B$2:$B$301,MATCH($F101,Batches!$A$2:$A$301,0))&amp;"","(not found)"))</f>
        <v/>
      </c>
      <c r="P101" s="49" t="str">
        <f>IF(COUNTA($A101:$L101)=0,"",IF($A101="","Missing: entry ID",IF(COUNTIF($A$2:$A$2001,$A101)&gt;1,"Duplicate entry ID",IF(NOT(ISNUMBER($B101)),"Missing or invalid: date",IF($C101="","Missing: type",IF($D101="","Missing: SKU",IF(NOT(ISNUMBER($E101)),"Missing: qty",IF($F101="","Missing: lot",IF($I101="","Missing: source link",IF(COUNTIF(Config!$A$15:$A$34,$C101)=0,"Unsupported type",IF(COUNTIF(Products!$A$2:$A$101,$D101)=0,"Unknown SKU",IF(COUNTIFS(Batches!$A$2:$A$301,$F101,Batches!$B$2:$B$301,$D101)=0,"Unknown lot for this SKU",IF(AND($C101="Adjustment",$G101=""),"Missing: reason",IF(AND($G101&lt;&gt;"",COUNTIF(Config!$B$15:$B$34,$G101)=0),"Unsupported reason",IF(OR(INT($E101)&lt;&gt;$E101,AND(OR($C101="Receipt",$C101="Shipment"),$E101&lt;=0),AND($C101="Adjustment",$E101=0)),"Invalid qty",IF($B101&gt;Config!$B$4,"Date after the as-of date",IF($B101&lt;Config!$B$5,"Date before the opening balance date","OK")))))))))))))))))</f>
        <v/>
      </c>
    </row>
    <row r="102">
      <c r="A102" s="46" t="n"/>
      <c r="B102" s="54" t="n"/>
      <c r="C102" s="46" t="n"/>
      <c r="D102" s="46" t="n"/>
      <c r="E102" s="55" t="n"/>
      <c r="F102" s="46" t="n"/>
      <c r="G102" s="46" t="n"/>
      <c r="H102" s="46" t="n"/>
      <c r="I102" s="46" t="n"/>
      <c r="J102" s="46" t="n"/>
      <c r="K102" s="46" t="n"/>
      <c r="L102" s="46" t="n"/>
      <c r="M102" s="51" t="str">
        <f>IF(NOT(ISNUMBER($E102)),"",IF($C102="Receipt",$E102,IF($C102="Shipment",-$E102,IF($C102="Adjustment",$E102,0))))</f>
        <v/>
      </c>
      <c r="N102" s="49" t="str">
        <f>IF($D102="","",IFERROR(INDEX(Products!$B$2:$B$101,MATCH($D102,Products!$A$2:$A$101,0))&amp;"","(not found)"))</f>
        <v/>
      </c>
      <c r="O102" s="49" t="str">
        <f>IF($F102="","",IFERROR(INDEX(Batches!$B$2:$B$301,MATCH($F102,Batches!$A$2:$A$301,0))&amp;"","(not found)"))</f>
        <v/>
      </c>
      <c r="P102" s="49" t="str">
        <f>IF(COUNTA($A102:$L102)=0,"",IF($A102="","Missing: entry ID",IF(COUNTIF($A$2:$A$2001,$A102)&gt;1,"Duplicate entry ID",IF(NOT(ISNUMBER($B102)),"Missing or invalid: date",IF($C102="","Missing: type",IF($D102="","Missing: SKU",IF(NOT(ISNUMBER($E102)),"Missing: qty",IF($F102="","Missing: lot",IF($I102="","Missing: source link",IF(COUNTIF(Config!$A$15:$A$34,$C102)=0,"Unsupported type",IF(COUNTIF(Products!$A$2:$A$101,$D102)=0,"Unknown SKU",IF(COUNTIFS(Batches!$A$2:$A$301,$F102,Batches!$B$2:$B$301,$D102)=0,"Unknown lot for this SKU",IF(AND($C102="Adjustment",$G102=""),"Missing: reason",IF(AND($G102&lt;&gt;"",COUNTIF(Config!$B$15:$B$34,$G102)=0),"Unsupported reason",IF(OR(INT($E102)&lt;&gt;$E102,AND(OR($C102="Receipt",$C102="Shipment"),$E102&lt;=0),AND($C102="Adjustment",$E102=0)),"Invalid qty",IF($B102&gt;Config!$B$4,"Date after the as-of date",IF($B102&lt;Config!$B$5,"Date before the opening balance date","OK")))))))))))))))))</f>
        <v/>
      </c>
    </row>
    <row r="103">
      <c r="A103" s="46" t="n"/>
      <c r="B103" s="54" t="n"/>
      <c r="C103" s="46" t="n"/>
      <c r="D103" s="46" t="n"/>
      <c r="E103" s="55" t="n"/>
      <c r="F103" s="46" t="n"/>
      <c r="G103" s="46" t="n"/>
      <c r="H103" s="46" t="n"/>
      <c r="I103" s="46" t="n"/>
      <c r="J103" s="46" t="n"/>
      <c r="K103" s="46" t="n"/>
      <c r="L103" s="46" t="n"/>
      <c r="M103" s="51" t="str">
        <f>IF(NOT(ISNUMBER($E103)),"",IF($C103="Receipt",$E103,IF($C103="Shipment",-$E103,IF($C103="Adjustment",$E103,0))))</f>
        <v/>
      </c>
      <c r="N103" s="49" t="str">
        <f>IF($D103="","",IFERROR(INDEX(Products!$B$2:$B$101,MATCH($D103,Products!$A$2:$A$101,0))&amp;"","(not found)"))</f>
        <v/>
      </c>
      <c r="O103" s="49" t="str">
        <f>IF($F103="","",IFERROR(INDEX(Batches!$B$2:$B$301,MATCH($F103,Batches!$A$2:$A$301,0))&amp;"","(not found)"))</f>
        <v/>
      </c>
      <c r="P103" s="49" t="str">
        <f>IF(COUNTA($A103:$L103)=0,"",IF($A103="","Missing: entry ID",IF(COUNTIF($A$2:$A$2001,$A103)&gt;1,"Duplicate entry ID",IF(NOT(ISNUMBER($B103)),"Missing or invalid: date",IF($C103="","Missing: type",IF($D103="","Missing: SKU",IF(NOT(ISNUMBER($E103)),"Missing: qty",IF($F103="","Missing: lot",IF($I103="","Missing: source link",IF(COUNTIF(Config!$A$15:$A$34,$C103)=0,"Unsupported type",IF(COUNTIF(Products!$A$2:$A$101,$D103)=0,"Unknown SKU",IF(COUNTIFS(Batches!$A$2:$A$301,$F103,Batches!$B$2:$B$301,$D103)=0,"Unknown lot for this SKU",IF(AND($C103="Adjustment",$G103=""),"Missing: reason",IF(AND($G103&lt;&gt;"",COUNTIF(Config!$B$15:$B$34,$G103)=0),"Unsupported reason",IF(OR(INT($E103)&lt;&gt;$E103,AND(OR($C103="Receipt",$C103="Shipment"),$E103&lt;=0),AND($C103="Adjustment",$E103=0)),"Invalid qty",IF($B103&gt;Config!$B$4,"Date after the as-of date",IF($B103&lt;Config!$B$5,"Date before the opening balance date","OK")))))))))))))))))</f>
        <v/>
      </c>
    </row>
    <row r="104">
      <c r="A104" s="46" t="n"/>
      <c r="B104" s="54" t="n"/>
      <c r="C104" s="46" t="n"/>
      <c r="D104" s="46" t="n"/>
      <c r="E104" s="55" t="n"/>
      <c r="F104" s="46" t="n"/>
      <c r="G104" s="46" t="n"/>
      <c r="H104" s="46" t="n"/>
      <c r="I104" s="46" t="n"/>
      <c r="J104" s="46" t="n"/>
      <c r="K104" s="46" t="n"/>
      <c r="L104" s="46" t="n"/>
      <c r="M104" s="51" t="str">
        <f>IF(NOT(ISNUMBER($E104)),"",IF($C104="Receipt",$E104,IF($C104="Shipment",-$E104,IF($C104="Adjustment",$E104,0))))</f>
        <v/>
      </c>
      <c r="N104" s="49" t="str">
        <f>IF($D104="","",IFERROR(INDEX(Products!$B$2:$B$101,MATCH($D104,Products!$A$2:$A$101,0))&amp;"","(not found)"))</f>
        <v/>
      </c>
      <c r="O104" s="49" t="str">
        <f>IF($F104="","",IFERROR(INDEX(Batches!$B$2:$B$301,MATCH($F104,Batches!$A$2:$A$301,0))&amp;"","(not found)"))</f>
        <v/>
      </c>
      <c r="P104" s="49" t="str">
        <f>IF(COUNTA($A104:$L104)=0,"",IF($A104="","Missing: entry ID",IF(COUNTIF($A$2:$A$2001,$A104)&gt;1,"Duplicate entry ID",IF(NOT(ISNUMBER($B104)),"Missing or invalid: date",IF($C104="","Missing: type",IF($D104="","Missing: SKU",IF(NOT(ISNUMBER($E104)),"Missing: qty",IF($F104="","Missing: lot",IF($I104="","Missing: source link",IF(COUNTIF(Config!$A$15:$A$34,$C104)=0,"Unsupported type",IF(COUNTIF(Products!$A$2:$A$101,$D104)=0,"Unknown SKU",IF(COUNTIFS(Batches!$A$2:$A$301,$F104,Batches!$B$2:$B$301,$D104)=0,"Unknown lot for this SKU",IF(AND($C104="Adjustment",$G104=""),"Missing: reason",IF(AND($G104&lt;&gt;"",COUNTIF(Config!$B$15:$B$34,$G104)=0),"Unsupported reason",IF(OR(INT($E104)&lt;&gt;$E104,AND(OR($C104="Receipt",$C104="Shipment"),$E104&lt;=0),AND($C104="Adjustment",$E104=0)),"Invalid qty",IF($B104&gt;Config!$B$4,"Date after the as-of date",IF($B104&lt;Config!$B$5,"Date before the opening balance date","OK")))))))))))))))))</f>
        <v/>
      </c>
    </row>
    <row r="105">
      <c r="A105" s="46" t="n"/>
      <c r="B105" s="54" t="n"/>
      <c r="C105" s="46" t="n"/>
      <c r="D105" s="46" t="n"/>
      <c r="E105" s="55" t="n"/>
      <c r="F105" s="46" t="n"/>
      <c r="G105" s="46" t="n"/>
      <c r="H105" s="46" t="n"/>
      <c r="I105" s="46" t="n"/>
      <c r="J105" s="46" t="n"/>
      <c r="K105" s="46" t="n"/>
      <c r="L105" s="46" t="n"/>
      <c r="M105" s="51" t="str">
        <f>IF(NOT(ISNUMBER($E105)),"",IF($C105="Receipt",$E105,IF($C105="Shipment",-$E105,IF($C105="Adjustment",$E105,0))))</f>
        <v/>
      </c>
      <c r="N105" s="49" t="str">
        <f>IF($D105="","",IFERROR(INDEX(Products!$B$2:$B$101,MATCH($D105,Products!$A$2:$A$101,0))&amp;"","(not found)"))</f>
        <v/>
      </c>
      <c r="O105" s="49" t="str">
        <f>IF($F105="","",IFERROR(INDEX(Batches!$B$2:$B$301,MATCH($F105,Batches!$A$2:$A$301,0))&amp;"","(not found)"))</f>
        <v/>
      </c>
      <c r="P105" s="49" t="str">
        <f>IF(COUNTA($A105:$L105)=0,"",IF($A105="","Missing: entry ID",IF(COUNTIF($A$2:$A$2001,$A105)&gt;1,"Duplicate entry ID",IF(NOT(ISNUMBER($B105)),"Missing or invalid: date",IF($C105="","Missing: type",IF($D105="","Missing: SKU",IF(NOT(ISNUMBER($E105)),"Missing: qty",IF($F105="","Missing: lot",IF($I105="","Missing: source link",IF(COUNTIF(Config!$A$15:$A$34,$C105)=0,"Unsupported type",IF(COUNTIF(Products!$A$2:$A$101,$D105)=0,"Unknown SKU",IF(COUNTIFS(Batches!$A$2:$A$301,$F105,Batches!$B$2:$B$301,$D105)=0,"Unknown lot for this SKU",IF(AND($C105="Adjustment",$G105=""),"Missing: reason",IF(AND($G105&lt;&gt;"",COUNTIF(Config!$B$15:$B$34,$G105)=0),"Unsupported reason",IF(OR(INT($E105)&lt;&gt;$E105,AND(OR($C105="Receipt",$C105="Shipment"),$E105&lt;=0),AND($C105="Adjustment",$E105=0)),"Invalid qty",IF($B105&gt;Config!$B$4,"Date after the as-of date",IF($B105&lt;Config!$B$5,"Date before the opening balance date","OK")))))))))))))))))</f>
        <v/>
      </c>
    </row>
    <row r="106">
      <c r="A106" s="46" t="n"/>
      <c r="B106" s="54" t="n"/>
      <c r="C106" s="46" t="n"/>
      <c r="D106" s="46" t="n"/>
      <c r="E106" s="55" t="n"/>
      <c r="F106" s="46" t="n"/>
      <c r="G106" s="46" t="n"/>
      <c r="H106" s="46" t="n"/>
      <c r="I106" s="46" t="n"/>
      <c r="J106" s="46" t="n"/>
      <c r="K106" s="46" t="n"/>
      <c r="L106" s="46" t="n"/>
      <c r="M106" s="51" t="str">
        <f>IF(NOT(ISNUMBER($E106)),"",IF($C106="Receipt",$E106,IF($C106="Shipment",-$E106,IF($C106="Adjustment",$E106,0))))</f>
        <v/>
      </c>
      <c r="N106" s="49" t="str">
        <f>IF($D106="","",IFERROR(INDEX(Products!$B$2:$B$101,MATCH($D106,Products!$A$2:$A$101,0))&amp;"","(not found)"))</f>
        <v/>
      </c>
      <c r="O106" s="49" t="str">
        <f>IF($F106="","",IFERROR(INDEX(Batches!$B$2:$B$301,MATCH($F106,Batches!$A$2:$A$301,0))&amp;"","(not found)"))</f>
        <v/>
      </c>
      <c r="P106" s="49" t="str">
        <f>IF(COUNTA($A106:$L106)=0,"",IF($A106="","Missing: entry ID",IF(COUNTIF($A$2:$A$2001,$A106)&gt;1,"Duplicate entry ID",IF(NOT(ISNUMBER($B106)),"Missing or invalid: date",IF($C106="","Missing: type",IF($D106="","Missing: SKU",IF(NOT(ISNUMBER($E106)),"Missing: qty",IF($F106="","Missing: lot",IF($I106="","Missing: source link",IF(COUNTIF(Config!$A$15:$A$34,$C106)=0,"Unsupported type",IF(COUNTIF(Products!$A$2:$A$101,$D106)=0,"Unknown SKU",IF(COUNTIFS(Batches!$A$2:$A$301,$F106,Batches!$B$2:$B$301,$D106)=0,"Unknown lot for this SKU",IF(AND($C106="Adjustment",$G106=""),"Missing: reason",IF(AND($G106&lt;&gt;"",COUNTIF(Config!$B$15:$B$34,$G106)=0),"Unsupported reason",IF(OR(INT($E106)&lt;&gt;$E106,AND(OR($C106="Receipt",$C106="Shipment"),$E106&lt;=0),AND($C106="Adjustment",$E106=0)),"Invalid qty",IF($B106&gt;Config!$B$4,"Date after the as-of date",IF($B106&lt;Config!$B$5,"Date before the opening balance date","OK")))))))))))))))))</f>
        <v/>
      </c>
    </row>
    <row r="107">
      <c r="A107" s="46" t="n"/>
      <c r="B107" s="54" t="n"/>
      <c r="C107" s="46" t="n"/>
      <c r="D107" s="46" t="n"/>
      <c r="E107" s="55" t="n"/>
      <c r="F107" s="46" t="n"/>
      <c r="G107" s="46" t="n"/>
      <c r="H107" s="46" t="n"/>
      <c r="I107" s="46" t="n"/>
      <c r="J107" s="46" t="n"/>
      <c r="K107" s="46" t="n"/>
      <c r="L107" s="46" t="n"/>
      <c r="M107" s="51" t="str">
        <f>IF(NOT(ISNUMBER($E107)),"",IF($C107="Receipt",$E107,IF($C107="Shipment",-$E107,IF($C107="Adjustment",$E107,0))))</f>
        <v/>
      </c>
      <c r="N107" s="49" t="str">
        <f>IF($D107="","",IFERROR(INDEX(Products!$B$2:$B$101,MATCH($D107,Products!$A$2:$A$101,0))&amp;"","(not found)"))</f>
        <v/>
      </c>
      <c r="O107" s="49" t="str">
        <f>IF($F107="","",IFERROR(INDEX(Batches!$B$2:$B$301,MATCH($F107,Batches!$A$2:$A$301,0))&amp;"","(not found)"))</f>
        <v/>
      </c>
      <c r="P107" s="49" t="str">
        <f>IF(COUNTA($A107:$L107)=0,"",IF($A107="","Missing: entry ID",IF(COUNTIF($A$2:$A$2001,$A107)&gt;1,"Duplicate entry ID",IF(NOT(ISNUMBER($B107)),"Missing or invalid: date",IF($C107="","Missing: type",IF($D107="","Missing: SKU",IF(NOT(ISNUMBER($E107)),"Missing: qty",IF($F107="","Missing: lot",IF($I107="","Missing: source link",IF(COUNTIF(Config!$A$15:$A$34,$C107)=0,"Unsupported type",IF(COUNTIF(Products!$A$2:$A$101,$D107)=0,"Unknown SKU",IF(COUNTIFS(Batches!$A$2:$A$301,$F107,Batches!$B$2:$B$301,$D107)=0,"Unknown lot for this SKU",IF(AND($C107="Adjustment",$G107=""),"Missing: reason",IF(AND($G107&lt;&gt;"",COUNTIF(Config!$B$15:$B$34,$G107)=0),"Unsupported reason",IF(OR(INT($E107)&lt;&gt;$E107,AND(OR($C107="Receipt",$C107="Shipment"),$E107&lt;=0),AND($C107="Adjustment",$E107=0)),"Invalid qty",IF($B107&gt;Config!$B$4,"Date after the as-of date",IF($B107&lt;Config!$B$5,"Date before the opening balance date","OK")))))))))))))))))</f>
        <v/>
      </c>
    </row>
    <row r="108">
      <c r="A108" s="46" t="n"/>
      <c r="B108" s="54" t="n"/>
      <c r="C108" s="46" t="n"/>
      <c r="D108" s="46" t="n"/>
      <c r="E108" s="55" t="n"/>
      <c r="F108" s="46" t="n"/>
      <c r="G108" s="46" t="n"/>
      <c r="H108" s="46" t="n"/>
      <c r="I108" s="46" t="n"/>
      <c r="J108" s="46" t="n"/>
      <c r="K108" s="46" t="n"/>
      <c r="L108" s="46" t="n"/>
      <c r="M108" s="51" t="str">
        <f>IF(NOT(ISNUMBER($E108)),"",IF($C108="Receipt",$E108,IF($C108="Shipment",-$E108,IF($C108="Adjustment",$E108,0))))</f>
        <v/>
      </c>
      <c r="N108" s="49" t="str">
        <f>IF($D108="","",IFERROR(INDEX(Products!$B$2:$B$101,MATCH($D108,Products!$A$2:$A$101,0))&amp;"","(not found)"))</f>
        <v/>
      </c>
      <c r="O108" s="49" t="str">
        <f>IF($F108="","",IFERROR(INDEX(Batches!$B$2:$B$301,MATCH($F108,Batches!$A$2:$A$301,0))&amp;"","(not found)"))</f>
        <v/>
      </c>
      <c r="P108" s="49" t="str">
        <f>IF(COUNTA($A108:$L108)=0,"",IF($A108="","Missing: entry ID",IF(COUNTIF($A$2:$A$2001,$A108)&gt;1,"Duplicate entry ID",IF(NOT(ISNUMBER($B108)),"Missing or invalid: date",IF($C108="","Missing: type",IF($D108="","Missing: SKU",IF(NOT(ISNUMBER($E108)),"Missing: qty",IF($F108="","Missing: lot",IF($I108="","Missing: source link",IF(COUNTIF(Config!$A$15:$A$34,$C108)=0,"Unsupported type",IF(COUNTIF(Products!$A$2:$A$101,$D108)=0,"Unknown SKU",IF(COUNTIFS(Batches!$A$2:$A$301,$F108,Batches!$B$2:$B$301,$D108)=0,"Unknown lot for this SKU",IF(AND($C108="Adjustment",$G108=""),"Missing: reason",IF(AND($G108&lt;&gt;"",COUNTIF(Config!$B$15:$B$34,$G108)=0),"Unsupported reason",IF(OR(INT($E108)&lt;&gt;$E108,AND(OR($C108="Receipt",$C108="Shipment"),$E108&lt;=0),AND($C108="Adjustment",$E108=0)),"Invalid qty",IF($B108&gt;Config!$B$4,"Date after the as-of date",IF($B108&lt;Config!$B$5,"Date before the opening balance date","OK")))))))))))))))))</f>
        <v/>
      </c>
    </row>
    <row r="109">
      <c r="A109" s="46" t="n"/>
      <c r="B109" s="54" t="n"/>
      <c r="C109" s="46" t="n"/>
      <c r="D109" s="46" t="n"/>
      <c r="E109" s="55" t="n"/>
      <c r="F109" s="46" t="n"/>
      <c r="G109" s="46" t="n"/>
      <c r="H109" s="46" t="n"/>
      <c r="I109" s="46" t="n"/>
      <c r="J109" s="46" t="n"/>
      <c r="K109" s="46" t="n"/>
      <c r="L109" s="46" t="n"/>
      <c r="M109" s="51" t="str">
        <f>IF(NOT(ISNUMBER($E109)),"",IF($C109="Receipt",$E109,IF($C109="Shipment",-$E109,IF($C109="Adjustment",$E109,0))))</f>
        <v/>
      </c>
      <c r="N109" s="49" t="str">
        <f>IF($D109="","",IFERROR(INDEX(Products!$B$2:$B$101,MATCH($D109,Products!$A$2:$A$101,0))&amp;"","(not found)"))</f>
        <v/>
      </c>
      <c r="O109" s="49" t="str">
        <f>IF($F109="","",IFERROR(INDEX(Batches!$B$2:$B$301,MATCH($F109,Batches!$A$2:$A$301,0))&amp;"","(not found)"))</f>
        <v/>
      </c>
      <c r="P109" s="49" t="str">
        <f>IF(COUNTA($A109:$L109)=0,"",IF($A109="","Missing: entry ID",IF(COUNTIF($A$2:$A$2001,$A109)&gt;1,"Duplicate entry ID",IF(NOT(ISNUMBER($B109)),"Missing or invalid: date",IF($C109="","Missing: type",IF($D109="","Missing: SKU",IF(NOT(ISNUMBER($E109)),"Missing: qty",IF($F109="","Missing: lot",IF($I109="","Missing: source link",IF(COUNTIF(Config!$A$15:$A$34,$C109)=0,"Unsupported type",IF(COUNTIF(Products!$A$2:$A$101,$D109)=0,"Unknown SKU",IF(COUNTIFS(Batches!$A$2:$A$301,$F109,Batches!$B$2:$B$301,$D109)=0,"Unknown lot for this SKU",IF(AND($C109="Adjustment",$G109=""),"Missing: reason",IF(AND($G109&lt;&gt;"",COUNTIF(Config!$B$15:$B$34,$G109)=0),"Unsupported reason",IF(OR(INT($E109)&lt;&gt;$E109,AND(OR($C109="Receipt",$C109="Shipment"),$E109&lt;=0),AND($C109="Adjustment",$E109=0)),"Invalid qty",IF($B109&gt;Config!$B$4,"Date after the as-of date",IF($B109&lt;Config!$B$5,"Date before the opening balance date","OK")))))))))))))))))</f>
        <v/>
      </c>
    </row>
    <row r="110">
      <c r="A110" s="46" t="n"/>
      <c r="B110" s="54" t="n"/>
      <c r="C110" s="46" t="n"/>
      <c r="D110" s="46" t="n"/>
      <c r="E110" s="55" t="n"/>
      <c r="F110" s="46" t="n"/>
      <c r="G110" s="46" t="n"/>
      <c r="H110" s="46" t="n"/>
      <c r="I110" s="46" t="n"/>
      <c r="J110" s="46" t="n"/>
      <c r="K110" s="46" t="n"/>
      <c r="L110" s="46" t="n"/>
      <c r="M110" s="51" t="str">
        <f>IF(NOT(ISNUMBER($E110)),"",IF($C110="Receipt",$E110,IF($C110="Shipment",-$E110,IF($C110="Adjustment",$E110,0))))</f>
        <v/>
      </c>
      <c r="N110" s="49" t="str">
        <f>IF($D110="","",IFERROR(INDEX(Products!$B$2:$B$101,MATCH($D110,Products!$A$2:$A$101,0))&amp;"","(not found)"))</f>
        <v/>
      </c>
      <c r="O110" s="49" t="str">
        <f>IF($F110="","",IFERROR(INDEX(Batches!$B$2:$B$301,MATCH($F110,Batches!$A$2:$A$301,0))&amp;"","(not found)"))</f>
        <v/>
      </c>
      <c r="P110" s="49" t="str">
        <f>IF(COUNTA($A110:$L110)=0,"",IF($A110="","Missing: entry ID",IF(COUNTIF($A$2:$A$2001,$A110)&gt;1,"Duplicate entry ID",IF(NOT(ISNUMBER($B110)),"Missing or invalid: date",IF($C110="","Missing: type",IF($D110="","Missing: SKU",IF(NOT(ISNUMBER($E110)),"Missing: qty",IF($F110="","Missing: lot",IF($I110="","Missing: source link",IF(COUNTIF(Config!$A$15:$A$34,$C110)=0,"Unsupported type",IF(COUNTIF(Products!$A$2:$A$101,$D110)=0,"Unknown SKU",IF(COUNTIFS(Batches!$A$2:$A$301,$F110,Batches!$B$2:$B$301,$D110)=0,"Unknown lot for this SKU",IF(AND($C110="Adjustment",$G110=""),"Missing: reason",IF(AND($G110&lt;&gt;"",COUNTIF(Config!$B$15:$B$34,$G110)=0),"Unsupported reason",IF(OR(INT($E110)&lt;&gt;$E110,AND(OR($C110="Receipt",$C110="Shipment"),$E110&lt;=0),AND($C110="Adjustment",$E110=0)),"Invalid qty",IF($B110&gt;Config!$B$4,"Date after the as-of date",IF($B110&lt;Config!$B$5,"Date before the opening balance date","OK")))))))))))))))))</f>
        <v/>
      </c>
    </row>
    <row r="111">
      <c r="A111" s="46" t="n"/>
      <c r="B111" s="54" t="n"/>
      <c r="C111" s="46" t="n"/>
      <c r="D111" s="46" t="n"/>
      <c r="E111" s="55" t="n"/>
      <c r="F111" s="46" t="n"/>
      <c r="G111" s="46" t="n"/>
      <c r="H111" s="46" t="n"/>
      <c r="I111" s="46" t="n"/>
      <c r="J111" s="46" t="n"/>
      <c r="K111" s="46" t="n"/>
      <c r="L111" s="46" t="n"/>
      <c r="M111" s="51" t="str">
        <f>IF(NOT(ISNUMBER($E111)),"",IF($C111="Receipt",$E111,IF($C111="Shipment",-$E111,IF($C111="Adjustment",$E111,0))))</f>
        <v/>
      </c>
      <c r="N111" s="49" t="str">
        <f>IF($D111="","",IFERROR(INDEX(Products!$B$2:$B$101,MATCH($D111,Products!$A$2:$A$101,0))&amp;"","(not found)"))</f>
        <v/>
      </c>
      <c r="O111" s="49" t="str">
        <f>IF($F111="","",IFERROR(INDEX(Batches!$B$2:$B$301,MATCH($F111,Batches!$A$2:$A$301,0))&amp;"","(not found)"))</f>
        <v/>
      </c>
      <c r="P111" s="49" t="str">
        <f>IF(COUNTA($A111:$L111)=0,"",IF($A111="","Missing: entry ID",IF(COUNTIF($A$2:$A$2001,$A111)&gt;1,"Duplicate entry ID",IF(NOT(ISNUMBER($B111)),"Missing or invalid: date",IF($C111="","Missing: type",IF($D111="","Missing: SKU",IF(NOT(ISNUMBER($E111)),"Missing: qty",IF($F111="","Missing: lot",IF($I111="","Missing: source link",IF(COUNTIF(Config!$A$15:$A$34,$C111)=0,"Unsupported type",IF(COUNTIF(Products!$A$2:$A$101,$D111)=0,"Unknown SKU",IF(COUNTIFS(Batches!$A$2:$A$301,$F111,Batches!$B$2:$B$301,$D111)=0,"Unknown lot for this SKU",IF(AND($C111="Adjustment",$G111=""),"Missing: reason",IF(AND($G111&lt;&gt;"",COUNTIF(Config!$B$15:$B$34,$G111)=0),"Unsupported reason",IF(OR(INT($E111)&lt;&gt;$E111,AND(OR($C111="Receipt",$C111="Shipment"),$E111&lt;=0),AND($C111="Adjustment",$E111=0)),"Invalid qty",IF($B111&gt;Config!$B$4,"Date after the as-of date",IF($B111&lt;Config!$B$5,"Date before the opening balance date","OK")))))))))))))))))</f>
        <v/>
      </c>
    </row>
    <row r="112">
      <c r="A112" s="46" t="n"/>
      <c r="B112" s="54" t="n"/>
      <c r="C112" s="46" t="n"/>
      <c r="D112" s="46" t="n"/>
      <c r="E112" s="55" t="n"/>
      <c r="F112" s="46" t="n"/>
      <c r="G112" s="46" t="n"/>
      <c r="H112" s="46" t="n"/>
      <c r="I112" s="46" t="n"/>
      <c r="J112" s="46" t="n"/>
      <c r="K112" s="46" t="n"/>
      <c r="L112" s="46" t="n"/>
      <c r="M112" s="51" t="str">
        <f>IF(NOT(ISNUMBER($E112)),"",IF($C112="Receipt",$E112,IF($C112="Shipment",-$E112,IF($C112="Adjustment",$E112,0))))</f>
        <v/>
      </c>
      <c r="N112" s="49" t="str">
        <f>IF($D112="","",IFERROR(INDEX(Products!$B$2:$B$101,MATCH($D112,Products!$A$2:$A$101,0))&amp;"","(not found)"))</f>
        <v/>
      </c>
      <c r="O112" s="49" t="str">
        <f>IF($F112="","",IFERROR(INDEX(Batches!$B$2:$B$301,MATCH($F112,Batches!$A$2:$A$301,0))&amp;"","(not found)"))</f>
        <v/>
      </c>
      <c r="P112" s="49" t="str">
        <f>IF(COUNTA($A112:$L112)=0,"",IF($A112="","Missing: entry ID",IF(COUNTIF($A$2:$A$2001,$A112)&gt;1,"Duplicate entry ID",IF(NOT(ISNUMBER($B112)),"Missing or invalid: date",IF($C112="","Missing: type",IF($D112="","Missing: SKU",IF(NOT(ISNUMBER($E112)),"Missing: qty",IF($F112="","Missing: lot",IF($I112="","Missing: source link",IF(COUNTIF(Config!$A$15:$A$34,$C112)=0,"Unsupported type",IF(COUNTIF(Products!$A$2:$A$101,$D112)=0,"Unknown SKU",IF(COUNTIFS(Batches!$A$2:$A$301,$F112,Batches!$B$2:$B$301,$D112)=0,"Unknown lot for this SKU",IF(AND($C112="Adjustment",$G112=""),"Missing: reason",IF(AND($G112&lt;&gt;"",COUNTIF(Config!$B$15:$B$34,$G112)=0),"Unsupported reason",IF(OR(INT($E112)&lt;&gt;$E112,AND(OR($C112="Receipt",$C112="Shipment"),$E112&lt;=0),AND($C112="Adjustment",$E112=0)),"Invalid qty",IF($B112&gt;Config!$B$4,"Date after the as-of date",IF($B112&lt;Config!$B$5,"Date before the opening balance date","OK")))))))))))))))))</f>
        <v/>
      </c>
    </row>
    <row r="113">
      <c r="A113" s="46" t="n"/>
      <c r="B113" s="54" t="n"/>
      <c r="C113" s="46" t="n"/>
      <c r="D113" s="46" t="n"/>
      <c r="E113" s="55" t="n"/>
      <c r="F113" s="46" t="n"/>
      <c r="G113" s="46" t="n"/>
      <c r="H113" s="46" t="n"/>
      <c r="I113" s="46" t="n"/>
      <c r="J113" s="46" t="n"/>
      <c r="K113" s="46" t="n"/>
      <c r="L113" s="46" t="n"/>
      <c r="M113" s="51" t="str">
        <f>IF(NOT(ISNUMBER($E113)),"",IF($C113="Receipt",$E113,IF($C113="Shipment",-$E113,IF($C113="Adjustment",$E113,0))))</f>
        <v/>
      </c>
      <c r="N113" s="49" t="str">
        <f>IF($D113="","",IFERROR(INDEX(Products!$B$2:$B$101,MATCH($D113,Products!$A$2:$A$101,0))&amp;"","(not found)"))</f>
        <v/>
      </c>
      <c r="O113" s="49" t="str">
        <f>IF($F113="","",IFERROR(INDEX(Batches!$B$2:$B$301,MATCH($F113,Batches!$A$2:$A$301,0))&amp;"","(not found)"))</f>
        <v/>
      </c>
      <c r="P113" s="49" t="str">
        <f>IF(COUNTA($A113:$L113)=0,"",IF($A113="","Missing: entry ID",IF(COUNTIF($A$2:$A$2001,$A113)&gt;1,"Duplicate entry ID",IF(NOT(ISNUMBER($B113)),"Missing or invalid: date",IF($C113="","Missing: type",IF($D113="","Missing: SKU",IF(NOT(ISNUMBER($E113)),"Missing: qty",IF($F113="","Missing: lot",IF($I113="","Missing: source link",IF(COUNTIF(Config!$A$15:$A$34,$C113)=0,"Unsupported type",IF(COUNTIF(Products!$A$2:$A$101,$D113)=0,"Unknown SKU",IF(COUNTIFS(Batches!$A$2:$A$301,$F113,Batches!$B$2:$B$301,$D113)=0,"Unknown lot for this SKU",IF(AND($C113="Adjustment",$G113=""),"Missing: reason",IF(AND($G113&lt;&gt;"",COUNTIF(Config!$B$15:$B$34,$G113)=0),"Unsupported reason",IF(OR(INT($E113)&lt;&gt;$E113,AND(OR($C113="Receipt",$C113="Shipment"),$E113&lt;=0),AND($C113="Adjustment",$E113=0)),"Invalid qty",IF($B113&gt;Config!$B$4,"Date after the as-of date",IF($B113&lt;Config!$B$5,"Date before the opening balance date","OK")))))))))))))))))</f>
        <v/>
      </c>
    </row>
    <row r="114">
      <c r="A114" s="46" t="n"/>
      <c r="B114" s="54" t="n"/>
      <c r="C114" s="46" t="n"/>
      <c r="D114" s="46" t="n"/>
      <c r="E114" s="55" t="n"/>
      <c r="F114" s="46" t="n"/>
      <c r="G114" s="46" t="n"/>
      <c r="H114" s="46" t="n"/>
      <c r="I114" s="46" t="n"/>
      <c r="J114" s="46" t="n"/>
      <c r="K114" s="46" t="n"/>
      <c r="L114" s="46" t="n"/>
      <c r="M114" s="51" t="str">
        <f>IF(NOT(ISNUMBER($E114)),"",IF($C114="Receipt",$E114,IF($C114="Shipment",-$E114,IF($C114="Adjustment",$E114,0))))</f>
        <v/>
      </c>
      <c r="N114" s="49" t="str">
        <f>IF($D114="","",IFERROR(INDEX(Products!$B$2:$B$101,MATCH($D114,Products!$A$2:$A$101,0))&amp;"","(not found)"))</f>
        <v/>
      </c>
      <c r="O114" s="49" t="str">
        <f>IF($F114="","",IFERROR(INDEX(Batches!$B$2:$B$301,MATCH($F114,Batches!$A$2:$A$301,0))&amp;"","(not found)"))</f>
        <v/>
      </c>
      <c r="P114" s="49" t="str">
        <f>IF(COUNTA($A114:$L114)=0,"",IF($A114="","Missing: entry ID",IF(COUNTIF($A$2:$A$2001,$A114)&gt;1,"Duplicate entry ID",IF(NOT(ISNUMBER($B114)),"Missing or invalid: date",IF($C114="","Missing: type",IF($D114="","Missing: SKU",IF(NOT(ISNUMBER($E114)),"Missing: qty",IF($F114="","Missing: lot",IF($I114="","Missing: source link",IF(COUNTIF(Config!$A$15:$A$34,$C114)=0,"Unsupported type",IF(COUNTIF(Products!$A$2:$A$101,$D114)=0,"Unknown SKU",IF(COUNTIFS(Batches!$A$2:$A$301,$F114,Batches!$B$2:$B$301,$D114)=0,"Unknown lot for this SKU",IF(AND($C114="Adjustment",$G114=""),"Missing: reason",IF(AND($G114&lt;&gt;"",COUNTIF(Config!$B$15:$B$34,$G114)=0),"Unsupported reason",IF(OR(INT($E114)&lt;&gt;$E114,AND(OR($C114="Receipt",$C114="Shipment"),$E114&lt;=0),AND($C114="Adjustment",$E114=0)),"Invalid qty",IF($B114&gt;Config!$B$4,"Date after the as-of date",IF($B114&lt;Config!$B$5,"Date before the opening balance date","OK")))))))))))))))))</f>
        <v/>
      </c>
    </row>
    <row r="115">
      <c r="A115" s="46" t="n"/>
      <c r="B115" s="54" t="n"/>
      <c r="C115" s="46" t="n"/>
      <c r="D115" s="46" t="n"/>
      <c r="E115" s="55" t="n"/>
      <c r="F115" s="46" t="n"/>
      <c r="G115" s="46" t="n"/>
      <c r="H115" s="46" t="n"/>
      <c r="I115" s="46" t="n"/>
      <c r="J115" s="46" t="n"/>
      <c r="K115" s="46" t="n"/>
      <c r="L115" s="46" t="n"/>
      <c r="M115" s="51" t="str">
        <f>IF(NOT(ISNUMBER($E115)),"",IF($C115="Receipt",$E115,IF($C115="Shipment",-$E115,IF($C115="Adjustment",$E115,0))))</f>
        <v/>
      </c>
      <c r="N115" s="49" t="str">
        <f>IF($D115="","",IFERROR(INDEX(Products!$B$2:$B$101,MATCH($D115,Products!$A$2:$A$101,0))&amp;"","(not found)"))</f>
        <v/>
      </c>
      <c r="O115" s="49" t="str">
        <f>IF($F115="","",IFERROR(INDEX(Batches!$B$2:$B$301,MATCH($F115,Batches!$A$2:$A$301,0))&amp;"","(not found)"))</f>
        <v/>
      </c>
      <c r="P115" s="49" t="str">
        <f>IF(COUNTA($A115:$L115)=0,"",IF($A115="","Missing: entry ID",IF(COUNTIF($A$2:$A$2001,$A115)&gt;1,"Duplicate entry ID",IF(NOT(ISNUMBER($B115)),"Missing or invalid: date",IF($C115="","Missing: type",IF($D115="","Missing: SKU",IF(NOT(ISNUMBER($E115)),"Missing: qty",IF($F115="","Missing: lot",IF($I115="","Missing: source link",IF(COUNTIF(Config!$A$15:$A$34,$C115)=0,"Unsupported type",IF(COUNTIF(Products!$A$2:$A$101,$D115)=0,"Unknown SKU",IF(COUNTIFS(Batches!$A$2:$A$301,$F115,Batches!$B$2:$B$301,$D115)=0,"Unknown lot for this SKU",IF(AND($C115="Adjustment",$G115=""),"Missing: reason",IF(AND($G115&lt;&gt;"",COUNTIF(Config!$B$15:$B$34,$G115)=0),"Unsupported reason",IF(OR(INT($E115)&lt;&gt;$E115,AND(OR($C115="Receipt",$C115="Shipment"),$E115&lt;=0),AND($C115="Adjustment",$E115=0)),"Invalid qty",IF($B115&gt;Config!$B$4,"Date after the as-of date",IF($B115&lt;Config!$B$5,"Date before the opening balance date","OK")))))))))))))))))</f>
        <v/>
      </c>
    </row>
    <row r="116">
      <c r="A116" s="46" t="n"/>
      <c r="B116" s="54" t="n"/>
      <c r="C116" s="46" t="n"/>
      <c r="D116" s="46" t="n"/>
      <c r="E116" s="55" t="n"/>
      <c r="F116" s="46" t="n"/>
      <c r="G116" s="46" t="n"/>
      <c r="H116" s="46" t="n"/>
      <c r="I116" s="46" t="n"/>
      <c r="J116" s="46" t="n"/>
      <c r="K116" s="46" t="n"/>
      <c r="L116" s="46" t="n"/>
      <c r="M116" s="51" t="str">
        <f>IF(NOT(ISNUMBER($E116)),"",IF($C116="Receipt",$E116,IF($C116="Shipment",-$E116,IF($C116="Adjustment",$E116,0))))</f>
        <v/>
      </c>
      <c r="N116" s="49" t="str">
        <f>IF($D116="","",IFERROR(INDEX(Products!$B$2:$B$101,MATCH($D116,Products!$A$2:$A$101,0))&amp;"","(not found)"))</f>
        <v/>
      </c>
      <c r="O116" s="49" t="str">
        <f>IF($F116="","",IFERROR(INDEX(Batches!$B$2:$B$301,MATCH($F116,Batches!$A$2:$A$301,0))&amp;"","(not found)"))</f>
        <v/>
      </c>
      <c r="P116" s="49" t="str">
        <f>IF(COUNTA($A116:$L116)=0,"",IF($A116="","Missing: entry ID",IF(COUNTIF($A$2:$A$2001,$A116)&gt;1,"Duplicate entry ID",IF(NOT(ISNUMBER($B116)),"Missing or invalid: date",IF($C116="","Missing: type",IF($D116="","Missing: SKU",IF(NOT(ISNUMBER($E116)),"Missing: qty",IF($F116="","Missing: lot",IF($I116="","Missing: source link",IF(COUNTIF(Config!$A$15:$A$34,$C116)=0,"Unsupported type",IF(COUNTIF(Products!$A$2:$A$101,$D116)=0,"Unknown SKU",IF(COUNTIFS(Batches!$A$2:$A$301,$F116,Batches!$B$2:$B$301,$D116)=0,"Unknown lot for this SKU",IF(AND($C116="Adjustment",$G116=""),"Missing: reason",IF(AND($G116&lt;&gt;"",COUNTIF(Config!$B$15:$B$34,$G116)=0),"Unsupported reason",IF(OR(INT($E116)&lt;&gt;$E116,AND(OR($C116="Receipt",$C116="Shipment"),$E116&lt;=0),AND($C116="Adjustment",$E116=0)),"Invalid qty",IF($B116&gt;Config!$B$4,"Date after the as-of date",IF($B116&lt;Config!$B$5,"Date before the opening balance date","OK")))))))))))))))))</f>
        <v/>
      </c>
    </row>
    <row r="117">
      <c r="A117" s="46" t="n"/>
      <c r="B117" s="54" t="n"/>
      <c r="C117" s="46" t="n"/>
      <c r="D117" s="46" t="n"/>
      <c r="E117" s="55" t="n"/>
      <c r="F117" s="46" t="n"/>
      <c r="G117" s="46" t="n"/>
      <c r="H117" s="46" t="n"/>
      <c r="I117" s="46" t="n"/>
      <c r="J117" s="46" t="n"/>
      <c r="K117" s="46" t="n"/>
      <c r="L117" s="46" t="n"/>
      <c r="M117" s="51" t="str">
        <f>IF(NOT(ISNUMBER($E117)),"",IF($C117="Receipt",$E117,IF($C117="Shipment",-$E117,IF($C117="Adjustment",$E117,0))))</f>
        <v/>
      </c>
      <c r="N117" s="49" t="str">
        <f>IF($D117="","",IFERROR(INDEX(Products!$B$2:$B$101,MATCH($D117,Products!$A$2:$A$101,0))&amp;"","(not found)"))</f>
        <v/>
      </c>
      <c r="O117" s="49" t="str">
        <f>IF($F117="","",IFERROR(INDEX(Batches!$B$2:$B$301,MATCH($F117,Batches!$A$2:$A$301,0))&amp;"","(not found)"))</f>
        <v/>
      </c>
      <c r="P117" s="49" t="str">
        <f>IF(COUNTA($A117:$L117)=0,"",IF($A117="","Missing: entry ID",IF(COUNTIF($A$2:$A$2001,$A117)&gt;1,"Duplicate entry ID",IF(NOT(ISNUMBER($B117)),"Missing or invalid: date",IF($C117="","Missing: type",IF($D117="","Missing: SKU",IF(NOT(ISNUMBER($E117)),"Missing: qty",IF($F117="","Missing: lot",IF($I117="","Missing: source link",IF(COUNTIF(Config!$A$15:$A$34,$C117)=0,"Unsupported type",IF(COUNTIF(Products!$A$2:$A$101,$D117)=0,"Unknown SKU",IF(COUNTIFS(Batches!$A$2:$A$301,$F117,Batches!$B$2:$B$301,$D117)=0,"Unknown lot for this SKU",IF(AND($C117="Adjustment",$G117=""),"Missing: reason",IF(AND($G117&lt;&gt;"",COUNTIF(Config!$B$15:$B$34,$G117)=0),"Unsupported reason",IF(OR(INT($E117)&lt;&gt;$E117,AND(OR($C117="Receipt",$C117="Shipment"),$E117&lt;=0),AND($C117="Adjustment",$E117=0)),"Invalid qty",IF($B117&gt;Config!$B$4,"Date after the as-of date",IF($B117&lt;Config!$B$5,"Date before the opening balance date","OK")))))))))))))))))</f>
        <v/>
      </c>
    </row>
    <row r="118">
      <c r="A118" s="46" t="n"/>
      <c r="B118" s="54" t="n"/>
      <c r="C118" s="46" t="n"/>
      <c r="D118" s="46" t="n"/>
      <c r="E118" s="55" t="n"/>
      <c r="F118" s="46" t="n"/>
      <c r="G118" s="46" t="n"/>
      <c r="H118" s="46" t="n"/>
      <c r="I118" s="46" t="n"/>
      <c r="J118" s="46" t="n"/>
      <c r="K118" s="46" t="n"/>
      <c r="L118" s="46" t="n"/>
      <c r="M118" s="51" t="str">
        <f>IF(NOT(ISNUMBER($E118)),"",IF($C118="Receipt",$E118,IF($C118="Shipment",-$E118,IF($C118="Adjustment",$E118,0))))</f>
        <v/>
      </c>
      <c r="N118" s="49" t="str">
        <f>IF($D118="","",IFERROR(INDEX(Products!$B$2:$B$101,MATCH($D118,Products!$A$2:$A$101,0))&amp;"","(not found)"))</f>
        <v/>
      </c>
      <c r="O118" s="49" t="str">
        <f>IF($F118="","",IFERROR(INDEX(Batches!$B$2:$B$301,MATCH($F118,Batches!$A$2:$A$301,0))&amp;"","(not found)"))</f>
        <v/>
      </c>
      <c r="P118" s="49" t="str">
        <f>IF(COUNTA($A118:$L118)=0,"",IF($A118="","Missing: entry ID",IF(COUNTIF($A$2:$A$2001,$A118)&gt;1,"Duplicate entry ID",IF(NOT(ISNUMBER($B118)),"Missing or invalid: date",IF($C118="","Missing: type",IF($D118="","Missing: SKU",IF(NOT(ISNUMBER($E118)),"Missing: qty",IF($F118="","Missing: lot",IF($I118="","Missing: source link",IF(COUNTIF(Config!$A$15:$A$34,$C118)=0,"Unsupported type",IF(COUNTIF(Products!$A$2:$A$101,$D118)=0,"Unknown SKU",IF(COUNTIFS(Batches!$A$2:$A$301,$F118,Batches!$B$2:$B$301,$D118)=0,"Unknown lot for this SKU",IF(AND($C118="Adjustment",$G118=""),"Missing: reason",IF(AND($G118&lt;&gt;"",COUNTIF(Config!$B$15:$B$34,$G118)=0),"Unsupported reason",IF(OR(INT($E118)&lt;&gt;$E118,AND(OR($C118="Receipt",$C118="Shipment"),$E118&lt;=0),AND($C118="Adjustment",$E118=0)),"Invalid qty",IF($B118&gt;Config!$B$4,"Date after the as-of date",IF($B118&lt;Config!$B$5,"Date before the opening balance date","OK")))))))))))))))))</f>
        <v/>
      </c>
    </row>
    <row r="119">
      <c r="A119" s="46" t="n"/>
      <c r="B119" s="54" t="n"/>
      <c r="C119" s="46" t="n"/>
      <c r="D119" s="46" t="n"/>
      <c r="E119" s="55" t="n"/>
      <c r="F119" s="46" t="n"/>
      <c r="G119" s="46" t="n"/>
      <c r="H119" s="46" t="n"/>
      <c r="I119" s="46" t="n"/>
      <c r="J119" s="46" t="n"/>
      <c r="K119" s="46" t="n"/>
      <c r="L119" s="46" t="n"/>
      <c r="M119" s="51" t="str">
        <f>IF(NOT(ISNUMBER($E119)),"",IF($C119="Receipt",$E119,IF($C119="Shipment",-$E119,IF($C119="Adjustment",$E119,0))))</f>
        <v/>
      </c>
      <c r="N119" s="49" t="str">
        <f>IF($D119="","",IFERROR(INDEX(Products!$B$2:$B$101,MATCH($D119,Products!$A$2:$A$101,0))&amp;"","(not found)"))</f>
        <v/>
      </c>
      <c r="O119" s="49" t="str">
        <f>IF($F119="","",IFERROR(INDEX(Batches!$B$2:$B$301,MATCH($F119,Batches!$A$2:$A$301,0))&amp;"","(not found)"))</f>
        <v/>
      </c>
      <c r="P119" s="49" t="str">
        <f>IF(COUNTA($A119:$L119)=0,"",IF($A119="","Missing: entry ID",IF(COUNTIF($A$2:$A$2001,$A119)&gt;1,"Duplicate entry ID",IF(NOT(ISNUMBER($B119)),"Missing or invalid: date",IF($C119="","Missing: type",IF($D119="","Missing: SKU",IF(NOT(ISNUMBER($E119)),"Missing: qty",IF($F119="","Missing: lot",IF($I119="","Missing: source link",IF(COUNTIF(Config!$A$15:$A$34,$C119)=0,"Unsupported type",IF(COUNTIF(Products!$A$2:$A$101,$D119)=0,"Unknown SKU",IF(COUNTIFS(Batches!$A$2:$A$301,$F119,Batches!$B$2:$B$301,$D119)=0,"Unknown lot for this SKU",IF(AND($C119="Adjustment",$G119=""),"Missing: reason",IF(AND($G119&lt;&gt;"",COUNTIF(Config!$B$15:$B$34,$G119)=0),"Unsupported reason",IF(OR(INT($E119)&lt;&gt;$E119,AND(OR($C119="Receipt",$C119="Shipment"),$E119&lt;=0),AND($C119="Adjustment",$E119=0)),"Invalid qty",IF($B119&gt;Config!$B$4,"Date after the as-of date",IF($B119&lt;Config!$B$5,"Date before the opening balance date","OK")))))))))))))))))</f>
        <v/>
      </c>
    </row>
    <row r="120">
      <c r="A120" s="46" t="n"/>
      <c r="B120" s="54" t="n"/>
      <c r="C120" s="46" t="n"/>
      <c r="D120" s="46" t="n"/>
      <c r="E120" s="55" t="n"/>
      <c r="F120" s="46" t="n"/>
      <c r="G120" s="46" t="n"/>
      <c r="H120" s="46" t="n"/>
      <c r="I120" s="46" t="n"/>
      <c r="J120" s="46" t="n"/>
      <c r="K120" s="46" t="n"/>
      <c r="L120" s="46" t="n"/>
      <c r="M120" s="51" t="str">
        <f>IF(NOT(ISNUMBER($E120)),"",IF($C120="Receipt",$E120,IF($C120="Shipment",-$E120,IF($C120="Adjustment",$E120,0))))</f>
        <v/>
      </c>
      <c r="N120" s="49" t="str">
        <f>IF($D120="","",IFERROR(INDEX(Products!$B$2:$B$101,MATCH($D120,Products!$A$2:$A$101,0))&amp;"","(not found)"))</f>
        <v/>
      </c>
      <c r="O120" s="49" t="str">
        <f>IF($F120="","",IFERROR(INDEX(Batches!$B$2:$B$301,MATCH($F120,Batches!$A$2:$A$301,0))&amp;"","(not found)"))</f>
        <v/>
      </c>
      <c r="P120" s="49" t="str">
        <f>IF(COUNTA($A120:$L120)=0,"",IF($A120="","Missing: entry ID",IF(COUNTIF($A$2:$A$2001,$A120)&gt;1,"Duplicate entry ID",IF(NOT(ISNUMBER($B120)),"Missing or invalid: date",IF($C120="","Missing: type",IF($D120="","Missing: SKU",IF(NOT(ISNUMBER($E120)),"Missing: qty",IF($F120="","Missing: lot",IF($I120="","Missing: source link",IF(COUNTIF(Config!$A$15:$A$34,$C120)=0,"Unsupported type",IF(COUNTIF(Products!$A$2:$A$101,$D120)=0,"Unknown SKU",IF(COUNTIFS(Batches!$A$2:$A$301,$F120,Batches!$B$2:$B$301,$D120)=0,"Unknown lot for this SKU",IF(AND($C120="Adjustment",$G120=""),"Missing: reason",IF(AND($G120&lt;&gt;"",COUNTIF(Config!$B$15:$B$34,$G120)=0),"Unsupported reason",IF(OR(INT($E120)&lt;&gt;$E120,AND(OR($C120="Receipt",$C120="Shipment"),$E120&lt;=0),AND($C120="Adjustment",$E120=0)),"Invalid qty",IF($B120&gt;Config!$B$4,"Date after the as-of date",IF($B120&lt;Config!$B$5,"Date before the opening balance date","OK")))))))))))))))))</f>
        <v/>
      </c>
    </row>
    <row r="121">
      <c r="A121" s="46" t="n"/>
      <c r="B121" s="54" t="n"/>
      <c r="C121" s="46" t="n"/>
      <c r="D121" s="46" t="n"/>
      <c r="E121" s="55" t="n"/>
      <c r="F121" s="46" t="n"/>
      <c r="G121" s="46" t="n"/>
      <c r="H121" s="46" t="n"/>
      <c r="I121" s="46" t="n"/>
      <c r="J121" s="46" t="n"/>
      <c r="K121" s="46" t="n"/>
      <c r="L121" s="46" t="n"/>
      <c r="M121" s="51" t="str">
        <f>IF(NOT(ISNUMBER($E121)),"",IF($C121="Receipt",$E121,IF($C121="Shipment",-$E121,IF($C121="Adjustment",$E121,0))))</f>
        <v/>
      </c>
      <c r="N121" s="49" t="str">
        <f>IF($D121="","",IFERROR(INDEX(Products!$B$2:$B$101,MATCH($D121,Products!$A$2:$A$101,0))&amp;"","(not found)"))</f>
        <v/>
      </c>
      <c r="O121" s="49" t="str">
        <f>IF($F121="","",IFERROR(INDEX(Batches!$B$2:$B$301,MATCH($F121,Batches!$A$2:$A$301,0))&amp;"","(not found)"))</f>
        <v/>
      </c>
      <c r="P121" s="49" t="str">
        <f>IF(COUNTA($A121:$L121)=0,"",IF($A121="","Missing: entry ID",IF(COUNTIF($A$2:$A$2001,$A121)&gt;1,"Duplicate entry ID",IF(NOT(ISNUMBER($B121)),"Missing or invalid: date",IF($C121="","Missing: type",IF($D121="","Missing: SKU",IF(NOT(ISNUMBER($E121)),"Missing: qty",IF($F121="","Missing: lot",IF($I121="","Missing: source link",IF(COUNTIF(Config!$A$15:$A$34,$C121)=0,"Unsupported type",IF(COUNTIF(Products!$A$2:$A$101,$D121)=0,"Unknown SKU",IF(COUNTIFS(Batches!$A$2:$A$301,$F121,Batches!$B$2:$B$301,$D121)=0,"Unknown lot for this SKU",IF(AND($C121="Adjustment",$G121=""),"Missing: reason",IF(AND($G121&lt;&gt;"",COUNTIF(Config!$B$15:$B$34,$G121)=0),"Unsupported reason",IF(OR(INT($E121)&lt;&gt;$E121,AND(OR($C121="Receipt",$C121="Shipment"),$E121&lt;=0),AND($C121="Adjustment",$E121=0)),"Invalid qty",IF($B121&gt;Config!$B$4,"Date after the as-of date",IF($B121&lt;Config!$B$5,"Date before the opening balance date","OK")))))))))))))))))</f>
        <v/>
      </c>
    </row>
    <row r="122">
      <c r="A122" s="46" t="n"/>
      <c r="B122" s="54" t="n"/>
      <c r="C122" s="46" t="n"/>
      <c r="D122" s="46" t="n"/>
      <c r="E122" s="55" t="n"/>
      <c r="F122" s="46" t="n"/>
      <c r="G122" s="46" t="n"/>
      <c r="H122" s="46" t="n"/>
      <c r="I122" s="46" t="n"/>
      <c r="J122" s="46" t="n"/>
      <c r="K122" s="46" t="n"/>
      <c r="L122" s="46" t="n"/>
      <c r="M122" s="51" t="str">
        <f>IF(NOT(ISNUMBER($E122)),"",IF($C122="Receipt",$E122,IF($C122="Shipment",-$E122,IF($C122="Adjustment",$E122,0))))</f>
        <v/>
      </c>
      <c r="N122" s="49" t="str">
        <f>IF($D122="","",IFERROR(INDEX(Products!$B$2:$B$101,MATCH($D122,Products!$A$2:$A$101,0))&amp;"","(not found)"))</f>
        <v/>
      </c>
      <c r="O122" s="49" t="str">
        <f>IF($F122="","",IFERROR(INDEX(Batches!$B$2:$B$301,MATCH($F122,Batches!$A$2:$A$301,0))&amp;"","(not found)"))</f>
        <v/>
      </c>
      <c r="P122" s="49" t="str">
        <f>IF(COUNTA($A122:$L122)=0,"",IF($A122="","Missing: entry ID",IF(COUNTIF($A$2:$A$2001,$A122)&gt;1,"Duplicate entry ID",IF(NOT(ISNUMBER($B122)),"Missing or invalid: date",IF($C122="","Missing: type",IF($D122="","Missing: SKU",IF(NOT(ISNUMBER($E122)),"Missing: qty",IF($F122="","Missing: lot",IF($I122="","Missing: source link",IF(COUNTIF(Config!$A$15:$A$34,$C122)=0,"Unsupported type",IF(COUNTIF(Products!$A$2:$A$101,$D122)=0,"Unknown SKU",IF(COUNTIFS(Batches!$A$2:$A$301,$F122,Batches!$B$2:$B$301,$D122)=0,"Unknown lot for this SKU",IF(AND($C122="Adjustment",$G122=""),"Missing: reason",IF(AND($G122&lt;&gt;"",COUNTIF(Config!$B$15:$B$34,$G122)=0),"Unsupported reason",IF(OR(INT($E122)&lt;&gt;$E122,AND(OR($C122="Receipt",$C122="Shipment"),$E122&lt;=0),AND($C122="Adjustment",$E122=0)),"Invalid qty",IF($B122&gt;Config!$B$4,"Date after the as-of date",IF($B122&lt;Config!$B$5,"Date before the opening balance date","OK")))))))))))))))))</f>
        <v/>
      </c>
    </row>
    <row r="123">
      <c r="A123" s="46" t="n"/>
      <c r="B123" s="54" t="n"/>
      <c r="C123" s="46" t="n"/>
      <c r="D123" s="46" t="n"/>
      <c r="E123" s="55" t="n"/>
      <c r="F123" s="46" t="n"/>
      <c r="G123" s="46" t="n"/>
      <c r="H123" s="46" t="n"/>
      <c r="I123" s="46" t="n"/>
      <c r="J123" s="46" t="n"/>
      <c r="K123" s="46" t="n"/>
      <c r="L123" s="46" t="n"/>
      <c r="M123" s="51" t="str">
        <f>IF(NOT(ISNUMBER($E123)),"",IF($C123="Receipt",$E123,IF($C123="Shipment",-$E123,IF($C123="Adjustment",$E123,0))))</f>
        <v/>
      </c>
      <c r="N123" s="49" t="str">
        <f>IF($D123="","",IFERROR(INDEX(Products!$B$2:$B$101,MATCH($D123,Products!$A$2:$A$101,0))&amp;"","(not found)"))</f>
        <v/>
      </c>
      <c r="O123" s="49" t="str">
        <f>IF($F123="","",IFERROR(INDEX(Batches!$B$2:$B$301,MATCH($F123,Batches!$A$2:$A$301,0))&amp;"","(not found)"))</f>
        <v/>
      </c>
      <c r="P123" s="49" t="str">
        <f>IF(COUNTA($A123:$L123)=0,"",IF($A123="","Missing: entry ID",IF(COUNTIF($A$2:$A$2001,$A123)&gt;1,"Duplicate entry ID",IF(NOT(ISNUMBER($B123)),"Missing or invalid: date",IF($C123="","Missing: type",IF($D123="","Missing: SKU",IF(NOT(ISNUMBER($E123)),"Missing: qty",IF($F123="","Missing: lot",IF($I123="","Missing: source link",IF(COUNTIF(Config!$A$15:$A$34,$C123)=0,"Unsupported type",IF(COUNTIF(Products!$A$2:$A$101,$D123)=0,"Unknown SKU",IF(COUNTIFS(Batches!$A$2:$A$301,$F123,Batches!$B$2:$B$301,$D123)=0,"Unknown lot for this SKU",IF(AND($C123="Adjustment",$G123=""),"Missing: reason",IF(AND($G123&lt;&gt;"",COUNTIF(Config!$B$15:$B$34,$G123)=0),"Unsupported reason",IF(OR(INT($E123)&lt;&gt;$E123,AND(OR($C123="Receipt",$C123="Shipment"),$E123&lt;=0),AND($C123="Adjustment",$E123=0)),"Invalid qty",IF($B123&gt;Config!$B$4,"Date after the as-of date",IF($B123&lt;Config!$B$5,"Date before the opening balance date","OK")))))))))))))))))</f>
        <v/>
      </c>
    </row>
    <row r="124">
      <c r="A124" s="46" t="n"/>
      <c r="B124" s="54" t="n"/>
      <c r="C124" s="46" t="n"/>
      <c r="D124" s="46" t="n"/>
      <c r="E124" s="55" t="n"/>
      <c r="F124" s="46" t="n"/>
      <c r="G124" s="46" t="n"/>
      <c r="H124" s="46" t="n"/>
      <c r="I124" s="46" t="n"/>
      <c r="J124" s="46" t="n"/>
      <c r="K124" s="46" t="n"/>
      <c r="L124" s="46" t="n"/>
      <c r="M124" s="51" t="str">
        <f>IF(NOT(ISNUMBER($E124)),"",IF($C124="Receipt",$E124,IF($C124="Shipment",-$E124,IF($C124="Adjustment",$E124,0))))</f>
        <v/>
      </c>
      <c r="N124" s="49" t="str">
        <f>IF($D124="","",IFERROR(INDEX(Products!$B$2:$B$101,MATCH($D124,Products!$A$2:$A$101,0))&amp;"","(not found)"))</f>
        <v/>
      </c>
      <c r="O124" s="49" t="str">
        <f>IF($F124="","",IFERROR(INDEX(Batches!$B$2:$B$301,MATCH($F124,Batches!$A$2:$A$301,0))&amp;"","(not found)"))</f>
        <v/>
      </c>
      <c r="P124" s="49" t="str">
        <f>IF(COUNTA($A124:$L124)=0,"",IF($A124="","Missing: entry ID",IF(COUNTIF($A$2:$A$2001,$A124)&gt;1,"Duplicate entry ID",IF(NOT(ISNUMBER($B124)),"Missing or invalid: date",IF($C124="","Missing: type",IF($D124="","Missing: SKU",IF(NOT(ISNUMBER($E124)),"Missing: qty",IF($F124="","Missing: lot",IF($I124="","Missing: source link",IF(COUNTIF(Config!$A$15:$A$34,$C124)=0,"Unsupported type",IF(COUNTIF(Products!$A$2:$A$101,$D124)=0,"Unknown SKU",IF(COUNTIFS(Batches!$A$2:$A$301,$F124,Batches!$B$2:$B$301,$D124)=0,"Unknown lot for this SKU",IF(AND($C124="Adjustment",$G124=""),"Missing: reason",IF(AND($G124&lt;&gt;"",COUNTIF(Config!$B$15:$B$34,$G124)=0),"Unsupported reason",IF(OR(INT($E124)&lt;&gt;$E124,AND(OR($C124="Receipt",$C124="Shipment"),$E124&lt;=0),AND($C124="Adjustment",$E124=0)),"Invalid qty",IF($B124&gt;Config!$B$4,"Date after the as-of date",IF($B124&lt;Config!$B$5,"Date before the opening balance date","OK")))))))))))))))))</f>
        <v/>
      </c>
    </row>
    <row r="125">
      <c r="A125" s="46" t="n"/>
      <c r="B125" s="54" t="n"/>
      <c r="C125" s="46" t="n"/>
      <c r="D125" s="46" t="n"/>
      <c r="E125" s="55" t="n"/>
      <c r="F125" s="46" t="n"/>
      <c r="G125" s="46" t="n"/>
      <c r="H125" s="46" t="n"/>
      <c r="I125" s="46" t="n"/>
      <c r="J125" s="46" t="n"/>
      <c r="K125" s="46" t="n"/>
      <c r="L125" s="46" t="n"/>
      <c r="M125" s="51" t="str">
        <f>IF(NOT(ISNUMBER($E125)),"",IF($C125="Receipt",$E125,IF($C125="Shipment",-$E125,IF($C125="Adjustment",$E125,0))))</f>
        <v/>
      </c>
      <c r="N125" s="49" t="str">
        <f>IF($D125="","",IFERROR(INDEX(Products!$B$2:$B$101,MATCH($D125,Products!$A$2:$A$101,0))&amp;"","(not found)"))</f>
        <v/>
      </c>
      <c r="O125" s="49" t="str">
        <f>IF($F125="","",IFERROR(INDEX(Batches!$B$2:$B$301,MATCH($F125,Batches!$A$2:$A$301,0))&amp;"","(not found)"))</f>
        <v/>
      </c>
      <c r="P125" s="49" t="str">
        <f>IF(COUNTA($A125:$L125)=0,"",IF($A125="","Missing: entry ID",IF(COUNTIF($A$2:$A$2001,$A125)&gt;1,"Duplicate entry ID",IF(NOT(ISNUMBER($B125)),"Missing or invalid: date",IF($C125="","Missing: type",IF($D125="","Missing: SKU",IF(NOT(ISNUMBER($E125)),"Missing: qty",IF($F125="","Missing: lot",IF($I125="","Missing: source link",IF(COUNTIF(Config!$A$15:$A$34,$C125)=0,"Unsupported type",IF(COUNTIF(Products!$A$2:$A$101,$D125)=0,"Unknown SKU",IF(COUNTIFS(Batches!$A$2:$A$301,$F125,Batches!$B$2:$B$301,$D125)=0,"Unknown lot for this SKU",IF(AND($C125="Adjustment",$G125=""),"Missing: reason",IF(AND($G125&lt;&gt;"",COUNTIF(Config!$B$15:$B$34,$G125)=0),"Unsupported reason",IF(OR(INT($E125)&lt;&gt;$E125,AND(OR($C125="Receipt",$C125="Shipment"),$E125&lt;=0),AND($C125="Adjustment",$E125=0)),"Invalid qty",IF($B125&gt;Config!$B$4,"Date after the as-of date",IF($B125&lt;Config!$B$5,"Date before the opening balance date","OK")))))))))))))))))</f>
        <v/>
      </c>
    </row>
    <row r="126">
      <c r="A126" s="46" t="n"/>
      <c r="B126" s="54" t="n"/>
      <c r="C126" s="46" t="n"/>
      <c r="D126" s="46" t="n"/>
      <c r="E126" s="55" t="n"/>
      <c r="F126" s="46" t="n"/>
      <c r="G126" s="46" t="n"/>
      <c r="H126" s="46" t="n"/>
      <c r="I126" s="46" t="n"/>
      <c r="J126" s="46" t="n"/>
      <c r="K126" s="46" t="n"/>
      <c r="L126" s="46" t="n"/>
      <c r="M126" s="51" t="str">
        <f>IF(NOT(ISNUMBER($E126)),"",IF($C126="Receipt",$E126,IF($C126="Shipment",-$E126,IF($C126="Adjustment",$E126,0))))</f>
        <v/>
      </c>
      <c r="N126" s="49" t="str">
        <f>IF($D126="","",IFERROR(INDEX(Products!$B$2:$B$101,MATCH($D126,Products!$A$2:$A$101,0))&amp;"","(not found)"))</f>
        <v/>
      </c>
      <c r="O126" s="49" t="str">
        <f>IF($F126="","",IFERROR(INDEX(Batches!$B$2:$B$301,MATCH($F126,Batches!$A$2:$A$301,0))&amp;"","(not found)"))</f>
        <v/>
      </c>
      <c r="P126" s="49" t="str">
        <f>IF(COUNTA($A126:$L126)=0,"",IF($A126="","Missing: entry ID",IF(COUNTIF($A$2:$A$2001,$A126)&gt;1,"Duplicate entry ID",IF(NOT(ISNUMBER($B126)),"Missing or invalid: date",IF($C126="","Missing: type",IF($D126="","Missing: SKU",IF(NOT(ISNUMBER($E126)),"Missing: qty",IF($F126="","Missing: lot",IF($I126="","Missing: source link",IF(COUNTIF(Config!$A$15:$A$34,$C126)=0,"Unsupported type",IF(COUNTIF(Products!$A$2:$A$101,$D126)=0,"Unknown SKU",IF(COUNTIFS(Batches!$A$2:$A$301,$F126,Batches!$B$2:$B$301,$D126)=0,"Unknown lot for this SKU",IF(AND($C126="Adjustment",$G126=""),"Missing: reason",IF(AND($G126&lt;&gt;"",COUNTIF(Config!$B$15:$B$34,$G126)=0),"Unsupported reason",IF(OR(INT($E126)&lt;&gt;$E126,AND(OR($C126="Receipt",$C126="Shipment"),$E126&lt;=0),AND($C126="Adjustment",$E126=0)),"Invalid qty",IF($B126&gt;Config!$B$4,"Date after the as-of date",IF($B126&lt;Config!$B$5,"Date before the opening balance date","OK")))))))))))))))))</f>
        <v/>
      </c>
    </row>
    <row r="127">
      <c r="A127" s="46" t="n"/>
      <c r="B127" s="54" t="n"/>
      <c r="C127" s="46" t="n"/>
      <c r="D127" s="46" t="n"/>
      <c r="E127" s="55" t="n"/>
      <c r="F127" s="46" t="n"/>
      <c r="G127" s="46" t="n"/>
      <c r="H127" s="46" t="n"/>
      <c r="I127" s="46" t="n"/>
      <c r="J127" s="46" t="n"/>
      <c r="K127" s="46" t="n"/>
      <c r="L127" s="46" t="n"/>
      <c r="M127" s="51" t="str">
        <f>IF(NOT(ISNUMBER($E127)),"",IF($C127="Receipt",$E127,IF($C127="Shipment",-$E127,IF($C127="Adjustment",$E127,0))))</f>
        <v/>
      </c>
      <c r="N127" s="49" t="str">
        <f>IF($D127="","",IFERROR(INDEX(Products!$B$2:$B$101,MATCH($D127,Products!$A$2:$A$101,0))&amp;"","(not found)"))</f>
        <v/>
      </c>
      <c r="O127" s="49" t="str">
        <f>IF($F127="","",IFERROR(INDEX(Batches!$B$2:$B$301,MATCH($F127,Batches!$A$2:$A$301,0))&amp;"","(not found)"))</f>
        <v/>
      </c>
      <c r="P127" s="49" t="str">
        <f>IF(COUNTA($A127:$L127)=0,"",IF($A127="","Missing: entry ID",IF(COUNTIF($A$2:$A$2001,$A127)&gt;1,"Duplicate entry ID",IF(NOT(ISNUMBER($B127)),"Missing or invalid: date",IF($C127="","Missing: type",IF($D127="","Missing: SKU",IF(NOT(ISNUMBER($E127)),"Missing: qty",IF($F127="","Missing: lot",IF($I127="","Missing: source link",IF(COUNTIF(Config!$A$15:$A$34,$C127)=0,"Unsupported type",IF(COUNTIF(Products!$A$2:$A$101,$D127)=0,"Unknown SKU",IF(COUNTIFS(Batches!$A$2:$A$301,$F127,Batches!$B$2:$B$301,$D127)=0,"Unknown lot for this SKU",IF(AND($C127="Adjustment",$G127=""),"Missing: reason",IF(AND($G127&lt;&gt;"",COUNTIF(Config!$B$15:$B$34,$G127)=0),"Unsupported reason",IF(OR(INT($E127)&lt;&gt;$E127,AND(OR($C127="Receipt",$C127="Shipment"),$E127&lt;=0),AND($C127="Adjustment",$E127=0)),"Invalid qty",IF($B127&gt;Config!$B$4,"Date after the as-of date",IF($B127&lt;Config!$B$5,"Date before the opening balance date","OK")))))))))))))))))</f>
        <v/>
      </c>
    </row>
    <row r="128">
      <c r="A128" s="46" t="n"/>
      <c r="B128" s="54" t="n"/>
      <c r="C128" s="46" t="n"/>
      <c r="D128" s="46" t="n"/>
      <c r="E128" s="55" t="n"/>
      <c r="F128" s="46" t="n"/>
      <c r="G128" s="46" t="n"/>
      <c r="H128" s="46" t="n"/>
      <c r="I128" s="46" t="n"/>
      <c r="J128" s="46" t="n"/>
      <c r="K128" s="46" t="n"/>
      <c r="L128" s="46" t="n"/>
      <c r="M128" s="51" t="str">
        <f>IF(NOT(ISNUMBER($E128)),"",IF($C128="Receipt",$E128,IF($C128="Shipment",-$E128,IF($C128="Adjustment",$E128,0))))</f>
        <v/>
      </c>
      <c r="N128" s="49" t="str">
        <f>IF($D128="","",IFERROR(INDEX(Products!$B$2:$B$101,MATCH($D128,Products!$A$2:$A$101,0))&amp;"","(not found)"))</f>
        <v/>
      </c>
      <c r="O128" s="49" t="str">
        <f>IF($F128="","",IFERROR(INDEX(Batches!$B$2:$B$301,MATCH($F128,Batches!$A$2:$A$301,0))&amp;"","(not found)"))</f>
        <v/>
      </c>
      <c r="P128" s="49" t="str">
        <f>IF(COUNTA($A128:$L128)=0,"",IF($A128="","Missing: entry ID",IF(COUNTIF($A$2:$A$2001,$A128)&gt;1,"Duplicate entry ID",IF(NOT(ISNUMBER($B128)),"Missing or invalid: date",IF($C128="","Missing: type",IF($D128="","Missing: SKU",IF(NOT(ISNUMBER($E128)),"Missing: qty",IF($F128="","Missing: lot",IF($I128="","Missing: source link",IF(COUNTIF(Config!$A$15:$A$34,$C128)=0,"Unsupported type",IF(COUNTIF(Products!$A$2:$A$101,$D128)=0,"Unknown SKU",IF(COUNTIFS(Batches!$A$2:$A$301,$F128,Batches!$B$2:$B$301,$D128)=0,"Unknown lot for this SKU",IF(AND($C128="Adjustment",$G128=""),"Missing: reason",IF(AND($G128&lt;&gt;"",COUNTIF(Config!$B$15:$B$34,$G128)=0),"Unsupported reason",IF(OR(INT($E128)&lt;&gt;$E128,AND(OR($C128="Receipt",$C128="Shipment"),$E128&lt;=0),AND($C128="Adjustment",$E128=0)),"Invalid qty",IF($B128&gt;Config!$B$4,"Date after the as-of date",IF($B128&lt;Config!$B$5,"Date before the opening balance date","OK")))))))))))))))))</f>
        <v/>
      </c>
    </row>
    <row r="129">
      <c r="A129" s="46" t="n"/>
      <c r="B129" s="54" t="n"/>
      <c r="C129" s="46" t="n"/>
      <c r="D129" s="46" t="n"/>
      <c r="E129" s="55" t="n"/>
      <c r="F129" s="46" t="n"/>
      <c r="G129" s="46" t="n"/>
      <c r="H129" s="46" t="n"/>
      <c r="I129" s="46" t="n"/>
      <c r="J129" s="46" t="n"/>
      <c r="K129" s="46" t="n"/>
      <c r="L129" s="46" t="n"/>
      <c r="M129" s="51" t="str">
        <f>IF(NOT(ISNUMBER($E129)),"",IF($C129="Receipt",$E129,IF($C129="Shipment",-$E129,IF($C129="Adjustment",$E129,0))))</f>
        <v/>
      </c>
      <c r="N129" s="49" t="str">
        <f>IF($D129="","",IFERROR(INDEX(Products!$B$2:$B$101,MATCH($D129,Products!$A$2:$A$101,0))&amp;"","(not found)"))</f>
        <v/>
      </c>
      <c r="O129" s="49" t="str">
        <f>IF($F129="","",IFERROR(INDEX(Batches!$B$2:$B$301,MATCH($F129,Batches!$A$2:$A$301,0))&amp;"","(not found)"))</f>
        <v/>
      </c>
      <c r="P129" s="49" t="str">
        <f>IF(COUNTA($A129:$L129)=0,"",IF($A129="","Missing: entry ID",IF(COUNTIF($A$2:$A$2001,$A129)&gt;1,"Duplicate entry ID",IF(NOT(ISNUMBER($B129)),"Missing or invalid: date",IF($C129="","Missing: type",IF($D129="","Missing: SKU",IF(NOT(ISNUMBER($E129)),"Missing: qty",IF($F129="","Missing: lot",IF($I129="","Missing: source link",IF(COUNTIF(Config!$A$15:$A$34,$C129)=0,"Unsupported type",IF(COUNTIF(Products!$A$2:$A$101,$D129)=0,"Unknown SKU",IF(COUNTIFS(Batches!$A$2:$A$301,$F129,Batches!$B$2:$B$301,$D129)=0,"Unknown lot for this SKU",IF(AND($C129="Adjustment",$G129=""),"Missing: reason",IF(AND($G129&lt;&gt;"",COUNTIF(Config!$B$15:$B$34,$G129)=0),"Unsupported reason",IF(OR(INT($E129)&lt;&gt;$E129,AND(OR($C129="Receipt",$C129="Shipment"),$E129&lt;=0),AND($C129="Adjustment",$E129=0)),"Invalid qty",IF($B129&gt;Config!$B$4,"Date after the as-of date",IF($B129&lt;Config!$B$5,"Date before the opening balance date","OK")))))))))))))))))</f>
        <v/>
      </c>
    </row>
    <row r="130">
      <c r="A130" s="46" t="n"/>
      <c r="B130" s="54" t="n"/>
      <c r="C130" s="46" t="n"/>
      <c r="D130" s="46" t="n"/>
      <c r="E130" s="55" t="n"/>
      <c r="F130" s="46" t="n"/>
      <c r="G130" s="46" t="n"/>
      <c r="H130" s="46" t="n"/>
      <c r="I130" s="46" t="n"/>
      <c r="J130" s="46" t="n"/>
      <c r="K130" s="46" t="n"/>
      <c r="L130" s="46" t="n"/>
      <c r="M130" s="51" t="str">
        <f>IF(NOT(ISNUMBER($E130)),"",IF($C130="Receipt",$E130,IF($C130="Shipment",-$E130,IF($C130="Adjustment",$E130,0))))</f>
        <v/>
      </c>
      <c r="N130" s="49" t="str">
        <f>IF($D130="","",IFERROR(INDEX(Products!$B$2:$B$101,MATCH($D130,Products!$A$2:$A$101,0))&amp;"","(not found)"))</f>
        <v/>
      </c>
      <c r="O130" s="49" t="str">
        <f>IF($F130="","",IFERROR(INDEX(Batches!$B$2:$B$301,MATCH($F130,Batches!$A$2:$A$301,0))&amp;"","(not found)"))</f>
        <v/>
      </c>
      <c r="P130" s="49" t="str">
        <f>IF(COUNTA($A130:$L130)=0,"",IF($A130="","Missing: entry ID",IF(COUNTIF($A$2:$A$2001,$A130)&gt;1,"Duplicate entry ID",IF(NOT(ISNUMBER($B130)),"Missing or invalid: date",IF($C130="","Missing: type",IF($D130="","Missing: SKU",IF(NOT(ISNUMBER($E130)),"Missing: qty",IF($F130="","Missing: lot",IF($I130="","Missing: source link",IF(COUNTIF(Config!$A$15:$A$34,$C130)=0,"Unsupported type",IF(COUNTIF(Products!$A$2:$A$101,$D130)=0,"Unknown SKU",IF(COUNTIFS(Batches!$A$2:$A$301,$F130,Batches!$B$2:$B$301,$D130)=0,"Unknown lot for this SKU",IF(AND($C130="Adjustment",$G130=""),"Missing: reason",IF(AND($G130&lt;&gt;"",COUNTIF(Config!$B$15:$B$34,$G130)=0),"Unsupported reason",IF(OR(INT($E130)&lt;&gt;$E130,AND(OR($C130="Receipt",$C130="Shipment"),$E130&lt;=0),AND($C130="Adjustment",$E130=0)),"Invalid qty",IF($B130&gt;Config!$B$4,"Date after the as-of date",IF($B130&lt;Config!$B$5,"Date before the opening balance date","OK")))))))))))))))))</f>
        <v/>
      </c>
    </row>
    <row r="131">
      <c r="A131" s="46" t="n"/>
      <c r="B131" s="54" t="n"/>
      <c r="C131" s="46" t="n"/>
      <c r="D131" s="46" t="n"/>
      <c r="E131" s="55" t="n"/>
      <c r="F131" s="46" t="n"/>
      <c r="G131" s="46" t="n"/>
      <c r="H131" s="46" t="n"/>
      <c r="I131" s="46" t="n"/>
      <c r="J131" s="46" t="n"/>
      <c r="K131" s="46" t="n"/>
      <c r="L131" s="46" t="n"/>
      <c r="M131" s="51" t="str">
        <f>IF(NOT(ISNUMBER($E131)),"",IF($C131="Receipt",$E131,IF($C131="Shipment",-$E131,IF($C131="Adjustment",$E131,0))))</f>
        <v/>
      </c>
      <c r="N131" s="49" t="str">
        <f>IF($D131="","",IFERROR(INDEX(Products!$B$2:$B$101,MATCH($D131,Products!$A$2:$A$101,0))&amp;"","(not found)"))</f>
        <v/>
      </c>
      <c r="O131" s="49" t="str">
        <f>IF($F131="","",IFERROR(INDEX(Batches!$B$2:$B$301,MATCH($F131,Batches!$A$2:$A$301,0))&amp;"","(not found)"))</f>
        <v/>
      </c>
      <c r="P131" s="49" t="str">
        <f>IF(COUNTA($A131:$L131)=0,"",IF($A131="","Missing: entry ID",IF(COUNTIF($A$2:$A$2001,$A131)&gt;1,"Duplicate entry ID",IF(NOT(ISNUMBER($B131)),"Missing or invalid: date",IF($C131="","Missing: type",IF($D131="","Missing: SKU",IF(NOT(ISNUMBER($E131)),"Missing: qty",IF($F131="","Missing: lot",IF($I131="","Missing: source link",IF(COUNTIF(Config!$A$15:$A$34,$C131)=0,"Unsupported type",IF(COUNTIF(Products!$A$2:$A$101,$D131)=0,"Unknown SKU",IF(COUNTIFS(Batches!$A$2:$A$301,$F131,Batches!$B$2:$B$301,$D131)=0,"Unknown lot for this SKU",IF(AND($C131="Adjustment",$G131=""),"Missing: reason",IF(AND($G131&lt;&gt;"",COUNTIF(Config!$B$15:$B$34,$G131)=0),"Unsupported reason",IF(OR(INT($E131)&lt;&gt;$E131,AND(OR($C131="Receipt",$C131="Shipment"),$E131&lt;=0),AND($C131="Adjustment",$E131=0)),"Invalid qty",IF($B131&gt;Config!$B$4,"Date after the as-of date",IF($B131&lt;Config!$B$5,"Date before the opening balance date","OK")))))))))))))))))</f>
        <v/>
      </c>
    </row>
    <row r="132">
      <c r="A132" s="46" t="n"/>
      <c r="B132" s="54" t="n"/>
      <c r="C132" s="46" t="n"/>
      <c r="D132" s="46" t="n"/>
      <c r="E132" s="55" t="n"/>
      <c r="F132" s="46" t="n"/>
      <c r="G132" s="46" t="n"/>
      <c r="H132" s="46" t="n"/>
      <c r="I132" s="46" t="n"/>
      <c r="J132" s="46" t="n"/>
      <c r="K132" s="46" t="n"/>
      <c r="L132" s="46" t="n"/>
      <c r="M132" s="51" t="str">
        <f>IF(NOT(ISNUMBER($E132)),"",IF($C132="Receipt",$E132,IF($C132="Shipment",-$E132,IF($C132="Adjustment",$E132,0))))</f>
        <v/>
      </c>
      <c r="N132" s="49" t="str">
        <f>IF($D132="","",IFERROR(INDEX(Products!$B$2:$B$101,MATCH($D132,Products!$A$2:$A$101,0))&amp;"","(not found)"))</f>
        <v/>
      </c>
      <c r="O132" s="49" t="str">
        <f>IF($F132="","",IFERROR(INDEX(Batches!$B$2:$B$301,MATCH($F132,Batches!$A$2:$A$301,0))&amp;"","(not found)"))</f>
        <v/>
      </c>
      <c r="P132" s="49" t="str">
        <f>IF(COUNTA($A132:$L132)=0,"",IF($A132="","Missing: entry ID",IF(COUNTIF($A$2:$A$2001,$A132)&gt;1,"Duplicate entry ID",IF(NOT(ISNUMBER($B132)),"Missing or invalid: date",IF($C132="","Missing: type",IF($D132="","Missing: SKU",IF(NOT(ISNUMBER($E132)),"Missing: qty",IF($F132="","Missing: lot",IF($I132="","Missing: source link",IF(COUNTIF(Config!$A$15:$A$34,$C132)=0,"Unsupported type",IF(COUNTIF(Products!$A$2:$A$101,$D132)=0,"Unknown SKU",IF(COUNTIFS(Batches!$A$2:$A$301,$F132,Batches!$B$2:$B$301,$D132)=0,"Unknown lot for this SKU",IF(AND($C132="Adjustment",$G132=""),"Missing: reason",IF(AND($G132&lt;&gt;"",COUNTIF(Config!$B$15:$B$34,$G132)=0),"Unsupported reason",IF(OR(INT($E132)&lt;&gt;$E132,AND(OR($C132="Receipt",$C132="Shipment"),$E132&lt;=0),AND($C132="Adjustment",$E132=0)),"Invalid qty",IF($B132&gt;Config!$B$4,"Date after the as-of date",IF($B132&lt;Config!$B$5,"Date before the opening balance date","OK")))))))))))))))))</f>
        <v/>
      </c>
    </row>
    <row r="133">
      <c r="A133" s="46" t="n"/>
      <c r="B133" s="54" t="n"/>
      <c r="C133" s="46" t="n"/>
      <c r="D133" s="46" t="n"/>
      <c r="E133" s="55" t="n"/>
      <c r="F133" s="46" t="n"/>
      <c r="G133" s="46" t="n"/>
      <c r="H133" s="46" t="n"/>
      <c r="I133" s="46" t="n"/>
      <c r="J133" s="46" t="n"/>
      <c r="K133" s="46" t="n"/>
      <c r="L133" s="46" t="n"/>
      <c r="M133" s="51" t="str">
        <f>IF(NOT(ISNUMBER($E133)),"",IF($C133="Receipt",$E133,IF($C133="Shipment",-$E133,IF($C133="Adjustment",$E133,0))))</f>
        <v/>
      </c>
      <c r="N133" s="49" t="str">
        <f>IF($D133="","",IFERROR(INDEX(Products!$B$2:$B$101,MATCH($D133,Products!$A$2:$A$101,0))&amp;"","(not found)"))</f>
        <v/>
      </c>
      <c r="O133" s="49" t="str">
        <f>IF($F133="","",IFERROR(INDEX(Batches!$B$2:$B$301,MATCH($F133,Batches!$A$2:$A$301,0))&amp;"","(not found)"))</f>
        <v/>
      </c>
      <c r="P133" s="49" t="str">
        <f>IF(COUNTA($A133:$L133)=0,"",IF($A133="","Missing: entry ID",IF(COUNTIF($A$2:$A$2001,$A133)&gt;1,"Duplicate entry ID",IF(NOT(ISNUMBER($B133)),"Missing or invalid: date",IF($C133="","Missing: type",IF($D133="","Missing: SKU",IF(NOT(ISNUMBER($E133)),"Missing: qty",IF($F133="","Missing: lot",IF($I133="","Missing: source link",IF(COUNTIF(Config!$A$15:$A$34,$C133)=0,"Unsupported type",IF(COUNTIF(Products!$A$2:$A$101,$D133)=0,"Unknown SKU",IF(COUNTIFS(Batches!$A$2:$A$301,$F133,Batches!$B$2:$B$301,$D133)=0,"Unknown lot for this SKU",IF(AND($C133="Adjustment",$G133=""),"Missing: reason",IF(AND($G133&lt;&gt;"",COUNTIF(Config!$B$15:$B$34,$G133)=0),"Unsupported reason",IF(OR(INT($E133)&lt;&gt;$E133,AND(OR($C133="Receipt",$C133="Shipment"),$E133&lt;=0),AND($C133="Adjustment",$E133=0)),"Invalid qty",IF($B133&gt;Config!$B$4,"Date after the as-of date",IF($B133&lt;Config!$B$5,"Date before the opening balance date","OK")))))))))))))))))</f>
        <v/>
      </c>
    </row>
    <row r="134">
      <c r="A134" s="46" t="n"/>
      <c r="B134" s="54" t="n"/>
      <c r="C134" s="46" t="n"/>
      <c r="D134" s="46" t="n"/>
      <c r="E134" s="55" t="n"/>
      <c r="F134" s="46" t="n"/>
      <c r="G134" s="46" t="n"/>
      <c r="H134" s="46" t="n"/>
      <c r="I134" s="46" t="n"/>
      <c r="J134" s="46" t="n"/>
      <c r="K134" s="46" t="n"/>
      <c r="L134" s="46" t="n"/>
      <c r="M134" s="51" t="str">
        <f>IF(NOT(ISNUMBER($E134)),"",IF($C134="Receipt",$E134,IF($C134="Shipment",-$E134,IF($C134="Adjustment",$E134,0))))</f>
        <v/>
      </c>
      <c r="N134" s="49" t="str">
        <f>IF($D134="","",IFERROR(INDEX(Products!$B$2:$B$101,MATCH($D134,Products!$A$2:$A$101,0))&amp;"","(not found)"))</f>
        <v/>
      </c>
      <c r="O134" s="49" t="str">
        <f>IF($F134="","",IFERROR(INDEX(Batches!$B$2:$B$301,MATCH($F134,Batches!$A$2:$A$301,0))&amp;"","(not found)"))</f>
        <v/>
      </c>
      <c r="P134" s="49" t="str">
        <f>IF(COUNTA($A134:$L134)=0,"",IF($A134="","Missing: entry ID",IF(COUNTIF($A$2:$A$2001,$A134)&gt;1,"Duplicate entry ID",IF(NOT(ISNUMBER($B134)),"Missing or invalid: date",IF($C134="","Missing: type",IF($D134="","Missing: SKU",IF(NOT(ISNUMBER($E134)),"Missing: qty",IF($F134="","Missing: lot",IF($I134="","Missing: source link",IF(COUNTIF(Config!$A$15:$A$34,$C134)=0,"Unsupported type",IF(COUNTIF(Products!$A$2:$A$101,$D134)=0,"Unknown SKU",IF(COUNTIFS(Batches!$A$2:$A$301,$F134,Batches!$B$2:$B$301,$D134)=0,"Unknown lot for this SKU",IF(AND($C134="Adjustment",$G134=""),"Missing: reason",IF(AND($G134&lt;&gt;"",COUNTIF(Config!$B$15:$B$34,$G134)=0),"Unsupported reason",IF(OR(INT($E134)&lt;&gt;$E134,AND(OR($C134="Receipt",$C134="Shipment"),$E134&lt;=0),AND($C134="Adjustment",$E134=0)),"Invalid qty",IF($B134&gt;Config!$B$4,"Date after the as-of date",IF($B134&lt;Config!$B$5,"Date before the opening balance date","OK")))))))))))))))))</f>
        <v/>
      </c>
    </row>
    <row r="135">
      <c r="A135" s="46" t="n"/>
      <c r="B135" s="54" t="n"/>
      <c r="C135" s="46" t="n"/>
      <c r="D135" s="46" t="n"/>
      <c r="E135" s="55" t="n"/>
      <c r="F135" s="46" t="n"/>
      <c r="G135" s="46" t="n"/>
      <c r="H135" s="46" t="n"/>
      <c r="I135" s="46" t="n"/>
      <c r="J135" s="46" t="n"/>
      <c r="K135" s="46" t="n"/>
      <c r="L135" s="46" t="n"/>
      <c r="M135" s="51" t="str">
        <f>IF(NOT(ISNUMBER($E135)),"",IF($C135="Receipt",$E135,IF($C135="Shipment",-$E135,IF($C135="Adjustment",$E135,0))))</f>
        <v/>
      </c>
      <c r="N135" s="49" t="str">
        <f>IF($D135="","",IFERROR(INDEX(Products!$B$2:$B$101,MATCH($D135,Products!$A$2:$A$101,0))&amp;"","(not found)"))</f>
        <v/>
      </c>
      <c r="O135" s="49" t="str">
        <f>IF($F135="","",IFERROR(INDEX(Batches!$B$2:$B$301,MATCH($F135,Batches!$A$2:$A$301,0))&amp;"","(not found)"))</f>
        <v/>
      </c>
      <c r="P135" s="49" t="str">
        <f>IF(COUNTA($A135:$L135)=0,"",IF($A135="","Missing: entry ID",IF(COUNTIF($A$2:$A$2001,$A135)&gt;1,"Duplicate entry ID",IF(NOT(ISNUMBER($B135)),"Missing or invalid: date",IF($C135="","Missing: type",IF($D135="","Missing: SKU",IF(NOT(ISNUMBER($E135)),"Missing: qty",IF($F135="","Missing: lot",IF($I135="","Missing: source link",IF(COUNTIF(Config!$A$15:$A$34,$C135)=0,"Unsupported type",IF(COUNTIF(Products!$A$2:$A$101,$D135)=0,"Unknown SKU",IF(COUNTIFS(Batches!$A$2:$A$301,$F135,Batches!$B$2:$B$301,$D135)=0,"Unknown lot for this SKU",IF(AND($C135="Adjustment",$G135=""),"Missing: reason",IF(AND($G135&lt;&gt;"",COUNTIF(Config!$B$15:$B$34,$G135)=0),"Unsupported reason",IF(OR(INT($E135)&lt;&gt;$E135,AND(OR($C135="Receipt",$C135="Shipment"),$E135&lt;=0),AND($C135="Adjustment",$E135=0)),"Invalid qty",IF($B135&gt;Config!$B$4,"Date after the as-of date",IF($B135&lt;Config!$B$5,"Date before the opening balance date","OK")))))))))))))))))</f>
        <v/>
      </c>
    </row>
    <row r="136">
      <c r="A136" s="46" t="n"/>
      <c r="B136" s="54" t="n"/>
      <c r="C136" s="46" t="n"/>
      <c r="D136" s="46" t="n"/>
      <c r="E136" s="55" t="n"/>
      <c r="F136" s="46" t="n"/>
      <c r="G136" s="46" t="n"/>
      <c r="H136" s="46" t="n"/>
      <c r="I136" s="46" t="n"/>
      <c r="J136" s="46" t="n"/>
      <c r="K136" s="46" t="n"/>
      <c r="L136" s="46" t="n"/>
      <c r="M136" s="51" t="str">
        <f>IF(NOT(ISNUMBER($E136)),"",IF($C136="Receipt",$E136,IF($C136="Shipment",-$E136,IF($C136="Adjustment",$E136,0))))</f>
        <v/>
      </c>
      <c r="N136" s="49" t="str">
        <f>IF($D136="","",IFERROR(INDEX(Products!$B$2:$B$101,MATCH($D136,Products!$A$2:$A$101,0))&amp;"","(not found)"))</f>
        <v/>
      </c>
      <c r="O136" s="49" t="str">
        <f>IF($F136="","",IFERROR(INDEX(Batches!$B$2:$B$301,MATCH($F136,Batches!$A$2:$A$301,0))&amp;"","(not found)"))</f>
        <v/>
      </c>
      <c r="P136" s="49" t="str">
        <f>IF(COUNTA($A136:$L136)=0,"",IF($A136="","Missing: entry ID",IF(COUNTIF($A$2:$A$2001,$A136)&gt;1,"Duplicate entry ID",IF(NOT(ISNUMBER($B136)),"Missing or invalid: date",IF($C136="","Missing: type",IF($D136="","Missing: SKU",IF(NOT(ISNUMBER($E136)),"Missing: qty",IF($F136="","Missing: lot",IF($I136="","Missing: source link",IF(COUNTIF(Config!$A$15:$A$34,$C136)=0,"Unsupported type",IF(COUNTIF(Products!$A$2:$A$101,$D136)=0,"Unknown SKU",IF(COUNTIFS(Batches!$A$2:$A$301,$F136,Batches!$B$2:$B$301,$D136)=0,"Unknown lot for this SKU",IF(AND($C136="Adjustment",$G136=""),"Missing: reason",IF(AND($G136&lt;&gt;"",COUNTIF(Config!$B$15:$B$34,$G136)=0),"Unsupported reason",IF(OR(INT($E136)&lt;&gt;$E136,AND(OR($C136="Receipt",$C136="Shipment"),$E136&lt;=0),AND($C136="Adjustment",$E136=0)),"Invalid qty",IF($B136&gt;Config!$B$4,"Date after the as-of date",IF($B136&lt;Config!$B$5,"Date before the opening balance date","OK")))))))))))))))))</f>
        <v/>
      </c>
    </row>
    <row r="137">
      <c r="A137" s="46" t="n"/>
      <c r="B137" s="54" t="n"/>
      <c r="C137" s="46" t="n"/>
      <c r="D137" s="46" t="n"/>
      <c r="E137" s="55" t="n"/>
      <c r="F137" s="46" t="n"/>
      <c r="G137" s="46" t="n"/>
      <c r="H137" s="46" t="n"/>
      <c r="I137" s="46" t="n"/>
      <c r="J137" s="46" t="n"/>
      <c r="K137" s="46" t="n"/>
      <c r="L137" s="46" t="n"/>
      <c r="M137" s="51" t="str">
        <f>IF(NOT(ISNUMBER($E137)),"",IF($C137="Receipt",$E137,IF($C137="Shipment",-$E137,IF($C137="Adjustment",$E137,0))))</f>
        <v/>
      </c>
      <c r="N137" s="49" t="str">
        <f>IF($D137="","",IFERROR(INDEX(Products!$B$2:$B$101,MATCH($D137,Products!$A$2:$A$101,0))&amp;"","(not found)"))</f>
        <v/>
      </c>
      <c r="O137" s="49" t="str">
        <f>IF($F137="","",IFERROR(INDEX(Batches!$B$2:$B$301,MATCH($F137,Batches!$A$2:$A$301,0))&amp;"","(not found)"))</f>
        <v/>
      </c>
      <c r="P137" s="49" t="str">
        <f>IF(COUNTA($A137:$L137)=0,"",IF($A137="","Missing: entry ID",IF(COUNTIF($A$2:$A$2001,$A137)&gt;1,"Duplicate entry ID",IF(NOT(ISNUMBER($B137)),"Missing or invalid: date",IF($C137="","Missing: type",IF($D137="","Missing: SKU",IF(NOT(ISNUMBER($E137)),"Missing: qty",IF($F137="","Missing: lot",IF($I137="","Missing: source link",IF(COUNTIF(Config!$A$15:$A$34,$C137)=0,"Unsupported type",IF(COUNTIF(Products!$A$2:$A$101,$D137)=0,"Unknown SKU",IF(COUNTIFS(Batches!$A$2:$A$301,$F137,Batches!$B$2:$B$301,$D137)=0,"Unknown lot for this SKU",IF(AND($C137="Adjustment",$G137=""),"Missing: reason",IF(AND($G137&lt;&gt;"",COUNTIF(Config!$B$15:$B$34,$G137)=0),"Unsupported reason",IF(OR(INT($E137)&lt;&gt;$E137,AND(OR($C137="Receipt",$C137="Shipment"),$E137&lt;=0),AND($C137="Adjustment",$E137=0)),"Invalid qty",IF($B137&gt;Config!$B$4,"Date after the as-of date",IF($B137&lt;Config!$B$5,"Date before the opening balance date","OK")))))))))))))))))</f>
        <v/>
      </c>
    </row>
    <row r="138">
      <c r="A138" s="46" t="n"/>
      <c r="B138" s="54" t="n"/>
      <c r="C138" s="46" t="n"/>
      <c r="D138" s="46" t="n"/>
      <c r="E138" s="55" t="n"/>
      <c r="F138" s="46" t="n"/>
      <c r="G138" s="46" t="n"/>
      <c r="H138" s="46" t="n"/>
      <c r="I138" s="46" t="n"/>
      <c r="J138" s="46" t="n"/>
      <c r="K138" s="46" t="n"/>
      <c r="L138" s="46" t="n"/>
      <c r="M138" s="51" t="str">
        <f>IF(NOT(ISNUMBER($E138)),"",IF($C138="Receipt",$E138,IF($C138="Shipment",-$E138,IF($C138="Adjustment",$E138,0))))</f>
        <v/>
      </c>
      <c r="N138" s="49" t="str">
        <f>IF($D138="","",IFERROR(INDEX(Products!$B$2:$B$101,MATCH($D138,Products!$A$2:$A$101,0))&amp;"","(not found)"))</f>
        <v/>
      </c>
      <c r="O138" s="49" t="str">
        <f>IF($F138="","",IFERROR(INDEX(Batches!$B$2:$B$301,MATCH($F138,Batches!$A$2:$A$301,0))&amp;"","(not found)"))</f>
        <v/>
      </c>
      <c r="P138" s="49" t="str">
        <f>IF(COUNTA($A138:$L138)=0,"",IF($A138="","Missing: entry ID",IF(COUNTIF($A$2:$A$2001,$A138)&gt;1,"Duplicate entry ID",IF(NOT(ISNUMBER($B138)),"Missing or invalid: date",IF($C138="","Missing: type",IF($D138="","Missing: SKU",IF(NOT(ISNUMBER($E138)),"Missing: qty",IF($F138="","Missing: lot",IF($I138="","Missing: source link",IF(COUNTIF(Config!$A$15:$A$34,$C138)=0,"Unsupported type",IF(COUNTIF(Products!$A$2:$A$101,$D138)=0,"Unknown SKU",IF(COUNTIFS(Batches!$A$2:$A$301,$F138,Batches!$B$2:$B$301,$D138)=0,"Unknown lot for this SKU",IF(AND($C138="Adjustment",$G138=""),"Missing: reason",IF(AND($G138&lt;&gt;"",COUNTIF(Config!$B$15:$B$34,$G138)=0),"Unsupported reason",IF(OR(INT($E138)&lt;&gt;$E138,AND(OR($C138="Receipt",$C138="Shipment"),$E138&lt;=0),AND($C138="Adjustment",$E138=0)),"Invalid qty",IF($B138&gt;Config!$B$4,"Date after the as-of date",IF($B138&lt;Config!$B$5,"Date before the opening balance date","OK")))))))))))))))))</f>
        <v/>
      </c>
    </row>
    <row r="139">
      <c r="A139" s="46" t="n"/>
      <c r="B139" s="54" t="n"/>
      <c r="C139" s="46" t="n"/>
      <c r="D139" s="46" t="n"/>
      <c r="E139" s="55" t="n"/>
      <c r="F139" s="46" t="n"/>
      <c r="G139" s="46" t="n"/>
      <c r="H139" s="46" t="n"/>
      <c r="I139" s="46" t="n"/>
      <c r="J139" s="46" t="n"/>
      <c r="K139" s="46" t="n"/>
      <c r="L139" s="46" t="n"/>
      <c r="M139" s="51" t="str">
        <f>IF(NOT(ISNUMBER($E139)),"",IF($C139="Receipt",$E139,IF($C139="Shipment",-$E139,IF($C139="Adjustment",$E139,0))))</f>
        <v/>
      </c>
      <c r="N139" s="49" t="str">
        <f>IF($D139="","",IFERROR(INDEX(Products!$B$2:$B$101,MATCH($D139,Products!$A$2:$A$101,0))&amp;"","(not found)"))</f>
        <v/>
      </c>
      <c r="O139" s="49" t="str">
        <f>IF($F139="","",IFERROR(INDEX(Batches!$B$2:$B$301,MATCH($F139,Batches!$A$2:$A$301,0))&amp;"","(not found)"))</f>
        <v/>
      </c>
      <c r="P139" s="49" t="str">
        <f>IF(COUNTA($A139:$L139)=0,"",IF($A139="","Missing: entry ID",IF(COUNTIF($A$2:$A$2001,$A139)&gt;1,"Duplicate entry ID",IF(NOT(ISNUMBER($B139)),"Missing or invalid: date",IF($C139="","Missing: type",IF($D139="","Missing: SKU",IF(NOT(ISNUMBER($E139)),"Missing: qty",IF($F139="","Missing: lot",IF($I139="","Missing: source link",IF(COUNTIF(Config!$A$15:$A$34,$C139)=0,"Unsupported type",IF(COUNTIF(Products!$A$2:$A$101,$D139)=0,"Unknown SKU",IF(COUNTIFS(Batches!$A$2:$A$301,$F139,Batches!$B$2:$B$301,$D139)=0,"Unknown lot for this SKU",IF(AND($C139="Adjustment",$G139=""),"Missing: reason",IF(AND($G139&lt;&gt;"",COUNTIF(Config!$B$15:$B$34,$G139)=0),"Unsupported reason",IF(OR(INT($E139)&lt;&gt;$E139,AND(OR($C139="Receipt",$C139="Shipment"),$E139&lt;=0),AND($C139="Adjustment",$E139=0)),"Invalid qty",IF($B139&gt;Config!$B$4,"Date after the as-of date",IF($B139&lt;Config!$B$5,"Date before the opening balance date","OK")))))))))))))))))</f>
        <v/>
      </c>
    </row>
    <row r="140">
      <c r="A140" s="46" t="n"/>
      <c r="B140" s="54" t="n"/>
      <c r="C140" s="46" t="n"/>
      <c r="D140" s="46" t="n"/>
      <c r="E140" s="55" t="n"/>
      <c r="F140" s="46" t="n"/>
      <c r="G140" s="46" t="n"/>
      <c r="H140" s="46" t="n"/>
      <c r="I140" s="46" t="n"/>
      <c r="J140" s="46" t="n"/>
      <c r="K140" s="46" t="n"/>
      <c r="L140" s="46" t="n"/>
      <c r="M140" s="51" t="str">
        <f>IF(NOT(ISNUMBER($E140)),"",IF($C140="Receipt",$E140,IF($C140="Shipment",-$E140,IF($C140="Adjustment",$E140,0))))</f>
        <v/>
      </c>
      <c r="N140" s="49" t="str">
        <f>IF($D140="","",IFERROR(INDEX(Products!$B$2:$B$101,MATCH($D140,Products!$A$2:$A$101,0))&amp;"","(not found)"))</f>
        <v/>
      </c>
      <c r="O140" s="49" t="str">
        <f>IF($F140="","",IFERROR(INDEX(Batches!$B$2:$B$301,MATCH($F140,Batches!$A$2:$A$301,0))&amp;"","(not found)"))</f>
        <v/>
      </c>
      <c r="P140" s="49" t="str">
        <f>IF(COUNTA($A140:$L140)=0,"",IF($A140="","Missing: entry ID",IF(COUNTIF($A$2:$A$2001,$A140)&gt;1,"Duplicate entry ID",IF(NOT(ISNUMBER($B140)),"Missing or invalid: date",IF($C140="","Missing: type",IF($D140="","Missing: SKU",IF(NOT(ISNUMBER($E140)),"Missing: qty",IF($F140="","Missing: lot",IF($I140="","Missing: source link",IF(COUNTIF(Config!$A$15:$A$34,$C140)=0,"Unsupported type",IF(COUNTIF(Products!$A$2:$A$101,$D140)=0,"Unknown SKU",IF(COUNTIFS(Batches!$A$2:$A$301,$F140,Batches!$B$2:$B$301,$D140)=0,"Unknown lot for this SKU",IF(AND($C140="Adjustment",$G140=""),"Missing: reason",IF(AND($G140&lt;&gt;"",COUNTIF(Config!$B$15:$B$34,$G140)=0),"Unsupported reason",IF(OR(INT($E140)&lt;&gt;$E140,AND(OR($C140="Receipt",$C140="Shipment"),$E140&lt;=0),AND($C140="Adjustment",$E140=0)),"Invalid qty",IF($B140&gt;Config!$B$4,"Date after the as-of date",IF($B140&lt;Config!$B$5,"Date before the opening balance date","OK")))))))))))))))))</f>
        <v/>
      </c>
    </row>
    <row r="141">
      <c r="A141" s="46" t="n"/>
      <c r="B141" s="54" t="n"/>
      <c r="C141" s="46" t="n"/>
      <c r="D141" s="46" t="n"/>
      <c r="E141" s="55" t="n"/>
      <c r="F141" s="46" t="n"/>
      <c r="G141" s="46" t="n"/>
      <c r="H141" s="46" t="n"/>
      <c r="I141" s="46" t="n"/>
      <c r="J141" s="46" t="n"/>
      <c r="K141" s="46" t="n"/>
      <c r="L141" s="46" t="n"/>
      <c r="M141" s="51" t="str">
        <f>IF(NOT(ISNUMBER($E141)),"",IF($C141="Receipt",$E141,IF($C141="Shipment",-$E141,IF($C141="Adjustment",$E141,0))))</f>
        <v/>
      </c>
      <c r="N141" s="49" t="str">
        <f>IF($D141="","",IFERROR(INDEX(Products!$B$2:$B$101,MATCH($D141,Products!$A$2:$A$101,0))&amp;"","(not found)"))</f>
        <v/>
      </c>
      <c r="O141" s="49" t="str">
        <f>IF($F141="","",IFERROR(INDEX(Batches!$B$2:$B$301,MATCH($F141,Batches!$A$2:$A$301,0))&amp;"","(not found)"))</f>
        <v/>
      </c>
      <c r="P141" s="49" t="str">
        <f>IF(COUNTA($A141:$L141)=0,"",IF($A141="","Missing: entry ID",IF(COUNTIF($A$2:$A$2001,$A141)&gt;1,"Duplicate entry ID",IF(NOT(ISNUMBER($B141)),"Missing or invalid: date",IF($C141="","Missing: type",IF($D141="","Missing: SKU",IF(NOT(ISNUMBER($E141)),"Missing: qty",IF($F141="","Missing: lot",IF($I141="","Missing: source link",IF(COUNTIF(Config!$A$15:$A$34,$C141)=0,"Unsupported type",IF(COUNTIF(Products!$A$2:$A$101,$D141)=0,"Unknown SKU",IF(COUNTIFS(Batches!$A$2:$A$301,$F141,Batches!$B$2:$B$301,$D141)=0,"Unknown lot for this SKU",IF(AND($C141="Adjustment",$G141=""),"Missing: reason",IF(AND($G141&lt;&gt;"",COUNTIF(Config!$B$15:$B$34,$G141)=0),"Unsupported reason",IF(OR(INT($E141)&lt;&gt;$E141,AND(OR($C141="Receipt",$C141="Shipment"),$E141&lt;=0),AND($C141="Adjustment",$E141=0)),"Invalid qty",IF($B141&gt;Config!$B$4,"Date after the as-of date",IF($B141&lt;Config!$B$5,"Date before the opening balance date","OK")))))))))))))))))</f>
        <v/>
      </c>
    </row>
    <row r="142">
      <c r="A142" s="46" t="n"/>
      <c r="B142" s="54" t="n"/>
      <c r="C142" s="46" t="n"/>
      <c r="D142" s="46" t="n"/>
      <c r="E142" s="55" t="n"/>
      <c r="F142" s="46" t="n"/>
      <c r="G142" s="46" t="n"/>
      <c r="H142" s="46" t="n"/>
      <c r="I142" s="46" t="n"/>
      <c r="J142" s="46" t="n"/>
      <c r="K142" s="46" t="n"/>
      <c r="L142" s="46" t="n"/>
      <c r="M142" s="51" t="str">
        <f>IF(NOT(ISNUMBER($E142)),"",IF($C142="Receipt",$E142,IF($C142="Shipment",-$E142,IF($C142="Adjustment",$E142,0))))</f>
        <v/>
      </c>
      <c r="N142" s="49" t="str">
        <f>IF($D142="","",IFERROR(INDEX(Products!$B$2:$B$101,MATCH($D142,Products!$A$2:$A$101,0))&amp;"","(not found)"))</f>
        <v/>
      </c>
      <c r="O142" s="49" t="str">
        <f>IF($F142="","",IFERROR(INDEX(Batches!$B$2:$B$301,MATCH($F142,Batches!$A$2:$A$301,0))&amp;"","(not found)"))</f>
        <v/>
      </c>
      <c r="P142" s="49" t="str">
        <f>IF(COUNTA($A142:$L142)=0,"",IF($A142="","Missing: entry ID",IF(COUNTIF($A$2:$A$2001,$A142)&gt;1,"Duplicate entry ID",IF(NOT(ISNUMBER($B142)),"Missing or invalid: date",IF($C142="","Missing: type",IF($D142="","Missing: SKU",IF(NOT(ISNUMBER($E142)),"Missing: qty",IF($F142="","Missing: lot",IF($I142="","Missing: source link",IF(COUNTIF(Config!$A$15:$A$34,$C142)=0,"Unsupported type",IF(COUNTIF(Products!$A$2:$A$101,$D142)=0,"Unknown SKU",IF(COUNTIFS(Batches!$A$2:$A$301,$F142,Batches!$B$2:$B$301,$D142)=0,"Unknown lot for this SKU",IF(AND($C142="Adjustment",$G142=""),"Missing: reason",IF(AND($G142&lt;&gt;"",COUNTIF(Config!$B$15:$B$34,$G142)=0),"Unsupported reason",IF(OR(INT($E142)&lt;&gt;$E142,AND(OR($C142="Receipt",$C142="Shipment"),$E142&lt;=0),AND($C142="Adjustment",$E142=0)),"Invalid qty",IF($B142&gt;Config!$B$4,"Date after the as-of date",IF($B142&lt;Config!$B$5,"Date before the opening balance date","OK")))))))))))))))))</f>
        <v/>
      </c>
    </row>
    <row r="143">
      <c r="A143" s="46" t="n"/>
      <c r="B143" s="54" t="n"/>
      <c r="C143" s="46" t="n"/>
      <c r="D143" s="46" t="n"/>
      <c r="E143" s="55" t="n"/>
      <c r="F143" s="46" t="n"/>
      <c r="G143" s="46" t="n"/>
      <c r="H143" s="46" t="n"/>
      <c r="I143" s="46" t="n"/>
      <c r="J143" s="46" t="n"/>
      <c r="K143" s="46" t="n"/>
      <c r="L143" s="46" t="n"/>
      <c r="M143" s="51" t="str">
        <f>IF(NOT(ISNUMBER($E143)),"",IF($C143="Receipt",$E143,IF($C143="Shipment",-$E143,IF($C143="Adjustment",$E143,0))))</f>
        <v/>
      </c>
      <c r="N143" s="49" t="str">
        <f>IF($D143="","",IFERROR(INDEX(Products!$B$2:$B$101,MATCH($D143,Products!$A$2:$A$101,0))&amp;"","(not found)"))</f>
        <v/>
      </c>
      <c r="O143" s="49" t="str">
        <f>IF($F143="","",IFERROR(INDEX(Batches!$B$2:$B$301,MATCH($F143,Batches!$A$2:$A$301,0))&amp;"","(not found)"))</f>
        <v/>
      </c>
      <c r="P143" s="49" t="str">
        <f>IF(COUNTA($A143:$L143)=0,"",IF($A143="","Missing: entry ID",IF(COUNTIF($A$2:$A$2001,$A143)&gt;1,"Duplicate entry ID",IF(NOT(ISNUMBER($B143)),"Missing or invalid: date",IF($C143="","Missing: type",IF($D143="","Missing: SKU",IF(NOT(ISNUMBER($E143)),"Missing: qty",IF($F143="","Missing: lot",IF($I143="","Missing: source link",IF(COUNTIF(Config!$A$15:$A$34,$C143)=0,"Unsupported type",IF(COUNTIF(Products!$A$2:$A$101,$D143)=0,"Unknown SKU",IF(COUNTIFS(Batches!$A$2:$A$301,$F143,Batches!$B$2:$B$301,$D143)=0,"Unknown lot for this SKU",IF(AND($C143="Adjustment",$G143=""),"Missing: reason",IF(AND($G143&lt;&gt;"",COUNTIF(Config!$B$15:$B$34,$G143)=0),"Unsupported reason",IF(OR(INT($E143)&lt;&gt;$E143,AND(OR($C143="Receipt",$C143="Shipment"),$E143&lt;=0),AND($C143="Adjustment",$E143=0)),"Invalid qty",IF($B143&gt;Config!$B$4,"Date after the as-of date",IF($B143&lt;Config!$B$5,"Date before the opening balance date","OK")))))))))))))))))</f>
        <v/>
      </c>
    </row>
    <row r="144">
      <c r="A144" s="46" t="n"/>
      <c r="B144" s="54" t="n"/>
      <c r="C144" s="46" t="n"/>
      <c r="D144" s="46" t="n"/>
      <c r="E144" s="55" t="n"/>
      <c r="F144" s="46" t="n"/>
      <c r="G144" s="46" t="n"/>
      <c r="H144" s="46" t="n"/>
      <c r="I144" s="46" t="n"/>
      <c r="J144" s="46" t="n"/>
      <c r="K144" s="46" t="n"/>
      <c r="L144" s="46" t="n"/>
      <c r="M144" s="51" t="str">
        <f>IF(NOT(ISNUMBER($E144)),"",IF($C144="Receipt",$E144,IF($C144="Shipment",-$E144,IF($C144="Adjustment",$E144,0))))</f>
        <v/>
      </c>
      <c r="N144" s="49" t="str">
        <f>IF($D144="","",IFERROR(INDEX(Products!$B$2:$B$101,MATCH($D144,Products!$A$2:$A$101,0))&amp;"","(not found)"))</f>
        <v/>
      </c>
      <c r="O144" s="49" t="str">
        <f>IF($F144="","",IFERROR(INDEX(Batches!$B$2:$B$301,MATCH($F144,Batches!$A$2:$A$301,0))&amp;"","(not found)"))</f>
        <v/>
      </c>
      <c r="P144" s="49" t="str">
        <f>IF(COUNTA($A144:$L144)=0,"",IF($A144="","Missing: entry ID",IF(COUNTIF($A$2:$A$2001,$A144)&gt;1,"Duplicate entry ID",IF(NOT(ISNUMBER($B144)),"Missing or invalid: date",IF($C144="","Missing: type",IF($D144="","Missing: SKU",IF(NOT(ISNUMBER($E144)),"Missing: qty",IF($F144="","Missing: lot",IF($I144="","Missing: source link",IF(COUNTIF(Config!$A$15:$A$34,$C144)=0,"Unsupported type",IF(COUNTIF(Products!$A$2:$A$101,$D144)=0,"Unknown SKU",IF(COUNTIFS(Batches!$A$2:$A$301,$F144,Batches!$B$2:$B$301,$D144)=0,"Unknown lot for this SKU",IF(AND($C144="Adjustment",$G144=""),"Missing: reason",IF(AND($G144&lt;&gt;"",COUNTIF(Config!$B$15:$B$34,$G144)=0),"Unsupported reason",IF(OR(INT($E144)&lt;&gt;$E144,AND(OR($C144="Receipt",$C144="Shipment"),$E144&lt;=0),AND($C144="Adjustment",$E144=0)),"Invalid qty",IF($B144&gt;Config!$B$4,"Date after the as-of date",IF($B144&lt;Config!$B$5,"Date before the opening balance date","OK")))))))))))))))))</f>
        <v/>
      </c>
    </row>
    <row r="145">
      <c r="A145" s="46" t="n"/>
      <c r="B145" s="54" t="n"/>
      <c r="C145" s="46" t="n"/>
      <c r="D145" s="46" t="n"/>
      <c r="E145" s="55" t="n"/>
      <c r="F145" s="46" t="n"/>
      <c r="G145" s="46" t="n"/>
      <c r="H145" s="46" t="n"/>
      <c r="I145" s="46" t="n"/>
      <c r="J145" s="46" t="n"/>
      <c r="K145" s="46" t="n"/>
      <c r="L145" s="46" t="n"/>
      <c r="M145" s="51" t="str">
        <f>IF(NOT(ISNUMBER($E145)),"",IF($C145="Receipt",$E145,IF($C145="Shipment",-$E145,IF($C145="Adjustment",$E145,0))))</f>
        <v/>
      </c>
      <c r="N145" s="49" t="str">
        <f>IF($D145="","",IFERROR(INDEX(Products!$B$2:$B$101,MATCH($D145,Products!$A$2:$A$101,0))&amp;"","(not found)"))</f>
        <v/>
      </c>
      <c r="O145" s="49" t="str">
        <f>IF($F145="","",IFERROR(INDEX(Batches!$B$2:$B$301,MATCH($F145,Batches!$A$2:$A$301,0))&amp;"","(not found)"))</f>
        <v/>
      </c>
      <c r="P145" s="49" t="str">
        <f>IF(COUNTA($A145:$L145)=0,"",IF($A145="","Missing: entry ID",IF(COUNTIF($A$2:$A$2001,$A145)&gt;1,"Duplicate entry ID",IF(NOT(ISNUMBER($B145)),"Missing or invalid: date",IF($C145="","Missing: type",IF($D145="","Missing: SKU",IF(NOT(ISNUMBER($E145)),"Missing: qty",IF($F145="","Missing: lot",IF($I145="","Missing: source link",IF(COUNTIF(Config!$A$15:$A$34,$C145)=0,"Unsupported type",IF(COUNTIF(Products!$A$2:$A$101,$D145)=0,"Unknown SKU",IF(COUNTIFS(Batches!$A$2:$A$301,$F145,Batches!$B$2:$B$301,$D145)=0,"Unknown lot for this SKU",IF(AND($C145="Adjustment",$G145=""),"Missing: reason",IF(AND($G145&lt;&gt;"",COUNTIF(Config!$B$15:$B$34,$G145)=0),"Unsupported reason",IF(OR(INT($E145)&lt;&gt;$E145,AND(OR($C145="Receipt",$C145="Shipment"),$E145&lt;=0),AND($C145="Adjustment",$E145=0)),"Invalid qty",IF($B145&gt;Config!$B$4,"Date after the as-of date",IF($B145&lt;Config!$B$5,"Date before the opening balance date","OK")))))))))))))))))</f>
        <v/>
      </c>
    </row>
    <row r="146">
      <c r="A146" s="46" t="n"/>
      <c r="B146" s="54" t="n"/>
      <c r="C146" s="46" t="n"/>
      <c r="D146" s="46" t="n"/>
      <c r="E146" s="55" t="n"/>
      <c r="F146" s="46" t="n"/>
      <c r="G146" s="46" t="n"/>
      <c r="H146" s="46" t="n"/>
      <c r="I146" s="46" t="n"/>
      <c r="J146" s="46" t="n"/>
      <c r="K146" s="46" t="n"/>
      <c r="L146" s="46" t="n"/>
      <c r="M146" s="51" t="str">
        <f>IF(NOT(ISNUMBER($E146)),"",IF($C146="Receipt",$E146,IF($C146="Shipment",-$E146,IF($C146="Adjustment",$E146,0))))</f>
        <v/>
      </c>
      <c r="N146" s="49" t="str">
        <f>IF($D146="","",IFERROR(INDEX(Products!$B$2:$B$101,MATCH($D146,Products!$A$2:$A$101,0))&amp;"","(not found)"))</f>
        <v/>
      </c>
      <c r="O146" s="49" t="str">
        <f>IF($F146="","",IFERROR(INDEX(Batches!$B$2:$B$301,MATCH($F146,Batches!$A$2:$A$301,0))&amp;"","(not found)"))</f>
        <v/>
      </c>
      <c r="P146" s="49" t="str">
        <f>IF(COUNTA($A146:$L146)=0,"",IF($A146="","Missing: entry ID",IF(COUNTIF($A$2:$A$2001,$A146)&gt;1,"Duplicate entry ID",IF(NOT(ISNUMBER($B146)),"Missing or invalid: date",IF($C146="","Missing: type",IF($D146="","Missing: SKU",IF(NOT(ISNUMBER($E146)),"Missing: qty",IF($F146="","Missing: lot",IF($I146="","Missing: source link",IF(COUNTIF(Config!$A$15:$A$34,$C146)=0,"Unsupported type",IF(COUNTIF(Products!$A$2:$A$101,$D146)=0,"Unknown SKU",IF(COUNTIFS(Batches!$A$2:$A$301,$F146,Batches!$B$2:$B$301,$D146)=0,"Unknown lot for this SKU",IF(AND($C146="Adjustment",$G146=""),"Missing: reason",IF(AND($G146&lt;&gt;"",COUNTIF(Config!$B$15:$B$34,$G146)=0),"Unsupported reason",IF(OR(INT($E146)&lt;&gt;$E146,AND(OR($C146="Receipt",$C146="Shipment"),$E146&lt;=0),AND($C146="Adjustment",$E146=0)),"Invalid qty",IF($B146&gt;Config!$B$4,"Date after the as-of date",IF($B146&lt;Config!$B$5,"Date before the opening balance date","OK")))))))))))))))))</f>
        <v/>
      </c>
    </row>
    <row r="147">
      <c r="A147" s="46" t="n"/>
      <c r="B147" s="54" t="n"/>
      <c r="C147" s="46" t="n"/>
      <c r="D147" s="46" t="n"/>
      <c r="E147" s="55" t="n"/>
      <c r="F147" s="46" t="n"/>
      <c r="G147" s="46" t="n"/>
      <c r="H147" s="46" t="n"/>
      <c r="I147" s="46" t="n"/>
      <c r="J147" s="46" t="n"/>
      <c r="K147" s="46" t="n"/>
      <c r="L147" s="46" t="n"/>
      <c r="M147" s="51" t="str">
        <f>IF(NOT(ISNUMBER($E147)),"",IF($C147="Receipt",$E147,IF($C147="Shipment",-$E147,IF($C147="Adjustment",$E147,0))))</f>
        <v/>
      </c>
      <c r="N147" s="49" t="str">
        <f>IF($D147="","",IFERROR(INDEX(Products!$B$2:$B$101,MATCH($D147,Products!$A$2:$A$101,0))&amp;"","(not found)"))</f>
        <v/>
      </c>
      <c r="O147" s="49" t="str">
        <f>IF($F147="","",IFERROR(INDEX(Batches!$B$2:$B$301,MATCH($F147,Batches!$A$2:$A$301,0))&amp;"","(not found)"))</f>
        <v/>
      </c>
      <c r="P147" s="49" t="str">
        <f>IF(COUNTA($A147:$L147)=0,"",IF($A147="","Missing: entry ID",IF(COUNTIF($A$2:$A$2001,$A147)&gt;1,"Duplicate entry ID",IF(NOT(ISNUMBER($B147)),"Missing or invalid: date",IF($C147="","Missing: type",IF($D147="","Missing: SKU",IF(NOT(ISNUMBER($E147)),"Missing: qty",IF($F147="","Missing: lot",IF($I147="","Missing: source link",IF(COUNTIF(Config!$A$15:$A$34,$C147)=0,"Unsupported type",IF(COUNTIF(Products!$A$2:$A$101,$D147)=0,"Unknown SKU",IF(COUNTIFS(Batches!$A$2:$A$301,$F147,Batches!$B$2:$B$301,$D147)=0,"Unknown lot for this SKU",IF(AND($C147="Adjustment",$G147=""),"Missing: reason",IF(AND($G147&lt;&gt;"",COUNTIF(Config!$B$15:$B$34,$G147)=0),"Unsupported reason",IF(OR(INT($E147)&lt;&gt;$E147,AND(OR($C147="Receipt",$C147="Shipment"),$E147&lt;=0),AND($C147="Adjustment",$E147=0)),"Invalid qty",IF($B147&gt;Config!$B$4,"Date after the as-of date",IF($B147&lt;Config!$B$5,"Date before the opening balance date","OK")))))))))))))))))</f>
        <v/>
      </c>
    </row>
    <row r="148">
      <c r="A148" s="46" t="n"/>
      <c r="B148" s="54" t="n"/>
      <c r="C148" s="46" t="n"/>
      <c r="D148" s="46" t="n"/>
      <c r="E148" s="55" t="n"/>
      <c r="F148" s="46" t="n"/>
      <c r="G148" s="46" t="n"/>
      <c r="H148" s="46" t="n"/>
      <c r="I148" s="46" t="n"/>
      <c r="J148" s="46" t="n"/>
      <c r="K148" s="46" t="n"/>
      <c r="L148" s="46" t="n"/>
      <c r="M148" s="51" t="str">
        <f>IF(NOT(ISNUMBER($E148)),"",IF($C148="Receipt",$E148,IF($C148="Shipment",-$E148,IF($C148="Adjustment",$E148,0))))</f>
        <v/>
      </c>
      <c r="N148" s="49" t="str">
        <f>IF($D148="","",IFERROR(INDEX(Products!$B$2:$B$101,MATCH($D148,Products!$A$2:$A$101,0))&amp;"","(not found)"))</f>
        <v/>
      </c>
      <c r="O148" s="49" t="str">
        <f>IF($F148="","",IFERROR(INDEX(Batches!$B$2:$B$301,MATCH($F148,Batches!$A$2:$A$301,0))&amp;"","(not found)"))</f>
        <v/>
      </c>
      <c r="P148" s="49" t="str">
        <f>IF(COUNTA($A148:$L148)=0,"",IF($A148="","Missing: entry ID",IF(COUNTIF($A$2:$A$2001,$A148)&gt;1,"Duplicate entry ID",IF(NOT(ISNUMBER($B148)),"Missing or invalid: date",IF($C148="","Missing: type",IF($D148="","Missing: SKU",IF(NOT(ISNUMBER($E148)),"Missing: qty",IF($F148="","Missing: lot",IF($I148="","Missing: source link",IF(COUNTIF(Config!$A$15:$A$34,$C148)=0,"Unsupported type",IF(COUNTIF(Products!$A$2:$A$101,$D148)=0,"Unknown SKU",IF(COUNTIFS(Batches!$A$2:$A$301,$F148,Batches!$B$2:$B$301,$D148)=0,"Unknown lot for this SKU",IF(AND($C148="Adjustment",$G148=""),"Missing: reason",IF(AND($G148&lt;&gt;"",COUNTIF(Config!$B$15:$B$34,$G148)=0),"Unsupported reason",IF(OR(INT($E148)&lt;&gt;$E148,AND(OR($C148="Receipt",$C148="Shipment"),$E148&lt;=0),AND($C148="Adjustment",$E148=0)),"Invalid qty",IF($B148&gt;Config!$B$4,"Date after the as-of date",IF($B148&lt;Config!$B$5,"Date before the opening balance date","OK")))))))))))))))))</f>
        <v/>
      </c>
    </row>
    <row r="149">
      <c r="A149" s="46" t="n"/>
      <c r="B149" s="54" t="n"/>
      <c r="C149" s="46" t="n"/>
      <c r="D149" s="46" t="n"/>
      <c r="E149" s="55" t="n"/>
      <c r="F149" s="46" t="n"/>
      <c r="G149" s="46" t="n"/>
      <c r="H149" s="46" t="n"/>
      <c r="I149" s="46" t="n"/>
      <c r="J149" s="46" t="n"/>
      <c r="K149" s="46" t="n"/>
      <c r="L149" s="46" t="n"/>
      <c r="M149" s="51" t="str">
        <f>IF(NOT(ISNUMBER($E149)),"",IF($C149="Receipt",$E149,IF($C149="Shipment",-$E149,IF($C149="Adjustment",$E149,0))))</f>
        <v/>
      </c>
      <c r="N149" s="49" t="str">
        <f>IF($D149="","",IFERROR(INDEX(Products!$B$2:$B$101,MATCH($D149,Products!$A$2:$A$101,0))&amp;"","(not found)"))</f>
        <v/>
      </c>
      <c r="O149" s="49" t="str">
        <f>IF($F149="","",IFERROR(INDEX(Batches!$B$2:$B$301,MATCH($F149,Batches!$A$2:$A$301,0))&amp;"","(not found)"))</f>
        <v/>
      </c>
      <c r="P149" s="49" t="str">
        <f>IF(COUNTA($A149:$L149)=0,"",IF($A149="","Missing: entry ID",IF(COUNTIF($A$2:$A$2001,$A149)&gt;1,"Duplicate entry ID",IF(NOT(ISNUMBER($B149)),"Missing or invalid: date",IF($C149="","Missing: type",IF($D149="","Missing: SKU",IF(NOT(ISNUMBER($E149)),"Missing: qty",IF($F149="","Missing: lot",IF($I149="","Missing: source link",IF(COUNTIF(Config!$A$15:$A$34,$C149)=0,"Unsupported type",IF(COUNTIF(Products!$A$2:$A$101,$D149)=0,"Unknown SKU",IF(COUNTIFS(Batches!$A$2:$A$301,$F149,Batches!$B$2:$B$301,$D149)=0,"Unknown lot for this SKU",IF(AND($C149="Adjustment",$G149=""),"Missing: reason",IF(AND($G149&lt;&gt;"",COUNTIF(Config!$B$15:$B$34,$G149)=0),"Unsupported reason",IF(OR(INT($E149)&lt;&gt;$E149,AND(OR($C149="Receipt",$C149="Shipment"),$E149&lt;=0),AND($C149="Adjustment",$E149=0)),"Invalid qty",IF($B149&gt;Config!$B$4,"Date after the as-of date",IF($B149&lt;Config!$B$5,"Date before the opening balance date","OK")))))))))))))))))</f>
        <v/>
      </c>
    </row>
    <row r="150">
      <c r="A150" s="46" t="n"/>
      <c r="B150" s="54" t="n"/>
      <c r="C150" s="46" t="n"/>
      <c r="D150" s="46" t="n"/>
      <c r="E150" s="55" t="n"/>
      <c r="F150" s="46" t="n"/>
      <c r="G150" s="46" t="n"/>
      <c r="H150" s="46" t="n"/>
      <c r="I150" s="46" t="n"/>
      <c r="J150" s="46" t="n"/>
      <c r="K150" s="46" t="n"/>
      <c r="L150" s="46" t="n"/>
      <c r="M150" s="51" t="str">
        <f>IF(NOT(ISNUMBER($E150)),"",IF($C150="Receipt",$E150,IF($C150="Shipment",-$E150,IF($C150="Adjustment",$E150,0))))</f>
        <v/>
      </c>
      <c r="N150" s="49" t="str">
        <f>IF($D150="","",IFERROR(INDEX(Products!$B$2:$B$101,MATCH($D150,Products!$A$2:$A$101,0))&amp;"","(not found)"))</f>
        <v/>
      </c>
      <c r="O150" s="49" t="str">
        <f>IF($F150="","",IFERROR(INDEX(Batches!$B$2:$B$301,MATCH($F150,Batches!$A$2:$A$301,0))&amp;"","(not found)"))</f>
        <v/>
      </c>
      <c r="P150" s="49" t="str">
        <f>IF(COUNTA($A150:$L150)=0,"",IF($A150="","Missing: entry ID",IF(COUNTIF($A$2:$A$2001,$A150)&gt;1,"Duplicate entry ID",IF(NOT(ISNUMBER($B150)),"Missing or invalid: date",IF($C150="","Missing: type",IF($D150="","Missing: SKU",IF(NOT(ISNUMBER($E150)),"Missing: qty",IF($F150="","Missing: lot",IF($I150="","Missing: source link",IF(COUNTIF(Config!$A$15:$A$34,$C150)=0,"Unsupported type",IF(COUNTIF(Products!$A$2:$A$101,$D150)=0,"Unknown SKU",IF(COUNTIFS(Batches!$A$2:$A$301,$F150,Batches!$B$2:$B$301,$D150)=0,"Unknown lot for this SKU",IF(AND($C150="Adjustment",$G150=""),"Missing: reason",IF(AND($G150&lt;&gt;"",COUNTIF(Config!$B$15:$B$34,$G150)=0),"Unsupported reason",IF(OR(INT($E150)&lt;&gt;$E150,AND(OR($C150="Receipt",$C150="Shipment"),$E150&lt;=0),AND($C150="Adjustment",$E150=0)),"Invalid qty",IF($B150&gt;Config!$B$4,"Date after the as-of date",IF($B150&lt;Config!$B$5,"Date before the opening balance date","OK")))))))))))))))))</f>
        <v/>
      </c>
    </row>
    <row r="151">
      <c r="A151" s="46" t="n"/>
      <c r="B151" s="54" t="n"/>
      <c r="C151" s="46" t="n"/>
      <c r="D151" s="46" t="n"/>
      <c r="E151" s="55" t="n"/>
      <c r="F151" s="46" t="n"/>
      <c r="G151" s="46" t="n"/>
      <c r="H151" s="46" t="n"/>
      <c r="I151" s="46" t="n"/>
      <c r="J151" s="46" t="n"/>
      <c r="K151" s="46" t="n"/>
      <c r="L151" s="46" t="n"/>
      <c r="M151" s="51" t="str">
        <f>IF(NOT(ISNUMBER($E151)),"",IF($C151="Receipt",$E151,IF($C151="Shipment",-$E151,IF($C151="Adjustment",$E151,0))))</f>
        <v/>
      </c>
      <c r="N151" s="49" t="str">
        <f>IF($D151="","",IFERROR(INDEX(Products!$B$2:$B$101,MATCH($D151,Products!$A$2:$A$101,0))&amp;"","(not found)"))</f>
        <v/>
      </c>
      <c r="O151" s="49" t="str">
        <f>IF($F151="","",IFERROR(INDEX(Batches!$B$2:$B$301,MATCH($F151,Batches!$A$2:$A$301,0))&amp;"","(not found)"))</f>
        <v/>
      </c>
      <c r="P151" s="49" t="str">
        <f>IF(COUNTA($A151:$L151)=0,"",IF($A151="","Missing: entry ID",IF(COUNTIF($A$2:$A$2001,$A151)&gt;1,"Duplicate entry ID",IF(NOT(ISNUMBER($B151)),"Missing or invalid: date",IF($C151="","Missing: type",IF($D151="","Missing: SKU",IF(NOT(ISNUMBER($E151)),"Missing: qty",IF($F151="","Missing: lot",IF($I151="","Missing: source link",IF(COUNTIF(Config!$A$15:$A$34,$C151)=0,"Unsupported type",IF(COUNTIF(Products!$A$2:$A$101,$D151)=0,"Unknown SKU",IF(COUNTIFS(Batches!$A$2:$A$301,$F151,Batches!$B$2:$B$301,$D151)=0,"Unknown lot for this SKU",IF(AND($C151="Adjustment",$G151=""),"Missing: reason",IF(AND($G151&lt;&gt;"",COUNTIF(Config!$B$15:$B$34,$G151)=0),"Unsupported reason",IF(OR(INT($E151)&lt;&gt;$E151,AND(OR($C151="Receipt",$C151="Shipment"),$E151&lt;=0),AND($C151="Adjustment",$E151=0)),"Invalid qty",IF($B151&gt;Config!$B$4,"Date after the as-of date",IF($B151&lt;Config!$B$5,"Date before the opening balance date","OK")))))))))))))))))</f>
        <v/>
      </c>
    </row>
    <row r="152">
      <c r="A152" s="46" t="n"/>
      <c r="B152" s="54" t="n"/>
      <c r="C152" s="46" t="n"/>
      <c r="D152" s="46" t="n"/>
      <c r="E152" s="55" t="n"/>
      <c r="F152" s="46" t="n"/>
      <c r="G152" s="46" t="n"/>
      <c r="H152" s="46" t="n"/>
      <c r="I152" s="46" t="n"/>
      <c r="J152" s="46" t="n"/>
      <c r="K152" s="46" t="n"/>
      <c r="L152" s="46" t="n"/>
      <c r="M152" s="51" t="str">
        <f>IF(NOT(ISNUMBER($E152)),"",IF($C152="Receipt",$E152,IF($C152="Shipment",-$E152,IF($C152="Adjustment",$E152,0))))</f>
        <v/>
      </c>
      <c r="N152" s="49" t="str">
        <f>IF($D152="","",IFERROR(INDEX(Products!$B$2:$B$101,MATCH($D152,Products!$A$2:$A$101,0))&amp;"","(not found)"))</f>
        <v/>
      </c>
      <c r="O152" s="49" t="str">
        <f>IF($F152="","",IFERROR(INDEX(Batches!$B$2:$B$301,MATCH($F152,Batches!$A$2:$A$301,0))&amp;"","(not found)"))</f>
        <v/>
      </c>
      <c r="P152" s="49" t="str">
        <f>IF(COUNTA($A152:$L152)=0,"",IF($A152="","Missing: entry ID",IF(COUNTIF($A$2:$A$2001,$A152)&gt;1,"Duplicate entry ID",IF(NOT(ISNUMBER($B152)),"Missing or invalid: date",IF($C152="","Missing: type",IF($D152="","Missing: SKU",IF(NOT(ISNUMBER($E152)),"Missing: qty",IF($F152="","Missing: lot",IF($I152="","Missing: source link",IF(COUNTIF(Config!$A$15:$A$34,$C152)=0,"Unsupported type",IF(COUNTIF(Products!$A$2:$A$101,$D152)=0,"Unknown SKU",IF(COUNTIFS(Batches!$A$2:$A$301,$F152,Batches!$B$2:$B$301,$D152)=0,"Unknown lot for this SKU",IF(AND($C152="Adjustment",$G152=""),"Missing: reason",IF(AND($G152&lt;&gt;"",COUNTIF(Config!$B$15:$B$34,$G152)=0),"Unsupported reason",IF(OR(INT($E152)&lt;&gt;$E152,AND(OR($C152="Receipt",$C152="Shipment"),$E152&lt;=0),AND($C152="Adjustment",$E152=0)),"Invalid qty",IF($B152&gt;Config!$B$4,"Date after the as-of date",IF($B152&lt;Config!$B$5,"Date before the opening balance date","OK")))))))))))))))))</f>
        <v/>
      </c>
    </row>
    <row r="153">
      <c r="A153" s="46" t="n"/>
      <c r="B153" s="54" t="n"/>
      <c r="C153" s="46" t="n"/>
      <c r="D153" s="46" t="n"/>
      <c r="E153" s="55" t="n"/>
      <c r="F153" s="46" t="n"/>
      <c r="G153" s="46" t="n"/>
      <c r="H153" s="46" t="n"/>
      <c r="I153" s="46" t="n"/>
      <c r="J153" s="46" t="n"/>
      <c r="K153" s="46" t="n"/>
      <c r="L153" s="46" t="n"/>
      <c r="M153" s="51" t="str">
        <f>IF(NOT(ISNUMBER($E153)),"",IF($C153="Receipt",$E153,IF($C153="Shipment",-$E153,IF($C153="Adjustment",$E153,0))))</f>
        <v/>
      </c>
      <c r="N153" s="49" t="str">
        <f>IF($D153="","",IFERROR(INDEX(Products!$B$2:$B$101,MATCH($D153,Products!$A$2:$A$101,0))&amp;"","(not found)"))</f>
        <v/>
      </c>
      <c r="O153" s="49" t="str">
        <f>IF($F153="","",IFERROR(INDEX(Batches!$B$2:$B$301,MATCH($F153,Batches!$A$2:$A$301,0))&amp;"","(not found)"))</f>
        <v/>
      </c>
      <c r="P153" s="49" t="str">
        <f>IF(COUNTA($A153:$L153)=0,"",IF($A153="","Missing: entry ID",IF(COUNTIF($A$2:$A$2001,$A153)&gt;1,"Duplicate entry ID",IF(NOT(ISNUMBER($B153)),"Missing or invalid: date",IF($C153="","Missing: type",IF($D153="","Missing: SKU",IF(NOT(ISNUMBER($E153)),"Missing: qty",IF($F153="","Missing: lot",IF($I153="","Missing: source link",IF(COUNTIF(Config!$A$15:$A$34,$C153)=0,"Unsupported type",IF(COUNTIF(Products!$A$2:$A$101,$D153)=0,"Unknown SKU",IF(COUNTIFS(Batches!$A$2:$A$301,$F153,Batches!$B$2:$B$301,$D153)=0,"Unknown lot for this SKU",IF(AND($C153="Adjustment",$G153=""),"Missing: reason",IF(AND($G153&lt;&gt;"",COUNTIF(Config!$B$15:$B$34,$G153)=0),"Unsupported reason",IF(OR(INT($E153)&lt;&gt;$E153,AND(OR($C153="Receipt",$C153="Shipment"),$E153&lt;=0),AND($C153="Adjustment",$E153=0)),"Invalid qty",IF($B153&gt;Config!$B$4,"Date after the as-of date",IF($B153&lt;Config!$B$5,"Date before the opening balance date","OK")))))))))))))))))</f>
        <v/>
      </c>
    </row>
    <row r="154">
      <c r="A154" s="46" t="n"/>
      <c r="B154" s="54" t="n"/>
      <c r="C154" s="46" t="n"/>
      <c r="D154" s="46" t="n"/>
      <c r="E154" s="55" t="n"/>
      <c r="F154" s="46" t="n"/>
      <c r="G154" s="46" t="n"/>
      <c r="H154" s="46" t="n"/>
      <c r="I154" s="46" t="n"/>
      <c r="J154" s="46" t="n"/>
      <c r="K154" s="46" t="n"/>
      <c r="L154" s="46" t="n"/>
      <c r="M154" s="51" t="str">
        <f>IF(NOT(ISNUMBER($E154)),"",IF($C154="Receipt",$E154,IF($C154="Shipment",-$E154,IF($C154="Adjustment",$E154,0))))</f>
        <v/>
      </c>
      <c r="N154" s="49" t="str">
        <f>IF($D154="","",IFERROR(INDEX(Products!$B$2:$B$101,MATCH($D154,Products!$A$2:$A$101,0))&amp;"","(not found)"))</f>
        <v/>
      </c>
      <c r="O154" s="49" t="str">
        <f>IF($F154="","",IFERROR(INDEX(Batches!$B$2:$B$301,MATCH($F154,Batches!$A$2:$A$301,0))&amp;"","(not found)"))</f>
        <v/>
      </c>
      <c r="P154" s="49" t="str">
        <f>IF(COUNTA($A154:$L154)=0,"",IF($A154="","Missing: entry ID",IF(COUNTIF($A$2:$A$2001,$A154)&gt;1,"Duplicate entry ID",IF(NOT(ISNUMBER($B154)),"Missing or invalid: date",IF($C154="","Missing: type",IF($D154="","Missing: SKU",IF(NOT(ISNUMBER($E154)),"Missing: qty",IF($F154="","Missing: lot",IF($I154="","Missing: source link",IF(COUNTIF(Config!$A$15:$A$34,$C154)=0,"Unsupported type",IF(COUNTIF(Products!$A$2:$A$101,$D154)=0,"Unknown SKU",IF(COUNTIFS(Batches!$A$2:$A$301,$F154,Batches!$B$2:$B$301,$D154)=0,"Unknown lot for this SKU",IF(AND($C154="Adjustment",$G154=""),"Missing: reason",IF(AND($G154&lt;&gt;"",COUNTIF(Config!$B$15:$B$34,$G154)=0),"Unsupported reason",IF(OR(INT($E154)&lt;&gt;$E154,AND(OR($C154="Receipt",$C154="Shipment"),$E154&lt;=0),AND($C154="Adjustment",$E154=0)),"Invalid qty",IF($B154&gt;Config!$B$4,"Date after the as-of date",IF($B154&lt;Config!$B$5,"Date before the opening balance date","OK")))))))))))))))))</f>
        <v/>
      </c>
    </row>
    <row r="155">
      <c r="A155" s="46" t="n"/>
      <c r="B155" s="54" t="n"/>
      <c r="C155" s="46" t="n"/>
      <c r="D155" s="46" t="n"/>
      <c r="E155" s="55" t="n"/>
      <c r="F155" s="46" t="n"/>
      <c r="G155" s="46" t="n"/>
      <c r="H155" s="46" t="n"/>
      <c r="I155" s="46" t="n"/>
      <c r="J155" s="46" t="n"/>
      <c r="K155" s="46" t="n"/>
      <c r="L155" s="46" t="n"/>
      <c r="M155" s="51" t="str">
        <f>IF(NOT(ISNUMBER($E155)),"",IF($C155="Receipt",$E155,IF($C155="Shipment",-$E155,IF($C155="Adjustment",$E155,0))))</f>
        <v/>
      </c>
      <c r="N155" s="49" t="str">
        <f>IF($D155="","",IFERROR(INDEX(Products!$B$2:$B$101,MATCH($D155,Products!$A$2:$A$101,0))&amp;"","(not found)"))</f>
        <v/>
      </c>
      <c r="O155" s="49" t="str">
        <f>IF($F155="","",IFERROR(INDEX(Batches!$B$2:$B$301,MATCH($F155,Batches!$A$2:$A$301,0))&amp;"","(not found)"))</f>
        <v/>
      </c>
      <c r="P155" s="49" t="str">
        <f>IF(COUNTA($A155:$L155)=0,"",IF($A155="","Missing: entry ID",IF(COUNTIF($A$2:$A$2001,$A155)&gt;1,"Duplicate entry ID",IF(NOT(ISNUMBER($B155)),"Missing or invalid: date",IF($C155="","Missing: type",IF($D155="","Missing: SKU",IF(NOT(ISNUMBER($E155)),"Missing: qty",IF($F155="","Missing: lot",IF($I155="","Missing: source link",IF(COUNTIF(Config!$A$15:$A$34,$C155)=0,"Unsupported type",IF(COUNTIF(Products!$A$2:$A$101,$D155)=0,"Unknown SKU",IF(COUNTIFS(Batches!$A$2:$A$301,$F155,Batches!$B$2:$B$301,$D155)=0,"Unknown lot for this SKU",IF(AND($C155="Adjustment",$G155=""),"Missing: reason",IF(AND($G155&lt;&gt;"",COUNTIF(Config!$B$15:$B$34,$G155)=0),"Unsupported reason",IF(OR(INT($E155)&lt;&gt;$E155,AND(OR($C155="Receipt",$C155="Shipment"),$E155&lt;=0),AND($C155="Adjustment",$E155=0)),"Invalid qty",IF($B155&gt;Config!$B$4,"Date after the as-of date",IF($B155&lt;Config!$B$5,"Date before the opening balance date","OK")))))))))))))))))</f>
        <v/>
      </c>
    </row>
    <row r="156">
      <c r="A156" s="46" t="n"/>
      <c r="B156" s="54" t="n"/>
      <c r="C156" s="46" t="n"/>
      <c r="D156" s="46" t="n"/>
      <c r="E156" s="55" t="n"/>
      <c r="F156" s="46" t="n"/>
      <c r="G156" s="46" t="n"/>
      <c r="H156" s="46" t="n"/>
      <c r="I156" s="46" t="n"/>
      <c r="J156" s="46" t="n"/>
      <c r="K156" s="46" t="n"/>
      <c r="L156" s="46" t="n"/>
      <c r="M156" s="51" t="str">
        <f>IF(NOT(ISNUMBER($E156)),"",IF($C156="Receipt",$E156,IF($C156="Shipment",-$E156,IF($C156="Adjustment",$E156,0))))</f>
        <v/>
      </c>
      <c r="N156" s="49" t="str">
        <f>IF($D156="","",IFERROR(INDEX(Products!$B$2:$B$101,MATCH($D156,Products!$A$2:$A$101,0))&amp;"","(not found)"))</f>
        <v/>
      </c>
      <c r="O156" s="49" t="str">
        <f>IF($F156="","",IFERROR(INDEX(Batches!$B$2:$B$301,MATCH($F156,Batches!$A$2:$A$301,0))&amp;"","(not found)"))</f>
        <v/>
      </c>
      <c r="P156" s="49" t="str">
        <f>IF(COUNTA($A156:$L156)=0,"",IF($A156="","Missing: entry ID",IF(COUNTIF($A$2:$A$2001,$A156)&gt;1,"Duplicate entry ID",IF(NOT(ISNUMBER($B156)),"Missing or invalid: date",IF($C156="","Missing: type",IF($D156="","Missing: SKU",IF(NOT(ISNUMBER($E156)),"Missing: qty",IF($F156="","Missing: lot",IF($I156="","Missing: source link",IF(COUNTIF(Config!$A$15:$A$34,$C156)=0,"Unsupported type",IF(COUNTIF(Products!$A$2:$A$101,$D156)=0,"Unknown SKU",IF(COUNTIFS(Batches!$A$2:$A$301,$F156,Batches!$B$2:$B$301,$D156)=0,"Unknown lot for this SKU",IF(AND($C156="Adjustment",$G156=""),"Missing: reason",IF(AND($G156&lt;&gt;"",COUNTIF(Config!$B$15:$B$34,$G156)=0),"Unsupported reason",IF(OR(INT($E156)&lt;&gt;$E156,AND(OR($C156="Receipt",$C156="Shipment"),$E156&lt;=0),AND($C156="Adjustment",$E156=0)),"Invalid qty",IF($B156&gt;Config!$B$4,"Date after the as-of date",IF($B156&lt;Config!$B$5,"Date before the opening balance date","OK")))))))))))))))))</f>
        <v/>
      </c>
    </row>
    <row r="157">
      <c r="A157" s="46" t="n"/>
      <c r="B157" s="54" t="n"/>
      <c r="C157" s="46" t="n"/>
      <c r="D157" s="46" t="n"/>
      <c r="E157" s="55" t="n"/>
      <c r="F157" s="46" t="n"/>
      <c r="G157" s="46" t="n"/>
      <c r="H157" s="46" t="n"/>
      <c r="I157" s="46" t="n"/>
      <c r="J157" s="46" t="n"/>
      <c r="K157" s="46" t="n"/>
      <c r="L157" s="46" t="n"/>
      <c r="M157" s="51" t="str">
        <f>IF(NOT(ISNUMBER($E157)),"",IF($C157="Receipt",$E157,IF($C157="Shipment",-$E157,IF($C157="Adjustment",$E157,0))))</f>
        <v/>
      </c>
      <c r="N157" s="49" t="str">
        <f>IF($D157="","",IFERROR(INDEX(Products!$B$2:$B$101,MATCH($D157,Products!$A$2:$A$101,0))&amp;"","(not found)"))</f>
        <v/>
      </c>
      <c r="O157" s="49" t="str">
        <f>IF($F157="","",IFERROR(INDEX(Batches!$B$2:$B$301,MATCH($F157,Batches!$A$2:$A$301,0))&amp;"","(not found)"))</f>
        <v/>
      </c>
      <c r="P157" s="49" t="str">
        <f>IF(COUNTA($A157:$L157)=0,"",IF($A157="","Missing: entry ID",IF(COUNTIF($A$2:$A$2001,$A157)&gt;1,"Duplicate entry ID",IF(NOT(ISNUMBER($B157)),"Missing or invalid: date",IF($C157="","Missing: type",IF($D157="","Missing: SKU",IF(NOT(ISNUMBER($E157)),"Missing: qty",IF($F157="","Missing: lot",IF($I157="","Missing: source link",IF(COUNTIF(Config!$A$15:$A$34,$C157)=0,"Unsupported type",IF(COUNTIF(Products!$A$2:$A$101,$D157)=0,"Unknown SKU",IF(COUNTIFS(Batches!$A$2:$A$301,$F157,Batches!$B$2:$B$301,$D157)=0,"Unknown lot for this SKU",IF(AND($C157="Adjustment",$G157=""),"Missing: reason",IF(AND($G157&lt;&gt;"",COUNTIF(Config!$B$15:$B$34,$G157)=0),"Unsupported reason",IF(OR(INT($E157)&lt;&gt;$E157,AND(OR($C157="Receipt",$C157="Shipment"),$E157&lt;=0),AND($C157="Adjustment",$E157=0)),"Invalid qty",IF($B157&gt;Config!$B$4,"Date after the as-of date",IF($B157&lt;Config!$B$5,"Date before the opening balance date","OK")))))))))))))))))</f>
        <v/>
      </c>
    </row>
    <row r="158">
      <c r="A158" s="46" t="n"/>
      <c r="B158" s="54" t="n"/>
      <c r="C158" s="46" t="n"/>
      <c r="D158" s="46" t="n"/>
      <c r="E158" s="55" t="n"/>
      <c r="F158" s="46" t="n"/>
      <c r="G158" s="46" t="n"/>
      <c r="H158" s="46" t="n"/>
      <c r="I158" s="46" t="n"/>
      <c r="J158" s="46" t="n"/>
      <c r="K158" s="46" t="n"/>
      <c r="L158" s="46" t="n"/>
      <c r="M158" s="51" t="str">
        <f>IF(NOT(ISNUMBER($E158)),"",IF($C158="Receipt",$E158,IF($C158="Shipment",-$E158,IF($C158="Adjustment",$E158,0))))</f>
        <v/>
      </c>
      <c r="N158" s="49" t="str">
        <f>IF($D158="","",IFERROR(INDEX(Products!$B$2:$B$101,MATCH($D158,Products!$A$2:$A$101,0))&amp;"","(not found)"))</f>
        <v/>
      </c>
      <c r="O158" s="49" t="str">
        <f>IF($F158="","",IFERROR(INDEX(Batches!$B$2:$B$301,MATCH($F158,Batches!$A$2:$A$301,0))&amp;"","(not found)"))</f>
        <v/>
      </c>
      <c r="P158" s="49" t="str">
        <f>IF(COUNTA($A158:$L158)=0,"",IF($A158="","Missing: entry ID",IF(COUNTIF($A$2:$A$2001,$A158)&gt;1,"Duplicate entry ID",IF(NOT(ISNUMBER($B158)),"Missing or invalid: date",IF($C158="","Missing: type",IF($D158="","Missing: SKU",IF(NOT(ISNUMBER($E158)),"Missing: qty",IF($F158="","Missing: lot",IF($I158="","Missing: source link",IF(COUNTIF(Config!$A$15:$A$34,$C158)=0,"Unsupported type",IF(COUNTIF(Products!$A$2:$A$101,$D158)=0,"Unknown SKU",IF(COUNTIFS(Batches!$A$2:$A$301,$F158,Batches!$B$2:$B$301,$D158)=0,"Unknown lot for this SKU",IF(AND($C158="Adjustment",$G158=""),"Missing: reason",IF(AND($G158&lt;&gt;"",COUNTIF(Config!$B$15:$B$34,$G158)=0),"Unsupported reason",IF(OR(INT($E158)&lt;&gt;$E158,AND(OR($C158="Receipt",$C158="Shipment"),$E158&lt;=0),AND($C158="Adjustment",$E158=0)),"Invalid qty",IF($B158&gt;Config!$B$4,"Date after the as-of date",IF($B158&lt;Config!$B$5,"Date before the opening balance date","OK")))))))))))))))))</f>
        <v/>
      </c>
    </row>
    <row r="159">
      <c r="A159" s="46" t="n"/>
      <c r="B159" s="54" t="n"/>
      <c r="C159" s="46" t="n"/>
      <c r="D159" s="46" t="n"/>
      <c r="E159" s="55" t="n"/>
      <c r="F159" s="46" t="n"/>
      <c r="G159" s="46" t="n"/>
      <c r="H159" s="46" t="n"/>
      <c r="I159" s="46" t="n"/>
      <c r="J159" s="46" t="n"/>
      <c r="K159" s="46" t="n"/>
      <c r="L159" s="46" t="n"/>
      <c r="M159" s="51" t="str">
        <f>IF(NOT(ISNUMBER($E159)),"",IF($C159="Receipt",$E159,IF($C159="Shipment",-$E159,IF($C159="Adjustment",$E159,0))))</f>
        <v/>
      </c>
      <c r="N159" s="49" t="str">
        <f>IF($D159="","",IFERROR(INDEX(Products!$B$2:$B$101,MATCH($D159,Products!$A$2:$A$101,0))&amp;"","(not found)"))</f>
        <v/>
      </c>
      <c r="O159" s="49" t="str">
        <f>IF($F159="","",IFERROR(INDEX(Batches!$B$2:$B$301,MATCH($F159,Batches!$A$2:$A$301,0))&amp;"","(not found)"))</f>
        <v/>
      </c>
      <c r="P159" s="49" t="str">
        <f>IF(COUNTA($A159:$L159)=0,"",IF($A159="","Missing: entry ID",IF(COUNTIF($A$2:$A$2001,$A159)&gt;1,"Duplicate entry ID",IF(NOT(ISNUMBER($B159)),"Missing or invalid: date",IF($C159="","Missing: type",IF($D159="","Missing: SKU",IF(NOT(ISNUMBER($E159)),"Missing: qty",IF($F159="","Missing: lot",IF($I159="","Missing: source link",IF(COUNTIF(Config!$A$15:$A$34,$C159)=0,"Unsupported type",IF(COUNTIF(Products!$A$2:$A$101,$D159)=0,"Unknown SKU",IF(COUNTIFS(Batches!$A$2:$A$301,$F159,Batches!$B$2:$B$301,$D159)=0,"Unknown lot for this SKU",IF(AND($C159="Adjustment",$G159=""),"Missing: reason",IF(AND($G159&lt;&gt;"",COUNTIF(Config!$B$15:$B$34,$G159)=0),"Unsupported reason",IF(OR(INT($E159)&lt;&gt;$E159,AND(OR($C159="Receipt",$C159="Shipment"),$E159&lt;=0),AND($C159="Adjustment",$E159=0)),"Invalid qty",IF($B159&gt;Config!$B$4,"Date after the as-of date",IF($B159&lt;Config!$B$5,"Date before the opening balance date","OK")))))))))))))))))</f>
        <v/>
      </c>
    </row>
    <row r="160">
      <c r="A160" s="46" t="n"/>
      <c r="B160" s="54" t="n"/>
      <c r="C160" s="46" t="n"/>
      <c r="D160" s="46" t="n"/>
      <c r="E160" s="55" t="n"/>
      <c r="F160" s="46" t="n"/>
      <c r="G160" s="46" t="n"/>
      <c r="H160" s="46" t="n"/>
      <c r="I160" s="46" t="n"/>
      <c r="J160" s="46" t="n"/>
      <c r="K160" s="46" t="n"/>
      <c r="L160" s="46" t="n"/>
      <c r="M160" s="51" t="str">
        <f>IF(NOT(ISNUMBER($E160)),"",IF($C160="Receipt",$E160,IF($C160="Shipment",-$E160,IF($C160="Adjustment",$E160,0))))</f>
        <v/>
      </c>
      <c r="N160" s="49" t="str">
        <f>IF($D160="","",IFERROR(INDEX(Products!$B$2:$B$101,MATCH($D160,Products!$A$2:$A$101,0))&amp;"","(not found)"))</f>
        <v/>
      </c>
      <c r="O160" s="49" t="str">
        <f>IF($F160="","",IFERROR(INDEX(Batches!$B$2:$B$301,MATCH($F160,Batches!$A$2:$A$301,0))&amp;"","(not found)"))</f>
        <v/>
      </c>
      <c r="P160" s="49" t="str">
        <f>IF(COUNTA($A160:$L160)=0,"",IF($A160="","Missing: entry ID",IF(COUNTIF($A$2:$A$2001,$A160)&gt;1,"Duplicate entry ID",IF(NOT(ISNUMBER($B160)),"Missing or invalid: date",IF($C160="","Missing: type",IF($D160="","Missing: SKU",IF(NOT(ISNUMBER($E160)),"Missing: qty",IF($F160="","Missing: lot",IF($I160="","Missing: source link",IF(COUNTIF(Config!$A$15:$A$34,$C160)=0,"Unsupported type",IF(COUNTIF(Products!$A$2:$A$101,$D160)=0,"Unknown SKU",IF(COUNTIFS(Batches!$A$2:$A$301,$F160,Batches!$B$2:$B$301,$D160)=0,"Unknown lot for this SKU",IF(AND($C160="Adjustment",$G160=""),"Missing: reason",IF(AND($G160&lt;&gt;"",COUNTIF(Config!$B$15:$B$34,$G160)=0),"Unsupported reason",IF(OR(INT($E160)&lt;&gt;$E160,AND(OR($C160="Receipt",$C160="Shipment"),$E160&lt;=0),AND($C160="Adjustment",$E160=0)),"Invalid qty",IF($B160&gt;Config!$B$4,"Date after the as-of date",IF($B160&lt;Config!$B$5,"Date before the opening balance date","OK")))))))))))))))))</f>
        <v/>
      </c>
    </row>
    <row r="161">
      <c r="A161" s="46" t="n"/>
      <c r="B161" s="54" t="n"/>
      <c r="C161" s="46" t="n"/>
      <c r="D161" s="46" t="n"/>
      <c r="E161" s="55" t="n"/>
      <c r="F161" s="46" t="n"/>
      <c r="G161" s="46" t="n"/>
      <c r="H161" s="46" t="n"/>
      <c r="I161" s="46" t="n"/>
      <c r="J161" s="46" t="n"/>
      <c r="K161" s="46" t="n"/>
      <c r="L161" s="46" t="n"/>
      <c r="M161" s="51" t="str">
        <f>IF(NOT(ISNUMBER($E161)),"",IF($C161="Receipt",$E161,IF($C161="Shipment",-$E161,IF($C161="Adjustment",$E161,0))))</f>
        <v/>
      </c>
      <c r="N161" s="49" t="str">
        <f>IF($D161="","",IFERROR(INDEX(Products!$B$2:$B$101,MATCH($D161,Products!$A$2:$A$101,0))&amp;"","(not found)"))</f>
        <v/>
      </c>
      <c r="O161" s="49" t="str">
        <f>IF($F161="","",IFERROR(INDEX(Batches!$B$2:$B$301,MATCH($F161,Batches!$A$2:$A$301,0))&amp;"","(not found)"))</f>
        <v/>
      </c>
      <c r="P161" s="49" t="str">
        <f>IF(COUNTA($A161:$L161)=0,"",IF($A161="","Missing: entry ID",IF(COUNTIF($A$2:$A$2001,$A161)&gt;1,"Duplicate entry ID",IF(NOT(ISNUMBER($B161)),"Missing or invalid: date",IF($C161="","Missing: type",IF($D161="","Missing: SKU",IF(NOT(ISNUMBER($E161)),"Missing: qty",IF($F161="","Missing: lot",IF($I161="","Missing: source link",IF(COUNTIF(Config!$A$15:$A$34,$C161)=0,"Unsupported type",IF(COUNTIF(Products!$A$2:$A$101,$D161)=0,"Unknown SKU",IF(COUNTIFS(Batches!$A$2:$A$301,$F161,Batches!$B$2:$B$301,$D161)=0,"Unknown lot for this SKU",IF(AND($C161="Adjustment",$G161=""),"Missing: reason",IF(AND($G161&lt;&gt;"",COUNTIF(Config!$B$15:$B$34,$G161)=0),"Unsupported reason",IF(OR(INT($E161)&lt;&gt;$E161,AND(OR($C161="Receipt",$C161="Shipment"),$E161&lt;=0),AND($C161="Adjustment",$E161=0)),"Invalid qty",IF($B161&gt;Config!$B$4,"Date after the as-of date",IF($B161&lt;Config!$B$5,"Date before the opening balance date","OK")))))))))))))))))</f>
        <v/>
      </c>
    </row>
    <row r="162">
      <c r="A162" s="46" t="n"/>
      <c r="B162" s="54" t="n"/>
      <c r="C162" s="46" t="n"/>
      <c r="D162" s="46" t="n"/>
      <c r="E162" s="55" t="n"/>
      <c r="F162" s="46" t="n"/>
      <c r="G162" s="46" t="n"/>
      <c r="H162" s="46" t="n"/>
      <c r="I162" s="46" t="n"/>
      <c r="J162" s="46" t="n"/>
      <c r="K162" s="46" t="n"/>
      <c r="L162" s="46" t="n"/>
      <c r="M162" s="51" t="str">
        <f>IF(NOT(ISNUMBER($E162)),"",IF($C162="Receipt",$E162,IF($C162="Shipment",-$E162,IF($C162="Adjustment",$E162,0))))</f>
        <v/>
      </c>
      <c r="N162" s="49" t="str">
        <f>IF($D162="","",IFERROR(INDEX(Products!$B$2:$B$101,MATCH($D162,Products!$A$2:$A$101,0))&amp;"","(not found)"))</f>
        <v/>
      </c>
      <c r="O162" s="49" t="str">
        <f>IF($F162="","",IFERROR(INDEX(Batches!$B$2:$B$301,MATCH($F162,Batches!$A$2:$A$301,0))&amp;"","(not found)"))</f>
        <v/>
      </c>
      <c r="P162" s="49" t="str">
        <f>IF(COUNTA($A162:$L162)=0,"",IF($A162="","Missing: entry ID",IF(COUNTIF($A$2:$A$2001,$A162)&gt;1,"Duplicate entry ID",IF(NOT(ISNUMBER($B162)),"Missing or invalid: date",IF($C162="","Missing: type",IF($D162="","Missing: SKU",IF(NOT(ISNUMBER($E162)),"Missing: qty",IF($F162="","Missing: lot",IF($I162="","Missing: source link",IF(COUNTIF(Config!$A$15:$A$34,$C162)=0,"Unsupported type",IF(COUNTIF(Products!$A$2:$A$101,$D162)=0,"Unknown SKU",IF(COUNTIFS(Batches!$A$2:$A$301,$F162,Batches!$B$2:$B$301,$D162)=0,"Unknown lot for this SKU",IF(AND($C162="Adjustment",$G162=""),"Missing: reason",IF(AND($G162&lt;&gt;"",COUNTIF(Config!$B$15:$B$34,$G162)=0),"Unsupported reason",IF(OR(INT($E162)&lt;&gt;$E162,AND(OR($C162="Receipt",$C162="Shipment"),$E162&lt;=0),AND($C162="Adjustment",$E162=0)),"Invalid qty",IF($B162&gt;Config!$B$4,"Date after the as-of date",IF($B162&lt;Config!$B$5,"Date before the opening balance date","OK")))))))))))))))))</f>
        <v/>
      </c>
    </row>
    <row r="163">
      <c r="A163" s="46" t="n"/>
      <c r="B163" s="54" t="n"/>
      <c r="C163" s="46" t="n"/>
      <c r="D163" s="46" t="n"/>
      <c r="E163" s="55" t="n"/>
      <c r="F163" s="46" t="n"/>
      <c r="G163" s="46" t="n"/>
      <c r="H163" s="46" t="n"/>
      <c r="I163" s="46" t="n"/>
      <c r="J163" s="46" t="n"/>
      <c r="K163" s="46" t="n"/>
      <c r="L163" s="46" t="n"/>
      <c r="M163" s="51" t="str">
        <f>IF(NOT(ISNUMBER($E163)),"",IF($C163="Receipt",$E163,IF($C163="Shipment",-$E163,IF($C163="Adjustment",$E163,0))))</f>
        <v/>
      </c>
      <c r="N163" s="49" t="str">
        <f>IF($D163="","",IFERROR(INDEX(Products!$B$2:$B$101,MATCH($D163,Products!$A$2:$A$101,0))&amp;"","(not found)"))</f>
        <v/>
      </c>
      <c r="O163" s="49" t="str">
        <f>IF($F163="","",IFERROR(INDEX(Batches!$B$2:$B$301,MATCH($F163,Batches!$A$2:$A$301,0))&amp;"","(not found)"))</f>
        <v/>
      </c>
      <c r="P163" s="49" t="str">
        <f>IF(COUNTA($A163:$L163)=0,"",IF($A163="","Missing: entry ID",IF(COUNTIF($A$2:$A$2001,$A163)&gt;1,"Duplicate entry ID",IF(NOT(ISNUMBER($B163)),"Missing or invalid: date",IF($C163="","Missing: type",IF($D163="","Missing: SKU",IF(NOT(ISNUMBER($E163)),"Missing: qty",IF($F163="","Missing: lot",IF($I163="","Missing: source link",IF(COUNTIF(Config!$A$15:$A$34,$C163)=0,"Unsupported type",IF(COUNTIF(Products!$A$2:$A$101,$D163)=0,"Unknown SKU",IF(COUNTIFS(Batches!$A$2:$A$301,$F163,Batches!$B$2:$B$301,$D163)=0,"Unknown lot for this SKU",IF(AND($C163="Adjustment",$G163=""),"Missing: reason",IF(AND($G163&lt;&gt;"",COUNTIF(Config!$B$15:$B$34,$G163)=0),"Unsupported reason",IF(OR(INT($E163)&lt;&gt;$E163,AND(OR($C163="Receipt",$C163="Shipment"),$E163&lt;=0),AND($C163="Adjustment",$E163=0)),"Invalid qty",IF($B163&gt;Config!$B$4,"Date after the as-of date",IF($B163&lt;Config!$B$5,"Date before the opening balance date","OK")))))))))))))))))</f>
        <v/>
      </c>
    </row>
    <row r="164">
      <c r="A164" s="46" t="n"/>
      <c r="B164" s="54" t="n"/>
      <c r="C164" s="46" t="n"/>
      <c r="D164" s="46" t="n"/>
      <c r="E164" s="55" t="n"/>
      <c r="F164" s="46" t="n"/>
      <c r="G164" s="46" t="n"/>
      <c r="H164" s="46" t="n"/>
      <c r="I164" s="46" t="n"/>
      <c r="J164" s="46" t="n"/>
      <c r="K164" s="46" t="n"/>
      <c r="L164" s="46" t="n"/>
      <c r="M164" s="51" t="str">
        <f>IF(NOT(ISNUMBER($E164)),"",IF($C164="Receipt",$E164,IF($C164="Shipment",-$E164,IF($C164="Adjustment",$E164,0))))</f>
        <v/>
      </c>
      <c r="N164" s="49" t="str">
        <f>IF($D164="","",IFERROR(INDEX(Products!$B$2:$B$101,MATCH($D164,Products!$A$2:$A$101,0))&amp;"","(not found)"))</f>
        <v/>
      </c>
      <c r="O164" s="49" t="str">
        <f>IF($F164="","",IFERROR(INDEX(Batches!$B$2:$B$301,MATCH($F164,Batches!$A$2:$A$301,0))&amp;"","(not found)"))</f>
        <v/>
      </c>
      <c r="P164" s="49" t="str">
        <f>IF(COUNTA($A164:$L164)=0,"",IF($A164="","Missing: entry ID",IF(COUNTIF($A$2:$A$2001,$A164)&gt;1,"Duplicate entry ID",IF(NOT(ISNUMBER($B164)),"Missing or invalid: date",IF($C164="","Missing: type",IF($D164="","Missing: SKU",IF(NOT(ISNUMBER($E164)),"Missing: qty",IF($F164="","Missing: lot",IF($I164="","Missing: source link",IF(COUNTIF(Config!$A$15:$A$34,$C164)=0,"Unsupported type",IF(COUNTIF(Products!$A$2:$A$101,$D164)=0,"Unknown SKU",IF(COUNTIFS(Batches!$A$2:$A$301,$F164,Batches!$B$2:$B$301,$D164)=0,"Unknown lot for this SKU",IF(AND($C164="Adjustment",$G164=""),"Missing: reason",IF(AND($G164&lt;&gt;"",COUNTIF(Config!$B$15:$B$34,$G164)=0),"Unsupported reason",IF(OR(INT($E164)&lt;&gt;$E164,AND(OR($C164="Receipt",$C164="Shipment"),$E164&lt;=0),AND($C164="Adjustment",$E164=0)),"Invalid qty",IF($B164&gt;Config!$B$4,"Date after the as-of date",IF($B164&lt;Config!$B$5,"Date before the opening balance date","OK")))))))))))))))))</f>
        <v/>
      </c>
    </row>
    <row r="165">
      <c r="A165" s="46" t="n"/>
      <c r="B165" s="54" t="n"/>
      <c r="C165" s="46" t="n"/>
      <c r="D165" s="46" t="n"/>
      <c r="E165" s="55" t="n"/>
      <c r="F165" s="46" t="n"/>
      <c r="G165" s="46" t="n"/>
      <c r="H165" s="46" t="n"/>
      <c r="I165" s="46" t="n"/>
      <c r="J165" s="46" t="n"/>
      <c r="K165" s="46" t="n"/>
      <c r="L165" s="46" t="n"/>
      <c r="M165" s="51" t="str">
        <f>IF(NOT(ISNUMBER($E165)),"",IF($C165="Receipt",$E165,IF($C165="Shipment",-$E165,IF($C165="Adjustment",$E165,0))))</f>
        <v/>
      </c>
      <c r="N165" s="49" t="str">
        <f>IF($D165="","",IFERROR(INDEX(Products!$B$2:$B$101,MATCH($D165,Products!$A$2:$A$101,0))&amp;"","(not found)"))</f>
        <v/>
      </c>
      <c r="O165" s="49" t="str">
        <f>IF($F165="","",IFERROR(INDEX(Batches!$B$2:$B$301,MATCH($F165,Batches!$A$2:$A$301,0))&amp;"","(not found)"))</f>
        <v/>
      </c>
      <c r="P165" s="49" t="str">
        <f>IF(COUNTA($A165:$L165)=0,"",IF($A165="","Missing: entry ID",IF(COUNTIF($A$2:$A$2001,$A165)&gt;1,"Duplicate entry ID",IF(NOT(ISNUMBER($B165)),"Missing or invalid: date",IF($C165="","Missing: type",IF($D165="","Missing: SKU",IF(NOT(ISNUMBER($E165)),"Missing: qty",IF($F165="","Missing: lot",IF($I165="","Missing: source link",IF(COUNTIF(Config!$A$15:$A$34,$C165)=0,"Unsupported type",IF(COUNTIF(Products!$A$2:$A$101,$D165)=0,"Unknown SKU",IF(COUNTIFS(Batches!$A$2:$A$301,$F165,Batches!$B$2:$B$301,$D165)=0,"Unknown lot for this SKU",IF(AND($C165="Adjustment",$G165=""),"Missing: reason",IF(AND($G165&lt;&gt;"",COUNTIF(Config!$B$15:$B$34,$G165)=0),"Unsupported reason",IF(OR(INT($E165)&lt;&gt;$E165,AND(OR($C165="Receipt",$C165="Shipment"),$E165&lt;=0),AND($C165="Adjustment",$E165=0)),"Invalid qty",IF($B165&gt;Config!$B$4,"Date after the as-of date",IF($B165&lt;Config!$B$5,"Date before the opening balance date","OK")))))))))))))))))</f>
        <v/>
      </c>
    </row>
    <row r="166">
      <c r="A166" s="46" t="n"/>
      <c r="B166" s="54" t="n"/>
      <c r="C166" s="46" t="n"/>
      <c r="D166" s="46" t="n"/>
      <c r="E166" s="55" t="n"/>
      <c r="F166" s="46" t="n"/>
      <c r="G166" s="46" t="n"/>
      <c r="H166" s="46" t="n"/>
      <c r="I166" s="46" t="n"/>
      <c r="J166" s="46" t="n"/>
      <c r="K166" s="46" t="n"/>
      <c r="L166" s="46" t="n"/>
      <c r="M166" s="51" t="str">
        <f>IF(NOT(ISNUMBER($E166)),"",IF($C166="Receipt",$E166,IF($C166="Shipment",-$E166,IF($C166="Adjustment",$E166,0))))</f>
        <v/>
      </c>
      <c r="N166" s="49" t="str">
        <f>IF($D166="","",IFERROR(INDEX(Products!$B$2:$B$101,MATCH($D166,Products!$A$2:$A$101,0))&amp;"","(not found)"))</f>
        <v/>
      </c>
      <c r="O166" s="49" t="str">
        <f>IF($F166="","",IFERROR(INDEX(Batches!$B$2:$B$301,MATCH($F166,Batches!$A$2:$A$301,0))&amp;"","(not found)"))</f>
        <v/>
      </c>
      <c r="P166" s="49" t="str">
        <f>IF(COUNTA($A166:$L166)=0,"",IF($A166="","Missing: entry ID",IF(COUNTIF($A$2:$A$2001,$A166)&gt;1,"Duplicate entry ID",IF(NOT(ISNUMBER($B166)),"Missing or invalid: date",IF($C166="","Missing: type",IF($D166="","Missing: SKU",IF(NOT(ISNUMBER($E166)),"Missing: qty",IF($F166="","Missing: lot",IF($I166="","Missing: source link",IF(COUNTIF(Config!$A$15:$A$34,$C166)=0,"Unsupported type",IF(COUNTIF(Products!$A$2:$A$101,$D166)=0,"Unknown SKU",IF(COUNTIFS(Batches!$A$2:$A$301,$F166,Batches!$B$2:$B$301,$D166)=0,"Unknown lot for this SKU",IF(AND($C166="Adjustment",$G166=""),"Missing: reason",IF(AND($G166&lt;&gt;"",COUNTIF(Config!$B$15:$B$34,$G166)=0),"Unsupported reason",IF(OR(INT($E166)&lt;&gt;$E166,AND(OR($C166="Receipt",$C166="Shipment"),$E166&lt;=0),AND($C166="Adjustment",$E166=0)),"Invalid qty",IF($B166&gt;Config!$B$4,"Date after the as-of date",IF($B166&lt;Config!$B$5,"Date before the opening balance date","OK")))))))))))))))))</f>
        <v/>
      </c>
    </row>
    <row r="167">
      <c r="A167" s="46" t="n"/>
      <c r="B167" s="54" t="n"/>
      <c r="C167" s="46" t="n"/>
      <c r="D167" s="46" t="n"/>
      <c r="E167" s="55" t="n"/>
      <c r="F167" s="46" t="n"/>
      <c r="G167" s="46" t="n"/>
      <c r="H167" s="46" t="n"/>
      <c r="I167" s="46" t="n"/>
      <c r="J167" s="46" t="n"/>
      <c r="K167" s="46" t="n"/>
      <c r="L167" s="46" t="n"/>
      <c r="M167" s="51" t="str">
        <f>IF(NOT(ISNUMBER($E167)),"",IF($C167="Receipt",$E167,IF($C167="Shipment",-$E167,IF($C167="Adjustment",$E167,0))))</f>
        <v/>
      </c>
      <c r="N167" s="49" t="str">
        <f>IF($D167="","",IFERROR(INDEX(Products!$B$2:$B$101,MATCH($D167,Products!$A$2:$A$101,0))&amp;"","(not found)"))</f>
        <v/>
      </c>
      <c r="O167" s="49" t="str">
        <f>IF($F167="","",IFERROR(INDEX(Batches!$B$2:$B$301,MATCH($F167,Batches!$A$2:$A$301,0))&amp;"","(not found)"))</f>
        <v/>
      </c>
      <c r="P167" s="49" t="str">
        <f>IF(COUNTA($A167:$L167)=0,"",IF($A167="","Missing: entry ID",IF(COUNTIF($A$2:$A$2001,$A167)&gt;1,"Duplicate entry ID",IF(NOT(ISNUMBER($B167)),"Missing or invalid: date",IF($C167="","Missing: type",IF($D167="","Missing: SKU",IF(NOT(ISNUMBER($E167)),"Missing: qty",IF($F167="","Missing: lot",IF($I167="","Missing: source link",IF(COUNTIF(Config!$A$15:$A$34,$C167)=0,"Unsupported type",IF(COUNTIF(Products!$A$2:$A$101,$D167)=0,"Unknown SKU",IF(COUNTIFS(Batches!$A$2:$A$301,$F167,Batches!$B$2:$B$301,$D167)=0,"Unknown lot for this SKU",IF(AND($C167="Adjustment",$G167=""),"Missing: reason",IF(AND($G167&lt;&gt;"",COUNTIF(Config!$B$15:$B$34,$G167)=0),"Unsupported reason",IF(OR(INT($E167)&lt;&gt;$E167,AND(OR($C167="Receipt",$C167="Shipment"),$E167&lt;=0),AND($C167="Adjustment",$E167=0)),"Invalid qty",IF($B167&gt;Config!$B$4,"Date after the as-of date",IF($B167&lt;Config!$B$5,"Date before the opening balance date","OK")))))))))))))))))</f>
        <v/>
      </c>
    </row>
    <row r="168">
      <c r="A168" s="46" t="n"/>
      <c r="B168" s="54" t="n"/>
      <c r="C168" s="46" t="n"/>
      <c r="D168" s="46" t="n"/>
      <c r="E168" s="55" t="n"/>
      <c r="F168" s="46" t="n"/>
      <c r="G168" s="46" t="n"/>
      <c r="H168" s="46" t="n"/>
      <c r="I168" s="46" t="n"/>
      <c r="J168" s="46" t="n"/>
      <c r="K168" s="46" t="n"/>
      <c r="L168" s="46" t="n"/>
      <c r="M168" s="51" t="str">
        <f>IF(NOT(ISNUMBER($E168)),"",IF($C168="Receipt",$E168,IF($C168="Shipment",-$E168,IF($C168="Adjustment",$E168,0))))</f>
        <v/>
      </c>
      <c r="N168" s="49" t="str">
        <f>IF($D168="","",IFERROR(INDEX(Products!$B$2:$B$101,MATCH($D168,Products!$A$2:$A$101,0))&amp;"","(not found)"))</f>
        <v/>
      </c>
      <c r="O168" s="49" t="str">
        <f>IF($F168="","",IFERROR(INDEX(Batches!$B$2:$B$301,MATCH($F168,Batches!$A$2:$A$301,0))&amp;"","(not found)"))</f>
        <v/>
      </c>
      <c r="P168" s="49" t="str">
        <f>IF(COUNTA($A168:$L168)=0,"",IF($A168="","Missing: entry ID",IF(COUNTIF($A$2:$A$2001,$A168)&gt;1,"Duplicate entry ID",IF(NOT(ISNUMBER($B168)),"Missing or invalid: date",IF($C168="","Missing: type",IF($D168="","Missing: SKU",IF(NOT(ISNUMBER($E168)),"Missing: qty",IF($F168="","Missing: lot",IF($I168="","Missing: source link",IF(COUNTIF(Config!$A$15:$A$34,$C168)=0,"Unsupported type",IF(COUNTIF(Products!$A$2:$A$101,$D168)=0,"Unknown SKU",IF(COUNTIFS(Batches!$A$2:$A$301,$F168,Batches!$B$2:$B$301,$D168)=0,"Unknown lot for this SKU",IF(AND($C168="Adjustment",$G168=""),"Missing: reason",IF(AND($G168&lt;&gt;"",COUNTIF(Config!$B$15:$B$34,$G168)=0),"Unsupported reason",IF(OR(INT($E168)&lt;&gt;$E168,AND(OR($C168="Receipt",$C168="Shipment"),$E168&lt;=0),AND($C168="Adjustment",$E168=0)),"Invalid qty",IF($B168&gt;Config!$B$4,"Date after the as-of date",IF($B168&lt;Config!$B$5,"Date before the opening balance date","OK")))))))))))))))))</f>
        <v/>
      </c>
    </row>
    <row r="169">
      <c r="A169" s="46" t="n"/>
      <c r="B169" s="54" t="n"/>
      <c r="C169" s="46" t="n"/>
      <c r="D169" s="46" t="n"/>
      <c r="E169" s="55" t="n"/>
      <c r="F169" s="46" t="n"/>
      <c r="G169" s="46" t="n"/>
      <c r="H169" s="46" t="n"/>
      <c r="I169" s="46" t="n"/>
      <c r="J169" s="46" t="n"/>
      <c r="K169" s="46" t="n"/>
      <c r="L169" s="46" t="n"/>
      <c r="M169" s="51" t="str">
        <f>IF(NOT(ISNUMBER($E169)),"",IF($C169="Receipt",$E169,IF($C169="Shipment",-$E169,IF($C169="Adjustment",$E169,0))))</f>
        <v/>
      </c>
      <c r="N169" s="49" t="str">
        <f>IF($D169="","",IFERROR(INDEX(Products!$B$2:$B$101,MATCH($D169,Products!$A$2:$A$101,0))&amp;"","(not found)"))</f>
        <v/>
      </c>
      <c r="O169" s="49" t="str">
        <f>IF($F169="","",IFERROR(INDEX(Batches!$B$2:$B$301,MATCH($F169,Batches!$A$2:$A$301,0))&amp;"","(not found)"))</f>
        <v/>
      </c>
      <c r="P169" s="49" t="str">
        <f>IF(COUNTA($A169:$L169)=0,"",IF($A169="","Missing: entry ID",IF(COUNTIF($A$2:$A$2001,$A169)&gt;1,"Duplicate entry ID",IF(NOT(ISNUMBER($B169)),"Missing or invalid: date",IF($C169="","Missing: type",IF($D169="","Missing: SKU",IF(NOT(ISNUMBER($E169)),"Missing: qty",IF($F169="","Missing: lot",IF($I169="","Missing: source link",IF(COUNTIF(Config!$A$15:$A$34,$C169)=0,"Unsupported type",IF(COUNTIF(Products!$A$2:$A$101,$D169)=0,"Unknown SKU",IF(COUNTIFS(Batches!$A$2:$A$301,$F169,Batches!$B$2:$B$301,$D169)=0,"Unknown lot for this SKU",IF(AND($C169="Adjustment",$G169=""),"Missing: reason",IF(AND($G169&lt;&gt;"",COUNTIF(Config!$B$15:$B$34,$G169)=0),"Unsupported reason",IF(OR(INT($E169)&lt;&gt;$E169,AND(OR($C169="Receipt",$C169="Shipment"),$E169&lt;=0),AND($C169="Adjustment",$E169=0)),"Invalid qty",IF($B169&gt;Config!$B$4,"Date after the as-of date",IF($B169&lt;Config!$B$5,"Date before the opening balance date","OK")))))))))))))))))</f>
        <v/>
      </c>
    </row>
    <row r="170">
      <c r="A170" s="46" t="n"/>
      <c r="B170" s="54" t="n"/>
      <c r="C170" s="46" t="n"/>
      <c r="D170" s="46" t="n"/>
      <c r="E170" s="55" t="n"/>
      <c r="F170" s="46" t="n"/>
      <c r="G170" s="46" t="n"/>
      <c r="H170" s="46" t="n"/>
      <c r="I170" s="46" t="n"/>
      <c r="J170" s="46" t="n"/>
      <c r="K170" s="46" t="n"/>
      <c r="L170" s="46" t="n"/>
      <c r="M170" s="51" t="str">
        <f>IF(NOT(ISNUMBER($E170)),"",IF($C170="Receipt",$E170,IF($C170="Shipment",-$E170,IF($C170="Adjustment",$E170,0))))</f>
        <v/>
      </c>
      <c r="N170" s="49" t="str">
        <f>IF($D170="","",IFERROR(INDEX(Products!$B$2:$B$101,MATCH($D170,Products!$A$2:$A$101,0))&amp;"","(not found)"))</f>
        <v/>
      </c>
      <c r="O170" s="49" t="str">
        <f>IF($F170="","",IFERROR(INDEX(Batches!$B$2:$B$301,MATCH($F170,Batches!$A$2:$A$301,0))&amp;"","(not found)"))</f>
        <v/>
      </c>
      <c r="P170" s="49" t="str">
        <f>IF(COUNTA($A170:$L170)=0,"",IF($A170="","Missing: entry ID",IF(COUNTIF($A$2:$A$2001,$A170)&gt;1,"Duplicate entry ID",IF(NOT(ISNUMBER($B170)),"Missing or invalid: date",IF($C170="","Missing: type",IF($D170="","Missing: SKU",IF(NOT(ISNUMBER($E170)),"Missing: qty",IF($F170="","Missing: lot",IF($I170="","Missing: source link",IF(COUNTIF(Config!$A$15:$A$34,$C170)=0,"Unsupported type",IF(COUNTIF(Products!$A$2:$A$101,$D170)=0,"Unknown SKU",IF(COUNTIFS(Batches!$A$2:$A$301,$F170,Batches!$B$2:$B$301,$D170)=0,"Unknown lot for this SKU",IF(AND($C170="Adjustment",$G170=""),"Missing: reason",IF(AND($G170&lt;&gt;"",COUNTIF(Config!$B$15:$B$34,$G170)=0),"Unsupported reason",IF(OR(INT($E170)&lt;&gt;$E170,AND(OR($C170="Receipt",$C170="Shipment"),$E170&lt;=0),AND($C170="Adjustment",$E170=0)),"Invalid qty",IF($B170&gt;Config!$B$4,"Date after the as-of date",IF($B170&lt;Config!$B$5,"Date before the opening balance date","OK")))))))))))))))))</f>
        <v/>
      </c>
    </row>
    <row r="171">
      <c r="A171" s="46" t="n"/>
      <c r="B171" s="54" t="n"/>
      <c r="C171" s="46" t="n"/>
      <c r="D171" s="46" t="n"/>
      <c r="E171" s="55" t="n"/>
      <c r="F171" s="46" t="n"/>
      <c r="G171" s="46" t="n"/>
      <c r="H171" s="46" t="n"/>
      <c r="I171" s="46" t="n"/>
      <c r="J171" s="46" t="n"/>
      <c r="K171" s="46" t="n"/>
      <c r="L171" s="46" t="n"/>
      <c r="M171" s="51" t="str">
        <f>IF(NOT(ISNUMBER($E171)),"",IF($C171="Receipt",$E171,IF($C171="Shipment",-$E171,IF($C171="Adjustment",$E171,0))))</f>
        <v/>
      </c>
      <c r="N171" s="49" t="str">
        <f>IF($D171="","",IFERROR(INDEX(Products!$B$2:$B$101,MATCH($D171,Products!$A$2:$A$101,0))&amp;"","(not found)"))</f>
        <v/>
      </c>
      <c r="O171" s="49" t="str">
        <f>IF($F171="","",IFERROR(INDEX(Batches!$B$2:$B$301,MATCH($F171,Batches!$A$2:$A$301,0))&amp;"","(not found)"))</f>
        <v/>
      </c>
      <c r="P171" s="49" t="str">
        <f>IF(COUNTA($A171:$L171)=0,"",IF($A171="","Missing: entry ID",IF(COUNTIF($A$2:$A$2001,$A171)&gt;1,"Duplicate entry ID",IF(NOT(ISNUMBER($B171)),"Missing or invalid: date",IF($C171="","Missing: type",IF($D171="","Missing: SKU",IF(NOT(ISNUMBER($E171)),"Missing: qty",IF($F171="","Missing: lot",IF($I171="","Missing: source link",IF(COUNTIF(Config!$A$15:$A$34,$C171)=0,"Unsupported type",IF(COUNTIF(Products!$A$2:$A$101,$D171)=0,"Unknown SKU",IF(COUNTIFS(Batches!$A$2:$A$301,$F171,Batches!$B$2:$B$301,$D171)=0,"Unknown lot for this SKU",IF(AND($C171="Adjustment",$G171=""),"Missing: reason",IF(AND($G171&lt;&gt;"",COUNTIF(Config!$B$15:$B$34,$G171)=0),"Unsupported reason",IF(OR(INT($E171)&lt;&gt;$E171,AND(OR($C171="Receipt",$C171="Shipment"),$E171&lt;=0),AND($C171="Adjustment",$E171=0)),"Invalid qty",IF($B171&gt;Config!$B$4,"Date after the as-of date",IF($B171&lt;Config!$B$5,"Date before the opening balance date","OK")))))))))))))))))</f>
        <v/>
      </c>
    </row>
    <row r="172">
      <c r="A172" s="46" t="n"/>
      <c r="B172" s="54" t="n"/>
      <c r="C172" s="46" t="n"/>
      <c r="D172" s="46" t="n"/>
      <c r="E172" s="55" t="n"/>
      <c r="F172" s="46" t="n"/>
      <c r="G172" s="46" t="n"/>
      <c r="H172" s="46" t="n"/>
      <c r="I172" s="46" t="n"/>
      <c r="J172" s="46" t="n"/>
      <c r="K172" s="46" t="n"/>
      <c r="L172" s="46" t="n"/>
      <c r="M172" s="51" t="str">
        <f>IF(NOT(ISNUMBER($E172)),"",IF($C172="Receipt",$E172,IF($C172="Shipment",-$E172,IF($C172="Adjustment",$E172,0))))</f>
        <v/>
      </c>
      <c r="N172" s="49" t="str">
        <f>IF($D172="","",IFERROR(INDEX(Products!$B$2:$B$101,MATCH($D172,Products!$A$2:$A$101,0))&amp;"","(not found)"))</f>
        <v/>
      </c>
      <c r="O172" s="49" t="str">
        <f>IF($F172="","",IFERROR(INDEX(Batches!$B$2:$B$301,MATCH($F172,Batches!$A$2:$A$301,0))&amp;"","(not found)"))</f>
        <v/>
      </c>
      <c r="P172" s="49" t="str">
        <f>IF(COUNTA($A172:$L172)=0,"",IF($A172="","Missing: entry ID",IF(COUNTIF($A$2:$A$2001,$A172)&gt;1,"Duplicate entry ID",IF(NOT(ISNUMBER($B172)),"Missing or invalid: date",IF($C172="","Missing: type",IF($D172="","Missing: SKU",IF(NOT(ISNUMBER($E172)),"Missing: qty",IF($F172="","Missing: lot",IF($I172="","Missing: source link",IF(COUNTIF(Config!$A$15:$A$34,$C172)=0,"Unsupported type",IF(COUNTIF(Products!$A$2:$A$101,$D172)=0,"Unknown SKU",IF(COUNTIFS(Batches!$A$2:$A$301,$F172,Batches!$B$2:$B$301,$D172)=0,"Unknown lot for this SKU",IF(AND($C172="Adjustment",$G172=""),"Missing: reason",IF(AND($G172&lt;&gt;"",COUNTIF(Config!$B$15:$B$34,$G172)=0),"Unsupported reason",IF(OR(INT($E172)&lt;&gt;$E172,AND(OR($C172="Receipt",$C172="Shipment"),$E172&lt;=0),AND($C172="Adjustment",$E172=0)),"Invalid qty",IF($B172&gt;Config!$B$4,"Date after the as-of date",IF($B172&lt;Config!$B$5,"Date before the opening balance date","OK")))))))))))))))))</f>
        <v/>
      </c>
    </row>
    <row r="173">
      <c r="A173" s="46" t="n"/>
      <c r="B173" s="54" t="n"/>
      <c r="C173" s="46" t="n"/>
      <c r="D173" s="46" t="n"/>
      <c r="E173" s="55" t="n"/>
      <c r="F173" s="46" t="n"/>
      <c r="G173" s="46" t="n"/>
      <c r="H173" s="46" t="n"/>
      <c r="I173" s="46" t="n"/>
      <c r="J173" s="46" t="n"/>
      <c r="K173" s="46" t="n"/>
      <c r="L173" s="46" t="n"/>
      <c r="M173" s="51" t="str">
        <f>IF(NOT(ISNUMBER($E173)),"",IF($C173="Receipt",$E173,IF($C173="Shipment",-$E173,IF($C173="Adjustment",$E173,0))))</f>
        <v/>
      </c>
      <c r="N173" s="49" t="str">
        <f>IF($D173="","",IFERROR(INDEX(Products!$B$2:$B$101,MATCH($D173,Products!$A$2:$A$101,0))&amp;"","(not found)"))</f>
        <v/>
      </c>
      <c r="O173" s="49" t="str">
        <f>IF($F173="","",IFERROR(INDEX(Batches!$B$2:$B$301,MATCH($F173,Batches!$A$2:$A$301,0))&amp;"","(not found)"))</f>
        <v/>
      </c>
      <c r="P173" s="49" t="str">
        <f>IF(COUNTA($A173:$L173)=0,"",IF($A173="","Missing: entry ID",IF(COUNTIF($A$2:$A$2001,$A173)&gt;1,"Duplicate entry ID",IF(NOT(ISNUMBER($B173)),"Missing or invalid: date",IF($C173="","Missing: type",IF($D173="","Missing: SKU",IF(NOT(ISNUMBER($E173)),"Missing: qty",IF($F173="","Missing: lot",IF($I173="","Missing: source link",IF(COUNTIF(Config!$A$15:$A$34,$C173)=0,"Unsupported type",IF(COUNTIF(Products!$A$2:$A$101,$D173)=0,"Unknown SKU",IF(COUNTIFS(Batches!$A$2:$A$301,$F173,Batches!$B$2:$B$301,$D173)=0,"Unknown lot for this SKU",IF(AND($C173="Adjustment",$G173=""),"Missing: reason",IF(AND($G173&lt;&gt;"",COUNTIF(Config!$B$15:$B$34,$G173)=0),"Unsupported reason",IF(OR(INT($E173)&lt;&gt;$E173,AND(OR($C173="Receipt",$C173="Shipment"),$E173&lt;=0),AND($C173="Adjustment",$E173=0)),"Invalid qty",IF($B173&gt;Config!$B$4,"Date after the as-of date",IF($B173&lt;Config!$B$5,"Date before the opening balance date","OK")))))))))))))))))</f>
        <v/>
      </c>
    </row>
    <row r="174">
      <c r="A174" s="46" t="n"/>
      <c r="B174" s="54" t="n"/>
      <c r="C174" s="46" t="n"/>
      <c r="D174" s="46" t="n"/>
      <c r="E174" s="55" t="n"/>
      <c r="F174" s="46" t="n"/>
      <c r="G174" s="46" t="n"/>
      <c r="H174" s="46" t="n"/>
      <c r="I174" s="46" t="n"/>
      <c r="J174" s="46" t="n"/>
      <c r="K174" s="46" t="n"/>
      <c r="L174" s="46" t="n"/>
      <c r="M174" s="51" t="str">
        <f>IF(NOT(ISNUMBER($E174)),"",IF($C174="Receipt",$E174,IF($C174="Shipment",-$E174,IF($C174="Adjustment",$E174,0))))</f>
        <v/>
      </c>
      <c r="N174" s="49" t="str">
        <f>IF($D174="","",IFERROR(INDEX(Products!$B$2:$B$101,MATCH($D174,Products!$A$2:$A$101,0))&amp;"","(not found)"))</f>
        <v/>
      </c>
      <c r="O174" s="49" t="str">
        <f>IF($F174="","",IFERROR(INDEX(Batches!$B$2:$B$301,MATCH($F174,Batches!$A$2:$A$301,0))&amp;"","(not found)"))</f>
        <v/>
      </c>
      <c r="P174" s="49" t="str">
        <f>IF(COUNTA($A174:$L174)=0,"",IF($A174="","Missing: entry ID",IF(COUNTIF($A$2:$A$2001,$A174)&gt;1,"Duplicate entry ID",IF(NOT(ISNUMBER($B174)),"Missing or invalid: date",IF($C174="","Missing: type",IF($D174="","Missing: SKU",IF(NOT(ISNUMBER($E174)),"Missing: qty",IF($F174="","Missing: lot",IF($I174="","Missing: source link",IF(COUNTIF(Config!$A$15:$A$34,$C174)=0,"Unsupported type",IF(COUNTIF(Products!$A$2:$A$101,$D174)=0,"Unknown SKU",IF(COUNTIFS(Batches!$A$2:$A$301,$F174,Batches!$B$2:$B$301,$D174)=0,"Unknown lot for this SKU",IF(AND($C174="Adjustment",$G174=""),"Missing: reason",IF(AND($G174&lt;&gt;"",COUNTIF(Config!$B$15:$B$34,$G174)=0),"Unsupported reason",IF(OR(INT($E174)&lt;&gt;$E174,AND(OR($C174="Receipt",$C174="Shipment"),$E174&lt;=0),AND($C174="Adjustment",$E174=0)),"Invalid qty",IF($B174&gt;Config!$B$4,"Date after the as-of date",IF($B174&lt;Config!$B$5,"Date before the opening balance date","OK")))))))))))))))))</f>
        <v/>
      </c>
    </row>
    <row r="175">
      <c r="A175" s="46" t="n"/>
      <c r="B175" s="54" t="n"/>
      <c r="C175" s="46" t="n"/>
      <c r="D175" s="46" t="n"/>
      <c r="E175" s="55" t="n"/>
      <c r="F175" s="46" t="n"/>
      <c r="G175" s="46" t="n"/>
      <c r="H175" s="46" t="n"/>
      <c r="I175" s="46" t="n"/>
      <c r="J175" s="46" t="n"/>
      <c r="K175" s="46" t="n"/>
      <c r="L175" s="46" t="n"/>
      <c r="M175" s="51" t="str">
        <f>IF(NOT(ISNUMBER($E175)),"",IF($C175="Receipt",$E175,IF($C175="Shipment",-$E175,IF($C175="Adjustment",$E175,0))))</f>
        <v/>
      </c>
      <c r="N175" s="49" t="str">
        <f>IF($D175="","",IFERROR(INDEX(Products!$B$2:$B$101,MATCH($D175,Products!$A$2:$A$101,0))&amp;"","(not found)"))</f>
        <v/>
      </c>
      <c r="O175" s="49" t="str">
        <f>IF($F175="","",IFERROR(INDEX(Batches!$B$2:$B$301,MATCH($F175,Batches!$A$2:$A$301,0))&amp;"","(not found)"))</f>
        <v/>
      </c>
      <c r="P175" s="49" t="str">
        <f>IF(COUNTA($A175:$L175)=0,"",IF($A175="","Missing: entry ID",IF(COUNTIF($A$2:$A$2001,$A175)&gt;1,"Duplicate entry ID",IF(NOT(ISNUMBER($B175)),"Missing or invalid: date",IF($C175="","Missing: type",IF($D175="","Missing: SKU",IF(NOT(ISNUMBER($E175)),"Missing: qty",IF($F175="","Missing: lot",IF($I175="","Missing: source link",IF(COUNTIF(Config!$A$15:$A$34,$C175)=0,"Unsupported type",IF(COUNTIF(Products!$A$2:$A$101,$D175)=0,"Unknown SKU",IF(COUNTIFS(Batches!$A$2:$A$301,$F175,Batches!$B$2:$B$301,$D175)=0,"Unknown lot for this SKU",IF(AND($C175="Adjustment",$G175=""),"Missing: reason",IF(AND($G175&lt;&gt;"",COUNTIF(Config!$B$15:$B$34,$G175)=0),"Unsupported reason",IF(OR(INT($E175)&lt;&gt;$E175,AND(OR($C175="Receipt",$C175="Shipment"),$E175&lt;=0),AND($C175="Adjustment",$E175=0)),"Invalid qty",IF($B175&gt;Config!$B$4,"Date after the as-of date",IF($B175&lt;Config!$B$5,"Date before the opening balance date","OK")))))))))))))))))</f>
        <v/>
      </c>
    </row>
    <row r="176">
      <c r="A176" s="46" t="n"/>
      <c r="B176" s="54" t="n"/>
      <c r="C176" s="46" t="n"/>
      <c r="D176" s="46" t="n"/>
      <c r="E176" s="55" t="n"/>
      <c r="F176" s="46" t="n"/>
      <c r="G176" s="46" t="n"/>
      <c r="H176" s="46" t="n"/>
      <c r="I176" s="46" t="n"/>
      <c r="J176" s="46" t="n"/>
      <c r="K176" s="46" t="n"/>
      <c r="L176" s="46" t="n"/>
      <c r="M176" s="51" t="str">
        <f>IF(NOT(ISNUMBER($E176)),"",IF($C176="Receipt",$E176,IF($C176="Shipment",-$E176,IF($C176="Adjustment",$E176,0))))</f>
        <v/>
      </c>
      <c r="N176" s="49" t="str">
        <f>IF($D176="","",IFERROR(INDEX(Products!$B$2:$B$101,MATCH($D176,Products!$A$2:$A$101,0))&amp;"","(not found)"))</f>
        <v/>
      </c>
      <c r="O176" s="49" t="str">
        <f>IF($F176="","",IFERROR(INDEX(Batches!$B$2:$B$301,MATCH($F176,Batches!$A$2:$A$301,0))&amp;"","(not found)"))</f>
        <v/>
      </c>
      <c r="P176" s="49" t="str">
        <f>IF(COUNTA($A176:$L176)=0,"",IF($A176="","Missing: entry ID",IF(COUNTIF($A$2:$A$2001,$A176)&gt;1,"Duplicate entry ID",IF(NOT(ISNUMBER($B176)),"Missing or invalid: date",IF($C176="","Missing: type",IF($D176="","Missing: SKU",IF(NOT(ISNUMBER($E176)),"Missing: qty",IF($F176="","Missing: lot",IF($I176="","Missing: source link",IF(COUNTIF(Config!$A$15:$A$34,$C176)=0,"Unsupported type",IF(COUNTIF(Products!$A$2:$A$101,$D176)=0,"Unknown SKU",IF(COUNTIFS(Batches!$A$2:$A$301,$F176,Batches!$B$2:$B$301,$D176)=0,"Unknown lot for this SKU",IF(AND($C176="Adjustment",$G176=""),"Missing: reason",IF(AND($G176&lt;&gt;"",COUNTIF(Config!$B$15:$B$34,$G176)=0),"Unsupported reason",IF(OR(INT($E176)&lt;&gt;$E176,AND(OR($C176="Receipt",$C176="Shipment"),$E176&lt;=0),AND($C176="Adjustment",$E176=0)),"Invalid qty",IF($B176&gt;Config!$B$4,"Date after the as-of date",IF($B176&lt;Config!$B$5,"Date before the opening balance date","OK")))))))))))))))))</f>
        <v/>
      </c>
    </row>
    <row r="177">
      <c r="A177" s="46" t="n"/>
      <c r="B177" s="54" t="n"/>
      <c r="C177" s="46" t="n"/>
      <c r="D177" s="46" t="n"/>
      <c r="E177" s="55" t="n"/>
      <c r="F177" s="46" t="n"/>
      <c r="G177" s="46" t="n"/>
      <c r="H177" s="46" t="n"/>
      <c r="I177" s="46" t="n"/>
      <c r="J177" s="46" t="n"/>
      <c r="K177" s="46" t="n"/>
      <c r="L177" s="46" t="n"/>
      <c r="M177" s="51" t="str">
        <f>IF(NOT(ISNUMBER($E177)),"",IF($C177="Receipt",$E177,IF($C177="Shipment",-$E177,IF($C177="Adjustment",$E177,0))))</f>
        <v/>
      </c>
      <c r="N177" s="49" t="str">
        <f>IF($D177="","",IFERROR(INDEX(Products!$B$2:$B$101,MATCH($D177,Products!$A$2:$A$101,0))&amp;"","(not found)"))</f>
        <v/>
      </c>
      <c r="O177" s="49" t="str">
        <f>IF($F177="","",IFERROR(INDEX(Batches!$B$2:$B$301,MATCH($F177,Batches!$A$2:$A$301,0))&amp;"","(not found)"))</f>
        <v/>
      </c>
      <c r="P177" s="49" t="str">
        <f>IF(COUNTA($A177:$L177)=0,"",IF($A177="","Missing: entry ID",IF(COUNTIF($A$2:$A$2001,$A177)&gt;1,"Duplicate entry ID",IF(NOT(ISNUMBER($B177)),"Missing or invalid: date",IF($C177="","Missing: type",IF($D177="","Missing: SKU",IF(NOT(ISNUMBER($E177)),"Missing: qty",IF($F177="","Missing: lot",IF($I177="","Missing: source link",IF(COUNTIF(Config!$A$15:$A$34,$C177)=0,"Unsupported type",IF(COUNTIF(Products!$A$2:$A$101,$D177)=0,"Unknown SKU",IF(COUNTIFS(Batches!$A$2:$A$301,$F177,Batches!$B$2:$B$301,$D177)=0,"Unknown lot for this SKU",IF(AND($C177="Adjustment",$G177=""),"Missing: reason",IF(AND($G177&lt;&gt;"",COUNTIF(Config!$B$15:$B$34,$G177)=0),"Unsupported reason",IF(OR(INT($E177)&lt;&gt;$E177,AND(OR($C177="Receipt",$C177="Shipment"),$E177&lt;=0),AND($C177="Adjustment",$E177=0)),"Invalid qty",IF($B177&gt;Config!$B$4,"Date after the as-of date",IF($B177&lt;Config!$B$5,"Date before the opening balance date","OK")))))))))))))))))</f>
        <v/>
      </c>
    </row>
    <row r="178">
      <c r="A178" s="46" t="n"/>
      <c r="B178" s="54" t="n"/>
      <c r="C178" s="46" t="n"/>
      <c r="D178" s="46" t="n"/>
      <c r="E178" s="55" t="n"/>
      <c r="F178" s="46" t="n"/>
      <c r="G178" s="46" t="n"/>
      <c r="H178" s="46" t="n"/>
      <c r="I178" s="46" t="n"/>
      <c r="J178" s="46" t="n"/>
      <c r="K178" s="46" t="n"/>
      <c r="L178" s="46" t="n"/>
      <c r="M178" s="51" t="str">
        <f>IF(NOT(ISNUMBER($E178)),"",IF($C178="Receipt",$E178,IF($C178="Shipment",-$E178,IF($C178="Adjustment",$E178,0))))</f>
        <v/>
      </c>
      <c r="N178" s="49" t="str">
        <f>IF($D178="","",IFERROR(INDEX(Products!$B$2:$B$101,MATCH($D178,Products!$A$2:$A$101,0))&amp;"","(not found)"))</f>
        <v/>
      </c>
      <c r="O178" s="49" t="str">
        <f>IF($F178="","",IFERROR(INDEX(Batches!$B$2:$B$301,MATCH($F178,Batches!$A$2:$A$301,0))&amp;"","(not found)"))</f>
        <v/>
      </c>
      <c r="P178" s="49" t="str">
        <f>IF(COUNTA($A178:$L178)=0,"",IF($A178="","Missing: entry ID",IF(COUNTIF($A$2:$A$2001,$A178)&gt;1,"Duplicate entry ID",IF(NOT(ISNUMBER($B178)),"Missing or invalid: date",IF($C178="","Missing: type",IF($D178="","Missing: SKU",IF(NOT(ISNUMBER($E178)),"Missing: qty",IF($F178="","Missing: lot",IF($I178="","Missing: source link",IF(COUNTIF(Config!$A$15:$A$34,$C178)=0,"Unsupported type",IF(COUNTIF(Products!$A$2:$A$101,$D178)=0,"Unknown SKU",IF(COUNTIFS(Batches!$A$2:$A$301,$F178,Batches!$B$2:$B$301,$D178)=0,"Unknown lot for this SKU",IF(AND($C178="Adjustment",$G178=""),"Missing: reason",IF(AND($G178&lt;&gt;"",COUNTIF(Config!$B$15:$B$34,$G178)=0),"Unsupported reason",IF(OR(INT($E178)&lt;&gt;$E178,AND(OR($C178="Receipt",$C178="Shipment"),$E178&lt;=0),AND($C178="Adjustment",$E178=0)),"Invalid qty",IF($B178&gt;Config!$B$4,"Date after the as-of date",IF($B178&lt;Config!$B$5,"Date before the opening balance date","OK")))))))))))))))))</f>
        <v/>
      </c>
    </row>
    <row r="179">
      <c r="A179" s="46" t="n"/>
      <c r="B179" s="54" t="n"/>
      <c r="C179" s="46" t="n"/>
      <c r="D179" s="46" t="n"/>
      <c r="E179" s="55" t="n"/>
      <c r="F179" s="46" t="n"/>
      <c r="G179" s="46" t="n"/>
      <c r="H179" s="46" t="n"/>
      <c r="I179" s="46" t="n"/>
      <c r="J179" s="46" t="n"/>
      <c r="K179" s="46" t="n"/>
      <c r="L179" s="46" t="n"/>
      <c r="M179" s="51" t="str">
        <f>IF(NOT(ISNUMBER($E179)),"",IF($C179="Receipt",$E179,IF($C179="Shipment",-$E179,IF($C179="Adjustment",$E179,0))))</f>
        <v/>
      </c>
      <c r="N179" s="49" t="str">
        <f>IF($D179="","",IFERROR(INDEX(Products!$B$2:$B$101,MATCH($D179,Products!$A$2:$A$101,0))&amp;"","(not found)"))</f>
        <v/>
      </c>
      <c r="O179" s="49" t="str">
        <f>IF($F179="","",IFERROR(INDEX(Batches!$B$2:$B$301,MATCH($F179,Batches!$A$2:$A$301,0))&amp;"","(not found)"))</f>
        <v/>
      </c>
      <c r="P179" s="49" t="str">
        <f>IF(COUNTA($A179:$L179)=0,"",IF($A179="","Missing: entry ID",IF(COUNTIF($A$2:$A$2001,$A179)&gt;1,"Duplicate entry ID",IF(NOT(ISNUMBER($B179)),"Missing or invalid: date",IF($C179="","Missing: type",IF($D179="","Missing: SKU",IF(NOT(ISNUMBER($E179)),"Missing: qty",IF($F179="","Missing: lot",IF($I179="","Missing: source link",IF(COUNTIF(Config!$A$15:$A$34,$C179)=0,"Unsupported type",IF(COUNTIF(Products!$A$2:$A$101,$D179)=0,"Unknown SKU",IF(COUNTIFS(Batches!$A$2:$A$301,$F179,Batches!$B$2:$B$301,$D179)=0,"Unknown lot for this SKU",IF(AND($C179="Adjustment",$G179=""),"Missing: reason",IF(AND($G179&lt;&gt;"",COUNTIF(Config!$B$15:$B$34,$G179)=0),"Unsupported reason",IF(OR(INT($E179)&lt;&gt;$E179,AND(OR($C179="Receipt",$C179="Shipment"),$E179&lt;=0),AND($C179="Adjustment",$E179=0)),"Invalid qty",IF($B179&gt;Config!$B$4,"Date after the as-of date",IF($B179&lt;Config!$B$5,"Date before the opening balance date","OK")))))))))))))))))</f>
        <v/>
      </c>
    </row>
    <row r="180">
      <c r="A180" s="46" t="n"/>
      <c r="B180" s="54" t="n"/>
      <c r="C180" s="46" t="n"/>
      <c r="D180" s="46" t="n"/>
      <c r="E180" s="55" t="n"/>
      <c r="F180" s="46" t="n"/>
      <c r="G180" s="46" t="n"/>
      <c r="H180" s="46" t="n"/>
      <c r="I180" s="46" t="n"/>
      <c r="J180" s="46" t="n"/>
      <c r="K180" s="46" t="n"/>
      <c r="L180" s="46" t="n"/>
      <c r="M180" s="51" t="str">
        <f>IF(NOT(ISNUMBER($E180)),"",IF($C180="Receipt",$E180,IF($C180="Shipment",-$E180,IF($C180="Adjustment",$E180,0))))</f>
        <v/>
      </c>
      <c r="N180" s="49" t="str">
        <f>IF($D180="","",IFERROR(INDEX(Products!$B$2:$B$101,MATCH($D180,Products!$A$2:$A$101,0))&amp;"","(not found)"))</f>
        <v/>
      </c>
      <c r="O180" s="49" t="str">
        <f>IF($F180="","",IFERROR(INDEX(Batches!$B$2:$B$301,MATCH($F180,Batches!$A$2:$A$301,0))&amp;"","(not found)"))</f>
        <v/>
      </c>
      <c r="P180" s="49" t="str">
        <f>IF(COUNTA($A180:$L180)=0,"",IF($A180="","Missing: entry ID",IF(COUNTIF($A$2:$A$2001,$A180)&gt;1,"Duplicate entry ID",IF(NOT(ISNUMBER($B180)),"Missing or invalid: date",IF($C180="","Missing: type",IF($D180="","Missing: SKU",IF(NOT(ISNUMBER($E180)),"Missing: qty",IF($F180="","Missing: lot",IF($I180="","Missing: source link",IF(COUNTIF(Config!$A$15:$A$34,$C180)=0,"Unsupported type",IF(COUNTIF(Products!$A$2:$A$101,$D180)=0,"Unknown SKU",IF(COUNTIFS(Batches!$A$2:$A$301,$F180,Batches!$B$2:$B$301,$D180)=0,"Unknown lot for this SKU",IF(AND($C180="Adjustment",$G180=""),"Missing: reason",IF(AND($G180&lt;&gt;"",COUNTIF(Config!$B$15:$B$34,$G180)=0),"Unsupported reason",IF(OR(INT($E180)&lt;&gt;$E180,AND(OR($C180="Receipt",$C180="Shipment"),$E180&lt;=0),AND($C180="Adjustment",$E180=0)),"Invalid qty",IF($B180&gt;Config!$B$4,"Date after the as-of date",IF($B180&lt;Config!$B$5,"Date before the opening balance date","OK")))))))))))))))))</f>
        <v/>
      </c>
    </row>
    <row r="181">
      <c r="A181" s="46" t="n"/>
      <c r="B181" s="54" t="n"/>
      <c r="C181" s="46" t="n"/>
      <c r="D181" s="46" t="n"/>
      <c r="E181" s="55" t="n"/>
      <c r="F181" s="46" t="n"/>
      <c r="G181" s="46" t="n"/>
      <c r="H181" s="46" t="n"/>
      <c r="I181" s="46" t="n"/>
      <c r="J181" s="46" t="n"/>
      <c r="K181" s="46" t="n"/>
      <c r="L181" s="46" t="n"/>
      <c r="M181" s="51" t="str">
        <f>IF(NOT(ISNUMBER($E181)),"",IF($C181="Receipt",$E181,IF($C181="Shipment",-$E181,IF($C181="Adjustment",$E181,0))))</f>
        <v/>
      </c>
      <c r="N181" s="49" t="str">
        <f>IF($D181="","",IFERROR(INDEX(Products!$B$2:$B$101,MATCH($D181,Products!$A$2:$A$101,0))&amp;"","(not found)"))</f>
        <v/>
      </c>
      <c r="O181" s="49" t="str">
        <f>IF($F181="","",IFERROR(INDEX(Batches!$B$2:$B$301,MATCH($F181,Batches!$A$2:$A$301,0))&amp;"","(not found)"))</f>
        <v/>
      </c>
      <c r="P181" s="49" t="str">
        <f>IF(COUNTA($A181:$L181)=0,"",IF($A181="","Missing: entry ID",IF(COUNTIF($A$2:$A$2001,$A181)&gt;1,"Duplicate entry ID",IF(NOT(ISNUMBER($B181)),"Missing or invalid: date",IF($C181="","Missing: type",IF($D181="","Missing: SKU",IF(NOT(ISNUMBER($E181)),"Missing: qty",IF($F181="","Missing: lot",IF($I181="","Missing: source link",IF(COUNTIF(Config!$A$15:$A$34,$C181)=0,"Unsupported type",IF(COUNTIF(Products!$A$2:$A$101,$D181)=0,"Unknown SKU",IF(COUNTIFS(Batches!$A$2:$A$301,$F181,Batches!$B$2:$B$301,$D181)=0,"Unknown lot for this SKU",IF(AND($C181="Adjustment",$G181=""),"Missing: reason",IF(AND($G181&lt;&gt;"",COUNTIF(Config!$B$15:$B$34,$G181)=0),"Unsupported reason",IF(OR(INT($E181)&lt;&gt;$E181,AND(OR($C181="Receipt",$C181="Shipment"),$E181&lt;=0),AND($C181="Adjustment",$E181=0)),"Invalid qty",IF($B181&gt;Config!$B$4,"Date after the as-of date",IF($B181&lt;Config!$B$5,"Date before the opening balance date","OK")))))))))))))))))</f>
        <v/>
      </c>
    </row>
    <row r="182">
      <c r="A182" s="46" t="n"/>
      <c r="B182" s="54" t="n"/>
      <c r="C182" s="46" t="n"/>
      <c r="D182" s="46" t="n"/>
      <c r="E182" s="55" t="n"/>
      <c r="F182" s="46" t="n"/>
      <c r="G182" s="46" t="n"/>
      <c r="H182" s="46" t="n"/>
      <c r="I182" s="46" t="n"/>
      <c r="J182" s="46" t="n"/>
      <c r="K182" s="46" t="n"/>
      <c r="L182" s="46" t="n"/>
      <c r="M182" s="51" t="str">
        <f>IF(NOT(ISNUMBER($E182)),"",IF($C182="Receipt",$E182,IF($C182="Shipment",-$E182,IF($C182="Adjustment",$E182,0))))</f>
        <v/>
      </c>
      <c r="N182" s="49" t="str">
        <f>IF($D182="","",IFERROR(INDEX(Products!$B$2:$B$101,MATCH($D182,Products!$A$2:$A$101,0))&amp;"","(not found)"))</f>
        <v/>
      </c>
      <c r="O182" s="49" t="str">
        <f>IF($F182="","",IFERROR(INDEX(Batches!$B$2:$B$301,MATCH($F182,Batches!$A$2:$A$301,0))&amp;"","(not found)"))</f>
        <v/>
      </c>
      <c r="P182" s="49" t="str">
        <f>IF(COUNTA($A182:$L182)=0,"",IF($A182="","Missing: entry ID",IF(COUNTIF($A$2:$A$2001,$A182)&gt;1,"Duplicate entry ID",IF(NOT(ISNUMBER($B182)),"Missing or invalid: date",IF($C182="","Missing: type",IF($D182="","Missing: SKU",IF(NOT(ISNUMBER($E182)),"Missing: qty",IF($F182="","Missing: lot",IF($I182="","Missing: source link",IF(COUNTIF(Config!$A$15:$A$34,$C182)=0,"Unsupported type",IF(COUNTIF(Products!$A$2:$A$101,$D182)=0,"Unknown SKU",IF(COUNTIFS(Batches!$A$2:$A$301,$F182,Batches!$B$2:$B$301,$D182)=0,"Unknown lot for this SKU",IF(AND($C182="Adjustment",$G182=""),"Missing: reason",IF(AND($G182&lt;&gt;"",COUNTIF(Config!$B$15:$B$34,$G182)=0),"Unsupported reason",IF(OR(INT($E182)&lt;&gt;$E182,AND(OR($C182="Receipt",$C182="Shipment"),$E182&lt;=0),AND($C182="Adjustment",$E182=0)),"Invalid qty",IF($B182&gt;Config!$B$4,"Date after the as-of date",IF($B182&lt;Config!$B$5,"Date before the opening balance date","OK")))))))))))))))))</f>
        <v/>
      </c>
    </row>
    <row r="183">
      <c r="A183" s="46" t="n"/>
      <c r="B183" s="54" t="n"/>
      <c r="C183" s="46" t="n"/>
      <c r="D183" s="46" t="n"/>
      <c r="E183" s="55" t="n"/>
      <c r="F183" s="46" t="n"/>
      <c r="G183" s="46" t="n"/>
      <c r="H183" s="46" t="n"/>
      <c r="I183" s="46" t="n"/>
      <c r="J183" s="46" t="n"/>
      <c r="K183" s="46" t="n"/>
      <c r="L183" s="46" t="n"/>
      <c r="M183" s="51" t="str">
        <f>IF(NOT(ISNUMBER($E183)),"",IF($C183="Receipt",$E183,IF($C183="Shipment",-$E183,IF($C183="Adjustment",$E183,0))))</f>
        <v/>
      </c>
      <c r="N183" s="49" t="str">
        <f>IF($D183="","",IFERROR(INDEX(Products!$B$2:$B$101,MATCH($D183,Products!$A$2:$A$101,0))&amp;"","(not found)"))</f>
        <v/>
      </c>
      <c r="O183" s="49" t="str">
        <f>IF($F183="","",IFERROR(INDEX(Batches!$B$2:$B$301,MATCH($F183,Batches!$A$2:$A$301,0))&amp;"","(not found)"))</f>
        <v/>
      </c>
      <c r="P183" s="49" t="str">
        <f>IF(COUNTA($A183:$L183)=0,"",IF($A183="","Missing: entry ID",IF(COUNTIF($A$2:$A$2001,$A183)&gt;1,"Duplicate entry ID",IF(NOT(ISNUMBER($B183)),"Missing or invalid: date",IF($C183="","Missing: type",IF($D183="","Missing: SKU",IF(NOT(ISNUMBER($E183)),"Missing: qty",IF($F183="","Missing: lot",IF($I183="","Missing: source link",IF(COUNTIF(Config!$A$15:$A$34,$C183)=0,"Unsupported type",IF(COUNTIF(Products!$A$2:$A$101,$D183)=0,"Unknown SKU",IF(COUNTIFS(Batches!$A$2:$A$301,$F183,Batches!$B$2:$B$301,$D183)=0,"Unknown lot for this SKU",IF(AND($C183="Adjustment",$G183=""),"Missing: reason",IF(AND($G183&lt;&gt;"",COUNTIF(Config!$B$15:$B$34,$G183)=0),"Unsupported reason",IF(OR(INT($E183)&lt;&gt;$E183,AND(OR($C183="Receipt",$C183="Shipment"),$E183&lt;=0),AND($C183="Adjustment",$E183=0)),"Invalid qty",IF($B183&gt;Config!$B$4,"Date after the as-of date",IF($B183&lt;Config!$B$5,"Date before the opening balance date","OK")))))))))))))))))</f>
        <v/>
      </c>
    </row>
    <row r="184">
      <c r="A184" s="46" t="n"/>
      <c r="B184" s="54" t="n"/>
      <c r="C184" s="46" t="n"/>
      <c r="D184" s="46" t="n"/>
      <c r="E184" s="55" t="n"/>
      <c r="F184" s="46" t="n"/>
      <c r="G184" s="46" t="n"/>
      <c r="H184" s="46" t="n"/>
      <c r="I184" s="46" t="n"/>
      <c r="J184" s="46" t="n"/>
      <c r="K184" s="46" t="n"/>
      <c r="L184" s="46" t="n"/>
      <c r="M184" s="51" t="str">
        <f>IF(NOT(ISNUMBER($E184)),"",IF($C184="Receipt",$E184,IF($C184="Shipment",-$E184,IF($C184="Adjustment",$E184,0))))</f>
        <v/>
      </c>
      <c r="N184" s="49" t="str">
        <f>IF($D184="","",IFERROR(INDEX(Products!$B$2:$B$101,MATCH($D184,Products!$A$2:$A$101,0))&amp;"","(not found)"))</f>
        <v/>
      </c>
      <c r="O184" s="49" t="str">
        <f>IF($F184="","",IFERROR(INDEX(Batches!$B$2:$B$301,MATCH($F184,Batches!$A$2:$A$301,0))&amp;"","(not found)"))</f>
        <v/>
      </c>
      <c r="P184" s="49" t="str">
        <f>IF(COUNTA($A184:$L184)=0,"",IF($A184="","Missing: entry ID",IF(COUNTIF($A$2:$A$2001,$A184)&gt;1,"Duplicate entry ID",IF(NOT(ISNUMBER($B184)),"Missing or invalid: date",IF($C184="","Missing: type",IF($D184="","Missing: SKU",IF(NOT(ISNUMBER($E184)),"Missing: qty",IF($F184="","Missing: lot",IF($I184="","Missing: source link",IF(COUNTIF(Config!$A$15:$A$34,$C184)=0,"Unsupported type",IF(COUNTIF(Products!$A$2:$A$101,$D184)=0,"Unknown SKU",IF(COUNTIFS(Batches!$A$2:$A$301,$F184,Batches!$B$2:$B$301,$D184)=0,"Unknown lot for this SKU",IF(AND($C184="Adjustment",$G184=""),"Missing: reason",IF(AND($G184&lt;&gt;"",COUNTIF(Config!$B$15:$B$34,$G184)=0),"Unsupported reason",IF(OR(INT($E184)&lt;&gt;$E184,AND(OR($C184="Receipt",$C184="Shipment"),$E184&lt;=0),AND($C184="Adjustment",$E184=0)),"Invalid qty",IF($B184&gt;Config!$B$4,"Date after the as-of date",IF($B184&lt;Config!$B$5,"Date before the opening balance date","OK")))))))))))))))))</f>
        <v/>
      </c>
    </row>
    <row r="185">
      <c r="A185" s="46" t="n"/>
      <c r="B185" s="54" t="n"/>
      <c r="C185" s="46" t="n"/>
      <c r="D185" s="46" t="n"/>
      <c r="E185" s="55" t="n"/>
      <c r="F185" s="46" t="n"/>
      <c r="G185" s="46" t="n"/>
      <c r="H185" s="46" t="n"/>
      <c r="I185" s="46" t="n"/>
      <c r="J185" s="46" t="n"/>
      <c r="K185" s="46" t="n"/>
      <c r="L185" s="46" t="n"/>
      <c r="M185" s="51" t="str">
        <f>IF(NOT(ISNUMBER($E185)),"",IF($C185="Receipt",$E185,IF($C185="Shipment",-$E185,IF($C185="Adjustment",$E185,0))))</f>
        <v/>
      </c>
      <c r="N185" s="49" t="str">
        <f>IF($D185="","",IFERROR(INDEX(Products!$B$2:$B$101,MATCH($D185,Products!$A$2:$A$101,0))&amp;"","(not found)"))</f>
        <v/>
      </c>
      <c r="O185" s="49" t="str">
        <f>IF($F185="","",IFERROR(INDEX(Batches!$B$2:$B$301,MATCH($F185,Batches!$A$2:$A$301,0))&amp;"","(not found)"))</f>
        <v/>
      </c>
      <c r="P185" s="49" t="str">
        <f>IF(COUNTA($A185:$L185)=0,"",IF($A185="","Missing: entry ID",IF(COUNTIF($A$2:$A$2001,$A185)&gt;1,"Duplicate entry ID",IF(NOT(ISNUMBER($B185)),"Missing or invalid: date",IF($C185="","Missing: type",IF($D185="","Missing: SKU",IF(NOT(ISNUMBER($E185)),"Missing: qty",IF($F185="","Missing: lot",IF($I185="","Missing: source link",IF(COUNTIF(Config!$A$15:$A$34,$C185)=0,"Unsupported type",IF(COUNTIF(Products!$A$2:$A$101,$D185)=0,"Unknown SKU",IF(COUNTIFS(Batches!$A$2:$A$301,$F185,Batches!$B$2:$B$301,$D185)=0,"Unknown lot for this SKU",IF(AND($C185="Adjustment",$G185=""),"Missing: reason",IF(AND($G185&lt;&gt;"",COUNTIF(Config!$B$15:$B$34,$G185)=0),"Unsupported reason",IF(OR(INT($E185)&lt;&gt;$E185,AND(OR($C185="Receipt",$C185="Shipment"),$E185&lt;=0),AND($C185="Adjustment",$E185=0)),"Invalid qty",IF($B185&gt;Config!$B$4,"Date after the as-of date",IF($B185&lt;Config!$B$5,"Date before the opening balance date","OK")))))))))))))))))</f>
        <v/>
      </c>
    </row>
    <row r="186">
      <c r="A186" s="46" t="n"/>
      <c r="B186" s="54" t="n"/>
      <c r="C186" s="46" t="n"/>
      <c r="D186" s="46" t="n"/>
      <c r="E186" s="55" t="n"/>
      <c r="F186" s="46" t="n"/>
      <c r="G186" s="46" t="n"/>
      <c r="H186" s="46" t="n"/>
      <c r="I186" s="46" t="n"/>
      <c r="J186" s="46" t="n"/>
      <c r="K186" s="46" t="n"/>
      <c r="L186" s="46" t="n"/>
      <c r="M186" s="51" t="str">
        <f>IF(NOT(ISNUMBER($E186)),"",IF($C186="Receipt",$E186,IF($C186="Shipment",-$E186,IF($C186="Adjustment",$E186,0))))</f>
        <v/>
      </c>
      <c r="N186" s="49" t="str">
        <f>IF($D186="","",IFERROR(INDEX(Products!$B$2:$B$101,MATCH($D186,Products!$A$2:$A$101,0))&amp;"","(not found)"))</f>
        <v/>
      </c>
      <c r="O186" s="49" t="str">
        <f>IF($F186="","",IFERROR(INDEX(Batches!$B$2:$B$301,MATCH($F186,Batches!$A$2:$A$301,0))&amp;"","(not found)"))</f>
        <v/>
      </c>
      <c r="P186" s="49" t="str">
        <f>IF(COUNTA($A186:$L186)=0,"",IF($A186="","Missing: entry ID",IF(COUNTIF($A$2:$A$2001,$A186)&gt;1,"Duplicate entry ID",IF(NOT(ISNUMBER($B186)),"Missing or invalid: date",IF($C186="","Missing: type",IF($D186="","Missing: SKU",IF(NOT(ISNUMBER($E186)),"Missing: qty",IF($F186="","Missing: lot",IF($I186="","Missing: source link",IF(COUNTIF(Config!$A$15:$A$34,$C186)=0,"Unsupported type",IF(COUNTIF(Products!$A$2:$A$101,$D186)=0,"Unknown SKU",IF(COUNTIFS(Batches!$A$2:$A$301,$F186,Batches!$B$2:$B$301,$D186)=0,"Unknown lot for this SKU",IF(AND($C186="Adjustment",$G186=""),"Missing: reason",IF(AND($G186&lt;&gt;"",COUNTIF(Config!$B$15:$B$34,$G186)=0),"Unsupported reason",IF(OR(INT($E186)&lt;&gt;$E186,AND(OR($C186="Receipt",$C186="Shipment"),$E186&lt;=0),AND($C186="Adjustment",$E186=0)),"Invalid qty",IF($B186&gt;Config!$B$4,"Date after the as-of date",IF($B186&lt;Config!$B$5,"Date before the opening balance date","OK")))))))))))))))))</f>
        <v/>
      </c>
    </row>
    <row r="187">
      <c r="A187" s="46" t="n"/>
      <c r="B187" s="54" t="n"/>
      <c r="C187" s="46" t="n"/>
      <c r="D187" s="46" t="n"/>
      <c r="E187" s="55" t="n"/>
      <c r="F187" s="46" t="n"/>
      <c r="G187" s="46" t="n"/>
      <c r="H187" s="46" t="n"/>
      <c r="I187" s="46" t="n"/>
      <c r="J187" s="46" t="n"/>
      <c r="K187" s="46" t="n"/>
      <c r="L187" s="46" t="n"/>
      <c r="M187" s="51" t="str">
        <f>IF(NOT(ISNUMBER($E187)),"",IF($C187="Receipt",$E187,IF($C187="Shipment",-$E187,IF($C187="Adjustment",$E187,0))))</f>
        <v/>
      </c>
      <c r="N187" s="49" t="str">
        <f>IF($D187="","",IFERROR(INDEX(Products!$B$2:$B$101,MATCH($D187,Products!$A$2:$A$101,0))&amp;"","(not found)"))</f>
        <v/>
      </c>
      <c r="O187" s="49" t="str">
        <f>IF($F187="","",IFERROR(INDEX(Batches!$B$2:$B$301,MATCH($F187,Batches!$A$2:$A$301,0))&amp;"","(not found)"))</f>
        <v/>
      </c>
      <c r="P187" s="49" t="str">
        <f>IF(COUNTA($A187:$L187)=0,"",IF($A187="","Missing: entry ID",IF(COUNTIF($A$2:$A$2001,$A187)&gt;1,"Duplicate entry ID",IF(NOT(ISNUMBER($B187)),"Missing or invalid: date",IF($C187="","Missing: type",IF($D187="","Missing: SKU",IF(NOT(ISNUMBER($E187)),"Missing: qty",IF($F187="","Missing: lot",IF($I187="","Missing: source link",IF(COUNTIF(Config!$A$15:$A$34,$C187)=0,"Unsupported type",IF(COUNTIF(Products!$A$2:$A$101,$D187)=0,"Unknown SKU",IF(COUNTIFS(Batches!$A$2:$A$301,$F187,Batches!$B$2:$B$301,$D187)=0,"Unknown lot for this SKU",IF(AND($C187="Adjustment",$G187=""),"Missing: reason",IF(AND($G187&lt;&gt;"",COUNTIF(Config!$B$15:$B$34,$G187)=0),"Unsupported reason",IF(OR(INT($E187)&lt;&gt;$E187,AND(OR($C187="Receipt",$C187="Shipment"),$E187&lt;=0),AND($C187="Adjustment",$E187=0)),"Invalid qty",IF($B187&gt;Config!$B$4,"Date after the as-of date",IF($B187&lt;Config!$B$5,"Date before the opening balance date","OK")))))))))))))))))</f>
        <v/>
      </c>
    </row>
    <row r="188">
      <c r="A188" s="46" t="n"/>
      <c r="B188" s="54" t="n"/>
      <c r="C188" s="46" t="n"/>
      <c r="D188" s="46" t="n"/>
      <c r="E188" s="55" t="n"/>
      <c r="F188" s="46" t="n"/>
      <c r="G188" s="46" t="n"/>
      <c r="H188" s="46" t="n"/>
      <c r="I188" s="46" t="n"/>
      <c r="J188" s="46" t="n"/>
      <c r="K188" s="46" t="n"/>
      <c r="L188" s="46" t="n"/>
      <c r="M188" s="51" t="str">
        <f>IF(NOT(ISNUMBER($E188)),"",IF($C188="Receipt",$E188,IF($C188="Shipment",-$E188,IF($C188="Adjustment",$E188,0))))</f>
        <v/>
      </c>
      <c r="N188" s="49" t="str">
        <f>IF($D188="","",IFERROR(INDEX(Products!$B$2:$B$101,MATCH($D188,Products!$A$2:$A$101,0))&amp;"","(not found)"))</f>
        <v/>
      </c>
      <c r="O188" s="49" t="str">
        <f>IF($F188="","",IFERROR(INDEX(Batches!$B$2:$B$301,MATCH($F188,Batches!$A$2:$A$301,0))&amp;"","(not found)"))</f>
        <v/>
      </c>
      <c r="P188" s="49" t="str">
        <f>IF(COUNTA($A188:$L188)=0,"",IF($A188="","Missing: entry ID",IF(COUNTIF($A$2:$A$2001,$A188)&gt;1,"Duplicate entry ID",IF(NOT(ISNUMBER($B188)),"Missing or invalid: date",IF($C188="","Missing: type",IF($D188="","Missing: SKU",IF(NOT(ISNUMBER($E188)),"Missing: qty",IF($F188="","Missing: lot",IF($I188="","Missing: source link",IF(COUNTIF(Config!$A$15:$A$34,$C188)=0,"Unsupported type",IF(COUNTIF(Products!$A$2:$A$101,$D188)=0,"Unknown SKU",IF(COUNTIFS(Batches!$A$2:$A$301,$F188,Batches!$B$2:$B$301,$D188)=0,"Unknown lot for this SKU",IF(AND($C188="Adjustment",$G188=""),"Missing: reason",IF(AND($G188&lt;&gt;"",COUNTIF(Config!$B$15:$B$34,$G188)=0),"Unsupported reason",IF(OR(INT($E188)&lt;&gt;$E188,AND(OR($C188="Receipt",$C188="Shipment"),$E188&lt;=0),AND($C188="Adjustment",$E188=0)),"Invalid qty",IF($B188&gt;Config!$B$4,"Date after the as-of date",IF($B188&lt;Config!$B$5,"Date before the opening balance date","OK")))))))))))))))))</f>
        <v/>
      </c>
    </row>
    <row r="189">
      <c r="A189" s="46" t="n"/>
      <c r="B189" s="54" t="n"/>
      <c r="C189" s="46" t="n"/>
      <c r="D189" s="46" t="n"/>
      <c r="E189" s="55" t="n"/>
      <c r="F189" s="46" t="n"/>
      <c r="G189" s="46" t="n"/>
      <c r="H189" s="46" t="n"/>
      <c r="I189" s="46" t="n"/>
      <c r="J189" s="46" t="n"/>
      <c r="K189" s="46" t="n"/>
      <c r="L189" s="46" t="n"/>
      <c r="M189" s="51" t="str">
        <f>IF(NOT(ISNUMBER($E189)),"",IF($C189="Receipt",$E189,IF($C189="Shipment",-$E189,IF($C189="Adjustment",$E189,0))))</f>
        <v/>
      </c>
      <c r="N189" s="49" t="str">
        <f>IF($D189="","",IFERROR(INDEX(Products!$B$2:$B$101,MATCH($D189,Products!$A$2:$A$101,0))&amp;"","(not found)"))</f>
        <v/>
      </c>
      <c r="O189" s="49" t="str">
        <f>IF($F189="","",IFERROR(INDEX(Batches!$B$2:$B$301,MATCH($F189,Batches!$A$2:$A$301,0))&amp;"","(not found)"))</f>
        <v/>
      </c>
      <c r="P189" s="49" t="str">
        <f>IF(COUNTA($A189:$L189)=0,"",IF($A189="","Missing: entry ID",IF(COUNTIF($A$2:$A$2001,$A189)&gt;1,"Duplicate entry ID",IF(NOT(ISNUMBER($B189)),"Missing or invalid: date",IF($C189="","Missing: type",IF($D189="","Missing: SKU",IF(NOT(ISNUMBER($E189)),"Missing: qty",IF($F189="","Missing: lot",IF($I189="","Missing: source link",IF(COUNTIF(Config!$A$15:$A$34,$C189)=0,"Unsupported type",IF(COUNTIF(Products!$A$2:$A$101,$D189)=0,"Unknown SKU",IF(COUNTIFS(Batches!$A$2:$A$301,$F189,Batches!$B$2:$B$301,$D189)=0,"Unknown lot for this SKU",IF(AND($C189="Adjustment",$G189=""),"Missing: reason",IF(AND($G189&lt;&gt;"",COUNTIF(Config!$B$15:$B$34,$G189)=0),"Unsupported reason",IF(OR(INT($E189)&lt;&gt;$E189,AND(OR($C189="Receipt",$C189="Shipment"),$E189&lt;=0),AND($C189="Adjustment",$E189=0)),"Invalid qty",IF($B189&gt;Config!$B$4,"Date after the as-of date",IF($B189&lt;Config!$B$5,"Date before the opening balance date","OK")))))))))))))))))</f>
        <v/>
      </c>
    </row>
    <row r="190">
      <c r="A190" s="46" t="n"/>
      <c r="B190" s="54" t="n"/>
      <c r="C190" s="46" t="n"/>
      <c r="D190" s="46" t="n"/>
      <c r="E190" s="55" t="n"/>
      <c r="F190" s="46" t="n"/>
      <c r="G190" s="46" t="n"/>
      <c r="H190" s="46" t="n"/>
      <c r="I190" s="46" t="n"/>
      <c r="J190" s="46" t="n"/>
      <c r="K190" s="46" t="n"/>
      <c r="L190" s="46" t="n"/>
      <c r="M190" s="51" t="str">
        <f>IF(NOT(ISNUMBER($E190)),"",IF($C190="Receipt",$E190,IF($C190="Shipment",-$E190,IF($C190="Adjustment",$E190,0))))</f>
        <v/>
      </c>
      <c r="N190" s="49" t="str">
        <f>IF($D190="","",IFERROR(INDEX(Products!$B$2:$B$101,MATCH($D190,Products!$A$2:$A$101,0))&amp;"","(not found)"))</f>
        <v/>
      </c>
      <c r="O190" s="49" t="str">
        <f>IF($F190="","",IFERROR(INDEX(Batches!$B$2:$B$301,MATCH($F190,Batches!$A$2:$A$301,0))&amp;"","(not found)"))</f>
        <v/>
      </c>
      <c r="P190" s="49" t="str">
        <f>IF(COUNTA($A190:$L190)=0,"",IF($A190="","Missing: entry ID",IF(COUNTIF($A$2:$A$2001,$A190)&gt;1,"Duplicate entry ID",IF(NOT(ISNUMBER($B190)),"Missing or invalid: date",IF($C190="","Missing: type",IF($D190="","Missing: SKU",IF(NOT(ISNUMBER($E190)),"Missing: qty",IF($F190="","Missing: lot",IF($I190="","Missing: source link",IF(COUNTIF(Config!$A$15:$A$34,$C190)=0,"Unsupported type",IF(COUNTIF(Products!$A$2:$A$101,$D190)=0,"Unknown SKU",IF(COUNTIFS(Batches!$A$2:$A$301,$F190,Batches!$B$2:$B$301,$D190)=0,"Unknown lot for this SKU",IF(AND($C190="Adjustment",$G190=""),"Missing: reason",IF(AND($G190&lt;&gt;"",COUNTIF(Config!$B$15:$B$34,$G190)=0),"Unsupported reason",IF(OR(INT($E190)&lt;&gt;$E190,AND(OR($C190="Receipt",$C190="Shipment"),$E190&lt;=0),AND($C190="Adjustment",$E190=0)),"Invalid qty",IF($B190&gt;Config!$B$4,"Date after the as-of date",IF($B190&lt;Config!$B$5,"Date before the opening balance date","OK")))))))))))))))))</f>
        <v/>
      </c>
    </row>
    <row r="191">
      <c r="A191" s="46" t="n"/>
      <c r="B191" s="54" t="n"/>
      <c r="C191" s="46" t="n"/>
      <c r="D191" s="46" t="n"/>
      <c r="E191" s="55" t="n"/>
      <c r="F191" s="46" t="n"/>
      <c r="G191" s="46" t="n"/>
      <c r="H191" s="46" t="n"/>
      <c r="I191" s="46" t="n"/>
      <c r="J191" s="46" t="n"/>
      <c r="K191" s="46" t="n"/>
      <c r="L191" s="46" t="n"/>
      <c r="M191" s="51" t="str">
        <f>IF(NOT(ISNUMBER($E191)),"",IF($C191="Receipt",$E191,IF($C191="Shipment",-$E191,IF($C191="Adjustment",$E191,0))))</f>
        <v/>
      </c>
      <c r="N191" s="49" t="str">
        <f>IF($D191="","",IFERROR(INDEX(Products!$B$2:$B$101,MATCH($D191,Products!$A$2:$A$101,0))&amp;"","(not found)"))</f>
        <v/>
      </c>
      <c r="O191" s="49" t="str">
        <f>IF($F191="","",IFERROR(INDEX(Batches!$B$2:$B$301,MATCH($F191,Batches!$A$2:$A$301,0))&amp;"","(not found)"))</f>
        <v/>
      </c>
      <c r="P191" s="49" t="str">
        <f>IF(COUNTA($A191:$L191)=0,"",IF($A191="","Missing: entry ID",IF(COUNTIF($A$2:$A$2001,$A191)&gt;1,"Duplicate entry ID",IF(NOT(ISNUMBER($B191)),"Missing or invalid: date",IF($C191="","Missing: type",IF($D191="","Missing: SKU",IF(NOT(ISNUMBER($E191)),"Missing: qty",IF($F191="","Missing: lot",IF($I191="","Missing: source link",IF(COUNTIF(Config!$A$15:$A$34,$C191)=0,"Unsupported type",IF(COUNTIF(Products!$A$2:$A$101,$D191)=0,"Unknown SKU",IF(COUNTIFS(Batches!$A$2:$A$301,$F191,Batches!$B$2:$B$301,$D191)=0,"Unknown lot for this SKU",IF(AND($C191="Adjustment",$G191=""),"Missing: reason",IF(AND($G191&lt;&gt;"",COUNTIF(Config!$B$15:$B$34,$G191)=0),"Unsupported reason",IF(OR(INT($E191)&lt;&gt;$E191,AND(OR($C191="Receipt",$C191="Shipment"),$E191&lt;=0),AND($C191="Adjustment",$E191=0)),"Invalid qty",IF($B191&gt;Config!$B$4,"Date after the as-of date",IF($B191&lt;Config!$B$5,"Date before the opening balance date","OK")))))))))))))))))</f>
        <v/>
      </c>
    </row>
    <row r="192">
      <c r="A192" s="46" t="n"/>
      <c r="B192" s="54" t="n"/>
      <c r="C192" s="46" t="n"/>
      <c r="D192" s="46" t="n"/>
      <c r="E192" s="55" t="n"/>
      <c r="F192" s="46" t="n"/>
      <c r="G192" s="46" t="n"/>
      <c r="H192" s="46" t="n"/>
      <c r="I192" s="46" t="n"/>
      <c r="J192" s="46" t="n"/>
      <c r="K192" s="46" t="n"/>
      <c r="L192" s="46" t="n"/>
      <c r="M192" s="51" t="str">
        <f>IF(NOT(ISNUMBER($E192)),"",IF($C192="Receipt",$E192,IF($C192="Shipment",-$E192,IF($C192="Adjustment",$E192,0))))</f>
        <v/>
      </c>
      <c r="N192" s="49" t="str">
        <f>IF($D192="","",IFERROR(INDEX(Products!$B$2:$B$101,MATCH($D192,Products!$A$2:$A$101,0))&amp;"","(not found)"))</f>
        <v/>
      </c>
      <c r="O192" s="49" t="str">
        <f>IF($F192="","",IFERROR(INDEX(Batches!$B$2:$B$301,MATCH($F192,Batches!$A$2:$A$301,0))&amp;"","(not found)"))</f>
        <v/>
      </c>
      <c r="P192" s="49" t="str">
        <f>IF(COUNTA($A192:$L192)=0,"",IF($A192="","Missing: entry ID",IF(COUNTIF($A$2:$A$2001,$A192)&gt;1,"Duplicate entry ID",IF(NOT(ISNUMBER($B192)),"Missing or invalid: date",IF($C192="","Missing: type",IF($D192="","Missing: SKU",IF(NOT(ISNUMBER($E192)),"Missing: qty",IF($F192="","Missing: lot",IF($I192="","Missing: source link",IF(COUNTIF(Config!$A$15:$A$34,$C192)=0,"Unsupported type",IF(COUNTIF(Products!$A$2:$A$101,$D192)=0,"Unknown SKU",IF(COUNTIFS(Batches!$A$2:$A$301,$F192,Batches!$B$2:$B$301,$D192)=0,"Unknown lot for this SKU",IF(AND($C192="Adjustment",$G192=""),"Missing: reason",IF(AND($G192&lt;&gt;"",COUNTIF(Config!$B$15:$B$34,$G192)=0),"Unsupported reason",IF(OR(INT($E192)&lt;&gt;$E192,AND(OR($C192="Receipt",$C192="Shipment"),$E192&lt;=0),AND($C192="Adjustment",$E192=0)),"Invalid qty",IF($B192&gt;Config!$B$4,"Date after the as-of date",IF($B192&lt;Config!$B$5,"Date before the opening balance date","OK")))))))))))))))))</f>
        <v/>
      </c>
    </row>
    <row r="193">
      <c r="A193" s="46" t="n"/>
      <c r="B193" s="54" t="n"/>
      <c r="C193" s="46" t="n"/>
      <c r="D193" s="46" t="n"/>
      <c r="E193" s="55" t="n"/>
      <c r="F193" s="46" t="n"/>
      <c r="G193" s="46" t="n"/>
      <c r="H193" s="46" t="n"/>
      <c r="I193" s="46" t="n"/>
      <c r="J193" s="46" t="n"/>
      <c r="K193" s="46" t="n"/>
      <c r="L193" s="46" t="n"/>
      <c r="M193" s="51" t="str">
        <f>IF(NOT(ISNUMBER($E193)),"",IF($C193="Receipt",$E193,IF($C193="Shipment",-$E193,IF($C193="Adjustment",$E193,0))))</f>
        <v/>
      </c>
      <c r="N193" s="49" t="str">
        <f>IF($D193="","",IFERROR(INDEX(Products!$B$2:$B$101,MATCH($D193,Products!$A$2:$A$101,0))&amp;"","(not found)"))</f>
        <v/>
      </c>
      <c r="O193" s="49" t="str">
        <f>IF($F193="","",IFERROR(INDEX(Batches!$B$2:$B$301,MATCH($F193,Batches!$A$2:$A$301,0))&amp;"","(not found)"))</f>
        <v/>
      </c>
      <c r="P193" s="49" t="str">
        <f>IF(COUNTA($A193:$L193)=0,"",IF($A193="","Missing: entry ID",IF(COUNTIF($A$2:$A$2001,$A193)&gt;1,"Duplicate entry ID",IF(NOT(ISNUMBER($B193)),"Missing or invalid: date",IF($C193="","Missing: type",IF($D193="","Missing: SKU",IF(NOT(ISNUMBER($E193)),"Missing: qty",IF($F193="","Missing: lot",IF($I193="","Missing: source link",IF(COUNTIF(Config!$A$15:$A$34,$C193)=0,"Unsupported type",IF(COUNTIF(Products!$A$2:$A$101,$D193)=0,"Unknown SKU",IF(COUNTIFS(Batches!$A$2:$A$301,$F193,Batches!$B$2:$B$301,$D193)=0,"Unknown lot for this SKU",IF(AND($C193="Adjustment",$G193=""),"Missing: reason",IF(AND($G193&lt;&gt;"",COUNTIF(Config!$B$15:$B$34,$G193)=0),"Unsupported reason",IF(OR(INT($E193)&lt;&gt;$E193,AND(OR($C193="Receipt",$C193="Shipment"),$E193&lt;=0),AND($C193="Adjustment",$E193=0)),"Invalid qty",IF($B193&gt;Config!$B$4,"Date after the as-of date",IF($B193&lt;Config!$B$5,"Date before the opening balance date","OK")))))))))))))))))</f>
        <v/>
      </c>
    </row>
    <row r="194">
      <c r="A194" s="46" t="n"/>
      <c r="B194" s="54" t="n"/>
      <c r="C194" s="46" t="n"/>
      <c r="D194" s="46" t="n"/>
      <c r="E194" s="55" t="n"/>
      <c r="F194" s="46" t="n"/>
      <c r="G194" s="46" t="n"/>
      <c r="H194" s="46" t="n"/>
      <c r="I194" s="46" t="n"/>
      <c r="J194" s="46" t="n"/>
      <c r="K194" s="46" t="n"/>
      <c r="L194" s="46" t="n"/>
      <c r="M194" s="51" t="str">
        <f>IF(NOT(ISNUMBER($E194)),"",IF($C194="Receipt",$E194,IF($C194="Shipment",-$E194,IF($C194="Adjustment",$E194,0))))</f>
        <v/>
      </c>
      <c r="N194" s="49" t="str">
        <f>IF($D194="","",IFERROR(INDEX(Products!$B$2:$B$101,MATCH($D194,Products!$A$2:$A$101,0))&amp;"","(not found)"))</f>
        <v/>
      </c>
      <c r="O194" s="49" t="str">
        <f>IF($F194="","",IFERROR(INDEX(Batches!$B$2:$B$301,MATCH($F194,Batches!$A$2:$A$301,0))&amp;"","(not found)"))</f>
        <v/>
      </c>
      <c r="P194" s="49" t="str">
        <f>IF(COUNTA($A194:$L194)=0,"",IF($A194="","Missing: entry ID",IF(COUNTIF($A$2:$A$2001,$A194)&gt;1,"Duplicate entry ID",IF(NOT(ISNUMBER($B194)),"Missing or invalid: date",IF($C194="","Missing: type",IF($D194="","Missing: SKU",IF(NOT(ISNUMBER($E194)),"Missing: qty",IF($F194="","Missing: lot",IF($I194="","Missing: source link",IF(COUNTIF(Config!$A$15:$A$34,$C194)=0,"Unsupported type",IF(COUNTIF(Products!$A$2:$A$101,$D194)=0,"Unknown SKU",IF(COUNTIFS(Batches!$A$2:$A$301,$F194,Batches!$B$2:$B$301,$D194)=0,"Unknown lot for this SKU",IF(AND($C194="Adjustment",$G194=""),"Missing: reason",IF(AND($G194&lt;&gt;"",COUNTIF(Config!$B$15:$B$34,$G194)=0),"Unsupported reason",IF(OR(INT($E194)&lt;&gt;$E194,AND(OR($C194="Receipt",$C194="Shipment"),$E194&lt;=0),AND($C194="Adjustment",$E194=0)),"Invalid qty",IF($B194&gt;Config!$B$4,"Date after the as-of date",IF($B194&lt;Config!$B$5,"Date before the opening balance date","OK")))))))))))))))))</f>
        <v/>
      </c>
    </row>
    <row r="195">
      <c r="A195" s="46" t="n"/>
      <c r="B195" s="54" t="n"/>
      <c r="C195" s="46" t="n"/>
      <c r="D195" s="46" t="n"/>
      <c r="E195" s="55" t="n"/>
      <c r="F195" s="46" t="n"/>
      <c r="G195" s="46" t="n"/>
      <c r="H195" s="46" t="n"/>
      <c r="I195" s="46" t="n"/>
      <c r="J195" s="46" t="n"/>
      <c r="K195" s="46" t="n"/>
      <c r="L195" s="46" t="n"/>
      <c r="M195" s="51" t="str">
        <f>IF(NOT(ISNUMBER($E195)),"",IF($C195="Receipt",$E195,IF($C195="Shipment",-$E195,IF($C195="Adjustment",$E195,0))))</f>
        <v/>
      </c>
      <c r="N195" s="49" t="str">
        <f>IF($D195="","",IFERROR(INDEX(Products!$B$2:$B$101,MATCH($D195,Products!$A$2:$A$101,0))&amp;"","(not found)"))</f>
        <v/>
      </c>
      <c r="O195" s="49" t="str">
        <f>IF($F195="","",IFERROR(INDEX(Batches!$B$2:$B$301,MATCH($F195,Batches!$A$2:$A$301,0))&amp;"","(not found)"))</f>
        <v/>
      </c>
      <c r="P195" s="49" t="str">
        <f>IF(COUNTA($A195:$L195)=0,"",IF($A195="","Missing: entry ID",IF(COUNTIF($A$2:$A$2001,$A195)&gt;1,"Duplicate entry ID",IF(NOT(ISNUMBER($B195)),"Missing or invalid: date",IF($C195="","Missing: type",IF($D195="","Missing: SKU",IF(NOT(ISNUMBER($E195)),"Missing: qty",IF($F195="","Missing: lot",IF($I195="","Missing: source link",IF(COUNTIF(Config!$A$15:$A$34,$C195)=0,"Unsupported type",IF(COUNTIF(Products!$A$2:$A$101,$D195)=0,"Unknown SKU",IF(COUNTIFS(Batches!$A$2:$A$301,$F195,Batches!$B$2:$B$301,$D195)=0,"Unknown lot for this SKU",IF(AND($C195="Adjustment",$G195=""),"Missing: reason",IF(AND($G195&lt;&gt;"",COUNTIF(Config!$B$15:$B$34,$G195)=0),"Unsupported reason",IF(OR(INT($E195)&lt;&gt;$E195,AND(OR($C195="Receipt",$C195="Shipment"),$E195&lt;=0),AND($C195="Adjustment",$E195=0)),"Invalid qty",IF($B195&gt;Config!$B$4,"Date after the as-of date",IF($B195&lt;Config!$B$5,"Date before the opening balance date","OK")))))))))))))))))</f>
        <v/>
      </c>
    </row>
    <row r="196">
      <c r="A196" s="46" t="n"/>
      <c r="B196" s="54" t="n"/>
      <c r="C196" s="46" t="n"/>
      <c r="D196" s="46" t="n"/>
      <c r="E196" s="55" t="n"/>
      <c r="F196" s="46" t="n"/>
      <c r="G196" s="46" t="n"/>
      <c r="H196" s="46" t="n"/>
      <c r="I196" s="46" t="n"/>
      <c r="J196" s="46" t="n"/>
      <c r="K196" s="46" t="n"/>
      <c r="L196" s="46" t="n"/>
      <c r="M196" s="51" t="str">
        <f>IF(NOT(ISNUMBER($E196)),"",IF($C196="Receipt",$E196,IF($C196="Shipment",-$E196,IF($C196="Adjustment",$E196,0))))</f>
        <v/>
      </c>
      <c r="N196" s="49" t="str">
        <f>IF($D196="","",IFERROR(INDEX(Products!$B$2:$B$101,MATCH($D196,Products!$A$2:$A$101,0))&amp;"","(not found)"))</f>
        <v/>
      </c>
      <c r="O196" s="49" t="str">
        <f>IF($F196="","",IFERROR(INDEX(Batches!$B$2:$B$301,MATCH($F196,Batches!$A$2:$A$301,0))&amp;"","(not found)"))</f>
        <v/>
      </c>
      <c r="P196" s="49" t="str">
        <f>IF(COUNTA($A196:$L196)=0,"",IF($A196="","Missing: entry ID",IF(COUNTIF($A$2:$A$2001,$A196)&gt;1,"Duplicate entry ID",IF(NOT(ISNUMBER($B196)),"Missing or invalid: date",IF($C196="","Missing: type",IF($D196="","Missing: SKU",IF(NOT(ISNUMBER($E196)),"Missing: qty",IF($F196="","Missing: lot",IF($I196="","Missing: source link",IF(COUNTIF(Config!$A$15:$A$34,$C196)=0,"Unsupported type",IF(COUNTIF(Products!$A$2:$A$101,$D196)=0,"Unknown SKU",IF(COUNTIFS(Batches!$A$2:$A$301,$F196,Batches!$B$2:$B$301,$D196)=0,"Unknown lot for this SKU",IF(AND($C196="Adjustment",$G196=""),"Missing: reason",IF(AND($G196&lt;&gt;"",COUNTIF(Config!$B$15:$B$34,$G196)=0),"Unsupported reason",IF(OR(INT($E196)&lt;&gt;$E196,AND(OR($C196="Receipt",$C196="Shipment"),$E196&lt;=0),AND($C196="Adjustment",$E196=0)),"Invalid qty",IF($B196&gt;Config!$B$4,"Date after the as-of date",IF($B196&lt;Config!$B$5,"Date before the opening balance date","OK")))))))))))))))))</f>
        <v/>
      </c>
    </row>
    <row r="197">
      <c r="A197" s="46" t="n"/>
      <c r="B197" s="54" t="n"/>
      <c r="C197" s="46" t="n"/>
      <c r="D197" s="46" t="n"/>
      <c r="E197" s="55" t="n"/>
      <c r="F197" s="46" t="n"/>
      <c r="G197" s="46" t="n"/>
      <c r="H197" s="46" t="n"/>
      <c r="I197" s="46" t="n"/>
      <c r="J197" s="46" t="n"/>
      <c r="K197" s="46" t="n"/>
      <c r="L197" s="46" t="n"/>
      <c r="M197" s="51" t="str">
        <f>IF(NOT(ISNUMBER($E197)),"",IF($C197="Receipt",$E197,IF($C197="Shipment",-$E197,IF($C197="Adjustment",$E197,0))))</f>
        <v/>
      </c>
      <c r="N197" s="49" t="str">
        <f>IF($D197="","",IFERROR(INDEX(Products!$B$2:$B$101,MATCH($D197,Products!$A$2:$A$101,0))&amp;"","(not found)"))</f>
        <v/>
      </c>
      <c r="O197" s="49" t="str">
        <f>IF($F197="","",IFERROR(INDEX(Batches!$B$2:$B$301,MATCH($F197,Batches!$A$2:$A$301,0))&amp;"","(not found)"))</f>
        <v/>
      </c>
      <c r="P197" s="49" t="str">
        <f>IF(COUNTA($A197:$L197)=0,"",IF($A197="","Missing: entry ID",IF(COUNTIF($A$2:$A$2001,$A197)&gt;1,"Duplicate entry ID",IF(NOT(ISNUMBER($B197)),"Missing or invalid: date",IF($C197="","Missing: type",IF($D197="","Missing: SKU",IF(NOT(ISNUMBER($E197)),"Missing: qty",IF($F197="","Missing: lot",IF($I197="","Missing: source link",IF(COUNTIF(Config!$A$15:$A$34,$C197)=0,"Unsupported type",IF(COUNTIF(Products!$A$2:$A$101,$D197)=0,"Unknown SKU",IF(COUNTIFS(Batches!$A$2:$A$301,$F197,Batches!$B$2:$B$301,$D197)=0,"Unknown lot for this SKU",IF(AND($C197="Adjustment",$G197=""),"Missing: reason",IF(AND($G197&lt;&gt;"",COUNTIF(Config!$B$15:$B$34,$G197)=0),"Unsupported reason",IF(OR(INT($E197)&lt;&gt;$E197,AND(OR($C197="Receipt",$C197="Shipment"),$E197&lt;=0),AND($C197="Adjustment",$E197=0)),"Invalid qty",IF($B197&gt;Config!$B$4,"Date after the as-of date",IF($B197&lt;Config!$B$5,"Date before the opening balance date","OK")))))))))))))))))</f>
        <v/>
      </c>
    </row>
    <row r="198">
      <c r="A198" s="46" t="n"/>
      <c r="B198" s="54" t="n"/>
      <c r="C198" s="46" t="n"/>
      <c r="D198" s="46" t="n"/>
      <c r="E198" s="55" t="n"/>
      <c r="F198" s="46" t="n"/>
      <c r="G198" s="46" t="n"/>
      <c r="H198" s="46" t="n"/>
      <c r="I198" s="46" t="n"/>
      <c r="J198" s="46" t="n"/>
      <c r="K198" s="46" t="n"/>
      <c r="L198" s="46" t="n"/>
      <c r="M198" s="51" t="str">
        <f>IF(NOT(ISNUMBER($E198)),"",IF($C198="Receipt",$E198,IF($C198="Shipment",-$E198,IF($C198="Adjustment",$E198,0))))</f>
        <v/>
      </c>
      <c r="N198" s="49" t="str">
        <f>IF($D198="","",IFERROR(INDEX(Products!$B$2:$B$101,MATCH($D198,Products!$A$2:$A$101,0))&amp;"","(not found)"))</f>
        <v/>
      </c>
      <c r="O198" s="49" t="str">
        <f>IF($F198="","",IFERROR(INDEX(Batches!$B$2:$B$301,MATCH($F198,Batches!$A$2:$A$301,0))&amp;"","(not found)"))</f>
        <v/>
      </c>
      <c r="P198" s="49" t="str">
        <f>IF(COUNTA($A198:$L198)=0,"",IF($A198="","Missing: entry ID",IF(COUNTIF($A$2:$A$2001,$A198)&gt;1,"Duplicate entry ID",IF(NOT(ISNUMBER($B198)),"Missing or invalid: date",IF($C198="","Missing: type",IF($D198="","Missing: SKU",IF(NOT(ISNUMBER($E198)),"Missing: qty",IF($F198="","Missing: lot",IF($I198="","Missing: source link",IF(COUNTIF(Config!$A$15:$A$34,$C198)=0,"Unsupported type",IF(COUNTIF(Products!$A$2:$A$101,$D198)=0,"Unknown SKU",IF(COUNTIFS(Batches!$A$2:$A$301,$F198,Batches!$B$2:$B$301,$D198)=0,"Unknown lot for this SKU",IF(AND($C198="Adjustment",$G198=""),"Missing: reason",IF(AND($G198&lt;&gt;"",COUNTIF(Config!$B$15:$B$34,$G198)=0),"Unsupported reason",IF(OR(INT($E198)&lt;&gt;$E198,AND(OR($C198="Receipt",$C198="Shipment"),$E198&lt;=0),AND($C198="Adjustment",$E198=0)),"Invalid qty",IF($B198&gt;Config!$B$4,"Date after the as-of date",IF($B198&lt;Config!$B$5,"Date before the opening balance date","OK")))))))))))))))))</f>
        <v/>
      </c>
    </row>
    <row r="199">
      <c r="A199" s="46" t="n"/>
      <c r="B199" s="54" t="n"/>
      <c r="C199" s="46" t="n"/>
      <c r="D199" s="46" t="n"/>
      <c r="E199" s="55" t="n"/>
      <c r="F199" s="46" t="n"/>
      <c r="G199" s="46" t="n"/>
      <c r="H199" s="46" t="n"/>
      <c r="I199" s="46" t="n"/>
      <c r="J199" s="46" t="n"/>
      <c r="K199" s="46" t="n"/>
      <c r="L199" s="46" t="n"/>
      <c r="M199" s="51" t="str">
        <f>IF(NOT(ISNUMBER($E199)),"",IF($C199="Receipt",$E199,IF($C199="Shipment",-$E199,IF($C199="Adjustment",$E199,0))))</f>
        <v/>
      </c>
      <c r="N199" s="49" t="str">
        <f>IF($D199="","",IFERROR(INDEX(Products!$B$2:$B$101,MATCH($D199,Products!$A$2:$A$101,0))&amp;"","(not found)"))</f>
        <v/>
      </c>
      <c r="O199" s="49" t="str">
        <f>IF($F199="","",IFERROR(INDEX(Batches!$B$2:$B$301,MATCH($F199,Batches!$A$2:$A$301,0))&amp;"","(not found)"))</f>
        <v/>
      </c>
      <c r="P199" s="49" t="str">
        <f>IF(COUNTA($A199:$L199)=0,"",IF($A199="","Missing: entry ID",IF(COUNTIF($A$2:$A$2001,$A199)&gt;1,"Duplicate entry ID",IF(NOT(ISNUMBER($B199)),"Missing or invalid: date",IF($C199="","Missing: type",IF($D199="","Missing: SKU",IF(NOT(ISNUMBER($E199)),"Missing: qty",IF($F199="","Missing: lot",IF($I199="","Missing: source link",IF(COUNTIF(Config!$A$15:$A$34,$C199)=0,"Unsupported type",IF(COUNTIF(Products!$A$2:$A$101,$D199)=0,"Unknown SKU",IF(COUNTIFS(Batches!$A$2:$A$301,$F199,Batches!$B$2:$B$301,$D199)=0,"Unknown lot for this SKU",IF(AND($C199="Adjustment",$G199=""),"Missing: reason",IF(AND($G199&lt;&gt;"",COUNTIF(Config!$B$15:$B$34,$G199)=0),"Unsupported reason",IF(OR(INT($E199)&lt;&gt;$E199,AND(OR($C199="Receipt",$C199="Shipment"),$E199&lt;=0),AND($C199="Adjustment",$E199=0)),"Invalid qty",IF($B199&gt;Config!$B$4,"Date after the as-of date",IF($B199&lt;Config!$B$5,"Date before the opening balance date","OK")))))))))))))))))</f>
        <v/>
      </c>
    </row>
    <row r="200">
      <c r="A200" s="46" t="n"/>
      <c r="B200" s="54" t="n"/>
      <c r="C200" s="46" t="n"/>
      <c r="D200" s="46" t="n"/>
      <c r="E200" s="55" t="n"/>
      <c r="F200" s="46" t="n"/>
      <c r="G200" s="46" t="n"/>
      <c r="H200" s="46" t="n"/>
      <c r="I200" s="46" t="n"/>
      <c r="J200" s="46" t="n"/>
      <c r="K200" s="46" t="n"/>
      <c r="L200" s="46" t="n"/>
      <c r="M200" s="51" t="str">
        <f>IF(NOT(ISNUMBER($E200)),"",IF($C200="Receipt",$E200,IF($C200="Shipment",-$E200,IF($C200="Adjustment",$E200,0))))</f>
        <v/>
      </c>
      <c r="N200" s="49" t="str">
        <f>IF($D200="","",IFERROR(INDEX(Products!$B$2:$B$101,MATCH($D200,Products!$A$2:$A$101,0))&amp;"","(not found)"))</f>
        <v/>
      </c>
      <c r="O200" s="49" t="str">
        <f>IF($F200="","",IFERROR(INDEX(Batches!$B$2:$B$301,MATCH($F200,Batches!$A$2:$A$301,0))&amp;"","(not found)"))</f>
        <v/>
      </c>
      <c r="P200" s="49" t="str">
        <f>IF(COUNTA($A200:$L200)=0,"",IF($A200="","Missing: entry ID",IF(COUNTIF($A$2:$A$2001,$A200)&gt;1,"Duplicate entry ID",IF(NOT(ISNUMBER($B200)),"Missing or invalid: date",IF($C200="","Missing: type",IF($D200="","Missing: SKU",IF(NOT(ISNUMBER($E200)),"Missing: qty",IF($F200="","Missing: lot",IF($I200="","Missing: source link",IF(COUNTIF(Config!$A$15:$A$34,$C200)=0,"Unsupported type",IF(COUNTIF(Products!$A$2:$A$101,$D200)=0,"Unknown SKU",IF(COUNTIFS(Batches!$A$2:$A$301,$F200,Batches!$B$2:$B$301,$D200)=0,"Unknown lot for this SKU",IF(AND($C200="Adjustment",$G200=""),"Missing: reason",IF(AND($G200&lt;&gt;"",COUNTIF(Config!$B$15:$B$34,$G200)=0),"Unsupported reason",IF(OR(INT($E200)&lt;&gt;$E200,AND(OR($C200="Receipt",$C200="Shipment"),$E200&lt;=0),AND($C200="Adjustment",$E200=0)),"Invalid qty",IF($B200&gt;Config!$B$4,"Date after the as-of date",IF($B200&lt;Config!$B$5,"Date before the opening balance date","OK")))))))))))))))))</f>
        <v/>
      </c>
    </row>
    <row r="201">
      <c r="A201" s="46" t="n"/>
      <c r="B201" s="54" t="n"/>
      <c r="C201" s="46" t="n"/>
      <c r="D201" s="46" t="n"/>
      <c r="E201" s="55" t="n"/>
      <c r="F201" s="46" t="n"/>
      <c r="G201" s="46" t="n"/>
      <c r="H201" s="46" t="n"/>
      <c r="I201" s="46" t="n"/>
      <c r="J201" s="46" t="n"/>
      <c r="K201" s="46" t="n"/>
      <c r="L201" s="46" t="n"/>
      <c r="M201" s="51" t="str">
        <f>IF(NOT(ISNUMBER($E201)),"",IF($C201="Receipt",$E201,IF($C201="Shipment",-$E201,IF($C201="Adjustment",$E201,0))))</f>
        <v/>
      </c>
      <c r="N201" s="49" t="str">
        <f>IF($D201="","",IFERROR(INDEX(Products!$B$2:$B$101,MATCH($D201,Products!$A$2:$A$101,0))&amp;"","(not found)"))</f>
        <v/>
      </c>
      <c r="O201" s="49" t="str">
        <f>IF($F201="","",IFERROR(INDEX(Batches!$B$2:$B$301,MATCH($F201,Batches!$A$2:$A$301,0))&amp;"","(not found)"))</f>
        <v/>
      </c>
      <c r="P201" s="49" t="str">
        <f>IF(COUNTA($A201:$L201)=0,"",IF($A201="","Missing: entry ID",IF(COUNTIF($A$2:$A$2001,$A201)&gt;1,"Duplicate entry ID",IF(NOT(ISNUMBER($B201)),"Missing or invalid: date",IF($C201="","Missing: type",IF($D201="","Missing: SKU",IF(NOT(ISNUMBER($E201)),"Missing: qty",IF($F201="","Missing: lot",IF($I201="","Missing: source link",IF(COUNTIF(Config!$A$15:$A$34,$C201)=0,"Unsupported type",IF(COUNTIF(Products!$A$2:$A$101,$D201)=0,"Unknown SKU",IF(COUNTIFS(Batches!$A$2:$A$301,$F201,Batches!$B$2:$B$301,$D201)=0,"Unknown lot for this SKU",IF(AND($C201="Adjustment",$G201=""),"Missing: reason",IF(AND($G201&lt;&gt;"",COUNTIF(Config!$B$15:$B$34,$G201)=0),"Unsupported reason",IF(OR(INT($E201)&lt;&gt;$E201,AND(OR($C201="Receipt",$C201="Shipment"),$E201&lt;=0),AND($C201="Adjustment",$E201=0)),"Invalid qty",IF($B201&gt;Config!$B$4,"Date after the as-of date",IF($B201&lt;Config!$B$5,"Date before the opening balance date","OK")))))))))))))))))</f>
        <v/>
      </c>
    </row>
    <row r="202">
      <c r="A202" s="46" t="n"/>
      <c r="B202" s="54" t="n"/>
      <c r="C202" s="46" t="n"/>
      <c r="D202" s="46" t="n"/>
      <c r="E202" s="55" t="n"/>
      <c r="F202" s="46" t="n"/>
      <c r="G202" s="46" t="n"/>
      <c r="H202" s="46" t="n"/>
      <c r="I202" s="46" t="n"/>
      <c r="J202" s="46" t="n"/>
      <c r="K202" s="46" t="n"/>
      <c r="L202" s="46" t="n"/>
      <c r="M202" s="51" t="str">
        <f>IF(NOT(ISNUMBER($E202)),"",IF($C202="Receipt",$E202,IF($C202="Shipment",-$E202,IF($C202="Adjustment",$E202,0))))</f>
        <v/>
      </c>
      <c r="N202" s="49" t="str">
        <f>IF($D202="","",IFERROR(INDEX(Products!$B$2:$B$101,MATCH($D202,Products!$A$2:$A$101,0))&amp;"","(not found)"))</f>
        <v/>
      </c>
      <c r="O202" s="49" t="str">
        <f>IF($F202="","",IFERROR(INDEX(Batches!$B$2:$B$301,MATCH($F202,Batches!$A$2:$A$301,0))&amp;"","(not found)"))</f>
        <v/>
      </c>
      <c r="P202" s="49" t="str">
        <f>IF(COUNTA($A202:$L202)=0,"",IF($A202="","Missing: entry ID",IF(COUNTIF($A$2:$A$2001,$A202)&gt;1,"Duplicate entry ID",IF(NOT(ISNUMBER($B202)),"Missing or invalid: date",IF($C202="","Missing: type",IF($D202="","Missing: SKU",IF(NOT(ISNUMBER($E202)),"Missing: qty",IF($F202="","Missing: lot",IF($I202="","Missing: source link",IF(COUNTIF(Config!$A$15:$A$34,$C202)=0,"Unsupported type",IF(COUNTIF(Products!$A$2:$A$101,$D202)=0,"Unknown SKU",IF(COUNTIFS(Batches!$A$2:$A$301,$F202,Batches!$B$2:$B$301,$D202)=0,"Unknown lot for this SKU",IF(AND($C202="Adjustment",$G202=""),"Missing: reason",IF(AND($G202&lt;&gt;"",COUNTIF(Config!$B$15:$B$34,$G202)=0),"Unsupported reason",IF(OR(INT($E202)&lt;&gt;$E202,AND(OR($C202="Receipt",$C202="Shipment"),$E202&lt;=0),AND($C202="Adjustment",$E202=0)),"Invalid qty",IF($B202&gt;Config!$B$4,"Date after the as-of date",IF($B202&lt;Config!$B$5,"Date before the opening balance date","OK")))))))))))))))))</f>
        <v/>
      </c>
    </row>
    <row r="203">
      <c r="A203" s="46" t="n"/>
      <c r="B203" s="54" t="n"/>
      <c r="C203" s="46" t="n"/>
      <c r="D203" s="46" t="n"/>
      <c r="E203" s="55" t="n"/>
      <c r="F203" s="46" t="n"/>
      <c r="G203" s="46" t="n"/>
      <c r="H203" s="46" t="n"/>
      <c r="I203" s="46" t="n"/>
      <c r="J203" s="46" t="n"/>
      <c r="K203" s="46" t="n"/>
      <c r="L203" s="46" t="n"/>
      <c r="M203" s="51" t="str">
        <f>IF(NOT(ISNUMBER($E203)),"",IF($C203="Receipt",$E203,IF($C203="Shipment",-$E203,IF($C203="Adjustment",$E203,0))))</f>
        <v/>
      </c>
      <c r="N203" s="49" t="str">
        <f>IF($D203="","",IFERROR(INDEX(Products!$B$2:$B$101,MATCH($D203,Products!$A$2:$A$101,0))&amp;"","(not found)"))</f>
        <v/>
      </c>
      <c r="O203" s="49" t="str">
        <f>IF($F203="","",IFERROR(INDEX(Batches!$B$2:$B$301,MATCH($F203,Batches!$A$2:$A$301,0))&amp;"","(not found)"))</f>
        <v/>
      </c>
      <c r="P203" s="49" t="str">
        <f>IF(COUNTA($A203:$L203)=0,"",IF($A203="","Missing: entry ID",IF(COUNTIF($A$2:$A$2001,$A203)&gt;1,"Duplicate entry ID",IF(NOT(ISNUMBER($B203)),"Missing or invalid: date",IF($C203="","Missing: type",IF($D203="","Missing: SKU",IF(NOT(ISNUMBER($E203)),"Missing: qty",IF($F203="","Missing: lot",IF($I203="","Missing: source link",IF(COUNTIF(Config!$A$15:$A$34,$C203)=0,"Unsupported type",IF(COUNTIF(Products!$A$2:$A$101,$D203)=0,"Unknown SKU",IF(COUNTIFS(Batches!$A$2:$A$301,$F203,Batches!$B$2:$B$301,$D203)=0,"Unknown lot for this SKU",IF(AND($C203="Adjustment",$G203=""),"Missing: reason",IF(AND($G203&lt;&gt;"",COUNTIF(Config!$B$15:$B$34,$G203)=0),"Unsupported reason",IF(OR(INT($E203)&lt;&gt;$E203,AND(OR($C203="Receipt",$C203="Shipment"),$E203&lt;=0),AND($C203="Adjustment",$E203=0)),"Invalid qty",IF($B203&gt;Config!$B$4,"Date after the as-of date",IF($B203&lt;Config!$B$5,"Date before the opening balance date","OK")))))))))))))))))</f>
        <v/>
      </c>
    </row>
    <row r="204">
      <c r="A204" s="46" t="n"/>
      <c r="B204" s="54" t="n"/>
      <c r="C204" s="46" t="n"/>
      <c r="D204" s="46" t="n"/>
      <c r="E204" s="55" t="n"/>
      <c r="F204" s="46" t="n"/>
      <c r="G204" s="46" t="n"/>
      <c r="H204" s="46" t="n"/>
      <c r="I204" s="46" t="n"/>
      <c r="J204" s="46" t="n"/>
      <c r="K204" s="46" t="n"/>
      <c r="L204" s="46" t="n"/>
      <c r="M204" s="51" t="str">
        <f>IF(NOT(ISNUMBER($E204)),"",IF($C204="Receipt",$E204,IF($C204="Shipment",-$E204,IF($C204="Adjustment",$E204,0))))</f>
        <v/>
      </c>
      <c r="N204" s="49" t="str">
        <f>IF($D204="","",IFERROR(INDEX(Products!$B$2:$B$101,MATCH($D204,Products!$A$2:$A$101,0))&amp;"","(not found)"))</f>
        <v/>
      </c>
      <c r="O204" s="49" t="str">
        <f>IF($F204="","",IFERROR(INDEX(Batches!$B$2:$B$301,MATCH($F204,Batches!$A$2:$A$301,0))&amp;"","(not found)"))</f>
        <v/>
      </c>
      <c r="P204" s="49" t="str">
        <f>IF(COUNTA($A204:$L204)=0,"",IF($A204="","Missing: entry ID",IF(COUNTIF($A$2:$A$2001,$A204)&gt;1,"Duplicate entry ID",IF(NOT(ISNUMBER($B204)),"Missing or invalid: date",IF($C204="","Missing: type",IF($D204="","Missing: SKU",IF(NOT(ISNUMBER($E204)),"Missing: qty",IF($F204="","Missing: lot",IF($I204="","Missing: source link",IF(COUNTIF(Config!$A$15:$A$34,$C204)=0,"Unsupported type",IF(COUNTIF(Products!$A$2:$A$101,$D204)=0,"Unknown SKU",IF(COUNTIFS(Batches!$A$2:$A$301,$F204,Batches!$B$2:$B$301,$D204)=0,"Unknown lot for this SKU",IF(AND($C204="Adjustment",$G204=""),"Missing: reason",IF(AND($G204&lt;&gt;"",COUNTIF(Config!$B$15:$B$34,$G204)=0),"Unsupported reason",IF(OR(INT($E204)&lt;&gt;$E204,AND(OR($C204="Receipt",$C204="Shipment"),$E204&lt;=0),AND($C204="Adjustment",$E204=0)),"Invalid qty",IF($B204&gt;Config!$B$4,"Date after the as-of date",IF($B204&lt;Config!$B$5,"Date before the opening balance date","OK")))))))))))))))))</f>
        <v/>
      </c>
    </row>
    <row r="205">
      <c r="A205" s="46" t="n"/>
      <c r="B205" s="54" t="n"/>
      <c r="C205" s="46" t="n"/>
      <c r="D205" s="46" t="n"/>
      <c r="E205" s="55" t="n"/>
      <c r="F205" s="46" t="n"/>
      <c r="G205" s="46" t="n"/>
      <c r="H205" s="46" t="n"/>
      <c r="I205" s="46" t="n"/>
      <c r="J205" s="46" t="n"/>
      <c r="K205" s="46" t="n"/>
      <c r="L205" s="46" t="n"/>
      <c r="M205" s="51" t="str">
        <f>IF(NOT(ISNUMBER($E205)),"",IF($C205="Receipt",$E205,IF($C205="Shipment",-$E205,IF($C205="Adjustment",$E205,0))))</f>
        <v/>
      </c>
      <c r="N205" s="49" t="str">
        <f>IF($D205="","",IFERROR(INDEX(Products!$B$2:$B$101,MATCH($D205,Products!$A$2:$A$101,0))&amp;"","(not found)"))</f>
        <v/>
      </c>
      <c r="O205" s="49" t="str">
        <f>IF($F205="","",IFERROR(INDEX(Batches!$B$2:$B$301,MATCH($F205,Batches!$A$2:$A$301,0))&amp;"","(not found)"))</f>
        <v/>
      </c>
      <c r="P205" s="49" t="str">
        <f>IF(COUNTA($A205:$L205)=0,"",IF($A205="","Missing: entry ID",IF(COUNTIF($A$2:$A$2001,$A205)&gt;1,"Duplicate entry ID",IF(NOT(ISNUMBER($B205)),"Missing or invalid: date",IF($C205="","Missing: type",IF($D205="","Missing: SKU",IF(NOT(ISNUMBER($E205)),"Missing: qty",IF($F205="","Missing: lot",IF($I205="","Missing: source link",IF(COUNTIF(Config!$A$15:$A$34,$C205)=0,"Unsupported type",IF(COUNTIF(Products!$A$2:$A$101,$D205)=0,"Unknown SKU",IF(COUNTIFS(Batches!$A$2:$A$301,$F205,Batches!$B$2:$B$301,$D205)=0,"Unknown lot for this SKU",IF(AND($C205="Adjustment",$G205=""),"Missing: reason",IF(AND($G205&lt;&gt;"",COUNTIF(Config!$B$15:$B$34,$G205)=0),"Unsupported reason",IF(OR(INT($E205)&lt;&gt;$E205,AND(OR($C205="Receipt",$C205="Shipment"),$E205&lt;=0),AND($C205="Adjustment",$E205=0)),"Invalid qty",IF($B205&gt;Config!$B$4,"Date after the as-of date",IF($B205&lt;Config!$B$5,"Date before the opening balance date","OK")))))))))))))))))</f>
        <v/>
      </c>
    </row>
    <row r="206">
      <c r="A206" s="46" t="n"/>
      <c r="B206" s="54" t="n"/>
      <c r="C206" s="46" t="n"/>
      <c r="D206" s="46" t="n"/>
      <c r="E206" s="55" t="n"/>
      <c r="F206" s="46" t="n"/>
      <c r="G206" s="46" t="n"/>
      <c r="H206" s="46" t="n"/>
      <c r="I206" s="46" t="n"/>
      <c r="J206" s="46" t="n"/>
      <c r="K206" s="46" t="n"/>
      <c r="L206" s="46" t="n"/>
      <c r="M206" s="51" t="str">
        <f>IF(NOT(ISNUMBER($E206)),"",IF($C206="Receipt",$E206,IF($C206="Shipment",-$E206,IF($C206="Adjustment",$E206,0))))</f>
        <v/>
      </c>
      <c r="N206" s="49" t="str">
        <f>IF($D206="","",IFERROR(INDEX(Products!$B$2:$B$101,MATCH($D206,Products!$A$2:$A$101,0))&amp;"","(not found)"))</f>
        <v/>
      </c>
      <c r="O206" s="49" t="str">
        <f>IF($F206="","",IFERROR(INDEX(Batches!$B$2:$B$301,MATCH($F206,Batches!$A$2:$A$301,0))&amp;"","(not found)"))</f>
        <v/>
      </c>
      <c r="P206" s="49" t="str">
        <f>IF(COUNTA($A206:$L206)=0,"",IF($A206="","Missing: entry ID",IF(COUNTIF($A$2:$A$2001,$A206)&gt;1,"Duplicate entry ID",IF(NOT(ISNUMBER($B206)),"Missing or invalid: date",IF($C206="","Missing: type",IF($D206="","Missing: SKU",IF(NOT(ISNUMBER($E206)),"Missing: qty",IF($F206="","Missing: lot",IF($I206="","Missing: source link",IF(COUNTIF(Config!$A$15:$A$34,$C206)=0,"Unsupported type",IF(COUNTIF(Products!$A$2:$A$101,$D206)=0,"Unknown SKU",IF(COUNTIFS(Batches!$A$2:$A$301,$F206,Batches!$B$2:$B$301,$D206)=0,"Unknown lot for this SKU",IF(AND($C206="Adjustment",$G206=""),"Missing: reason",IF(AND($G206&lt;&gt;"",COUNTIF(Config!$B$15:$B$34,$G206)=0),"Unsupported reason",IF(OR(INT($E206)&lt;&gt;$E206,AND(OR($C206="Receipt",$C206="Shipment"),$E206&lt;=0),AND($C206="Adjustment",$E206=0)),"Invalid qty",IF($B206&gt;Config!$B$4,"Date after the as-of date",IF($B206&lt;Config!$B$5,"Date before the opening balance date","OK")))))))))))))))))</f>
        <v/>
      </c>
    </row>
    <row r="207">
      <c r="A207" s="46" t="n"/>
      <c r="B207" s="54" t="n"/>
      <c r="C207" s="46" t="n"/>
      <c r="D207" s="46" t="n"/>
      <c r="E207" s="55" t="n"/>
      <c r="F207" s="46" t="n"/>
      <c r="G207" s="46" t="n"/>
      <c r="H207" s="46" t="n"/>
      <c r="I207" s="46" t="n"/>
      <c r="J207" s="46" t="n"/>
      <c r="K207" s="46" t="n"/>
      <c r="L207" s="46" t="n"/>
      <c r="M207" s="51" t="str">
        <f>IF(NOT(ISNUMBER($E207)),"",IF($C207="Receipt",$E207,IF($C207="Shipment",-$E207,IF($C207="Adjustment",$E207,0))))</f>
        <v/>
      </c>
      <c r="N207" s="49" t="str">
        <f>IF($D207="","",IFERROR(INDEX(Products!$B$2:$B$101,MATCH($D207,Products!$A$2:$A$101,0))&amp;"","(not found)"))</f>
        <v/>
      </c>
      <c r="O207" s="49" t="str">
        <f>IF($F207="","",IFERROR(INDEX(Batches!$B$2:$B$301,MATCH($F207,Batches!$A$2:$A$301,0))&amp;"","(not found)"))</f>
        <v/>
      </c>
      <c r="P207" s="49" t="str">
        <f>IF(COUNTA($A207:$L207)=0,"",IF($A207="","Missing: entry ID",IF(COUNTIF($A$2:$A$2001,$A207)&gt;1,"Duplicate entry ID",IF(NOT(ISNUMBER($B207)),"Missing or invalid: date",IF($C207="","Missing: type",IF($D207="","Missing: SKU",IF(NOT(ISNUMBER($E207)),"Missing: qty",IF($F207="","Missing: lot",IF($I207="","Missing: source link",IF(COUNTIF(Config!$A$15:$A$34,$C207)=0,"Unsupported type",IF(COUNTIF(Products!$A$2:$A$101,$D207)=0,"Unknown SKU",IF(COUNTIFS(Batches!$A$2:$A$301,$F207,Batches!$B$2:$B$301,$D207)=0,"Unknown lot for this SKU",IF(AND($C207="Adjustment",$G207=""),"Missing: reason",IF(AND($G207&lt;&gt;"",COUNTIF(Config!$B$15:$B$34,$G207)=0),"Unsupported reason",IF(OR(INT($E207)&lt;&gt;$E207,AND(OR($C207="Receipt",$C207="Shipment"),$E207&lt;=0),AND($C207="Adjustment",$E207=0)),"Invalid qty",IF($B207&gt;Config!$B$4,"Date after the as-of date",IF($B207&lt;Config!$B$5,"Date before the opening balance date","OK")))))))))))))))))</f>
        <v/>
      </c>
    </row>
    <row r="208">
      <c r="A208" s="46" t="n"/>
      <c r="B208" s="54" t="n"/>
      <c r="C208" s="46" t="n"/>
      <c r="D208" s="46" t="n"/>
      <c r="E208" s="55" t="n"/>
      <c r="F208" s="46" t="n"/>
      <c r="G208" s="46" t="n"/>
      <c r="H208" s="46" t="n"/>
      <c r="I208" s="46" t="n"/>
      <c r="J208" s="46" t="n"/>
      <c r="K208" s="46" t="n"/>
      <c r="L208" s="46" t="n"/>
      <c r="M208" s="51" t="str">
        <f>IF(NOT(ISNUMBER($E208)),"",IF($C208="Receipt",$E208,IF($C208="Shipment",-$E208,IF($C208="Adjustment",$E208,0))))</f>
        <v/>
      </c>
      <c r="N208" s="49" t="str">
        <f>IF($D208="","",IFERROR(INDEX(Products!$B$2:$B$101,MATCH($D208,Products!$A$2:$A$101,0))&amp;"","(not found)"))</f>
        <v/>
      </c>
      <c r="O208" s="49" t="str">
        <f>IF($F208="","",IFERROR(INDEX(Batches!$B$2:$B$301,MATCH($F208,Batches!$A$2:$A$301,0))&amp;"","(not found)"))</f>
        <v/>
      </c>
      <c r="P208" s="49" t="str">
        <f>IF(COUNTA($A208:$L208)=0,"",IF($A208="","Missing: entry ID",IF(COUNTIF($A$2:$A$2001,$A208)&gt;1,"Duplicate entry ID",IF(NOT(ISNUMBER($B208)),"Missing or invalid: date",IF($C208="","Missing: type",IF($D208="","Missing: SKU",IF(NOT(ISNUMBER($E208)),"Missing: qty",IF($F208="","Missing: lot",IF($I208="","Missing: source link",IF(COUNTIF(Config!$A$15:$A$34,$C208)=0,"Unsupported type",IF(COUNTIF(Products!$A$2:$A$101,$D208)=0,"Unknown SKU",IF(COUNTIFS(Batches!$A$2:$A$301,$F208,Batches!$B$2:$B$301,$D208)=0,"Unknown lot for this SKU",IF(AND($C208="Adjustment",$G208=""),"Missing: reason",IF(AND($G208&lt;&gt;"",COUNTIF(Config!$B$15:$B$34,$G208)=0),"Unsupported reason",IF(OR(INT($E208)&lt;&gt;$E208,AND(OR($C208="Receipt",$C208="Shipment"),$E208&lt;=0),AND($C208="Adjustment",$E208=0)),"Invalid qty",IF($B208&gt;Config!$B$4,"Date after the as-of date",IF($B208&lt;Config!$B$5,"Date before the opening balance date","OK")))))))))))))))))</f>
        <v/>
      </c>
    </row>
    <row r="209">
      <c r="A209" s="46" t="n"/>
      <c r="B209" s="54" t="n"/>
      <c r="C209" s="46" t="n"/>
      <c r="D209" s="46" t="n"/>
      <c r="E209" s="55" t="n"/>
      <c r="F209" s="46" t="n"/>
      <c r="G209" s="46" t="n"/>
      <c r="H209" s="46" t="n"/>
      <c r="I209" s="46" t="n"/>
      <c r="J209" s="46" t="n"/>
      <c r="K209" s="46" t="n"/>
      <c r="L209" s="46" t="n"/>
      <c r="M209" s="51" t="str">
        <f>IF(NOT(ISNUMBER($E209)),"",IF($C209="Receipt",$E209,IF($C209="Shipment",-$E209,IF($C209="Adjustment",$E209,0))))</f>
        <v/>
      </c>
      <c r="N209" s="49" t="str">
        <f>IF($D209="","",IFERROR(INDEX(Products!$B$2:$B$101,MATCH($D209,Products!$A$2:$A$101,0))&amp;"","(not found)"))</f>
        <v/>
      </c>
      <c r="O209" s="49" t="str">
        <f>IF($F209="","",IFERROR(INDEX(Batches!$B$2:$B$301,MATCH($F209,Batches!$A$2:$A$301,0))&amp;"","(not found)"))</f>
        <v/>
      </c>
      <c r="P209" s="49" t="str">
        <f>IF(COUNTA($A209:$L209)=0,"",IF($A209="","Missing: entry ID",IF(COUNTIF($A$2:$A$2001,$A209)&gt;1,"Duplicate entry ID",IF(NOT(ISNUMBER($B209)),"Missing or invalid: date",IF($C209="","Missing: type",IF($D209="","Missing: SKU",IF(NOT(ISNUMBER($E209)),"Missing: qty",IF($F209="","Missing: lot",IF($I209="","Missing: source link",IF(COUNTIF(Config!$A$15:$A$34,$C209)=0,"Unsupported type",IF(COUNTIF(Products!$A$2:$A$101,$D209)=0,"Unknown SKU",IF(COUNTIFS(Batches!$A$2:$A$301,$F209,Batches!$B$2:$B$301,$D209)=0,"Unknown lot for this SKU",IF(AND($C209="Adjustment",$G209=""),"Missing: reason",IF(AND($G209&lt;&gt;"",COUNTIF(Config!$B$15:$B$34,$G209)=0),"Unsupported reason",IF(OR(INT($E209)&lt;&gt;$E209,AND(OR($C209="Receipt",$C209="Shipment"),$E209&lt;=0),AND($C209="Adjustment",$E209=0)),"Invalid qty",IF($B209&gt;Config!$B$4,"Date after the as-of date",IF($B209&lt;Config!$B$5,"Date before the opening balance date","OK")))))))))))))))))</f>
        <v/>
      </c>
    </row>
    <row r="210">
      <c r="A210" s="46" t="n"/>
      <c r="B210" s="54" t="n"/>
      <c r="C210" s="46" t="n"/>
      <c r="D210" s="46" t="n"/>
      <c r="E210" s="55" t="n"/>
      <c r="F210" s="46" t="n"/>
      <c r="G210" s="46" t="n"/>
      <c r="H210" s="46" t="n"/>
      <c r="I210" s="46" t="n"/>
      <c r="J210" s="46" t="n"/>
      <c r="K210" s="46" t="n"/>
      <c r="L210" s="46" t="n"/>
      <c r="M210" s="51" t="str">
        <f>IF(NOT(ISNUMBER($E210)),"",IF($C210="Receipt",$E210,IF($C210="Shipment",-$E210,IF($C210="Adjustment",$E210,0))))</f>
        <v/>
      </c>
      <c r="N210" s="49" t="str">
        <f>IF($D210="","",IFERROR(INDEX(Products!$B$2:$B$101,MATCH($D210,Products!$A$2:$A$101,0))&amp;"","(not found)"))</f>
        <v/>
      </c>
      <c r="O210" s="49" t="str">
        <f>IF($F210="","",IFERROR(INDEX(Batches!$B$2:$B$301,MATCH($F210,Batches!$A$2:$A$301,0))&amp;"","(not found)"))</f>
        <v/>
      </c>
      <c r="P210" s="49" t="str">
        <f>IF(COUNTA($A210:$L210)=0,"",IF($A210="","Missing: entry ID",IF(COUNTIF($A$2:$A$2001,$A210)&gt;1,"Duplicate entry ID",IF(NOT(ISNUMBER($B210)),"Missing or invalid: date",IF($C210="","Missing: type",IF($D210="","Missing: SKU",IF(NOT(ISNUMBER($E210)),"Missing: qty",IF($F210="","Missing: lot",IF($I210="","Missing: source link",IF(COUNTIF(Config!$A$15:$A$34,$C210)=0,"Unsupported type",IF(COUNTIF(Products!$A$2:$A$101,$D210)=0,"Unknown SKU",IF(COUNTIFS(Batches!$A$2:$A$301,$F210,Batches!$B$2:$B$301,$D210)=0,"Unknown lot for this SKU",IF(AND($C210="Adjustment",$G210=""),"Missing: reason",IF(AND($G210&lt;&gt;"",COUNTIF(Config!$B$15:$B$34,$G210)=0),"Unsupported reason",IF(OR(INT($E210)&lt;&gt;$E210,AND(OR($C210="Receipt",$C210="Shipment"),$E210&lt;=0),AND($C210="Adjustment",$E210=0)),"Invalid qty",IF($B210&gt;Config!$B$4,"Date after the as-of date",IF($B210&lt;Config!$B$5,"Date before the opening balance date","OK")))))))))))))))))</f>
        <v/>
      </c>
    </row>
    <row r="211">
      <c r="A211" s="46" t="n"/>
      <c r="B211" s="54" t="n"/>
      <c r="C211" s="46" t="n"/>
      <c r="D211" s="46" t="n"/>
      <c r="E211" s="55" t="n"/>
      <c r="F211" s="46" t="n"/>
      <c r="G211" s="46" t="n"/>
      <c r="H211" s="46" t="n"/>
      <c r="I211" s="46" t="n"/>
      <c r="J211" s="46" t="n"/>
      <c r="K211" s="46" t="n"/>
      <c r="L211" s="46" t="n"/>
      <c r="M211" s="51" t="str">
        <f>IF(NOT(ISNUMBER($E211)),"",IF($C211="Receipt",$E211,IF($C211="Shipment",-$E211,IF($C211="Adjustment",$E211,0))))</f>
        <v/>
      </c>
      <c r="N211" s="49" t="str">
        <f>IF($D211="","",IFERROR(INDEX(Products!$B$2:$B$101,MATCH($D211,Products!$A$2:$A$101,0))&amp;"","(not found)"))</f>
        <v/>
      </c>
      <c r="O211" s="49" t="str">
        <f>IF($F211="","",IFERROR(INDEX(Batches!$B$2:$B$301,MATCH($F211,Batches!$A$2:$A$301,0))&amp;"","(not found)"))</f>
        <v/>
      </c>
      <c r="P211" s="49" t="str">
        <f>IF(COUNTA($A211:$L211)=0,"",IF($A211="","Missing: entry ID",IF(COUNTIF($A$2:$A$2001,$A211)&gt;1,"Duplicate entry ID",IF(NOT(ISNUMBER($B211)),"Missing or invalid: date",IF($C211="","Missing: type",IF($D211="","Missing: SKU",IF(NOT(ISNUMBER($E211)),"Missing: qty",IF($F211="","Missing: lot",IF($I211="","Missing: source link",IF(COUNTIF(Config!$A$15:$A$34,$C211)=0,"Unsupported type",IF(COUNTIF(Products!$A$2:$A$101,$D211)=0,"Unknown SKU",IF(COUNTIFS(Batches!$A$2:$A$301,$F211,Batches!$B$2:$B$301,$D211)=0,"Unknown lot for this SKU",IF(AND($C211="Adjustment",$G211=""),"Missing: reason",IF(AND($G211&lt;&gt;"",COUNTIF(Config!$B$15:$B$34,$G211)=0),"Unsupported reason",IF(OR(INT($E211)&lt;&gt;$E211,AND(OR($C211="Receipt",$C211="Shipment"),$E211&lt;=0),AND($C211="Adjustment",$E211=0)),"Invalid qty",IF($B211&gt;Config!$B$4,"Date after the as-of date",IF($B211&lt;Config!$B$5,"Date before the opening balance date","OK")))))))))))))))))</f>
        <v/>
      </c>
    </row>
    <row r="212">
      <c r="A212" s="46" t="n"/>
      <c r="B212" s="54" t="n"/>
      <c r="C212" s="46" t="n"/>
      <c r="D212" s="46" t="n"/>
      <c r="E212" s="55" t="n"/>
      <c r="F212" s="46" t="n"/>
      <c r="G212" s="46" t="n"/>
      <c r="H212" s="46" t="n"/>
      <c r="I212" s="46" t="n"/>
      <c r="J212" s="46" t="n"/>
      <c r="K212" s="46" t="n"/>
      <c r="L212" s="46" t="n"/>
      <c r="M212" s="51" t="str">
        <f>IF(NOT(ISNUMBER($E212)),"",IF($C212="Receipt",$E212,IF($C212="Shipment",-$E212,IF($C212="Adjustment",$E212,0))))</f>
        <v/>
      </c>
      <c r="N212" s="49" t="str">
        <f>IF($D212="","",IFERROR(INDEX(Products!$B$2:$B$101,MATCH($D212,Products!$A$2:$A$101,0))&amp;"","(not found)"))</f>
        <v/>
      </c>
      <c r="O212" s="49" t="str">
        <f>IF($F212="","",IFERROR(INDEX(Batches!$B$2:$B$301,MATCH($F212,Batches!$A$2:$A$301,0))&amp;"","(not found)"))</f>
        <v/>
      </c>
      <c r="P212" s="49" t="str">
        <f>IF(COUNTA($A212:$L212)=0,"",IF($A212="","Missing: entry ID",IF(COUNTIF($A$2:$A$2001,$A212)&gt;1,"Duplicate entry ID",IF(NOT(ISNUMBER($B212)),"Missing or invalid: date",IF($C212="","Missing: type",IF($D212="","Missing: SKU",IF(NOT(ISNUMBER($E212)),"Missing: qty",IF($F212="","Missing: lot",IF($I212="","Missing: source link",IF(COUNTIF(Config!$A$15:$A$34,$C212)=0,"Unsupported type",IF(COUNTIF(Products!$A$2:$A$101,$D212)=0,"Unknown SKU",IF(COUNTIFS(Batches!$A$2:$A$301,$F212,Batches!$B$2:$B$301,$D212)=0,"Unknown lot for this SKU",IF(AND($C212="Adjustment",$G212=""),"Missing: reason",IF(AND($G212&lt;&gt;"",COUNTIF(Config!$B$15:$B$34,$G212)=0),"Unsupported reason",IF(OR(INT($E212)&lt;&gt;$E212,AND(OR($C212="Receipt",$C212="Shipment"),$E212&lt;=0),AND($C212="Adjustment",$E212=0)),"Invalid qty",IF($B212&gt;Config!$B$4,"Date after the as-of date",IF($B212&lt;Config!$B$5,"Date before the opening balance date","OK")))))))))))))))))</f>
        <v/>
      </c>
    </row>
    <row r="213">
      <c r="A213" s="46" t="n"/>
      <c r="B213" s="54" t="n"/>
      <c r="C213" s="46" t="n"/>
      <c r="D213" s="46" t="n"/>
      <c r="E213" s="55" t="n"/>
      <c r="F213" s="46" t="n"/>
      <c r="G213" s="46" t="n"/>
      <c r="H213" s="46" t="n"/>
      <c r="I213" s="46" t="n"/>
      <c r="J213" s="46" t="n"/>
      <c r="K213" s="46" t="n"/>
      <c r="L213" s="46" t="n"/>
      <c r="M213" s="51" t="str">
        <f>IF(NOT(ISNUMBER($E213)),"",IF($C213="Receipt",$E213,IF($C213="Shipment",-$E213,IF($C213="Adjustment",$E213,0))))</f>
        <v/>
      </c>
      <c r="N213" s="49" t="str">
        <f>IF($D213="","",IFERROR(INDEX(Products!$B$2:$B$101,MATCH($D213,Products!$A$2:$A$101,0))&amp;"","(not found)"))</f>
        <v/>
      </c>
      <c r="O213" s="49" t="str">
        <f>IF($F213="","",IFERROR(INDEX(Batches!$B$2:$B$301,MATCH($F213,Batches!$A$2:$A$301,0))&amp;"","(not found)"))</f>
        <v/>
      </c>
      <c r="P213" s="49" t="str">
        <f>IF(COUNTA($A213:$L213)=0,"",IF($A213="","Missing: entry ID",IF(COUNTIF($A$2:$A$2001,$A213)&gt;1,"Duplicate entry ID",IF(NOT(ISNUMBER($B213)),"Missing or invalid: date",IF($C213="","Missing: type",IF($D213="","Missing: SKU",IF(NOT(ISNUMBER($E213)),"Missing: qty",IF($F213="","Missing: lot",IF($I213="","Missing: source link",IF(COUNTIF(Config!$A$15:$A$34,$C213)=0,"Unsupported type",IF(COUNTIF(Products!$A$2:$A$101,$D213)=0,"Unknown SKU",IF(COUNTIFS(Batches!$A$2:$A$301,$F213,Batches!$B$2:$B$301,$D213)=0,"Unknown lot for this SKU",IF(AND($C213="Adjustment",$G213=""),"Missing: reason",IF(AND($G213&lt;&gt;"",COUNTIF(Config!$B$15:$B$34,$G213)=0),"Unsupported reason",IF(OR(INT($E213)&lt;&gt;$E213,AND(OR($C213="Receipt",$C213="Shipment"),$E213&lt;=0),AND($C213="Adjustment",$E213=0)),"Invalid qty",IF($B213&gt;Config!$B$4,"Date after the as-of date",IF($B213&lt;Config!$B$5,"Date before the opening balance date","OK")))))))))))))))))</f>
        <v/>
      </c>
    </row>
    <row r="214">
      <c r="A214" s="46" t="n"/>
      <c r="B214" s="54" t="n"/>
      <c r="C214" s="46" t="n"/>
      <c r="D214" s="46" t="n"/>
      <c r="E214" s="55" t="n"/>
      <c r="F214" s="46" t="n"/>
      <c r="G214" s="46" t="n"/>
      <c r="H214" s="46" t="n"/>
      <c r="I214" s="46" t="n"/>
      <c r="J214" s="46" t="n"/>
      <c r="K214" s="46" t="n"/>
      <c r="L214" s="46" t="n"/>
      <c r="M214" s="51" t="str">
        <f>IF(NOT(ISNUMBER($E214)),"",IF($C214="Receipt",$E214,IF($C214="Shipment",-$E214,IF($C214="Adjustment",$E214,0))))</f>
        <v/>
      </c>
      <c r="N214" s="49" t="str">
        <f>IF($D214="","",IFERROR(INDEX(Products!$B$2:$B$101,MATCH($D214,Products!$A$2:$A$101,0))&amp;"","(not found)"))</f>
        <v/>
      </c>
      <c r="O214" s="49" t="str">
        <f>IF($F214="","",IFERROR(INDEX(Batches!$B$2:$B$301,MATCH($F214,Batches!$A$2:$A$301,0))&amp;"","(not found)"))</f>
        <v/>
      </c>
      <c r="P214" s="49" t="str">
        <f>IF(COUNTA($A214:$L214)=0,"",IF($A214="","Missing: entry ID",IF(COUNTIF($A$2:$A$2001,$A214)&gt;1,"Duplicate entry ID",IF(NOT(ISNUMBER($B214)),"Missing or invalid: date",IF($C214="","Missing: type",IF($D214="","Missing: SKU",IF(NOT(ISNUMBER($E214)),"Missing: qty",IF($F214="","Missing: lot",IF($I214="","Missing: source link",IF(COUNTIF(Config!$A$15:$A$34,$C214)=0,"Unsupported type",IF(COUNTIF(Products!$A$2:$A$101,$D214)=0,"Unknown SKU",IF(COUNTIFS(Batches!$A$2:$A$301,$F214,Batches!$B$2:$B$301,$D214)=0,"Unknown lot for this SKU",IF(AND($C214="Adjustment",$G214=""),"Missing: reason",IF(AND($G214&lt;&gt;"",COUNTIF(Config!$B$15:$B$34,$G214)=0),"Unsupported reason",IF(OR(INT($E214)&lt;&gt;$E214,AND(OR($C214="Receipt",$C214="Shipment"),$E214&lt;=0),AND($C214="Adjustment",$E214=0)),"Invalid qty",IF($B214&gt;Config!$B$4,"Date after the as-of date",IF($B214&lt;Config!$B$5,"Date before the opening balance date","OK")))))))))))))))))</f>
        <v/>
      </c>
    </row>
    <row r="215">
      <c r="A215" s="46" t="n"/>
      <c r="B215" s="54" t="n"/>
      <c r="C215" s="46" t="n"/>
      <c r="D215" s="46" t="n"/>
      <c r="E215" s="55" t="n"/>
      <c r="F215" s="46" t="n"/>
      <c r="G215" s="46" t="n"/>
      <c r="H215" s="46" t="n"/>
      <c r="I215" s="46" t="n"/>
      <c r="J215" s="46" t="n"/>
      <c r="K215" s="46" t="n"/>
      <c r="L215" s="46" t="n"/>
      <c r="M215" s="51" t="str">
        <f>IF(NOT(ISNUMBER($E215)),"",IF($C215="Receipt",$E215,IF($C215="Shipment",-$E215,IF($C215="Adjustment",$E215,0))))</f>
        <v/>
      </c>
      <c r="N215" s="49" t="str">
        <f>IF($D215="","",IFERROR(INDEX(Products!$B$2:$B$101,MATCH($D215,Products!$A$2:$A$101,0))&amp;"","(not found)"))</f>
        <v/>
      </c>
      <c r="O215" s="49" t="str">
        <f>IF($F215="","",IFERROR(INDEX(Batches!$B$2:$B$301,MATCH($F215,Batches!$A$2:$A$301,0))&amp;"","(not found)"))</f>
        <v/>
      </c>
      <c r="P215" s="49" t="str">
        <f>IF(COUNTA($A215:$L215)=0,"",IF($A215="","Missing: entry ID",IF(COUNTIF($A$2:$A$2001,$A215)&gt;1,"Duplicate entry ID",IF(NOT(ISNUMBER($B215)),"Missing or invalid: date",IF($C215="","Missing: type",IF($D215="","Missing: SKU",IF(NOT(ISNUMBER($E215)),"Missing: qty",IF($F215="","Missing: lot",IF($I215="","Missing: source link",IF(COUNTIF(Config!$A$15:$A$34,$C215)=0,"Unsupported type",IF(COUNTIF(Products!$A$2:$A$101,$D215)=0,"Unknown SKU",IF(COUNTIFS(Batches!$A$2:$A$301,$F215,Batches!$B$2:$B$301,$D215)=0,"Unknown lot for this SKU",IF(AND($C215="Adjustment",$G215=""),"Missing: reason",IF(AND($G215&lt;&gt;"",COUNTIF(Config!$B$15:$B$34,$G215)=0),"Unsupported reason",IF(OR(INT($E215)&lt;&gt;$E215,AND(OR($C215="Receipt",$C215="Shipment"),$E215&lt;=0),AND($C215="Adjustment",$E215=0)),"Invalid qty",IF($B215&gt;Config!$B$4,"Date after the as-of date",IF($B215&lt;Config!$B$5,"Date before the opening balance date","OK")))))))))))))))))</f>
        <v/>
      </c>
    </row>
    <row r="216">
      <c r="A216" s="46" t="n"/>
      <c r="B216" s="54" t="n"/>
      <c r="C216" s="46" t="n"/>
      <c r="D216" s="46" t="n"/>
      <c r="E216" s="55" t="n"/>
      <c r="F216" s="46" t="n"/>
      <c r="G216" s="46" t="n"/>
      <c r="H216" s="46" t="n"/>
      <c r="I216" s="46" t="n"/>
      <c r="J216" s="46" t="n"/>
      <c r="K216" s="46" t="n"/>
      <c r="L216" s="46" t="n"/>
      <c r="M216" s="51" t="str">
        <f>IF(NOT(ISNUMBER($E216)),"",IF($C216="Receipt",$E216,IF($C216="Shipment",-$E216,IF($C216="Adjustment",$E216,0))))</f>
        <v/>
      </c>
      <c r="N216" s="49" t="str">
        <f>IF($D216="","",IFERROR(INDEX(Products!$B$2:$B$101,MATCH($D216,Products!$A$2:$A$101,0))&amp;"","(not found)"))</f>
        <v/>
      </c>
      <c r="O216" s="49" t="str">
        <f>IF($F216="","",IFERROR(INDEX(Batches!$B$2:$B$301,MATCH($F216,Batches!$A$2:$A$301,0))&amp;"","(not found)"))</f>
        <v/>
      </c>
      <c r="P216" s="49" t="str">
        <f>IF(COUNTA($A216:$L216)=0,"",IF($A216="","Missing: entry ID",IF(COUNTIF($A$2:$A$2001,$A216)&gt;1,"Duplicate entry ID",IF(NOT(ISNUMBER($B216)),"Missing or invalid: date",IF($C216="","Missing: type",IF($D216="","Missing: SKU",IF(NOT(ISNUMBER($E216)),"Missing: qty",IF($F216="","Missing: lot",IF($I216="","Missing: source link",IF(COUNTIF(Config!$A$15:$A$34,$C216)=0,"Unsupported type",IF(COUNTIF(Products!$A$2:$A$101,$D216)=0,"Unknown SKU",IF(COUNTIFS(Batches!$A$2:$A$301,$F216,Batches!$B$2:$B$301,$D216)=0,"Unknown lot for this SKU",IF(AND($C216="Adjustment",$G216=""),"Missing: reason",IF(AND($G216&lt;&gt;"",COUNTIF(Config!$B$15:$B$34,$G216)=0),"Unsupported reason",IF(OR(INT($E216)&lt;&gt;$E216,AND(OR($C216="Receipt",$C216="Shipment"),$E216&lt;=0),AND($C216="Adjustment",$E216=0)),"Invalid qty",IF($B216&gt;Config!$B$4,"Date after the as-of date",IF($B216&lt;Config!$B$5,"Date before the opening balance date","OK")))))))))))))))))</f>
        <v/>
      </c>
    </row>
    <row r="217">
      <c r="A217" s="46" t="n"/>
      <c r="B217" s="54" t="n"/>
      <c r="C217" s="46" t="n"/>
      <c r="D217" s="46" t="n"/>
      <c r="E217" s="55" t="n"/>
      <c r="F217" s="46" t="n"/>
      <c r="G217" s="46" t="n"/>
      <c r="H217" s="46" t="n"/>
      <c r="I217" s="46" t="n"/>
      <c r="J217" s="46" t="n"/>
      <c r="K217" s="46" t="n"/>
      <c r="L217" s="46" t="n"/>
      <c r="M217" s="51" t="str">
        <f>IF(NOT(ISNUMBER($E217)),"",IF($C217="Receipt",$E217,IF($C217="Shipment",-$E217,IF($C217="Adjustment",$E217,0))))</f>
        <v/>
      </c>
      <c r="N217" s="49" t="str">
        <f>IF($D217="","",IFERROR(INDEX(Products!$B$2:$B$101,MATCH($D217,Products!$A$2:$A$101,0))&amp;"","(not found)"))</f>
        <v/>
      </c>
      <c r="O217" s="49" t="str">
        <f>IF($F217="","",IFERROR(INDEX(Batches!$B$2:$B$301,MATCH($F217,Batches!$A$2:$A$301,0))&amp;"","(not found)"))</f>
        <v/>
      </c>
      <c r="P217" s="49" t="str">
        <f>IF(COUNTA($A217:$L217)=0,"",IF($A217="","Missing: entry ID",IF(COUNTIF($A$2:$A$2001,$A217)&gt;1,"Duplicate entry ID",IF(NOT(ISNUMBER($B217)),"Missing or invalid: date",IF($C217="","Missing: type",IF($D217="","Missing: SKU",IF(NOT(ISNUMBER($E217)),"Missing: qty",IF($F217="","Missing: lot",IF($I217="","Missing: source link",IF(COUNTIF(Config!$A$15:$A$34,$C217)=0,"Unsupported type",IF(COUNTIF(Products!$A$2:$A$101,$D217)=0,"Unknown SKU",IF(COUNTIFS(Batches!$A$2:$A$301,$F217,Batches!$B$2:$B$301,$D217)=0,"Unknown lot for this SKU",IF(AND($C217="Adjustment",$G217=""),"Missing: reason",IF(AND($G217&lt;&gt;"",COUNTIF(Config!$B$15:$B$34,$G217)=0),"Unsupported reason",IF(OR(INT($E217)&lt;&gt;$E217,AND(OR($C217="Receipt",$C217="Shipment"),$E217&lt;=0),AND($C217="Adjustment",$E217=0)),"Invalid qty",IF($B217&gt;Config!$B$4,"Date after the as-of date",IF($B217&lt;Config!$B$5,"Date before the opening balance date","OK")))))))))))))))))</f>
        <v/>
      </c>
    </row>
    <row r="218">
      <c r="A218" s="46" t="n"/>
      <c r="B218" s="54" t="n"/>
      <c r="C218" s="46" t="n"/>
      <c r="D218" s="46" t="n"/>
      <c r="E218" s="55" t="n"/>
      <c r="F218" s="46" t="n"/>
      <c r="G218" s="46" t="n"/>
      <c r="H218" s="46" t="n"/>
      <c r="I218" s="46" t="n"/>
      <c r="J218" s="46" t="n"/>
      <c r="K218" s="46" t="n"/>
      <c r="L218" s="46" t="n"/>
      <c r="M218" s="51" t="str">
        <f>IF(NOT(ISNUMBER($E218)),"",IF($C218="Receipt",$E218,IF($C218="Shipment",-$E218,IF($C218="Adjustment",$E218,0))))</f>
        <v/>
      </c>
      <c r="N218" s="49" t="str">
        <f>IF($D218="","",IFERROR(INDEX(Products!$B$2:$B$101,MATCH($D218,Products!$A$2:$A$101,0))&amp;"","(not found)"))</f>
        <v/>
      </c>
      <c r="O218" s="49" t="str">
        <f>IF($F218="","",IFERROR(INDEX(Batches!$B$2:$B$301,MATCH($F218,Batches!$A$2:$A$301,0))&amp;"","(not found)"))</f>
        <v/>
      </c>
      <c r="P218" s="49" t="str">
        <f>IF(COUNTA($A218:$L218)=0,"",IF($A218="","Missing: entry ID",IF(COUNTIF($A$2:$A$2001,$A218)&gt;1,"Duplicate entry ID",IF(NOT(ISNUMBER($B218)),"Missing or invalid: date",IF($C218="","Missing: type",IF($D218="","Missing: SKU",IF(NOT(ISNUMBER($E218)),"Missing: qty",IF($F218="","Missing: lot",IF($I218="","Missing: source link",IF(COUNTIF(Config!$A$15:$A$34,$C218)=0,"Unsupported type",IF(COUNTIF(Products!$A$2:$A$101,$D218)=0,"Unknown SKU",IF(COUNTIFS(Batches!$A$2:$A$301,$F218,Batches!$B$2:$B$301,$D218)=0,"Unknown lot for this SKU",IF(AND($C218="Adjustment",$G218=""),"Missing: reason",IF(AND($G218&lt;&gt;"",COUNTIF(Config!$B$15:$B$34,$G218)=0),"Unsupported reason",IF(OR(INT($E218)&lt;&gt;$E218,AND(OR($C218="Receipt",$C218="Shipment"),$E218&lt;=0),AND($C218="Adjustment",$E218=0)),"Invalid qty",IF($B218&gt;Config!$B$4,"Date after the as-of date",IF($B218&lt;Config!$B$5,"Date before the opening balance date","OK")))))))))))))))))</f>
        <v/>
      </c>
    </row>
    <row r="219">
      <c r="A219" s="46" t="n"/>
      <c r="B219" s="54" t="n"/>
      <c r="C219" s="46" t="n"/>
      <c r="D219" s="46" t="n"/>
      <c r="E219" s="55" t="n"/>
      <c r="F219" s="46" t="n"/>
      <c r="G219" s="46" t="n"/>
      <c r="H219" s="46" t="n"/>
      <c r="I219" s="46" t="n"/>
      <c r="J219" s="46" t="n"/>
      <c r="K219" s="46" t="n"/>
      <c r="L219" s="46" t="n"/>
      <c r="M219" s="51" t="str">
        <f>IF(NOT(ISNUMBER($E219)),"",IF($C219="Receipt",$E219,IF($C219="Shipment",-$E219,IF($C219="Adjustment",$E219,0))))</f>
        <v/>
      </c>
      <c r="N219" s="49" t="str">
        <f>IF($D219="","",IFERROR(INDEX(Products!$B$2:$B$101,MATCH($D219,Products!$A$2:$A$101,0))&amp;"","(not found)"))</f>
        <v/>
      </c>
      <c r="O219" s="49" t="str">
        <f>IF($F219="","",IFERROR(INDEX(Batches!$B$2:$B$301,MATCH($F219,Batches!$A$2:$A$301,0))&amp;"","(not found)"))</f>
        <v/>
      </c>
      <c r="P219" s="49" t="str">
        <f>IF(COUNTA($A219:$L219)=0,"",IF($A219="","Missing: entry ID",IF(COUNTIF($A$2:$A$2001,$A219)&gt;1,"Duplicate entry ID",IF(NOT(ISNUMBER($B219)),"Missing or invalid: date",IF($C219="","Missing: type",IF($D219="","Missing: SKU",IF(NOT(ISNUMBER($E219)),"Missing: qty",IF($F219="","Missing: lot",IF($I219="","Missing: source link",IF(COUNTIF(Config!$A$15:$A$34,$C219)=0,"Unsupported type",IF(COUNTIF(Products!$A$2:$A$101,$D219)=0,"Unknown SKU",IF(COUNTIFS(Batches!$A$2:$A$301,$F219,Batches!$B$2:$B$301,$D219)=0,"Unknown lot for this SKU",IF(AND($C219="Adjustment",$G219=""),"Missing: reason",IF(AND($G219&lt;&gt;"",COUNTIF(Config!$B$15:$B$34,$G219)=0),"Unsupported reason",IF(OR(INT($E219)&lt;&gt;$E219,AND(OR($C219="Receipt",$C219="Shipment"),$E219&lt;=0),AND($C219="Adjustment",$E219=0)),"Invalid qty",IF($B219&gt;Config!$B$4,"Date after the as-of date",IF($B219&lt;Config!$B$5,"Date before the opening balance date","OK")))))))))))))))))</f>
        <v/>
      </c>
    </row>
    <row r="220">
      <c r="A220" s="46" t="n"/>
      <c r="B220" s="54" t="n"/>
      <c r="C220" s="46" t="n"/>
      <c r="D220" s="46" t="n"/>
      <c r="E220" s="55" t="n"/>
      <c r="F220" s="46" t="n"/>
      <c r="G220" s="46" t="n"/>
      <c r="H220" s="46" t="n"/>
      <c r="I220" s="46" t="n"/>
      <c r="J220" s="46" t="n"/>
      <c r="K220" s="46" t="n"/>
      <c r="L220" s="46" t="n"/>
      <c r="M220" s="51" t="str">
        <f>IF(NOT(ISNUMBER($E220)),"",IF($C220="Receipt",$E220,IF($C220="Shipment",-$E220,IF($C220="Adjustment",$E220,0))))</f>
        <v/>
      </c>
      <c r="N220" s="49" t="str">
        <f>IF($D220="","",IFERROR(INDEX(Products!$B$2:$B$101,MATCH($D220,Products!$A$2:$A$101,0))&amp;"","(not found)"))</f>
        <v/>
      </c>
      <c r="O220" s="49" t="str">
        <f>IF($F220="","",IFERROR(INDEX(Batches!$B$2:$B$301,MATCH($F220,Batches!$A$2:$A$301,0))&amp;"","(not found)"))</f>
        <v/>
      </c>
      <c r="P220" s="49" t="str">
        <f>IF(COUNTA($A220:$L220)=0,"",IF($A220="","Missing: entry ID",IF(COUNTIF($A$2:$A$2001,$A220)&gt;1,"Duplicate entry ID",IF(NOT(ISNUMBER($B220)),"Missing or invalid: date",IF($C220="","Missing: type",IF($D220="","Missing: SKU",IF(NOT(ISNUMBER($E220)),"Missing: qty",IF($F220="","Missing: lot",IF($I220="","Missing: source link",IF(COUNTIF(Config!$A$15:$A$34,$C220)=0,"Unsupported type",IF(COUNTIF(Products!$A$2:$A$101,$D220)=0,"Unknown SKU",IF(COUNTIFS(Batches!$A$2:$A$301,$F220,Batches!$B$2:$B$301,$D220)=0,"Unknown lot for this SKU",IF(AND($C220="Adjustment",$G220=""),"Missing: reason",IF(AND($G220&lt;&gt;"",COUNTIF(Config!$B$15:$B$34,$G220)=0),"Unsupported reason",IF(OR(INT($E220)&lt;&gt;$E220,AND(OR($C220="Receipt",$C220="Shipment"),$E220&lt;=0),AND($C220="Adjustment",$E220=0)),"Invalid qty",IF($B220&gt;Config!$B$4,"Date after the as-of date",IF($B220&lt;Config!$B$5,"Date before the opening balance date","OK")))))))))))))))))</f>
        <v/>
      </c>
    </row>
    <row r="221">
      <c r="A221" s="46" t="n"/>
      <c r="B221" s="54" t="n"/>
      <c r="C221" s="46" t="n"/>
      <c r="D221" s="46" t="n"/>
      <c r="E221" s="55" t="n"/>
      <c r="F221" s="46" t="n"/>
      <c r="G221" s="46" t="n"/>
      <c r="H221" s="46" t="n"/>
      <c r="I221" s="46" t="n"/>
      <c r="J221" s="46" t="n"/>
      <c r="K221" s="46" t="n"/>
      <c r="L221" s="46" t="n"/>
      <c r="M221" s="51" t="str">
        <f>IF(NOT(ISNUMBER($E221)),"",IF($C221="Receipt",$E221,IF($C221="Shipment",-$E221,IF($C221="Adjustment",$E221,0))))</f>
        <v/>
      </c>
      <c r="N221" s="49" t="str">
        <f>IF($D221="","",IFERROR(INDEX(Products!$B$2:$B$101,MATCH($D221,Products!$A$2:$A$101,0))&amp;"","(not found)"))</f>
        <v/>
      </c>
      <c r="O221" s="49" t="str">
        <f>IF($F221="","",IFERROR(INDEX(Batches!$B$2:$B$301,MATCH($F221,Batches!$A$2:$A$301,0))&amp;"","(not found)"))</f>
        <v/>
      </c>
      <c r="P221" s="49" t="str">
        <f>IF(COUNTA($A221:$L221)=0,"",IF($A221="","Missing: entry ID",IF(COUNTIF($A$2:$A$2001,$A221)&gt;1,"Duplicate entry ID",IF(NOT(ISNUMBER($B221)),"Missing or invalid: date",IF($C221="","Missing: type",IF($D221="","Missing: SKU",IF(NOT(ISNUMBER($E221)),"Missing: qty",IF($F221="","Missing: lot",IF($I221="","Missing: source link",IF(COUNTIF(Config!$A$15:$A$34,$C221)=0,"Unsupported type",IF(COUNTIF(Products!$A$2:$A$101,$D221)=0,"Unknown SKU",IF(COUNTIFS(Batches!$A$2:$A$301,$F221,Batches!$B$2:$B$301,$D221)=0,"Unknown lot for this SKU",IF(AND($C221="Adjustment",$G221=""),"Missing: reason",IF(AND($G221&lt;&gt;"",COUNTIF(Config!$B$15:$B$34,$G221)=0),"Unsupported reason",IF(OR(INT($E221)&lt;&gt;$E221,AND(OR($C221="Receipt",$C221="Shipment"),$E221&lt;=0),AND($C221="Adjustment",$E221=0)),"Invalid qty",IF($B221&gt;Config!$B$4,"Date after the as-of date",IF($B221&lt;Config!$B$5,"Date before the opening balance date","OK")))))))))))))))))</f>
        <v/>
      </c>
    </row>
    <row r="222">
      <c r="A222" s="46" t="n"/>
      <c r="B222" s="54" t="n"/>
      <c r="C222" s="46" t="n"/>
      <c r="D222" s="46" t="n"/>
      <c r="E222" s="55" t="n"/>
      <c r="F222" s="46" t="n"/>
      <c r="G222" s="46" t="n"/>
      <c r="H222" s="46" t="n"/>
      <c r="I222" s="46" t="n"/>
      <c r="J222" s="46" t="n"/>
      <c r="K222" s="46" t="n"/>
      <c r="L222" s="46" t="n"/>
      <c r="M222" s="51" t="str">
        <f>IF(NOT(ISNUMBER($E222)),"",IF($C222="Receipt",$E222,IF($C222="Shipment",-$E222,IF($C222="Adjustment",$E222,0))))</f>
        <v/>
      </c>
      <c r="N222" s="49" t="str">
        <f>IF($D222="","",IFERROR(INDEX(Products!$B$2:$B$101,MATCH($D222,Products!$A$2:$A$101,0))&amp;"","(not found)"))</f>
        <v/>
      </c>
      <c r="O222" s="49" t="str">
        <f>IF($F222="","",IFERROR(INDEX(Batches!$B$2:$B$301,MATCH($F222,Batches!$A$2:$A$301,0))&amp;"","(not found)"))</f>
        <v/>
      </c>
      <c r="P222" s="49" t="str">
        <f>IF(COUNTA($A222:$L222)=0,"",IF($A222="","Missing: entry ID",IF(COUNTIF($A$2:$A$2001,$A222)&gt;1,"Duplicate entry ID",IF(NOT(ISNUMBER($B222)),"Missing or invalid: date",IF($C222="","Missing: type",IF($D222="","Missing: SKU",IF(NOT(ISNUMBER($E222)),"Missing: qty",IF($F222="","Missing: lot",IF($I222="","Missing: source link",IF(COUNTIF(Config!$A$15:$A$34,$C222)=0,"Unsupported type",IF(COUNTIF(Products!$A$2:$A$101,$D222)=0,"Unknown SKU",IF(COUNTIFS(Batches!$A$2:$A$301,$F222,Batches!$B$2:$B$301,$D222)=0,"Unknown lot for this SKU",IF(AND($C222="Adjustment",$G222=""),"Missing: reason",IF(AND($G222&lt;&gt;"",COUNTIF(Config!$B$15:$B$34,$G222)=0),"Unsupported reason",IF(OR(INT($E222)&lt;&gt;$E222,AND(OR($C222="Receipt",$C222="Shipment"),$E222&lt;=0),AND($C222="Adjustment",$E222=0)),"Invalid qty",IF($B222&gt;Config!$B$4,"Date after the as-of date",IF($B222&lt;Config!$B$5,"Date before the opening balance date","OK")))))))))))))))))</f>
        <v/>
      </c>
    </row>
    <row r="223">
      <c r="A223" s="46" t="n"/>
      <c r="B223" s="54" t="n"/>
      <c r="C223" s="46" t="n"/>
      <c r="D223" s="46" t="n"/>
      <c r="E223" s="55" t="n"/>
      <c r="F223" s="46" t="n"/>
      <c r="G223" s="46" t="n"/>
      <c r="H223" s="46" t="n"/>
      <c r="I223" s="46" t="n"/>
      <c r="J223" s="46" t="n"/>
      <c r="K223" s="46" t="n"/>
      <c r="L223" s="46" t="n"/>
      <c r="M223" s="51" t="str">
        <f>IF(NOT(ISNUMBER($E223)),"",IF($C223="Receipt",$E223,IF($C223="Shipment",-$E223,IF($C223="Adjustment",$E223,0))))</f>
        <v/>
      </c>
      <c r="N223" s="49" t="str">
        <f>IF($D223="","",IFERROR(INDEX(Products!$B$2:$B$101,MATCH($D223,Products!$A$2:$A$101,0))&amp;"","(not found)"))</f>
        <v/>
      </c>
      <c r="O223" s="49" t="str">
        <f>IF($F223="","",IFERROR(INDEX(Batches!$B$2:$B$301,MATCH($F223,Batches!$A$2:$A$301,0))&amp;"","(not found)"))</f>
        <v/>
      </c>
      <c r="P223" s="49" t="str">
        <f>IF(COUNTA($A223:$L223)=0,"",IF($A223="","Missing: entry ID",IF(COUNTIF($A$2:$A$2001,$A223)&gt;1,"Duplicate entry ID",IF(NOT(ISNUMBER($B223)),"Missing or invalid: date",IF($C223="","Missing: type",IF($D223="","Missing: SKU",IF(NOT(ISNUMBER($E223)),"Missing: qty",IF($F223="","Missing: lot",IF($I223="","Missing: source link",IF(COUNTIF(Config!$A$15:$A$34,$C223)=0,"Unsupported type",IF(COUNTIF(Products!$A$2:$A$101,$D223)=0,"Unknown SKU",IF(COUNTIFS(Batches!$A$2:$A$301,$F223,Batches!$B$2:$B$301,$D223)=0,"Unknown lot for this SKU",IF(AND($C223="Adjustment",$G223=""),"Missing: reason",IF(AND($G223&lt;&gt;"",COUNTIF(Config!$B$15:$B$34,$G223)=0),"Unsupported reason",IF(OR(INT($E223)&lt;&gt;$E223,AND(OR($C223="Receipt",$C223="Shipment"),$E223&lt;=0),AND($C223="Adjustment",$E223=0)),"Invalid qty",IF($B223&gt;Config!$B$4,"Date after the as-of date",IF($B223&lt;Config!$B$5,"Date before the opening balance date","OK")))))))))))))))))</f>
        <v/>
      </c>
    </row>
    <row r="224">
      <c r="A224" s="46" t="n"/>
      <c r="B224" s="54" t="n"/>
      <c r="C224" s="46" t="n"/>
      <c r="D224" s="46" t="n"/>
      <c r="E224" s="55" t="n"/>
      <c r="F224" s="46" t="n"/>
      <c r="G224" s="46" t="n"/>
      <c r="H224" s="46" t="n"/>
      <c r="I224" s="46" t="n"/>
      <c r="J224" s="46" t="n"/>
      <c r="K224" s="46" t="n"/>
      <c r="L224" s="46" t="n"/>
      <c r="M224" s="51" t="str">
        <f>IF(NOT(ISNUMBER($E224)),"",IF($C224="Receipt",$E224,IF($C224="Shipment",-$E224,IF($C224="Adjustment",$E224,0))))</f>
        <v/>
      </c>
      <c r="N224" s="49" t="str">
        <f>IF($D224="","",IFERROR(INDEX(Products!$B$2:$B$101,MATCH($D224,Products!$A$2:$A$101,0))&amp;"","(not found)"))</f>
        <v/>
      </c>
      <c r="O224" s="49" t="str">
        <f>IF($F224="","",IFERROR(INDEX(Batches!$B$2:$B$301,MATCH($F224,Batches!$A$2:$A$301,0))&amp;"","(not found)"))</f>
        <v/>
      </c>
      <c r="P224" s="49" t="str">
        <f>IF(COUNTA($A224:$L224)=0,"",IF($A224="","Missing: entry ID",IF(COUNTIF($A$2:$A$2001,$A224)&gt;1,"Duplicate entry ID",IF(NOT(ISNUMBER($B224)),"Missing or invalid: date",IF($C224="","Missing: type",IF($D224="","Missing: SKU",IF(NOT(ISNUMBER($E224)),"Missing: qty",IF($F224="","Missing: lot",IF($I224="","Missing: source link",IF(COUNTIF(Config!$A$15:$A$34,$C224)=0,"Unsupported type",IF(COUNTIF(Products!$A$2:$A$101,$D224)=0,"Unknown SKU",IF(COUNTIFS(Batches!$A$2:$A$301,$F224,Batches!$B$2:$B$301,$D224)=0,"Unknown lot for this SKU",IF(AND($C224="Adjustment",$G224=""),"Missing: reason",IF(AND($G224&lt;&gt;"",COUNTIF(Config!$B$15:$B$34,$G224)=0),"Unsupported reason",IF(OR(INT($E224)&lt;&gt;$E224,AND(OR($C224="Receipt",$C224="Shipment"),$E224&lt;=0),AND($C224="Adjustment",$E224=0)),"Invalid qty",IF($B224&gt;Config!$B$4,"Date after the as-of date",IF($B224&lt;Config!$B$5,"Date before the opening balance date","OK")))))))))))))))))</f>
        <v/>
      </c>
    </row>
    <row r="225">
      <c r="A225" s="46" t="n"/>
      <c r="B225" s="54" t="n"/>
      <c r="C225" s="46" t="n"/>
      <c r="D225" s="46" t="n"/>
      <c r="E225" s="55" t="n"/>
      <c r="F225" s="46" t="n"/>
      <c r="G225" s="46" t="n"/>
      <c r="H225" s="46" t="n"/>
      <c r="I225" s="46" t="n"/>
      <c r="J225" s="46" t="n"/>
      <c r="K225" s="46" t="n"/>
      <c r="L225" s="46" t="n"/>
      <c r="M225" s="51" t="str">
        <f>IF(NOT(ISNUMBER($E225)),"",IF($C225="Receipt",$E225,IF($C225="Shipment",-$E225,IF($C225="Adjustment",$E225,0))))</f>
        <v/>
      </c>
      <c r="N225" s="49" t="str">
        <f>IF($D225="","",IFERROR(INDEX(Products!$B$2:$B$101,MATCH($D225,Products!$A$2:$A$101,0))&amp;"","(not found)"))</f>
        <v/>
      </c>
      <c r="O225" s="49" t="str">
        <f>IF($F225="","",IFERROR(INDEX(Batches!$B$2:$B$301,MATCH($F225,Batches!$A$2:$A$301,0))&amp;"","(not found)"))</f>
        <v/>
      </c>
      <c r="P225" s="49" t="str">
        <f>IF(COUNTA($A225:$L225)=0,"",IF($A225="","Missing: entry ID",IF(COUNTIF($A$2:$A$2001,$A225)&gt;1,"Duplicate entry ID",IF(NOT(ISNUMBER($B225)),"Missing or invalid: date",IF($C225="","Missing: type",IF($D225="","Missing: SKU",IF(NOT(ISNUMBER($E225)),"Missing: qty",IF($F225="","Missing: lot",IF($I225="","Missing: source link",IF(COUNTIF(Config!$A$15:$A$34,$C225)=0,"Unsupported type",IF(COUNTIF(Products!$A$2:$A$101,$D225)=0,"Unknown SKU",IF(COUNTIFS(Batches!$A$2:$A$301,$F225,Batches!$B$2:$B$301,$D225)=0,"Unknown lot for this SKU",IF(AND($C225="Adjustment",$G225=""),"Missing: reason",IF(AND($G225&lt;&gt;"",COUNTIF(Config!$B$15:$B$34,$G225)=0),"Unsupported reason",IF(OR(INT($E225)&lt;&gt;$E225,AND(OR($C225="Receipt",$C225="Shipment"),$E225&lt;=0),AND($C225="Adjustment",$E225=0)),"Invalid qty",IF($B225&gt;Config!$B$4,"Date after the as-of date",IF($B225&lt;Config!$B$5,"Date before the opening balance date","OK")))))))))))))))))</f>
        <v/>
      </c>
    </row>
    <row r="226">
      <c r="A226" s="46" t="n"/>
      <c r="B226" s="54" t="n"/>
      <c r="C226" s="46" t="n"/>
      <c r="D226" s="46" t="n"/>
      <c r="E226" s="55" t="n"/>
      <c r="F226" s="46" t="n"/>
      <c r="G226" s="46" t="n"/>
      <c r="H226" s="46" t="n"/>
      <c r="I226" s="46" t="n"/>
      <c r="J226" s="46" t="n"/>
      <c r="K226" s="46" t="n"/>
      <c r="L226" s="46" t="n"/>
      <c r="M226" s="51" t="str">
        <f>IF(NOT(ISNUMBER($E226)),"",IF($C226="Receipt",$E226,IF($C226="Shipment",-$E226,IF($C226="Adjustment",$E226,0))))</f>
        <v/>
      </c>
      <c r="N226" s="49" t="str">
        <f>IF($D226="","",IFERROR(INDEX(Products!$B$2:$B$101,MATCH($D226,Products!$A$2:$A$101,0))&amp;"","(not found)"))</f>
        <v/>
      </c>
      <c r="O226" s="49" t="str">
        <f>IF($F226="","",IFERROR(INDEX(Batches!$B$2:$B$301,MATCH($F226,Batches!$A$2:$A$301,0))&amp;"","(not found)"))</f>
        <v/>
      </c>
      <c r="P226" s="49" t="str">
        <f>IF(COUNTA($A226:$L226)=0,"",IF($A226="","Missing: entry ID",IF(COUNTIF($A$2:$A$2001,$A226)&gt;1,"Duplicate entry ID",IF(NOT(ISNUMBER($B226)),"Missing or invalid: date",IF($C226="","Missing: type",IF($D226="","Missing: SKU",IF(NOT(ISNUMBER($E226)),"Missing: qty",IF($F226="","Missing: lot",IF($I226="","Missing: source link",IF(COUNTIF(Config!$A$15:$A$34,$C226)=0,"Unsupported type",IF(COUNTIF(Products!$A$2:$A$101,$D226)=0,"Unknown SKU",IF(COUNTIFS(Batches!$A$2:$A$301,$F226,Batches!$B$2:$B$301,$D226)=0,"Unknown lot for this SKU",IF(AND($C226="Adjustment",$G226=""),"Missing: reason",IF(AND($G226&lt;&gt;"",COUNTIF(Config!$B$15:$B$34,$G226)=0),"Unsupported reason",IF(OR(INT($E226)&lt;&gt;$E226,AND(OR($C226="Receipt",$C226="Shipment"),$E226&lt;=0),AND($C226="Adjustment",$E226=0)),"Invalid qty",IF($B226&gt;Config!$B$4,"Date after the as-of date",IF($B226&lt;Config!$B$5,"Date before the opening balance date","OK")))))))))))))))))</f>
        <v/>
      </c>
    </row>
    <row r="227">
      <c r="A227" s="46" t="n"/>
      <c r="B227" s="54" t="n"/>
      <c r="C227" s="46" t="n"/>
      <c r="D227" s="46" t="n"/>
      <c r="E227" s="55" t="n"/>
      <c r="F227" s="46" t="n"/>
      <c r="G227" s="46" t="n"/>
      <c r="H227" s="46" t="n"/>
      <c r="I227" s="46" t="n"/>
      <c r="J227" s="46" t="n"/>
      <c r="K227" s="46" t="n"/>
      <c r="L227" s="46" t="n"/>
      <c r="M227" s="51" t="str">
        <f>IF(NOT(ISNUMBER($E227)),"",IF($C227="Receipt",$E227,IF($C227="Shipment",-$E227,IF($C227="Adjustment",$E227,0))))</f>
        <v/>
      </c>
      <c r="N227" s="49" t="str">
        <f>IF($D227="","",IFERROR(INDEX(Products!$B$2:$B$101,MATCH($D227,Products!$A$2:$A$101,0))&amp;"","(not found)"))</f>
        <v/>
      </c>
      <c r="O227" s="49" t="str">
        <f>IF($F227="","",IFERROR(INDEX(Batches!$B$2:$B$301,MATCH($F227,Batches!$A$2:$A$301,0))&amp;"","(not found)"))</f>
        <v/>
      </c>
      <c r="P227" s="49" t="str">
        <f>IF(COUNTA($A227:$L227)=0,"",IF($A227="","Missing: entry ID",IF(COUNTIF($A$2:$A$2001,$A227)&gt;1,"Duplicate entry ID",IF(NOT(ISNUMBER($B227)),"Missing or invalid: date",IF($C227="","Missing: type",IF($D227="","Missing: SKU",IF(NOT(ISNUMBER($E227)),"Missing: qty",IF($F227="","Missing: lot",IF($I227="","Missing: source link",IF(COUNTIF(Config!$A$15:$A$34,$C227)=0,"Unsupported type",IF(COUNTIF(Products!$A$2:$A$101,$D227)=0,"Unknown SKU",IF(COUNTIFS(Batches!$A$2:$A$301,$F227,Batches!$B$2:$B$301,$D227)=0,"Unknown lot for this SKU",IF(AND($C227="Adjustment",$G227=""),"Missing: reason",IF(AND($G227&lt;&gt;"",COUNTIF(Config!$B$15:$B$34,$G227)=0),"Unsupported reason",IF(OR(INT($E227)&lt;&gt;$E227,AND(OR($C227="Receipt",$C227="Shipment"),$E227&lt;=0),AND($C227="Adjustment",$E227=0)),"Invalid qty",IF($B227&gt;Config!$B$4,"Date after the as-of date",IF($B227&lt;Config!$B$5,"Date before the opening balance date","OK")))))))))))))))))</f>
        <v/>
      </c>
    </row>
    <row r="228">
      <c r="A228" s="46" t="n"/>
      <c r="B228" s="54" t="n"/>
      <c r="C228" s="46" t="n"/>
      <c r="D228" s="46" t="n"/>
      <c r="E228" s="55" t="n"/>
      <c r="F228" s="46" t="n"/>
      <c r="G228" s="46" t="n"/>
      <c r="H228" s="46" t="n"/>
      <c r="I228" s="46" t="n"/>
      <c r="J228" s="46" t="n"/>
      <c r="K228" s="46" t="n"/>
      <c r="L228" s="46" t="n"/>
      <c r="M228" s="51" t="str">
        <f>IF(NOT(ISNUMBER($E228)),"",IF($C228="Receipt",$E228,IF($C228="Shipment",-$E228,IF($C228="Adjustment",$E228,0))))</f>
        <v/>
      </c>
      <c r="N228" s="49" t="str">
        <f>IF($D228="","",IFERROR(INDEX(Products!$B$2:$B$101,MATCH($D228,Products!$A$2:$A$101,0))&amp;"","(not found)"))</f>
        <v/>
      </c>
      <c r="O228" s="49" t="str">
        <f>IF($F228="","",IFERROR(INDEX(Batches!$B$2:$B$301,MATCH($F228,Batches!$A$2:$A$301,0))&amp;"","(not found)"))</f>
        <v/>
      </c>
      <c r="P228" s="49" t="str">
        <f>IF(COUNTA($A228:$L228)=0,"",IF($A228="","Missing: entry ID",IF(COUNTIF($A$2:$A$2001,$A228)&gt;1,"Duplicate entry ID",IF(NOT(ISNUMBER($B228)),"Missing or invalid: date",IF($C228="","Missing: type",IF($D228="","Missing: SKU",IF(NOT(ISNUMBER($E228)),"Missing: qty",IF($F228="","Missing: lot",IF($I228="","Missing: source link",IF(COUNTIF(Config!$A$15:$A$34,$C228)=0,"Unsupported type",IF(COUNTIF(Products!$A$2:$A$101,$D228)=0,"Unknown SKU",IF(COUNTIFS(Batches!$A$2:$A$301,$F228,Batches!$B$2:$B$301,$D228)=0,"Unknown lot for this SKU",IF(AND($C228="Adjustment",$G228=""),"Missing: reason",IF(AND($G228&lt;&gt;"",COUNTIF(Config!$B$15:$B$34,$G228)=0),"Unsupported reason",IF(OR(INT($E228)&lt;&gt;$E228,AND(OR($C228="Receipt",$C228="Shipment"),$E228&lt;=0),AND($C228="Adjustment",$E228=0)),"Invalid qty",IF($B228&gt;Config!$B$4,"Date after the as-of date",IF($B228&lt;Config!$B$5,"Date before the opening balance date","OK")))))))))))))))))</f>
        <v/>
      </c>
    </row>
    <row r="229">
      <c r="A229" s="46" t="n"/>
      <c r="B229" s="54" t="n"/>
      <c r="C229" s="46" t="n"/>
      <c r="D229" s="46" t="n"/>
      <c r="E229" s="55" t="n"/>
      <c r="F229" s="46" t="n"/>
      <c r="G229" s="46" t="n"/>
      <c r="H229" s="46" t="n"/>
      <c r="I229" s="46" t="n"/>
      <c r="J229" s="46" t="n"/>
      <c r="K229" s="46" t="n"/>
      <c r="L229" s="46" t="n"/>
      <c r="M229" s="51" t="str">
        <f>IF(NOT(ISNUMBER($E229)),"",IF($C229="Receipt",$E229,IF($C229="Shipment",-$E229,IF($C229="Adjustment",$E229,0))))</f>
        <v/>
      </c>
      <c r="N229" s="49" t="str">
        <f>IF($D229="","",IFERROR(INDEX(Products!$B$2:$B$101,MATCH($D229,Products!$A$2:$A$101,0))&amp;"","(not found)"))</f>
        <v/>
      </c>
      <c r="O229" s="49" t="str">
        <f>IF($F229="","",IFERROR(INDEX(Batches!$B$2:$B$301,MATCH($F229,Batches!$A$2:$A$301,0))&amp;"","(not found)"))</f>
        <v/>
      </c>
      <c r="P229" s="49" t="str">
        <f>IF(COUNTA($A229:$L229)=0,"",IF($A229="","Missing: entry ID",IF(COUNTIF($A$2:$A$2001,$A229)&gt;1,"Duplicate entry ID",IF(NOT(ISNUMBER($B229)),"Missing or invalid: date",IF($C229="","Missing: type",IF($D229="","Missing: SKU",IF(NOT(ISNUMBER($E229)),"Missing: qty",IF($F229="","Missing: lot",IF($I229="","Missing: source link",IF(COUNTIF(Config!$A$15:$A$34,$C229)=0,"Unsupported type",IF(COUNTIF(Products!$A$2:$A$101,$D229)=0,"Unknown SKU",IF(COUNTIFS(Batches!$A$2:$A$301,$F229,Batches!$B$2:$B$301,$D229)=0,"Unknown lot for this SKU",IF(AND($C229="Adjustment",$G229=""),"Missing: reason",IF(AND($G229&lt;&gt;"",COUNTIF(Config!$B$15:$B$34,$G229)=0),"Unsupported reason",IF(OR(INT($E229)&lt;&gt;$E229,AND(OR($C229="Receipt",$C229="Shipment"),$E229&lt;=0),AND($C229="Adjustment",$E229=0)),"Invalid qty",IF($B229&gt;Config!$B$4,"Date after the as-of date",IF($B229&lt;Config!$B$5,"Date before the opening balance date","OK")))))))))))))))))</f>
        <v/>
      </c>
    </row>
    <row r="230">
      <c r="A230" s="46" t="n"/>
      <c r="B230" s="54" t="n"/>
      <c r="C230" s="46" t="n"/>
      <c r="D230" s="46" t="n"/>
      <c r="E230" s="55" t="n"/>
      <c r="F230" s="46" t="n"/>
      <c r="G230" s="46" t="n"/>
      <c r="H230" s="46" t="n"/>
      <c r="I230" s="46" t="n"/>
      <c r="J230" s="46" t="n"/>
      <c r="K230" s="46" t="n"/>
      <c r="L230" s="46" t="n"/>
      <c r="M230" s="51" t="str">
        <f>IF(NOT(ISNUMBER($E230)),"",IF($C230="Receipt",$E230,IF($C230="Shipment",-$E230,IF($C230="Adjustment",$E230,0))))</f>
        <v/>
      </c>
      <c r="N230" s="49" t="str">
        <f>IF($D230="","",IFERROR(INDEX(Products!$B$2:$B$101,MATCH($D230,Products!$A$2:$A$101,0))&amp;"","(not found)"))</f>
        <v/>
      </c>
      <c r="O230" s="49" t="str">
        <f>IF($F230="","",IFERROR(INDEX(Batches!$B$2:$B$301,MATCH($F230,Batches!$A$2:$A$301,0))&amp;"","(not found)"))</f>
        <v/>
      </c>
      <c r="P230" s="49" t="str">
        <f>IF(COUNTA($A230:$L230)=0,"",IF($A230="","Missing: entry ID",IF(COUNTIF($A$2:$A$2001,$A230)&gt;1,"Duplicate entry ID",IF(NOT(ISNUMBER($B230)),"Missing or invalid: date",IF($C230="","Missing: type",IF($D230="","Missing: SKU",IF(NOT(ISNUMBER($E230)),"Missing: qty",IF($F230="","Missing: lot",IF($I230="","Missing: source link",IF(COUNTIF(Config!$A$15:$A$34,$C230)=0,"Unsupported type",IF(COUNTIF(Products!$A$2:$A$101,$D230)=0,"Unknown SKU",IF(COUNTIFS(Batches!$A$2:$A$301,$F230,Batches!$B$2:$B$301,$D230)=0,"Unknown lot for this SKU",IF(AND($C230="Adjustment",$G230=""),"Missing: reason",IF(AND($G230&lt;&gt;"",COUNTIF(Config!$B$15:$B$34,$G230)=0),"Unsupported reason",IF(OR(INT($E230)&lt;&gt;$E230,AND(OR($C230="Receipt",$C230="Shipment"),$E230&lt;=0),AND($C230="Adjustment",$E230=0)),"Invalid qty",IF($B230&gt;Config!$B$4,"Date after the as-of date",IF($B230&lt;Config!$B$5,"Date before the opening balance date","OK")))))))))))))))))</f>
        <v/>
      </c>
    </row>
    <row r="231">
      <c r="A231" s="46" t="n"/>
      <c r="B231" s="54" t="n"/>
      <c r="C231" s="46" t="n"/>
      <c r="D231" s="46" t="n"/>
      <c r="E231" s="55" t="n"/>
      <c r="F231" s="46" t="n"/>
      <c r="G231" s="46" t="n"/>
      <c r="H231" s="46" t="n"/>
      <c r="I231" s="46" t="n"/>
      <c r="J231" s="46" t="n"/>
      <c r="K231" s="46" t="n"/>
      <c r="L231" s="46" t="n"/>
      <c r="M231" s="51" t="str">
        <f>IF(NOT(ISNUMBER($E231)),"",IF($C231="Receipt",$E231,IF($C231="Shipment",-$E231,IF($C231="Adjustment",$E231,0))))</f>
        <v/>
      </c>
      <c r="N231" s="49" t="str">
        <f>IF($D231="","",IFERROR(INDEX(Products!$B$2:$B$101,MATCH($D231,Products!$A$2:$A$101,0))&amp;"","(not found)"))</f>
        <v/>
      </c>
      <c r="O231" s="49" t="str">
        <f>IF($F231="","",IFERROR(INDEX(Batches!$B$2:$B$301,MATCH($F231,Batches!$A$2:$A$301,0))&amp;"","(not found)"))</f>
        <v/>
      </c>
      <c r="P231" s="49" t="str">
        <f>IF(COUNTA($A231:$L231)=0,"",IF($A231="","Missing: entry ID",IF(COUNTIF($A$2:$A$2001,$A231)&gt;1,"Duplicate entry ID",IF(NOT(ISNUMBER($B231)),"Missing or invalid: date",IF($C231="","Missing: type",IF($D231="","Missing: SKU",IF(NOT(ISNUMBER($E231)),"Missing: qty",IF($F231="","Missing: lot",IF($I231="","Missing: source link",IF(COUNTIF(Config!$A$15:$A$34,$C231)=0,"Unsupported type",IF(COUNTIF(Products!$A$2:$A$101,$D231)=0,"Unknown SKU",IF(COUNTIFS(Batches!$A$2:$A$301,$F231,Batches!$B$2:$B$301,$D231)=0,"Unknown lot for this SKU",IF(AND($C231="Adjustment",$G231=""),"Missing: reason",IF(AND($G231&lt;&gt;"",COUNTIF(Config!$B$15:$B$34,$G231)=0),"Unsupported reason",IF(OR(INT($E231)&lt;&gt;$E231,AND(OR($C231="Receipt",$C231="Shipment"),$E231&lt;=0),AND($C231="Adjustment",$E231=0)),"Invalid qty",IF($B231&gt;Config!$B$4,"Date after the as-of date",IF($B231&lt;Config!$B$5,"Date before the opening balance date","OK")))))))))))))))))</f>
        <v/>
      </c>
    </row>
    <row r="232">
      <c r="A232" s="46" t="n"/>
      <c r="B232" s="54" t="n"/>
      <c r="C232" s="46" t="n"/>
      <c r="D232" s="46" t="n"/>
      <c r="E232" s="55" t="n"/>
      <c r="F232" s="46" t="n"/>
      <c r="G232" s="46" t="n"/>
      <c r="H232" s="46" t="n"/>
      <c r="I232" s="46" t="n"/>
      <c r="J232" s="46" t="n"/>
      <c r="K232" s="46" t="n"/>
      <c r="L232" s="46" t="n"/>
      <c r="M232" s="51" t="str">
        <f>IF(NOT(ISNUMBER($E232)),"",IF($C232="Receipt",$E232,IF($C232="Shipment",-$E232,IF($C232="Adjustment",$E232,0))))</f>
        <v/>
      </c>
      <c r="N232" s="49" t="str">
        <f>IF($D232="","",IFERROR(INDEX(Products!$B$2:$B$101,MATCH($D232,Products!$A$2:$A$101,0))&amp;"","(not found)"))</f>
        <v/>
      </c>
      <c r="O232" s="49" t="str">
        <f>IF($F232="","",IFERROR(INDEX(Batches!$B$2:$B$301,MATCH($F232,Batches!$A$2:$A$301,0))&amp;"","(not found)"))</f>
        <v/>
      </c>
      <c r="P232" s="49" t="str">
        <f>IF(COUNTA($A232:$L232)=0,"",IF($A232="","Missing: entry ID",IF(COUNTIF($A$2:$A$2001,$A232)&gt;1,"Duplicate entry ID",IF(NOT(ISNUMBER($B232)),"Missing or invalid: date",IF($C232="","Missing: type",IF($D232="","Missing: SKU",IF(NOT(ISNUMBER($E232)),"Missing: qty",IF($F232="","Missing: lot",IF($I232="","Missing: source link",IF(COUNTIF(Config!$A$15:$A$34,$C232)=0,"Unsupported type",IF(COUNTIF(Products!$A$2:$A$101,$D232)=0,"Unknown SKU",IF(COUNTIFS(Batches!$A$2:$A$301,$F232,Batches!$B$2:$B$301,$D232)=0,"Unknown lot for this SKU",IF(AND($C232="Adjustment",$G232=""),"Missing: reason",IF(AND($G232&lt;&gt;"",COUNTIF(Config!$B$15:$B$34,$G232)=0),"Unsupported reason",IF(OR(INT($E232)&lt;&gt;$E232,AND(OR($C232="Receipt",$C232="Shipment"),$E232&lt;=0),AND($C232="Adjustment",$E232=0)),"Invalid qty",IF($B232&gt;Config!$B$4,"Date after the as-of date",IF($B232&lt;Config!$B$5,"Date before the opening balance date","OK")))))))))))))))))</f>
        <v/>
      </c>
    </row>
    <row r="233">
      <c r="A233" s="46" t="n"/>
      <c r="B233" s="54" t="n"/>
      <c r="C233" s="46" t="n"/>
      <c r="D233" s="46" t="n"/>
      <c r="E233" s="55" t="n"/>
      <c r="F233" s="46" t="n"/>
      <c r="G233" s="46" t="n"/>
      <c r="H233" s="46" t="n"/>
      <c r="I233" s="46" t="n"/>
      <c r="J233" s="46" t="n"/>
      <c r="K233" s="46" t="n"/>
      <c r="L233" s="46" t="n"/>
      <c r="M233" s="51" t="str">
        <f>IF(NOT(ISNUMBER($E233)),"",IF($C233="Receipt",$E233,IF($C233="Shipment",-$E233,IF($C233="Adjustment",$E233,0))))</f>
        <v/>
      </c>
      <c r="N233" s="49" t="str">
        <f>IF($D233="","",IFERROR(INDEX(Products!$B$2:$B$101,MATCH($D233,Products!$A$2:$A$101,0))&amp;"","(not found)"))</f>
        <v/>
      </c>
      <c r="O233" s="49" t="str">
        <f>IF($F233="","",IFERROR(INDEX(Batches!$B$2:$B$301,MATCH($F233,Batches!$A$2:$A$301,0))&amp;"","(not found)"))</f>
        <v/>
      </c>
      <c r="P233" s="49" t="str">
        <f>IF(COUNTA($A233:$L233)=0,"",IF($A233="","Missing: entry ID",IF(COUNTIF($A$2:$A$2001,$A233)&gt;1,"Duplicate entry ID",IF(NOT(ISNUMBER($B233)),"Missing or invalid: date",IF($C233="","Missing: type",IF($D233="","Missing: SKU",IF(NOT(ISNUMBER($E233)),"Missing: qty",IF($F233="","Missing: lot",IF($I233="","Missing: source link",IF(COUNTIF(Config!$A$15:$A$34,$C233)=0,"Unsupported type",IF(COUNTIF(Products!$A$2:$A$101,$D233)=0,"Unknown SKU",IF(COUNTIFS(Batches!$A$2:$A$301,$F233,Batches!$B$2:$B$301,$D233)=0,"Unknown lot for this SKU",IF(AND($C233="Adjustment",$G233=""),"Missing: reason",IF(AND($G233&lt;&gt;"",COUNTIF(Config!$B$15:$B$34,$G233)=0),"Unsupported reason",IF(OR(INT($E233)&lt;&gt;$E233,AND(OR($C233="Receipt",$C233="Shipment"),$E233&lt;=0),AND($C233="Adjustment",$E233=0)),"Invalid qty",IF($B233&gt;Config!$B$4,"Date after the as-of date",IF($B233&lt;Config!$B$5,"Date before the opening balance date","OK")))))))))))))))))</f>
        <v/>
      </c>
    </row>
    <row r="234">
      <c r="A234" s="46" t="n"/>
      <c r="B234" s="54" t="n"/>
      <c r="C234" s="46" t="n"/>
      <c r="D234" s="46" t="n"/>
      <c r="E234" s="55" t="n"/>
      <c r="F234" s="46" t="n"/>
      <c r="G234" s="46" t="n"/>
      <c r="H234" s="46" t="n"/>
      <c r="I234" s="46" t="n"/>
      <c r="J234" s="46" t="n"/>
      <c r="K234" s="46" t="n"/>
      <c r="L234" s="46" t="n"/>
      <c r="M234" s="51" t="str">
        <f>IF(NOT(ISNUMBER($E234)),"",IF($C234="Receipt",$E234,IF($C234="Shipment",-$E234,IF($C234="Adjustment",$E234,0))))</f>
        <v/>
      </c>
      <c r="N234" s="49" t="str">
        <f>IF($D234="","",IFERROR(INDEX(Products!$B$2:$B$101,MATCH($D234,Products!$A$2:$A$101,0))&amp;"","(not found)"))</f>
        <v/>
      </c>
      <c r="O234" s="49" t="str">
        <f>IF($F234="","",IFERROR(INDEX(Batches!$B$2:$B$301,MATCH($F234,Batches!$A$2:$A$301,0))&amp;"","(not found)"))</f>
        <v/>
      </c>
      <c r="P234" s="49" t="str">
        <f>IF(COUNTA($A234:$L234)=0,"",IF($A234="","Missing: entry ID",IF(COUNTIF($A$2:$A$2001,$A234)&gt;1,"Duplicate entry ID",IF(NOT(ISNUMBER($B234)),"Missing or invalid: date",IF($C234="","Missing: type",IF($D234="","Missing: SKU",IF(NOT(ISNUMBER($E234)),"Missing: qty",IF($F234="","Missing: lot",IF($I234="","Missing: source link",IF(COUNTIF(Config!$A$15:$A$34,$C234)=0,"Unsupported type",IF(COUNTIF(Products!$A$2:$A$101,$D234)=0,"Unknown SKU",IF(COUNTIFS(Batches!$A$2:$A$301,$F234,Batches!$B$2:$B$301,$D234)=0,"Unknown lot for this SKU",IF(AND($C234="Adjustment",$G234=""),"Missing: reason",IF(AND($G234&lt;&gt;"",COUNTIF(Config!$B$15:$B$34,$G234)=0),"Unsupported reason",IF(OR(INT($E234)&lt;&gt;$E234,AND(OR($C234="Receipt",$C234="Shipment"),$E234&lt;=0),AND($C234="Adjustment",$E234=0)),"Invalid qty",IF($B234&gt;Config!$B$4,"Date after the as-of date",IF($B234&lt;Config!$B$5,"Date before the opening balance date","OK")))))))))))))))))</f>
        <v/>
      </c>
    </row>
    <row r="235">
      <c r="A235" s="46" t="n"/>
      <c r="B235" s="54" t="n"/>
      <c r="C235" s="46" t="n"/>
      <c r="D235" s="46" t="n"/>
      <c r="E235" s="55" t="n"/>
      <c r="F235" s="46" t="n"/>
      <c r="G235" s="46" t="n"/>
      <c r="H235" s="46" t="n"/>
      <c r="I235" s="46" t="n"/>
      <c r="J235" s="46" t="n"/>
      <c r="K235" s="46" t="n"/>
      <c r="L235" s="46" t="n"/>
      <c r="M235" s="51" t="str">
        <f>IF(NOT(ISNUMBER($E235)),"",IF($C235="Receipt",$E235,IF($C235="Shipment",-$E235,IF($C235="Adjustment",$E235,0))))</f>
        <v/>
      </c>
      <c r="N235" s="49" t="str">
        <f>IF($D235="","",IFERROR(INDEX(Products!$B$2:$B$101,MATCH($D235,Products!$A$2:$A$101,0))&amp;"","(not found)"))</f>
        <v/>
      </c>
      <c r="O235" s="49" t="str">
        <f>IF($F235="","",IFERROR(INDEX(Batches!$B$2:$B$301,MATCH($F235,Batches!$A$2:$A$301,0))&amp;"","(not found)"))</f>
        <v/>
      </c>
      <c r="P235" s="49" t="str">
        <f>IF(COUNTA($A235:$L235)=0,"",IF($A235="","Missing: entry ID",IF(COUNTIF($A$2:$A$2001,$A235)&gt;1,"Duplicate entry ID",IF(NOT(ISNUMBER($B235)),"Missing or invalid: date",IF($C235="","Missing: type",IF($D235="","Missing: SKU",IF(NOT(ISNUMBER($E235)),"Missing: qty",IF($F235="","Missing: lot",IF($I235="","Missing: source link",IF(COUNTIF(Config!$A$15:$A$34,$C235)=0,"Unsupported type",IF(COUNTIF(Products!$A$2:$A$101,$D235)=0,"Unknown SKU",IF(COUNTIFS(Batches!$A$2:$A$301,$F235,Batches!$B$2:$B$301,$D235)=0,"Unknown lot for this SKU",IF(AND($C235="Adjustment",$G235=""),"Missing: reason",IF(AND($G235&lt;&gt;"",COUNTIF(Config!$B$15:$B$34,$G235)=0),"Unsupported reason",IF(OR(INT($E235)&lt;&gt;$E235,AND(OR($C235="Receipt",$C235="Shipment"),$E235&lt;=0),AND($C235="Adjustment",$E235=0)),"Invalid qty",IF($B235&gt;Config!$B$4,"Date after the as-of date",IF($B235&lt;Config!$B$5,"Date before the opening balance date","OK")))))))))))))))))</f>
        <v/>
      </c>
    </row>
    <row r="236">
      <c r="A236" s="46" t="n"/>
      <c r="B236" s="54" t="n"/>
      <c r="C236" s="46" t="n"/>
      <c r="D236" s="46" t="n"/>
      <c r="E236" s="55" t="n"/>
      <c r="F236" s="46" t="n"/>
      <c r="G236" s="46" t="n"/>
      <c r="H236" s="46" t="n"/>
      <c r="I236" s="46" t="n"/>
      <c r="J236" s="46" t="n"/>
      <c r="K236" s="46" t="n"/>
      <c r="L236" s="46" t="n"/>
      <c r="M236" s="51" t="str">
        <f>IF(NOT(ISNUMBER($E236)),"",IF($C236="Receipt",$E236,IF($C236="Shipment",-$E236,IF($C236="Adjustment",$E236,0))))</f>
        <v/>
      </c>
      <c r="N236" s="49" t="str">
        <f>IF($D236="","",IFERROR(INDEX(Products!$B$2:$B$101,MATCH($D236,Products!$A$2:$A$101,0))&amp;"","(not found)"))</f>
        <v/>
      </c>
      <c r="O236" s="49" t="str">
        <f>IF($F236="","",IFERROR(INDEX(Batches!$B$2:$B$301,MATCH($F236,Batches!$A$2:$A$301,0))&amp;"","(not found)"))</f>
        <v/>
      </c>
      <c r="P236" s="49" t="str">
        <f>IF(COUNTA($A236:$L236)=0,"",IF($A236="","Missing: entry ID",IF(COUNTIF($A$2:$A$2001,$A236)&gt;1,"Duplicate entry ID",IF(NOT(ISNUMBER($B236)),"Missing or invalid: date",IF($C236="","Missing: type",IF($D236="","Missing: SKU",IF(NOT(ISNUMBER($E236)),"Missing: qty",IF($F236="","Missing: lot",IF($I236="","Missing: source link",IF(COUNTIF(Config!$A$15:$A$34,$C236)=0,"Unsupported type",IF(COUNTIF(Products!$A$2:$A$101,$D236)=0,"Unknown SKU",IF(COUNTIFS(Batches!$A$2:$A$301,$F236,Batches!$B$2:$B$301,$D236)=0,"Unknown lot for this SKU",IF(AND($C236="Adjustment",$G236=""),"Missing: reason",IF(AND($G236&lt;&gt;"",COUNTIF(Config!$B$15:$B$34,$G236)=0),"Unsupported reason",IF(OR(INT($E236)&lt;&gt;$E236,AND(OR($C236="Receipt",$C236="Shipment"),$E236&lt;=0),AND($C236="Adjustment",$E236=0)),"Invalid qty",IF($B236&gt;Config!$B$4,"Date after the as-of date",IF($B236&lt;Config!$B$5,"Date before the opening balance date","OK")))))))))))))))))</f>
        <v/>
      </c>
    </row>
    <row r="237">
      <c r="A237" s="46" t="n"/>
      <c r="B237" s="54" t="n"/>
      <c r="C237" s="46" t="n"/>
      <c r="D237" s="46" t="n"/>
      <c r="E237" s="55" t="n"/>
      <c r="F237" s="46" t="n"/>
      <c r="G237" s="46" t="n"/>
      <c r="H237" s="46" t="n"/>
      <c r="I237" s="46" t="n"/>
      <c r="J237" s="46" t="n"/>
      <c r="K237" s="46" t="n"/>
      <c r="L237" s="46" t="n"/>
      <c r="M237" s="51" t="str">
        <f>IF(NOT(ISNUMBER($E237)),"",IF($C237="Receipt",$E237,IF($C237="Shipment",-$E237,IF($C237="Adjustment",$E237,0))))</f>
        <v/>
      </c>
      <c r="N237" s="49" t="str">
        <f>IF($D237="","",IFERROR(INDEX(Products!$B$2:$B$101,MATCH($D237,Products!$A$2:$A$101,0))&amp;"","(not found)"))</f>
        <v/>
      </c>
      <c r="O237" s="49" t="str">
        <f>IF($F237="","",IFERROR(INDEX(Batches!$B$2:$B$301,MATCH($F237,Batches!$A$2:$A$301,0))&amp;"","(not found)"))</f>
        <v/>
      </c>
      <c r="P237" s="49" t="str">
        <f>IF(COUNTA($A237:$L237)=0,"",IF($A237="","Missing: entry ID",IF(COUNTIF($A$2:$A$2001,$A237)&gt;1,"Duplicate entry ID",IF(NOT(ISNUMBER($B237)),"Missing or invalid: date",IF($C237="","Missing: type",IF($D237="","Missing: SKU",IF(NOT(ISNUMBER($E237)),"Missing: qty",IF($F237="","Missing: lot",IF($I237="","Missing: source link",IF(COUNTIF(Config!$A$15:$A$34,$C237)=0,"Unsupported type",IF(COUNTIF(Products!$A$2:$A$101,$D237)=0,"Unknown SKU",IF(COUNTIFS(Batches!$A$2:$A$301,$F237,Batches!$B$2:$B$301,$D237)=0,"Unknown lot for this SKU",IF(AND($C237="Adjustment",$G237=""),"Missing: reason",IF(AND($G237&lt;&gt;"",COUNTIF(Config!$B$15:$B$34,$G237)=0),"Unsupported reason",IF(OR(INT($E237)&lt;&gt;$E237,AND(OR($C237="Receipt",$C237="Shipment"),$E237&lt;=0),AND($C237="Adjustment",$E237=0)),"Invalid qty",IF($B237&gt;Config!$B$4,"Date after the as-of date",IF($B237&lt;Config!$B$5,"Date before the opening balance date","OK")))))))))))))))))</f>
        <v/>
      </c>
    </row>
    <row r="238">
      <c r="A238" s="46" t="n"/>
      <c r="B238" s="54" t="n"/>
      <c r="C238" s="46" t="n"/>
      <c r="D238" s="46" t="n"/>
      <c r="E238" s="55" t="n"/>
      <c r="F238" s="46" t="n"/>
      <c r="G238" s="46" t="n"/>
      <c r="H238" s="46" t="n"/>
      <c r="I238" s="46" t="n"/>
      <c r="J238" s="46" t="n"/>
      <c r="K238" s="46" t="n"/>
      <c r="L238" s="46" t="n"/>
      <c r="M238" s="51" t="str">
        <f>IF(NOT(ISNUMBER($E238)),"",IF($C238="Receipt",$E238,IF($C238="Shipment",-$E238,IF($C238="Adjustment",$E238,0))))</f>
        <v/>
      </c>
      <c r="N238" s="49" t="str">
        <f>IF($D238="","",IFERROR(INDEX(Products!$B$2:$B$101,MATCH($D238,Products!$A$2:$A$101,0))&amp;"","(not found)"))</f>
        <v/>
      </c>
      <c r="O238" s="49" t="str">
        <f>IF($F238="","",IFERROR(INDEX(Batches!$B$2:$B$301,MATCH($F238,Batches!$A$2:$A$301,0))&amp;"","(not found)"))</f>
        <v/>
      </c>
      <c r="P238" s="49" t="str">
        <f>IF(COUNTA($A238:$L238)=0,"",IF($A238="","Missing: entry ID",IF(COUNTIF($A$2:$A$2001,$A238)&gt;1,"Duplicate entry ID",IF(NOT(ISNUMBER($B238)),"Missing or invalid: date",IF($C238="","Missing: type",IF($D238="","Missing: SKU",IF(NOT(ISNUMBER($E238)),"Missing: qty",IF($F238="","Missing: lot",IF($I238="","Missing: source link",IF(COUNTIF(Config!$A$15:$A$34,$C238)=0,"Unsupported type",IF(COUNTIF(Products!$A$2:$A$101,$D238)=0,"Unknown SKU",IF(COUNTIFS(Batches!$A$2:$A$301,$F238,Batches!$B$2:$B$301,$D238)=0,"Unknown lot for this SKU",IF(AND($C238="Adjustment",$G238=""),"Missing: reason",IF(AND($G238&lt;&gt;"",COUNTIF(Config!$B$15:$B$34,$G238)=0),"Unsupported reason",IF(OR(INT($E238)&lt;&gt;$E238,AND(OR($C238="Receipt",$C238="Shipment"),$E238&lt;=0),AND($C238="Adjustment",$E238=0)),"Invalid qty",IF($B238&gt;Config!$B$4,"Date after the as-of date",IF($B238&lt;Config!$B$5,"Date before the opening balance date","OK")))))))))))))))))</f>
        <v/>
      </c>
    </row>
    <row r="239">
      <c r="A239" s="46" t="n"/>
      <c r="B239" s="54" t="n"/>
      <c r="C239" s="46" t="n"/>
      <c r="D239" s="46" t="n"/>
      <c r="E239" s="55" t="n"/>
      <c r="F239" s="46" t="n"/>
      <c r="G239" s="46" t="n"/>
      <c r="H239" s="46" t="n"/>
      <c r="I239" s="46" t="n"/>
      <c r="J239" s="46" t="n"/>
      <c r="K239" s="46" t="n"/>
      <c r="L239" s="46" t="n"/>
      <c r="M239" s="51" t="str">
        <f>IF(NOT(ISNUMBER($E239)),"",IF($C239="Receipt",$E239,IF($C239="Shipment",-$E239,IF($C239="Adjustment",$E239,0))))</f>
        <v/>
      </c>
      <c r="N239" s="49" t="str">
        <f>IF($D239="","",IFERROR(INDEX(Products!$B$2:$B$101,MATCH($D239,Products!$A$2:$A$101,0))&amp;"","(not found)"))</f>
        <v/>
      </c>
      <c r="O239" s="49" t="str">
        <f>IF($F239="","",IFERROR(INDEX(Batches!$B$2:$B$301,MATCH($F239,Batches!$A$2:$A$301,0))&amp;"","(not found)"))</f>
        <v/>
      </c>
      <c r="P239" s="49" t="str">
        <f>IF(COUNTA($A239:$L239)=0,"",IF($A239="","Missing: entry ID",IF(COUNTIF($A$2:$A$2001,$A239)&gt;1,"Duplicate entry ID",IF(NOT(ISNUMBER($B239)),"Missing or invalid: date",IF($C239="","Missing: type",IF($D239="","Missing: SKU",IF(NOT(ISNUMBER($E239)),"Missing: qty",IF($F239="","Missing: lot",IF($I239="","Missing: source link",IF(COUNTIF(Config!$A$15:$A$34,$C239)=0,"Unsupported type",IF(COUNTIF(Products!$A$2:$A$101,$D239)=0,"Unknown SKU",IF(COUNTIFS(Batches!$A$2:$A$301,$F239,Batches!$B$2:$B$301,$D239)=0,"Unknown lot for this SKU",IF(AND($C239="Adjustment",$G239=""),"Missing: reason",IF(AND($G239&lt;&gt;"",COUNTIF(Config!$B$15:$B$34,$G239)=0),"Unsupported reason",IF(OR(INT($E239)&lt;&gt;$E239,AND(OR($C239="Receipt",$C239="Shipment"),$E239&lt;=0),AND($C239="Adjustment",$E239=0)),"Invalid qty",IF($B239&gt;Config!$B$4,"Date after the as-of date",IF($B239&lt;Config!$B$5,"Date before the opening balance date","OK")))))))))))))))))</f>
        <v/>
      </c>
    </row>
    <row r="240">
      <c r="A240" s="46" t="n"/>
      <c r="B240" s="54" t="n"/>
      <c r="C240" s="46" t="n"/>
      <c r="D240" s="46" t="n"/>
      <c r="E240" s="55" t="n"/>
      <c r="F240" s="46" t="n"/>
      <c r="G240" s="46" t="n"/>
      <c r="H240" s="46" t="n"/>
      <c r="I240" s="46" t="n"/>
      <c r="J240" s="46" t="n"/>
      <c r="K240" s="46" t="n"/>
      <c r="L240" s="46" t="n"/>
      <c r="M240" s="51" t="str">
        <f>IF(NOT(ISNUMBER($E240)),"",IF($C240="Receipt",$E240,IF($C240="Shipment",-$E240,IF($C240="Adjustment",$E240,0))))</f>
        <v/>
      </c>
      <c r="N240" s="49" t="str">
        <f>IF($D240="","",IFERROR(INDEX(Products!$B$2:$B$101,MATCH($D240,Products!$A$2:$A$101,0))&amp;"","(not found)"))</f>
        <v/>
      </c>
      <c r="O240" s="49" t="str">
        <f>IF($F240="","",IFERROR(INDEX(Batches!$B$2:$B$301,MATCH($F240,Batches!$A$2:$A$301,0))&amp;"","(not found)"))</f>
        <v/>
      </c>
      <c r="P240" s="49" t="str">
        <f>IF(COUNTA($A240:$L240)=0,"",IF($A240="","Missing: entry ID",IF(COUNTIF($A$2:$A$2001,$A240)&gt;1,"Duplicate entry ID",IF(NOT(ISNUMBER($B240)),"Missing or invalid: date",IF($C240="","Missing: type",IF($D240="","Missing: SKU",IF(NOT(ISNUMBER($E240)),"Missing: qty",IF($F240="","Missing: lot",IF($I240="","Missing: source link",IF(COUNTIF(Config!$A$15:$A$34,$C240)=0,"Unsupported type",IF(COUNTIF(Products!$A$2:$A$101,$D240)=0,"Unknown SKU",IF(COUNTIFS(Batches!$A$2:$A$301,$F240,Batches!$B$2:$B$301,$D240)=0,"Unknown lot for this SKU",IF(AND($C240="Adjustment",$G240=""),"Missing: reason",IF(AND($G240&lt;&gt;"",COUNTIF(Config!$B$15:$B$34,$G240)=0),"Unsupported reason",IF(OR(INT($E240)&lt;&gt;$E240,AND(OR($C240="Receipt",$C240="Shipment"),$E240&lt;=0),AND($C240="Adjustment",$E240=0)),"Invalid qty",IF($B240&gt;Config!$B$4,"Date after the as-of date",IF($B240&lt;Config!$B$5,"Date before the opening balance date","OK")))))))))))))))))</f>
        <v/>
      </c>
    </row>
    <row r="241">
      <c r="A241" s="46" t="n"/>
      <c r="B241" s="54" t="n"/>
      <c r="C241" s="46" t="n"/>
      <c r="D241" s="46" t="n"/>
      <c r="E241" s="55" t="n"/>
      <c r="F241" s="46" t="n"/>
      <c r="G241" s="46" t="n"/>
      <c r="H241" s="46" t="n"/>
      <c r="I241" s="46" t="n"/>
      <c r="J241" s="46" t="n"/>
      <c r="K241" s="46" t="n"/>
      <c r="L241" s="46" t="n"/>
      <c r="M241" s="51" t="str">
        <f>IF(NOT(ISNUMBER($E241)),"",IF($C241="Receipt",$E241,IF($C241="Shipment",-$E241,IF($C241="Adjustment",$E241,0))))</f>
        <v/>
      </c>
      <c r="N241" s="49" t="str">
        <f>IF($D241="","",IFERROR(INDEX(Products!$B$2:$B$101,MATCH($D241,Products!$A$2:$A$101,0))&amp;"","(not found)"))</f>
        <v/>
      </c>
      <c r="O241" s="49" t="str">
        <f>IF($F241="","",IFERROR(INDEX(Batches!$B$2:$B$301,MATCH($F241,Batches!$A$2:$A$301,0))&amp;"","(not found)"))</f>
        <v/>
      </c>
      <c r="P241" s="49" t="str">
        <f>IF(COUNTA($A241:$L241)=0,"",IF($A241="","Missing: entry ID",IF(COUNTIF($A$2:$A$2001,$A241)&gt;1,"Duplicate entry ID",IF(NOT(ISNUMBER($B241)),"Missing or invalid: date",IF($C241="","Missing: type",IF($D241="","Missing: SKU",IF(NOT(ISNUMBER($E241)),"Missing: qty",IF($F241="","Missing: lot",IF($I241="","Missing: source link",IF(COUNTIF(Config!$A$15:$A$34,$C241)=0,"Unsupported type",IF(COUNTIF(Products!$A$2:$A$101,$D241)=0,"Unknown SKU",IF(COUNTIFS(Batches!$A$2:$A$301,$F241,Batches!$B$2:$B$301,$D241)=0,"Unknown lot for this SKU",IF(AND($C241="Adjustment",$G241=""),"Missing: reason",IF(AND($G241&lt;&gt;"",COUNTIF(Config!$B$15:$B$34,$G241)=0),"Unsupported reason",IF(OR(INT($E241)&lt;&gt;$E241,AND(OR($C241="Receipt",$C241="Shipment"),$E241&lt;=0),AND($C241="Adjustment",$E241=0)),"Invalid qty",IF($B241&gt;Config!$B$4,"Date after the as-of date",IF($B241&lt;Config!$B$5,"Date before the opening balance date","OK")))))))))))))))))</f>
        <v/>
      </c>
    </row>
    <row r="242">
      <c r="A242" s="46" t="n"/>
      <c r="B242" s="54" t="n"/>
      <c r="C242" s="46" t="n"/>
      <c r="D242" s="46" t="n"/>
      <c r="E242" s="55" t="n"/>
      <c r="F242" s="46" t="n"/>
      <c r="G242" s="46" t="n"/>
      <c r="H242" s="46" t="n"/>
      <c r="I242" s="46" t="n"/>
      <c r="J242" s="46" t="n"/>
      <c r="K242" s="46" t="n"/>
      <c r="L242" s="46" t="n"/>
      <c r="M242" s="51" t="str">
        <f>IF(NOT(ISNUMBER($E242)),"",IF($C242="Receipt",$E242,IF($C242="Shipment",-$E242,IF($C242="Adjustment",$E242,0))))</f>
        <v/>
      </c>
      <c r="N242" s="49" t="str">
        <f>IF($D242="","",IFERROR(INDEX(Products!$B$2:$B$101,MATCH($D242,Products!$A$2:$A$101,0))&amp;"","(not found)"))</f>
        <v/>
      </c>
      <c r="O242" s="49" t="str">
        <f>IF($F242="","",IFERROR(INDEX(Batches!$B$2:$B$301,MATCH($F242,Batches!$A$2:$A$301,0))&amp;"","(not found)"))</f>
        <v/>
      </c>
      <c r="P242" s="49" t="str">
        <f>IF(COUNTA($A242:$L242)=0,"",IF($A242="","Missing: entry ID",IF(COUNTIF($A$2:$A$2001,$A242)&gt;1,"Duplicate entry ID",IF(NOT(ISNUMBER($B242)),"Missing or invalid: date",IF($C242="","Missing: type",IF($D242="","Missing: SKU",IF(NOT(ISNUMBER($E242)),"Missing: qty",IF($F242="","Missing: lot",IF($I242="","Missing: source link",IF(COUNTIF(Config!$A$15:$A$34,$C242)=0,"Unsupported type",IF(COUNTIF(Products!$A$2:$A$101,$D242)=0,"Unknown SKU",IF(COUNTIFS(Batches!$A$2:$A$301,$F242,Batches!$B$2:$B$301,$D242)=0,"Unknown lot for this SKU",IF(AND($C242="Adjustment",$G242=""),"Missing: reason",IF(AND($G242&lt;&gt;"",COUNTIF(Config!$B$15:$B$34,$G242)=0),"Unsupported reason",IF(OR(INT($E242)&lt;&gt;$E242,AND(OR($C242="Receipt",$C242="Shipment"),$E242&lt;=0),AND($C242="Adjustment",$E242=0)),"Invalid qty",IF($B242&gt;Config!$B$4,"Date after the as-of date",IF($B242&lt;Config!$B$5,"Date before the opening balance date","OK")))))))))))))))))</f>
        <v/>
      </c>
    </row>
    <row r="243">
      <c r="A243" s="46" t="n"/>
      <c r="B243" s="54" t="n"/>
      <c r="C243" s="46" t="n"/>
      <c r="D243" s="46" t="n"/>
      <c r="E243" s="55" t="n"/>
      <c r="F243" s="46" t="n"/>
      <c r="G243" s="46" t="n"/>
      <c r="H243" s="46" t="n"/>
      <c r="I243" s="46" t="n"/>
      <c r="J243" s="46" t="n"/>
      <c r="K243" s="46" t="n"/>
      <c r="L243" s="46" t="n"/>
      <c r="M243" s="51" t="str">
        <f>IF(NOT(ISNUMBER($E243)),"",IF($C243="Receipt",$E243,IF($C243="Shipment",-$E243,IF($C243="Adjustment",$E243,0))))</f>
        <v/>
      </c>
      <c r="N243" s="49" t="str">
        <f>IF($D243="","",IFERROR(INDEX(Products!$B$2:$B$101,MATCH($D243,Products!$A$2:$A$101,0))&amp;"","(not found)"))</f>
        <v/>
      </c>
      <c r="O243" s="49" t="str">
        <f>IF($F243="","",IFERROR(INDEX(Batches!$B$2:$B$301,MATCH($F243,Batches!$A$2:$A$301,0))&amp;"","(not found)"))</f>
        <v/>
      </c>
      <c r="P243" s="49" t="str">
        <f>IF(COUNTA($A243:$L243)=0,"",IF($A243="","Missing: entry ID",IF(COUNTIF($A$2:$A$2001,$A243)&gt;1,"Duplicate entry ID",IF(NOT(ISNUMBER($B243)),"Missing or invalid: date",IF($C243="","Missing: type",IF($D243="","Missing: SKU",IF(NOT(ISNUMBER($E243)),"Missing: qty",IF($F243="","Missing: lot",IF($I243="","Missing: source link",IF(COUNTIF(Config!$A$15:$A$34,$C243)=0,"Unsupported type",IF(COUNTIF(Products!$A$2:$A$101,$D243)=0,"Unknown SKU",IF(COUNTIFS(Batches!$A$2:$A$301,$F243,Batches!$B$2:$B$301,$D243)=0,"Unknown lot for this SKU",IF(AND($C243="Adjustment",$G243=""),"Missing: reason",IF(AND($G243&lt;&gt;"",COUNTIF(Config!$B$15:$B$34,$G243)=0),"Unsupported reason",IF(OR(INT($E243)&lt;&gt;$E243,AND(OR($C243="Receipt",$C243="Shipment"),$E243&lt;=0),AND($C243="Adjustment",$E243=0)),"Invalid qty",IF($B243&gt;Config!$B$4,"Date after the as-of date",IF($B243&lt;Config!$B$5,"Date before the opening balance date","OK")))))))))))))))))</f>
        <v/>
      </c>
    </row>
    <row r="244">
      <c r="A244" s="46" t="n"/>
      <c r="B244" s="54" t="n"/>
      <c r="C244" s="46" t="n"/>
      <c r="D244" s="46" t="n"/>
      <c r="E244" s="55" t="n"/>
      <c r="F244" s="46" t="n"/>
      <c r="G244" s="46" t="n"/>
      <c r="H244" s="46" t="n"/>
      <c r="I244" s="46" t="n"/>
      <c r="J244" s="46" t="n"/>
      <c r="K244" s="46" t="n"/>
      <c r="L244" s="46" t="n"/>
      <c r="M244" s="51" t="str">
        <f>IF(NOT(ISNUMBER($E244)),"",IF($C244="Receipt",$E244,IF($C244="Shipment",-$E244,IF($C244="Adjustment",$E244,0))))</f>
        <v/>
      </c>
      <c r="N244" s="49" t="str">
        <f>IF($D244="","",IFERROR(INDEX(Products!$B$2:$B$101,MATCH($D244,Products!$A$2:$A$101,0))&amp;"","(not found)"))</f>
        <v/>
      </c>
      <c r="O244" s="49" t="str">
        <f>IF($F244="","",IFERROR(INDEX(Batches!$B$2:$B$301,MATCH($F244,Batches!$A$2:$A$301,0))&amp;"","(not found)"))</f>
        <v/>
      </c>
      <c r="P244" s="49" t="str">
        <f>IF(COUNTA($A244:$L244)=0,"",IF($A244="","Missing: entry ID",IF(COUNTIF($A$2:$A$2001,$A244)&gt;1,"Duplicate entry ID",IF(NOT(ISNUMBER($B244)),"Missing or invalid: date",IF($C244="","Missing: type",IF($D244="","Missing: SKU",IF(NOT(ISNUMBER($E244)),"Missing: qty",IF($F244="","Missing: lot",IF($I244="","Missing: source link",IF(COUNTIF(Config!$A$15:$A$34,$C244)=0,"Unsupported type",IF(COUNTIF(Products!$A$2:$A$101,$D244)=0,"Unknown SKU",IF(COUNTIFS(Batches!$A$2:$A$301,$F244,Batches!$B$2:$B$301,$D244)=0,"Unknown lot for this SKU",IF(AND($C244="Adjustment",$G244=""),"Missing: reason",IF(AND($G244&lt;&gt;"",COUNTIF(Config!$B$15:$B$34,$G244)=0),"Unsupported reason",IF(OR(INT($E244)&lt;&gt;$E244,AND(OR($C244="Receipt",$C244="Shipment"),$E244&lt;=0),AND($C244="Adjustment",$E244=0)),"Invalid qty",IF($B244&gt;Config!$B$4,"Date after the as-of date",IF($B244&lt;Config!$B$5,"Date before the opening balance date","OK")))))))))))))))))</f>
        <v/>
      </c>
    </row>
    <row r="245">
      <c r="A245" s="46" t="n"/>
      <c r="B245" s="54" t="n"/>
      <c r="C245" s="46" t="n"/>
      <c r="D245" s="46" t="n"/>
      <c r="E245" s="55" t="n"/>
      <c r="F245" s="46" t="n"/>
      <c r="G245" s="46" t="n"/>
      <c r="H245" s="46" t="n"/>
      <c r="I245" s="46" t="n"/>
      <c r="J245" s="46" t="n"/>
      <c r="K245" s="46" t="n"/>
      <c r="L245" s="46" t="n"/>
      <c r="M245" s="51" t="str">
        <f>IF(NOT(ISNUMBER($E245)),"",IF($C245="Receipt",$E245,IF($C245="Shipment",-$E245,IF($C245="Adjustment",$E245,0))))</f>
        <v/>
      </c>
      <c r="N245" s="49" t="str">
        <f>IF($D245="","",IFERROR(INDEX(Products!$B$2:$B$101,MATCH($D245,Products!$A$2:$A$101,0))&amp;"","(not found)"))</f>
        <v/>
      </c>
      <c r="O245" s="49" t="str">
        <f>IF($F245="","",IFERROR(INDEX(Batches!$B$2:$B$301,MATCH($F245,Batches!$A$2:$A$301,0))&amp;"","(not found)"))</f>
        <v/>
      </c>
      <c r="P245" s="49" t="str">
        <f>IF(COUNTA($A245:$L245)=0,"",IF($A245="","Missing: entry ID",IF(COUNTIF($A$2:$A$2001,$A245)&gt;1,"Duplicate entry ID",IF(NOT(ISNUMBER($B245)),"Missing or invalid: date",IF($C245="","Missing: type",IF($D245="","Missing: SKU",IF(NOT(ISNUMBER($E245)),"Missing: qty",IF($F245="","Missing: lot",IF($I245="","Missing: source link",IF(COUNTIF(Config!$A$15:$A$34,$C245)=0,"Unsupported type",IF(COUNTIF(Products!$A$2:$A$101,$D245)=0,"Unknown SKU",IF(COUNTIFS(Batches!$A$2:$A$301,$F245,Batches!$B$2:$B$301,$D245)=0,"Unknown lot for this SKU",IF(AND($C245="Adjustment",$G245=""),"Missing: reason",IF(AND($G245&lt;&gt;"",COUNTIF(Config!$B$15:$B$34,$G245)=0),"Unsupported reason",IF(OR(INT($E245)&lt;&gt;$E245,AND(OR($C245="Receipt",$C245="Shipment"),$E245&lt;=0),AND($C245="Adjustment",$E245=0)),"Invalid qty",IF($B245&gt;Config!$B$4,"Date after the as-of date",IF($B245&lt;Config!$B$5,"Date before the opening balance date","OK")))))))))))))))))</f>
        <v/>
      </c>
    </row>
    <row r="246">
      <c r="A246" s="46" t="n"/>
      <c r="B246" s="54" t="n"/>
      <c r="C246" s="46" t="n"/>
      <c r="D246" s="46" t="n"/>
      <c r="E246" s="55" t="n"/>
      <c r="F246" s="46" t="n"/>
      <c r="G246" s="46" t="n"/>
      <c r="H246" s="46" t="n"/>
      <c r="I246" s="46" t="n"/>
      <c r="J246" s="46" t="n"/>
      <c r="K246" s="46" t="n"/>
      <c r="L246" s="46" t="n"/>
      <c r="M246" s="51" t="str">
        <f>IF(NOT(ISNUMBER($E246)),"",IF($C246="Receipt",$E246,IF($C246="Shipment",-$E246,IF($C246="Adjustment",$E246,0))))</f>
        <v/>
      </c>
      <c r="N246" s="49" t="str">
        <f>IF($D246="","",IFERROR(INDEX(Products!$B$2:$B$101,MATCH($D246,Products!$A$2:$A$101,0))&amp;"","(not found)"))</f>
        <v/>
      </c>
      <c r="O246" s="49" t="str">
        <f>IF($F246="","",IFERROR(INDEX(Batches!$B$2:$B$301,MATCH($F246,Batches!$A$2:$A$301,0))&amp;"","(not found)"))</f>
        <v/>
      </c>
      <c r="P246" s="49" t="str">
        <f>IF(COUNTA($A246:$L246)=0,"",IF($A246="","Missing: entry ID",IF(COUNTIF($A$2:$A$2001,$A246)&gt;1,"Duplicate entry ID",IF(NOT(ISNUMBER($B246)),"Missing or invalid: date",IF($C246="","Missing: type",IF($D246="","Missing: SKU",IF(NOT(ISNUMBER($E246)),"Missing: qty",IF($F246="","Missing: lot",IF($I246="","Missing: source link",IF(COUNTIF(Config!$A$15:$A$34,$C246)=0,"Unsupported type",IF(COUNTIF(Products!$A$2:$A$101,$D246)=0,"Unknown SKU",IF(COUNTIFS(Batches!$A$2:$A$301,$F246,Batches!$B$2:$B$301,$D246)=0,"Unknown lot for this SKU",IF(AND($C246="Adjustment",$G246=""),"Missing: reason",IF(AND($G246&lt;&gt;"",COUNTIF(Config!$B$15:$B$34,$G246)=0),"Unsupported reason",IF(OR(INT($E246)&lt;&gt;$E246,AND(OR($C246="Receipt",$C246="Shipment"),$E246&lt;=0),AND($C246="Adjustment",$E246=0)),"Invalid qty",IF($B246&gt;Config!$B$4,"Date after the as-of date",IF($B246&lt;Config!$B$5,"Date before the opening balance date","OK")))))))))))))))))</f>
        <v/>
      </c>
    </row>
    <row r="247">
      <c r="A247" s="46" t="n"/>
      <c r="B247" s="54" t="n"/>
      <c r="C247" s="46" t="n"/>
      <c r="D247" s="46" t="n"/>
      <c r="E247" s="55" t="n"/>
      <c r="F247" s="46" t="n"/>
      <c r="G247" s="46" t="n"/>
      <c r="H247" s="46" t="n"/>
      <c r="I247" s="46" t="n"/>
      <c r="J247" s="46" t="n"/>
      <c r="K247" s="46" t="n"/>
      <c r="L247" s="46" t="n"/>
      <c r="M247" s="51" t="str">
        <f>IF(NOT(ISNUMBER($E247)),"",IF($C247="Receipt",$E247,IF($C247="Shipment",-$E247,IF($C247="Adjustment",$E247,0))))</f>
        <v/>
      </c>
      <c r="N247" s="49" t="str">
        <f>IF($D247="","",IFERROR(INDEX(Products!$B$2:$B$101,MATCH($D247,Products!$A$2:$A$101,0))&amp;"","(not found)"))</f>
        <v/>
      </c>
      <c r="O247" s="49" t="str">
        <f>IF($F247="","",IFERROR(INDEX(Batches!$B$2:$B$301,MATCH($F247,Batches!$A$2:$A$301,0))&amp;"","(not found)"))</f>
        <v/>
      </c>
      <c r="P247" s="49" t="str">
        <f>IF(COUNTA($A247:$L247)=0,"",IF($A247="","Missing: entry ID",IF(COUNTIF($A$2:$A$2001,$A247)&gt;1,"Duplicate entry ID",IF(NOT(ISNUMBER($B247)),"Missing or invalid: date",IF($C247="","Missing: type",IF($D247="","Missing: SKU",IF(NOT(ISNUMBER($E247)),"Missing: qty",IF($F247="","Missing: lot",IF($I247="","Missing: source link",IF(COUNTIF(Config!$A$15:$A$34,$C247)=0,"Unsupported type",IF(COUNTIF(Products!$A$2:$A$101,$D247)=0,"Unknown SKU",IF(COUNTIFS(Batches!$A$2:$A$301,$F247,Batches!$B$2:$B$301,$D247)=0,"Unknown lot for this SKU",IF(AND($C247="Adjustment",$G247=""),"Missing: reason",IF(AND($G247&lt;&gt;"",COUNTIF(Config!$B$15:$B$34,$G247)=0),"Unsupported reason",IF(OR(INT($E247)&lt;&gt;$E247,AND(OR($C247="Receipt",$C247="Shipment"),$E247&lt;=0),AND($C247="Adjustment",$E247=0)),"Invalid qty",IF($B247&gt;Config!$B$4,"Date after the as-of date",IF($B247&lt;Config!$B$5,"Date before the opening balance date","OK")))))))))))))))))</f>
        <v/>
      </c>
    </row>
    <row r="248">
      <c r="A248" s="46" t="n"/>
      <c r="B248" s="54" t="n"/>
      <c r="C248" s="46" t="n"/>
      <c r="D248" s="46" t="n"/>
      <c r="E248" s="55" t="n"/>
      <c r="F248" s="46" t="n"/>
      <c r="G248" s="46" t="n"/>
      <c r="H248" s="46" t="n"/>
      <c r="I248" s="46" t="n"/>
      <c r="J248" s="46" t="n"/>
      <c r="K248" s="46" t="n"/>
      <c r="L248" s="46" t="n"/>
      <c r="M248" s="51" t="str">
        <f>IF(NOT(ISNUMBER($E248)),"",IF($C248="Receipt",$E248,IF($C248="Shipment",-$E248,IF($C248="Adjustment",$E248,0))))</f>
        <v/>
      </c>
      <c r="N248" s="49" t="str">
        <f>IF($D248="","",IFERROR(INDEX(Products!$B$2:$B$101,MATCH($D248,Products!$A$2:$A$101,0))&amp;"","(not found)"))</f>
        <v/>
      </c>
      <c r="O248" s="49" t="str">
        <f>IF($F248="","",IFERROR(INDEX(Batches!$B$2:$B$301,MATCH($F248,Batches!$A$2:$A$301,0))&amp;"","(not found)"))</f>
        <v/>
      </c>
      <c r="P248" s="49" t="str">
        <f>IF(COUNTA($A248:$L248)=0,"",IF($A248="","Missing: entry ID",IF(COUNTIF($A$2:$A$2001,$A248)&gt;1,"Duplicate entry ID",IF(NOT(ISNUMBER($B248)),"Missing or invalid: date",IF($C248="","Missing: type",IF($D248="","Missing: SKU",IF(NOT(ISNUMBER($E248)),"Missing: qty",IF($F248="","Missing: lot",IF($I248="","Missing: source link",IF(COUNTIF(Config!$A$15:$A$34,$C248)=0,"Unsupported type",IF(COUNTIF(Products!$A$2:$A$101,$D248)=0,"Unknown SKU",IF(COUNTIFS(Batches!$A$2:$A$301,$F248,Batches!$B$2:$B$301,$D248)=0,"Unknown lot for this SKU",IF(AND($C248="Adjustment",$G248=""),"Missing: reason",IF(AND($G248&lt;&gt;"",COUNTIF(Config!$B$15:$B$34,$G248)=0),"Unsupported reason",IF(OR(INT($E248)&lt;&gt;$E248,AND(OR($C248="Receipt",$C248="Shipment"),$E248&lt;=0),AND($C248="Adjustment",$E248=0)),"Invalid qty",IF($B248&gt;Config!$B$4,"Date after the as-of date",IF($B248&lt;Config!$B$5,"Date before the opening balance date","OK")))))))))))))))))</f>
        <v/>
      </c>
    </row>
    <row r="249">
      <c r="A249" s="46" t="n"/>
      <c r="B249" s="54" t="n"/>
      <c r="C249" s="46" t="n"/>
      <c r="D249" s="46" t="n"/>
      <c r="E249" s="55" t="n"/>
      <c r="F249" s="46" t="n"/>
      <c r="G249" s="46" t="n"/>
      <c r="H249" s="46" t="n"/>
      <c r="I249" s="46" t="n"/>
      <c r="J249" s="46" t="n"/>
      <c r="K249" s="46" t="n"/>
      <c r="L249" s="46" t="n"/>
      <c r="M249" s="51" t="str">
        <f>IF(NOT(ISNUMBER($E249)),"",IF($C249="Receipt",$E249,IF($C249="Shipment",-$E249,IF($C249="Adjustment",$E249,0))))</f>
        <v/>
      </c>
      <c r="N249" s="49" t="str">
        <f>IF($D249="","",IFERROR(INDEX(Products!$B$2:$B$101,MATCH($D249,Products!$A$2:$A$101,0))&amp;"","(not found)"))</f>
        <v/>
      </c>
      <c r="O249" s="49" t="str">
        <f>IF($F249="","",IFERROR(INDEX(Batches!$B$2:$B$301,MATCH($F249,Batches!$A$2:$A$301,0))&amp;"","(not found)"))</f>
        <v/>
      </c>
      <c r="P249" s="49" t="str">
        <f>IF(COUNTA($A249:$L249)=0,"",IF($A249="","Missing: entry ID",IF(COUNTIF($A$2:$A$2001,$A249)&gt;1,"Duplicate entry ID",IF(NOT(ISNUMBER($B249)),"Missing or invalid: date",IF($C249="","Missing: type",IF($D249="","Missing: SKU",IF(NOT(ISNUMBER($E249)),"Missing: qty",IF($F249="","Missing: lot",IF($I249="","Missing: source link",IF(COUNTIF(Config!$A$15:$A$34,$C249)=0,"Unsupported type",IF(COUNTIF(Products!$A$2:$A$101,$D249)=0,"Unknown SKU",IF(COUNTIFS(Batches!$A$2:$A$301,$F249,Batches!$B$2:$B$301,$D249)=0,"Unknown lot for this SKU",IF(AND($C249="Adjustment",$G249=""),"Missing: reason",IF(AND($G249&lt;&gt;"",COUNTIF(Config!$B$15:$B$34,$G249)=0),"Unsupported reason",IF(OR(INT($E249)&lt;&gt;$E249,AND(OR($C249="Receipt",$C249="Shipment"),$E249&lt;=0),AND($C249="Adjustment",$E249=0)),"Invalid qty",IF($B249&gt;Config!$B$4,"Date after the as-of date",IF($B249&lt;Config!$B$5,"Date before the opening balance date","OK")))))))))))))))))</f>
        <v/>
      </c>
    </row>
    <row r="250">
      <c r="A250" s="46" t="n"/>
      <c r="B250" s="54" t="n"/>
      <c r="C250" s="46" t="n"/>
      <c r="D250" s="46" t="n"/>
      <c r="E250" s="55" t="n"/>
      <c r="F250" s="46" t="n"/>
      <c r="G250" s="46" t="n"/>
      <c r="H250" s="46" t="n"/>
      <c r="I250" s="46" t="n"/>
      <c r="J250" s="46" t="n"/>
      <c r="K250" s="46" t="n"/>
      <c r="L250" s="46" t="n"/>
      <c r="M250" s="51" t="str">
        <f>IF(NOT(ISNUMBER($E250)),"",IF($C250="Receipt",$E250,IF($C250="Shipment",-$E250,IF($C250="Adjustment",$E250,0))))</f>
        <v/>
      </c>
      <c r="N250" s="49" t="str">
        <f>IF($D250="","",IFERROR(INDEX(Products!$B$2:$B$101,MATCH($D250,Products!$A$2:$A$101,0))&amp;"","(not found)"))</f>
        <v/>
      </c>
      <c r="O250" s="49" t="str">
        <f>IF($F250="","",IFERROR(INDEX(Batches!$B$2:$B$301,MATCH($F250,Batches!$A$2:$A$301,0))&amp;"","(not found)"))</f>
        <v/>
      </c>
      <c r="P250" s="49" t="str">
        <f>IF(COUNTA($A250:$L250)=0,"",IF($A250="","Missing: entry ID",IF(COUNTIF($A$2:$A$2001,$A250)&gt;1,"Duplicate entry ID",IF(NOT(ISNUMBER($B250)),"Missing or invalid: date",IF($C250="","Missing: type",IF($D250="","Missing: SKU",IF(NOT(ISNUMBER($E250)),"Missing: qty",IF($F250="","Missing: lot",IF($I250="","Missing: source link",IF(COUNTIF(Config!$A$15:$A$34,$C250)=0,"Unsupported type",IF(COUNTIF(Products!$A$2:$A$101,$D250)=0,"Unknown SKU",IF(COUNTIFS(Batches!$A$2:$A$301,$F250,Batches!$B$2:$B$301,$D250)=0,"Unknown lot for this SKU",IF(AND($C250="Adjustment",$G250=""),"Missing: reason",IF(AND($G250&lt;&gt;"",COUNTIF(Config!$B$15:$B$34,$G250)=0),"Unsupported reason",IF(OR(INT($E250)&lt;&gt;$E250,AND(OR($C250="Receipt",$C250="Shipment"),$E250&lt;=0),AND($C250="Adjustment",$E250=0)),"Invalid qty",IF($B250&gt;Config!$B$4,"Date after the as-of date",IF($B250&lt;Config!$B$5,"Date before the opening balance date","OK")))))))))))))))))</f>
        <v/>
      </c>
    </row>
    <row r="251">
      <c r="A251" s="46" t="n"/>
      <c r="B251" s="54" t="n"/>
      <c r="C251" s="46" t="n"/>
      <c r="D251" s="46" t="n"/>
      <c r="E251" s="55" t="n"/>
      <c r="F251" s="46" t="n"/>
      <c r="G251" s="46" t="n"/>
      <c r="H251" s="46" t="n"/>
      <c r="I251" s="46" t="n"/>
      <c r="J251" s="46" t="n"/>
      <c r="K251" s="46" t="n"/>
      <c r="L251" s="46" t="n"/>
      <c r="M251" s="51" t="str">
        <f>IF(NOT(ISNUMBER($E251)),"",IF($C251="Receipt",$E251,IF($C251="Shipment",-$E251,IF($C251="Adjustment",$E251,0))))</f>
        <v/>
      </c>
      <c r="N251" s="49" t="str">
        <f>IF($D251="","",IFERROR(INDEX(Products!$B$2:$B$101,MATCH($D251,Products!$A$2:$A$101,0))&amp;"","(not found)"))</f>
        <v/>
      </c>
      <c r="O251" s="49" t="str">
        <f>IF($F251="","",IFERROR(INDEX(Batches!$B$2:$B$301,MATCH($F251,Batches!$A$2:$A$301,0))&amp;"","(not found)"))</f>
        <v/>
      </c>
      <c r="P251" s="49" t="str">
        <f>IF(COUNTA($A251:$L251)=0,"",IF($A251="","Missing: entry ID",IF(COUNTIF($A$2:$A$2001,$A251)&gt;1,"Duplicate entry ID",IF(NOT(ISNUMBER($B251)),"Missing or invalid: date",IF($C251="","Missing: type",IF($D251="","Missing: SKU",IF(NOT(ISNUMBER($E251)),"Missing: qty",IF($F251="","Missing: lot",IF($I251="","Missing: source link",IF(COUNTIF(Config!$A$15:$A$34,$C251)=0,"Unsupported type",IF(COUNTIF(Products!$A$2:$A$101,$D251)=0,"Unknown SKU",IF(COUNTIFS(Batches!$A$2:$A$301,$F251,Batches!$B$2:$B$301,$D251)=0,"Unknown lot for this SKU",IF(AND($C251="Adjustment",$G251=""),"Missing: reason",IF(AND($G251&lt;&gt;"",COUNTIF(Config!$B$15:$B$34,$G251)=0),"Unsupported reason",IF(OR(INT($E251)&lt;&gt;$E251,AND(OR($C251="Receipt",$C251="Shipment"),$E251&lt;=0),AND($C251="Adjustment",$E251=0)),"Invalid qty",IF($B251&gt;Config!$B$4,"Date after the as-of date",IF($B251&lt;Config!$B$5,"Date before the opening balance date","OK")))))))))))))))))</f>
        <v/>
      </c>
    </row>
    <row r="252">
      <c r="A252" s="46" t="n"/>
      <c r="B252" s="54" t="n"/>
      <c r="C252" s="46" t="n"/>
      <c r="D252" s="46" t="n"/>
      <c r="E252" s="55" t="n"/>
      <c r="F252" s="46" t="n"/>
      <c r="G252" s="46" t="n"/>
      <c r="H252" s="46" t="n"/>
      <c r="I252" s="46" t="n"/>
      <c r="J252" s="46" t="n"/>
      <c r="K252" s="46" t="n"/>
      <c r="L252" s="46" t="n"/>
      <c r="M252" s="51" t="str">
        <f>IF(NOT(ISNUMBER($E252)),"",IF($C252="Receipt",$E252,IF($C252="Shipment",-$E252,IF($C252="Adjustment",$E252,0))))</f>
        <v/>
      </c>
      <c r="N252" s="49" t="str">
        <f>IF($D252="","",IFERROR(INDEX(Products!$B$2:$B$101,MATCH($D252,Products!$A$2:$A$101,0))&amp;"","(not found)"))</f>
        <v/>
      </c>
      <c r="O252" s="49" t="str">
        <f>IF($F252="","",IFERROR(INDEX(Batches!$B$2:$B$301,MATCH($F252,Batches!$A$2:$A$301,0))&amp;"","(not found)"))</f>
        <v/>
      </c>
      <c r="P252" s="49" t="str">
        <f>IF(COUNTA($A252:$L252)=0,"",IF($A252="","Missing: entry ID",IF(COUNTIF($A$2:$A$2001,$A252)&gt;1,"Duplicate entry ID",IF(NOT(ISNUMBER($B252)),"Missing or invalid: date",IF($C252="","Missing: type",IF($D252="","Missing: SKU",IF(NOT(ISNUMBER($E252)),"Missing: qty",IF($F252="","Missing: lot",IF($I252="","Missing: source link",IF(COUNTIF(Config!$A$15:$A$34,$C252)=0,"Unsupported type",IF(COUNTIF(Products!$A$2:$A$101,$D252)=0,"Unknown SKU",IF(COUNTIFS(Batches!$A$2:$A$301,$F252,Batches!$B$2:$B$301,$D252)=0,"Unknown lot for this SKU",IF(AND($C252="Adjustment",$G252=""),"Missing: reason",IF(AND($G252&lt;&gt;"",COUNTIF(Config!$B$15:$B$34,$G252)=0),"Unsupported reason",IF(OR(INT($E252)&lt;&gt;$E252,AND(OR($C252="Receipt",$C252="Shipment"),$E252&lt;=0),AND($C252="Adjustment",$E252=0)),"Invalid qty",IF($B252&gt;Config!$B$4,"Date after the as-of date",IF($B252&lt;Config!$B$5,"Date before the opening balance date","OK")))))))))))))))))</f>
        <v/>
      </c>
    </row>
    <row r="253">
      <c r="A253" s="46" t="n"/>
      <c r="B253" s="54" t="n"/>
      <c r="C253" s="46" t="n"/>
      <c r="D253" s="46" t="n"/>
      <c r="E253" s="55" t="n"/>
      <c r="F253" s="46" t="n"/>
      <c r="G253" s="46" t="n"/>
      <c r="H253" s="46" t="n"/>
      <c r="I253" s="46" t="n"/>
      <c r="J253" s="46" t="n"/>
      <c r="K253" s="46" t="n"/>
      <c r="L253" s="46" t="n"/>
      <c r="M253" s="51" t="str">
        <f>IF(NOT(ISNUMBER($E253)),"",IF($C253="Receipt",$E253,IF($C253="Shipment",-$E253,IF($C253="Adjustment",$E253,0))))</f>
        <v/>
      </c>
      <c r="N253" s="49" t="str">
        <f>IF($D253="","",IFERROR(INDEX(Products!$B$2:$B$101,MATCH($D253,Products!$A$2:$A$101,0))&amp;"","(not found)"))</f>
        <v/>
      </c>
      <c r="O253" s="49" t="str">
        <f>IF($F253="","",IFERROR(INDEX(Batches!$B$2:$B$301,MATCH($F253,Batches!$A$2:$A$301,0))&amp;"","(not found)"))</f>
        <v/>
      </c>
      <c r="P253" s="49" t="str">
        <f>IF(COUNTA($A253:$L253)=0,"",IF($A253="","Missing: entry ID",IF(COUNTIF($A$2:$A$2001,$A253)&gt;1,"Duplicate entry ID",IF(NOT(ISNUMBER($B253)),"Missing or invalid: date",IF($C253="","Missing: type",IF($D253="","Missing: SKU",IF(NOT(ISNUMBER($E253)),"Missing: qty",IF($F253="","Missing: lot",IF($I253="","Missing: source link",IF(COUNTIF(Config!$A$15:$A$34,$C253)=0,"Unsupported type",IF(COUNTIF(Products!$A$2:$A$101,$D253)=0,"Unknown SKU",IF(COUNTIFS(Batches!$A$2:$A$301,$F253,Batches!$B$2:$B$301,$D253)=0,"Unknown lot for this SKU",IF(AND($C253="Adjustment",$G253=""),"Missing: reason",IF(AND($G253&lt;&gt;"",COUNTIF(Config!$B$15:$B$34,$G253)=0),"Unsupported reason",IF(OR(INT($E253)&lt;&gt;$E253,AND(OR($C253="Receipt",$C253="Shipment"),$E253&lt;=0),AND($C253="Adjustment",$E253=0)),"Invalid qty",IF($B253&gt;Config!$B$4,"Date after the as-of date",IF($B253&lt;Config!$B$5,"Date before the opening balance date","OK")))))))))))))))))</f>
        <v/>
      </c>
    </row>
    <row r="254">
      <c r="A254" s="46" t="n"/>
      <c r="B254" s="54" t="n"/>
      <c r="C254" s="46" t="n"/>
      <c r="D254" s="46" t="n"/>
      <c r="E254" s="55" t="n"/>
      <c r="F254" s="46" t="n"/>
      <c r="G254" s="46" t="n"/>
      <c r="H254" s="46" t="n"/>
      <c r="I254" s="46" t="n"/>
      <c r="J254" s="46" t="n"/>
      <c r="K254" s="46" t="n"/>
      <c r="L254" s="46" t="n"/>
      <c r="M254" s="51" t="str">
        <f>IF(NOT(ISNUMBER($E254)),"",IF($C254="Receipt",$E254,IF($C254="Shipment",-$E254,IF($C254="Adjustment",$E254,0))))</f>
        <v/>
      </c>
      <c r="N254" s="49" t="str">
        <f>IF($D254="","",IFERROR(INDEX(Products!$B$2:$B$101,MATCH($D254,Products!$A$2:$A$101,0))&amp;"","(not found)"))</f>
        <v/>
      </c>
      <c r="O254" s="49" t="str">
        <f>IF($F254="","",IFERROR(INDEX(Batches!$B$2:$B$301,MATCH($F254,Batches!$A$2:$A$301,0))&amp;"","(not found)"))</f>
        <v/>
      </c>
      <c r="P254" s="49" t="str">
        <f>IF(COUNTA($A254:$L254)=0,"",IF($A254="","Missing: entry ID",IF(COUNTIF($A$2:$A$2001,$A254)&gt;1,"Duplicate entry ID",IF(NOT(ISNUMBER($B254)),"Missing or invalid: date",IF($C254="","Missing: type",IF($D254="","Missing: SKU",IF(NOT(ISNUMBER($E254)),"Missing: qty",IF($F254="","Missing: lot",IF($I254="","Missing: source link",IF(COUNTIF(Config!$A$15:$A$34,$C254)=0,"Unsupported type",IF(COUNTIF(Products!$A$2:$A$101,$D254)=0,"Unknown SKU",IF(COUNTIFS(Batches!$A$2:$A$301,$F254,Batches!$B$2:$B$301,$D254)=0,"Unknown lot for this SKU",IF(AND($C254="Adjustment",$G254=""),"Missing: reason",IF(AND($G254&lt;&gt;"",COUNTIF(Config!$B$15:$B$34,$G254)=0),"Unsupported reason",IF(OR(INT($E254)&lt;&gt;$E254,AND(OR($C254="Receipt",$C254="Shipment"),$E254&lt;=0),AND($C254="Adjustment",$E254=0)),"Invalid qty",IF($B254&gt;Config!$B$4,"Date after the as-of date",IF($B254&lt;Config!$B$5,"Date before the opening balance date","OK")))))))))))))))))</f>
        <v/>
      </c>
    </row>
    <row r="255">
      <c r="A255" s="46" t="n"/>
      <c r="B255" s="54" t="n"/>
      <c r="C255" s="46" t="n"/>
      <c r="D255" s="46" t="n"/>
      <c r="E255" s="55" t="n"/>
      <c r="F255" s="46" t="n"/>
      <c r="G255" s="46" t="n"/>
      <c r="H255" s="46" t="n"/>
      <c r="I255" s="46" t="n"/>
      <c r="J255" s="46" t="n"/>
      <c r="K255" s="46" t="n"/>
      <c r="L255" s="46" t="n"/>
      <c r="M255" s="51" t="str">
        <f>IF(NOT(ISNUMBER($E255)),"",IF($C255="Receipt",$E255,IF($C255="Shipment",-$E255,IF($C255="Adjustment",$E255,0))))</f>
        <v/>
      </c>
      <c r="N255" s="49" t="str">
        <f>IF($D255="","",IFERROR(INDEX(Products!$B$2:$B$101,MATCH($D255,Products!$A$2:$A$101,0))&amp;"","(not found)"))</f>
        <v/>
      </c>
      <c r="O255" s="49" t="str">
        <f>IF($F255="","",IFERROR(INDEX(Batches!$B$2:$B$301,MATCH($F255,Batches!$A$2:$A$301,0))&amp;"","(not found)"))</f>
        <v/>
      </c>
      <c r="P255" s="49" t="str">
        <f>IF(COUNTA($A255:$L255)=0,"",IF($A255="","Missing: entry ID",IF(COUNTIF($A$2:$A$2001,$A255)&gt;1,"Duplicate entry ID",IF(NOT(ISNUMBER($B255)),"Missing or invalid: date",IF($C255="","Missing: type",IF($D255="","Missing: SKU",IF(NOT(ISNUMBER($E255)),"Missing: qty",IF($F255="","Missing: lot",IF($I255="","Missing: source link",IF(COUNTIF(Config!$A$15:$A$34,$C255)=0,"Unsupported type",IF(COUNTIF(Products!$A$2:$A$101,$D255)=0,"Unknown SKU",IF(COUNTIFS(Batches!$A$2:$A$301,$F255,Batches!$B$2:$B$301,$D255)=0,"Unknown lot for this SKU",IF(AND($C255="Adjustment",$G255=""),"Missing: reason",IF(AND($G255&lt;&gt;"",COUNTIF(Config!$B$15:$B$34,$G255)=0),"Unsupported reason",IF(OR(INT($E255)&lt;&gt;$E255,AND(OR($C255="Receipt",$C255="Shipment"),$E255&lt;=0),AND($C255="Adjustment",$E255=0)),"Invalid qty",IF($B255&gt;Config!$B$4,"Date after the as-of date",IF($B255&lt;Config!$B$5,"Date before the opening balance date","OK")))))))))))))))))</f>
        <v/>
      </c>
    </row>
    <row r="256">
      <c r="A256" s="46" t="n"/>
      <c r="B256" s="54" t="n"/>
      <c r="C256" s="46" t="n"/>
      <c r="D256" s="46" t="n"/>
      <c r="E256" s="55" t="n"/>
      <c r="F256" s="46" t="n"/>
      <c r="G256" s="46" t="n"/>
      <c r="H256" s="46" t="n"/>
      <c r="I256" s="46" t="n"/>
      <c r="J256" s="46" t="n"/>
      <c r="K256" s="46" t="n"/>
      <c r="L256" s="46" t="n"/>
      <c r="M256" s="51" t="str">
        <f>IF(NOT(ISNUMBER($E256)),"",IF($C256="Receipt",$E256,IF($C256="Shipment",-$E256,IF($C256="Adjustment",$E256,0))))</f>
        <v/>
      </c>
      <c r="N256" s="49" t="str">
        <f>IF($D256="","",IFERROR(INDEX(Products!$B$2:$B$101,MATCH($D256,Products!$A$2:$A$101,0))&amp;"","(not found)"))</f>
        <v/>
      </c>
      <c r="O256" s="49" t="str">
        <f>IF($F256="","",IFERROR(INDEX(Batches!$B$2:$B$301,MATCH($F256,Batches!$A$2:$A$301,0))&amp;"","(not found)"))</f>
        <v/>
      </c>
      <c r="P256" s="49" t="str">
        <f>IF(COUNTA($A256:$L256)=0,"",IF($A256="","Missing: entry ID",IF(COUNTIF($A$2:$A$2001,$A256)&gt;1,"Duplicate entry ID",IF(NOT(ISNUMBER($B256)),"Missing or invalid: date",IF($C256="","Missing: type",IF($D256="","Missing: SKU",IF(NOT(ISNUMBER($E256)),"Missing: qty",IF($F256="","Missing: lot",IF($I256="","Missing: source link",IF(COUNTIF(Config!$A$15:$A$34,$C256)=0,"Unsupported type",IF(COUNTIF(Products!$A$2:$A$101,$D256)=0,"Unknown SKU",IF(COUNTIFS(Batches!$A$2:$A$301,$F256,Batches!$B$2:$B$301,$D256)=0,"Unknown lot for this SKU",IF(AND($C256="Adjustment",$G256=""),"Missing: reason",IF(AND($G256&lt;&gt;"",COUNTIF(Config!$B$15:$B$34,$G256)=0),"Unsupported reason",IF(OR(INT($E256)&lt;&gt;$E256,AND(OR($C256="Receipt",$C256="Shipment"),$E256&lt;=0),AND($C256="Adjustment",$E256=0)),"Invalid qty",IF($B256&gt;Config!$B$4,"Date after the as-of date",IF($B256&lt;Config!$B$5,"Date before the opening balance date","OK")))))))))))))))))</f>
        <v/>
      </c>
    </row>
    <row r="257">
      <c r="A257" s="46" t="n"/>
      <c r="B257" s="54" t="n"/>
      <c r="C257" s="46" t="n"/>
      <c r="D257" s="46" t="n"/>
      <c r="E257" s="55" t="n"/>
      <c r="F257" s="46" t="n"/>
      <c r="G257" s="46" t="n"/>
      <c r="H257" s="46" t="n"/>
      <c r="I257" s="46" t="n"/>
      <c r="J257" s="46" t="n"/>
      <c r="K257" s="46" t="n"/>
      <c r="L257" s="46" t="n"/>
      <c r="M257" s="51" t="str">
        <f>IF(NOT(ISNUMBER($E257)),"",IF($C257="Receipt",$E257,IF($C257="Shipment",-$E257,IF($C257="Adjustment",$E257,0))))</f>
        <v/>
      </c>
      <c r="N257" s="49" t="str">
        <f>IF($D257="","",IFERROR(INDEX(Products!$B$2:$B$101,MATCH($D257,Products!$A$2:$A$101,0))&amp;"","(not found)"))</f>
        <v/>
      </c>
      <c r="O257" s="49" t="str">
        <f>IF($F257="","",IFERROR(INDEX(Batches!$B$2:$B$301,MATCH($F257,Batches!$A$2:$A$301,0))&amp;"","(not found)"))</f>
        <v/>
      </c>
      <c r="P257" s="49" t="str">
        <f>IF(COUNTA($A257:$L257)=0,"",IF($A257="","Missing: entry ID",IF(COUNTIF($A$2:$A$2001,$A257)&gt;1,"Duplicate entry ID",IF(NOT(ISNUMBER($B257)),"Missing or invalid: date",IF($C257="","Missing: type",IF($D257="","Missing: SKU",IF(NOT(ISNUMBER($E257)),"Missing: qty",IF($F257="","Missing: lot",IF($I257="","Missing: source link",IF(COUNTIF(Config!$A$15:$A$34,$C257)=0,"Unsupported type",IF(COUNTIF(Products!$A$2:$A$101,$D257)=0,"Unknown SKU",IF(COUNTIFS(Batches!$A$2:$A$301,$F257,Batches!$B$2:$B$301,$D257)=0,"Unknown lot for this SKU",IF(AND($C257="Adjustment",$G257=""),"Missing: reason",IF(AND($G257&lt;&gt;"",COUNTIF(Config!$B$15:$B$34,$G257)=0),"Unsupported reason",IF(OR(INT($E257)&lt;&gt;$E257,AND(OR($C257="Receipt",$C257="Shipment"),$E257&lt;=0),AND($C257="Adjustment",$E257=0)),"Invalid qty",IF($B257&gt;Config!$B$4,"Date after the as-of date",IF($B257&lt;Config!$B$5,"Date before the opening balance date","OK")))))))))))))))))</f>
        <v/>
      </c>
    </row>
    <row r="258">
      <c r="A258" s="46" t="n"/>
      <c r="B258" s="54" t="n"/>
      <c r="C258" s="46" t="n"/>
      <c r="D258" s="46" t="n"/>
      <c r="E258" s="55" t="n"/>
      <c r="F258" s="46" t="n"/>
      <c r="G258" s="46" t="n"/>
      <c r="H258" s="46" t="n"/>
      <c r="I258" s="46" t="n"/>
      <c r="J258" s="46" t="n"/>
      <c r="K258" s="46" t="n"/>
      <c r="L258" s="46" t="n"/>
      <c r="M258" s="51" t="str">
        <f>IF(NOT(ISNUMBER($E258)),"",IF($C258="Receipt",$E258,IF($C258="Shipment",-$E258,IF($C258="Adjustment",$E258,0))))</f>
        <v/>
      </c>
      <c r="N258" s="49" t="str">
        <f>IF($D258="","",IFERROR(INDEX(Products!$B$2:$B$101,MATCH($D258,Products!$A$2:$A$101,0))&amp;"","(not found)"))</f>
        <v/>
      </c>
      <c r="O258" s="49" t="str">
        <f>IF($F258="","",IFERROR(INDEX(Batches!$B$2:$B$301,MATCH($F258,Batches!$A$2:$A$301,0))&amp;"","(not found)"))</f>
        <v/>
      </c>
      <c r="P258" s="49" t="str">
        <f>IF(COUNTA($A258:$L258)=0,"",IF($A258="","Missing: entry ID",IF(COUNTIF($A$2:$A$2001,$A258)&gt;1,"Duplicate entry ID",IF(NOT(ISNUMBER($B258)),"Missing or invalid: date",IF($C258="","Missing: type",IF($D258="","Missing: SKU",IF(NOT(ISNUMBER($E258)),"Missing: qty",IF($F258="","Missing: lot",IF($I258="","Missing: source link",IF(COUNTIF(Config!$A$15:$A$34,$C258)=0,"Unsupported type",IF(COUNTIF(Products!$A$2:$A$101,$D258)=0,"Unknown SKU",IF(COUNTIFS(Batches!$A$2:$A$301,$F258,Batches!$B$2:$B$301,$D258)=0,"Unknown lot for this SKU",IF(AND($C258="Adjustment",$G258=""),"Missing: reason",IF(AND($G258&lt;&gt;"",COUNTIF(Config!$B$15:$B$34,$G258)=0),"Unsupported reason",IF(OR(INT($E258)&lt;&gt;$E258,AND(OR($C258="Receipt",$C258="Shipment"),$E258&lt;=0),AND($C258="Adjustment",$E258=0)),"Invalid qty",IF($B258&gt;Config!$B$4,"Date after the as-of date",IF($B258&lt;Config!$B$5,"Date before the opening balance date","OK")))))))))))))))))</f>
        <v/>
      </c>
    </row>
    <row r="259">
      <c r="A259" s="46" t="n"/>
      <c r="B259" s="54" t="n"/>
      <c r="C259" s="46" t="n"/>
      <c r="D259" s="46" t="n"/>
      <c r="E259" s="55" t="n"/>
      <c r="F259" s="46" t="n"/>
      <c r="G259" s="46" t="n"/>
      <c r="H259" s="46" t="n"/>
      <c r="I259" s="46" t="n"/>
      <c r="J259" s="46" t="n"/>
      <c r="K259" s="46" t="n"/>
      <c r="L259" s="46" t="n"/>
      <c r="M259" s="51" t="str">
        <f>IF(NOT(ISNUMBER($E259)),"",IF($C259="Receipt",$E259,IF($C259="Shipment",-$E259,IF($C259="Adjustment",$E259,0))))</f>
        <v/>
      </c>
      <c r="N259" s="49" t="str">
        <f>IF($D259="","",IFERROR(INDEX(Products!$B$2:$B$101,MATCH($D259,Products!$A$2:$A$101,0))&amp;"","(not found)"))</f>
        <v/>
      </c>
      <c r="O259" s="49" t="str">
        <f>IF($F259="","",IFERROR(INDEX(Batches!$B$2:$B$301,MATCH($F259,Batches!$A$2:$A$301,0))&amp;"","(not found)"))</f>
        <v/>
      </c>
      <c r="P259" s="49" t="str">
        <f>IF(COUNTA($A259:$L259)=0,"",IF($A259="","Missing: entry ID",IF(COUNTIF($A$2:$A$2001,$A259)&gt;1,"Duplicate entry ID",IF(NOT(ISNUMBER($B259)),"Missing or invalid: date",IF($C259="","Missing: type",IF($D259="","Missing: SKU",IF(NOT(ISNUMBER($E259)),"Missing: qty",IF($F259="","Missing: lot",IF($I259="","Missing: source link",IF(COUNTIF(Config!$A$15:$A$34,$C259)=0,"Unsupported type",IF(COUNTIF(Products!$A$2:$A$101,$D259)=0,"Unknown SKU",IF(COUNTIFS(Batches!$A$2:$A$301,$F259,Batches!$B$2:$B$301,$D259)=0,"Unknown lot for this SKU",IF(AND($C259="Adjustment",$G259=""),"Missing: reason",IF(AND($G259&lt;&gt;"",COUNTIF(Config!$B$15:$B$34,$G259)=0),"Unsupported reason",IF(OR(INT($E259)&lt;&gt;$E259,AND(OR($C259="Receipt",$C259="Shipment"),$E259&lt;=0),AND($C259="Adjustment",$E259=0)),"Invalid qty",IF($B259&gt;Config!$B$4,"Date after the as-of date",IF($B259&lt;Config!$B$5,"Date before the opening balance date","OK")))))))))))))))))</f>
        <v/>
      </c>
    </row>
    <row r="260">
      <c r="A260" s="46" t="n"/>
      <c r="B260" s="54" t="n"/>
      <c r="C260" s="46" t="n"/>
      <c r="D260" s="46" t="n"/>
      <c r="E260" s="55" t="n"/>
      <c r="F260" s="46" t="n"/>
      <c r="G260" s="46" t="n"/>
      <c r="H260" s="46" t="n"/>
      <c r="I260" s="46" t="n"/>
      <c r="J260" s="46" t="n"/>
      <c r="K260" s="46" t="n"/>
      <c r="L260" s="46" t="n"/>
      <c r="M260" s="51" t="str">
        <f>IF(NOT(ISNUMBER($E260)),"",IF($C260="Receipt",$E260,IF($C260="Shipment",-$E260,IF($C260="Adjustment",$E260,0))))</f>
        <v/>
      </c>
      <c r="N260" s="49" t="str">
        <f>IF($D260="","",IFERROR(INDEX(Products!$B$2:$B$101,MATCH($D260,Products!$A$2:$A$101,0))&amp;"","(not found)"))</f>
        <v/>
      </c>
      <c r="O260" s="49" t="str">
        <f>IF($F260="","",IFERROR(INDEX(Batches!$B$2:$B$301,MATCH($F260,Batches!$A$2:$A$301,0))&amp;"","(not found)"))</f>
        <v/>
      </c>
      <c r="P260" s="49" t="str">
        <f>IF(COUNTA($A260:$L260)=0,"",IF($A260="","Missing: entry ID",IF(COUNTIF($A$2:$A$2001,$A260)&gt;1,"Duplicate entry ID",IF(NOT(ISNUMBER($B260)),"Missing or invalid: date",IF($C260="","Missing: type",IF($D260="","Missing: SKU",IF(NOT(ISNUMBER($E260)),"Missing: qty",IF($F260="","Missing: lot",IF($I260="","Missing: source link",IF(COUNTIF(Config!$A$15:$A$34,$C260)=0,"Unsupported type",IF(COUNTIF(Products!$A$2:$A$101,$D260)=0,"Unknown SKU",IF(COUNTIFS(Batches!$A$2:$A$301,$F260,Batches!$B$2:$B$301,$D260)=0,"Unknown lot for this SKU",IF(AND($C260="Adjustment",$G260=""),"Missing: reason",IF(AND($G260&lt;&gt;"",COUNTIF(Config!$B$15:$B$34,$G260)=0),"Unsupported reason",IF(OR(INT($E260)&lt;&gt;$E260,AND(OR($C260="Receipt",$C260="Shipment"),$E260&lt;=0),AND($C260="Adjustment",$E260=0)),"Invalid qty",IF($B260&gt;Config!$B$4,"Date after the as-of date",IF($B260&lt;Config!$B$5,"Date before the opening balance date","OK")))))))))))))))))</f>
        <v/>
      </c>
    </row>
    <row r="261">
      <c r="A261" s="46" t="n"/>
      <c r="B261" s="54" t="n"/>
      <c r="C261" s="46" t="n"/>
      <c r="D261" s="46" t="n"/>
      <c r="E261" s="55" t="n"/>
      <c r="F261" s="46" t="n"/>
      <c r="G261" s="46" t="n"/>
      <c r="H261" s="46" t="n"/>
      <c r="I261" s="46" t="n"/>
      <c r="J261" s="46" t="n"/>
      <c r="K261" s="46" t="n"/>
      <c r="L261" s="46" t="n"/>
      <c r="M261" s="51" t="str">
        <f>IF(NOT(ISNUMBER($E261)),"",IF($C261="Receipt",$E261,IF($C261="Shipment",-$E261,IF($C261="Adjustment",$E261,0))))</f>
        <v/>
      </c>
      <c r="N261" s="49" t="str">
        <f>IF($D261="","",IFERROR(INDEX(Products!$B$2:$B$101,MATCH($D261,Products!$A$2:$A$101,0))&amp;"","(not found)"))</f>
        <v/>
      </c>
      <c r="O261" s="49" t="str">
        <f>IF($F261="","",IFERROR(INDEX(Batches!$B$2:$B$301,MATCH($F261,Batches!$A$2:$A$301,0))&amp;"","(not found)"))</f>
        <v/>
      </c>
      <c r="P261" s="49" t="str">
        <f>IF(COUNTA($A261:$L261)=0,"",IF($A261="","Missing: entry ID",IF(COUNTIF($A$2:$A$2001,$A261)&gt;1,"Duplicate entry ID",IF(NOT(ISNUMBER($B261)),"Missing or invalid: date",IF($C261="","Missing: type",IF($D261="","Missing: SKU",IF(NOT(ISNUMBER($E261)),"Missing: qty",IF($F261="","Missing: lot",IF($I261="","Missing: source link",IF(COUNTIF(Config!$A$15:$A$34,$C261)=0,"Unsupported type",IF(COUNTIF(Products!$A$2:$A$101,$D261)=0,"Unknown SKU",IF(COUNTIFS(Batches!$A$2:$A$301,$F261,Batches!$B$2:$B$301,$D261)=0,"Unknown lot for this SKU",IF(AND($C261="Adjustment",$G261=""),"Missing: reason",IF(AND($G261&lt;&gt;"",COUNTIF(Config!$B$15:$B$34,$G261)=0),"Unsupported reason",IF(OR(INT($E261)&lt;&gt;$E261,AND(OR($C261="Receipt",$C261="Shipment"),$E261&lt;=0),AND($C261="Adjustment",$E261=0)),"Invalid qty",IF($B261&gt;Config!$B$4,"Date after the as-of date",IF($B261&lt;Config!$B$5,"Date before the opening balance date","OK")))))))))))))))))</f>
        <v/>
      </c>
    </row>
    <row r="262">
      <c r="A262" s="46" t="n"/>
      <c r="B262" s="54" t="n"/>
      <c r="C262" s="46" t="n"/>
      <c r="D262" s="46" t="n"/>
      <c r="E262" s="55" t="n"/>
      <c r="F262" s="46" t="n"/>
      <c r="G262" s="46" t="n"/>
      <c r="H262" s="46" t="n"/>
      <c r="I262" s="46" t="n"/>
      <c r="J262" s="46" t="n"/>
      <c r="K262" s="46" t="n"/>
      <c r="L262" s="46" t="n"/>
      <c r="M262" s="51" t="str">
        <f>IF(NOT(ISNUMBER($E262)),"",IF($C262="Receipt",$E262,IF($C262="Shipment",-$E262,IF($C262="Adjustment",$E262,0))))</f>
        <v/>
      </c>
      <c r="N262" s="49" t="str">
        <f>IF($D262="","",IFERROR(INDEX(Products!$B$2:$B$101,MATCH($D262,Products!$A$2:$A$101,0))&amp;"","(not found)"))</f>
        <v/>
      </c>
      <c r="O262" s="49" t="str">
        <f>IF($F262="","",IFERROR(INDEX(Batches!$B$2:$B$301,MATCH($F262,Batches!$A$2:$A$301,0))&amp;"","(not found)"))</f>
        <v/>
      </c>
      <c r="P262" s="49" t="str">
        <f>IF(COUNTA($A262:$L262)=0,"",IF($A262="","Missing: entry ID",IF(COUNTIF($A$2:$A$2001,$A262)&gt;1,"Duplicate entry ID",IF(NOT(ISNUMBER($B262)),"Missing or invalid: date",IF($C262="","Missing: type",IF($D262="","Missing: SKU",IF(NOT(ISNUMBER($E262)),"Missing: qty",IF($F262="","Missing: lot",IF($I262="","Missing: source link",IF(COUNTIF(Config!$A$15:$A$34,$C262)=0,"Unsupported type",IF(COUNTIF(Products!$A$2:$A$101,$D262)=0,"Unknown SKU",IF(COUNTIFS(Batches!$A$2:$A$301,$F262,Batches!$B$2:$B$301,$D262)=0,"Unknown lot for this SKU",IF(AND($C262="Adjustment",$G262=""),"Missing: reason",IF(AND($G262&lt;&gt;"",COUNTIF(Config!$B$15:$B$34,$G262)=0),"Unsupported reason",IF(OR(INT($E262)&lt;&gt;$E262,AND(OR($C262="Receipt",$C262="Shipment"),$E262&lt;=0),AND($C262="Adjustment",$E262=0)),"Invalid qty",IF($B262&gt;Config!$B$4,"Date after the as-of date",IF($B262&lt;Config!$B$5,"Date before the opening balance date","OK")))))))))))))))))</f>
        <v/>
      </c>
    </row>
    <row r="263">
      <c r="A263" s="46" t="n"/>
      <c r="B263" s="54" t="n"/>
      <c r="C263" s="46" t="n"/>
      <c r="D263" s="46" t="n"/>
      <c r="E263" s="55" t="n"/>
      <c r="F263" s="46" t="n"/>
      <c r="G263" s="46" t="n"/>
      <c r="H263" s="46" t="n"/>
      <c r="I263" s="46" t="n"/>
      <c r="J263" s="46" t="n"/>
      <c r="K263" s="46" t="n"/>
      <c r="L263" s="46" t="n"/>
      <c r="M263" s="51" t="str">
        <f>IF(NOT(ISNUMBER($E263)),"",IF($C263="Receipt",$E263,IF($C263="Shipment",-$E263,IF($C263="Adjustment",$E263,0))))</f>
        <v/>
      </c>
      <c r="N263" s="49" t="str">
        <f>IF($D263="","",IFERROR(INDEX(Products!$B$2:$B$101,MATCH($D263,Products!$A$2:$A$101,0))&amp;"","(not found)"))</f>
        <v/>
      </c>
      <c r="O263" s="49" t="str">
        <f>IF($F263="","",IFERROR(INDEX(Batches!$B$2:$B$301,MATCH($F263,Batches!$A$2:$A$301,0))&amp;"","(not found)"))</f>
        <v/>
      </c>
      <c r="P263" s="49" t="str">
        <f>IF(COUNTA($A263:$L263)=0,"",IF($A263="","Missing: entry ID",IF(COUNTIF($A$2:$A$2001,$A263)&gt;1,"Duplicate entry ID",IF(NOT(ISNUMBER($B263)),"Missing or invalid: date",IF($C263="","Missing: type",IF($D263="","Missing: SKU",IF(NOT(ISNUMBER($E263)),"Missing: qty",IF($F263="","Missing: lot",IF($I263="","Missing: source link",IF(COUNTIF(Config!$A$15:$A$34,$C263)=0,"Unsupported type",IF(COUNTIF(Products!$A$2:$A$101,$D263)=0,"Unknown SKU",IF(COUNTIFS(Batches!$A$2:$A$301,$F263,Batches!$B$2:$B$301,$D263)=0,"Unknown lot for this SKU",IF(AND($C263="Adjustment",$G263=""),"Missing: reason",IF(AND($G263&lt;&gt;"",COUNTIF(Config!$B$15:$B$34,$G263)=0),"Unsupported reason",IF(OR(INT($E263)&lt;&gt;$E263,AND(OR($C263="Receipt",$C263="Shipment"),$E263&lt;=0),AND($C263="Adjustment",$E263=0)),"Invalid qty",IF($B263&gt;Config!$B$4,"Date after the as-of date",IF($B263&lt;Config!$B$5,"Date before the opening balance date","OK")))))))))))))))))</f>
        <v/>
      </c>
    </row>
    <row r="264">
      <c r="A264" s="46" t="n"/>
      <c r="B264" s="54" t="n"/>
      <c r="C264" s="46" t="n"/>
      <c r="D264" s="46" t="n"/>
      <c r="E264" s="55" t="n"/>
      <c r="F264" s="46" t="n"/>
      <c r="G264" s="46" t="n"/>
      <c r="H264" s="46" t="n"/>
      <c r="I264" s="46" t="n"/>
      <c r="J264" s="46" t="n"/>
      <c r="K264" s="46" t="n"/>
      <c r="L264" s="46" t="n"/>
      <c r="M264" s="51" t="str">
        <f>IF(NOT(ISNUMBER($E264)),"",IF($C264="Receipt",$E264,IF($C264="Shipment",-$E264,IF($C264="Adjustment",$E264,0))))</f>
        <v/>
      </c>
      <c r="N264" s="49" t="str">
        <f>IF($D264="","",IFERROR(INDEX(Products!$B$2:$B$101,MATCH($D264,Products!$A$2:$A$101,0))&amp;"","(not found)"))</f>
        <v/>
      </c>
      <c r="O264" s="49" t="str">
        <f>IF($F264="","",IFERROR(INDEX(Batches!$B$2:$B$301,MATCH($F264,Batches!$A$2:$A$301,0))&amp;"","(not found)"))</f>
        <v/>
      </c>
      <c r="P264" s="49" t="str">
        <f>IF(COUNTA($A264:$L264)=0,"",IF($A264="","Missing: entry ID",IF(COUNTIF($A$2:$A$2001,$A264)&gt;1,"Duplicate entry ID",IF(NOT(ISNUMBER($B264)),"Missing or invalid: date",IF($C264="","Missing: type",IF($D264="","Missing: SKU",IF(NOT(ISNUMBER($E264)),"Missing: qty",IF($F264="","Missing: lot",IF($I264="","Missing: source link",IF(COUNTIF(Config!$A$15:$A$34,$C264)=0,"Unsupported type",IF(COUNTIF(Products!$A$2:$A$101,$D264)=0,"Unknown SKU",IF(COUNTIFS(Batches!$A$2:$A$301,$F264,Batches!$B$2:$B$301,$D264)=0,"Unknown lot for this SKU",IF(AND($C264="Adjustment",$G264=""),"Missing: reason",IF(AND($G264&lt;&gt;"",COUNTIF(Config!$B$15:$B$34,$G264)=0),"Unsupported reason",IF(OR(INT($E264)&lt;&gt;$E264,AND(OR($C264="Receipt",$C264="Shipment"),$E264&lt;=0),AND($C264="Adjustment",$E264=0)),"Invalid qty",IF($B264&gt;Config!$B$4,"Date after the as-of date",IF($B264&lt;Config!$B$5,"Date before the opening balance date","OK")))))))))))))))))</f>
        <v/>
      </c>
    </row>
    <row r="265">
      <c r="A265" s="46" t="n"/>
      <c r="B265" s="54" t="n"/>
      <c r="C265" s="46" t="n"/>
      <c r="D265" s="46" t="n"/>
      <c r="E265" s="55" t="n"/>
      <c r="F265" s="46" t="n"/>
      <c r="G265" s="46" t="n"/>
      <c r="H265" s="46" t="n"/>
      <c r="I265" s="46" t="n"/>
      <c r="J265" s="46" t="n"/>
      <c r="K265" s="46" t="n"/>
      <c r="L265" s="46" t="n"/>
      <c r="M265" s="51" t="str">
        <f>IF(NOT(ISNUMBER($E265)),"",IF($C265="Receipt",$E265,IF($C265="Shipment",-$E265,IF($C265="Adjustment",$E265,0))))</f>
        <v/>
      </c>
      <c r="N265" s="49" t="str">
        <f>IF($D265="","",IFERROR(INDEX(Products!$B$2:$B$101,MATCH($D265,Products!$A$2:$A$101,0))&amp;"","(not found)"))</f>
        <v/>
      </c>
      <c r="O265" s="49" t="str">
        <f>IF($F265="","",IFERROR(INDEX(Batches!$B$2:$B$301,MATCH($F265,Batches!$A$2:$A$301,0))&amp;"","(not found)"))</f>
        <v/>
      </c>
      <c r="P265" s="49" t="str">
        <f>IF(COUNTA($A265:$L265)=0,"",IF($A265="","Missing: entry ID",IF(COUNTIF($A$2:$A$2001,$A265)&gt;1,"Duplicate entry ID",IF(NOT(ISNUMBER($B265)),"Missing or invalid: date",IF($C265="","Missing: type",IF($D265="","Missing: SKU",IF(NOT(ISNUMBER($E265)),"Missing: qty",IF($F265="","Missing: lot",IF($I265="","Missing: source link",IF(COUNTIF(Config!$A$15:$A$34,$C265)=0,"Unsupported type",IF(COUNTIF(Products!$A$2:$A$101,$D265)=0,"Unknown SKU",IF(COUNTIFS(Batches!$A$2:$A$301,$F265,Batches!$B$2:$B$301,$D265)=0,"Unknown lot for this SKU",IF(AND($C265="Adjustment",$G265=""),"Missing: reason",IF(AND($G265&lt;&gt;"",COUNTIF(Config!$B$15:$B$34,$G265)=0),"Unsupported reason",IF(OR(INT($E265)&lt;&gt;$E265,AND(OR($C265="Receipt",$C265="Shipment"),$E265&lt;=0),AND($C265="Adjustment",$E265=0)),"Invalid qty",IF($B265&gt;Config!$B$4,"Date after the as-of date",IF($B265&lt;Config!$B$5,"Date before the opening balance date","OK")))))))))))))))))</f>
        <v/>
      </c>
    </row>
    <row r="266">
      <c r="A266" s="46" t="n"/>
      <c r="B266" s="54" t="n"/>
      <c r="C266" s="46" t="n"/>
      <c r="D266" s="46" t="n"/>
      <c r="E266" s="55" t="n"/>
      <c r="F266" s="46" t="n"/>
      <c r="G266" s="46" t="n"/>
      <c r="H266" s="46" t="n"/>
      <c r="I266" s="46" t="n"/>
      <c r="J266" s="46" t="n"/>
      <c r="K266" s="46" t="n"/>
      <c r="L266" s="46" t="n"/>
      <c r="M266" s="51" t="str">
        <f>IF(NOT(ISNUMBER($E266)),"",IF($C266="Receipt",$E266,IF($C266="Shipment",-$E266,IF($C266="Adjustment",$E266,0))))</f>
        <v/>
      </c>
      <c r="N266" s="49" t="str">
        <f>IF($D266="","",IFERROR(INDEX(Products!$B$2:$B$101,MATCH($D266,Products!$A$2:$A$101,0))&amp;"","(not found)"))</f>
        <v/>
      </c>
      <c r="O266" s="49" t="str">
        <f>IF($F266="","",IFERROR(INDEX(Batches!$B$2:$B$301,MATCH($F266,Batches!$A$2:$A$301,0))&amp;"","(not found)"))</f>
        <v/>
      </c>
      <c r="P266" s="49" t="str">
        <f>IF(COUNTA($A266:$L266)=0,"",IF($A266="","Missing: entry ID",IF(COUNTIF($A$2:$A$2001,$A266)&gt;1,"Duplicate entry ID",IF(NOT(ISNUMBER($B266)),"Missing or invalid: date",IF($C266="","Missing: type",IF($D266="","Missing: SKU",IF(NOT(ISNUMBER($E266)),"Missing: qty",IF($F266="","Missing: lot",IF($I266="","Missing: source link",IF(COUNTIF(Config!$A$15:$A$34,$C266)=0,"Unsupported type",IF(COUNTIF(Products!$A$2:$A$101,$D266)=0,"Unknown SKU",IF(COUNTIFS(Batches!$A$2:$A$301,$F266,Batches!$B$2:$B$301,$D266)=0,"Unknown lot for this SKU",IF(AND($C266="Adjustment",$G266=""),"Missing: reason",IF(AND($G266&lt;&gt;"",COUNTIF(Config!$B$15:$B$34,$G266)=0),"Unsupported reason",IF(OR(INT($E266)&lt;&gt;$E266,AND(OR($C266="Receipt",$C266="Shipment"),$E266&lt;=0),AND($C266="Adjustment",$E266=0)),"Invalid qty",IF($B266&gt;Config!$B$4,"Date after the as-of date",IF($B266&lt;Config!$B$5,"Date before the opening balance date","OK")))))))))))))))))</f>
        <v/>
      </c>
    </row>
    <row r="267">
      <c r="A267" s="46" t="n"/>
      <c r="B267" s="54" t="n"/>
      <c r="C267" s="46" t="n"/>
      <c r="D267" s="46" t="n"/>
      <c r="E267" s="55" t="n"/>
      <c r="F267" s="46" t="n"/>
      <c r="G267" s="46" t="n"/>
      <c r="H267" s="46" t="n"/>
      <c r="I267" s="46" t="n"/>
      <c r="J267" s="46" t="n"/>
      <c r="K267" s="46" t="n"/>
      <c r="L267" s="46" t="n"/>
      <c r="M267" s="51" t="str">
        <f>IF(NOT(ISNUMBER($E267)),"",IF($C267="Receipt",$E267,IF($C267="Shipment",-$E267,IF($C267="Adjustment",$E267,0))))</f>
        <v/>
      </c>
      <c r="N267" s="49" t="str">
        <f>IF($D267="","",IFERROR(INDEX(Products!$B$2:$B$101,MATCH($D267,Products!$A$2:$A$101,0))&amp;"","(not found)"))</f>
        <v/>
      </c>
      <c r="O267" s="49" t="str">
        <f>IF($F267="","",IFERROR(INDEX(Batches!$B$2:$B$301,MATCH($F267,Batches!$A$2:$A$301,0))&amp;"","(not found)"))</f>
        <v/>
      </c>
      <c r="P267" s="49" t="str">
        <f>IF(COUNTA($A267:$L267)=0,"",IF($A267="","Missing: entry ID",IF(COUNTIF($A$2:$A$2001,$A267)&gt;1,"Duplicate entry ID",IF(NOT(ISNUMBER($B267)),"Missing or invalid: date",IF($C267="","Missing: type",IF($D267="","Missing: SKU",IF(NOT(ISNUMBER($E267)),"Missing: qty",IF($F267="","Missing: lot",IF($I267="","Missing: source link",IF(COUNTIF(Config!$A$15:$A$34,$C267)=0,"Unsupported type",IF(COUNTIF(Products!$A$2:$A$101,$D267)=0,"Unknown SKU",IF(COUNTIFS(Batches!$A$2:$A$301,$F267,Batches!$B$2:$B$301,$D267)=0,"Unknown lot for this SKU",IF(AND($C267="Adjustment",$G267=""),"Missing: reason",IF(AND($G267&lt;&gt;"",COUNTIF(Config!$B$15:$B$34,$G267)=0),"Unsupported reason",IF(OR(INT($E267)&lt;&gt;$E267,AND(OR($C267="Receipt",$C267="Shipment"),$E267&lt;=0),AND($C267="Adjustment",$E267=0)),"Invalid qty",IF($B267&gt;Config!$B$4,"Date after the as-of date",IF($B267&lt;Config!$B$5,"Date before the opening balance date","OK")))))))))))))))))</f>
        <v/>
      </c>
    </row>
    <row r="268">
      <c r="A268" s="46" t="n"/>
      <c r="B268" s="54" t="n"/>
      <c r="C268" s="46" t="n"/>
      <c r="D268" s="46" t="n"/>
      <c r="E268" s="55" t="n"/>
      <c r="F268" s="46" t="n"/>
      <c r="G268" s="46" t="n"/>
      <c r="H268" s="46" t="n"/>
      <c r="I268" s="46" t="n"/>
      <c r="J268" s="46" t="n"/>
      <c r="K268" s="46" t="n"/>
      <c r="L268" s="46" t="n"/>
      <c r="M268" s="51" t="str">
        <f>IF(NOT(ISNUMBER($E268)),"",IF($C268="Receipt",$E268,IF($C268="Shipment",-$E268,IF($C268="Adjustment",$E268,0))))</f>
        <v/>
      </c>
      <c r="N268" s="49" t="str">
        <f>IF($D268="","",IFERROR(INDEX(Products!$B$2:$B$101,MATCH($D268,Products!$A$2:$A$101,0))&amp;"","(not found)"))</f>
        <v/>
      </c>
      <c r="O268" s="49" t="str">
        <f>IF($F268="","",IFERROR(INDEX(Batches!$B$2:$B$301,MATCH($F268,Batches!$A$2:$A$301,0))&amp;"","(not found)"))</f>
        <v/>
      </c>
      <c r="P268" s="49" t="str">
        <f>IF(COUNTA($A268:$L268)=0,"",IF($A268="","Missing: entry ID",IF(COUNTIF($A$2:$A$2001,$A268)&gt;1,"Duplicate entry ID",IF(NOT(ISNUMBER($B268)),"Missing or invalid: date",IF($C268="","Missing: type",IF($D268="","Missing: SKU",IF(NOT(ISNUMBER($E268)),"Missing: qty",IF($F268="","Missing: lot",IF($I268="","Missing: source link",IF(COUNTIF(Config!$A$15:$A$34,$C268)=0,"Unsupported type",IF(COUNTIF(Products!$A$2:$A$101,$D268)=0,"Unknown SKU",IF(COUNTIFS(Batches!$A$2:$A$301,$F268,Batches!$B$2:$B$301,$D268)=0,"Unknown lot for this SKU",IF(AND($C268="Adjustment",$G268=""),"Missing: reason",IF(AND($G268&lt;&gt;"",COUNTIF(Config!$B$15:$B$34,$G268)=0),"Unsupported reason",IF(OR(INT($E268)&lt;&gt;$E268,AND(OR($C268="Receipt",$C268="Shipment"),$E268&lt;=0),AND($C268="Adjustment",$E268=0)),"Invalid qty",IF($B268&gt;Config!$B$4,"Date after the as-of date",IF($B268&lt;Config!$B$5,"Date before the opening balance date","OK")))))))))))))))))</f>
        <v/>
      </c>
    </row>
    <row r="269">
      <c r="A269" s="46" t="n"/>
      <c r="B269" s="54" t="n"/>
      <c r="C269" s="46" t="n"/>
      <c r="D269" s="46" t="n"/>
      <c r="E269" s="55" t="n"/>
      <c r="F269" s="46" t="n"/>
      <c r="G269" s="46" t="n"/>
      <c r="H269" s="46" t="n"/>
      <c r="I269" s="46" t="n"/>
      <c r="J269" s="46" t="n"/>
      <c r="K269" s="46" t="n"/>
      <c r="L269" s="46" t="n"/>
      <c r="M269" s="51" t="str">
        <f>IF(NOT(ISNUMBER($E269)),"",IF($C269="Receipt",$E269,IF($C269="Shipment",-$E269,IF($C269="Adjustment",$E269,0))))</f>
        <v/>
      </c>
      <c r="N269" s="49" t="str">
        <f>IF($D269="","",IFERROR(INDEX(Products!$B$2:$B$101,MATCH($D269,Products!$A$2:$A$101,0))&amp;"","(not found)"))</f>
        <v/>
      </c>
      <c r="O269" s="49" t="str">
        <f>IF($F269="","",IFERROR(INDEX(Batches!$B$2:$B$301,MATCH($F269,Batches!$A$2:$A$301,0))&amp;"","(not found)"))</f>
        <v/>
      </c>
      <c r="P269" s="49" t="str">
        <f>IF(COUNTA($A269:$L269)=0,"",IF($A269="","Missing: entry ID",IF(COUNTIF($A$2:$A$2001,$A269)&gt;1,"Duplicate entry ID",IF(NOT(ISNUMBER($B269)),"Missing or invalid: date",IF($C269="","Missing: type",IF($D269="","Missing: SKU",IF(NOT(ISNUMBER($E269)),"Missing: qty",IF($F269="","Missing: lot",IF($I269="","Missing: source link",IF(COUNTIF(Config!$A$15:$A$34,$C269)=0,"Unsupported type",IF(COUNTIF(Products!$A$2:$A$101,$D269)=0,"Unknown SKU",IF(COUNTIFS(Batches!$A$2:$A$301,$F269,Batches!$B$2:$B$301,$D269)=0,"Unknown lot for this SKU",IF(AND($C269="Adjustment",$G269=""),"Missing: reason",IF(AND($G269&lt;&gt;"",COUNTIF(Config!$B$15:$B$34,$G269)=0),"Unsupported reason",IF(OR(INT($E269)&lt;&gt;$E269,AND(OR($C269="Receipt",$C269="Shipment"),$E269&lt;=0),AND($C269="Adjustment",$E269=0)),"Invalid qty",IF($B269&gt;Config!$B$4,"Date after the as-of date",IF($B269&lt;Config!$B$5,"Date before the opening balance date","OK")))))))))))))))))</f>
        <v/>
      </c>
    </row>
    <row r="270">
      <c r="A270" s="46" t="n"/>
      <c r="B270" s="54" t="n"/>
      <c r="C270" s="46" t="n"/>
      <c r="D270" s="46" t="n"/>
      <c r="E270" s="55" t="n"/>
      <c r="F270" s="46" t="n"/>
      <c r="G270" s="46" t="n"/>
      <c r="H270" s="46" t="n"/>
      <c r="I270" s="46" t="n"/>
      <c r="J270" s="46" t="n"/>
      <c r="K270" s="46" t="n"/>
      <c r="L270" s="46" t="n"/>
      <c r="M270" s="51" t="str">
        <f>IF(NOT(ISNUMBER($E270)),"",IF($C270="Receipt",$E270,IF($C270="Shipment",-$E270,IF($C270="Adjustment",$E270,0))))</f>
        <v/>
      </c>
      <c r="N270" s="49" t="str">
        <f>IF($D270="","",IFERROR(INDEX(Products!$B$2:$B$101,MATCH($D270,Products!$A$2:$A$101,0))&amp;"","(not found)"))</f>
        <v/>
      </c>
      <c r="O270" s="49" t="str">
        <f>IF($F270="","",IFERROR(INDEX(Batches!$B$2:$B$301,MATCH($F270,Batches!$A$2:$A$301,0))&amp;"","(not found)"))</f>
        <v/>
      </c>
      <c r="P270" s="49" t="str">
        <f>IF(COUNTA($A270:$L270)=0,"",IF($A270="","Missing: entry ID",IF(COUNTIF($A$2:$A$2001,$A270)&gt;1,"Duplicate entry ID",IF(NOT(ISNUMBER($B270)),"Missing or invalid: date",IF($C270="","Missing: type",IF($D270="","Missing: SKU",IF(NOT(ISNUMBER($E270)),"Missing: qty",IF($F270="","Missing: lot",IF($I270="","Missing: source link",IF(COUNTIF(Config!$A$15:$A$34,$C270)=0,"Unsupported type",IF(COUNTIF(Products!$A$2:$A$101,$D270)=0,"Unknown SKU",IF(COUNTIFS(Batches!$A$2:$A$301,$F270,Batches!$B$2:$B$301,$D270)=0,"Unknown lot for this SKU",IF(AND($C270="Adjustment",$G270=""),"Missing: reason",IF(AND($G270&lt;&gt;"",COUNTIF(Config!$B$15:$B$34,$G270)=0),"Unsupported reason",IF(OR(INT($E270)&lt;&gt;$E270,AND(OR($C270="Receipt",$C270="Shipment"),$E270&lt;=0),AND($C270="Adjustment",$E270=0)),"Invalid qty",IF($B270&gt;Config!$B$4,"Date after the as-of date",IF($B270&lt;Config!$B$5,"Date before the opening balance date","OK")))))))))))))))))</f>
        <v/>
      </c>
    </row>
    <row r="271">
      <c r="A271" s="46" t="n"/>
      <c r="B271" s="54" t="n"/>
      <c r="C271" s="46" t="n"/>
      <c r="D271" s="46" t="n"/>
      <c r="E271" s="55" t="n"/>
      <c r="F271" s="46" t="n"/>
      <c r="G271" s="46" t="n"/>
      <c r="H271" s="46" t="n"/>
      <c r="I271" s="46" t="n"/>
      <c r="J271" s="46" t="n"/>
      <c r="K271" s="46" t="n"/>
      <c r="L271" s="46" t="n"/>
      <c r="M271" s="51" t="str">
        <f>IF(NOT(ISNUMBER($E271)),"",IF($C271="Receipt",$E271,IF($C271="Shipment",-$E271,IF($C271="Adjustment",$E271,0))))</f>
        <v/>
      </c>
      <c r="N271" s="49" t="str">
        <f>IF($D271="","",IFERROR(INDEX(Products!$B$2:$B$101,MATCH($D271,Products!$A$2:$A$101,0))&amp;"","(not found)"))</f>
        <v/>
      </c>
      <c r="O271" s="49" t="str">
        <f>IF($F271="","",IFERROR(INDEX(Batches!$B$2:$B$301,MATCH($F271,Batches!$A$2:$A$301,0))&amp;"","(not found)"))</f>
        <v/>
      </c>
      <c r="P271" s="49" t="str">
        <f>IF(COUNTA($A271:$L271)=0,"",IF($A271="","Missing: entry ID",IF(COUNTIF($A$2:$A$2001,$A271)&gt;1,"Duplicate entry ID",IF(NOT(ISNUMBER($B271)),"Missing or invalid: date",IF($C271="","Missing: type",IF($D271="","Missing: SKU",IF(NOT(ISNUMBER($E271)),"Missing: qty",IF($F271="","Missing: lot",IF($I271="","Missing: source link",IF(COUNTIF(Config!$A$15:$A$34,$C271)=0,"Unsupported type",IF(COUNTIF(Products!$A$2:$A$101,$D271)=0,"Unknown SKU",IF(COUNTIFS(Batches!$A$2:$A$301,$F271,Batches!$B$2:$B$301,$D271)=0,"Unknown lot for this SKU",IF(AND($C271="Adjustment",$G271=""),"Missing: reason",IF(AND($G271&lt;&gt;"",COUNTIF(Config!$B$15:$B$34,$G271)=0),"Unsupported reason",IF(OR(INT($E271)&lt;&gt;$E271,AND(OR($C271="Receipt",$C271="Shipment"),$E271&lt;=0),AND($C271="Adjustment",$E271=0)),"Invalid qty",IF($B271&gt;Config!$B$4,"Date after the as-of date",IF($B271&lt;Config!$B$5,"Date before the opening balance date","OK")))))))))))))))))</f>
        <v/>
      </c>
    </row>
    <row r="272">
      <c r="A272" s="46" t="n"/>
      <c r="B272" s="54" t="n"/>
      <c r="C272" s="46" t="n"/>
      <c r="D272" s="46" t="n"/>
      <c r="E272" s="55" t="n"/>
      <c r="F272" s="46" t="n"/>
      <c r="G272" s="46" t="n"/>
      <c r="H272" s="46" t="n"/>
      <c r="I272" s="46" t="n"/>
      <c r="J272" s="46" t="n"/>
      <c r="K272" s="46" t="n"/>
      <c r="L272" s="46" t="n"/>
      <c r="M272" s="51" t="str">
        <f>IF(NOT(ISNUMBER($E272)),"",IF($C272="Receipt",$E272,IF($C272="Shipment",-$E272,IF($C272="Adjustment",$E272,0))))</f>
        <v/>
      </c>
      <c r="N272" s="49" t="str">
        <f>IF($D272="","",IFERROR(INDEX(Products!$B$2:$B$101,MATCH($D272,Products!$A$2:$A$101,0))&amp;"","(not found)"))</f>
        <v/>
      </c>
      <c r="O272" s="49" t="str">
        <f>IF($F272="","",IFERROR(INDEX(Batches!$B$2:$B$301,MATCH($F272,Batches!$A$2:$A$301,0))&amp;"","(not found)"))</f>
        <v/>
      </c>
      <c r="P272" s="49" t="str">
        <f>IF(COUNTA($A272:$L272)=0,"",IF($A272="","Missing: entry ID",IF(COUNTIF($A$2:$A$2001,$A272)&gt;1,"Duplicate entry ID",IF(NOT(ISNUMBER($B272)),"Missing or invalid: date",IF($C272="","Missing: type",IF($D272="","Missing: SKU",IF(NOT(ISNUMBER($E272)),"Missing: qty",IF($F272="","Missing: lot",IF($I272="","Missing: source link",IF(COUNTIF(Config!$A$15:$A$34,$C272)=0,"Unsupported type",IF(COUNTIF(Products!$A$2:$A$101,$D272)=0,"Unknown SKU",IF(COUNTIFS(Batches!$A$2:$A$301,$F272,Batches!$B$2:$B$301,$D272)=0,"Unknown lot for this SKU",IF(AND($C272="Adjustment",$G272=""),"Missing: reason",IF(AND($G272&lt;&gt;"",COUNTIF(Config!$B$15:$B$34,$G272)=0),"Unsupported reason",IF(OR(INT($E272)&lt;&gt;$E272,AND(OR($C272="Receipt",$C272="Shipment"),$E272&lt;=0),AND($C272="Adjustment",$E272=0)),"Invalid qty",IF($B272&gt;Config!$B$4,"Date after the as-of date",IF($B272&lt;Config!$B$5,"Date before the opening balance date","OK")))))))))))))))))</f>
        <v/>
      </c>
    </row>
    <row r="273">
      <c r="A273" s="46" t="n"/>
      <c r="B273" s="54" t="n"/>
      <c r="C273" s="46" t="n"/>
      <c r="D273" s="46" t="n"/>
      <c r="E273" s="55" t="n"/>
      <c r="F273" s="46" t="n"/>
      <c r="G273" s="46" t="n"/>
      <c r="H273" s="46" t="n"/>
      <c r="I273" s="46" t="n"/>
      <c r="J273" s="46" t="n"/>
      <c r="K273" s="46" t="n"/>
      <c r="L273" s="46" t="n"/>
      <c r="M273" s="51" t="str">
        <f>IF(NOT(ISNUMBER($E273)),"",IF($C273="Receipt",$E273,IF($C273="Shipment",-$E273,IF($C273="Adjustment",$E273,0))))</f>
        <v/>
      </c>
      <c r="N273" s="49" t="str">
        <f>IF($D273="","",IFERROR(INDEX(Products!$B$2:$B$101,MATCH($D273,Products!$A$2:$A$101,0))&amp;"","(not found)"))</f>
        <v/>
      </c>
      <c r="O273" s="49" t="str">
        <f>IF($F273="","",IFERROR(INDEX(Batches!$B$2:$B$301,MATCH($F273,Batches!$A$2:$A$301,0))&amp;"","(not found)"))</f>
        <v/>
      </c>
      <c r="P273" s="49" t="str">
        <f>IF(COUNTA($A273:$L273)=0,"",IF($A273="","Missing: entry ID",IF(COUNTIF($A$2:$A$2001,$A273)&gt;1,"Duplicate entry ID",IF(NOT(ISNUMBER($B273)),"Missing or invalid: date",IF($C273="","Missing: type",IF($D273="","Missing: SKU",IF(NOT(ISNUMBER($E273)),"Missing: qty",IF($F273="","Missing: lot",IF($I273="","Missing: source link",IF(COUNTIF(Config!$A$15:$A$34,$C273)=0,"Unsupported type",IF(COUNTIF(Products!$A$2:$A$101,$D273)=0,"Unknown SKU",IF(COUNTIFS(Batches!$A$2:$A$301,$F273,Batches!$B$2:$B$301,$D273)=0,"Unknown lot for this SKU",IF(AND($C273="Adjustment",$G273=""),"Missing: reason",IF(AND($G273&lt;&gt;"",COUNTIF(Config!$B$15:$B$34,$G273)=0),"Unsupported reason",IF(OR(INT($E273)&lt;&gt;$E273,AND(OR($C273="Receipt",$C273="Shipment"),$E273&lt;=0),AND($C273="Adjustment",$E273=0)),"Invalid qty",IF($B273&gt;Config!$B$4,"Date after the as-of date",IF($B273&lt;Config!$B$5,"Date before the opening balance date","OK")))))))))))))))))</f>
        <v/>
      </c>
    </row>
    <row r="274">
      <c r="A274" s="46" t="n"/>
      <c r="B274" s="54" t="n"/>
      <c r="C274" s="46" t="n"/>
      <c r="D274" s="46" t="n"/>
      <c r="E274" s="55" t="n"/>
      <c r="F274" s="46" t="n"/>
      <c r="G274" s="46" t="n"/>
      <c r="H274" s="46" t="n"/>
      <c r="I274" s="46" t="n"/>
      <c r="J274" s="46" t="n"/>
      <c r="K274" s="46" t="n"/>
      <c r="L274" s="46" t="n"/>
      <c r="M274" s="51" t="str">
        <f>IF(NOT(ISNUMBER($E274)),"",IF($C274="Receipt",$E274,IF($C274="Shipment",-$E274,IF($C274="Adjustment",$E274,0))))</f>
        <v/>
      </c>
      <c r="N274" s="49" t="str">
        <f>IF($D274="","",IFERROR(INDEX(Products!$B$2:$B$101,MATCH($D274,Products!$A$2:$A$101,0))&amp;"","(not found)"))</f>
        <v/>
      </c>
      <c r="O274" s="49" t="str">
        <f>IF($F274="","",IFERROR(INDEX(Batches!$B$2:$B$301,MATCH($F274,Batches!$A$2:$A$301,0))&amp;"","(not found)"))</f>
        <v/>
      </c>
      <c r="P274" s="49" t="str">
        <f>IF(COUNTA($A274:$L274)=0,"",IF($A274="","Missing: entry ID",IF(COUNTIF($A$2:$A$2001,$A274)&gt;1,"Duplicate entry ID",IF(NOT(ISNUMBER($B274)),"Missing or invalid: date",IF($C274="","Missing: type",IF($D274="","Missing: SKU",IF(NOT(ISNUMBER($E274)),"Missing: qty",IF($F274="","Missing: lot",IF($I274="","Missing: source link",IF(COUNTIF(Config!$A$15:$A$34,$C274)=0,"Unsupported type",IF(COUNTIF(Products!$A$2:$A$101,$D274)=0,"Unknown SKU",IF(COUNTIFS(Batches!$A$2:$A$301,$F274,Batches!$B$2:$B$301,$D274)=0,"Unknown lot for this SKU",IF(AND($C274="Adjustment",$G274=""),"Missing: reason",IF(AND($G274&lt;&gt;"",COUNTIF(Config!$B$15:$B$34,$G274)=0),"Unsupported reason",IF(OR(INT($E274)&lt;&gt;$E274,AND(OR($C274="Receipt",$C274="Shipment"),$E274&lt;=0),AND($C274="Adjustment",$E274=0)),"Invalid qty",IF($B274&gt;Config!$B$4,"Date after the as-of date",IF($B274&lt;Config!$B$5,"Date before the opening balance date","OK")))))))))))))))))</f>
        <v/>
      </c>
    </row>
    <row r="275">
      <c r="A275" s="46" t="n"/>
      <c r="B275" s="54" t="n"/>
      <c r="C275" s="46" t="n"/>
      <c r="D275" s="46" t="n"/>
      <c r="E275" s="55" t="n"/>
      <c r="F275" s="46" t="n"/>
      <c r="G275" s="46" t="n"/>
      <c r="H275" s="46" t="n"/>
      <c r="I275" s="46" t="n"/>
      <c r="J275" s="46" t="n"/>
      <c r="K275" s="46" t="n"/>
      <c r="L275" s="46" t="n"/>
      <c r="M275" s="51" t="str">
        <f>IF(NOT(ISNUMBER($E275)),"",IF($C275="Receipt",$E275,IF($C275="Shipment",-$E275,IF($C275="Adjustment",$E275,0))))</f>
        <v/>
      </c>
      <c r="N275" s="49" t="str">
        <f>IF($D275="","",IFERROR(INDEX(Products!$B$2:$B$101,MATCH($D275,Products!$A$2:$A$101,0))&amp;"","(not found)"))</f>
        <v/>
      </c>
      <c r="O275" s="49" t="str">
        <f>IF($F275="","",IFERROR(INDEX(Batches!$B$2:$B$301,MATCH($F275,Batches!$A$2:$A$301,0))&amp;"","(not found)"))</f>
        <v/>
      </c>
      <c r="P275" s="49" t="str">
        <f>IF(COUNTA($A275:$L275)=0,"",IF($A275="","Missing: entry ID",IF(COUNTIF($A$2:$A$2001,$A275)&gt;1,"Duplicate entry ID",IF(NOT(ISNUMBER($B275)),"Missing or invalid: date",IF($C275="","Missing: type",IF($D275="","Missing: SKU",IF(NOT(ISNUMBER($E275)),"Missing: qty",IF($F275="","Missing: lot",IF($I275="","Missing: source link",IF(COUNTIF(Config!$A$15:$A$34,$C275)=0,"Unsupported type",IF(COUNTIF(Products!$A$2:$A$101,$D275)=0,"Unknown SKU",IF(COUNTIFS(Batches!$A$2:$A$301,$F275,Batches!$B$2:$B$301,$D275)=0,"Unknown lot for this SKU",IF(AND($C275="Adjustment",$G275=""),"Missing: reason",IF(AND($G275&lt;&gt;"",COUNTIF(Config!$B$15:$B$34,$G275)=0),"Unsupported reason",IF(OR(INT($E275)&lt;&gt;$E275,AND(OR($C275="Receipt",$C275="Shipment"),$E275&lt;=0),AND($C275="Adjustment",$E275=0)),"Invalid qty",IF($B275&gt;Config!$B$4,"Date after the as-of date",IF($B275&lt;Config!$B$5,"Date before the opening balance date","OK")))))))))))))))))</f>
        <v/>
      </c>
    </row>
    <row r="276">
      <c r="A276" s="46" t="n"/>
      <c r="B276" s="54" t="n"/>
      <c r="C276" s="46" t="n"/>
      <c r="D276" s="46" t="n"/>
      <c r="E276" s="55" t="n"/>
      <c r="F276" s="46" t="n"/>
      <c r="G276" s="46" t="n"/>
      <c r="H276" s="46" t="n"/>
      <c r="I276" s="46" t="n"/>
      <c r="J276" s="46" t="n"/>
      <c r="K276" s="46" t="n"/>
      <c r="L276" s="46" t="n"/>
      <c r="M276" s="51" t="str">
        <f>IF(NOT(ISNUMBER($E276)),"",IF($C276="Receipt",$E276,IF($C276="Shipment",-$E276,IF($C276="Adjustment",$E276,0))))</f>
        <v/>
      </c>
      <c r="N276" s="49" t="str">
        <f>IF($D276="","",IFERROR(INDEX(Products!$B$2:$B$101,MATCH($D276,Products!$A$2:$A$101,0))&amp;"","(not found)"))</f>
        <v/>
      </c>
      <c r="O276" s="49" t="str">
        <f>IF($F276="","",IFERROR(INDEX(Batches!$B$2:$B$301,MATCH($F276,Batches!$A$2:$A$301,0))&amp;"","(not found)"))</f>
        <v/>
      </c>
      <c r="P276" s="49" t="str">
        <f>IF(COUNTA($A276:$L276)=0,"",IF($A276="","Missing: entry ID",IF(COUNTIF($A$2:$A$2001,$A276)&gt;1,"Duplicate entry ID",IF(NOT(ISNUMBER($B276)),"Missing or invalid: date",IF($C276="","Missing: type",IF($D276="","Missing: SKU",IF(NOT(ISNUMBER($E276)),"Missing: qty",IF($F276="","Missing: lot",IF($I276="","Missing: source link",IF(COUNTIF(Config!$A$15:$A$34,$C276)=0,"Unsupported type",IF(COUNTIF(Products!$A$2:$A$101,$D276)=0,"Unknown SKU",IF(COUNTIFS(Batches!$A$2:$A$301,$F276,Batches!$B$2:$B$301,$D276)=0,"Unknown lot for this SKU",IF(AND($C276="Adjustment",$G276=""),"Missing: reason",IF(AND($G276&lt;&gt;"",COUNTIF(Config!$B$15:$B$34,$G276)=0),"Unsupported reason",IF(OR(INT($E276)&lt;&gt;$E276,AND(OR($C276="Receipt",$C276="Shipment"),$E276&lt;=0),AND($C276="Adjustment",$E276=0)),"Invalid qty",IF($B276&gt;Config!$B$4,"Date after the as-of date",IF($B276&lt;Config!$B$5,"Date before the opening balance date","OK")))))))))))))))))</f>
        <v/>
      </c>
    </row>
    <row r="277">
      <c r="A277" s="46" t="n"/>
      <c r="B277" s="54" t="n"/>
      <c r="C277" s="46" t="n"/>
      <c r="D277" s="46" t="n"/>
      <c r="E277" s="55" t="n"/>
      <c r="F277" s="46" t="n"/>
      <c r="G277" s="46" t="n"/>
      <c r="H277" s="46" t="n"/>
      <c r="I277" s="46" t="n"/>
      <c r="J277" s="46" t="n"/>
      <c r="K277" s="46" t="n"/>
      <c r="L277" s="46" t="n"/>
      <c r="M277" s="51" t="str">
        <f>IF(NOT(ISNUMBER($E277)),"",IF($C277="Receipt",$E277,IF($C277="Shipment",-$E277,IF($C277="Adjustment",$E277,0))))</f>
        <v/>
      </c>
      <c r="N277" s="49" t="str">
        <f>IF($D277="","",IFERROR(INDEX(Products!$B$2:$B$101,MATCH($D277,Products!$A$2:$A$101,0))&amp;"","(not found)"))</f>
        <v/>
      </c>
      <c r="O277" s="49" t="str">
        <f>IF($F277="","",IFERROR(INDEX(Batches!$B$2:$B$301,MATCH($F277,Batches!$A$2:$A$301,0))&amp;"","(not found)"))</f>
        <v/>
      </c>
      <c r="P277" s="49" t="str">
        <f>IF(COUNTA($A277:$L277)=0,"",IF($A277="","Missing: entry ID",IF(COUNTIF($A$2:$A$2001,$A277)&gt;1,"Duplicate entry ID",IF(NOT(ISNUMBER($B277)),"Missing or invalid: date",IF($C277="","Missing: type",IF($D277="","Missing: SKU",IF(NOT(ISNUMBER($E277)),"Missing: qty",IF($F277="","Missing: lot",IF($I277="","Missing: source link",IF(COUNTIF(Config!$A$15:$A$34,$C277)=0,"Unsupported type",IF(COUNTIF(Products!$A$2:$A$101,$D277)=0,"Unknown SKU",IF(COUNTIFS(Batches!$A$2:$A$301,$F277,Batches!$B$2:$B$301,$D277)=0,"Unknown lot for this SKU",IF(AND($C277="Adjustment",$G277=""),"Missing: reason",IF(AND($G277&lt;&gt;"",COUNTIF(Config!$B$15:$B$34,$G277)=0),"Unsupported reason",IF(OR(INT($E277)&lt;&gt;$E277,AND(OR($C277="Receipt",$C277="Shipment"),$E277&lt;=0),AND($C277="Adjustment",$E277=0)),"Invalid qty",IF($B277&gt;Config!$B$4,"Date after the as-of date",IF($B277&lt;Config!$B$5,"Date before the opening balance date","OK")))))))))))))))))</f>
        <v/>
      </c>
    </row>
    <row r="278">
      <c r="A278" s="46" t="n"/>
      <c r="B278" s="54" t="n"/>
      <c r="C278" s="46" t="n"/>
      <c r="D278" s="46" t="n"/>
      <c r="E278" s="55" t="n"/>
      <c r="F278" s="46" t="n"/>
      <c r="G278" s="46" t="n"/>
      <c r="H278" s="46" t="n"/>
      <c r="I278" s="46" t="n"/>
      <c r="J278" s="46" t="n"/>
      <c r="K278" s="46" t="n"/>
      <c r="L278" s="46" t="n"/>
      <c r="M278" s="51" t="str">
        <f>IF(NOT(ISNUMBER($E278)),"",IF($C278="Receipt",$E278,IF($C278="Shipment",-$E278,IF($C278="Adjustment",$E278,0))))</f>
        <v/>
      </c>
      <c r="N278" s="49" t="str">
        <f>IF($D278="","",IFERROR(INDEX(Products!$B$2:$B$101,MATCH($D278,Products!$A$2:$A$101,0))&amp;"","(not found)"))</f>
        <v/>
      </c>
      <c r="O278" s="49" t="str">
        <f>IF($F278="","",IFERROR(INDEX(Batches!$B$2:$B$301,MATCH($F278,Batches!$A$2:$A$301,0))&amp;"","(not found)"))</f>
        <v/>
      </c>
      <c r="P278" s="49" t="str">
        <f>IF(COUNTA($A278:$L278)=0,"",IF($A278="","Missing: entry ID",IF(COUNTIF($A$2:$A$2001,$A278)&gt;1,"Duplicate entry ID",IF(NOT(ISNUMBER($B278)),"Missing or invalid: date",IF($C278="","Missing: type",IF($D278="","Missing: SKU",IF(NOT(ISNUMBER($E278)),"Missing: qty",IF($F278="","Missing: lot",IF($I278="","Missing: source link",IF(COUNTIF(Config!$A$15:$A$34,$C278)=0,"Unsupported type",IF(COUNTIF(Products!$A$2:$A$101,$D278)=0,"Unknown SKU",IF(COUNTIFS(Batches!$A$2:$A$301,$F278,Batches!$B$2:$B$301,$D278)=0,"Unknown lot for this SKU",IF(AND($C278="Adjustment",$G278=""),"Missing: reason",IF(AND($G278&lt;&gt;"",COUNTIF(Config!$B$15:$B$34,$G278)=0),"Unsupported reason",IF(OR(INT($E278)&lt;&gt;$E278,AND(OR($C278="Receipt",$C278="Shipment"),$E278&lt;=0),AND($C278="Adjustment",$E278=0)),"Invalid qty",IF($B278&gt;Config!$B$4,"Date after the as-of date",IF($B278&lt;Config!$B$5,"Date before the opening balance date","OK")))))))))))))))))</f>
        <v/>
      </c>
    </row>
    <row r="279">
      <c r="A279" s="46" t="n"/>
      <c r="B279" s="54" t="n"/>
      <c r="C279" s="46" t="n"/>
      <c r="D279" s="46" t="n"/>
      <c r="E279" s="55" t="n"/>
      <c r="F279" s="46" t="n"/>
      <c r="G279" s="46" t="n"/>
      <c r="H279" s="46" t="n"/>
      <c r="I279" s="46" t="n"/>
      <c r="J279" s="46" t="n"/>
      <c r="K279" s="46" t="n"/>
      <c r="L279" s="46" t="n"/>
      <c r="M279" s="51" t="str">
        <f>IF(NOT(ISNUMBER($E279)),"",IF($C279="Receipt",$E279,IF($C279="Shipment",-$E279,IF($C279="Adjustment",$E279,0))))</f>
        <v/>
      </c>
      <c r="N279" s="49" t="str">
        <f>IF($D279="","",IFERROR(INDEX(Products!$B$2:$B$101,MATCH($D279,Products!$A$2:$A$101,0))&amp;"","(not found)"))</f>
        <v/>
      </c>
      <c r="O279" s="49" t="str">
        <f>IF($F279="","",IFERROR(INDEX(Batches!$B$2:$B$301,MATCH($F279,Batches!$A$2:$A$301,0))&amp;"","(not found)"))</f>
        <v/>
      </c>
      <c r="P279" s="49" t="str">
        <f>IF(COUNTA($A279:$L279)=0,"",IF($A279="","Missing: entry ID",IF(COUNTIF($A$2:$A$2001,$A279)&gt;1,"Duplicate entry ID",IF(NOT(ISNUMBER($B279)),"Missing or invalid: date",IF($C279="","Missing: type",IF($D279="","Missing: SKU",IF(NOT(ISNUMBER($E279)),"Missing: qty",IF($F279="","Missing: lot",IF($I279="","Missing: source link",IF(COUNTIF(Config!$A$15:$A$34,$C279)=0,"Unsupported type",IF(COUNTIF(Products!$A$2:$A$101,$D279)=0,"Unknown SKU",IF(COUNTIFS(Batches!$A$2:$A$301,$F279,Batches!$B$2:$B$301,$D279)=0,"Unknown lot for this SKU",IF(AND($C279="Adjustment",$G279=""),"Missing: reason",IF(AND($G279&lt;&gt;"",COUNTIF(Config!$B$15:$B$34,$G279)=0),"Unsupported reason",IF(OR(INT($E279)&lt;&gt;$E279,AND(OR($C279="Receipt",$C279="Shipment"),$E279&lt;=0),AND($C279="Adjustment",$E279=0)),"Invalid qty",IF($B279&gt;Config!$B$4,"Date after the as-of date",IF($B279&lt;Config!$B$5,"Date before the opening balance date","OK")))))))))))))))))</f>
        <v/>
      </c>
    </row>
    <row r="280">
      <c r="A280" s="46" t="n"/>
      <c r="B280" s="54" t="n"/>
      <c r="C280" s="46" t="n"/>
      <c r="D280" s="46" t="n"/>
      <c r="E280" s="55" t="n"/>
      <c r="F280" s="46" t="n"/>
      <c r="G280" s="46" t="n"/>
      <c r="H280" s="46" t="n"/>
      <c r="I280" s="46" t="n"/>
      <c r="J280" s="46" t="n"/>
      <c r="K280" s="46" t="n"/>
      <c r="L280" s="46" t="n"/>
      <c r="M280" s="51" t="str">
        <f>IF(NOT(ISNUMBER($E280)),"",IF($C280="Receipt",$E280,IF($C280="Shipment",-$E280,IF($C280="Adjustment",$E280,0))))</f>
        <v/>
      </c>
      <c r="N280" s="49" t="str">
        <f>IF($D280="","",IFERROR(INDEX(Products!$B$2:$B$101,MATCH($D280,Products!$A$2:$A$101,0))&amp;"","(not found)"))</f>
        <v/>
      </c>
      <c r="O280" s="49" t="str">
        <f>IF($F280="","",IFERROR(INDEX(Batches!$B$2:$B$301,MATCH($F280,Batches!$A$2:$A$301,0))&amp;"","(not found)"))</f>
        <v/>
      </c>
      <c r="P280" s="49" t="str">
        <f>IF(COUNTA($A280:$L280)=0,"",IF($A280="","Missing: entry ID",IF(COUNTIF($A$2:$A$2001,$A280)&gt;1,"Duplicate entry ID",IF(NOT(ISNUMBER($B280)),"Missing or invalid: date",IF($C280="","Missing: type",IF($D280="","Missing: SKU",IF(NOT(ISNUMBER($E280)),"Missing: qty",IF($F280="","Missing: lot",IF($I280="","Missing: source link",IF(COUNTIF(Config!$A$15:$A$34,$C280)=0,"Unsupported type",IF(COUNTIF(Products!$A$2:$A$101,$D280)=0,"Unknown SKU",IF(COUNTIFS(Batches!$A$2:$A$301,$F280,Batches!$B$2:$B$301,$D280)=0,"Unknown lot for this SKU",IF(AND($C280="Adjustment",$G280=""),"Missing: reason",IF(AND($G280&lt;&gt;"",COUNTIF(Config!$B$15:$B$34,$G280)=0),"Unsupported reason",IF(OR(INT($E280)&lt;&gt;$E280,AND(OR($C280="Receipt",$C280="Shipment"),$E280&lt;=0),AND($C280="Adjustment",$E280=0)),"Invalid qty",IF($B280&gt;Config!$B$4,"Date after the as-of date",IF($B280&lt;Config!$B$5,"Date before the opening balance date","OK")))))))))))))))))</f>
        <v/>
      </c>
    </row>
    <row r="281">
      <c r="A281" s="46" t="n"/>
      <c r="B281" s="54" t="n"/>
      <c r="C281" s="46" t="n"/>
      <c r="D281" s="46" t="n"/>
      <c r="E281" s="55" t="n"/>
      <c r="F281" s="46" t="n"/>
      <c r="G281" s="46" t="n"/>
      <c r="H281" s="46" t="n"/>
      <c r="I281" s="46" t="n"/>
      <c r="J281" s="46" t="n"/>
      <c r="K281" s="46" t="n"/>
      <c r="L281" s="46" t="n"/>
      <c r="M281" s="51" t="str">
        <f>IF(NOT(ISNUMBER($E281)),"",IF($C281="Receipt",$E281,IF($C281="Shipment",-$E281,IF($C281="Adjustment",$E281,0))))</f>
        <v/>
      </c>
      <c r="N281" s="49" t="str">
        <f>IF($D281="","",IFERROR(INDEX(Products!$B$2:$B$101,MATCH($D281,Products!$A$2:$A$101,0))&amp;"","(not found)"))</f>
        <v/>
      </c>
      <c r="O281" s="49" t="str">
        <f>IF($F281="","",IFERROR(INDEX(Batches!$B$2:$B$301,MATCH($F281,Batches!$A$2:$A$301,0))&amp;"","(not found)"))</f>
        <v/>
      </c>
      <c r="P281" s="49" t="str">
        <f>IF(COUNTA($A281:$L281)=0,"",IF($A281="","Missing: entry ID",IF(COUNTIF($A$2:$A$2001,$A281)&gt;1,"Duplicate entry ID",IF(NOT(ISNUMBER($B281)),"Missing or invalid: date",IF($C281="","Missing: type",IF($D281="","Missing: SKU",IF(NOT(ISNUMBER($E281)),"Missing: qty",IF($F281="","Missing: lot",IF($I281="","Missing: source link",IF(COUNTIF(Config!$A$15:$A$34,$C281)=0,"Unsupported type",IF(COUNTIF(Products!$A$2:$A$101,$D281)=0,"Unknown SKU",IF(COUNTIFS(Batches!$A$2:$A$301,$F281,Batches!$B$2:$B$301,$D281)=0,"Unknown lot for this SKU",IF(AND($C281="Adjustment",$G281=""),"Missing: reason",IF(AND($G281&lt;&gt;"",COUNTIF(Config!$B$15:$B$34,$G281)=0),"Unsupported reason",IF(OR(INT($E281)&lt;&gt;$E281,AND(OR($C281="Receipt",$C281="Shipment"),$E281&lt;=0),AND($C281="Adjustment",$E281=0)),"Invalid qty",IF($B281&gt;Config!$B$4,"Date after the as-of date",IF($B281&lt;Config!$B$5,"Date before the opening balance date","OK")))))))))))))))))</f>
        <v/>
      </c>
    </row>
    <row r="282">
      <c r="A282" s="46" t="n"/>
      <c r="B282" s="54" t="n"/>
      <c r="C282" s="46" t="n"/>
      <c r="D282" s="46" t="n"/>
      <c r="E282" s="55" t="n"/>
      <c r="F282" s="46" t="n"/>
      <c r="G282" s="46" t="n"/>
      <c r="H282" s="46" t="n"/>
      <c r="I282" s="46" t="n"/>
      <c r="J282" s="46" t="n"/>
      <c r="K282" s="46" t="n"/>
      <c r="L282" s="46" t="n"/>
      <c r="M282" s="51" t="str">
        <f>IF(NOT(ISNUMBER($E282)),"",IF($C282="Receipt",$E282,IF($C282="Shipment",-$E282,IF($C282="Adjustment",$E282,0))))</f>
        <v/>
      </c>
      <c r="N282" s="49" t="str">
        <f>IF($D282="","",IFERROR(INDEX(Products!$B$2:$B$101,MATCH($D282,Products!$A$2:$A$101,0))&amp;"","(not found)"))</f>
        <v/>
      </c>
      <c r="O282" s="49" t="str">
        <f>IF($F282="","",IFERROR(INDEX(Batches!$B$2:$B$301,MATCH($F282,Batches!$A$2:$A$301,0))&amp;"","(not found)"))</f>
        <v/>
      </c>
      <c r="P282" s="49" t="str">
        <f>IF(COUNTA($A282:$L282)=0,"",IF($A282="","Missing: entry ID",IF(COUNTIF($A$2:$A$2001,$A282)&gt;1,"Duplicate entry ID",IF(NOT(ISNUMBER($B282)),"Missing or invalid: date",IF($C282="","Missing: type",IF($D282="","Missing: SKU",IF(NOT(ISNUMBER($E282)),"Missing: qty",IF($F282="","Missing: lot",IF($I282="","Missing: source link",IF(COUNTIF(Config!$A$15:$A$34,$C282)=0,"Unsupported type",IF(COUNTIF(Products!$A$2:$A$101,$D282)=0,"Unknown SKU",IF(COUNTIFS(Batches!$A$2:$A$301,$F282,Batches!$B$2:$B$301,$D282)=0,"Unknown lot for this SKU",IF(AND($C282="Adjustment",$G282=""),"Missing: reason",IF(AND($G282&lt;&gt;"",COUNTIF(Config!$B$15:$B$34,$G282)=0),"Unsupported reason",IF(OR(INT($E282)&lt;&gt;$E282,AND(OR($C282="Receipt",$C282="Shipment"),$E282&lt;=0),AND($C282="Adjustment",$E282=0)),"Invalid qty",IF($B282&gt;Config!$B$4,"Date after the as-of date",IF($B282&lt;Config!$B$5,"Date before the opening balance date","OK")))))))))))))))))</f>
        <v/>
      </c>
    </row>
    <row r="283">
      <c r="A283" s="46" t="n"/>
      <c r="B283" s="54" t="n"/>
      <c r="C283" s="46" t="n"/>
      <c r="D283" s="46" t="n"/>
      <c r="E283" s="55" t="n"/>
      <c r="F283" s="46" t="n"/>
      <c r="G283" s="46" t="n"/>
      <c r="H283" s="46" t="n"/>
      <c r="I283" s="46" t="n"/>
      <c r="J283" s="46" t="n"/>
      <c r="K283" s="46" t="n"/>
      <c r="L283" s="46" t="n"/>
      <c r="M283" s="51" t="str">
        <f>IF(NOT(ISNUMBER($E283)),"",IF($C283="Receipt",$E283,IF($C283="Shipment",-$E283,IF($C283="Adjustment",$E283,0))))</f>
        <v/>
      </c>
      <c r="N283" s="49" t="str">
        <f>IF($D283="","",IFERROR(INDEX(Products!$B$2:$B$101,MATCH($D283,Products!$A$2:$A$101,0))&amp;"","(not found)"))</f>
        <v/>
      </c>
      <c r="O283" s="49" t="str">
        <f>IF($F283="","",IFERROR(INDEX(Batches!$B$2:$B$301,MATCH($F283,Batches!$A$2:$A$301,0))&amp;"","(not found)"))</f>
        <v/>
      </c>
      <c r="P283" s="49" t="str">
        <f>IF(COUNTA($A283:$L283)=0,"",IF($A283="","Missing: entry ID",IF(COUNTIF($A$2:$A$2001,$A283)&gt;1,"Duplicate entry ID",IF(NOT(ISNUMBER($B283)),"Missing or invalid: date",IF($C283="","Missing: type",IF($D283="","Missing: SKU",IF(NOT(ISNUMBER($E283)),"Missing: qty",IF($F283="","Missing: lot",IF($I283="","Missing: source link",IF(COUNTIF(Config!$A$15:$A$34,$C283)=0,"Unsupported type",IF(COUNTIF(Products!$A$2:$A$101,$D283)=0,"Unknown SKU",IF(COUNTIFS(Batches!$A$2:$A$301,$F283,Batches!$B$2:$B$301,$D283)=0,"Unknown lot for this SKU",IF(AND($C283="Adjustment",$G283=""),"Missing: reason",IF(AND($G283&lt;&gt;"",COUNTIF(Config!$B$15:$B$34,$G283)=0),"Unsupported reason",IF(OR(INT($E283)&lt;&gt;$E283,AND(OR($C283="Receipt",$C283="Shipment"),$E283&lt;=0),AND($C283="Adjustment",$E283=0)),"Invalid qty",IF($B283&gt;Config!$B$4,"Date after the as-of date",IF($B283&lt;Config!$B$5,"Date before the opening balance date","OK")))))))))))))))))</f>
        <v/>
      </c>
    </row>
    <row r="284">
      <c r="A284" s="46" t="n"/>
      <c r="B284" s="54" t="n"/>
      <c r="C284" s="46" t="n"/>
      <c r="D284" s="46" t="n"/>
      <c r="E284" s="55" t="n"/>
      <c r="F284" s="46" t="n"/>
      <c r="G284" s="46" t="n"/>
      <c r="H284" s="46" t="n"/>
      <c r="I284" s="46" t="n"/>
      <c r="J284" s="46" t="n"/>
      <c r="K284" s="46" t="n"/>
      <c r="L284" s="46" t="n"/>
      <c r="M284" s="51" t="str">
        <f>IF(NOT(ISNUMBER($E284)),"",IF($C284="Receipt",$E284,IF($C284="Shipment",-$E284,IF($C284="Adjustment",$E284,0))))</f>
        <v/>
      </c>
      <c r="N284" s="49" t="str">
        <f>IF($D284="","",IFERROR(INDEX(Products!$B$2:$B$101,MATCH($D284,Products!$A$2:$A$101,0))&amp;"","(not found)"))</f>
        <v/>
      </c>
      <c r="O284" s="49" t="str">
        <f>IF($F284="","",IFERROR(INDEX(Batches!$B$2:$B$301,MATCH($F284,Batches!$A$2:$A$301,0))&amp;"","(not found)"))</f>
        <v/>
      </c>
      <c r="P284" s="49" t="str">
        <f>IF(COUNTA($A284:$L284)=0,"",IF($A284="","Missing: entry ID",IF(COUNTIF($A$2:$A$2001,$A284)&gt;1,"Duplicate entry ID",IF(NOT(ISNUMBER($B284)),"Missing or invalid: date",IF($C284="","Missing: type",IF($D284="","Missing: SKU",IF(NOT(ISNUMBER($E284)),"Missing: qty",IF($F284="","Missing: lot",IF($I284="","Missing: source link",IF(COUNTIF(Config!$A$15:$A$34,$C284)=0,"Unsupported type",IF(COUNTIF(Products!$A$2:$A$101,$D284)=0,"Unknown SKU",IF(COUNTIFS(Batches!$A$2:$A$301,$F284,Batches!$B$2:$B$301,$D284)=0,"Unknown lot for this SKU",IF(AND($C284="Adjustment",$G284=""),"Missing: reason",IF(AND($G284&lt;&gt;"",COUNTIF(Config!$B$15:$B$34,$G284)=0),"Unsupported reason",IF(OR(INT($E284)&lt;&gt;$E284,AND(OR($C284="Receipt",$C284="Shipment"),$E284&lt;=0),AND($C284="Adjustment",$E284=0)),"Invalid qty",IF($B284&gt;Config!$B$4,"Date after the as-of date",IF($B284&lt;Config!$B$5,"Date before the opening balance date","OK")))))))))))))))))</f>
        <v/>
      </c>
    </row>
    <row r="285">
      <c r="A285" s="46" t="n"/>
      <c r="B285" s="54" t="n"/>
      <c r="C285" s="46" t="n"/>
      <c r="D285" s="46" t="n"/>
      <c r="E285" s="55" t="n"/>
      <c r="F285" s="46" t="n"/>
      <c r="G285" s="46" t="n"/>
      <c r="H285" s="46" t="n"/>
      <c r="I285" s="46" t="n"/>
      <c r="J285" s="46" t="n"/>
      <c r="K285" s="46" t="n"/>
      <c r="L285" s="46" t="n"/>
      <c r="M285" s="51" t="str">
        <f>IF(NOT(ISNUMBER($E285)),"",IF($C285="Receipt",$E285,IF($C285="Shipment",-$E285,IF($C285="Adjustment",$E285,0))))</f>
        <v/>
      </c>
      <c r="N285" s="49" t="str">
        <f>IF($D285="","",IFERROR(INDEX(Products!$B$2:$B$101,MATCH($D285,Products!$A$2:$A$101,0))&amp;"","(not found)"))</f>
        <v/>
      </c>
      <c r="O285" s="49" t="str">
        <f>IF($F285="","",IFERROR(INDEX(Batches!$B$2:$B$301,MATCH($F285,Batches!$A$2:$A$301,0))&amp;"","(not found)"))</f>
        <v/>
      </c>
      <c r="P285" s="49" t="str">
        <f>IF(COUNTA($A285:$L285)=0,"",IF($A285="","Missing: entry ID",IF(COUNTIF($A$2:$A$2001,$A285)&gt;1,"Duplicate entry ID",IF(NOT(ISNUMBER($B285)),"Missing or invalid: date",IF($C285="","Missing: type",IF($D285="","Missing: SKU",IF(NOT(ISNUMBER($E285)),"Missing: qty",IF($F285="","Missing: lot",IF($I285="","Missing: source link",IF(COUNTIF(Config!$A$15:$A$34,$C285)=0,"Unsupported type",IF(COUNTIF(Products!$A$2:$A$101,$D285)=0,"Unknown SKU",IF(COUNTIFS(Batches!$A$2:$A$301,$F285,Batches!$B$2:$B$301,$D285)=0,"Unknown lot for this SKU",IF(AND($C285="Adjustment",$G285=""),"Missing: reason",IF(AND($G285&lt;&gt;"",COUNTIF(Config!$B$15:$B$34,$G285)=0),"Unsupported reason",IF(OR(INT($E285)&lt;&gt;$E285,AND(OR($C285="Receipt",$C285="Shipment"),$E285&lt;=0),AND($C285="Adjustment",$E285=0)),"Invalid qty",IF($B285&gt;Config!$B$4,"Date after the as-of date",IF($B285&lt;Config!$B$5,"Date before the opening balance date","OK")))))))))))))))))</f>
        <v/>
      </c>
    </row>
    <row r="286">
      <c r="A286" s="46" t="n"/>
      <c r="B286" s="54" t="n"/>
      <c r="C286" s="46" t="n"/>
      <c r="D286" s="46" t="n"/>
      <c r="E286" s="55" t="n"/>
      <c r="F286" s="46" t="n"/>
      <c r="G286" s="46" t="n"/>
      <c r="H286" s="46" t="n"/>
      <c r="I286" s="46" t="n"/>
      <c r="J286" s="46" t="n"/>
      <c r="K286" s="46" t="n"/>
      <c r="L286" s="46" t="n"/>
      <c r="M286" s="51" t="str">
        <f>IF(NOT(ISNUMBER($E286)),"",IF($C286="Receipt",$E286,IF($C286="Shipment",-$E286,IF($C286="Adjustment",$E286,0))))</f>
        <v/>
      </c>
      <c r="N286" s="49" t="str">
        <f>IF($D286="","",IFERROR(INDEX(Products!$B$2:$B$101,MATCH($D286,Products!$A$2:$A$101,0))&amp;"","(not found)"))</f>
        <v/>
      </c>
      <c r="O286" s="49" t="str">
        <f>IF($F286="","",IFERROR(INDEX(Batches!$B$2:$B$301,MATCH($F286,Batches!$A$2:$A$301,0))&amp;"","(not found)"))</f>
        <v/>
      </c>
      <c r="P286" s="49" t="str">
        <f>IF(COUNTA($A286:$L286)=0,"",IF($A286="","Missing: entry ID",IF(COUNTIF($A$2:$A$2001,$A286)&gt;1,"Duplicate entry ID",IF(NOT(ISNUMBER($B286)),"Missing or invalid: date",IF($C286="","Missing: type",IF($D286="","Missing: SKU",IF(NOT(ISNUMBER($E286)),"Missing: qty",IF($F286="","Missing: lot",IF($I286="","Missing: source link",IF(COUNTIF(Config!$A$15:$A$34,$C286)=0,"Unsupported type",IF(COUNTIF(Products!$A$2:$A$101,$D286)=0,"Unknown SKU",IF(COUNTIFS(Batches!$A$2:$A$301,$F286,Batches!$B$2:$B$301,$D286)=0,"Unknown lot for this SKU",IF(AND($C286="Adjustment",$G286=""),"Missing: reason",IF(AND($G286&lt;&gt;"",COUNTIF(Config!$B$15:$B$34,$G286)=0),"Unsupported reason",IF(OR(INT($E286)&lt;&gt;$E286,AND(OR($C286="Receipt",$C286="Shipment"),$E286&lt;=0),AND($C286="Adjustment",$E286=0)),"Invalid qty",IF($B286&gt;Config!$B$4,"Date after the as-of date",IF($B286&lt;Config!$B$5,"Date before the opening balance date","OK")))))))))))))))))</f>
        <v/>
      </c>
    </row>
    <row r="287">
      <c r="A287" s="46" t="n"/>
      <c r="B287" s="54" t="n"/>
      <c r="C287" s="46" t="n"/>
      <c r="D287" s="46" t="n"/>
      <c r="E287" s="55" t="n"/>
      <c r="F287" s="46" t="n"/>
      <c r="G287" s="46" t="n"/>
      <c r="H287" s="46" t="n"/>
      <c r="I287" s="46" t="n"/>
      <c r="J287" s="46" t="n"/>
      <c r="K287" s="46" t="n"/>
      <c r="L287" s="46" t="n"/>
      <c r="M287" s="51" t="str">
        <f>IF(NOT(ISNUMBER($E287)),"",IF($C287="Receipt",$E287,IF($C287="Shipment",-$E287,IF($C287="Adjustment",$E287,0))))</f>
        <v/>
      </c>
      <c r="N287" s="49" t="str">
        <f>IF($D287="","",IFERROR(INDEX(Products!$B$2:$B$101,MATCH($D287,Products!$A$2:$A$101,0))&amp;"","(not found)"))</f>
        <v/>
      </c>
      <c r="O287" s="49" t="str">
        <f>IF($F287="","",IFERROR(INDEX(Batches!$B$2:$B$301,MATCH($F287,Batches!$A$2:$A$301,0))&amp;"","(not found)"))</f>
        <v/>
      </c>
      <c r="P287" s="49" t="str">
        <f>IF(COUNTA($A287:$L287)=0,"",IF($A287="","Missing: entry ID",IF(COUNTIF($A$2:$A$2001,$A287)&gt;1,"Duplicate entry ID",IF(NOT(ISNUMBER($B287)),"Missing or invalid: date",IF($C287="","Missing: type",IF($D287="","Missing: SKU",IF(NOT(ISNUMBER($E287)),"Missing: qty",IF($F287="","Missing: lot",IF($I287="","Missing: source link",IF(COUNTIF(Config!$A$15:$A$34,$C287)=0,"Unsupported type",IF(COUNTIF(Products!$A$2:$A$101,$D287)=0,"Unknown SKU",IF(COUNTIFS(Batches!$A$2:$A$301,$F287,Batches!$B$2:$B$301,$D287)=0,"Unknown lot for this SKU",IF(AND($C287="Adjustment",$G287=""),"Missing: reason",IF(AND($G287&lt;&gt;"",COUNTIF(Config!$B$15:$B$34,$G287)=0),"Unsupported reason",IF(OR(INT($E287)&lt;&gt;$E287,AND(OR($C287="Receipt",$C287="Shipment"),$E287&lt;=0),AND($C287="Adjustment",$E287=0)),"Invalid qty",IF($B287&gt;Config!$B$4,"Date after the as-of date",IF($B287&lt;Config!$B$5,"Date before the opening balance date","OK")))))))))))))))))</f>
        <v/>
      </c>
    </row>
    <row r="288">
      <c r="A288" s="46" t="n"/>
      <c r="B288" s="54" t="n"/>
      <c r="C288" s="46" t="n"/>
      <c r="D288" s="46" t="n"/>
      <c r="E288" s="55" t="n"/>
      <c r="F288" s="46" t="n"/>
      <c r="G288" s="46" t="n"/>
      <c r="H288" s="46" t="n"/>
      <c r="I288" s="46" t="n"/>
      <c r="J288" s="46" t="n"/>
      <c r="K288" s="46" t="n"/>
      <c r="L288" s="46" t="n"/>
      <c r="M288" s="51" t="str">
        <f>IF(NOT(ISNUMBER($E288)),"",IF($C288="Receipt",$E288,IF($C288="Shipment",-$E288,IF($C288="Adjustment",$E288,0))))</f>
        <v/>
      </c>
      <c r="N288" s="49" t="str">
        <f>IF($D288="","",IFERROR(INDEX(Products!$B$2:$B$101,MATCH($D288,Products!$A$2:$A$101,0))&amp;"","(not found)"))</f>
        <v/>
      </c>
      <c r="O288" s="49" t="str">
        <f>IF($F288="","",IFERROR(INDEX(Batches!$B$2:$B$301,MATCH($F288,Batches!$A$2:$A$301,0))&amp;"","(not found)"))</f>
        <v/>
      </c>
      <c r="P288" s="49" t="str">
        <f>IF(COUNTA($A288:$L288)=0,"",IF($A288="","Missing: entry ID",IF(COUNTIF($A$2:$A$2001,$A288)&gt;1,"Duplicate entry ID",IF(NOT(ISNUMBER($B288)),"Missing or invalid: date",IF($C288="","Missing: type",IF($D288="","Missing: SKU",IF(NOT(ISNUMBER($E288)),"Missing: qty",IF($F288="","Missing: lot",IF($I288="","Missing: source link",IF(COUNTIF(Config!$A$15:$A$34,$C288)=0,"Unsupported type",IF(COUNTIF(Products!$A$2:$A$101,$D288)=0,"Unknown SKU",IF(COUNTIFS(Batches!$A$2:$A$301,$F288,Batches!$B$2:$B$301,$D288)=0,"Unknown lot for this SKU",IF(AND($C288="Adjustment",$G288=""),"Missing: reason",IF(AND($G288&lt;&gt;"",COUNTIF(Config!$B$15:$B$34,$G288)=0),"Unsupported reason",IF(OR(INT($E288)&lt;&gt;$E288,AND(OR($C288="Receipt",$C288="Shipment"),$E288&lt;=0),AND($C288="Adjustment",$E288=0)),"Invalid qty",IF($B288&gt;Config!$B$4,"Date after the as-of date",IF($B288&lt;Config!$B$5,"Date before the opening balance date","OK")))))))))))))))))</f>
        <v/>
      </c>
    </row>
    <row r="289">
      <c r="A289" s="46" t="n"/>
      <c r="B289" s="54" t="n"/>
      <c r="C289" s="46" t="n"/>
      <c r="D289" s="46" t="n"/>
      <c r="E289" s="55" t="n"/>
      <c r="F289" s="46" t="n"/>
      <c r="G289" s="46" t="n"/>
      <c r="H289" s="46" t="n"/>
      <c r="I289" s="46" t="n"/>
      <c r="J289" s="46" t="n"/>
      <c r="K289" s="46" t="n"/>
      <c r="L289" s="46" t="n"/>
      <c r="M289" s="51" t="str">
        <f>IF(NOT(ISNUMBER($E289)),"",IF($C289="Receipt",$E289,IF($C289="Shipment",-$E289,IF($C289="Adjustment",$E289,0))))</f>
        <v/>
      </c>
      <c r="N289" s="49" t="str">
        <f>IF($D289="","",IFERROR(INDEX(Products!$B$2:$B$101,MATCH($D289,Products!$A$2:$A$101,0))&amp;"","(not found)"))</f>
        <v/>
      </c>
      <c r="O289" s="49" t="str">
        <f>IF($F289="","",IFERROR(INDEX(Batches!$B$2:$B$301,MATCH($F289,Batches!$A$2:$A$301,0))&amp;"","(not found)"))</f>
        <v/>
      </c>
      <c r="P289" s="49" t="str">
        <f>IF(COUNTA($A289:$L289)=0,"",IF($A289="","Missing: entry ID",IF(COUNTIF($A$2:$A$2001,$A289)&gt;1,"Duplicate entry ID",IF(NOT(ISNUMBER($B289)),"Missing or invalid: date",IF($C289="","Missing: type",IF($D289="","Missing: SKU",IF(NOT(ISNUMBER($E289)),"Missing: qty",IF($F289="","Missing: lot",IF($I289="","Missing: source link",IF(COUNTIF(Config!$A$15:$A$34,$C289)=0,"Unsupported type",IF(COUNTIF(Products!$A$2:$A$101,$D289)=0,"Unknown SKU",IF(COUNTIFS(Batches!$A$2:$A$301,$F289,Batches!$B$2:$B$301,$D289)=0,"Unknown lot for this SKU",IF(AND($C289="Adjustment",$G289=""),"Missing: reason",IF(AND($G289&lt;&gt;"",COUNTIF(Config!$B$15:$B$34,$G289)=0),"Unsupported reason",IF(OR(INT($E289)&lt;&gt;$E289,AND(OR($C289="Receipt",$C289="Shipment"),$E289&lt;=0),AND($C289="Adjustment",$E289=0)),"Invalid qty",IF($B289&gt;Config!$B$4,"Date after the as-of date",IF($B289&lt;Config!$B$5,"Date before the opening balance date","OK")))))))))))))))))</f>
        <v/>
      </c>
    </row>
    <row r="290">
      <c r="A290" s="46" t="n"/>
      <c r="B290" s="54" t="n"/>
      <c r="C290" s="46" t="n"/>
      <c r="D290" s="46" t="n"/>
      <c r="E290" s="55" t="n"/>
      <c r="F290" s="46" t="n"/>
      <c r="G290" s="46" t="n"/>
      <c r="H290" s="46" t="n"/>
      <c r="I290" s="46" t="n"/>
      <c r="J290" s="46" t="n"/>
      <c r="K290" s="46" t="n"/>
      <c r="L290" s="46" t="n"/>
      <c r="M290" s="51" t="str">
        <f>IF(NOT(ISNUMBER($E290)),"",IF($C290="Receipt",$E290,IF($C290="Shipment",-$E290,IF($C290="Adjustment",$E290,0))))</f>
        <v/>
      </c>
      <c r="N290" s="49" t="str">
        <f>IF($D290="","",IFERROR(INDEX(Products!$B$2:$B$101,MATCH($D290,Products!$A$2:$A$101,0))&amp;"","(not found)"))</f>
        <v/>
      </c>
      <c r="O290" s="49" t="str">
        <f>IF($F290="","",IFERROR(INDEX(Batches!$B$2:$B$301,MATCH($F290,Batches!$A$2:$A$301,0))&amp;"","(not found)"))</f>
        <v/>
      </c>
      <c r="P290" s="49" t="str">
        <f>IF(COUNTA($A290:$L290)=0,"",IF($A290="","Missing: entry ID",IF(COUNTIF($A$2:$A$2001,$A290)&gt;1,"Duplicate entry ID",IF(NOT(ISNUMBER($B290)),"Missing or invalid: date",IF($C290="","Missing: type",IF($D290="","Missing: SKU",IF(NOT(ISNUMBER($E290)),"Missing: qty",IF($F290="","Missing: lot",IF($I290="","Missing: source link",IF(COUNTIF(Config!$A$15:$A$34,$C290)=0,"Unsupported type",IF(COUNTIF(Products!$A$2:$A$101,$D290)=0,"Unknown SKU",IF(COUNTIFS(Batches!$A$2:$A$301,$F290,Batches!$B$2:$B$301,$D290)=0,"Unknown lot for this SKU",IF(AND($C290="Adjustment",$G290=""),"Missing: reason",IF(AND($G290&lt;&gt;"",COUNTIF(Config!$B$15:$B$34,$G290)=0),"Unsupported reason",IF(OR(INT($E290)&lt;&gt;$E290,AND(OR($C290="Receipt",$C290="Shipment"),$E290&lt;=0),AND($C290="Adjustment",$E290=0)),"Invalid qty",IF($B290&gt;Config!$B$4,"Date after the as-of date",IF($B290&lt;Config!$B$5,"Date before the opening balance date","OK")))))))))))))))))</f>
        <v/>
      </c>
    </row>
    <row r="291">
      <c r="A291" s="46" t="n"/>
      <c r="B291" s="54" t="n"/>
      <c r="C291" s="46" t="n"/>
      <c r="D291" s="46" t="n"/>
      <c r="E291" s="55" t="n"/>
      <c r="F291" s="46" t="n"/>
      <c r="G291" s="46" t="n"/>
      <c r="H291" s="46" t="n"/>
      <c r="I291" s="46" t="n"/>
      <c r="J291" s="46" t="n"/>
      <c r="K291" s="46" t="n"/>
      <c r="L291" s="46" t="n"/>
      <c r="M291" s="51" t="str">
        <f>IF(NOT(ISNUMBER($E291)),"",IF($C291="Receipt",$E291,IF($C291="Shipment",-$E291,IF($C291="Adjustment",$E291,0))))</f>
        <v/>
      </c>
      <c r="N291" s="49" t="str">
        <f>IF($D291="","",IFERROR(INDEX(Products!$B$2:$B$101,MATCH($D291,Products!$A$2:$A$101,0))&amp;"","(not found)"))</f>
        <v/>
      </c>
      <c r="O291" s="49" t="str">
        <f>IF($F291="","",IFERROR(INDEX(Batches!$B$2:$B$301,MATCH($F291,Batches!$A$2:$A$301,0))&amp;"","(not found)"))</f>
        <v/>
      </c>
      <c r="P291" s="49" t="str">
        <f>IF(COUNTA($A291:$L291)=0,"",IF($A291="","Missing: entry ID",IF(COUNTIF($A$2:$A$2001,$A291)&gt;1,"Duplicate entry ID",IF(NOT(ISNUMBER($B291)),"Missing or invalid: date",IF($C291="","Missing: type",IF($D291="","Missing: SKU",IF(NOT(ISNUMBER($E291)),"Missing: qty",IF($F291="","Missing: lot",IF($I291="","Missing: source link",IF(COUNTIF(Config!$A$15:$A$34,$C291)=0,"Unsupported type",IF(COUNTIF(Products!$A$2:$A$101,$D291)=0,"Unknown SKU",IF(COUNTIFS(Batches!$A$2:$A$301,$F291,Batches!$B$2:$B$301,$D291)=0,"Unknown lot for this SKU",IF(AND($C291="Adjustment",$G291=""),"Missing: reason",IF(AND($G291&lt;&gt;"",COUNTIF(Config!$B$15:$B$34,$G291)=0),"Unsupported reason",IF(OR(INT($E291)&lt;&gt;$E291,AND(OR($C291="Receipt",$C291="Shipment"),$E291&lt;=0),AND($C291="Adjustment",$E291=0)),"Invalid qty",IF($B291&gt;Config!$B$4,"Date after the as-of date",IF($B291&lt;Config!$B$5,"Date before the opening balance date","OK")))))))))))))))))</f>
        <v/>
      </c>
    </row>
    <row r="292">
      <c r="A292" s="46" t="n"/>
      <c r="B292" s="54" t="n"/>
      <c r="C292" s="46" t="n"/>
      <c r="D292" s="46" t="n"/>
      <c r="E292" s="55" t="n"/>
      <c r="F292" s="46" t="n"/>
      <c r="G292" s="46" t="n"/>
      <c r="H292" s="46" t="n"/>
      <c r="I292" s="46" t="n"/>
      <c r="J292" s="46" t="n"/>
      <c r="K292" s="46" t="n"/>
      <c r="L292" s="46" t="n"/>
      <c r="M292" s="51" t="str">
        <f>IF(NOT(ISNUMBER($E292)),"",IF($C292="Receipt",$E292,IF($C292="Shipment",-$E292,IF($C292="Adjustment",$E292,0))))</f>
        <v/>
      </c>
      <c r="N292" s="49" t="str">
        <f>IF($D292="","",IFERROR(INDEX(Products!$B$2:$B$101,MATCH($D292,Products!$A$2:$A$101,0))&amp;"","(not found)"))</f>
        <v/>
      </c>
      <c r="O292" s="49" t="str">
        <f>IF($F292="","",IFERROR(INDEX(Batches!$B$2:$B$301,MATCH($F292,Batches!$A$2:$A$301,0))&amp;"","(not found)"))</f>
        <v/>
      </c>
      <c r="P292" s="49" t="str">
        <f>IF(COUNTA($A292:$L292)=0,"",IF($A292="","Missing: entry ID",IF(COUNTIF($A$2:$A$2001,$A292)&gt;1,"Duplicate entry ID",IF(NOT(ISNUMBER($B292)),"Missing or invalid: date",IF($C292="","Missing: type",IF($D292="","Missing: SKU",IF(NOT(ISNUMBER($E292)),"Missing: qty",IF($F292="","Missing: lot",IF($I292="","Missing: source link",IF(COUNTIF(Config!$A$15:$A$34,$C292)=0,"Unsupported type",IF(COUNTIF(Products!$A$2:$A$101,$D292)=0,"Unknown SKU",IF(COUNTIFS(Batches!$A$2:$A$301,$F292,Batches!$B$2:$B$301,$D292)=0,"Unknown lot for this SKU",IF(AND($C292="Adjustment",$G292=""),"Missing: reason",IF(AND($G292&lt;&gt;"",COUNTIF(Config!$B$15:$B$34,$G292)=0),"Unsupported reason",IF(OR(INT($E292)&lt;&gt;$E292,AND(OR($C292="Receipt",$C292="Shipment"),$E292&lt;=0),AND($C292="Adjustment",$E292=0)),"Invalid qty",IF($B292&gt;Config!$B$4,"Date after the as-of date",IF($B292&lt;Config!$B$5,"Date before the opening balance date","OK")))))))))))))))))</f>
        <v/>
      </c>
    </row>
    <row r="293">
      <c r="A293" s="46" t="n"/>
      <c r="B293" s="54" t="n"/>
      <c r="C293" s="46" t="n"/>
      <c r="D293" s="46" t="n"/>
      <c r="E293" s="55" t="n"/>
      <c r="F293" s="46" t="n"/>
      <c r="G293" s="46" t="n"/>
      <c r="H293" s="46" t="n"/>
      <c r="I293" s="46" t="n"/>
      <c r="J293" s="46" t="n"/>
      <c r="K293" s="46" t="n"/>
      <c r="L293" s="46" t="n"/>
      <c r="M293" s="51" t="str">
        <f>IF(NOT(ISNUMBER($E293)),"",IF($C293="Receipt",$E293,IF($C293="Shipment",-$E293,IF($C293="Adjustment",$E293,0))))</f>
        <v/>
      </c>
      <c r="N293" s="49" t="str">
        <f>IF($D293="","",IFERROR(INDEX(Products!$B$2:$B$101,MATCH($D293,Products!$A$2:$A$101,0))&amp;"","(not found)"))</f>
        <v/>
      </c>
      <c r="O293" s="49" t="str">
        <f>IF($F293="","",IFERROR(INDEX(Batches!$B$2:$B$301,MATCH($F293,Batches!$A$2:$A$301,0))&amp;"","(not found)"))</f>
        <v/>
      </c>
      <c r="P293" s="49" t="str">
        <f>IF(COUNTA($A293:$L293)=0,"",IF($A293="","Missing: entry ID",IF(COUNTIF($A$2:$A$2001,$A293)&gt;1,"Duplicate entry ID",IF(NOT(ISNUMBER($B293)),"Missing or invalid: date",IF($C293="","Missing: type",IF($D293="","Missing: SKU",IF(NOT(ISNUMBER($E293)),"Missing: qty",IF($F293="","Missing: lot",IF($I293="","Missing: source link",IF(COUNTIF(Config!$A$15:$A$34,$C293)=0,"Unsupported type",IF(COUNTIF(Products!$A$2:$A$101,$D293)=0,"Unknown SKU",IF(COUNTIFS(Batches!$A$2:$A$301,$F293,Batches!$B$2:$B$301,$D293)=0,"Unknown lot for this SKU",IF(AND($C293="Adjustment",$G293=""),"Missing: reason",IF(AND($G293&lt;&gt;"",COUNTIF(Config!$B$15:$B$34,$G293)=0),"Unsupported reason",IF(OR(INT($E293)&lt;&gt;$E293,AND(OR($C293="Receipt",$C293="Shipment"),$E293&lt;=0),AND($C293="Adjustment",$E293=0)),"Invalid qty",IF($B293&gt;Config!$B$4,"Date after the as-of date",IF($B293&lt;Config!$B$5,"Date before the opening balance date","OK")))))))))))))))))</f>
        <v/>
      </c>
    </row>
    <row r="294">
      <c r="A294" s="46" t="n"/>
      <c r="B294" s="54" t="n"/>
      <c r="C294" s="46" t="n"/>
      <c r="D294" s="46" t="n"/>
      <c r="E294" s="55" t="n"/>
      <c r="F294" s="46" t="n"/>
      <c r="G294" s="46" t="n"/>
      <c r="H294" s="46" t="n"/>
      <c r="I294" s="46" t="n"/>
      <c r="J294" s="46" t="n"/>
      <c r="K294" s="46" t="n"/>
      <c r="L294" s="46" t="n"/>
      <c r="M294" s="51" t="str">
        <f>IF(NOT(ISNUMBER($E294)),"",IF($C294="Receipt",$E294,IF($C294="Shipment",-$E294,IF($C294="Adjustment",$E294,0))))</f>
        <v/>
      </c>
      <c r="N294" s="49" t="str">
        <f>IF($D294="","",IFERROR(INDEX(Products!$B$2:$B$101,MATCH($D294,Products!$A$2:$A$101,0))&amp;"","(not found)"))</f>
        <v/>
      </c>
      <c r="O294" s="49" t="str">
        <f>IF($F294="","",IFERROR(INDEX(Batches!$B$2:$B$301,MATCH($F294,Batches!$A$2:$A$301,0))&amp;"","(not found)"))</f>
        <v/>
      </c>
      <c r="P294" s="49" t="str">
        <f>IF(COUNTA($A294:$L294)=0,"",IF($A294="","Missing: entry ID",IF(COUNTIF($A$2:$A$2001,$A294)&gt;1,"Duplicate entry ID",IF(NOT(ISNUMBER($B294)),"Missing or invalid: date",IF($C294="","Missing: type",IF($D294="","Missing: SKU",IF(NOT(ISNUMBER($E294)),"Missing: qty",IF($F294="","Missing: lot",IF($I294="","Missing: source link",IF(COUNTIF(Config!$A$15:$A$34,$C294)=0,"Unsupported type",IF(COUNTIF(Products!$A$2:$A$101,$D294)=0,"Unknown SKU",IF(COUNTIFS(Batches!$A$2:$A$301,$F294,Batches!$B$2:$B$301,$D294)=0,"Unknown lot for this SKU",IF(AND($C294="Adjustment",$G294=""),"Missing: reason",IF(AND($G294&lt;&gt;"",COUNTIF(Config!$B$15:$B$34,$G294)=0),"Unsupported reason",IF(OR(INT($E294)&lt;&gt;$E294,AND(OR($C294="Receipt",$C294="Shipment"),$E294&lt;=0),AND($C294="Adjustment",$E294=0)),"Invalid qty",IF($B294&gt;Config!$B$4,"Date after the as-of date",IF($B294&lt;Config!$B$5,"Date before the opening balance date","OK")))))))))))))))))</f>
        <v/>
      </c>
    </row>
    <row r="295">
      <c r="A295" s="46" t="n"/>
      <c r="B295" s="54" t="n"/>
      <c r="C295" s="46" t="n"/>
      <c r="D295" s="46" t="n"/>
      <c r="E295" s="55" t="n"/>
      <c r="F295" s="46" t="n"/>
      <c r="G295" s="46" t="n"/>
      <c r="H295" s="46" t="n"/>
      <c r="I295" s="46" t="n"/>
      <c r="J295" s="46" t="n"/>
      <c r="K295" s="46" t="n"/>
      <c r="L295" s="46" t="n"/>
      <c r="M295" s="51" t="str">
        <f>IF(NOT(ISNUMBER($E295)),"",IF($C295="Receipt",$E295,IF($C295="Shipment",-$E295,IF($C295="Adjustment",$E295,0))))</f>
        <v/>
      </c>
      <c r="N295" s="49" t="str">
        <f>IF($D295="","",IFERROR(INDEX(Products!$B$2:$B$101,MATCH($D295,Products!$A$2:$A$101,0))&amp;"","(not found)"))</f>
        <v/>
      </c>
      <c r="O295" s="49" t="str">
        <f>IF($F295="","",IFERROR(INDEX(Batches!$B$2:$B$301,MATCH($F295,Batches!$A$2:$A$301,0))&amp;"","(not found)"))</f>
        <v/>
      </c>
      <c r="P295" s="49" t="str">
        <f>IF(COUNTA($A295:$L295)=0,"",IF($A295="","Missing: entry ID",IF(COUNTIF($A$2:$A$2001,$A295)&gt;1,"Duplicate entry ID",IF(NOT(ISNUMBER($B295)),"Missing or invalid: date",IF($C295="","Missing: type",IF($D295="","Missing: SKU",IF(NOT(ISNUMBER($E295)),"Missing: qty",IF($F295="","Missing: lot",IF($I295="","Missing: source link",IF(COUNTIF(Config!$A$15:$A$34,$C295)=0,"Unsupported type",IF(COUNTIF(Products!$A$2:$A$101,$D295)=0,"Unknown SKU",IF(COUNTIFS(Batches!$A$2:$A$301,$F295,Batches!$B$2:$B$301,$D295)=0,"Unknown lot for this SKU",IF(AND($C295="Adjustment",$G295=""),"Missing: reason",IF(AND($G295&lt;&gt;"",COUNTIF(Config!$B$15:$B$34,$G295)=0),"Unsupported reason",IF(OR(INT($E295)&lt;&gt;$E295,AND(OR($C295="Receipt",$C295="Shipment"),$E295&lt;=0),AND($C295="Adjustment",$E295=0)),"Invalid qty",IF($B295&gt;Config!$B$4,"Date after the as-of date",IF($B295&lt;Config!$B$5,"Date before the opening balance date","OK")))))))))))))))))</f>
        <v/>
      </c>
    </row>
    <row r="296">
      <c r="A296" s="46" t="n"/>
      <c r="B296" s="54" t="n"/>
      <c r="C296" s="46" t="n"/>
      <c r="D296" s="46" t="n"/>
      <c r="E296" s="55" t="n"/>
      <c r="F296" s="46" t="n"/>
      <c r="G296" s="46" t="n"/>
      <c r="H296" s="46" t="n"/>
      <c r="I296" s="46" t="n"/>
      <c r="J296" s="46" t="n"/>
      <c r="K296" s="46" t="n"/>
      <c r="L296" s="46" t="n"/>
      <c r="M296" s="51" t="str">
        <f>IF(NOT(ISNUMBER($E296)),"",IF($C296="Receipt",$E296,IF($C296="Shipment",-$E296,IF($C296="Adjustment",$E296,0))))</f>
        <v/>
      </c>
      <c r="N296" s="49" t="str">
        <f>IF($D296="","",IFERROR(INDEX(Products!$B$2:$B$101,MATCH($D296,Products!$A$2:$A$101,0))&amp;"","(not found)"))</f>
        <v/>
      </c>
      <c r="O296" s="49" t="str">
        <f>IF($F296="","",IFERROR(INDEX(Batches!$B$2:$B$301,MATCH($F296,Batches!$A$2:$A$301,0))&amp;"","(not found)"))</f>
        <v/>
      </c>
      <c r="P296" s="49" t="str">
        <f>IF(COUNTA($A296:$L296)=0,"",IF($A296="","Missing: entry ID",IF(COUNTIF($A$2:$A$2001,$A296)&gt;1,"Duplicate entry ID",IF(NOT(ISNUMBER($B296)),"Missing or invalid: date",IF($C296="","Missing: type",IF($D296="","Missing: SKU",IF(NOT(ISNUMBER($E296)),"Missing: qty",IF($F296="","Missing: lot",IF($I296="","Missing: source link",IF(COUNTIF(Config!$A$15:$A$34,$C296)=0,"Unsupported type",IF(COUNTIF(Products!$A$2:$A$101,$D296)=0,"Unknown SKU",IF(COUNTIFS(Batches!$A$2:$A$301,$F296,Batches!$B$2:$B$301,$D296)=0,"Unknown lot for this SKU",IF(AND($C296="Adjustment",$G296=""),"Missing: reason",IF(AND($G296&lt;&gt;"",COUNTIF(Config!$B$15:$B$34,$G296)=0),"Unsupported reason",IF(OR(INT($E296)&lt;&gt;$E296,AND(OR($C296="Receipt",$C296="Shipment"),$E296&lt;=0),AND($C296="Adjustment",$E296=0)),"Invalid qty",IF($B296&gt;Config!$B$4,"Date after the as-of date",IF($B296&lt;Config!$B$5,"Date before the opening balance date","OK")))))))))))))))))</f>
        <v/>
      </c>
    </row>
    <row r="297">
      <c r="A297" s="46" t="n"/>
      <c r="B297" s="54" t="n"/>
      <c r="C297" s="46" t="n"/>
      <c r="D297" s="46" t="n"/>
      <c r="E297" s="55" t="n"/>
      <c r="F297" s="46" t="n"/>
      <c r="G297" s="46" t="n"/>
      <c r="H297" s="46" t="n"/>
      <c r="I297" s="46" t="n"/>
      <c r="J297" s="46" t="n"/>
      <c r="K297" s="46" t="n"/>
      <c r="L297" s="46" t="n"/>
      <c r="M297" s="51" t="str">
        <f>IF(NOT(ISNUMBER($E297)),"",IF($C297="Receipt",$E297,IF($C297="Shipment",-$E297,IF($C297="Adjustment",$E297,0))))</f>
        <v/>
      </c>
      <c r="N297" s="49" t="str">
        <f>IF($D297="","",IFERROR(INDEX(Products!$B$2:$B$101,MATCH($D297,Products!$A$2:$A$101,0))&amp;"","(not found)"))</f>
        <v/>
      </c>
      <c r="O297" s="49" t="str">
        <f>IF($F297="","",IFERROR(INDEX(Batches!$B$2:$B$301,MATCH($F297,Batches!$A$2:$A$301,0))&amp;"","(not found)"))</f>
        <v/>
      </c>
      <c r="P297" s="49" t="str">
        <f>IF(COUNTA($A297:$L297)=0,"",IF($A297="","Missing: entry ID",IF(COUNTIF($A$2:$A$2001,$A297)&gt;1,"Duplicate entry ID",IF(NOT(ISNUMBER($B297)),"Missing or invalid: date",IF($C297="","Missing: type",IF($D297="","Missing: SKU",IF(NOT(ISNUMBER($E297)),"Missing: qty",IF($F297="","Missing: lot",IF($I297="","Missing: source link",IF(COUNTIF(Config!$A$15:$A$34,$C297)=0,"Unsupported type",IF(COUNTIF(Products!$A$2:$A$101,$D297)=0,"Unknown SKU",IF(COUNTIFS(Batches!$A$2:$A$301,$F297,Batches!$B$2:$B$301,$D297)=0,"Unknown lot for this SKU",IF(AND($C297="Adjustment",$G297=""),"Missing: reason",IF(AND($G297&lt;&gt;"",COUNTIF(Config!$B$15:$B$34,$G297)=0),"Unsupported reason",IF(OR(INT($E297)&lt;&gt;$E297,AND(OR($C297="Receipt",$C297="Shipment"),$E297&lt;=0),AND($C297="Adjustment",$E297=0)),"Invalid qty",IF($B297&gt;Config!$B$4,"Date after the as-of date",IF($B297&lt;Config!$B$5,"Date before the opening balance date","OK")))))))))))))))))</f>
        <v/>
      </c>
    </row>
    <row r="298">
      <c r="A298" s="46" t="n"/>
      <c r="B298" s="54" t="n"/>
      <c r="C298" s="46" t="n"/>
      <c r="D298" s="46" t="n"/>
      <c r="E298" s="55" t="n"/>
      <c r="F298" s="46" t="n"/>
      <c r="G298" s="46" t="n"/>
      <c r="H298" s="46" t="n"/>
      <c r="I298" s="46" t="n"/>
      <c r="J298" s="46" t="n"/>
      <c r="K298" s="46" t="n"/>
      <c r="L298" s="46" t="n"/>
      <c r="M298" s="51" t="str">
        <f>IF(NOT(ISNUMBER($E298)),"",IF($C298="Receipt",$E298,IF($C298="Shipment",-$E298,IF($C298="Adjustment",$E298,0))))</f>
        <v/>
      </c>
      <c r="N298" s="49" t="str">
        <f>IF($D298="","",IFERROR(INDEX(Products!$B$2:$B$101,MATCH($D298,Products!$A$2:$A$101,0))&amp;"","(not found)"))</f>
        <v/>
      </c>
      <c r="O298" s="49" t="str">
        <f>IF($F298="","",IFERROR(INDEX(Batches!$B$2:$B$301,MATCH($F298,Batches!$A$2:$A$301,0))&amp;"","(not found)"))</f>
        <v/>
      </c>
      <c r="P298" s="49" t="str">
        <f>IF(COUNTA($A298:$L298)=0,"",IF($A298="","Missing: entry ID",IF(COUNTIF($A$2:$A$2001,$A298)&gt;1,"Duplicate entry ID",IF(NOT(ISNUMBER($B298)),"Missing or invalid: date",IF($C298="","Missing: type",IF($D298="","Missing: SKU",IF(NOT(ISNUMBER($E298)),"Missing: qty",IF($F298="","Missing: lot",IF($I298="","Missing: source link",IF(COUNTIF(Config!$A$15:$A$34,$C298)=0,"Unsupported type",IF(COUNTIF(Products!$A$2:$A$101,$D298)=0,"Unknown SKU",IF(COUNTIFS(Batches!$A$2:$A$301,$F298,Batches!$B$2:$B$301,$D298)=0,"Unknown lot for this SKU",IF(AND($C298="Adjustment",$G298=""),"Missing: reason",IF(AND($G298&lt;&gt;"",COUNTIF(Config!$B$15:$B$34,$G298)=0),"Unsupported reason",IF(OR(INT($E298)&lt;&gt;$E298,AND(OR($C298="Receipt",$C298="Shipment"),$E298&lt;=0),AND($C298="Adjustment",$E298=0)),"Invalid qty",IF($B298&gt;Config!$B$4,"Date after the as-of date",IF($B298&lt;Config!$B$5,"Date before the opening balance date","OK")))))))))))))))))</f>
        <v/>
      </c>
    </row>
    <row r="299">
      <c r="A299" s="46" t="n"/>
      <c r="B299" s="54" t="n"/>
      <c r="C299" s="46" t="n"/>
      <c r="D299" s="46" t="n"/>
      <c r="E299" s="55" t="n"/>
      <c r="F299" s="46" t="n"/>
      <c r="G299" s="46" t="n"/>
      <c r="H299" s="46" t="n"/>
      <c r="I299" s="46" t="n"/>
      <c r="J299" s="46" t="n"/>
      <c r="K299" s="46" t="n"/>
      <c r="L299" s="46" t="n"/>
      <c r="M299" s="51" t="str">
        <f>IF(NOT(ISNUMBER($E299)),"",IF($C299="Receipt",$E299,IF($C299="Shipment",-$E299,IF($C299="Adjustment",$E299,0))))</f>
        <v/>
      </c>
      <c r="N299" s="49" t="str">
        <f>IF($D299="","",IFERROR(INDEX(Products!$B$2:$B$101,MATCH($D299,Products!$A$2:$A$101,0))&amp;"","(not found)"))</f>
        <v/>
      </c>
      <c r="O299" s="49" t="str">
        <f>IF($F299="","",IFERROR(INDEX(Batches!$B$2:$B$301,MATCH($F299,Batches!$A$2:$A$301,0))&amp;"","(not found)"))</f>
        <v/>
      </c>
      <c r="P299" s="49" t="str">
        <f>IF(COUNTA($A299:$L299)=0,"",IF($A299="","Missing: entry ID",IF(COUNTIF($A$2:$A$2001,$A299)&gt;1,"Duplicate entry ID",IF(NOT(ISNUMBER($B299)),"Missing or invalid: date",IF($C299="","Missing: type",IF($D299="","Missing: SKU",IF(NOT(ISNUMBER($E299)),"Missing: qty",IF($F299="","Missing: lot",IF($I299="","Missing: source link",IF(COUNTIF(Config!$A$15:$A$34,$C299)=0,"Unsupported type",IF(COUNTIF(Products!$A$2:$A$101,$D299)=0,"Unknown SKU",IF(COUNTIFS(Batches!$A$2:$A$301,$F299,Batches!$B$2:$B$301,$D299)=0,"Unknown lot for this SKU",IF(AND($C299="Adjustment",$G299=""),"Missing: reason",IF(AND($G299&lt;&gt;"",COUNTIF(Config!$B$15:$B$34,$G299)=0),"Unsupported reason",IF(OR(INT($E299)&lt;&gt;$E299,AND(OR($C299="Receipt",$C299="Shipment"),$E299&lt;=0),AND($C299="Adjustment",$E299=0)),"Invalid qty",IF($B299&gt;Config!$B$4,"Date after the as-of date",IF($B299&lt;Config!$B$5,"Date before the opening balance date","OK")))))))))))))))))</f>
        <v/>
      </c>
    </row>
    <row r="300">
      <c r="A300" s="46" t="n"/>
      <c r="B300" s="54" t="n"/>
      <c r="C300" s="46" t="n"/>
      <c r="D300" s="46" t="n"/>
      <c r="E300" s="55" t="n"/>
      <c r="F300" s="46" t="n"/>
      <c r="G300" s="46" t="n"/>
      <c r="H300" s="46" t="n"/>
      <c r="I300" s="46" t="n"/>
      <c r="J300" s="46" t="n"/>
      <c r="K300" s="46" t="n"/>
      <c r="L300" s="46" t="n"/>
      <c r="M300" s="51" t="str">
        <f>IF(NOT(ISNUMBER($E300)),"",IF($C300="Receipt",$E300,IF($C300="Shipment",-$E300,IF($C300="Adjustment",$E300,0))))</f>
        <v/>
      </c>
      <c r="N300" s="49" t="str">
        <f>IF($D300="","",IFERROR(INDEX(Products!$B$2:$B$101,MATCH($D300,Products!$A$2:$A$101,0))&amp;"","(not found)"))</f>
        <v/>
      </c>
      <c r="O300" s="49" t="str">
        <f>IF($F300="","",IFERROR(INDEX(Batches!$B$2:$B$301,MATCH($F300,Batches!$A$2:$A$301,0))&amp;"","(not found)"))</f>
        <v/>
      </c>
      <c r="P300" s="49" t="str">
        <f>IF(COUNTA($A300:$L300)=0,"",IF($A300="","Missing: entry ID",IF(COUNTIF($A$2:$A$2001,$A300)&gt;1,"Duplicate entry ID",IF(NOT(ISNUMBER($B300)),"Missing or invalid: date",IF($C300="","Missing: type",IF($D300="","Missing: SKU",IF(NOT(ISNUMBER($E300)),"Missing: qty",IF($F300="","Missing: lot",IF($I300="","Missing: source link",IF(COUNTIF(Config!$A$15:$A$34,$C300)=0,"Unsupported type",IF(COUNTIF(Products!$A$2:$A$101,$D300)=0,"Unknown SKU",IF(COUNTIFS(Batches!$A$2:$A$301,$F300,Batches!$B$2:$B$301,$D300)=0,"Unknown lot for this SKU",IF(AND($C300="Adjustment",$G300=""),"Missing: reason",IF(AND($G300&lt;&gt;"",COUNTIF(Config!$B$15:$B$34,$G300)=0),"Unsupported reason",IF(OR(INT($E300)&lt;&gt;$E300,AND(OR($C300="Receipt",$C300="Shipment"),$E300&lt;=0),AND($C300="Adjustment",$E300=0)),"Invalid qty",IF($B300&gt;Config!$B$4,"Date after the as-of date",IF($B300&lt;Config!$B$5,"Date before the opening balance date","OK")))))))))))))))))</f>
        <v/>
      </c>
    </row>
    <row r="301">
      <c r="A301" s="46" t="n"/>
      <c r="B301" s="54" t="n"/>
      <c r="C301" s="46" t="n"/>
      <c r="D301" s="46" t="n"/>
      <c r="E301" s="55" t="n"/>
      <c r="F301" s="46" t="n"/>
      <c r="G301" s="46" t="n"/>
      <c r="H301" s="46" t="n"/>
      <c r="I301" s="46" t="n"/>
      <c r="J301" s="46" t="n"/>
      <c r="K301" s="46" t="n"/>
      <c r="L301" s="46" t="n"/>
      <c r="M301" s="51" t="str">
        <f>IF(NOT(ISNUMBER($E301)),"",IF($C301="Receipt",$E301,IF($C301="Shipment",-$E301,IF($C301="Adjustment",$E301,0))))</f>
        <v/>
      </c>
      <c r="N301" s="49" t="str">
        <f>IF($D301="","",IFERROR(INDEX(Products!$B$2:$B$101,MATCH($D301,Products!$A$2:$A$101,0))&amp;"","(not found)"))</f>
        <v/>
      </c>
      <c r="O301" s="49" t="str">
        <f>IF($F301="","",IFERROR(INDEX(Batches!$B$2:$B$301,MATCH($F301,Batches!$A$2:$A$301,0))&amp;"","(not found)"))</f>
        <v/>
      </c>
      <c r="P301" s="49" t="str">
        <f>IF(COUNTA($A301:$L301)=0,"",IF($A301="","Missing: entry ID",IF(COUNTIF($A$2:$A$2001,$A301)&gt;1,"Duplicate entry ID",IF(NOT(ISNUMBER($B301)),"Missing or invalid: date",IF($C301="","Missing: type",IF($D301="","Missing: SKU",IF(NOT(ISNUMBER($E301)),"Missing: qty",IF($F301="","Missing: lot",IF($I301="","Missing: source link",IF(COUNTIF(Config!$A$15:$A$34,$C301)=0,"Unsupported type",IF(COUNTIF(Products!$A$2:$A$101,$D301)=0,"Unknown SKU",IF(COUNTIFS(Batches!$A$2:$A$301,$F301,Batches!$B$2:$B$301,$D301)=0,"Unknown lot for this SKU",IF(AND($C301="Adjustment",$G301=""),"Missing: reason",IF(AND($G301&lt;&gt;"",COUNTIF(Config!$B$15:$B$34,$G301)=0),"Unsupported reason",IF(OR(INT($E301)&lt;&gt;$E301,AND(OR($C301="Receipt",$C301="Shipment"),$E301&lt;=0),AND($C301="Adjustment",$E301=0)),"Invalid qty",IF($B301&gt;Config!$B$4,"Date after the as-of date",IF($B301&lt;Config!$B$5,"Date before the opening balance date","OK")))))))))))))))))</f>
        <v/>
      </c>
    </row>
    <row r="302">
      <c r="A302" s="46" t="n"/>
      <c r="B302" s="54" t="n"/>
      <c r="C302" s="46" t="n"/>
      <c r="D302" s="46" t="n"/>
      <c r="E302" s="55" t="n"/>
      <c r="F302" s="46" t="n"/>
      <c r="G302" s="46" t="n"/>
      <c r="H302" s="46" t="n"/>
      <c r="I302" s="46" t="n"/>
      <c r="J302" s="46" t="n"/>
      <c r="K302" s="46" t="n"/>
      <c r="L302" s="46" t="n"/>
      <c r="M302" s="51" t="str">
        <f>IF(NOT(ISNUMBER($E302)),"",IF($C302="Receipt",$E302,IF($C302="Shipment",-$E302,IF($C302="Adjustment",$E302,0))))</f>
        <v/>
      </c>
      <c r="N302" s="49" t="str">
        <f>IF($D302="","",IFERROR(INDEX(Products!$B$2:$B$101,MATCH($D302,Products!$A$2:$A$101,0))&amp;"","(not found)"))</f>
        <v/>
      </c>
      <c r="O302" s="49" t="str">
        <f>IF($F302="","",IFERROR(INDEX(Batches!$B$2:$B$301,MATCH($F302,Batches!$A$2:$A$301,0))&amp;"","(not found)"))</f>
        <v/>
      </c>
      <c r="P302" s="49" t="str">
        <f>IF(COUNTA($A302:$L302)=0,"",IF($A302="","Missing: entry ID",IF(COUNTIF($A$2:$A$2001,$A302)&gt;1,"Duplicate entry ID",IF(NOT(ISNUMBER($B302)),"Missing or invalid: date",IF($C302="","Missing: type",IF($D302="","Missing: SKU",IF(NOT(ISNUMBER($E302)),"Missing: qty",IF($F302="","Missing: lot",IF($I302="","Missing: source link",IF(COUNTIF(Config!$A$15:$A$34,$C302)=0,"Unsupported type",IF(COUNTIF(Products!$A$2:$A$101,$D302)=0,"Unknown SKU",IF(COUNTIFS(Batches!$A$2:$A$301,$F302,Batches!$B$2:$B$301,$D302)=0,"Unknown lot for this SKU",IF(AND($C302="Adjustment",$G302=""),"Missing: reason",IF(AND($G302&lt;&gt;"",COUNTIF(Config!$B$15:$B$34,$G302)=0),"Unsupported reason",IF(OR(INT($E302)&lt;&gt;$E302,AND(OR($C302="Receipt",$C302="Shipment"),$E302&lt;=0),AND($C302="Adjustment",$E302=0)),"Invalid qty",IF($B302&gt;Config!$B$4,"Date after the as-of date",IF($B302&lt;Config!$B$5,"Date before the opening balance date","OK")))))))))))))))))</f>
        <v/>
      </c>
    </row>
    <row r="303">
      <c r="A303" s="46" t="n"/>
      <c r="B303" s="54" t="n"/>
      <c r="C303" s="46" t="n"/>
      <c r="D303" s="46" t="n"/>
      <c r="E303" s="55" t="n"/>
      <c r="F303" s="46" t="n"/>
      <c r="G303" s="46" t="n"/>
      <c r="H303" s="46" t="n"/>
      <c r="I303" s="46" t="n"/>
      <c r="J303" s="46" t="n"/>
      <c r="K303" s="46" t="n"/>
      <c r="L303" s="46" t="n"/>
      <c r="M303" s="51" t="str">
        <f>IF(NOT(ISNUMBER($E303)),"",IF($C303="Receipt",$E303,IF($C303="Shipment",-$E303,IF($C303="Adjustment",$E303,0))))</f>
        <v/>
      </c>
      <c r="N303" s="49" t="str">
        <f>IF($D303="","",IFERROR(INDEX(Products!$B$2:$B$101,MATCH($D303,Products!$A$2:$A$101,0))&amp;"","(not found)"))</f>
        <v/>
      </c>
      <c r="O303" s="49" t="str">
        <f>IF($F303="","",IFERROR(INDEX(Batches!$B$2:$B$301,MATCH($F303,Batches!$A$2:$A$301,0))&amp;"","(not found)"))</f>
        <v/>
      </c>
      <c r="P303" s="49" t="str">
        <f>IF(COUNTA($A303:$L303)=0,"",IF($A303="","Missing: entry ID",IF(COUNTIF($A$2:$A$2001,$A303)&gt;1,"Duplicate entry ID",IF(NOT(ISNUMBER($B303)),"Missing or invalid: date",IF($C303="","Missing: type",IF($D303="","Missing: SKU",IF(NOT(ISNUMBER($E303)),"Missing: qty",IF($F303="","Missing: lot",IF($I303="","Missing: source link",IF(COUNTIF(Config!$A$15:$A$34,$C303)=0,"Unsupported type",IF(COUNTIF(Products!$A$2:$A$101,$D303)=0,"Unknown SKU",IF(COUNTIFS(Batches!$A$2:$A$301,$F303,Batches!$B$2:$B$301,$D303)=0,"Unknown lot for this SKU",IF(AND($C303="Adjustment",$G303=""),"Missing: reason",IF(AND($G303&lt;&gt;"",COUNTIF(Config!$B$15:$B$34,$G303)=0),"Unsupported reason",IF(OR(INT($E303)&lt;&gt;$E303,AND(OR($C303="Receipt",$C303="Shipment"),$E303&lt;=0),AND($C303="Adjustment",$E303=0)),"Invalid qty",IF($B303&gt;Config!$B$4,"Date after the as-of date",IF($B303&lt;Config!$B$5,"Date before the opening balance date","OK")))))))))))))))))</f>
        <v/>
      </c>
    </row>
    <row r="304">
      <c r="A304" s="46" t="n"/>
      <c r="B304" s="54" t="n"/>
      <c r="C304" s="46" t="n"/>
      <c r="D304" s="46" t="n"/>
      <c r="E304" s="55" t="n"/>
      <c r="F304" s="46" t="n"/>
      <c r="G304" s="46" t="n"/>
      <c r="H304" s="46" t="n"/>
      <c r="I304" s="46" t="n"/>
      <c r="J304" s="46" t="n"/>
      <c r="K304" s="46" t="n"/>
      <c r="L304" s="46" t="n"/>
      <c r="M304" s="51" t="str">
        <f>IF(NOT(ISNUMBER($E304)),"",IF($C304="Receipt",$E304,IF($C304="Shipment",-$E304,IF($C304="Adjustment",$E304,0))))</f>
        <v/>
      </c>
      <c r="N304" s="49" t="str">
        <f>IF($D304="","",IFERROR(INDEX(Products!$B$2:$B$101,MATCH($D304,Products!$A$2:$A$101,0))&amp;"","(not found)"))</f>
        <v/>
      </c>
      <c r="O304" s="49" t="str">
        <f>IF($F304="","",IFERROR(INDEX(Batches!$B$2:$B$301,MATCH($F304,Batches!$A$2:$A$301,0))&amp;"","(not found)"))</f>
        <v/>
      </c>
      <c r="P304" s="49" t="str">
        <f>IF(COUNTA($A304:$L304)=0,"",IF($A304="","Missing: entry ID",IF(COUNTIF($A$2:$A$2001,$A304)&gt;1,"Duplicate entry ID",IF(NOT(ISNUMBER($B304)),"Missing or invalid: date",IF($C304="","Missing: type",IF($D304="","Missing: SKU",IF(NOT(ISNUMBER($E304)),"Missing: qty",IF($F304="","Missing: lot",IF($I304="","Missing: source link",IF(COUNTIF(Config!$A$15:$A$34,$C304)=0,"Unsupported type",IF(COUNTIF(Products!$A$2:$A$101,$D304)=0,"Unknown SKU",IF(COUNTIFS(Batches!$A$2:$A$301,$F304,Batches!$B$2:$B$301,$D304)=0,"Unknown lot for this SKU",IF(AND($C304="Adjustment",$G304=""),"Missing: reason",IF(AND($G304&lt;&gt;"",COUNTIF(Config!$B$15:$B$34,$G304)=0),"Unsupported reason",IF(OR(INT($E304)&lt;&gt;$E304,AND(OR($C304="Receipt",$C304="Shipment"),$E304&lt;=0),AND($C304="Adjustment",$E304=0)),"Invalid qty",IF($B304&gt;Config!$B$4,"Date after the as-of date",IF($B304&lt;Config!$B$5,"Date before the opening balance date","OK")))))))))))))))))</f>
        <v/>
      </c>
    </row>
    <row r="305">
      <c r="A305" s="46" t="n"/>
      <c r="B305" s="54" t="n"/>
      <c r="C305" s="46" t="n"/>
      <c r="D305" s="46" t="n"/>
      <c r="E305" s="55" t="n"/>
      <c r="F305" s="46" t="n"/>
      <c r="G305" s="46" t="n"/>
      <c r="H305" s="46" t="n"/>
      <c r="I305" s="46" t="n"/>
      <c r="J305" s="46" t="n"/>
      <c r="K305" s="46" t="n"/>
      <c r="L305" s="46" t="n"/>
      <c r="M305" s="51" t="str">
        <f>IF(NOT(ISNUMBER($E305)),"",IF($C305="Receipt",$E305,IF($C305="Shipment",-$E305,IF($C305="Adjustment",$E305,0))))</f>
        <v/>
      </c>
      <c r="N305" s="49" t="str">
        <f>IF($D305="","",IFERROR(INDEX(Products!$B$2:$B$101,MATCH($D305,Products!$A$2:$A$101,0))&amp;"","(not found)"))</f>
        <v/>
      </c>
      <c r="O305" s="49" t="str">
        <f>IF($F305="","",IFERROR(INDEX(Batches!$B$2:$B$301,MATCH($F305,Batches!$A$2:$A$301,0))&amp;"","(not found)"))</f>
        <v/>
      </c>
      <c r="P305" s="49" t="str">
        <f>IF(COUNTA($A305:$L305)=0,"",IF($A305="","Missing: entry ID",IF(COUNTIF($A$2:$A$2001,$A305)&gt;1,"Duplicate entry ID",IF(NOT(ISNUMBER($B305)),"Missing or invalid: date",IF($C305="","Missing: type",IF($D305="","Missing: SKU",IF(NOT(ISNUMBER($E305)),"Missing: qty",IF($F305="","Missing: lot",IF($I305="","Missing: source link",IF(COUNTIF(Config!$A$15:$A$34,$C305)=0,"Unsupported type",IF(COUNTIF(Products!$A$2:$A$101,$D305)=0,"Unknown SKU",IF(COUNTIFS(Batches!$A$2:$A$301,$F305,Batches!$B$2:$B$301,$D305)=0,"Unknown lot for this SKU",IF(AND($C305="Adjustment",$G305=""),"Missing: reason",IF(AND($G305&lt;&gt;"",COUNTIF(Config!$B$15:$B$34,$G305)=0),"Unsupported reason",IF(OR(INT($E305)&lt;&gt;$E305,AND(OR($C305="Receipt",$C305="Shipment"),$E305&lt;=0),AND($C305="Adjustment",$E305=0)),"Invalid qty",IF($B305&gt;Config!$B$4,"Date after the as-of date",IF($B305&lt;Config!$B$5,"Date before the opening balance date","OK")))))))))))))))))</f>
        <v/>
      </c>
    </row>
    <row r="306">
      <c r="A306" s="46" t="n"/>
      <c r="B306" s="54" t="n"/>
      <c r="C306" s="46" t="n"/>
      <c r="D306" s="46" t="n"/>
      <c r="E306" s="55" t="n"/>
      <c r="F306" s="46" t="n"/>
      <c r="G306" s="46" t="n"/>
      <c r="H306" s="46" t="n"/>
      <c r="I306" s="46" t="n"/>
      <c r="J306" s="46" t="n"/>
      <c r="K306" s="46" t="n"/>
      <c r="L306" s="46" t="n"/>
      <c r="M306" s="51" t="str">
        <f>IF(NOT(ISNUMBER($E306)),"",IF($C306="Receipt",$E306,IF($C306="Shipment",-$E306,IF($C306="Adjustment",$E306,0))))</f>
        <v/>
      </c>
      <c r="N306" s="49" t="str">
        <f>IF($D306="","",IFERROR(INDEX(Products!$B$2:$B$101,MATCH($D306,Products!$A$2:$A$101,0))&amp;"","(not found)"))</f>
        <v/>
      </c>
      <c r="O306" s="49" t="str">
        <f>IF($F306="","",IFERROR(INDEX(Batches!$B$2:$B$301,MATCH($F306,Batches!$A$2:$A$301,0))&amp;"","(not found)"))</f>
        <v/>
      </c>
      <c r="P306" s="49" t="str">
        <f>IF(COUNTA($A306:$L306)=0,"",IF($A306="","Missing: entry ID",IF(COUNTIF($A$2:$A$2001,$A306)&gt;1,"Duplicate entry ID",IF(NOT(ISNUMBER($B306)),"Missing or invalid: date",IF($C306="","Missing: type",IF($D306="","Missing: SKU",IF(NOT(ISNUMBER($E306)),"Missing: qty",IF($F306="","Missing: lot",IF($I306="","Missing: source link",IF(COUNTIF(Config!$A$15:$A$34,$C306)=0,"Unsupported type",IF(COUNTIF(Products!$A$2:$A$101,$D306)=0,"Unknown SKU",IF(COUNTIFS(Batches!$A$2:$A$301,$F306,Batches!$B$2:$B$301,$D306)=0,"Unknown lot for this SKU",IF(AND($C306="Adjustment",$G306=""),"Missing: reason",IF(AND($G306&lt;&gt;"",COUNTIF(Config!$B$15:$B$34,$G306)=0),"Unsupported reason",IF(OR(INT($E306)&lt;&gt;$E306,AND(OR($C306="Receipt",$C306="Shipment"),$E306&lt;=0),AND($C306="Adjustment",$E306=0)),"Invalid qty",IF($B306&gt;Config!$B$4,"Date after the as-of date",IF($B306&lt;Config!$B$5,"Date before the opening balance date","OK")))))))))))))))))</f>
        <v/>
      </c>
    </row>
    <row r="307">
      <c r="A307" s="46" t="n"/>
      <c r="B307" s="54" t="n"/>
      <c r="C307" s="46" t="n"/>
      <c r="D307" s="46" t="n"/>
      <c r="E307" s="55" t="n"/>
      <c r="F307" s="46" t="n"/>
      <c r="G307" s="46" t="n"/>
      <c r="H307" s="46" t="n"/>
      <c r="I307" s="46" t="n"/>
      <c r="J307" s="46" t="n"/>
      <c r="K307" s="46" t="n"/>
      <c r="L307" s="46" t="n"/>
      <c r="M307" s="51" t="str">
        <f>IF(NOT(ISNUMBER($E307)),"",IF($C307="Receipt",$E307,IF($C307="Shipment",-$E307,IF($C307="Adjustment",$E307,0))))</f>
        <v/>
      </c>
      <c r="N307" s="49" t="str">
        <f>IF($D307="","",IFERROR(INDEX(Products!$B$2:$B$101,MATCH($D307,Products!$A$2:$A$101,0))&amp;"","(not found)"))</f>
        <v/>
      </c>
      <c r="O307" s="49" t="str">
        <f>IF($F307="","",IFERROR(INDEX(Batches!$B$2:$B$301,MATCH($F307,Batches!$A$2:$A$301,0))&amp;"","(not found)"))</f>
        <v/>
      </c>
      <c r="P307" s="49" t="str">
        <f>IF(COUNTA($A307:$L307)=0,"",IF($A307="","Missing: entry ID",IF(COUNTIF($A$2:$A$2001,$A307)&gt;1,"Duplicate entry ID",IF(NOT(ISNUMBER($B307)),"Missing or invalid: date",IF($C307="","Missing: type",IF($D307="","Missing: SKU",IF(NOT(ISNUMBER($E307)),"Missing: qty",IF($F307="","Missing: lot",IF($I307="","Missing: source link",IF(COUNTIF(Config!$A$15:$A$34,$C307)=0,"Unsupported type",IF(COUNTIF(Products!$A$2:$A$101,$D307)=0,"Unknown SKU",IF(COUNTIFS(Batches!$A$2:$A$301,$F307,Batches!$B$2:$B$301,$D307)=0,"Unknown lot for this SKU",IF(AND($C307="Adjustment",$G307=""),"Missing: reason",IF(AND($G307&lt;&gt;"",COUNTIF(Config!$B$15:$B$34,$G307)=0),"Unsupported reason",IF(OR(INT($E307)&lt;&gt;$E307,AND(OR($C307="Receipt",$C307="Shipment"),$E307&lt;=0),AND($C307="Adjustment",$E307=0)),"Invalid qty",IF($B307&gt;Config!$B$4,"Date after the as-of date",IF($B307&lt;Config!$B$5,"Date before the opening balance date","OK")))))))))))))))))</f>
        <v/>
      </c>
    </row>
    <row r="308">
      <c r="A308" s="46" t="n"/>
      <c r="B308" s="54" t="n"/>
      <c r="C308" s="46" t="n"/>
      <c r="D308" s="46" t="n"/>
      <c r="E308" s="55" t="n"/>
      <c r="F308" s="46" t="n"/>
      <c r="G308" s="46" t="n"/>
      <c r="H308" s="46" t="n"/>
      <c r="I308" s="46" t="n"/>
      <c r="J308" s="46" t="n"/>
      <c r="K308" s="46" t="n"/>
      <c r="L308" s="46" t="n"/>
      <c r="M308" s="51" t="str">
        <f>IF(NOT(ISNUMBER($E308)),"",IF($C308="Receipt",$E308,IF($C308="Shipment",-$E308,IF($C308="Adjustment",$E308,0))))</f>
        <v/>
      </c>
      <c r="N308" s="49" t="str">
        <f>IF($D308="","",IFERROR(INDEX(Products!$B$2:$B$101,MATCH($D308,Products!$A$2:$A$101,0))&amp;"","(not found)"))</f>
        <v/>
      </c>
      <c r="O308" s="49" t="str">
        <f>IF($F308="","",IFERROR(INDEX(Batches!$B$2:$B$301,MATCH($F308,Batches!$A$2:$A$301,0))&amp;"","(not found)"))</f>
        <v/>
      </c>
      <c r="P308" s="49" t="str">
        <f>IF(COUNTA($A308:$L308)=0,"",IF($A308="","Missing: entry ID",IF(COUNTIF($A$2:$A$2001,$A308)&gt;1,"Duplicate entry ID",IF(NOT(ISNUMBER($B308)),"Missing or invalid: date",IF($C308="","Missing: type",IF($D308="","Missing: SKU",IF(NOT(ISNUMBER($E308)),"Missing: qty",IF($F308="","Missing: lot",IF($I308="","Missing: source link",IF(COUNTIF(Config!$A$15:$A$34,$C308)=0,"Unsupported type",IF(COUNTIF(Products!$A$2:$A$101,$D308)=0,"Unknown SKU",IF(COUNTIFS(Batches!$A$2:$A$301,$F308,Batches!$B$2:$B$301,$D308)=0,"Unknown lot for this SKU",IF(AND($C308="Adjustment",$G308=""),"Missing: reason",IF(AND($G308&lt;&gt;"",COUNTIF(Config!$B$15:$B$34,$G308)=0),"Unsupported reason",IF(OR(INT($E308)&lt;&gt;$E308,AND(OR($C308="Receipt",$C308="Shipment"),$E308&lt;=0),AND($C308="Adjustment",$E308=0)),"Invalid qty",IF($B308&gt;Config!$B$4,"Date after the as-of date",IF($B308&lt;Config!$B$5,"Date before the opening balance date","OK")))))))))))))))))</f>
        <v/>
      </c>
    </row>
    <row r="309">
      <c r="A309" s="46" t="n"/>
      <c r="B309" s="54" t="n"/>
      <c r="C309" s="46" t="n"/>
      <c r="D309" s="46" t="n"/>
      <c r="E309" s="55" t="n"/>
      <c r="F309" s="46" t="n"/>
      <c r="G309" s="46" t="n"/>
      <c r="H309" s="46" t="n"/>
      <c r="I309" s="46" t="n"/>
      <c r="J309" s="46" t="n"/>
      <c r="K309" s="46" t="n"/>
      <c r="L309" s="46" t="n"/>
      <c r="M309" s="51" t="str">
        <f>IF(NOT(ISNUMBER($E309)),"",IF($C309="Receipt",$E309,IF($C309="Shipment",-$E309,IF($C309="Adjustment",$E309,0))))</f>
        <v/>
      </c>
      <c r="N309" s="49" t="str">
        <f>IF($D309="","",IFERROR(INDEX(Products!$B$2:$B$101,MATCH($D309,Products!$A$2:$A$101,0))&amp;"","(not found)"))</f>
        <v/>
      </c>
      <c r="O309" s="49" t="str">
        <f>IF($F309="","",IFERROR(INDEX(Batches!$B$2:$B$301,MATCH($F309,Batches!$A$2:$A$301,0))&amp;"","(not found)"))</f>
        <v/>
      </c>
      <c r="P309" s="49" t="str">
        <f>IF(COUNTA($A309:$L309)=0,"",IF($A309="","Missing: entry ID",IF(COUNTIF($A$2:$A$2001,$A309)&gt;1,"Duplicate entry ID",IF(NOT(ISNUMBER($B309)),"Missing or invalid: date",IF($C309="","Missing: type",IF($D309="","Missing: SKU",IF(NOT(ISNUMBER($E309)),"Missing: qty",IF($F309="","Missing: lot",IF($I309="","Missing: source link",IF(COUNTIF(Config!$A$15:$A$34,$C309)=0,"Unsupported type",IF(COUNTIF(Products!$A$2:$A$101,$D309)=0,"Unknown SKU",IF(COUNTIFS(Batches!$A$2:$A$301,$F309,Batches!$B$2:$B$301,$D309)=0,"Unknown lot for this SKU",IF(AND($C309="Adjustment",$G309=""),"Missing: reason",IF(AND($G309&lt;&gt;"",COUNTIF(Config!$B$15:$B$34,$G309)=0),"Unsupported reason",IF(OR(INT($E309)&lt;&gt;$E309,AND(OR($C309="Receipt",$C309="Shipment"),$E309&lt;=0),AND($C309="Adjustment",$E309=0)),"Invalid qty",IF($B309&gt;Config!$B$4,"Date after the as-of date",IF($B309&lt;Config!$B$5,"Date before the opening balance date","OK")))))))))))))))))</f>
        <v/>
      </c>
    </row>
    <row r="310">
      <c r="A310" s="46" t="n"/>
      <c r="B310" s="54" t="n"/>
      <c r="C310" s="46" t="n"/>
      <c r="D310" s="46" t="n"/>
      <c r="E310" s="55" t="n"/>
      <c r="F310" s="46" t="n"/>
      <c r="G310" s="46" t="n"/>
      <c r="H310" s="46" t="n"/>
      <c r="I310" s="46" t="n"/>
      <c r="J310" s="46" t="n"/>
      <c r="K310" s="46" t="n"/>
      <c r="L310" s="46" t="n"/>
      <c r="M310" s="51" t="str">
        <f>IF(NOT(ISNUMBER($E310)),"",IF($C310="Receipt",$E310,IF($C310="Shipment",-$E310,IF($C310="Adjustment",$E310,0))))</f>
        <v/>
      </c>
      <c r="N310" s="49" t="str">
        <f>IF($D310="","",IFERROR(INDEX(Products!$B$2:$B$101,MATCH($D310,Products!$A$2:$A$101,0))&amp;"","(not found)"))</f>
        <v/>
      </c>
      <c r="O310" s="49" t="str">
        <f>IF($F310="","",IFERROR(INDEX(Batches!$B$2:$B$301,MATCH($F310,Batches!$A$2:$A$301,0))&amp;"","(not found)"))</f>
        <v/>
      </c>
      <c r="P310" s="49" t="str">
        <f>IF(COUNTA($A310:$L310)=0,"",IF($A310="","Missing: entry ID",IF(COUNTIF($A$2:$A$2001,$A310)&gt;1,"Duplicate entry ID",IF(NOT(ISNUMBER($B310)),"Missing or invalid: date",IF($C310="","Missing: type",IF($D310="","Missing: SKU",IF(NOT(ISNUMBER($E310)),"Missing: qty",IF($F310="","Missing: lot",IF($I310="","Missing: source link",IF(COUNTIF(Config!$A$15:$A$34,$C310)=0,"Unsupported type",IF(COUNTIF(Products!$A$2:$A$101,$D310)=0,"Unknown SKU",IF(COUNTIFS(Batches!$A$2:$A$301,$F310,Batches!$B$2:$B$301,$D310)=0,"Unknown lot for this SKU",IF(AND($C310="Adjustment",$G310=""),"Missing: reason",IF(AND($G310&lt;&gt;"",COUNTIF(Config!$B$15:$B$34,$G310)=0),"Unsupported reason",IF(OR(INT($E310)&lt;&gt;$E310,AND(OR($C310="Receipt",$C310="Shipment"),$E310&lt;=0),AND($C310="Adjustment",$E310=0)),"Invalid qty",IF($B310&gt;Config!$B$4,"Date after the as-of date",IF($B310&lt;Config!$B$5,"Date before the opening balance date","OK")))))))))))))))))</f>
        <v/>
      </c>
    </row>
    <row r="311">
      <c r="A311" s="46" t="n"/>
      <c r="B311" s="54" t="n"/>
      <c r="C311" s="46" t="n"/>
      <c r="D311" s="46" t="n"/>
      <c r="E311" s="55" t="n"/>
      <c r="F311" s="46" t="n"/>
      <c r="G311" s="46" t="n"/>
      <c r="H311" s="46" t="n"/>
      <c r="I311" s="46" t="n"/>
      <c r="J311" s="46" t="n"/>
      <c r="K311" s="46" t="n"/>
      <c r="L311" s="46" t="n"/>
      <c r="M311" s="51" t="str">
        <f>IF(NOT(ISNUMBER($E311)),"",IF($C311="Receipt",$E311,IF($C311="Shipment",-$E311,IF($C311="Adjustment",$E311,0))))</f>
        <v/>
      </c>
      <c r="N311" s="49" t="str">
        <f>IF($D311="","",IFERROR(INDEX(Products!$B$2:$B$101,MATCH($D311,Products!$A$2:$A$101,0))&amp;"","(not found)"))</f>
        <v/>
      </c>
      <c r="O311" s="49" t="str">
        <f>IF($F311="","",IFERROR(INDEX(Batches!$B$2:$B$301,MATCH($F311,Batches!$A$2:$A$301,0))&amp;"","(not found)"))</f>
        <v/>
      </c>
      <c r="P311" s="49" t="str">
        <f>IF(COUNTA($A311:$L311)=0,"",IF($A311="","Missing: entry ID",IF(COUNTIF($A$2:$A$2001,$A311)&gt;1,"Duplicate entry ID",IF(NOT(ISNUMBER($B311)),"Missing or invalid: date",IF($C311="","Missing: type",IF($D311="","Missing: SKU",IF(NOT(ISNUMBER($E311)),"Missing: qty",IF($F311="","Missing: lot",IF($I311="","Missing: source link",IF(COUNTIF(Config!$A$15:$A$34,$C311)=0,"Unsupported type",IF(COUNTIF(Products!$A$2:$A$101,$D311)=0,"Unknown SKU",IF(COUNTIFS(Batches!$A$2:$A$301,$F311,Batches!$B$2:$B$301,$D311)=0,"Unknown lot for this SKU",IF(AND($C311="Adjustment",$G311=""),"Missing: reason",IF(AND($G311&lt;&gt;"",COUNTIF(Config!$B$15:$B$34,$G311)=0),"Unsupported reason",IF(OR(INT($E311)&lt;&gt;$E311,AND(OR($C311="Receipt",$C311="Shipment"),$E311&lt;=0),AND($C311="Adjustment",$E311=0)),"Invalid qty",IF($B311&gt;Config!$B$4,"Date after the as-of date",IF($B311&lt;Config!$B$5,"Date before the opening balance date","OK")))))))))))))))))</f>
        <v/>
      </c>
    </row>
    <row r="312">
      <c r="A312" s="46" t="n"/>
      <c r="B312" s="54" t="n"/>
      <c r="C312" s="46" t="n"/>
      <c r="D312" s="46" t="n"/>
      <c r="E312" s="55" t="n"/>
      <c r="F312" s="46" t="n"/>
      <c r="G312" s="46" t="n"/>
      <c r="H312" s="46" t="n"/>
      <c r="I312" s="46" t="n"/>
      <c r="J312" s="46" t="n"/>
      <c r="K312" s="46" t="n"/>
      <c r="L312" s="46" t="n"/>
      <c r="M312" s="51" t="str">
        <f>IF(NOT(ISNUMBER($E312)),"",IF($C312="Receipt",$E312,IF($C312="Shipment",-$E312,IF($C312="Adjustment",$E312,0))))</f>
        <v/>
      </c>
      <c r="N312" s="49" t="str">
        <f>IF($D312="","",IFERROR(INDEX(Products!$B$2:$B$101,MATCH($D312,Products!$A$2:$A$101,0))&amp;"","(not found)"))</f>
        <v/>
      </c>
      <c r="O312" s="49" t="str">
        <f>IF($F312="","",IFERROR(INDEX(Batches!$B$2:$B$301,MATCH($F312,Batches!$A$2:$A$301,0))&amp;"","(not found)"))</f>
        <v/>
      </c>
      <c r="P312" s="49" t="str">
        <f>IF(COUNTA($A312:$L312)=0,"",IF($A312="","Missing: entry ID",IF(COUNTIF($A$2:$A$2001,$A312)&gt;1,"Duplicate entry ID",IF(NOT(ISNUMBER($B312)),"Missing or invalid: date",IF($C312="","Missing: type",IF($D312="","Missing: SKU",IF(NOT(ISNUMBER($E312)),"Missing: qty",IF($F312="","Missing: lot",IF($I312="","Missing: source link",IF(COUNTIF(Config!$A$15:$A$34,$C312)=0,"Unsupported type",IF(COUNTIF(Products!$A$2:$A$101,$D312)=0,"Unknown SKU",IF(COUNTIFS(Batches!$A$2:$A$301,$F312,Batches!$B$2:$B$301,$D312)=0,"Unknown lot for this SKU",IF(AND($C312="Adjustment",$G312=""),"Missing: reason",IF(AND($G312&lt;&gt;"",COUNTIF(Config!$B$15:$B$34,$G312)=0),"Unsupported reason",IF(OR(INT($E312)&lt;&gt;$E312,AND(OR($C312="Receipt",$C312="Shipment"),$E312&lt;=0),AND($C312="Adjustment",$E312=0)),"Invalid qty",IF($B312&gt;Config!$B$4,"Date after the as-of date",IF($B312&lt;Config!$B$5,"Date before the opening balance date","OK")))))))))))))))))</f>
        <v/>
      </c>
    </row>
    <row r="313">
      <c r="A313" s="46" t="n"/>
      <c r="B313" s="54" t="n"/>
      <c r="C313" s="46" t="n"/>
      <c r="D313" s="46" t="n"/>
      <c r="E313" s="55" t="n"/>
      <c r="F313" s="46" t="n"/>
      <c r="G313" s="46" t="n"/>
      <c r="H313" s="46" t="n"/>
      <c r="I313" s="46" t="n"/>
      <c r="J313" s="46" t="n"/>
      <c r="K313" s="46" t="n"/>
      <c r="L313" s="46" t="n"/>
      <c r="M313" s="51" t="str">
        <f>IF(NOT(ISNUMBER($E313)),"",IF($C313="Receipt",$E313,IF($C313="Shipment",-$E313,IF($C313="Adjustment",$E313,0))))</f>
        <v/>
      </c>
      <c r="N313" s="49" t="str">
        <f>IF($D313="","",IFERROR(INDEX(Products!$B$2:$B$101,MATCH($D313,Products!$A$2:$A$101,0))&amp;"","(not found)"))</f>
        <v/>
      </c>
      <c r="O313" s="49" t="str">
        <f>IF($F313="","",IFERROR(INDEX(Batches!$B$2:$B$301,MATCH($F313,Batches!$A$2:$A$301,0))&amp;"","(not found)"))</f>
        <v/>
      </c>
      <c r="P313" s="49" t="str">
        <f>IF(COUNTA($A313:$L313)=0,"",IF($A313="","Missing: entry ID",IF(COUNTIF($A$2:$A$2001,$A313)&gt;1,"Duplicate entry ID",IF(NOT(ISNUMBER($B313)),"Missing or invalid: date",IF($C313="","Missing: type",IF($D313="","Missing: SKU",IF(NOT(ISNUMBER($E313)),"Missing: qty",IF($F313="","Missing: lot",IF($I313="","Missing: source link",IF(COUNTIF(Config!$A$15:$A$34,$C313)=0,"Unsupported type",IF(COUNTIF(Products!$A$2:$A$101,$D313)=0,"Unknown SKU",IF(COUNTIFS(Batches!$A$2:$A$301,$F313,Batches!$B$2:$B$301,$D313)=0,"Unknown lot for this SKU",IF(AND($C313="Adjustment",$G313=""),"Missing: reason",IF(AND($G313&lt;&gt;"",COUNTIF(Config!$B$15:$B$34,$G313)=0),"Unsupported reason",IF(OR(INT($E313)&lt;&gt;$E313,AND(OR($C313="Receipt",$C313="Shipment"),$E313&lt;=0),AND($C313="Adjustment",$E313=0)),"Invalid qty",IF($B313&gt;Config!$B$4,"Date after the as-of date",IF($B313&lt;Config!$B$5,"Date before the opening balance date","OK")))))))))))))))))</f>
        <v/>
      </c>
    </row>
    <row r="314">
      <c r="A314" s="46" t="n"/>
      <c r="B314" s="54" t="n"/>
      <c r="C314" s="46" t="n"/>
      <c r="D314" s="46" t="n"/>
      <c r="E314" s="55" t="n"/>
      <c r="F314" s="46" t="n"/>
      <c r="G314" s="46" t="n"/>
      <c r="H314" s="46" t="n"/>
      <c r="I314" s="46" t="n"/>
      <c r="J314" s="46" t="n"/>
      <c r="K314" s="46" t="n"/>
      <c r="L314" s="46" t="n"/>
      <c r="M314" s="51" t="str">
        <f>IF(NOT(ISNUMBER($E314)),"",IF($C314="Receipt",$E314,IF($C314="Shipment",-$E314,IF($C314="Adjustment",$E314,0))))</f>
        <v/>
      </c>
      <c r="N314" s="49" t="str">
        <f>IF($D314="","",IFERROR(INDEX(Products!$B$2:$B$101,MATCH($D314,Products!$A$2:$A$101,0))&amp;"","(not found)"))</f>
        <v/>
      </c>
      <c r="O314" s="49" t="str">
        <f>IF($F314="","",IFERROR(INDEX(Batches!$B$2:$B$301,MATCH($F314,Batches!$A$2:$A$301,0))&amp;"","(not found)"))</f>
        <v/>
      </c>
      <c r="P314" s="49" t="str">
        <f>IF(COUNTA($A314:$L314)=0,"",IF($A314="","Missing: entry ID",IF(COUNTIF($A$2:$A$2001,$A314)&gt;1,"Duplicate entry ID",IF(NOT(ISNUMBER($B314)),"Missing or invalid: date",IF($C314="","Missing: type",IF($D314="","Missing: SKU",IF(NOT(ISNUMBER($E314)),"Missing: qty",IF($F314="","Missing: lot",IF($I314="","Missing: source link",IF(COUNTIF(Config!$A$15:$A$34,$C314)=0,"Unsupported type",IF(COUNTIF(Products!$A$2:$A$101,$D314)=0,"Unknown SKU",IF(COUNTIFS(Batches!$A$2:$A$301,$F314,Batches!$B$2:$B$301,$D314)=0,"Unknown lot for this SKU",IF(AND($C314="Adjustment",$G314=""),"Missing: reason",IF(AND($G314&lt;&gt;"",COUNTIF(Config!$B$15:$B$34,$G314)=0),"Unsupported reason",IF(OR(INT($E314)&lt;&gt;$E314,AND(OR($C314="Receipt",$C314="Shipment"),$E314&lt;=0),AND($C314="Adjustment",$E314=0)),"Invalid qty",IF($B314&gt;Config!$B$4,"Date after the as-of date",IF($B314&lt;Config!$B$5,"Date before the opening balance date","OK")))))))))))))))))</f>
        <v/>
      </c>
    </row>
    <row r="315">
      <c r="A315" s="46" t="n"/>
      <c r="B315" s="54" t="n"/>
      <c r="C315" s="46" t="n"/>
      <c r="D315" s="46" t="n"/>
      <c r="E315" s="55" t="n"/>
      <c r="F315" s="46" t="n"/>
      <c r="G315" s="46" t="n"/>
      <c r="H315" s="46" t="n"/>
      <c r="I315" s="46" t="n"/>
      <c r="J315" s="46" t="n"/>
      <c r="K315" s="46" t="n"/>
      <c r="L315" s="46" t="n"/>
      <c r="M315" s="51" t="str">
        <f>IF(NOT(ISNUMBER($E315)),"",IF($C315="Receipt",$E315,IF($C315="Shipment",-$E315,IF($C315="Adjustment",$E315,0))))</f>
        <v/>
      </c>
      <c r="N315" s="49" t="str">
        <f>IF($D315="","",IFERROR(INDEX(Products!$B$2:$B$101,MATCH($D315,Products!$A$2:$A$101,0))&amp;"","(not found)"))</f>
        <v/>
      </c>
      <c r="O315" s="49" t="str">
        <f>IF($F315="","",IFERROR(INDEX(Batches!$B$2:$B$301,MATCH($F315,Batches!$A$2:$A$301,0))&amp;"","(not found)"))</f>
        <v/>
      </c>
      <c r="P315" s="49" t="str">
        <f>IF(COUNTA($A315:$L315)=0,"",IF($A315="","Missing: entry ID",IF(COUNTIF($A$2:$A$2001,$A315)&gt;1,"Duplicate entry ID",IF(NOT(ISNUMBER($B315)),"Missing or invalid: date",IF($C315="","Missing: type",IF($D315="","Missing: SKU",IF(NOT(ISNUMBER($E315)),"Missing: qty",IF($F315="","Missing: lot",IF($I315="","Missing: source link",IF(COUNTIF(Config!$A$15:$A$34,$C315)=0,"Unsupported type",IF(COUNTIF(Products!$A$2:$A$101,$D315)=0,"Unknown SKU",IF(COUNTIFS(Batches!$A$2:$A$301,$F315,Batches!$B$2:$B$301,$D315)=0,"Unknown lot for this SKU",IF(AND($C315="Adjustment",$G315=""),"Missing: reason",IF(AND($G315&lt;&gt;"",COUNTIF(Config!$B$15:$B$34,$G315)=0),"Unsupported reason",IF(OR(INT($E315)&lt;&gt;$E315,AND(OR($C315="Receipt",$C315="Shipment"),$E315&lt;=0),AND($C315="Adjustment",$E315=0)),"Invalid qty",IF($B315&gt;Config!$B$4,"Date after the as-of date",IF($B315&lt;Config!$B$5,"Date before the opening balance date","OK")))))))))))))))))</f>
        <v/>
      </c>
    </row>
    <row r="316">
      <c r="A316" s="46" t="n"/>
      <c r="B316" s="54" t="n"/>
      <c r="C316" s="46" t="n"/>
      <c r="D316" s="46" t="n"/>
      <c r="E316" s="55" t="n"/>
      <c r="F316" s="46" t="n"/>
      <c r="G316" s="46" t="n"/>
      <c r="H316" s="46" t="n"/>
      <c r="I316" s="46" t="n"/>
      <c r="J316" s="46" t="n"/>
      <c r="K316" s="46" t="n"/>
      <c r="L316" s="46" t="n"/>
      <c r="M316" s="51" t="str">
        <f>IF(NOT(ISNUMBER($E316)),"",IF($C316="Receipt",$E316,IF($C316="Shipment",-$E316,IF($C316="Adjustment",$E316,0))))</f>
        <v/>
      </c>
      <c r="N316" s="49" t="str">
        <f>IF($D316="","",IFERROR(INDEX(Products!$B$2:$B$101,MATCH($D316,Products!$A$2:$A$101,0))&amp;"","(not found)"))</f>
        <v/>
      </c>
      <c r="O316" s="49" t="str">
        <f>IF($F316="","",IFERROR(INDEX(Batches!$B$2:$B$301,MATCH($F316,Batches!$A$2:$A$301,0))&amp;"","(not found)"))</f>
        <v/>
      </c>
      <c r="P316" s="49" t="str">
        <f>IF(COUNTA($A316:$L316)=0,"",IF($A316="","Missing: entry ID",IF(COUNTIF($A$2:$A$2001,$A316)&gt;1,"Duplicate entry ID",IF(NOT(ISNUMBER($B316)),"Missing or invalid: date",IF($C316="","Missing: type",IF($D316="","Missing: SKU",IF(NOT(ISNUMBER($E316)),"Missing: qty",IF($F316="","Missing: lot",IF($I316="","Missing: source link",IF(COUNTIF(Config!$A$15:$A$34,$C316)=0,"Unsupported type",IF(COUNTIF(Products!$A$2:$A$101,$D316)=0,"Unknown SKU",IF(COUNTIFS(Batches!$A$2:$A$301,$F316,Batches!$B$2:$B$301,$D316)=0,"Unknown lot for this SKU",IF(AND($C316="Adjustment",$G316=""),"Missing: reason",IF(AND($G316&lt;&gt;"",COUNTIF(Config!$B$15:$B$34,$G316)=0),"Unsupported reason",IF(OR(INT($E316)&lt;&gt;$E316,AND(OR($C316="Receipt",$C316="Shipment"),$E316&lt;=0),AND($C316="Adjustment",$E316=0)),"Invalid qty",IF($B316&gt;Config!$B$4,"Date after the as-of date",IF($B316&lt;Config!$B$5,"Date before the opening balance date","OK")))))))))))))))))</f>
        <v/>
      </c>
    </row>
    <row r="317">
      <c r="A317" s="46" t="n"/>
      <c r="B317" s="54" t="n"/>
      <c r="C317" s="46" t="n"/>
      <c r="D317" s="46" t="n"/>
      <c r="E317" s="55" t="n"/>
      <c r="F317" s="46" t="n"/>
      <c r="G317" s="46" t="n"/>
      <c r="H317" s="46" t="n"/>
      <c r="I317" s="46" t="n"/>
      <c r="J317" s="46" t="n"/>
      <c r="K317" s="46" t="n"/>
      <c r="L317" s="46" t="n"/>
      <c r="M317" s="51" t="str">
        <f>IF(NOT(ISNUMBER($E317)),"",IF($C317="Receipt",$E317,IF($C317="Shipment",-$E317,IF($C317="Adjustment",$E317,0))))</f>
        <v/>
      </c>
      <c r="N317" s="49" t="str">
        <f>IF($D317="","",IFERROR(INDEX(Products!$B$2:$B$101,MATCH($D317,Products!$A$2:$A$101,0))&amp;"","(not found)"))</f>
        <v/>
      </c>
      <c r="O317" s="49" t="str">
        <f>IF($F317="","",IFERROR(INDEX(Batches!$B$2:$B$301,MATCH($F317,Batches!$A$2:$A$301,0))&amp;"","(not found)"))</f>
        <v/>
      </c>
      <c r="P317" s="49" t="str">
        <f>IF(COUNTA($A317:$L317)=0,"",IF($A317="","Missing: entry ID",IF(COUNTIF($A$2:$A$2001,$A317)&gt;1,"Duplicate entry ID",IF(NOT(ISNUMBER($B317)),"Missing or invalid: date",IF($C317="","Missing: type",IF($D317="","Missing: SKU",IF(NOT(ISNUMBER($E317)),"Missing: qty",IF($F317="","Missing: lot",IF($I317="","Missing: source link",IF(COUNTIF(Config!$A$15:$A$34,$C317)=0,"Unsupported type",IF(COUNTIF(Products!$A$2:$A$101,$D317)=0,"Unknown SKU",IF(COUNTIFS(Batches!$A$2:$A$301,$F317,Batches!$B$2:$B$301,$D317)=0,"Unknown lot for this SKU",IF(AND($C317="Adjustment",$G317=""),"Missing: reason",IF(AND($G317&lt;&gt;"",COUNTIF(Config!$B$15:$B$34,$G317)=0),"Unsupported reason",IF(OR(INT($E317)&lt;&gt;$E317,AND(OR($C317="Receipt",$C317="Shipment"),$E317&lt;=0),AND($C317="Adjustment",$E317=0)),"Invalid qty",IF($B317&gt;Config!$B$4,"Date after the as-of date",IF($B317&lt;Config!$B$5,"Date before the opening balance date","OK")))))))))))))))))</f>
        <v/>
      </c>
    </row>
    <row r="318">
      <c r="A318" s="46" t="n"/>
      <c r="B318" s="54" t="n"/>
      <c r="C318" s="46" t="n"/>
      <c r="D318" s="46" t="n"/>
      <c r="E318" s="55" t="n"/>
      <c r="F318" s="46" t="n"/>
      <c r="G318" s="46" t="n"/>
      <c r="H318" s="46" t="n"/>
      <c r="I318" s="46" t="n"/>
      <c r="J318" s="46" t="n"/>
      <c r="K318" s="46" t="n"/>
      <c r="L318" s="46" t="n"/>
      <c r="M318" s="51" t="str">
        <f>IF(NOT(ISNUMBER($E318)),"",IF($C318="Receipt",$E318,IF($C318="Shipment",-$E318,IF($C318="Adjustment",$E318,0))))</f>
        <v/>
      </c>
      <c r="N318" s="49" t="str">
        <f>IF($D318="","",IFERROR(INDEX(Products!$B$2:$B$101,MATCH($D318,Products!$A$2:$A$101,0))&amp;"","(not found)"))</f>
        <v/>
      </c>
      <c r="O318" s="49" t="str">
        <f>IF($F318="","",IFERROR(INDEX(Batches!$B$2:$B$301,MATCH($F318,Batches!$A$2:$A$301,0))&amp;"","(not found)"))</f>
        <v/>
      </c>
      <c r="P318" s="49" t="str">
        <f>IF(COUNTA($A318:$L318)=0,"",IF($A318="","Missing: entry ID",IF(COUNTIF($A$2:$A$2001,$A318)&gt;1,"Duplicate entry ID",IF(NOT(ISNUMBER($B318)),"Missing or invalid: date",IF($C318="","Missing: type",IF($D318="","Missing: SKU",IF(NOT(ISNUMBER($E318)),"Missing: qty",IF($F318="","Missing: lot",IF($I318="","Missing: source link",IF(COUNTIF(Config!$A$15:$A$34,$C318)=0,"Unsupported type",IF(COUNTIF(Products!$A$2:$A$101,$D318)=0,"Unknown SKU",IF(COUNTIFS(Batches!$A$2:$A$301,$F318,Batches!$B$2:$B$301,$D318)=0,"Unknown lot for this SKU",IF(AND($C318="Adjustment",$G318=""),"Missing: reason",IF(AND($G318&lt;&gt;"",COUNTIF(Config!$B$15:$B$34,$G318)=0),"Unsupported reason",IF(OR(INT($E318)&lt;&gt;$E318,AND(OR($C318="Receipt",$C318="Shipment"),$E318&lt;=0),AND($C318="Adjustment",$E318=0)),"Invalid qty",IF($B318&gt;Config!$B$4,"Date after the as-of date",IF($B318&lt;Config!$B$5,"Date before the opening balance date","OK")))))))))))))))))</f>
        <v/>
      </c>
    </row>
    <row r="319">
      <c r="A319" s="46" t="n"/>
      <c r="B319" s="54" t="n"/>
      <c r="C319" s="46" t="n"/>
      <c r="D319" s="46" t="n"/>
      <c r="E319" s="55" t="n"/>
      <c r="F319" s="46" t="n"/>
      <c r="G319" s="46" t="n"/>
      <c r="H319" s="46" t="n"/>
      <c r="I319" s="46" t="n"/>
      <c r="J319" s="46" t="n"/>
      <c r="K319" s="46" t="n"/>
      <c r="L319" s="46" t="n"/>
      <c r="M319" s="51" t="str">
        <f>IF(NOT(ISNUMBER($E319)),"",IF($C319="Receipt",$E319,IF($C319="Shipment",-$E319,IF($C319="Adjustment",$E319,0))))</f>
        <v/>
      </c>
      <c r="N319" s="49" t="str">
        <f>IF($D319="","",IFERROR(INDEX(Products!$B$2:$B$101,MATCH($D319,Products!$A$2:$A$101,0))&amp;"","(not found)"))</f>
        <v/>
      </c>
      <c r="O319" s="49" t="str">
        <f>IF($F319="","",IFERROR(INDEX(Batches!$B$2:$B$301,MATCH($F319,Batches!$A$2:$A$301,0))&amp;"","(not found)"))</f>
        <v/>
      </c>
      <c r="P319" s="49" t="str">
        <f>IF(COUNTA($A319:$L319)=0,"",IF($A319="","Missing: entry ID",IF(COUNTIF($A$2:$A$2001,$A319)&gt;1,"Duplicate entry ID",IF(NOT(ISNUMBER($B319)),"Missing or invalid: date",IF($C319="","Missing: type",IF($D319="","Missing: SKU",IF(NOT(ISNUMBER($E319)),"Missing: qty",IF($F319="","Missing: lot",IF($I319="","Missing: source link",IF(COUNTIF(Config!$A$15:$A$34,$C319)=0,"Unsupported type",IF(COUNTIF(Products!$A$2:$A$101,$D319)=0,"Unknown SKU",IF(COUNTIFS(Batches!$A$2:$A$301,$F319,Batches!$B$2:$B$301,$D319)=0,"Unknown lot for this SKU",IF(AND($C319="Adjustment",$G319=""),"Missing: reason",IF(AND($G319&lt;&gt;"",COUNTIF(Config!$B$15:$B$34,$G319)=0),"Unsupported reason",IF(OR(INT($E319)&lt;&gt;$E319,AND(OR($C319="Receipt",$C319="Shipment"),$E319&lt;=0),AND($C319="Adjustment",$E319=0)),"Invalid qty",IF($B319&gt;Config!$B$4,"Date after the as-of date",IF($B319&lt;Config!$B$5,"Date before the opening balance date","OK")))))))))))))))))</f>
        <v/>
      </c>
    </row>
    <row r="320">
      <c r="A320" s="46" t="n"/>
      <c r="B320" s="54" t="n"/>
      <c r="C320" s="46" t="n"/>
      <c r="D320" s="46" t="n"/>
      <c r="E320" s="55" t="n"/>
      <c r="F320" s="46" t="n"/>
      <c r="G320" s="46" t="n"/>
      <c r="H320" s="46" t="n"/>
      <c r="I320" s="46" t="n"/>
      <c r="J320" s="46" t="n"/>
      <c r="K320" s="46" t="n"/>
      <c r="L320" s="46" t="n"/>
      <c r="M320" s="51" t="str">
        <f>IF(NOT(ISNUMBER($E320)),"",IF($C320="Receipt",$E320,IF($C320="Shipment",-$E320,IF($C320="Adjustment",$E320,0))))</f>
        <v/>
      </c>
      <c r="N320" s="49" t="str">
        <f>IF($D320="","",IFERROR(INDEX(Products!$B$2:$B$101,MATCH($D320,Products!$A$2:$A$101,0))&amp;"","(not found)"))</f>
        <v/>
      </c>
      <c r="O320" s="49" t="str">
        <f>IF($F320="","",IFERROR(INDEX(Batches!$B$2:$B$301,MATCH($F320,Batches!$A$2:$A$301,0))&amp;"","(not found)"))</f>
        <v/>
      </c>
      <c r="P320" s="49" t="str">
        <f>IF(COUNTA($A320:$L320)=0,"",IF($A320="","Missing: entry ID",IF(COUNTIF($A$2:$A$2001,$A320)&gt;1,"Duplicate entry ID",IF(NOT(ISNUMBER($B320)),"Missing or invalid: date",IF($C320="","Missing: type",IF($D320="","Missing: SKU",IF(NOT(ISNUMBER($E320)),"Missing: qty",IF($F320="","Missing: lot",IF($I320="","Missing: source link",IF(COUNTIF(Config!$A$15:$A$34,$C320)=0,"Unsupported type",IF(COUNTIF(Products!$A$2:$A$101,$D320)=0,"Unknown SKU",IF(COUNTIFS(Batches!$A$2:$A$301,$F320,Batches!$B$2:$B$301,$D320)=0,"Unknown lot for this SKU",IF(AND($C320="Adjustment",$G320=""),"Missing: reason",IF(AND($G320&lt;&gt;"",COUNTIF(Config!$B$15:$B$34,$G320)=0),"Unsupported reason",IF(OR(INT($E320)&lt;&gt;$E320,AND(OR($C320="Receipt",$C320="Shipment"),$E320&lt;=0),AND($C320="Adjustment",$E320=0)),"Invalid qty",IF($B320&gt;Config!$B$4,"Date after the as-of date",IF($B320&lt;Config!$B$5,"Date before the opening balance date","OK")))))))))))))))))</f>
        <v/>
      </c>
    </row>
    <row r="321">
      <c r="A321" s="46" t="n"/>
      <c r="B321" s="54" t="n"/>
      <c r="C321" s="46" t="n"/>
      <c r="D321" s="46" t="n"/>
      <c r="E321" s="55" t="n"/>
      <c r="F321" s="46" t="n"/>
      <c r="G321" s="46" t="n"/>
      <c r="H321" s="46" t="n"/>
      <c r="I321" s="46" t="n"/>
      <c r="J321" s="46" t="n"/>
      <c r="K321" s="46" t="n"/>
      <c r="L321" s="46" t="n"/>
      <c r="M321" s="51" t="str">
        <f>IF(NOT(ISNUMBER($E321)),"",IF($C321="Receipt",$E321,IF($C321="Shipment",-$E321,IF($C321="Adjustment",$E321,0))))</f>
        <v/>
      </c>
      <c r="N321" s="49" t="str">
        <f>IF($D321="","",IFERROR(INDEX(Products!$B$2:$B$101,MATCH($D321,Products!$A$2:$A$101,0))&amp;"","(not found)"))</f>
        <v/>
      </c>
      <c r="O321" s="49" t="str">
        <f>IF($F321="","",IFERROR(INDEX(Batches!$B$2:$B$301,MATCH($F321,Batches!$A$2:$A$301,0))&amp;"","(not found)"))</f>
        <v/>
      </c>
      <c r="P321" s="49" t="str">
        <f>IF(COUNTA($A321:$L321)=0,"",IF($A321="","Missing: entry ID",IF(COUNTIF($A$2:$A$2001,$A321)&gt;1,"Duplicate entry ID",IF(NOT(ISNUMBER($B321)),"Missing or invalid: date",IF($C321="","Missing: type",IF($D321="","Missing: SKU",IF(NOT(ISNUMBER($E321)),"Missing: qty",IF($F321="","Missing: lot",IF($I321="","Missing: source link",IF(COUNTIF(Config!$A$15:$A$34,$C321)=0,"Unsupported type",IF(COUNTIF(Products!$A$2:$A$101,$D321)=0,"Unknown SKU",IF(COUNTIFS(Batches!$A$2:$A$301,$F321,Batches!$B$2:$B$301,$D321)=0,"Unknown lot for this SKU",IF(AND($C321="Adjustment",$G321=""),"Missing: reason",IF(AND($G321&lt;&gt;"",COUNTIF(Config!$B$15:$B$34,$G321)=0),"Unsupported reason",IF(OR(INT($E321)&lt;&gt;$E321,AND(OR($C321="Receipt",$C321="Shipment"),$E321&lt;=0),AND($C321="Adjustment",$E321=0)),"Invalid qty",IF($B321&gt;Config!$B$4,"Date after the as-of date",IF($B321&lt;Config!$B$5,"Date before the opening balance date","OK")))))))))))))))))</f>
        <v/>
      </c>
    </row>
    <row r="322">
      <c r="A322" s="46" t="n"/>
      <c r="B322" s="54" t="n"/>
      <c r="C322" s="46" t="n"/>
      <c r="D322" s="46" t="n"/>
      <c r="E322" s="55" t="n"/>
      <c r="F322" s="46" t="n"/>
      <c r="G322" s="46" t="n"/>
      <c r="H322" s="46" t="n"/>
      <c r="I322" s="46" t="n"/>
      <c r="J322" s="46" t="n"/>
      <c r="K322" s="46" t="n"/>
      <c r="L322" s="46" t="n"/>
      <c r="M322" s="51" t="str">
        <f>IF(NOT(ISNUMBER($E322)),"",IF($C322="Receipt",$E322,IF($C322="Shipment",-$E322,IF($C322="Adjustment",$E322,0))))</f>
        <v/>
      </c>
      <c r="N322" s="49" t="str">
        <f>IF($D322="","",IFERROR(INDEX(Products!$B$2:$B$101,MATCH($D322,Products!$A$2:$A$101,0))&amp;"","(not found)"))</f>
        <v/>
      </c>
      <c r="O322" s="49" t="str">
        <f>IF($F322="","",IFERROR(INDEX(Batches!$B$2:$B$301,MATCH($F322,Batches!$A$2:$A$301,0))&amp;"","(not found)"))</f>
        <v/>
      </c>
      <c r="P322" s="49" t="str">
        <f>IF(COUNTA($A322:$L322)=0,"",IF($A322="","Missing: entry ID",IF(COUNTIF($A$2:$A$2001,$A322)&gt;1,"Duplicate entry ID",IF(NOT(ISNUMBER($B322)),"Missing or invalid: date",IF($C322="","Missing: type",IF($D322="","Missing: SKU",IF(NOT(ISNUMBER($E322)),"Missing: qty",IF($F322="","Missing: lot",IF($I322="","Missing: source link",IF(COUNTIF(Config!$A$15:$A$34,$C322)=0,"Unsupported type",IF(COUNTIF(Products!$A$2:$A$101,$D322)=0,"Unknown SKU",IF(COUNTIFS(Batches!$A$2:$A$301,$F322,Batches!$B$2:$B$301,$D322)=0,"Unknown lot for this SKU",IF(AND($C322="Adjustment",$G322=""),"Missing: reason",IF(AND($G322&lt;&gt;"",COUNTIF(Config!$B$15:$B$34,$G322)=0),"Unsupported reason",IF(OR(INT($E322)&lt;&gt;$E322,AND(OR($C322="Receipt",$C322="Shipment"),$E322&lt;=0),AND($C322="Adjustment",$E322=0)),"Invalid qty",IF($B322&gt;Config!$B$4,"Date after the as-of date",IF($B322&lt;Config!$B$5,"Date before the opening balance date","OK")))))))))))))))))</f>
        <v/>
      </c>
    </row>
    <row r="323">
      <c r="A323" s="46" t="n"/>
      <c r="B323" s="54" t="n"/>
      <c r="C323" s="46" t="n"/>
      <c r="D323" s="46" t="n"/>
      <c r="E323" s="55" t="n"/>
      <c r="F323" s="46" t="n"/>
      <c r="G323" s="46" t="n"/>
      <c r="H323" s="46" t="n"/>
      <c r="I323" s="46" t="n"/>
      <c r="J323" s="46" t="n"/>
      <c r="K323" s="46" t="n"/>
      <c r="L323" s="46" t="n"/>
      <c r="M323" s="51" t="str">
        <f>IF(NOT(ISNUMBER($E323)),"",IF($C323="Receipt",$E323,IF($C323="Shipment",-$E323,IF($C323="Adjustment",$E323,0))))</f>
        <v/>
      </c>
      <c r="N323" s="49" t="str">
        <f>IF($D323="","",IFERROR(INDEX(Products!$B$2:$B$101,MATCH($D323,Products!$A$2:$A$101,0))&amp;"","(not found)"))</f>
        <v/>
      </c>
      <c r="O323" s="49" t="str">
        <f>IF($F323="","",IFERROR(INDEX(Batches!$B$2:$B$301,MATCH($F323,Batches!$A$2:$A$301,0))&amp;"","(not found)"))</f>
        <v/>
      </c>
      <c r="P323" s="49" t="str">
        <f>IF(COUNTA($A323:$L323)=0,"",IF($A323="","Missing: entry ID",IF(COUNTIF($A$2:$A$2001,$A323)&gt;1,"Duplicate entry ID",IF(NOT(ISNUMBER($B323)),"Missing or invalid: date",IF($C323="","Missing: type",IF($D323="","Missing: SKU",IF(NOT(ISNUMBER($E323)),"Missing: qty",IF($F323="","Missing: lot",IF($I323="","Missing: source link",IF(COUNTIF(Config!$A$15:$A$34,$C323)=0,"Unsupported type",IF(COUNTIF(Products!$A$2:$A$101,$D323)=0,"Unknown SKU",IF(COUNTIFS(Batches!$A$2:$A$301,$F323,Batches!$B$2:$B$301,$D323)=0,"Unknown lot for this SKU",IF(AND($C323="Adjustment",$G323=""),"Missing: reason",IF(AND($G323&lt;&gt;"",COUNTIF(Config!$B$15:$B$34,$G323)=0),"Unsupported reason",IF(OR(INT($E323)&lt;&gt;$E323,AND(OR($C323="Receipt",$C323="Shipment"),$E323&lt;=0),AND($C323="Adjustment",$E323=0)),"Invalid qty",IF($B323&gt;Config!$B$4,"Date after the as-of date",IF($B323&lt;Config!$B$5,"Date before the opening balance date","OK")))))))))))))))))</f>
        <v/>
      </c>
    </row>
    <row r="324">
      <c r="A324" s="46" t="n"/>
      <c r="B324" s="54" t="n"/>
      <c r="C324" s="46" t="n"/>
      <c r="D324" s="46" t="n"/>
      <c r="E324" s="55" t="n"/>
      <c r="F324" s="46" t="n"/>
      <c r="G324" s="46" t="n"/>
      <c r="H324" s="46" t="n"/>
      <c r="I324" s="46" t="n"/>
      <c r="J324" s="46" t="n"/>
      <c r="K324" s="46" t="n"/>
      <c r="L324" s="46" t="n"/>
      <c r="M324" s="51" t="str">
        <f>IF(NOT(ISNUMBER($E324)),"",IF($C324="Receipt",$E324,IF($C324="Shipment",-$E324,IF($C324="Adjustment",$E324,0))))</f>
        <v/>
      </c>
      <c r="N324" s="49" t="str">
        <f>IF($D324="","",IFERROR(INDEX(Products!$B$2:$B$101,MATCH($D324,Products!$A$2:$A$101,0))&amp;"","(not found)"))</f>
        <v/>
      </c>
      <c r="O324" s="49" t="str">
        <f>IF($F324="","",IFERROR(INDEX(Batches!$B$2:$B$301,MATCH($F324,Batches!$A$2:$A$301,0))&amp;"","(not found)"))</f>
        <v/>
      </c>
      <c r="P324" s="49" t="str">
        <f>IF(COUNTA($A324:$L324)=0,"",IF($A324="","Missing: entry ID",IF(COUNTIF($A$2:$A$2001,$A324)&gt;1,"Duplicate entry ID",IF(NOT(ISNUMBER($B324)),"Missing or invalid: date",IF($C324="","Missing: type",IF($D324="","Missing: SKU",IF(NOT(ISNUMBER($E324)),"Missing: qty",IF($F324="","Missing: lot",IF($I324="","Missing: source link",IF(COUNTIF(Config!$A$15:$A$34,$C324)=0,"Unsupported type",IF(COUNTIF(Products!$A$2:$A$101,$D324)=0,"Unknown SKU",IF(COUNTIFS(Batches!$A$2:$A$301,$F324,Batches!$B$2:$B$301,$D324)=0,"Unknown lot for this SKU",IF(AND($C324="Adjustment",$G324=""),"Missing: reason",IF(AND($G324&lt;&gt;"",COUNTIF(Config!$B$15:$B$34,$G324)=0),"Unsupported reason",IF(OR(INT($E324)&lt;&gt;$E324,AND(OR($C324="Receipt",$C324="Shipment"),$E324&lt;=0),AND($C324="Adjustment",$E324=0)),"Invalid qty",IF($B324&gt;Config!$B$4,"Date after the as-of date",IF($B324&lt;Config!$B$5,"Date before the opening balance date","OK")))))))))))))))))</f>
        <v/>
      </c>
    </row>
    <row r="325">
      <c r="A325" s="46" t="n"/>
      <c r="B325" s="54" t="n"/>
      <c r="C325" s="46" t="n"/>
      <c r="D325" s="46" t="n"/>
      <c r="E325" s="55" t="n"/>
      <c r="F325" s="46" t="n"/>
      <c r="G325" s="46" t="n"/>
      <c r="H325" s="46" t="n"/>
      <c r="I325" s="46" t="n"/>
      <c r="J325" s="46" t="n"/>
      <c r="K325" s="46" t="n"/>
      <c r="L325" s="46" t="n"/>
      <c r="M325" s="51" t="str">
        <f>IF(NOT(ISNUMBER($E325)),"",IF($C325="Receipt",$E325,IF($C325="Shipment",-$E325,IF($C325="Adjustment",$E325,0))))</f>
        <v/>
      </c>
      <c r="N325" s="49" t="str">
        <f>IF($D325="","",IFERROR(INDEX(Products!$B$2:$B$101,MATCH($D325,Products!$A$2:$A$101,0))&amp;"","(not found)"))</f>
        <v/>
      </c>
      <c r="O325" s="49" t="str">
        <f>IF($F325="","",IFERROR(INDEX(Batches!$B$2:$B$301,MATCH($F325,Batches!$A$2:$A$301,0))&amp;"","(not found)"))</f>
        <v/>
      </c>
      <c r="P325" s="49" t="str">
        <f>IF(COUNTA($A325:$L325)=0,"",IF($A325="","Missing: entry ID",IF(COUNTIF($A$2:$A$2001,$A325)&gt;1,"Duplicate entry ID",IF(NOT(ISNUMBER($B325)),"Missing or invalid: date",IF($C325="","Missing: type",IF($D325="","Missing: SKU",IF(NOT(ISNUMBER($E325)),"Missing: qty",IF($F325="","Missing: lot",IF($I325="","Missing: source link",IF(COUNTIF(Config!$A$15:$A$34,$C325)=0,"Unsupported type",IF(COUNTIF(Products!$A$2:$A$101,$D325)=0,"Unknown SKU",IF(COUNTIFS(Batches!$A$2:$A$301,$F325,Batches!$B$2:$B$301,$D325)=0,"Unknown lot for this SKU",IF(AND($C325="Adjustment",$G325=""),"Missing: reason",IF(AND($G325&lt;&gt;"",COUNTIF(Config!$B$15:$B$34,$G325)=0),"Unsupported reason",IF(OR(INT($E325)&lt;&gt;$E325,AND(OR($C325="Receipt",$C325="Shipment"),$E325&lt;=0),AND($C325="Adjustment",$E325=0)),"Invalid qty",IF($B325&gt;Config!$B$4,"Date after the as-of date",IF($B325&lt;Config!$B$5,"Date before the opening balance date","OK")))))))))))))))))</f>
        <v/>
      </c>
    </row>
    <row r="326">
      <c r="A326" s="46" t="n"/>
      <c r="B326" s="54" t="n"/>
      <c r="C326" s="46" t="n"/>
      <c r="D326" s="46" t="n"/>
      <c r="E326" s="55" t="n"/>
      <c r="F326" s="46" t="n"/>
      <c r="G326" s="46" t="n"/>
      <c r="H326" s="46" t="n"/>
      <c r="I326" s="46" t="n"/>
      <c r="J326" s="46" t="n"/>
      <c r="K326" s="46" t="n"/>
      <c r="L326" s="46" t="n"/>
      <c r="M326" s="51" t="str">
        <f>IF(NOT(ISNUMBER($E326)),"",IF($C326="Receipt",$E326,IF($C326="Shipment",-$E326,IF($C326="Adjustment",$E326,0))))</f>
        <v/>
      </c>
      <c r="N326" s="49" t="str">
        <f>IF($D326="","",IFERROR(INDEX(Products!$B$2:$B$101,MATCH($D326,Products!$A$2:$A$101,0))&amp;"","(not found)"))</f>
        <v/>
      </c>
      <c r="O326" s="49" t="str">
        <f>IF($F326="","",IFERROR(INDEX(Batches!$B$2:$B$301,MATCH($F326,Batches!$A$2:$A$301,0))&amp;"","(not found)"))</f>
        <v/>
      </c>
      <c r="P326" s="49" t="str">
        <f>IF(COUNTA($A326:$L326)=0,"",IF($A326="","Missing: entry ID",IF(COUNTIF($A$2:$A$2001,$A326)&gt;1,"Duplicate entry ID",IF(NOT(ISNUMBER($B326)),"Missing or invalid: date",IF($C326="","Missing: type",IF($D326="","Missing: SKU",IF(NOT(ISNUMBER($E326)),"Missing: qty",IF($F326="","Missing: lot",IF($I326="","Missing: source link",IF(COUNTIF(Config!$A$15:$A$34,$C326)=0,"Unsupported type",IF(COUNTIF(Products!$A$2:$A$101,$D326)=0,"Unknown SKU",IF(COUNTIFS(Batches!$A$2:$A$301,$F326,Batches!$B$2:$B$301,$D326)=0,"Unknown lot for this SKU",IF(AND($C326="Adjustment",$G326=""),"Missing: reason",IF(AND($G326&lt;&gt;"",COUNTIF(Config!$B$15:$B$34,$G326)=0),"Unsupported reason",IF(OR(INT($E326)&lt;&gt;$E326,AND(OR($C326="Receipt",$C326="Shipment"),$E326&lt;=0),AND($C326="Adjustment",$E326=0)),"Invalid qty",IF($B326&gt;Config!$B$4,"Date after the as-of date",IF($B326&lt;Config!$B$5,"Date before the opening balance date","OK")))))))))))))))))</f>
        <v/>
      </c>
    </row>
    <row r="327">
      <c r="A327" s="46" t="n"/>
      <c r="B327" s="54" t="n"/>
      <c r="C327" s="46" t="n"/>
      <c r="D327" s="46" t="n"/>
      <c r="E327" s="55" t="n"/>
      <c r="F327" s="46" t="n"/>
      <c r="G327" s="46" t="n"/>
      <c r="H327" s="46" t="n"/>
      <c r="I327" s="46" t="n"/>
      <c r="J327" s="46" t="n"/>
      <c r="K327" s="46" t="n"/>
      <c r="L327" s="46" t="n"/>
      <c r="M327" s="51" t="str">
        <f>IF(NOT(ISNUMBER($E327)),"",IF($C327="Receipt",$E327,IF($C327="Shipment",-$E327,IF($C327="Adjustment",$E327,0))))</f>
        <v/>
      </c>
      <c r="N327" s="49" t="str">
        <f>IF($D327="","",IFERROR(INDEX(Products!$B$2:$B$101,MATCH($D327,Products!$A$2:$A$101,0))&amp;"","(not found)"))</f>
        <v/>
      </c>
      <c r="O327" s="49" t="str">
        <f>IF($F327="","",IFERROR(INDEX(Batches!$B$2:$B$301,MATCH($F327,Batches!$A$2:$A$301,0))&amp;"","(not found)"))</f>
        <v/>
      </c>
      <c r="P327" s="49" t="str">
        <f>IF(COUNTA($A327:$L327)=0,"",IF($A327="","Missing: entry ID",IF(COUNTIF($A$2:$A$2001,$A327)&gt;1,"Duplicate entry ID",IF(NOT(ISNUMBER($B327)),"Missing or invalid: date",IF($C327="","Missing: type",IF($D327="","Missing: SKU",IF(NOT(ISNUMBER($E327)),"Missing: qty",IF($F327="","Missing: lot",IF($I327="","Missing: source link",IF(COUNTIF(Config!$A$15:$A$34,$C327)=0,"Unsupported type",IF(COUNTIF(Products!$A$2:$A$101,$D327)=0,"Unknown SKU",IF(COUNTIFS(Batches!$A$2:$A$301,$F327,Batches!$B$2:$B$301,$D327)=0,"Unknown lot for this SKU",IF(AND($C327="Adjustment",$G327=""),"Missing: reason",IF(AND($G327&lt;&gt;"",COUNTIF(Config!$B$15:$B$34,$G327)=0),"Unsupported reason",IF(OR(INT($E327)&lt;&gt;$E327,AND(OR($C327="Receipt",$C327="Shipment"),$E327&lt;=0),AND($C327="Adjustment",$E327=0)),"Invalid qty",IF($B327&gt;Config!$B$4,"Date after the as-of date",IF($B327&lt;Config!$B$5,"Date before the opening balance date","OK")))))))))))))))))</f>
        <v/>
      </c>
    </row>
    <row r="328">
      <c r="A328" s="46" t="n"/>
      <c r="B328" s="54" t="n"/>
      <c r="C328" s="46" t="n"/>
      <c r="D328" s="46" t="n"/>
      <c r="E328" s="55" t="n"/>
      <c r="F328" s="46" t="n"/>
      <c r="G328" s="46" t="n"/>
      <c r="H328" s="46" t="n"/>
      <c r="I328" s="46" t="n"/>
      <c r="J328" s="46" t="n"/>
      <c r="K328" s="46" t="n"/>
      <c r="L328" s="46" t="n"/>
      <c r="M328" s="51" t="str">
        <f>IF(NOT(ISNUMBER($E328)),"",IF($C328="Receipt",$E328,IF($C328="Shipment",-$E328,IF($C328="Adjustment",$E328,0))))</f>
        <v/>
      </c>
      <c r="N328" s="49" t="str">
        <f>IF($D328="","",IFERROR(INDEX(Products!$B$2:$B$101,MATCH($D328,Products!$A$2:$A$101,0))&amp;"","(not found)"))</f>
        <v/>
      </c>
      <c r="O328" s="49" t="str">
        <f>IF($F328="","",IFERROR(INDEX(Batches!$B$2:$B$301,MATCH($F328,Batches!$A$2:$A$301,0))&amp;"","(not found)"))</f>
        <v/>
      </c>
      <c r="P328" s="49" t="str">
        <f>IF(COUNTA($A328:$L328)=0,"",IF($A328="","Missing: entry ID",IF(COUNTIF($A$2:$A$2001,$A328)&gt;1,"Duplicate entry ID",IF(NOT(ISNUMBER($B328)),"Missing or invalid: date",IF($C328="","Missing: type",IF($D328="","Missing: SKU",IF(NOT(ISNUMBER($E328)),"Missing: qty",IF($F328="","Missing: lot",IF($I328="","Missing: source link",IF(COUNTIF(Config!$A$15:$A$34,$C328)=0,"Unsupported type",IF(COUNTIF(Products!$A$2:$A$101,$D328)=0,"Unknown SKU",IF(COUNTIFS(Batches!$A$2:$A$301,$F328,Batches!$B$2:$B$301,$D328)=0,"Unknown lot for this SKU",IF(AND($C328="Adjustment",$G328=""),"Missing: reason",IF(AND($G328&lt;&gt;"",COUNTIF(Config!$B$15:$B$34,$G328)=0),"Unsupported reason",IF(OR(INT($E328)&lt;&gt;$E328,AND(OR($C328="Receipt",$C328="Shipment"),$E328&lt;=0),AND($C328="Adjustment",$E328=0)),"Invalid qty",IF($B328&gt;Config!$B$4,"Date after the as-of date",IF($B328&lt;Config!$B$5,"Date before the opening balance date","OK")))))))))))))))))</f>
        <v/>
      </c>
    </row>
    <row r="329">
      <c r="A329" s="46" t="n"/>
      <c r="B329" s="54" t="n"/>
      <c r="C329" s="46" t="n"/>
      <c r="D329" s="46" t="n"/>
      <c r="E329" s="55" t="n"/>
      <c r="F329" s="46" t="n"/>
      <c r="G329" s="46" t="n"/>
      <c r="H329" s="46" t="n"/>
      <c r="I329" s="46" t="n"/>
      <c r="J329" s="46" t="n"/>
      <c r="K329" s="46" t="n"/>
      <c r="L329" s="46" t="n"/>
      <c r="M329" s="51" t="str">
        <f>IF(NOT(ISNUMBER($E329)),"",IF($C329="Receipt",$E329,IF($C329="Shipment",-$E329,IF($C329="Adjustment",$E329,0))))</f>
        <v/>
      </c>
      <c r="N329" s="49" t="str">
        <f>IF($D329="","",IFERROR(INDEX(Products!$B$2:$B$101,MATCH($D329,Products!$A$2:$A$101,0))&amp;"","(not found)"))</f>
        <v/>
      </c>
      <c r="O329" s="49" t="str">
        <f>IF($F329="","",IFERROR(INDEX(Batches!$B$2:$B$301,MATCH($F329,Batches!$A$2:$A$301,0))&amp;"","(not found)"))</f>
        <v/>
      </c>
      <c r="P329" s="49" t="str">
        <f>IF(COUNTA($A329:$L329)=0,"",IF($A329="","Missing: entry ID",IF(COUNTIF($A$2:$A$2001,$A329)&gt;1,"Duplicate entry ID",IF(NOT(ISNUMBER($B329)),"Missing or invalid: date",IF($C329="","Missing: type",IF($D329="","Missing: SKU",IF(NOT(ISNUMBER($E329)),"Missing: qty",IF($F329="","Missing: lot",IF($I329="","Missing: source link",IF(COUNTIF(Config!$A$15:$A$34,$C329)=0,"Unsupported type",IF(COUNTIF(Products!$A$2:$A$101,$D329)=0,"Unknown SKU",IF(COUNTIFS(Batches!$A$2:$A$301,$F329,Batches!$B$2:$B$301,$D329)=0,"Unknown lot for this SKU",IF(AND($C329="Adjustment",$G329=""),"Missing: reason",IF(AND($G329&lt;&gt;"",COUNTIF(Config!$B$15:$B$34,$G329)=0),"Unsupported reason",IF(OR(INT($E329)&lt;&gt;$E329,AND(OR($C329="Receipt",$C329="Shipment"),$E329&lt;=0),AND($C329="Adjustment",$E329=0)),"Invalid qty",IF($B329&gt;Config!$B$4,"Date after the as-of date",IF($B329&lt;Config!$B$5,"Date before the opening balance date","OK")))))))))))))))))</f>
        <v/>
      </c>
    </row>
    <row r="330">
      <c r="A330" s="46" t="n"/>
      <c r="B330" s="54" t="n"/>
      <c r="C330" s="46" t="n"/>
      <c r="D330" s="46" t="n"/>
      <c r="E330" s="55" t="n"/>
      <c r="F330" s="46" t="n"/>
      <c r="G330" s="46" t="n"/>
      <c r="H330" s="46" t="n"/>
      <c r="I330" s="46" t="n"/>
      <c r="J330" s="46" t="n"/>
      <c r="K330" s="46" t="n"/>
      <c r="L330" s="46" t="n"/>
      <c r="M330" s="51" t="str">
        <f>IF(NOT(ISNUMBER($E330)),"",IF($C330="Receipt",$E330,IF($C330="Shipment",-$E330,IF($C330="Adjustment",$E330,0))))</f>
        <v/>
      </c>
      <c r="N330" s="49" t="str">
        <f>IF($D330="","",IFERROR(INDEX(Products!$B$2:$B$101,MATCH($D330,Products!$A$2:$A$101,0))&amp;"","(not found)"))</f>
        <v/>
      </c>
      <c r="O330" s="49" t="str">
        <f>IF($F330="","",IFERROR(INDEX(Batches!$B$2:$B$301,MATCH($F330,Batches!$A$2:$A$301,0))&amp;"","(not found)"))</f>
        <v/>
      </c>
      <c r="P330" s="49" t="str">
        <f>IF(COUNTA($A330:$L330)=0,"",IF($A330="","Missing: entry ID",IF(COUNTIF($A$2:$A$2001,$A330)&gt;1,"Duplicate entry ID",IF(NOT(ISNUMBER($B330)),"Missing or invalid: date",IF($C330="","Missing: type",IF($D330="","Missing: SKU",IF(NOT(ISNUMBER($E330)),"Missing: qty",IF($F330="","Missing: lot",IF($I330="","Missing: source link",IF(COUNTIF(Config!$A$15:$A$34,$C330)=0,"Unsupported type",IF(COUNTIF(Products!$A$2:$A$101,$D330)=0,"Unknown SKU",IF(COUNTIFS(Batches!$A$2:$A$301,$F330,Batches!$B$2:$B$301,$D330)=0,"Unknown lot for this SKU",IF(AND($C330="Adjustment",$G330=""),"Missing: reason",IF(AND($G330&lt;&gt;"",COUNTIF(Config!$B$15:$B$34,$G330)=0),"Unsupported reason",IF(OR(INT($E330)&lt;&gt;$E330,AND(OR($C330="Receipt",$C330="Shipment"),$E330&lt;=0),AND($C330="Adjustment",$E330=0)),"Invalid qty",IF($B330&gt;Config!$B$4,"Date after the as-of date",IF($B330&lt;Config!$B$5,"Date before the opening balance date","OK")))))))))))))))))</f>
        <v/>
      </c>
    </row>
    <row r="331">
      <c r="A331" s="46" t="n"/>
      <c r="B331" s="54" t="n"/>
      <c r="C331" s="46" t="n"/>
      <c r="D331" s="46" t="n"/>
      <c r="E331" s="55" t="n"/>
      <c r="F331" s="46" t="n"/>
      <c r="G331" s="46" t="n"/>
      <c r="H331" s="46" t="n"/>
      <c r="I331" s="46" t="n"/>
      <c r="J331" s="46" t="n"/>
      <c r="K331" s="46" t="n"/>
      <c r="L331" s="46" t="n"/>
      <c r="M331" s="51" t="str">
        <f>IF(NOT(ISNUMBER($E331)),"",IF($C331="Receipt",$E331,IF($C331="Shipment",-$E331,IF($C331="Adjustment",$E331,0))))</f>
        <v/>
      </c>
      <c r="N331" s="49" t="str">
        <f>IF($D331="","",IFERROR(INDEX(Products!$B$2:$B$101,MATCH($D331,Products!$A$2:$A$101,0))&amp;"","(not found)"))</f>
        <v/>
      </c>
      <c r="O331" s="49" t="str">
        <f>IF($F331="","",IFERROR(INDEX(Batches!$B$2:$B$301,MATCH($F331,Batches!$A$2:$A$301,0))&amp;"","(not found)"))</f>
        <v/>
      </c>
      <c r="P331" s="49" t="str">
        <f>IF(COUNTA($A331:$L331)=0,"",IF($A331="","Missing: entry ID",IF(COUNTIF($A$2:$A$2001,$A331)&gt;1,"Duplicate entry ID",IF(NOT(ISNUMBER($B331)),"Missing or invalid: date",IF($C331="","Missing: type",IF($D331="","Missing: SKU",IF(NOT(ISNUMBER($E331)),"Missing: qty",IF($F331="","Missing: lot",IF($I331="","Missing: source link",IF(COUNTIF(Config!$A$15:$A$34,$C331)=0,"Unsupported type",IF(COUNTIF(Products!$A$2:$A$101,$D331)=0,"Unknown SKU",IF(COUNTIFS(Batches!$A$2:$A$301,$F331,Batches!$B$2:$B$301,$D331)=0,"Unknown lot for this SKU",IF(AND($C331="Adjustment",$G331=""),"Missing: reason",IF(AND($G331&lt;&gt;"",COUNTIF(Config!$B$15:$B$34,$G331)=0),"Unsupported reason",IF(OR(INT($E331)&lt;&gt;$E331,AND(OR($C331="Receipt",$C331="Shipment"),$E331&lt;=0),AND($C331="Adjustment",$E331=0)),"Invalid qty",IF($B331&gt;Config!$B$4,"Date after the as-of date",IF($B331&lt;Config!$B$5,"Date before the opening balance date","OK")))))))))))))))))</f>
        <v/>
      </c>
    </row>
    <row r="332">
      <c r="A332" s="46" t="n"/>
      <c r="B332" s="54" t="n"/>
      <c r="C332" s="46" t="n"/>
      <c r="D332" s="46" t="n"/>
      <c r="E332" s="55" t="n"/>
      <c r="F332" s="46" t="n"/>
      <c r="G332" s="46" t="n"/>
      <c r="H332" s="46" t="n"/>
      <c r="I332" s="46" t="n"/>
      <c r="J332" s="46" t="n"/>
      <c r="K332" s="46" t="n"/>
      <c r="L332" s="46" t="n"/>
      <c r="M332" s="51" t="str">
        <f>IF(NOT(ISNUMBER($E332)),"",IF($C332="Receipt",$E332,IF($C332="Shipment",-$E332,IF($C332="Adjustment",$E332,0))))</f>
        <v/>
      </c>
      <c r="N332" s="49" t="str">
        <f>IF($D332="","",IFERROR(INDEX(Products!$B$2:$B$101,MATCH($D332,Products!$A$2:$A$101,0))&amp;"","(not found)"))</f>
        <v/>
      </c>
      <c r="O332" s="49" t="str">
        <f>IF($F332="","",IFERROR(INDEX(Batches!$B$2:$B$301,MATCH($F332,Batches!$A$2:$A$301,0))&amp;"","(not found)"))</f>
        <v/>
      </c>
      <c r="P332" s="49" t="str">
        <f>IF(COUNTA($A332:$L332)=0,"",IF($A332="","Missing: entry ID",IF(COUNTIF($A$2:$A$2001,$A332)&gt;1,"Duplicate entry ID",IF(NOT(ISNUMBER($B332)),"Missing or invalid: date",IF($C332="","Missing: type",IF($D332="","Missing: SKU",IF(NOT(ISNUMBER($E332)),"Missing: qty",IF($F332="","Missing: lot",IF($I332="","Missing: source link",IF(COUNTIF(Config!$A$15:$A$34,$C332)=0,"Unsupported type",IF(COUNTIF(Products!$A$2:$A$101,$D332)=0,"Unknown SKU",IF(COUNTIFS(Batches!$A$2:$A$301,$F332,Batches!$B$2:$B$301,$D332)=0,"Unknown lot for this SKU",IF(AND($C332="Adjustment",$G332=""),"Missing: reason",IF(AND($G332&lt;&gt;"",COUNTIF(Config!$B$15:$B$34,$G332)=0),"Unsupported reason",IF(OR(INT($E332)&lt;&gt;$E332,AND(OR($C332="Receipt",$C332="Shipment"),$E332&lt;=0),AND($C332="Adjustment",$E332=0)),"Invalid qty",IF($B332&gt;Config!$B$4,"Date after the as-of date",IF($B332&lt;Config!$B$5,"Date before the opening balance date","OK")))))))))))))))))</f>
        <v/>
      </c>
    </row>
    <row r="333">
      <c r="A333" s="46" t="n"/>
      <c r="B333" s="54" t="n"/>
      <c r="C333" s="46" t="n"/>
      <c r="D333" s="46" t="n"/>
      <c r="E333" s="55" t="n"/>
      <c r="F333" s="46" t="n"/>
      <c r="G333" s="46" t="n"/>
      <c r="H333" s="46" t="n"/>
      <c r="I333" s="46" t="n"/>
      <c r="J333" s="46" t="n"/>
      <c r="K333" s="46" t="n"/>
      <c r="L333" s="46" t="n"/>
      <c r="M333" s="51" t="str">
        <f>IF(NOT(ISNUMBER($E333)),"",IF($C333="Receipt",$E333,IF($C333="Shipment",-$E333,IF($C333="Adjustment",$E333,0))))</f>
        <v/>
      </c>
      <c r="N333" s="49" t="str">
        <f>IF($D333="","",IFERROR(INDEX(Products!$B$2:$B$101,MATCH($D333,Products!$A$2:$A$101,0))&amp;"","(not found)"))</f>
        <v/>
      </c>
      <c r="O333" s="49" t="str">
        <f>IF($F333="","",IFERROR(INDEX(Batches!$B$2:$B$301,MATCH($F333,Batches!$A$2:$A$301,0))&amp;"","(not found)"))</f>
        <v/>
      </c>
      <c r="P333" s="49" t="str">
        <f>IF(COUNTA($A333:$L333)=0,"",IF($A333="","Missing: entry ID",IF(COUNTIF($A$2:$A$2001,$A333)&gt;1,"Duplicate entry ID",IF(NOT(ISNUMBER($B333)),"Missing or invalid: date",IF($C333="","Missing: type",IF($D333="","Missing: SKU",IF(NOT(ISNUMBER($E333)),"Missing: qty",IF($F333="","Missing: lot",IF($I333="","Missing: source link",IF(COUNTIF(Config!$A$15:$A$34,$C333)=0,"Unsupported type",IF(COUNTIF(Products!$A$2:$A$101,$D333)=0,"Unknown SKU",IF(COUNTIFS(Batches!$A$2:$A$301,$F333,Batches!$B$2:$B$301,$D333)=0,"Unknown lot for this SKU",IF(AND($C333="Adjustment",$G333=""),"Missing: reason",IF(AND($G333&lt;&gt;"",COUNTIF(Config!$B$15:$B$34,$G333)=0),"Unsupported reason",IF(OR(INT($E333)&lt;&gt;$E333,AND(OR($C333="Receipt",$C333="Shipment"),$E333&lt;=0),AND($C333="Adjustment",$E333=0)),"Invalid qty",IF($B333&gt;Config!$B$4,"Date after the as-of date",IF($B333&lt;Config!$B$5,"Date before the opening balance date","OK")))))))))))))))))</f>
        <v/>
      </c>
    </row>
    <row r="334">
      <c r="A334" s="46" t="n"/>
      <c r="B334" s="54" t="n"/>
      <c r="C334" s="46" t="n"/>
      <c r="D334" s="46" t="n"/>
      <c r="E334" s="55" t="n"/>
      <c r="F334" s="46" t="n"/>
      <c r="G334" s="46" t="n"/>
      <c r="H334" s="46" t="n"/>
      <c r="I334" s="46" t="n"/>
      <c r="J334" s="46" t="n"/>
      <c r="K334" s="46" t="n"/>
      <c r="L334" s="46" t="n"/>
      <c r="M334" s="51" t="str">
        <f>IF(NOT(ISNUMBER($E334)),"",IF($C334="Receipt",$E334,IF($C334="Shipment",-$E334,IF($C334="Adjustment",$E334,0))))</f>
        <v/>
      </c>
      <c r="N334" s="49" t="str">
        <f>IF($D334="","",IFERROR(INDEX(Products!$B$2:$B$101,MATCH($D334,Products!$A$2:$A$101,0))&amp;"","(not found)"))</f>
        <v/>
      </c>
      <c r="O334" s="49" t="str">
        <f>IF($F334="","",IFERROR(INDEX(Batches!$B$2:$B$301,MATCH($F334,Batches!$A$2:$A$301,0))&amp;"","(not found)"))</f>
        <v/>
      </c>
      <c r="P334" s="49" t="str">
        <f>IF(COUNTA($A334:$L334)=0,"",IF($A334="","Missing: entry ID",IF(COUNTIF($A$2:$A$2001,$A334)&gt;1,"Duplicate entry ID",IF(NOT(ISNUMBER($B334)),"Missing or invalid: date",IF($C334="","Missing: type",IF($D334="","Missing: SKU",IF(NOT(ISNUMBER($E334)),"Missing: qty",IF($F334="","Missing: lot",IF($I334="","Missing: source link",IF(COUNTIF(Config!$A$15:$A$34,$C334)=0,"Unsupported type",IF(COUNTIF(Products!$A$2:$A$101,$D334)=0,"Unknown SKU",IF(COUNTIFS(Batches!$A$2:$A$301,$F334,Batches!$B$2:$B$301,$D334)=0,"Unknown lot for this SKU",IF(AND($C334="Adjustment",$G334=""),"Missing: reason",IF(AND($G334&lt;&gt;"",COUNTIF(Config!$B$15:$B$34,$G334)=0),"Unsupported reason",IF(OR(INT($E334)&lt;&gt;$E334,AND(OR($C334="Receipt",$C334="Shipment"),$E334&lt;=0),AND($C334="Adjustment",$E334=0)),"Invalid qty",IF($B334&gt;Config!$B$4,"Date after the as-of date",IF($B334&lt;Config!$B$5,"Date before the opening balance date","OK")))))))))))))))))</f>
        <v/>
      </c>
    </row>
    <row r="335">
      <c r="A335" s="46" t="n"/>
      <c r="B335" s="54" t="n"/>
      <c r="C335" s="46" t="n"/>
      <c r="D335" s="46" t="n"/>
      <c r="E335" s="55" t="n"/>
      <c r="F335" s="46" t="n"/>
      <c r="G335" s="46" t="n"/>
      <c r="H335" s="46" t="n"/>
      <c r="I335" s="46" t="n"/>
      <c r="J335" s="46" t="n"/>
      <c r="K335" s="46" t="n"/>
      <c r="L335" s="46" t="n"/>
      <c r="M335" s="51" t="str">
        <f>IF(NOT(ISNUMBER($E335)),"",IF($C335="Receipt",$E335,IF($C335="Shipment",-$E335,IF($C335="Adjustment",$E335,0))))</f>
        <v/>
      </c>
      <c r="N335" s="49" t="str">
        <f>IF($D335="","",IFERROR(INDEX(Products!$B$2:$B$101,MATCH($D335,Products!$A$2:$A$101,0))&amp;"","(not found)"))</f>
        <v/>
      </c>
      <c r="O335" s="49" t="str">
        <f>IF($F335="","",IFERROR(INDEX(Batches!$B$2:$B$301,MATCH($F335,Batches!$A$2:$A$301,0))&amp;"","(not found)"))</f>
        <v/>
      </c>
      <c r="P335" s="49" t="str">
        <f>IF(COUNTA($A335:$L335)=0,"",IF($A335="","Missing: entry ID",IF(COUNTIF($A$2:$A$2001,$A335)&gt;1,"Duplicate entry ID",IF(NOT(ISNUMBER($B335)),"Missing or invalid: date",IF($C335="","Missing: type",IF($D335="","Missing: SKU",IF(NOT(ISNUMBER($E335)),"Missing: qty",IF($F335="","Missing: lot",IF($I335="","Missing: source link",IF(COUNTIF(Config!$A$15:$A$34,$C335)=0,"Unsupported type",IF(COUNTIF(Products!$A$2:$A$101,$D335)=0,"Unknown SKU",IF(COUNTIFS(Batches!$A$2:$A$301,$F335,Batches!$B$2:$B$301,$D335)=0,"Unknown lot for this SKU",IF(AND($C335="Adjustment",$G335=""),"Missing: reason",IF(AND($G335&lt;&gt;"",COUNTIF(Config!$B$15:$B$34,$G335)=0),"Unsupported reason",IF(OR(INT($E335)&lt;&gt;$E335,AND(OR($C335="Receipt",$C335="Shipment"),$E335&lt;=0),AND($C335="Adjustment",$E335=0)),"Invalid qty",IF($B335&gt;Config!$B$4,"Date after the as-of date",IF($B335&lt;Config!$B$5,"Date before the opening balance date","OK")))))))))))))))))</f>
        <v/>
      </c>
    </row>
    <row r="336">
      <c r="A336" s="46" t="n"/>
      <c r="B336" s="54" t="n"/>
      <c r="C336" s="46" t="n"/>
      <c r="D336" s="46" t="n"/>
      <c r="E336" s="55" t="n"/>
      <c r="F336" s="46" t="n"/>
      <c r="G336" s="46" t="n"/>
      <c r="H336" s="46" t="n"/>
      <c r="I336" s="46" t="n"/>
      <c r="J336" s="46" t="n"/>
      <c r="K336" s="46" t="n"/>
      <c r="L336" s="46" t="n"/>
      <c r="M336" s="51" t="str">
        <f>IF(NOT(ISNUMBER($E336)),"",IF($C336="Receipt",$E336,IF($C336="Shipment",-$E336,IF($C336="Adjustment",$E336,0))))</f>
        <v/>
      </c>
      <c r="N336" s="49" t="str">
        <f>IF($D336="","",IFERROR(INDEX(Products!$B$2:$B$101,MATCH($D336,Products!$A$2:$A$101,0))&amp;"","(not found)"))</f>
        <v/>
      </c>
      <c r="O336" s="49" t="str">
        <f>IF($F336="","",IFERROR(INDEX(Batches!$B$2:$B$301,MATCH($F336,Batches!$A$2:$A$301,0))&amp;"","(not found)"))</f>
        <v/>
      </c>
      <c r="P336" s="49" t="str">
        <f>IF(COUNTA($A336:$L336)=0,"",IF($A336="","Missing: entry ID",IF(COUNTIF($A$2:$A$2001,$A336)&gt;1,"Duplicate entry ID",IF(NOT(ISNUMBER($B336)),"Missing or invalid: date",IF($C336="","Missing: type",IF($D336="","Missing: SKU",IF(NOT(ISNUMBER($E336)),"Missing: qty",IF($F336="","Missing: lot",IF($I336="","Missing: source link",IF(COUNTIF(Config!$A$15:$A$34,$C336)=0,"Unsupported type",IF(COUNTIF(Products!$A$2:$A$101,$D336)=0,"Unknown SKU",IF(COUNTIFS(Batches!$A$2:$A$301,$F336,Batches!$B$2:$B$301,$D336)=0,"Unknown lot for this SKU",IF(AND($C336="Adjustment",$G336=""),"Missing: reason",IF(AND($G336&lt;&gt;"",COUNTIF(Config!$B$15:$B$34,$G336)=0),"Unsupported reason",IF(OR(INT($E336)&lt;&gt;$E336,AND(OR($C336="Receipt",$C336="Shipment"),$E336&lt;=0),AND($C336="Adjustment",$E336=0)),"Invalid qty",IF($B336&gt;Config!$B$4,"Date after the as-of date",IF($B336&lt;Config!$B$5,"Date before the opening balance date","OK")))))))))))))))))</f>
        <v/>
      </c>
    </row>
    <row r="337">
      <c r="A337" s="46" t="n"/>
      <c r="B337" s="54" t="n"/>
      <c r="C337" s="46" t="n"/>
      <c r="D337" s="46" t="n"/>
      <c r="E337" s="55" t="n"/>
      <c r="F337" s="46" t="n"/>
      <c r="G337" s="46" t="n"/>
      <c r="H337" s="46" t="n"/>
      <c r="I337" s="46" t="n"/>
      <c r="J337" s="46" t="n"/>
      <c r="K337" s="46" t="n"/>
      <c r="L337" s="46" t="n"/>
      <c r="M337" s="51" t="str">
        <f>IF(NOT(ISNUMBER($E337)),"",IF($C337="Receipt",$E337,IF($C337="Shipment",-$E337,IF($C337="Adjustment",$E337,0))))</f>
        <v/>
      </c>
      <c r="N337" s="49" t="str">
        <f>IF($D337="","",IFERROR(INDEX(Products!$B$2:$B$101,MATCH($D337,Products!$A$2:$A$101,0))&amp;"","(not found)"))</f>
        <v/>
      </c>
      <c r="O337" s="49" t="str">
        <f>IF($F337="","",IFERROR(INDEX(Batches!$B$2:$B$301,MATCH($F337,Batches!$A$2:$A$301,0))&amp;"","(not found)"))</f>
        <v/>
      </c>
      <c r="P337" s="49" t="str">
        <f>IF(COUNTA($A337:$L337)=0,"",IF($A337="","Missing: entry ID",IF(COUNTIF($A$2:$A$2001,$A337)&gt;1,"Duplicate entry ID",IF(NOT(ISNUMBER($B337)),"Missing or invalid: date",IF($C337="","Missing: type",IF($D337="","Missing: SKU",IF(NOT(ISNUMBER($E337)),"Missing: qty",IF($F337="","Missing: lot",IF($I337="","Missing: source link",IF(COUNTIF(Config!$A$15:$A$34,$C337)=0,"Unsupported type",IF(COUNTIF(Products!$A$2:$A$101,$D337)=0,"Unknown SKU",IF(COUNTIFS(Batches!$A$2:$A$301,$F337,Batches!$B$2:$B$301,$D337)=0,"Unknown lot for this SKU",IF(AND($C337="Adjustment",$G337=""),"Missing: reason",IF(AND($G337&lt;&gt;"",COUNTIF(Config!$B$15:$B$34,$G337)=0),"Unsupported reason",IF(OR(INT($E337)&lt;&gt;$E337,AND(OR($C337="Receipt",$C337="Shipment"),$E337&lt;=0),AND($C337="Adjustment",$E337=0)),"Invalid qty",IF($B337&gt;Config!$B$4,"Date after the as-of date",IF($B337&lt;Config!$B$5,"Date before the opening balance date","OK")))))))))))))))))</f>
        <v/>
      </c>
    </row>
    <row r="338">
      <c r="A338" s="46" t="n"/>
      <c r="B338" s="54" t="n"/>
      <c r="C338" s="46" t="n"/>
      <c r="D338" s="46" t="n"/>
      <c r="E338" s="55" t="n"/>
      <c r="F338" s="46" t="n"/>
      <c r="G338" s="46" t="n"/>
      <c r="H338" s="46" t="n"/>
      <c r="I338" s="46" t="n"/>
      <c r="J338" s="46" t="n"/>
      <c r="K338" s="46" t="n"/>
      <c r="L338" s="46" t="n"/>
      <c r="M338" s="51" t="str">
        <f>IF(NOT(ISNUMBER($E338)),"",IF($C338="Receipt",$E338,IF($C338="Shipment",-$E338,IF($C338="Adjustment",$E338,0))))</f>
        <v/>
      </c>
      <c r="N338" s="49" t="str">
        <f>IF($D338="","",IFERROR(INDEX(Products!$B$2:$B$101,MATCH($D338,Products!$A$2:$A$101,0))&amp;"","(not found)"))</f>
        <v/>
      </c>
      <c r="O338" s="49" t="str">
        <f>IF($F338="","",IFERROR(INDEX(Batches!$B$2:$B$301,MATCH($F338,Batches!$A$2:$A$301,0))&amp;"","(not found)"))</f>
        <v/>
      </c>
      <c r="P338" s="49" t="str">
        <f>IF(COUNTA($A338:$L338)=0,"",IF($A338="","Missing: entry ID",IF(COUNTIF($A$2:$A$2001,$A338)&gt;1,"Duplicate entry ID",IF(NOT(ISNUMBER($B338)),"Missing or invalid: date",IF($C338="","Missing: type",IF($D338="","Missing: SKU",IF(NOT(ISNUMBER($E338)),"Missing: qty",IF($F338="","Missing: lot",IF($I338="","Missing: source link",IF(COUNTIF(Config!$A$15:$A$34,$C338)=0,"Unsupported type",IF(COUNTIF(Products!$A$2:$A$101,$D338)=0,"Unknown SKU",IF(COUNTIFS(Batches!$A$2:$A$301,$F338,Batches!$B$2:$B$301,$D338)=0,"Unknown lot for this SKU",IF(AND($C338="Adjustment",$G338=""),"Missing: reason",IF(AND($G338&lt;&gt;"",COUNTIF(Config!$B$15:$B$34,$G338)=0),"Unsupported reason",IF(OR(INT($E338)&lt;&gt;$E338,AND(OR($C338="Receipt",$C338="Shipment"),$E338&lt;=0),AND($C338="Adjustment",$E338=0)),"Invalid qty",IF($B338&gt;Config!$B$4,"Date after the as-of date",IF($B338&lt;Config!$B$5,"Date before the opening balance date","OK")))))))))))))))))</f>
        <v/>
      </c>
    </row>
    <row r="339">
      <c r="A339" s="46" t="n"/>
      <c r="B339" s="54" t="n"/>
      <c r="C339" s="46" t="n"/>
      <c r="D339" s="46" t="n"/>
      <c r="E339" s="55" t="n"/>
      <c r="F339" s="46" t="n"/>
      <c r="G339" s="46" t="n"/>
      <c r="H339" s="46" t="n"/>
      <c r="I339" s="46" t="n"/>
      <c r="J339" s="46" t="n"/>
      <c r="K339" s="46" t="n"/>
      <c r="L339" s="46" t="n"/>
      <c r="M339" s="51" t="str">
        <f>IF(NOT(ISNUMBER($E339)),"",IF($C339="Receipt",$E339,IF($C339="Shipment",-$E339,IF($C339="Adjustment",$E339,0))))</f>
        <v/>
      </c>
      <c r="N339" s="49" t="str">
        <f>IF($D339="","",IFERROR(INDEX(Products!$B$2:$B$101,MATCH($D339,Products!$A$2:$A$101,0))&amp;"","(not found)"))</f>
        <v/>
      </c>
      <c r="O339" s="49" t="str">
        <f>IF($F339="","",IFERROR(INDEX(Batches!$B$2:$B$301,MATCH($F339,Batches!$A$2:$A$301,0))&amp;"","(not found)"))</f>
        <v/>
      </c>
      <c r="P339" s="49" t="str">
        <f>IF(COUNTA($A339:$L339)=0,"",IF($A339="","Missing: entry ID",IF(COUNTIF($A$2:$A$2001,$A339)&gt;1,"Duplicate entry ID",IF(NOT(ISNUMBER($B339)),"Missing or invalid: date",IF($C339="","Missing: type",IF($D339="","Missing: SKU",IF(NOT(ISNUMBER($E339)),"Missing: qty",IF($F339="","Missing: lot",IF($I339="","Missing: source link",IF(COUNTIF(Config!$A$15:$A$34,$C339)=0,"Unsupported type",IF(COUNTIF(Products!$A$2:$A$101,$D339)=0,"Unknown SKU",IF(COUNTIFS(Batches!$A$2:$A$301,$F339,Batches!$B$2:$B$301,$D339)=0,"Unknown lot for this SKU",IF(AND($C339="Adjustment",$G339=""),"Missing: reason",IF(AND($G339&lt;&gt;"",COUNTIF(Config!$B$15:$B$34,$G339)=0),"Unsupported reason",IF(OR(INT($E339)&lt;&gt;$E339,AND(OR($C339="Receipt",$C339="Shipment"),$E339&lt;=0),AND($C339="Adjustment",$E339=0)),"Invalid qty",IF($B339&gt;Config!$B$4,"Date after the as-of date",IF($B339&lt;Config!$B$5,"Date before the opening balance date","OK")))))))))))))))))</f>
        <v/>
      </c>
    </row>
    <row r="340">
      <c r="A340" s="46" t="n"/>
      <c r="B340" s="54" t="n"/>
      <c r="C340" s="46" t="n"/>
      <c r="D340" s="46" t="n"/>
      <c r="E340" s="55" t="n"/>
      <c r="F340" s="46" t="n"/>
      <c r="G340" s="46" t="n"/>
      <c r="H340" s="46" t="n"/>
      <c r="I340" s="46" t="n"/>
      <c r="J340" s="46" t="n"/>
      <c r="K340" s="46" t="n"/>
      <c r="L340" s="46" t="n"/>
      <c r="M340" s="51" t="str">
        <f>IF(NOT(ISNUMBER($E340)),"",IF($C340="Receipt",$E340,IF($C340="Shipment",-$E340,IF($C340="Adjustment",$E340,0))))</f>
        <v/>
      </c>
      <c r="N340" s="49" t="str">
        <f>IF($D340="","",IFERROR(INDEX(Products!$B$2:$B$101,MATCH($D340,Products!$A$2:$A$101,0))&amp;"","(not found)"))</f>
        <v/>
      </c>
      <c r="O340" s="49" t="str">
        <f>IF($F340="","",IFERROR(INDEX(Batches!$B$2:$B$301,MATCH($F340,Batches!$A$2:$A$301,0))&amp;"","(not found)"))</f>
        <v/>
      </c>
      <c r="P340" s="49" t="str">
        <f>IF(COUNTA($A340:$L340)=0,"",IF($A340="","Missing: entry ID",IF(COUNTIF($A$2:$A$2001,$A340)&gt;1,"Duplicate entry ID",IF(NOT(ISNUMBER($B340)),"Missing or invalid: date",IF($C340="","Missing: type",IF($D340="","Missing: SKU",IF(NOT(ISNUMBER($E340)),"Missing: qty",IF($F340="","Missing: lot",IF($I340="","Missing: source link",IF(COUNTIF(Config!$A$15:$A$34,$C340)=0,"Unsupported type",IF(COUNTIF(Products!$A$2:$A$101,$D340)=0,"Unknown SKU",IF(COUNTIFS(Batches!$A$2:$A$301,$F340,Batches!$B$2:$B$301,$D340)=0,"Unknown lot for this SKU",IF(AND($C340="Adjustment",$G340=""),"Missing: reason",IF(AND($G340&lt;&gt;"",COUNTIF(Config!$B$15:$B$34,$G340)=0),"Unsupported reason",IF(OR(INT($E340)&lt;&gt;$E340,AND(OR($C340="Receipt",$C340="Shipment"),$E340&lt;=0),AND($C340="Adjustment",$E340=0)),"Invalid qty",IF($B340&gt;Config!$B$4,"Date after the as-of date",IF($B340&lt;Config!$B$5,"Date before the opening balance date","OK")))))))))))))))))</f>
        <v/>
      </c>
    </row>
    <row r="341">
      <c r="A341" s="46" t="n"/>
      <c r="B341" s="54" t="n"/>
      <c r="C341" s="46" t="n"/>
      <c r="D341" s="46" t="n"/>
      <c r="E341" s="55" t="n"/>
      <c r="F341" s="46" t="n"/>
      <c r="G341" s="46" t="n"/>
      <c r="H341" s="46" t="n"/>
      <c r="I341" s="46" t="n"/>
      <c r="J341" s="46" t="n"/>
      <c r="K341" s="46" t="n"/>
      <c r="L341" s="46" t="n"/>
      <c r="M341" s="51" t="str">
        <f>IF(NOT(ISNUMBER($E341)),"",IF($C341="Receipt",$E341,IF($C341="Shipment",-$E341,IF($C341="Adjustment",$E341,0))))</f>
        <v/>
      </c>
      <c r="N341" s="49" t="str">
        <f>IF($D341="","",IFERROR(INDEX(Products!$B$2:$B$101,MATCH($D341,Products!$A$2:$A$101,0))&amp;"","(not found)"))</f>
        <v/>
      </c>
      <c r="O341" s="49" t="str">
        <f>IF($F341="","",IFERROR(INDEX(Batches!$B$2:$B$301,MATCH($F341,Batches!$A$2:$A$301,0))&amp;"","(not found)"))</f>
        <v/>
      </c>
      <c r="P341" s="49" t="str">
        <f>IF(COUNTA($A341:$L341)=0,"",IF($A341="","Missing: entry ID",IF(COUNTIF($A$2:$A$2001,$A341)&gt;1,"Duplicate entry ID",IF(NOT(ISNUMBER($B341)),"Missing or invalid: date",IF($C341="","Missing: type",IF($D341="","Missing: SKU",IF(NOT(ISNUMBER($E341)),"Missing: qty",IF($F341="","Missing: lot",IF($I341="","Missing: source link",IF(COUNTIF(Config!$A$15:$A$34,$C341)=0,"Unsupported type",IF(COUNTIF(Products!$A$2:$A$101,$D341)=0,"Unknown SKU",IF(COUNTIFS(Batches!$A$2:$A$301,$F341,Batches!$B$2:$B$301,$D341)=0,"Unknown lot for this SKU",IF(AND($C341="Adjustment",$G341=""),"Missing: reason",IF(AND($G341&lt;&gt;"",COUNTIF(Config!$B$15:$B$34,$G341)=0),"Unsupported reason",IF(OR(INT($E341)&lt;&gt;$E341,AND(OR($C341="Receipt",$C341="Shipment"),$E341&lt;=0),AND($C341="Adjustment",$E341=0)),"Invalid qty",IF($B341&gt;Config!$B$4,"Date after the as-of date",IF($B341&lt;Config!$B$5,"Date before the opening balance date","OK")))))))))))))))))</f>
        <v/>
      </c>
    </row>
    <row r="342">
      <c r="A342" s="46" t="n"/>
      <c r="B342" s="54" t="n"/>
      <c r="C342" s="46" t="n"/>
      <c r="D342" s="46" t="n"/>
      <c r="E342" s="55" t="n"/>
      <c r="F342" s="46" t="n"/>
      <c r="G342" s="46" t="n"/>
      <c r="H342" s="46" t="n"/>
      <c r="I342" s="46" t="n"/>
      <c r="J342" s="46" t="n"/>
      <c r="K342" s="46" t="n"/>
      <c r="L342" s="46" t="n"/>
      <c r="M342" s="51" t="str">
        <f>IF(NOT(ISNUMBER($E342)),"",IF($C342="Receipt",$E342,IF($C342="Shipment",-$E342,IF($C342="Adjustment",$E342,0))))</f>
        <v/>
      </c>
      <c r="N342" s="49" t="str">
        <f>IF($D342="","",IFERROR(INDEX(Products!$B$2:$B$101,MATCH($D342,Products!$A$2:$A$101,0))&amp;"","(not found)"))</f>
        <v/>
      </c>
      <c r="O342" s="49" t="str">
        <f>IF($F342="","",IFERROR(INDEX(Batches!$B$2:$B$301,MATCH($F342,Batches!$A$2:$A$301,0))&amp;"","(not found)"))</f>
        <v/>
      </c>
      <c r="P342" s="49" t="str">
        <f>IF(COUNTA($A342:$L342)=0,"",IF($A342="","Missing: entry ID",IF(COUNTIF($A$2:$A$2001,$A342)&gt;1,"Duplicate entry ID",IF(NOT(ISNUMBER($B342)),"Missing or invalid: date",IF($C342="","Missing: type",IF($D342="","Missing: SKU",IF(NOT(ISNUMBER($E342)),"Missing: qty",IF($F342="","Missing: lot",IF($I342="","Missing: source link",IF(COUNTIF(Config!$A$15:$A$34,$C342)=0,"Unsupported type",IF(COUNTIF(Products!$A$2:$A$101,$D342)=0,"Unknown SKU",IF(COUNTIFS(Batches!$A$2:$A$301,$F342,Batches!$B$2:$B$301,$D342)=0,"Unknown lot for this SKU",IF(AND($C342="Adjustment",$G342=""),"Missing: reason",IF(AND($G342&lt;&gt;"",COUNTIF(Config!$B$15:$B$34,$G342)=0),"Unsupported reason",IF(OR(INT($E342)&lt;&gt;$E342,AND(OR($C342="Receipt",$C342="Shipment"),$E342&lt;=0),AND($C342="Adjustment",$E342=0)),"Invalid qty",IF($B342&gt;Config!$B$4,"Date after the as-of date",IF($B342&lt;Config!$B$5,"Date before the opening balance date","OK")))))))))))))))))</f>
        <v/>
      </c>
    </row>
    <row r="343">
      <c r="A343" s="46" t="n"/>
      <c r="B343" s="54" t="n"/>
      <c r="C343" s="46" t="n"/>
      <c r="D343" s="46" t="n"/>
      <c r="E343" s="55" t="n"/>
      <c r="F343" s="46" t="n"/>
      <c r="G343" s="46" t="n"/>
      <c r="H343" s="46" t="n"/>
      <c r="I343" s="46" t="n"/>
      <c r="J343" s="46" t="n"/>
      <c r="K343" s="46" t="n"/>
      <c r="L343" s="46" t="n"/>
      <c r="M343" s="51" t="str">
        <f>IF(NOT(ISNUMBER($E343)),"",IF($C343="Receipt",$E343,IF($C343="Shipment",-$E343,IF($C343="Adjustment",$E343,0))))</f>
        <v/>
      </c>
      <c r="N343" s="49" t="str">
        <f>IF($D343="","",IFERROR(INDEX(Products!$B$2:$B$101,MATCH($D343,Products!$A$2:$A$101,0))&amp;"","(not found)"))</f>
        <v/>
      </c>
      <c r="O343" s="49" t="str">
        <f>IF($F343="","",IFERROR(INDEX(Batches!$B$2:$B$301,MATCH($F343,Batches!$A$2:$A$301,0))&amp;"","(not found)"))</f>
        <v/>
      </c>
      <c r="P343" s="49" t="str">
        <f>IF(COUNTA($A343:$L343)=0,"",IF($A343="","Missing: entry ID",IF(COUNTIF($A$2:$A$2001,$A343)&gt;1,"Duplicate entry ID",IF(NOT(ISNUMBER($B343)),"Missing or invalid: date",IF($C343="","Missing: type",IF($D343="","Missing: SKU",IF(NOT(ISNUMBER($E343)),"Missing: qty",IF($F343="","Missing: lot",IF($I343="","Missing: source link",IF(COUNTIF(Config!$A$15:$A$34,$C343)=0,"Unsupported type",IF(COUNTIF(Products!$A$2:$A$101,$D343)=0,"Unknown SKU",IF(COUNTIFS(Batches!$A$2:$A$301,$F343,Batches!$B$2:$B$301,$D343)=0,"Unknown lot for this SKU",IF(AND($C343="Adjustment",$G343=""),"Missing: reason",IF(AND($G343&lt;&gt;"",COUNTIF(Config!$B$15:$B$34,$G343)=0),"Unsupported reason",IF(OR(INT($E343)&lt;&gt;$E343,AND(OR($C343="Receipt",$C343="Shipment"),$E343&lt;=0),AND($C343="Adjustment",$E343=0)),"Invalid qty",IF($B343&gt;Config!$B$4,"Date after the as-of date",IF($B343&lt;Config!$B$5,"Date before the opening balance date","OK")))))))))))))))))</f>
        <v/>
      </c>
    </row>
    <row r="344">
      <c r="A344" s="46" t="n"/>
      <c r="B344" s="54" t="n"/>
      <c r="C344" s="46" t="n"/>
      <c r="D344" s="46" t="n"/>
      <c r="E344" s="55" t="n"/>
      <c r="F344" s="46" t="n"/>
      <c r="G344" s="46" t="n"/>
      <c r="H344" s="46" t="n"/>
      <c r="I344" s="46" t="n"/>
      <c r="J344" s="46" t="n"/>
      <c r="K344" s="46" t="n"/>
      <c r="L344" s="46" t="n"/>
      <c r="M344" s="51" t="str">
        <f>IF(NOT(ISNUMBER($E344)),"",IF($C344="Receipt",$E344,IF($C344="Shipment",-$E344,IF($C344="Adjustment",$E344,0))))</f>
        <v/>
      </c>
      <c r="N344" s="49" t="str">
        <f>IF($D344="","",IFERROR(INDEX(Products!$B$2:$B$101,MATCH($D344,Products!$A$2:$A$101,0))&amp;"","(not found)"))</f>
        <v/>
      </c>
      <c r="O344" s="49" t="str">
        <f>IF($F344="","",IFERROR(INDEX(Batches!$B$2:$B$301,MATCH($F344,Batches!$A$2:$A$301,0))&amp;"","(not found)"))</f>
        <v/>
      </c>
      <c r="P344" s="49" t="str">
        <f>IF(COUNTA($A344:$L344)=0,"",IF($A344="","Missing: entry ID",IF(COUNTIF($A$2:$A$2001,$A344)&gt;1,"Duplicate entry ID",IF(NOT(ISNUMBER($B344)),"Missing or invalid: date",IF($C344="","Missing: type",IF($D344="","Missing: SKU",IF(NOT(ISNUMBER($E344)),"Missing: qty",IF($F344="","Missing: lot",IF($I344="","Missing: source link",IF(COUNTIF(Config!$A$15:$A$34,$C344)=0,"Unsupported type",IF(COUNTIF(Products!$A$2:$A$101,$D344)=0,"Unknown SKU",IF(COUNTIFS(Batches!$A$2:$A$301,$F344,Batches!$B$2:$B$301,$D344)=0,"Unknown lot for this SKU",IF(AND($C344="Adjustment",$G344=""),"Missing: reason",IF(AND($G344&lt;&gt;"",COUNTIF(Config!$B$15:$B$34,$G344)=0),"Unsupported reason",IF(OR(INT($E344)&lt;&gt;$E344,AND(OR($C344="Receipt",$C344="Shipment"),$E344&lt;=0),AND($C344="Adjustment",$E344=0)),"Invalid qty",IF($B344&gt;Config!$B$4,"Date after the as-of date",IF($B344&lt;Config!$B$5,"Date before the opening balance date","OK")))))))))))))))))</f>
        <v/>
      </c>
    </row>
    <row r="345">
      <c r="A345" s="46" t="n"/>
      <c r="B345" s="54" t="n"/>
      <c r="C345" s="46" t="n"/>
      <c r="D345" s="46" t="n"/>
      <c r="E345" s="55" t="n"/>
      <c r="F345" s="46" t="n"/>
      <c r="G345" s="46" t="n"/>
      <c r="H345" s="46" t="n"/>
      <c r="I345" s="46" t="n"/>
      <c r="J345" s="46" t="n"/>
      <c r="K345" s="46" t="n"/>
      <c r="L345" s="46" t="n"/>
      <c r="M345" s="51" t="str">
        <f>IF(NOT(ISNUMBER($E345)),"",IF($C345="Receipt",$E345,IF($C345="Shipment",-$E345,IF($C345="Adjustment",$E345,0))))</f>
        <v/>
      </c>
      <c r="N345" s="49" t="str">
        <f>IF($D345="","",IFERROR(INDEX(Products!$B$2:$B$101,MATCH($D345,Products!$A$2:$A$101,0))&amp;"","(not found)"))</f>
        <v/>
      </c>
      <c r="O345" s="49" t="str">
        <f>IF($F345="","",IFERROR(INDEX(Batches!$B$2:$B$301,MATCH($F345,Batches!$A$2:$A$301,0))&amp;"","(not found)"))</f>
        <v/>
      </c>
      <c r="P345" s="49" t="str">
        <f>IF(COUNTA($A345:$L345)=0,"",IF($A345="","Missing: entry ID",IF(COUNTIF($A$2:$A$2001,$A345)&gt;1,"Duplicate entry ID",IF(NOT(ISNUMBER($B345)),"Missing or invalid: date",IF($C345="","Missing: type",IF($D345="","Missing: SKU",IF(NOT(ISNUMBER($E345)),"Missing: qty",IF($F345="","Missing: lot",IF($I345="","Missing: source link",IF(COUNTIF(Config!$A$15:$A$34,$C345)=0,"Unsupported type",IF(COUNTIF(Products!$A$2:$A$101,$D345)=0,"Unknown SKU",IF(COUNTIFS(Batches!$A$2:$A$301,$F345,Batches!$B$2:$B$301,$D345)=0,"Unknown lot for this SKU",IF(AND($C345="Adjustment",$G345=""),"Missing: reason",IF(AND($G345&lt;&gt;"",COUNTIF(Config!$B$15:$B$34,$G345)=0),"Unsupported reason",IF(OR(INT($E345)&lt;&gt;$E345,AND(OR($C345="Receipt",$C345="Shipment"),$E345&lt;=0),AND($C345="Adjustment",$E345=0)),"Invalid qty",IF($B345&gt;Config!$B$4,"Date after the as-of date",IF($B345&lt;Config!$B$5,"Date before the opening balance date","OK")))))))))))))))))</f>
        <v/>
      </c>
    </row>
    <row r="346">
      <c r="A346" s="46" t="n"/>
      <c r="B346" s="54" t="n"/>
      <c r="C346" s="46" t="n"/>
      <c r="D346" s="46" t="n"/>
      <c r="E346" s="55" t="n"/>
      <c r="F346" s="46" t="n"/>
      <c r="G346" s="46" t="n"/>
      <c r="H346" s="46" t="n"/>
      <c r="I346" s="46" t="n"/>
      <c r="J346" s="46" t="n"/>
      <c r="K346" s="46" t="n"/>
      <c r="L346" s="46" t="n"/>
      <c r="M346" s="51" t="str">
        <f>IF(NOT(ISNUMBER($E346)),"",IF($C346="Receipt",$E346,IF($C346="Shipment",-$E346,IF($C346="Adjustment",$E346,0))))</f>
        <v/>
      </c>
      <c r="N346" s="49" t="str">
        <f>IF($D346="","",IFERROR(INDEX(Products!$B$2:$B$101,MATCH($D346,Products!$A$2:$A$101,0))&amp;"","(not found)"))</f>
        <v/>
      </c>
      <c r="O346" s="49" t="str">
        <f>IF($F346="","",IFERROR(INDEX(Batches!$B$2:$B$301,MATCH($F346,Batches!$A$2:$A$301,0))&amp;"","(not found)"))</f>
        <v/>
      </c>
      <c r="P346" s="49" t="str">
        <f>IF(COUNTA($A346:$L346)=0,"",IF($A346="","Missing: entry ID",IF(COUNTIF($A$2:$A$2001,$A346)&gt;1,"Duplicate entry ID",IF(NOT(ISNUMBER($B346)),"Missing or invalid: date",IF($C346="","Missing: type",IF($D346="","Missing: SKU",IF(NOT(ISNUMBER($E346)),"Missing: qty",IF($F346="","Missing: lot",IF($I346="","Missing: source link",IF(COUNTIF(Config!$A$15:$A$34,$C346)=0,"Unsupported type",IF(COUNTIF(Products!$A$2:$A$101,$D346)=0,"Unknown SKU",IF(COUNTIFS(Batches!$A$2:$A$301,$F346,Batches!$B$2:$B$301,$D346)=0,"Unknown lot for this SKU",IF(AND($C346="Adjustment",$G346=""),"Missing: reason",IF(AND($G346&lt;&gt;"",COUNTIF(Config!$B$15:$B$34,$G346)=0),"Unsupported reason",IF(OR(INT($E346)&lt;&gt;$E346,AND(OR($C346="Receipt",$C346="Shipment"),$E346&lt;=0),AND($C346="Adjustment",$E346=0)),"Invalid qty",IF($B346&gt;Config!$B$4,"Date after the as-of date",IF($B346&lt;Config!$B$5,"Date before the opening balance date","OK")))))))))))))))))</f>
        <v/>
      </c>
    </row>
    <row r="347">
      <c r="A347" s="46" t="n"/>
      <c r="B347" s="54" t="n"/>
      <c r="C347" s="46" t="n"/>
      <c r="D347" s="46" t="n"/>
      <c r="E347" s="55" t="n"/>
      <c r="F347" s="46" t="n"/>
      <c r="G347" s="46" t="n"/>
      <c r="H347" s="46" t="n"/>
      <c r="I347" s="46" t="n"/>
      <c r="J347" s="46" t="n"/>
      <c r="K347" s="46" t="n"/>
      <c r="L347" s="46" t="n"/>
      <c r="M347" s="51" t="str">
        <f>IF(NOT(ISNUMBER($E347)),"",IF($C347="Receipt",$E347,IF($C347="Shipment",-$E347,IF($C347="Adjustment",$E347,0))))</f>
        <v/>
      </c>
      <c r="N347" s="49" t="str">
        <f>IF($D347="","",IFERROR(INDEX(Products!$B$2:$B$101,MATCH($D347,Products!$A$2:$A$101,0))&amp;"","(not found)"))</f>
        <v/>
      </c>
      <c r="O347" s="49" t="str">
        <f>IF($F347="","",IFERROR(INDEX(Batches!$B$2:$B$301,MATCH($F347,Batches!$A$2:$A$301,0))&amp;"","(not found)"))</f>
        <v/>
      </c>
      <c r="P347" s="49" t="str">
        <f>IF(COUNTA($A347:$L347)=0,"",IF($A347="","Missing: entry ID",IF(COUNTIF($A$2:$A$2001,$A347)&gt;1,"Duplicate entry ID",IF(NOT(ISNUMBER($B347)),"Missing or invalid: date",IF($C347="","Missing: type",IF($D347="","Missing: SKU",IF(NOT(ISNUMBER($E347)),"Missing: qty",IF($F347="","Missing: lot",IF($I347="","Missing: source link",IF(COUNTIF(Config!$A$15:$A$34,$C347)=0,"Unsupported type",IF(COUNTIF(Products!$A$2:$A$101,$D347)=0,"Unknown SKU",IF(COUNTIFS(Batches!$A$2:$A$301,$F347,Batches!$B$2:$B$301,$D347)=0,"Unknown lot for this SKU",IF(AND($C347="Adjustment",$G347=""),"Missing: reason",IF(AND($G347&lt;&gt;"",COUNTIF(Config!$B$15:$B$34,$G347)=0),"Unsupported reason",IF(OR(INT($E347)&lt;&gt;$E347,AND(OR($C347="Receipt",$C347="Shipment"),$E347&lt;=0),AND($C347="Adjustment",$E347=0)),"Invalid qty",IF($B347&gt;Config!$B$4,"Date after the as-of date",IF($B347&lt;Config!$B$5,"Date before the opening balance date","OK")))))))))))))))))</f>
        <v/>
      </c>
    </row>
    <row r="348">
      <c r="A348" s="46" t="n"/>
      <c r="B348" s="54" t="n"/>
      <c r="C348" s="46" t="n"/>
      <c r="D348" s="46" t="n"/>
      <c r="E348" s="55" t="n"/>
      <c r="F348" s="46" t="n"/>
      <c r="G348" s="46" t="n"/>
      <c r="H348" s="46" t="n"/>
      <c r="I348" s="46" t="n"/>
      <c r="J348" s="46" t="n"/>
      <c r="K348" s="46" t="n"/>
      <c r="L348" s="46" t="n"/>
      <c r="M348" s="51" t="str">
        <f>IF(NOT(ISNUMBER($E348)),"",IF($C348="Receipt",$E348,IF($C348="Shipment",-$E348,IF($C348="Adjustment",$E348,0))))</f>
        <v/>
      </c>
      <c r="N348" s="49" t="str">
        <f>IF($D348="","",IFERROR(INDEX(Products!$B$2:$B$101,MATCH($D348,Products!$A$2:$A$101,0))&amp;"","(not found)"))</f>
        <v/>
      </c>
      <c r="O348" s="49" t="str">
        <f>IF($F348="","",IFERROR(INDEX(Batches!$B$2:$B$301,MATCH($F348,Batches!$A$2:$A$301,0))&amp;"","(not found)"))</f>
        <v/>
      </c>
      <c r="P348" s="49" t="str">
        <f>IF(COUNTA($A348:$L348)=0,"",IF($A348="","Missing: entry ID",IF(COUNTIF($A$2:$A$2001,$A348)&gt;1,"Duplicate entry ID",IF(NOT(ISNUMBER($B348)),"Missing or invalid: date",IF($C348="","Missing: type",IF($D348="","Missing: SKU",IF(NOT(ISNUMBER($E348)),"Missing: qty",IF($F348="","Missing: lot",IF($I348="","Missing: source link",IF(COUNTIF(Config!$A$15:$A$34,$C348)=0,"Unsupported type",IF(COUNTIF(Products!$A$2:$A$101,$D348)=0,"Unknown SKU",IF(COUNTIFS(Batches!$A$2:$A$301,$F348,Batches!$B$2:$B$301,$D348)=0,"Unknown lot for this SKU",IF(AND($C348="Adjustment",$G348=""),"Missing: reason",IF(AND($G348&lt;&gt;"",COUNTIF(Config!$B$15:$B$34,$G348)=0),"Unsupported reason",IF(OR(INT($E348)&lt;&gt;$E348,AND(OR($C348="Receipt",$C348="Shipment"),$E348&lt;=0),AND($C348="Adjustment",$E348=0)),"Invalid qty",IF($B348&gt;Config!$B$4,"Date after the as-of date",IF($B348&lt;Config!$B$5,"Date before the opening balance date","OK")))))))))))))))))</f>
        <v/>
      </c>
    </row>
    <row r="349">
      <c r="A349" s="46" t="n"/>
      <c r="B349" s="54" t="n"/>
      <c r="C349" s="46" t="n"/>
      <c r="D349" s="46" t="n"/>
      <c r="E349" s="55" t="n"/>
      <c r="F349" s="46" t="n"/>
      <c r="G349" s="46" t="n"/>
      <c r="H349" s="46" t="n"/>
      <c r="I349" s="46" t="n"/>
      <c r="J349" s="46" t="n"/>
      <c r="K349" s="46" t="n"/>
      <c r="L349" s="46" t="n"/>
      <c r="M349" s="51" t="str">
        <f>IF(NOT(ISNUMBER($E349)),"",IF($C349="Receipt",$E349,IF($C349="Shipment",-$E349,IF($C349="Adjustment",$E349,0))))</f>
        <v/>
      </c>
      <c r="N349" s="49" t="str">
        <f>IF($D349="","",IFERROR(INDEX(Products!$B$2:$B$101,MATCH($D349,Products!$A$2:$A$101,0))&amp;"","(not found)"))</f>
        <v/>
      </c>
      <c r="O349" s="49" t="str">
        <f>IF($F349="","",IFERROR(INDEX(Batches!$B$2:$B$301,MATCH($F349,Batches!$A$2:$A$301,0))&amp;"","(not found)"))</f>
        <v/>
      </c>
      <c r="P349" s="49" t="str">
        <f>IF(COUNTA($A349:$L349)=0,"",IF($A349="","Missing: entry ID",IF(COUNTIF($A$2:$A$2001,$A349)&gt;1,"Duplicate entry ID",IF(NOT(ISNUMBER($B349)),"Missing or invalid: date",IF($C349="","Missing: type",IF($D349="","Missing: SKU",IF(NOT(ISNUMBER($E349)),"Missing: qty",IF($F349="","Missing: lot",IF($I349="","Missing: source link",IF(COUNTIF(Config!$A$15:$A$34,$C349)=0,"Unsupported type",IF(COUNTIF(Products!$A$2:$A$101,$D349)=0,"Unknown SKU",IF(COUNTIFS(Batches!$A$2:$A$301,$F349,Batches!$B$2:$B$301,$D349)=0,"Unknown lot for this SKU",IF(AND($C349="Adjustment",$G349=""),"Missing: reason",IF(AND($G349&lt;&gt;"",COUNTIF(Config!$B$15:$B$34,$G349)=0),"Unsupported reason",IF(OR(INT($E349)&lt;&gt;$E349,AND(OR($C349="Receipt",$C349="Shipment"),$E349&lt;=0),AND($C349="Adjustment",$E349=0)),"Invalid qty",IF($B349&gt;Config!$B$4,"Date after the as-of date",IF($B349&lt;Config!$B$5,"Date before the opening balance date","OK")))))))))))))))))</f>
        <v/>
      </c>
    </row>
    <row r="350">
      <c r="A350" s="46" t="n"/>
      <c r="B350" s="54" t="n"/>
      <c r="C350" s="46" t="n"/>
      <c r="D350" s="46" t="n"/>
      <c r="E350" s="55" t="n"/>
      <c r="F350" s="46" t="n"/>
      <c r="G350" s="46" t="n"/>
      <c r="H350" s="46" t="n"/>
      <c r="I350" s="46" t="n"/>
      <c r="J350" s="46" t="n"/>
      <c r="K350" s="46" t="n"/>
      <c r="L350" s="46" t="n"/>
      <c r="M350" s="51" t="str">
        <f>IF(NOT(ISNUMBER($E350)),"",IF($C350="Receipt",$E350,IF($C350="Shipment",-$E350,IF($C350="Adjustment",$E350,0))))</f>
        <v/>
      </c>
      <c r="N350" s="49" t="str">
        <f>IF($D350="","",IFERROR(INDEX(Products!$B$2:$B$101,MATCH($D350,Products!$A$2:$A$101,0))&amp;"","(not found)"))</f>
        <v/>
      </c>
      <c r="O350" s="49" t="str">
        <f>IF($F350="","",IFERROR(INDEX(Batches!$B$2:$B$301,MATCH($F350,Batches!$A$2:$A$301,0))&amp;"","(not found)"))</f>
        <v/>
      </c>
      <c r="P350" s="49" t="str">
        <f>IF(COUNTA($A350:$L350)=0,"",IF($A350="","Missing: entry ID",IF(COUNTIF($A$2:$A$2001,$A350)&gt;1,"Duplicate entry ID",IF(NOT(ISNUMBER($B350)),"Missing or invalid: date",IF($C350="","Missing: type",IF($D350="","Missing: SKU",IF(NOT(ISNUMBER($E350)),"Missing: qty",IF($F350="","Missing: lot",IF($I350="","Missing: source link",IF(COUNTIF(Config!$A$15:$A$34,$C350)=0,"Unsupported type",IF(COUNTIF(Products!$A$2:$A$101,$D350)=0,"Unknown SKU",IF(COUNTIFS(Batches!$A$2:$A$301,$F350,Batches!$B$2:$B$301,$D350)=0,"Unknown lot for this SKU",IF(AND($C350="Adjustment",$G350=""),"Missing: reason",IF(AND($G350&lt;&gt;"",COUNTIF(Config!$B$15:$B$34,$G350)=0),"Unsupported reason",IF(OR(INT($E350)&lt;&gt;$E350,AND(OR($C350="Receipt",$C350="Shipment"),$E350&lt;=0),AND($C350="Adjustment",$E350=0)),"Invalid qty",IF($B350&gt;Config!$B$4,"Date after the as-of date",IF($B350&lt;Config!$B$5,"Date before the opening balance date","OK")))))))))))))))))</f>
        <v/>
      </c>
    </row>
    <row r="351">
      <c r="A351" s="46" t="n"/>
      <c r="B351" s="54" t="n"/>
      <c r="C351" s="46" t="n"/>
      <c r="D351" s="46" t="n"/>
      <c r="E351" s="55" t="n"/>
      <c r="F351" s="46" t="n"/>
      <c r="G351" s="46" t="n"/>
      <c r="H351" s="46" t="n"/>
      <c r="I351" s="46" t="n"/>
      <c r="J351" s="46" t="n"/>
      <c r="K351" s="46" t="n"/>
      <c r="L351" s="46" t="n"/>
      <c r="M351" s="51" t="str">
        <f>IF(NOT(ISNUMBER($E351)),"",IF($C351="Receipt",$E351,IF($C351="Shipment",-$E351,IF($C351="Adjustment",$E351,0))))</f>
        <v/>
      </c>
      <c r="N351" s="49" t="str">
        <f>IF($D351="","",IFERROR(INDEX(Products!$B$2:$B$101,MATCH($D351,Products!$A$2:$A$101,0))&amp;"","(not found)"))</f>
        <v/>
      </c>
      <c r="O351" s="49" t="str">
        <f>IF($F351="","",IFERROR(INDEX(Batches!$B$2:$B$301,MATCH($F351,Batches!$A$2:$A$301,0))&amp;"","(not found)"))</f>
        <v/>
      </c>
      <c r="P351" s="49" t="str">
        <f>IF(COUNTA($A351:$L351)=0,"",IF($A351="","Missing: entry ID",IF(COUNTIF($A$2:$A$2001,$A351)&gt;1,"Duplicate entry ID",IF(NOT(ISNUMBER($B351)),"Missing or invalid: date",IF($C351="","Missing: type",IF($D351="","Missing: SKU",IF(NOT(ISNUMBER($E351)),"Missing: qty",IF($F351="","Missing: lot",IF($I351="","Missing: source link",IF(COUNTIF(Config!$A$15:$A$34,$C351)=0,"Unsupported type",IF(COUNTIF(Products!$A$2:$A$101,$D351)=0,"Unknown SKU",IF(COUNTIFS(Batches!$A$2:$A$301,$F351,Batches!$B$2:$B$301,$D351)=0,"Unknown lot for this SKU",IF(AND($C351="Adjustment",$G351=""),"Missing: reason",IF(AND($G351&lt;&gt;"",COUNTIF(Config!$B$15:$B$34,$G351)=0),"Unsupported reason",IF(OR(INT($E351)&lt;&gt;$E351,AND(OR($C351="Receipt",$C351="Shipment"),$E351&lt;=0),AND($C351="Adjustment",$E351=0)),"Invalid qty",IF($B351&gt;Config!$B$4,"Date after the as-of date",IF($B351&lt;Config!$B$5,"Date before the opening balance date","OK")))))))))))))))))</f>
        <v/>
      </c>
    </row>
    <row r="352">
      <c r="A352" s="46" t="n"/>
      <c r="B352" s="54" t="n"/>
      <c r="C352" s="46" t="n"/>
      <c r="D352" s="46" t="n"/>
      <c r="E352" s="55" t="n"/>
      <c r="F352" s="46" t="n"/>
      <c r="G352" s="46" t="n"/>
      <c r="H352" s="46" t="n"/>
      <c r="I352" s="46" t="n"/>
      <c r="J352" s="46" t="n"/>
      <c r="K352" s="46" t="n"/>
      <c r="L352" s="46" t="n"/>
      <c r="M352" s="51" t="str">
        <f>IF(NOT(ISNUMBER($E352)),"",IF($C352="Receipt",$E352,IF($C352="Shipment",-$E352,IF($C352="Adjustment",$E352,0))))</f>
        <v/>
      </c>
      <c r="N352" s="49" t="str">
        <f>IF($D352="","",IFERROR(INDEX(Products!$B$2:$B$101,MATCH($D352,Products!$A$2:$A$101,0))&amp;"","(not found)"))</f>
        <v/>
      </c>
      <c r="O352" s="49" t="str">
        <f>IF($F352="","",IFERROR(INDEX(Batches!$B$2:$B$301,MATCH($F352,Batches!$A$2:$A$301,0))&amp;"","(not found)"))</f>
        <v/>
      </c>
      <c r="P352" s="49" t="str">
        <f>IF(COUNTA($A352:$L352)=0,"",IF($A352="","Missing: entry ID",IF(COUNTIF($A$2:$A$2001,$A352)&gt;1,"Duplicate entry ID",IF(NOT(ISNUMBER($B352)),"Missing or invalid: date",IF($C352="","Missing: type",IF($D352="","Missing: SKU",IF(NOT(ISNUMBER($E352)),"Missing: qty",IF($F352="","Missing: lot",IF($I352="","Missing: source link",IF(COUNTIF(Config!$A$15:$A$34,$C352)=0,"Unsupported type",IF(COUNTIF(Products!$A$2:$A$101,$D352)=0,"Unknown SKU",IF(COUNTIFS(Batches!$A$2:$A$301,$F352,Batches!$B$2:$B$301,$D352)=0,"Unknown lot for this SKU",IF(AND($C352="Adjustment",$G352=""),"Missing: reason",IF(AND($G352&lt;&gt;"",COUNTIF(Config!$B$15:$B$34,$G352)=0),"Unsupported reason",IF(OR(INT($E352)&lt;&gt;$E352,AND(OR($C352="Receipt",$C352="Shipment"),$E352&lt;=0),AND($C352="Adjustment",$E352=0)),"Invalid qty",IF($B352&gt;Config!$B$4,"Date after the as-of date",IF($B352&lt;Config!$B$5,"Date before the opening balance date","OK")))))))))))))))))</f>
        <v/>
      </c>
    </row>
    <row r="353">
      <c r="A353" s="46" t="n"/>
      <c r="B353" s="54" t="n"/>
      <c r="C353" s="46" t="n"/>
      <c r="D353" s="46" t="n"/>
      <c r="E353" s="55" t="n"/>
      <c r="F353" s="46" t="n"/>
      <c r="G353" s="46" t="n"/>
      <c r="H353" s="46" t="n"/>
      <c r="I353" s="46" t="n"/>
      <c r="J353" s="46" t="n"/>
      <c r="K353" s="46" t="n"/>
      <c r="L353" s="46" t="n"/>
      <c r="M353" s="51" t="str">
        <f>IF(NOT(ISNUMBER($E353)),"",IF($C353="Receipt",$E353,IF($C353="Shipment",-$E353,IF($C353="Adjustment",$E353,0))))</f>
        <v/>
      </c>
      <c r="N353" s="49" t="str">
        <f>IF($D353="","",IFERROR(INDEX(Products!$B$2:$B$101,MATCH($D353,Products!$A$2:$A$101,0))&amp;"","(not found)"))</f>
        <v/>
      </c>
      <c r="O353" s="49" t="str">
        <f>IF($F353="","",IFERROR(INDEX(Batches!$B$2:$B$301,MATCH($F353,Batches!$A$2:$A$301,0))&amp;"","(not found)"))</f>
        <v/>
      </c>
      <c r="P353" s="49" t="str">
        <f>IF(COUNTA($A353:$L353)=0,"",IF($A353="","Missing: entry ID",IF(COUNTIF($A$2:$A$2001,$A353)&gt;1,"Duplicate entry ID",IF(NOT(ISNUMBER($B353)),"Missing or invalid: date",IF($C353="","Missing: type",IF($D353="","Missing: SKU",IF(NOT(ISNUMBER($E353)),"Missing: qty",IF($F353="","Missing: lot",IF($I353="","Missing: source link",IF(COUNTIF(Config!$A$15:$A$34,$C353)=0,"Unsupported type",IF(COUNTIF(Products!$A$2:$A$101,$D353)=0,"Unknown SKU",IF(COUNTIFS(Batches!$A$2:$A$301,$F353,Batches!$B$2:$B$301,$D353)=0,"Unknown lot for this SKU",IF(AND($C353="Adjustment",$G353=""),"Missing: reason",IF(AND($G353&lt;&gt;"",COUNTIF(Config!$B$15:$B$34,$G353)=0),"Unsupported reason",IF(OR(INT($E353)&lt;&gt;$E353,AND(OR($C353="Receipt",$C353="Shipment"),$E353&lt;=0),AND($C353="Adjustment",$E353=0)),"Invalid qty",IF($B353&gt;Config!$B$4,"Date after the as-of date",IF($B353&lt;Config!$B$5,"Date before the opening balance date","OK")))))))))))))))))</f>
        <v/>
      </c>
    </row>
    <row r="354">
      <c r="A354" s="46" t="n"/>
      <c r="B354" s="54" t="n"/>
      <c r="C354" s="46" t="n"/>
      <c r="D354" s="46" t="n"/>
      <c r="E354" s="55" t="n"/>
      <c r="F354" s="46" t="n"/>
      <c r="G354" s="46" t="n"/>
      <c r="H354" s="46" t="n"/>
      <c r="I354" s="46" t="n"/>
      <c r="J354" s="46" t="n"/>
      <c r="K354" s="46" t="n"/>
      <c r="L354" s="46" t="n"/>
      <c r="M354" s="51" t="str">
        <f>IF(NOT(ISNUMBER($E354)),"",IF($C354="Receipt",$E354,IF($C354="Shipment",-$E354,IF($C354="Adjustment",$E354,0))))</f>
        <v/>
      </c>
      <c r="N354" s="49" t="str">
        <f>IF($D354="","",IFERROR(INDEX(Products!$B$2:$B$101,MATCH($D354,Products!$A$2:$A$101,0))&amp;"","(not found)"))</f>
        <v/>
      </c>
      <c r="O354" s="49" t="str">
        <f>IF($F354="","",IFERROR(INDEX(Batches!$B$2:$B$301,MATCH($F354,Batches!$A$2:$A$301,0))&amp;"","(not found)"))</f>
        <v/>
      </c>
      <c r="P354" s="49" t="str">
        <f>IF(COUNTA($A354:$L354)=0,"",IF($A354="","Missing: entry ID",IF(COUNTIF($A$2:$A$2001,$A354)&gt;1,"Duplicate entry ID",IF(NOT(ISNUMBER($B354)),"Missing or invalid: date",IF($C354="","Missing: type",IF($D354="","Missing: SKU",IF(NOT(ISNUMBER($E354)),"Missing: qty",IF($F354="","Missing: lot",IF($I354="","Missing: source link",IF(COUNTIF(Config!$A$15:$A$34,$C354)=0,"Unsupported type",IF(COUNTIF(Products!$A$2:$A$101,$D354)=0,"Unknown SKU",IF(COUNTIFS(Batches!$A$2:$A$301,$F354,Batches!$B$2:$B$301,$D354)=0,"Unknown lot for this SKU",IF(AND($C354="Adjustment",$G354=""),"Missing: reason",IF(AND($G354&lt;&gt;"",COUNTIF(Config!$B$15:$B$34,$G354)=0),"Unsupported reason",IF(OR(INT($E354)&lt;&gt;$E354,AND(OR($C354="Receipt",$C354="Shipment"),$E354&lt;=0),AND($C354="Adjustment",$E354=0)),"Invalid qty",IF($B354&gt;Config!$B$4,"Date after the as-of date",IF($B354&lt;Config!$B$5,"Date before the opening balance date","OK")))))))))))))))))</f>
        <v/>
      </c>
    </row>
    <row r="355">
      <c r="A355" s="46" t="n"/>
      <c r="B355" s="54" t="n"/>
      <c r="C355" s="46" t="n"/>
      <c r="D355" s="46" t="n"/>
      <c r="E355" s="55" t="n"/>
      <c r="F355" s="46" t="n"/>
      <c r="G355" s="46" t="n"/>
      <c r="H355" s="46" t="n"/>
      <c r="I355" s="46" t="n"/>
      <c r="J355" s="46" t="n"/>
      <c r="K355" s="46" t="n"/>
      <c r="L355" s="46" t="n"/>
      <c r="M355" s="51" t="str">
        <f>IF(NOT(ISNUMBER($E355)),"",IF($C355="Receipt",$E355,IF($C355="Shipment",-$E355,IF($C355="Adjustment",$E355,0))))</f>
        <v/>
      </c>
      <c r="N355" s="49" t="str">
        <f>IF($D355="","",IFERROR(INDEX(Products!$B$2:$B$101,MATCH($D355,Products!$A$2:$A$101,0))&amp;"","(not found)"))</f>
        <v/>
      </c>
      <c r="O355" s="49" t="str">
        <f>IF($F355="","",IFERROR(INDEX(Batches!$B$2:$B$301,MATCH($F355,Batches!$A$2:$A$301,0))&amp;"","(not found)"))</f>
        <v/>
      </c>
      <c r="P355" s="49" t="str">
        <f>IF(COUNTA($A355:$L355)=0,"",IF($A355="","Missing: entry ID",IF(COUNTIF($A$2:$A$2001,$A355)&gt;1,"Duplicate entry ID",IF(NOT(ISNUMBER($B355)),"Missing or invalid: date",IF($C355="","Missing: type",IF($D355="","Missing: SKU",IF(NOT(ISNUMBER($E355)),"Missing: qty",IF($F355="","Missing: lot",IF($I355="","Missing: source link",IF(COUNTIF(Config!$A$15:$A$34,$C355)=0,"Unsupported type",IF(COUNTIF(Products!$A$2:$A$101,$D355)=0,"Unknown SKU",IF(COUNTIFS(Batches!$A$2:$A$301,$F355,Batches!$B$2:$B$301,$D355)=0,"Unknown lot for this SKU",IF(AND($C355="Adjustment",$G355=""),"Missing: reason",IF(AND($G355&lt;&gt;"",COUNTIF(Config!$B$15:$B$34,$G355)=0),"Unsupported reason",IF(OR(INT($E355)&lt;&gt;$E355,AND(OR($C355="Receipt",$C355="Shipment"),$E355&lt;=0),AND($C355="Adjustment",$E355=0)),"Invalid qty",IF($B355&gt;Config!$B$4,"Date after the as-of date",IF($B355&lt;Config!$B$5,"Date before the opening balance date","OK")))))))))))))))))</f>
        <v/>
      </c>
    </row>
    <row r="356">
      <c r="A356" s="46" t="n"/>
      <c r="B356" s="54" t="n"/>
      <c r="C356" s="46" t="n"/>
      <c r="D356" s="46" t="n"/>
      <c r="E356" s="55" t="n"/>
      <c r="F356" s="46" t="n"/>
      <c r="G356" s="46" t="n"/>
      <c r="H356" s="46" t="n"/>
      <c r="I356" s="46" t="n"/>
      <c r="J356" s="46" t="n"/>
      <c r="K356" s="46" t="n"/>
      <c r="L356" s="46" t="n"/>
      <c r="M356" s="51" t="str">
        <f>IF(NOT(ISNUMBER($E356)),"",IF($C356="Receipt",$E356,IF($C356="Shipment",-$E356,IF($C356="Adjustment",$E356,0))))</f>
        <v/>
      </c>
      <c r="N356" s="49" t="str">
        <f>IF($D356="","",IFERROR(INDEX(Products!$B$2:$B$101,MATCH($D356,Products!$A$2:$A$101,0))&amp;"","(not found)"))</f>
        <v/>
      </c>
      <c r="O356" s="49" t="str">
        <f>IF($F356="","",IFERROR(INDEX(Batches!$B$2:$B$301,MATCH($F356,Batches!$A$2:$A$301,0))&amp;"","(not found)"))</f>
        <v/>
      </c>
      <c r="P356" s="49" t="str">
        <f>IF(COUNTA($A356:$L356)=0,"",IF($A356="","Missing: entry ID",IF(COUNTIF($A$2:$A$2001,$A356)&gt;1,"Duplicate entry ID",IF(NOT(ISNUMBER($B356)),"Missing or invalid: date",IF($C356="","Missing: type",IF($D356="","Missing: SKU",IF(NOT(ISNUMBER($E356)),"Missing: qty",IF($F356="","Missing: lot",IF($I356="","Missing: source link",IF(COUNTIF(Config!$A$15:$A$34,$C356)=0,"Unsupported type",IF(COUNTIF(Products!$A$2:$A$101,$D356)=0,"Unknown SKU",IF(COUNTIFS(Batches!$A$2:$A$301,$F356,Batches!$B$2:$B$301,$D356)=0,"Unknown lot for this SKU",IF(AND($C356="Adjustment",$G356=""),"Missing: reason",IF(AND($G356&lt;&gt;"",COUNTIF(Config!$B$15:$B$34,$G356)=0),"Unsupported reason",IF(OR(INT($E356)&lt;&gt;$E356,AND(OR($C356="Receipt",$C356="Shipment"),$E356&lt;=0),AND($C356="Adjustment",$E356=0)),"Invalid qty",IF($B356&gt;Config!$B$4,"Date after the as-of date",IF($B356&lt;Config!$B$5,"Date before the opening balance date","OK")))))))))))))))))</f>
        <v/>
      </c>
    </row>
    <row r="357">
      <c r="A357" s="46" t="n"/>
      <c r="B357" s="54" t="n"/>
      <c r="C357" s="46" t="n"/>
      <c r="D357" s="46" t="n"/>
      <c r="E357" s="55" t="n"/>
      <c r="F357" s="46" t="n"/>
      <c r="G357" s="46" t="n"/>
      <c r="H357" s="46" t="n"/>
      <c r="I357" s="46" t="n"/>
      <c r="J357" s="46" t="n"/>
      <c r="K357" s="46" t="n"/>
      <c r="L357" s="46" t="n"/>
      <c r="M357" s="51" t="str">
        <f>IF(NOT(ISNUMBER($E357)),"",IF($C357="Receipt",$E357,IF($C357="Shipment",-$E357,IF($C357="Adjustment",$E357,0))))</f>
        <v/>
      </c>
      <c r="N357" s="49" t="str">
        <f>IF($D357="","",IFERROR(INDEX(Products!$B$2:$B$101,MATCH($D357,Products!$A$2:$A$101,0))&amp;"","(not found)"))</f>
        <v/>
      </c>
      <c r="O357" s="49" t="str">
        <f>IF($F357="","",IFERROR(INDEX(Batches!$B$2:$B$301,MATCH($F357,Batches!$A$2:$A$301,0))&amp;"","(not found)"))</f>
        <v/>
      </c>
      <c r="P357" s="49" t="str">
        <f>IF(COUNTA($A357:$L357)=0,"",IF($A357="","Missing: entry ID",IF(COUNTIF($A$2:$A$2001,$A357)&gt;1,"Duplicate entry ID",IF(NOT(ISNUMBER($B357)),"Missing or invalid: date",IF($C357="","Missing: type",IF($D357="","Missing: SKU",IF(NOT(ISNUMBER($E357)),"Missing: qty",IF($F357="","Missing: lot",IF($I357="","Missing: source link",IF(COUNTIF(Config!$A$15:$A$34,$C357)=0,"Unsupported type",IF(COUNTIF(Products!$A$2:$A$101,$D357)=0,"Unknown SKU",IF(COUNTIFS(Batches!$A$2:$A$301,$F357,Batches!$B$2:$B$301,$D357)=0,"Unknown lot for this SKU",IF(AND($C357="Adjustment",$G357=""),"Missing: reason",IF(AND($G357&lt;&gt;"",COUNTIF(Config!$B$15:$B$34,$G357)=0),"Unsupported reason",IF(OR(INT($E357)&lt;&gt;$E357,AND(OR($C357="Receipt",$C357="Shipment"),$E357&lt;=0),AND($C357="Adjustment",$E357=0)),"Invalid qty",IF($B357&gt;Config!$B$4,"Date after the as-of date",IF($B357&lt;Config!$B$5,"Date before the opening balance date","OK")))))))))))))))))</f>
        <v/>
      </c>
    </row>
    <row r="358">
      <c r="A358" s="46" t="n"/>
      <c r="B358" s="54" t="n"/>
      <c r="C358" s="46" t="n"/>
      <c r="D358" s="46" t="n"/>
      <c r="E358" s="55" t="n"/>
      <c r="F358" s="46" t="n"/>
      <c r="G358" s="46" t="n"/>
      <c r="H358" s="46" t="n"/>
      <c r="I358" s="46" t="n"/>
      <c r="J358" s="46" t="n"/>
      <c r="K358" s="46" t="n"/>
      <c r="L358" s="46" t="n"/>
      <c r="M358" s="51" t="str">
        <f>IF(NOT(ISNUMBER($E358)),"",IF($C358="Receipt",$E358,IF($C358="Shipment",-$E358,IF($C358="Adjustment",$E358,0))))</f>
        <v/>
      </c>
      <c r="N358" s="49" t="str">
        <f>IF($D358="","",IFERROR(INDEX(Products!$B$2:$B$101,MATCH($D358,Products!$A$2:$A$101,0))&amp;"","(not found)"))</f>
        <v/>
      </c>
      <c r="O358" s="49" t="str">
        <f>IF($F358="","",IFERROR(INDEX(Batches!$B$2:$B$301,MATCH($F358,Batches!$A$2:$A$301,0))&amp;"","(not found)"))</f>
        <v/>
      </c>
      <c r="P358" s="49" t="str">
        <f>IF(COUNTA($A358:$L358)=0,"",IF($A358="","Missing: entry ID",IF(COUNTIF($A$2:$A$2001,$A358)&gt;1,"Duplicate entry ID",IF(NOT(ISNUMBER($B358)),"Missing or invalid: date",IF($C358="","Missing: type",IF($D358="","Missing: SKU",IF(NOT(ISNUMBER($E358)),"Missing: qty",IF($F358="","Missing: lot",IF($I358="","Missing: source link",IF(COUNTIF(Config!$A$15:$A$34,$C358)=0,"Unsupported type",IF(COUNTIF(Products!$A$2:$A$101,$D358)=0,"Unknown SKU",IF(COUNTIFS(Batches!$A$2:$A$301,$F358,Batches!$B$2:$B$301,$D358)=0,"Unknown lot for this SKU",IF(AND($C358="Adjustment",$G358=""),"Missing: reason",IF(AND($G358&lt;&gt;"",COUNTIF(Config!$B$15:$B$34,$G358)=0),"Unsupported reason",IF(OR(INT($E358)&lt;&gt;$E358,AND(OR($C358="Receipt",$C358="Shipment"),$E358&lt;=0),AND($C358="Adjustment",$E358=0)),"Invalid qty",IF($B358&gt;Config!$B$4,"Date after the as-of date",IF($B358&lt;Config!$B$5,"Date before the opening balance date","OK")))))))))))))))))</f>
        <v/>
      </c>
    </row>
    <row r="359">
      <c r="A359" s="46" t="n"/>
      <c r="B359" s="54" t="n"/>
      <c r="C359" s="46" t="n"/>
      <c r="D359" s="46" t="n"/>
      <c r="E359" s="55" t="n"/>
      <c r="F359" s="46" t="n"/>
      <c r="G359" s="46" t="n"/>
      <c r="H359" s="46" t="n"/>
      <c r="I359" s="46" t="n"/>
      <c r="J359" s="46" t="n"/>
      <c r="K359" s="46" t="n"/>
      <c r="L359" s="46" t="n"/>
      <c r="M359" s="51" t="str">
        <f>IF(NOT(ISNUMBER($E359)),"",IF($C359="Receipt",$E359,IF($C359="Shipment",-$E359,IF($C359="Adjustment",$E359,0))))</f>
        <v/>
      </c>
      <c r="N359" s="49" t="str">
        <f>IF($D359="","",IFERROR(INDEX(Products!$B$2:$B$101,MATCH($D359,Products!$A$2:$A$101,0))&amp;"","(not found)"))</f>
        <v/>
      </c>
      <c r="O359" s="49" t="str">
        <f>IF($F359="","",IFERROR(INDEX(Batches!$B$2:$B$301,MATCH($F359,Batches!$A$2:$A$301,0))&amp;"","(not found)"))</f>
        <v/>
      </c>
      <c r="P359" s="49" t="str">
        <f>IF(COUNTA($A359:$L359)=0,"",IF($A359="","Missing: entry ID",IF(COUNTIF($A$2:$A$2001,$A359)&gt;1,"Duplicate entry ID",IF(NOT(ISNUMBER($B359)),"Missing or invalid: date",IF($C359="","Missing: type",IF($D359="","Missing: SKU",IF(NOT(ISNUMBER($E359)),"Missing: qty",IF($F359="","Missing: lot",IF($I359="","Missing: source link",IF(COUNTIF(Config!$A$15:$A$34,$C359)=0,"Unsupported type",IF(COUNTIF(Products!$A$2:$A$101,$D359)=0,"Unknown SKU",IF(COUNTIFS(Batches!$A$2:$A$301,$F359,Batches!$B$2:$B$301,$D359)=0,"Unknown lot for this SKU",IF(AND($C359="Adjustment",$G359=""),"Missing: reason",IF(AND($G359&lt;&gt;"",COUNTIF(Config!$B$15:$B$34,$G359)=0),"Unsupported reason",IF(OR(INT($E359)&lt;&gt;$E359,AND(OR($C359="Receipt",$C359="Shipment"),$E359&lt;=0),AND($C359="Adjustment",$E359=0)),"Invalid qty",IF($B359&gt;Config!$B$4,"Date after the as-of date",IF($B359&lt;Config!$B$5,"Date before the opening balance date","OK")))))))))))))))))</f>
        <v/>
      </c>
    </row>
    <row r="360">
      <c r="A360" s="46" t="n"/>
      <c r="B360" s="54" t="n"/>
      <c r="C360" s="46" t="n"/>
      <c r="D360" s="46" t="n"/>
      <c r="E360" s="55" t="n"/>
      <c r="F360" s="46" t="n"/>
      <c r="G360" s="46" t="n"/>
      <c r="H360" s="46" t="n"/>
      <c r="I360" s="46" t="n"/>
      <c r="J360" s="46" t="n"/>
      <c r="K360" s="46" t="n"/>
      <c r="L360" s="46" t="n"/>
      <c r="M360" s="51" t="str">
        <f>IF(NOT(ISNUMBER($E360)),"",IF($C360="Receipt",$E360,IF($C360="Shipment",-$E360,IF($C360="Adjustment",$E360,0))))</f>
        <v/>
      </c>
      <c r="N360" s="49" t="str">
        <f>IF($D360="","",IFERROR(INDEX(Products!$B$2:$B$101,MATCH($D360,Products!$A$2:$A$101,0))&amp;"","(not found)"))</f>
        <v/>
      </c>
      <c r="O360" s="49" t="str">
        <f>IF($F360="","",IFERROR(INDEX(Batches!$B$2:$B$301,MATCH($F360,Batches!$A$2:$A$301,0))&amp;"","(not found)"))</f>
        <v/>
      </c>
      <c r="P360" s="49" t="str">
        <f>IF(COUNTA($A360:$L360)=0,"",IF($A360="","Missing: entry ID",IF(COUNTIF($A$2:$A$2001,$A360)&gt;1,"Duplicate entry ID",IF(NOT(ISNUMBER($B360)),"Missing or invalid: date",IF($C360="","Missing: type",IF($D360="","Missing: SKU",IF(NOT(ISNUMBER($E360)),"Missing: qty",IF($F360="","Missing: lot",IF($I360="","Missing: source link",IF(COUNTIF(Config!$A$15:$A$34,$C360)=0,"Unsupported type",IF(COUNTIF(Products!$A$2:$A$101,$D360)=0,"Unknown SKU",IF(COUNTIFS(Batches!$A$2:$A$301,$F360,Batches!$B$2:$B$301,$D360)=0,"Unknown lot for this SKU",IF(AND($C360="Adjustment",$G360=""),"Missing: reason",IF(AND($G360&lt;&gt;"",COUNTIF(Config!$B$15:$B$34,$G360)=0),"Unsupported reason",IF(OR(INT($E360)&lt;&gt;$E360,AND(OR($C360="Receipt",$C360="Shipment"),$E360&lt;=0),AND($C360="Adjustment",$E360=0)),"Invalid qty",IF($B360&gt;Config!$B$4,"Date after the as-of date",IF($B360&lt;Config!$B$5,"Date before the opening balance date","OK")))))))))))))))))</f>
        <v/>
      </c>
    </row>
    <row r="361">
      <c r="A361" s="46" t="n"/>
      <c r="B361" s="54" t="n"/>
      <c r="C361" s="46" t="n"/>
      <c r="D361" s="46" t="n"/>
      <c r="E361" s="55" t="n"/>
      <c r="F361" s="46" t="n"/>
      <c r="G361" s="46" t="n"/>
      <c r="H361" s="46" t="n"/>
      <c r="I361" s="46" t="n"/>
      <c r="J361" s="46" t="n"/>
      <c r="K361" s="46" t="n"/>
      <c r="L361" s="46" t="n"/>
      <c r="M361" s="51" t="str">
        <f>IF(NOT(ISNUMBER($E361)),"",IF($C361="Receipt",$E361,IF($C361="Shipment",-$E361,IF($C361="Adjustment",$E361,0))))</f>
        <v/>
      </c>
      <c r="N361" s="49" t="str">
        <f>IF($D361="","",IFERROR(INDEX(Products!$B$2:$B$101,MATCH($D361,Products!$A$2:$A$101,0))&amp;"","(not found)"))</f>
        <v/>
      </c>
      <c r="O361" s="49" t="str">
        <f>IF($F361="","",IFERROR(INDEX(Batches!$B$2:$B$301,MATCH($F361,Batches!$A$2:$A$301,0))&amp;"","(not found)"))</f>
        <v/>
      </c>
      <c r="P361" s="49" t="str">
        <f>IF(COUNTA($A361:$L361)=0,"",IF($A361="","Missing: entry ID",IF(COUNTIF($A$2:$A$2001,$A361)&gt;1,"Duplicate entry ID",IF(NOT(ISNUMBER($B361)),"Missing or invalid: date",IF($C361="","Missing: type",IF($D361="","Missing: SKU",IF(NOT(ISNUMBER($E361)),"Missing: qty",IF($F361="","Missing: lot",IF($I361="","Missing: source link",IF(COUNTIF(Config!$A$15:$A$34,$C361)=0,"Unsupported type",IF(COUNTIF(Products!$A$2:$A$101,$D361)=0,"Unknown SKU",IF(COUNTIFS(Batches!$A$2:$A$301,$F361,Batches!$B$2:$B$301,$D361)=0,"Unknown lot for this SKU",IF(AND($C361="Adjustment",$G361=""),"Missing: reason",IF(AND($G361&lt;&gt;"",COUNTIF(Config!$B$15:$B$34,$G361)=0),"Unsupported reason",IF(OR(INT($E361)&lt;&gt;$E361,AND(OR($C361="Receipt",$C361="Shipment"),$E361&lt;=0),AND($C361="Adjustment",$E361=0)),"Invalid qty",IF($B361&gt;Config!$B$4,"Date after the as-of date",IF($B361&lt;Config!$B$5,"Date before the opening balance date","OK")))))))))))))))))</f>
        <v/>
      </c>
    </row>
    <row r="362">
      <c r="A362" s="46" t="n"/>
      <c r="B362" s="54" t="n"/>
      <c r="C362" s="46" t="n"/>
      <c r="D362" s="46" t="n"/>
      <c r="E362" s="55" t="n"/>
      <c r="F362" s="46" t="n"/>
      <c r="G362" s="46" t="n"/>
      <c r="H362" s="46" t="n"/>
      <c r="I362" s="46" t="n"/>
      <c r="J362" s="46" t="n"/>
      <c r="K362" s="46" t="n"/>
      <c r="L362" s="46" t="n"/>
      <c r="M362" s="51" t="str">
        <f>IF(NOT(ISNUMBER($E362)),"",IF($C362="Receipt",$E362,IF($C362="Shipment",-$E362,IF($C362="Adjustment",$E362,0))))</f>
        <v/>
      </c>
      <c r="N362" s="49" t="str">
        <f>IF($D362="","",IFERROR(INDEX(Products!$B$2:$B$101,MATCH($D362,Products!$A$2:$A$101,0))&amp;"","(not found)"))</f>
        <v/>
      </c>
      <c r="O362" s="49" t="str">
        <f>IF($F362="","",IFERROR(INDEX(Batches!$B$2:$B$301,MATCH($F362,Batches!$A$2:$A$301,0))&amp;"","(not found)"))</f>
        <v/>
      </c>
      <c r="P362" s="49" t="str">
        <f>IF(COUNTA($A362:$L362)=0,"",IF($A362="","Missing: entry ID",IF(COUNTIF($A$2:$A$2001,$A362)&gt;1,"Duplicate entry ID",IF(NOT(ISNUMBER($B362)),"Missing or invalid: date",IF($C362="","Missing: type",IF($D362="","Missing: SKU",IF(NOT(ISNUMBER($E362)),"Missing: qty",IF($F362="","Missing: lot",IF($I362="","Missing: source link",IF(COUNTIF(Config!$A$15:$A$34,$C362)=0,"Unsupported type",IF(COUNTIF(Products!$A$2:$A$101,$D362)=0,"Unknown SKU",IF(COUNTIFS(Batches!$A$2:$A$301,$F362,Batches!$B$2:$B$301,$D362)=0,"Unknown lot for this SKU",IF(AND($C362="Adjustment",$G362=""),"Missing: reason",IF(AND($G362&lt;&gt;"",COUNTIF(Config!$B$15:$B$34,$G362)=0),"Unsupported reason",IF(OR(INT($E362)&lt;&gt;$E362,AND(OR($C362="Receipt",$C362="Shipment"),$E362&lt;=0),AND($C362="Adjustment",$E362=0)),"Invalid qty",IF($B362&gt;Config!$B$4,"Date after the as-of date",IF($B362&lt;Config!$B$5,"Date before the opening balance date","OK")))))))))))))))))</f>
        <v/>
      </c>
    </row>
    <row r="363">
      <c r="A363" s="46" t="n"/>
      <c r="B363" s="54" t="n"/>
      <c r="C363" s="46" t="n"/>
      <c r="D363" s="46" t="n"/>
      <c r="E363" s="55" t="n"/>
      <c r="F363" s="46" t="n"/>
      <c r="G363" s="46" t="n"/>
      <c r="H363" s="46" t="n"/>
      <c r="I363" s="46" t="n"/>
      <c r="J363" s="46" t="n"/>
      <c r="K363" s="46" t="n"/>
      <c r="L363" s="46" t="n"/>
      <c r="M363" s="51" t="str">
        <f>IF(NOT(ISNUMBER($E363)),"",IF($C363="Receipt",$E363,IF($C363="Shipment",-$E363,IF($C363="Adjustment",$E363,0))))</f>
        <v/>
      </c>
      <c r="N363" s="49" t="str">
        <f>IF($D363="","",IFERROR(INDEX(Products!$B$2:$B$101,MATCH($D363,Products!$A$2:$A$101,0))&amp;"","(not found)"))</f>
        <v/>
      </c>
      <c r="O363" s="49" t="str">
        <f>IF($F363="","",IFERROR(INDEX(Batches!$B$2:$B$301,MATCH($F363,Batches!$A$2:$A$301,0))&amp;"","(not found)"))</f>
        <v/>
      </c>
      <c r="P363" s="49" t="str">
        <f>IF(COUNTA($A363:$L363)=0,"",IF($A363="","Missing: entry ID",IF(COUNTIF($A$2:$A$2001,$A363)&gt;1,"Duplicate entry ID",IF(NOT(ISNUMBER($B363)),"Missing or invalid: date",IF($C363="","Missing: type",IF($D363="","Missing: SKU",IF(NOT(ISNUMBER($E363)),"Missing: qty",IF($F363="","Missing: lot",IF($I363="","Missing: source link",IF(COUNTIF(Config!$A$15:$A$34,$C363)=0,"Unsupported type",IF(COUNTIF(Products!$A$2:$A$101,$D363)=0,"Unknown SKU",IF(COUNTIFS(Batches!$A$2:$A$301,$F363,Batches!$B$2:$B$301,$D363)=0,"Unknown lot for this SKU",IF(AND($C363="Adjustment",$G363=""),"Missing: reason",IF(AND($G363&lt;&gt;"",COUNTIF(Config!$B$15:$B$34,$G363)=0),"Unsupported reason",IF(OR(INT($E363)&lt;&gt;$E363,AND(OR($C363="Receipt",$C363="Shipment"),$E363&lt;=0),AND($C363="Adjustment",$E363=0)),"Invalid qty",IF($B363&gt;Config!$B$4,"Date after the as-of date",IF($B363&lt;Config!$B$5,"Date before the opening balance date","OK")))))))))))))))))</f>
        <v/>
      </c>
    </row>
    <row r="364">
      <c r="A364" s="46" t="n"/>
      <c r="B364" s="54" t="n"/>
      <c r="C364" s="46" t="n"/>
      <c r="D364" s="46" t="n"/>
      <c r="E364" s="55" t="n"/>
      <c r="F364" s="46" t="n"/>
      <c r="G364" s="46" t="n"/>
      <c r="H364" s="46" t="n"/>
      <c r="I364" s="46" t="n"/>
      <c r="J364" s="46" t="n"/>
      <c r="K364" s="46" t="n"/>
      <c r="L364" s="46" t="n"/>
      <c r="M364" s="51" t="str">
        <f>IF(NOT(ISNUMBER($E364)),"",IF($C364="Receipt",$E364,IF($C364="Shipment",-$E364,IF($C364="Adjustment",$E364,0))))</f>
        <v/>
      </c>
      <c r="N364" s="49" t="str">
        <f>IF($D364="","",IFERROR(INDEX(Products!$B$2:$B$101,MATCH($D364,Products!$A$2:$A$101,0))&amp;"","(not found)"))</f>
        <v/>
      </c>
      <c r="O364" s="49" t="str">
        <f>IF($F364="","",IFERROR(INDEX(Batches!$B$2:$B$301,MATCH($F364,Batches!$A$2:$A$301,0))&amp;"","(not found)"))</f>
        <v/>
      </c>
      <c r="P364" s="49" t="str">
        <f>IF(COUNTA($A364:$L364)=0,"",IF($A364="","Missing: entry ID",IF(COUNTIF($A$2:$A$2001,$A364)&gt;1,"Duplicate entry ID",IF(NOT(ISNUMBER($B364)),"Missing or invalid: date",IF($C364="","Missing: type",IF($D364="","Missing: SKU",IF(NOT(ISNUMBER($E364)),"Missing: qty",IF($F364="","Missing: lot",IF($I364="","Missing: source link",IF(COUNTIF(Config!$A$15:$A$34,$C364)=0,"Unsupported type",IF(COUNTIF(Products!$A$2:$A$101,$D364)=0,"Unknown SKU",IF(COUNTIFS(Batches!$A$2:$A$301,$F364,Batches!$B$2:$B$301,$D364)=0,"Unknown lot for this SKU",IF(AND($C364="Adjustment",$G364=""),"Missing: reason",IF(AND($G364&lt;&gt;"",COUNTIF(Config!$B$15:$B$34,$G364)=0),"Unsupported reason",IF(OR(INT($E364)&lt;&gt;$E364,AND(OR($C364="Receipt",$C364="Shipment"),$E364&lt;=0),AND($C364="Adjustment",$E364=0)),"Invalid qty",IF($B364&gt;Config!$B$4,"Date after the as-of date",IF($B364&lt;Config!$B$5,"Date before the opening balance date","OK")))))))))))))))))</f>
        <v/>
      </c>
    </row>
    <row r="365">
      <c r="A365" s="46" t="n"/>
      <c r="B365" s="54" t="n"/>
      <c r="C365" s="46" t="n"/>
      <c r="D365" s="46" t="n"/>
      <c r="E365" s="55" t="n"/>
      <c r="F365" s="46" t="n"/>
      <c r="G365" s="46" t="n"/>
      <c r="H365" s="46" t="n"/>
      <c r="I365" s="46" t="n"/>
      <c r="J365" s="46" t="n"/>
      <c r="K365" s="46" t="n"/>
      <c r="L365" s="46" t="n"/>
      <c r="M365" s="51" t="str">
        <f>IF(NOT(ISNUMBER($E365)),"",IF($C365="Receipt",$E365,IF($C365="Shipment",-$E365,IF($C365="Adjustment",$E365,0))))</f>
        <v/>
      </c>
      <c r="N365" s="49" t="str">
        <f>IF($D365="","",IFERROR(INDEX(Products!$B$2:$B$101,MATCH($D365,Products!$A$2:$A$101,0))&amp;"","(not found)"))</f>
        <v/>
      </c>
      <c r="O365" s="49" t="str">
        <f>IF($F365="","",IFERROR(INDEX(Batches!$B$2:$B$301,MATCH($F365,Batches!$A$2:$A$301,0))&amp;"","(not found)"))</f>
        <v/>
      </c>
      <c r="P365" s="49" t="str">
        <f>IF(COUNTA($A365:$L365)=0,"",IF($A365="","Missing: entry ID",IF(COUNTIF($A$2:$A$2001,$A365)&gt;1,"Duplicate entry ID",IF(NOT(ISNUMBER($B365)),"Missing or invalid: date",IF($C365="","Missing: type",IF($D365="","Missing: SKU",IF(NOT(ISNUMBER($E365)),"Missing: qty",IF($F365="","Missing: lot",IF($I365="","Missing: source link",IF(COUNTIF(Config!$A$15:$A$34,$C365)=0,"Unsupported type",IF(COUNTIF(Products!$A$2:$A$101,$D365)=0,"Unknown SKU",IF(COUNTIFS(Batches!$A$2:$A$301,$F365,Batches!$B$2:$B$301,$D365)=0,"Unknown lot for this SKU",IF(AND($C365="Adjustment",$G365=""),"Missing: reason",IF(AND($G365&lt;&gt;"",COUNTIF(Config!$B$15:$B$34,$G365)=0),"Unsupported reason",IF(OR(INT($E365)&lt;&gt;$E365,AND(OR($C365="Receipt",$C365="Shipment"),$E365&lt;=0),AND($C365="Adjustment",$E365=0)),"Invalid qty",IF($B365&gt;Config!$B$4,"Date after the as-of date",IF($B365&lt;Config!$B$5,"Date before the opening balance date","OK")))))))))))))))))</f>
        <v/>
      </c>
    </row>
    <row r="366">
      <c r="A366" s="46" t="n"/>
      <c r="B366" s="54" t="n"/>
      <c r="C366" s="46" t="n"/>
      <c r="D366" s="46" t="n"/>
      <c r="E366" s="55" t="n"/>
      <c r="F366" s="46" t="n"/>
      <c r="G366" s="46" t="n"/>
      <c r="H366" s="46" t="n"/>
      <c r="I366" s="46" t="n"/>
      <c r="J366" s="46" t="n"/>
      <c r="K366" s="46" t="n"/>
      <c r="L366" s="46" t="n"/>
      <c r="M366" s="51" t="str">
        <f>IF(NOT(ISNUMBER($E366)),"",IF($C366="Receipt",$E366,IF($C366="Shipment",-$E366,IF($C366="Adjustment",$E366,0))))</f>
        <v/>
      </c>
      <c r="N366" s="49" t="str">
        <f>IF($D366="","",IFERROR(INDEX(Products!$B$2:$B$101,MATCH($D366,Products!$A$2:$A$101,0))&amp;"","(not found)"))</f>
        <v/>
      </c>
      <c r="O366" s="49" t="str">
        <f>IF($F366="","",IFERROR(INDEX(Batches!$B$2:$B$301,MATCH($F366,Batches!$A$2:$A$301,0))&amp;"","(not found)"))</f>
        <v/>
      </c>
      <c r="P366" s="49" t="str">
        <f>IF(COUNTA($A366:$L366)=0,"",IF($A366="","Missing: entry ID",IF(COUNTIF($A$2:$A$2001,$A366)&gt;1,"Duplicate entry ID",IF(NOT(ISNUMBER($B366)),"Missing or invalid: date",IF($C366="","Missing: type",IF($D366="","Missing: SKU",IF(NOT(ISNUMBER($E366)),"Missing: qty",IF($F366="","Missing: lot",IF($I366="","Missing: source link",IF(COUNTIF(Config!$A$15:$A$34,$C366)=0,"Unsupported type",IF(COUNTIF(Products!$A$2:$A$101,$D366)=0,"Unknown SKU",IF(COUNTIFS(Batches!$A$2:$A$301,$F366,Batches!$B$2:$B$301,$D366)=0,"Unknown lot for this SKU",IF(AND($C366="Adjustment",$G366=""),"Missing: reason",IF(AND($G366&lt;&gt;"",COUNTIF(Config!$B$15:$B$34,$G366)=0),"Unsupported reason",IF(OR(INT($E366)&lt;&gt;$E366,AND(OR($C366="Receipt",$C366="Shipment"),$E366&lt;=0),AND($C366="Adjustment",$E366=0)),"Invalid qty",IF($B366&gt;Config!$B$4,"Date after the as-of date",IF($B366&lt;Config!$B$5,"Date before the opening balance date","OK")))))))))))))))))</f>
        <v/>
      </c>
    </row>
    <row r="367">
      <c r="A367" s="46" t="n"/>
      <c r="B367" s="54" t="n"/>
      <c r="C367" s="46" t="n"/>
      <c r="D367" s="46" t="n"/>
      <c r="E367" s="55" t="n"/>
      <c r="F367" s="46" t="n"/>
      <c r="G367" s="46" t="n"/>
      <c r="H367" s="46" t="n"/>
      <c r="I367" s="46" t="n"/>
      <c r="J367" s="46" t="n"/>
      <c r="K367" s="46" t="n"/>
      <c r="L367" s="46" t="n"/>
      <c r="M367" s="51" t="str">
        <f>IF(NOT(ISNUMBER($E367)),"",IF($C367="Receipt",$E367,IF($C367="Shipment",-$E367,IF($C367="Adjustment",$E367,0))))</f>
        <v/>
      </c>
      <c r="N367" s="49" t="str">
        <f>IF($D367="","",IFERROR(INDEX(Products!$B$2:$B$101,MATCH($D367,Products!$A$2:$A$101,0))&amp;"","(not found)"))</f>
        <v/>
      </c>
      <c r="O367" s="49" t="str">
        <f>IF($F367="","",IFERROR(INDEX(Batches!$B$2:$B$301,MATCH($F367,Batches!$A$2:$A$301,0))&amp;"","(not found)"))</f>
        <v/>
      </c>
      <c r="P367" s="49" t="str">
        <f>IF(COUNTA($A367:$L367)=0,"",IF($A367="","Missing: entry ID",IF(COUNTIF($A$2:$A$2001,$A367)&gt;1,"Duplicate entry ID",IF(NOT(ISNUMBER($B367)),"Missing or invalid: date",IF($C367="","Missing: type",IF($D367="","Missing: SKU",IF(NOT(ISNUMBER($E367)),"Missing: qty",IF($F367="","Missing: lot",IF($I367="","Missing: source link",IF(COUNTIF(Config!$A$15:$A$34,$C367)=0,"Unsupported type",IF(COUNTIF(Products!$A$2:$A$101,$D367)=0,"Unknown SKU",IF(COUNTIFS(Batches!$A$2:$A$301,$F367,Batches!$B$2:$B$301,$D367)=0,"Unknown lot for this SKU",IF(AND($C367="Adjustment",$G367=""),"Missing: reason",IF(AND($G367&lt;&gt;"",COUNTIF(Config!$B$15:$B$34,$G367)=0),"Unsupported reason",IF(OR(INT($E367)&lt;&gt;$E367,AND(OR($C367="Receipt",$C367="Shipment"),$E367&lt;=0),AND($C367="Adjustment",$E367=0)),"Invalid qty",IF($B367&gt;Config!$B$4,"Date after the as-of date",IF($B367&lt;Config!$B$5,"Date before the opening balance date","OK")))))))))))))))))</f>
        <v/>
      </c>
    </row>
    <row r="368">
      <c r="A368" s="46" t="n"/>
      <c r="B368" s="54" t="n"/>
      <c r="C368" s="46" t="n"/>
      <c r="D368" s="46" t="n"/>
      <c r="E368" s="55" t="n"/>
      <c r="F368" s="46" t="n"/>
      <c r="G368" s="46" t="n"/>
      <c r="H368" s="46" t="n"/>
      <c r="I368" s="46" t="n"/>
      <c r="J368" s="46" t="n"/>
      <c r="K368" s="46" t="n"/>
      <c r="L368" s="46" t="n"/>
      <c r="M368" s="51" t="str">
        <f>IF(NOT(ISNUMBER($E368)),"",IF($C368="Receipt",$E368,IF($C368="Shipment",-$E368,IF($C368="Adjustment",$E368,0))))</f>
        <v/>
      </c>
      <c r="N368" s="49" t="str">
        <f>IF($D368="","",IFERROR(INDEX(Products!$B$2:$B$101,MATCH($D368,Products!$A$2:$A$101,0))&amp;"","(not found)"))</f>
        <v/>
      </c>
      <c r="O368" s="49" t="str">
        <f>IF($F368="","",IFERROR(INDEX(Batches!$B$2:$B$301,MATCH($F368,Batches!$A$2:$A$301,0))&amp;"","(not found)"))</f>
        <v/>
      </c>
      <c r="P368" s="49" t="str">
        <f>IF(COUNTA($A368:$L368)=0,"",IF($A368="","Missing: entry ID",IF(COUNTIF($A$2:$A$2001,$A368)&gt;1,"Duplicate entry ID",IF(NOT(ISNUMBER($B368)),"Missing or invalid: date",IF($C368="","Missing: type",IF($D368="","Missing: SKU",IF(NOT(ISNUMBER($E368)),"Missing: qty",IF($F368="","Missing: lot",IF($I368="","Missing: source link",IF(COUNTIF(Config!$A$15:$A$34,$C368)=0,"Unsupported type",IF(COUNTIF(Products!$A$2:$A$101,$D368)=0,"Unknown SKU",IF(COUNTIFS(Batches!$A$2:$A$301,$F368,Batches!$B$2:$B$301,$D368)=0,"Unknown lot for this SKU",IF(AND($C368="Adjustment",$G368=""),"Missing: reason",IF(AND($G368&lt;&gt;"",COUNTIF(Config!$B$15:$B$34,$G368)=0),"Unsupported reason",IF(OR(INT($E368)&lt;&gt;$E368,AND(OR($C368="Receipt",$C368="Shipment"),$E368&lt;=0),AND($C368="Adjustment",$E368=0)),"Invalid qty",IF($B368&gt;Config!$B$4,"Date after the as-of date",IF($B368&lt;Config!$B$5,"Date before the opening balance date","OK")))))))))))))))))</f>
        <v/>
      </c>
    </row>
    <row r="369">
      <c r="A369" s="46" t="n"/>
      <c r="B369" s="54" t="n"/>
      <c r="C369" s="46" t="n"/>
      <c r="D369" s="46" t="n"/>
      <c r="E369" s="55" t="n"/>
      <c r="F369" s="46" t="n"/>
      <c r="G369" s="46" t="n"/>
      <c r="H369" s="46" t="n"/>
      <c r="I369" s="46" t="n"/>
      <c r="J369" s="46" t="n"/>
      <c r="K369" s="46" t="n"/>
      <c r="L369" s="46" t="n"/>
      <c r="M369" s="51" t="str">
        <f>IF(NOT(ISNUMBER($E369)),"",IF($C369="Receipt",$E369,IF($C369="Shipment",-$E369,IF($C369="Adjustment",$E369,0))))</f>
        <v/>
      </c>
      <c r="N369" s="49" t="str">
        <f>IF($D369="","",IFERROR(INDEX(Products!$B$2:$B$101,MATCH($D369,Products!$A$2:$A$101,0))&amp;"","(not found)"))</f>
        <v/>
      </c>
      <c r="O369" s="49" t="str">
        <f>IF($F369="","",IFERROR(INDEX(Batches!$B$2:$B$301,MATCH($F369,Batches!$A$2:$A$301,0))&amp;"","(not found)"))</f>
        <v/>
      </c>
      <c r="P369" s="49" t="str">
        <f>IF(COUNTA($A369:$L369)=0,"",IF($A369="","Missing: entry ID",IF(COUNTIF($A$2:$A$2001,$A369)&gt;1,"Duplicate entry ID",IF(NOT(ISNUMBER($B369)),"Missing or invalid: date",IF($C369="","Missing: type",IF($D369="","Missing: SKU",IF(NOT(ISNUMBER($E369)),"Missing: qty",IF($F369="","Missing: lot",IF($I369="","Missing: source link",IF(COUNTIF(Config!$A$15:$A$34,$C369)=0,"Unsupported type",IF(COUNTIF(Products!$A$2:$A$101,$D369)=0,"Unknown SKU",IF(COUNTIFS(Batches!$A$2:$A$301,$F369,Batches!$B$2:$B$301,$D369)=0,"Unknown lot for this SKU",IF(AND($C369="Adjustment",$G369=""),"Missing: reason",IF(AND($G369&lt;&gt;"",COUNTIF(Config!$B$15:$B$34,$G369)=0),"Unsupported reason",IF(OR(INT($E369)&lt;&gt;$E369,AND(OR($C369="Receipt",$C369="Shipment"),$E369&lt;=0),AND($C369="Adjustment",$E369=0)),"Invalid qty",IF($B369&gt;Config!$B$4,"Date after the as-of date",IF($B369&lt;Config!$B$5,"Date before the opening balance date","OK")))))))))))))))))</f>
        <v/>
      </c>
    </row>
    <row r="370">
      <c r="A370" s="46" t="n"/>
      <c r="B370" s="54" t="n"/>
      <c r="C370" s="46" t="n"/>
      <c r="D370" s="46" t="n"/>
      <c r="E370" s="55" t="n"/>
      <c r="F370" s="46" t="n"/>
      <c r="G370" s="46" t="n"/>
      <c r="H370" s="46" t="n"/>
      <c r="I370" s="46" t="n"/>
      <c r="J370" s="46" t="n"/>
      <c r="K370" s="46" t="n"/>
      <c r="L370" s="46" t="n"/>
      <c r="M370" s="51" t="str">
        <f>IF(NOT(ISNUMBER($E370)),"",IF($C370="Receipt",$E370,IF($C370="Shipment",-$E370,IF($C370="Adjustment",$E370,0))))</f>
        <v/>
      </c>
      <c r="N370" s="49" t="str">
        <f>IF($D370="","",IFERROR(INDEX(Products!$B$2:$B$101,MATCH($D370,Products!$A$2:$A$101,0))&amp;"","(not found)"))</f>
        <v/>
      </c>
      <c r="O370" s="49" t="str">
        <f>IF($F370="","",IFERROR(INDEX(Batches!$B$2:$B$301,MATCH($F370,Batches!$A$2:$A$301,0))&amp;"","(not found)"))</f>
        <v/>
      </c>
      <c r="P370" s="49" t="str">
        <f>IF(COUNTA($A370:$L370)=0,"",IF($A370="","Missing: entry ID",IF(COUNTIF($A$2:$A$2001,$A370)&gt;1,"Duplicate entry ID",IF(NOT(ISNUMBER($B370)),"Missing or invalid: date",IF($C370="","Missing: type",IF($D370="","Missing: SKU",IF(NOT(ISNUMBER($E370)),"Missing: qty",IF($F370="","Missing: lot",IF($I370="","Missing: source link",IF(COUNTIF(Config!$A$15:$A$34,$C370)=0,"Unsupported type",IF(COUNTIF(Products!$A$2:$A$101,$D370)=0,"Unknown SKU",IF(COUNTIFS(Batches!$A$2:$A$301,$F370,Batches!$B$2:$B$301,$D370)=0,"Unknown lot for this SKU",IF(AND($C370="Adjustment",$G370=""),"Missing: reason",IF(AND($G370&lt;&gt;"",COUNTIF(Config!$B$15:$B$34,$G370)=0),"Unsupported reason",IF(OR(INT($E370)&lt;&gt;$E370,AND(OR($C370="Receipt",$C370="Shipment"),$E370&lt;=0),AND($C370="Adjustment",$E370=0)),"Invalid qty",IF($B370&gt;Config!$B$4,"Date after the as-of date",IF($B370&lt;Config!$B$5,"Date before the opening balance date","OK")))))))))))))))))</f>
        <v/>
      </c>
    </row>
    <row r="371">
      <c r="A371" s="46" t="n"/>
      <c r="B371" s="54" t="n"/>
      <c r="C371" s="46" t="n"/>
      <c r="D371" s="46" t="n"/>
      <c r="E371" s="55" t="n"/>
      <c r="F371" s="46" t="n"/>
      <c r="G371" s="46" t="n"/>
      <c r="H371" s="46" t="n"/>
      <c r="I371" s="46" t="n"/>
      <c r="J371" s="46" t="n"/>
      <c r="K371" s="46" t="n"/>
      <c r="L371" s="46" t="n"/>
      <c r="M371" s="51" t="str">
        <f>IF(NOT(ISNUMBER($E371)),"",IF($C371="Receipt",$E371,IF($C371="Shipment",-$E371,IF($C371="Adjustment",$E371,0))))</f>
        <v/>
      </c>
      <c r="N371" s="49" t="str">
        <f>IF($D371="","",IFERROR(INDEX(Products!$B$2:$B$101,MATCH($D371,Products!$A$2:$A$101,0))&amp;"","(not found)"))</f>
        <v/>
      </c>
      <c r="O371" s="49" t="str">
        <f>IF($F371="","",IFERROR(INDEX(Batches!$B$2:$B$301,MATCH($F371,Batches!$A$2:$A$301,0))&amp;"","(not found)"))</f>
        <v/>
      </c>
      <c r="P371" s="49" t="str">
        <f>IF(COUNTA($A371:$L371)=0,"",IF($A371="","Missing: entry ID",IF(COUNTIF($A$2:$A$2001,$A371)&gt;1,"Duplicate entry ID",IF(NOT(ISNUMBER($B371)),"Missing or invalid: date",IF($C371="","Missing: type",IF($D371="","Missing: SKU",IF(NOT(ISNUMBER($E371)),"Missing: qty",IF($F371="","Missing: lot",IF($I371="","Missing: source link",IF(COUNTIF(Config!$A$15:$A$34,$C371)=0,"Unsupported type",IF(COUNTIF(Products!$A$2:$A$101,$D371)=0,"Unknown SKU",IF(COUNTIFS(Batches!$A$2:$A$301,$F371,Batches!$B$2:$B$301,$D371)=0,"Unknown lot for this SKU",IF(AND($C371="Adjustment",$G371=""),"Missing: reason",IF(AND($G371&lt;&gt;"",COUNTIF(Config!$B$15:$B$34,$G371)=0),"Unsupported reason",IF(OR(INT($E371)&lt;&gt;$E371,AND(OR($C371="Receipt",$C371="Shipment"),$E371&lt;=0),AND($C371="Adjustment",$E371=0)),"Invalid qty",IF($B371&gt;Config!$B$4,"Date after the as-of date",IF($B371&lt;Config!$B$5,"Date before the opening balance date","OK")))))))))))))))))</f>
        <v/>
      </c>
    </row>
    <row r="372">
      <c r="A372" s="46" t="n"/>
      <c r="B372" s="54" t="n"/>
      <c r="C372" s="46" t="n"/>
      <c r="D372" s="46" t="n"/>
      <c r="E372" s="55" t="n"/>
      <c r="F372" s="46" t="n"/>
      <c r="G372" s="46" t="n"/>
      <c r="H372" s="46" t="n"/>
      <c r="I372" s="46" t="n"/>
      <c r="J372" s="46" t="n"/>
      <c r="K372" s="46" t="n"/>
      <c r="L372" s="46" t="n"/>
      <c r="M372" s="51" t="str">
        <f>IF(NOT(ISNUMBER($E372)),"",IF($C372="Receipt",$E372,IF($C372="Shipment",-$E372,IF($C372="Adjustment",$E372,0))))</f>
        <v/>
      </c>
      <c r="N372" s="49" t="str">
        <f>IF($D372="","",IFERROR(INDEX(Products!$B$2:$B$101,MATCH($D372,Products!$A$2:$A$101,0))&amp;"","(not found)"))</f>
        <v/>
      </c>
      <c r="O372" s="49" t="str">
        <f>IF($F372="","",IFERROR(INDEX(Batches!$B$2:$B$301,MATCH($F372,Batches!$A$2:$A$301,0))&amp;"","(not found)"))</f>
        <v/>
      </c>
      <c r="P372" s="49" t="str">
        <f>IF(COUNTA($A372:$L372)=0,"",IF($A372="","Missing: entry ID",IF(COUNTIF($A$2:$A$2001,$A372)&gt;1,"Duplicate entry ID",IF(NOT(ISNUMBER($B372)),"Missing or invalid: date",IF($C372="","Missing: type",IF($D372="","Missing: SKU",IF(NOT(ISNUMBER($E372)),"Missing: qty",IF($F372="","Missing: lot",IF($I372="","Missing: source link",IF(COUNTIF(Config!$A$15:$A$34,$C372)=0,"Unsupported type",IF(COUNTIF(Products!$A$2:$A$101,$D372)=0,"Unknown SKU",IF(COUNTIFS(Batches!$A$2:$A$301,$F372,Batches!$B$2:$B$301,$D372)=0,"Unknown lot for this SKU",IF(AND($C372="Adjustment",$G372=""),"Missing: reason",IF(AND($G372&lt;&gt;"",COUNTIF(Config!$B$15:$B$34,$G372)=0),"Unsupported reason",IF(OR(INT($E372)&lt;&gt;$E372,AND(OR($C372="Receipt",$C372="Shipment"),$E372&lt;=0),AND($C372="Adjustment",$E372=0)),"Invalid qty",IF($B372&gt;Config!$B$4,"Date after the as-of date",IF($B372&lt;Config!$B$5,"Date before the opening balance date","OK")))))))))))))))))</f>
        <v/>
      </c>
    </row>
    <row r="373">
      <c r="A373" s="46" t="n"/>
      <c r="B373" s="54" t="n"/>
      <c r="C373" s="46" t="n"/>
      <c r="D373" s="46" t="n"/>
      <c r="E373" s="55" t="n"/>
      <c r="F373" s="46" t="n"/>
      <c r="G373" s="46" t="n"/>
      <c r="H373" s="46" t="n"/>
      <c r="I373" s="46" t="n"/>
      <c r="J373" s="46" t="n"/>
      <c r="K373" s="46" t="n"/>
      <c r="L373" s="46" t="n"/>
      <c r="M373" s="51" t="str">
        <f>IF(NOT(ISNUMBER($E373)),"",IF($C373="Receipt",$E373,IF($C373="Shipment",-$E373,IF($C373="Adjustment",$E373,0))))</f>
        <v/>
      </c>
      <c r="N373" s="49" t="str">
        <f>IF($D373="","",IFERROR(INDEX(Products!$B$2:$B$101,MATCH($D373,Products!$A$2:$A$101,0))&amp;"","(not found)"))</f>
        <v/>
      </c>
      <c r="O373" s="49" t="str">
        <f>IF($F373="","",IFERROR(INDEX(Batches!$B$2:$B$301,MATCH($F373,Batches!$A$2:$A$301,0))&amp;"","(not found)"))</f>
        <v/>
      </c>
      <c r="P373" s="49" t="str">
        <f>IF(COUNTA($A373:$L373)=0,"",IF($A373="","Missing: entry ID",IF(COUNTIF($A$2:$A$2001,$A373)&gt;1,"Duplicate entry ID",IF(NOT(ISNUMBER($B373)),"Missing or invalid: date",IF($C373="","Missing: type",IF($D373="","Missing: SKU",IF(NOT(ISNUMBER($E373)),"Missing: qty",IF($F373="","Missing: lot",IF($I373="","Missing: source link",IF(COUNTIF(Config!$A$15:$A$34,$C373)=0,"Unsupported type",IF(COUNTIF(Products!$A$2:$A$101,$D373)=0,"Unknown SKU",IF(COUNTIFS(Batches!$A$2:$A$301,$F373,Batches!$B$2:$B$301,$D373)=0,"Unknown lot for this SKU",IF(AND($C373="Adjustment",$G373=""),"Missing: reason",IF(AND($G373&lt;&gt;"",COUNTIF(Config!$B$15:$B$34,$G373)=0),"Unsupported reason",IF(OR(INT($E373)&lt;&gt;$E373,AND(OR($C373="Receipt",$C373="Shipment"),$E373&lt;=0),AND($C373="Adjustment",$E373=0)),"Invalid qty",IF($B373&gt;Config!$B$4,"Date after the as-of date",IF($B373&lt;Config!$B$5,"Date before the opening balance date","OK")))))))))))))))))</f>
        <v/>
      </c>
    </row>
    <row r="374">
      <c r="A374" s="46" t="n"/>
      <c r="B374" s="54" t="n"/>
      <c r="C374" s="46" t="n"/>
      <c r="D374" s="46" t="n"/>
      <c r="E374" s="55" t="n"/>
      <c r="F374" s="46" t="n"/>
      <c r="G374" s="46" t="n"/>
      <c r="H374" s="46" t="n"/>
      <c r="I374" s="46" t="n"/>
      <c r="J374" s="46" t="n"/>
      <c r="K374" s="46" t="n"/>
      <c r="L374" s="46" t="n"/>
      <c r="M374" s="51" t="str">
        <f>IF(NOT(ISNUMBER($E374)),"",IF($C374="Receipt",$E374,IF($C374="Shipment",-$E374,IF($C374="Adjustment",$E374,0))))</f>
        <v/>
      </c>
      <c r="N374" s="49" t="str">
        <f>IF($D374="","",IFERROR(INDEX(Products!$B$2:$B$101,MATCH($D374,Products!$A$2:$A$101,0))&amp;"","(not found)"))</f>
        <v/>
      </c>
      <c r="O374" s="49" t="str">
        <f>IF($F374="","",IFERROR(INDEX(Batches!$B$2:$B$301,MATCH($F374,Batches!$A$2:$A$301,0))&amp;"","(not found)"))</f>
        <v/>
      </c>
      <c r="P374" s="49" t="str">
        <f>IF(COUNTA($A374:$L374)=0,"",IF($A374="","Missing: entry ID",IF(COUNTIF($A$2:$A$2001,$A374)&gt;1,"Duplicate entry ID",IF(NOT(ISNUMBER($B374)),"Missing or invalid: date",IF($C374="","Missing: type",IF($D374="","Missing: SKU",IF(NOT(ISNUMBER($E374)),"Missing: qty",IF($F374="","Missing: lot",IF($I374="","Missing: source link",IF(COUNTIF(Config!$A$15:$A$34,$C374)=0,"Unsupported type",IF(COUNTIF(Products!$A$2:$A$101,$D374)=0,"Unknown SKU",IF(COUNTIFS(Batches!$A$2:$A$301,$F374,Batches!$B$2:$B$301,$D374)=0,"Unknown lot for this SKU",IF(AND($C374="Adjustment",$G374=""),"Missing: reason",IF(AND($G374&lt;&gt;"",COUNTIF(Config!$B$15:$B$34,$G374)=0),"Unsupported reason",IF(OR(INT($E374)&lt;&gt;$E374,AND(OR($C374="Receipt",$C374="Shipment"),$E374&lt;=0),AND($C374="Adjustment",$E374=0)),"Invalid qty",IF($B374&gt;Config!$B$4,"Date after the as-of date",IF($B374&lt;Config!$B$5,"Date before the opening balance date","OK")))))))))))))))))</f>
        <v/>
      </c>
    </row>
    <row r="375">
      <c r="A375" s="46" t="n"/>
      <c r="B375" s="54" t="n"/>
      <c r="C375" s="46" t="n"/>
      <c r="D375" s="46" t="n"/>
      <c r="E375" s="55" t="n"/>
      <c r="F375" s="46" t="n"/>
      <c r="G375" s="46" t="n"/>
      <c r="H375" s="46" t="n"/>
      <c r="I375" s="46" t="n"/>
      <c r="J375" s="46" t="n"/>
      <c r="K375" s="46" t="n"/>
      <c r="L375" s="46" t="n"/>
      <c r="M375" s="51" t="str">
        <f>IF(NOT(ISNUMBER($E375)),"",IF($C375="Receipt",$E375,IF($C375="Shipment",-$E375,IF($C375="Adjustment",$E375,0))))</f>
        <v/>
      </c>
      <c r="N375" s="49" t="str">
        <f>IF($D375="","",IFERROR(INDEX(Products!$B$2:$B$101,MATCH($D375,Products!$A$2:$A$101,0))&amp;"","(not found)"))</f>
        <v/>
      </c>
      <c r="O375" s="49" t="str">
        <f>IF($F375="","",IFERROR(INDEX(Batches!$B$2:$B$301,MATCH($F375,Batches!$A$2:$A$301,0))&amp;"","(not found)"))</f>
        <v/>
      </c>
      <c r="P375" s="49" t="str">
        <f>IF(COUNTA($A375:$L375)=0,"",IF($A375="","Missing: entry ID",IF(COUNTIF($A$2:$A$2001,$A375)&gt;1,"Duplicate entry ID",IF(NOT(ISNUMBER($B375)),"Missing or invalid: date",IF($C375="","Missing: type",IF($D375="","Missing: SKU",IF(NOT(ISNUMBER($E375)),"Missing: qty",IF($F375="","Missing: lot",IF($I375="","Missing: source link",IF(COUNTIF(Config!$A$15:$A$34,$C375)=0,"Unsupported type",IF(COUNTIF(Products!$A$2:$A$101,$D375)=0,"Unknown SKU",IF(COUNTIFS(Batches!$A$2:$A$301,$F375,Batches!$B$2:$B$301,$D375)=0,"Unknown lot for this SKU",IF(AND($C375="Adjustment",$G375=""),"Missing: reason",IF(AND($G375&lt;&gt;"",COUNTIF(Config!$B$15:$B$34,$G375)=0),"Unsupported reason",IF(OR(INT($E375)&lt;&gt;$E375,AND(OR($C375="Receipt",$C375="Shipment"),$E375&lt;=0),AND($C375="Adjustment",$E375=0)),"Invalid qty",IF($B375&gt;Config!$B$4,"Date after the as-of date",IF($B375&lt;Config!$B$5,"Date before the opening balance date","OK")))))))))))))))))</f>
        <v/>
      </c>
    </row>
    <row r="376">
      <c r="A376" s="46" t="n"/>
      <c r="B376" s="54" t="n"/>
      <c r="C376" s="46" t="n"/>
      <c r="D376" s="46" t="n"/>
      <c r="E376" s="55" t="n"/>
      <c r="F376" s="46" t="n"/>
      <c r="G376" s="46" t="n"/>
      <c r="H376" s="46" t="n"/>
      <c r="I376" s="46" t="n"/>
      <c r="J376" s="46" t="n"/>
      <c r="K376" s="46" t="n"/>
      <c r="L376" s="46" t="n"/>
      <c r="M376" s="51" t="str">
        <f>IF(NOT(ISNUMBER($E376)),"",IF($C376="Receipt",$E376,IF($C376="Shipment",-$E376,IF($C376="Adjustment",$E376,0))))</f>
        <v/>
      </c>
      <c r="N376" s="49" t="str">
        <f>IF($D376="","",IFERROR(INDEX(Products!$B$2:$B$101,MATCH($D376,Products!$A$2:$A$101,0))&amp;"","(not found)"))</f>
        <v/>
      </c>
      <c r="O376" s="49" t="str">
        <f>IF($F376="","",IFERROR(INDEX(Batches!$B$2:$B$301,MATCH($F376,Batches!$A$2:$A$301,0))&amp;"","(not found)"))</f>
        <v/>
      </c>
      <c r="P376" s="49" t="str">
        <f>IF(COUNTA($A376:$L376)=0,"",IF($A376="","Missing: entry ID",IF(COUNTIF($A$2:$A$2001,$A376)&gt;1,"Duplicate entry ID",IF(NOT(ISNUMBER($B376)),"Missing or invalid: date",IF($C376="","Missing: type",IF($D376="","Missing: SKU",IF(NOT(ISNUMBER($E376)),"Missing: qty",IF($F376="","Missing: lot",IF($I376="","Missing: source link",IF(COUNTIF(Config!$A$15:$A$34,$C376)=0,"Unsupported type",IF(COUNTIF(Products!$A$2:$A$101,$D376)=0,"Unknown SKU",IF(COUNTIFS(Batches!$A$2:$A$301,$F376,Batches!$B$2:$B$301,$D376)=0,"Unknown lot for this SKU",IF(AND($C376="Adjustment",$G376=""),"Missing: reason",IF(AND($G376&lt;&gt;"",COUNTIF(Config!$B$15:$B$34,$G376)=0),"Unsupported reason",IF(OR(INT($E376)&lt;&gt;$E376,AND(OR($C376="Receipt",$C376="Shipment"),$E376&lt;=0),AND($C376="Adjustment",$E376=0)),"Invalid qty",IF($B376&gt;Config!$B$4,"Date after the as-of date",IF($B376&lt;Config!$B$5,"Date before the opening balance date","OK")))))))))))))))))</f>
        <v/>
      </c>
    </row>
    <row r="377">
      <c r="A377" s="46" t="n"/>
      <c r="B377" s="54" t="n"/>
      <c r="C377" s="46" t="n"/>
      <c r="D377" s="46" t="n"/>
      <c r="E377" s="55" t="n"/>
      <c r="F377" s="46" t="n"/>
      <c r="G377" s="46" t="n"/>
      <c r="H377" s="46" t="n"/>
      <c r="I377" s="46" t="n"/>
      <c r="J377" s="46" t="n"/>
      <c r="K377" s="46" t="n"/>
      <c r="L377" s="46" t="n"/>
      <c r="M377" s="51" t="str">
        <f>IF(NOT(ISNUMBER($E377)),"",IF($C377="Receipt",$E377,IF($C377="Shipment",-$E377,IF($C377="Adjustment",$E377,0))))</f>
        <v/>
      </c>
      <c r="N377" s="49" t="str">
        <f>IF($D377="","",IFERROR(INDEX(Products!$B$2:$B$101,MATCH($D377,Products!$A$2:$A$101,0))&amp;"","(not found)"))</f>
        <v/>
      </c>
      <c r="O377" s="49" t="str">
        <f>IF($F377="","",IFERROR(INDEX(Batches!$B$2:$B$301,MATCH($F377,Batches!$A$2:$A$301,0))&amp;"","(not found)"))</f>
        <v/>
      </c>
      <c r="P377" s="49" t="str">
        <f>IF(COUNTA($A377:$L377)=0,"",IF($A377="","Missing: entry ID",IF(COUNTIF($A$2:$A$2001,$A377)&gt;1,"Duplicate entry ID",IF(NOT(ISNUMBER($B377)),"Missing or invalid: date",IF($C377="","Missing: type",IF($D377="","Missing: SKU",IF(NOT(ISNUMBER($E377)),"Missing: qty",IF($F377="","Missing: lot",IF($I377="","Missing: source link",IF(COUNTIF(Config!$A$15:$A$34,$C377)=0,"Unsupported type",IF(COUNTIF(Products!$A$2:$A$101,$D377)=0,"Unknown SKU",IF(COUNTIFS(Batches!$A$2:$A$301,$F377,Batches!$B$2:$B$301,$D377)=0,"Unknown lot for this SKU",IF(AND($C377="Adjustment",$G377=""),"Missing: reason",IF(AND($G377&lt;&gt;"",COUNTIF(Config!$B$15:$B$34,$G377)=0),"Unsupported reason",IF(OR(INT($E377)&lt;&gt;$E377,AND(OR($C377="Receipt",$C377="Shipment"),$E377&lt;=0),AND($C377="Adjustment",$E377=0)),"Invalid qty",IF($B377&gt;Config!$B$4,"Date after the as-of date",IF($B377&lt;Config!$B$5,"Date before the opening balance date","OK")))))))))))))))))</f>
        <v/>
      </c>
    </row>
    <row r="378">
      <c r="A378" s="46" t="n"/>
      <c r="B378" s="54" t="n"/>
      <c r="C378" s="46" t="n"/>
      <c r="D378" s="46" t="n"/>
      <c r="E378" s="55" t="n"/>
      <c r="F378" s="46" t="n"/>
      <c r="G378" s="46" t="n"/>
      <c r="H378" s="46" t="n"/>
      <c r="I378" s="46" t="n"/>
      <c r="J378" s="46" t="n"/>
      <c r="K378" s="46" t="n"/>
      <c r="L378" s="46" t="n"/>
      <c r="M378" s="51" t="str">
        <f>IF(NOT(ISNUMBER($E378)),"",IF($C378="Receipt",$E378,IF($C378="Shipment",-$E378,IF($C378="Adjustment",$E378,0))))</f>
        <v/>
      </c>
      <c r="N378" s="49" t="str">
        <f>IF($D378="","",IFERROR(INDEX(Products!$B$2:$B$101,MATCH($D378,Products!$A$2:$A$101,0))&amp;"","(not found)"))</f>
        <v/>
      </c>
      <c r="O378" s="49" t="str">
        <f>IF($F378="","",IFERROR(INDEX(Batches!$B$2:$B$301,MATCH($F378,Batches!$A$2:$A$301,0))&amp;"","(not found)"))</f>
        <v/>
      </c>
      <c r="P378" s="49" t="str">
        <f>IF(COUNTA($A378:$L378)=0,"",IF($A378="","Missing: entry ID",IF(COUNTIF($A$2:$A$2001,$A378)&gt;1,"Duplicate entry ID",IF(NOT(ISNUMBER($B378)),"Missing or invalid: date",IF($C378="","Missing: type",IF($D378="","Missing: SKU",IF(NOT(ISNUMBER($E378)),"Missing: qty",IF($F378="","Missing: lot",IF($I378="","Missing: source link",IF(COUNTIF(Config!$A$15:$A$34,$C378)=0,"Unsupported type",IF(COUNTIF(Products!$A$2:$A$101,$D378)=0,"Unknown SKU",IF(COUNTIFS(Batches!$A$2:$A$301,$F378,Batches!$B$2:$B$301,$D378)=0,"Unknown lot for this SKU",IF(AND($C378="Adjustment",$G378=""),"Missing: reason",IF(AND($G378&lt;&gt;"",COUNTIF(Config!$B$15:$B$34,$G378)=0),"Unsupported reason",IF(OR(INT($E378)&lt;&gt;$E378,AND(OR($C378="Receipt",$C378="Shipment"),$E378&lt;=0),AND($C378="Adjustment",$E378=0)),"Invalid qty",IF($B378&gt;Config!$B$4,"Date after the as-of date",IF($B378&lt;Config!$B$5,"Date before the opening balance date","OK")))))))))))))))))</f>
        <v/>
      </c>
    </row>
    <row r="379">
      <c r="A379" s="46" t="n"/>
      <c r="B379" s="54" t="n"/>
      <c r="C379" s="46" t="n"/>
      <c r="D379" s="46" t="n"/>
      <c r="E379" s="55" t="n"/>
      <c r="F379" s="46" t="n"/>
      <c r="G379" s="46" t="n"/>
      <c r="H379" s="46" t="n"/>
      <c r="I379" s="46" t="n"/>
      <c r="J379" s="46" t="n"/>
      <c r="K379" s="46" t="n"/>
      <c r="L379" s="46" t="n"/>
      <c r="M379" s="51" t="str">
        <f>IF(NOT(ISNUMBER($E379)),"",IF($C379="Receipt",$E379,IF($C379="Shipment",-$E379,IF($C379="Adjustment",$E379,0))))</f>
        <v/>
      </c>
      <c r="N379" s="49" t="str">
        <f>IF($D379="","",IFERROR(INDEX(Products!$B$2:$B$101,MATCH($D379,Products!$A$2:$A$101,0))&amp;"","(not found)"))</f>
        <v/>
      </c>
      <c r="O379" s="49" t="str">
        <f>IF($F379="","",IFERROR(INDEX(Batches!$B$2:$B$301,MATCH($F379,Batches!$A$2:$A$301,0))&amp;"","(not found)"))</f>
        <v/>
      </c>
      <c r="P379" s="49" t="str">
        <f>IF(COUNTA($A379:$L379)=0,"",IF($A379="","Missing: entry ID",IF(COUNTIF($A$2:$A$2001,$A379)&gt;1,"Duplicate entry ID",IF(NOT(ISNUMBER($B379)),"Missing or invalid: date",IF($C379="","Missing: type",IF($D379="","Missing: SKU",IF(NOT(ISNUMBER($E379)),"Missing: qty",IF($F379="","Missing: lot",IF($I379="","Missing: source link",IF(COUNTIF(Config!$A$15:$A$34,$C379)=0,"Unsupported type",IF(COUNTIF(Products!$A$2:$A$101,$D379)=0,"Unknown SKU",IF(COUNTIFS(Batches!$A$2:$A$301,$F379,Batches!$B$2:$B$301,$D379)=0,"Unknown lot for this SKU",IF(AND($C379="Adjustment",$G379=""),"Missing: reason",IF(AND($G379&lt;&gt;"",COUNTIF(Config!$B$15:$B$34,$G379)=0),"Unsupported reason",IF(OR(INT($E379)&lt;&gt;$E379,AND(OR($C379="Receipt",$C379="Shipment"),$E379&lt;=0),AND($C379="Adjustment",$E379=0)),"Invalid qty",IF($B379&gt;Config!$B$4,"Date after the as-of date",IF($B379&lt;Config!$B$5,"Date before the opening balance date","OK")))))))))))))))))</f>
        <v/>
      </c>
    </row>
    <row r="380">
      <c r="A380" s="46" t="n"/>
      <c r="B380" s="54" t="n"/>
      <c r="C380" s="46" t="n"/>
      <c r="D380" s="46" t="n"/>
      <c r="E380" s="55" t="n"/>
      <c r="F380" s="46" t="n"/>
      <c r="G380" s="46" t="n"/>
      <c r="H380" s="46" t="n"/>
      <c r="I380" s="46" t="n"/>
      <c r="J380" s="46" t="n"/>
      <c r="K380" s="46" t="n"/>
      <c r="L380" s="46" t="n"/>
      <c r="M380" s="51" t="str">
        <f>IF(NOT(ISNUMBER($E380)),"",IF($C380="Receipt",$E380,IF($C380="Shipment",-$E380,IF($C380="Adjustment",$E380,0))))</f>
        <v/>
      </c>
      <c r="N380" s="49" t="str">
        <f>IF($D380="","",IFERROR(INDEX(Products!$B$2:$B$101,MATCH($D380,Products!$A$2:$A$101,0))&amp;"","(not found)"))</f>
        <v/>
      </c>
      <c r="O380" s="49" t="str">
        <f>IF($F380="","",IFERROR(INDEX(Batches!$B$2:$B$301,MATCH($F380,Batches!$A$2:$A$301,0))&amp;"","(not found)"))</f>
        <v/>
      </c>
      <c r="P380" s="49" t="str">
        <f>IF(COUNTA($A380:$L380)=0,"",IF($A380="","Missing: entry ID",IF(COUNTIF($A$2:$A$2001,$A380)&gt;1,"Duplicate entry ID",IF(NOT(ISNUMBER($B380)),"Missing or invalid: date",IF($C380="","Missing: type",IF($D380="","Missing: SKU",IF(NOT(ISNUMBER($E380)),"Missing: qty",IF($F380="","Missing: lot",IF($I380="","Missing: source link",IF(COUNTIF(Config!$A$15:$A$34,$C380)=0,"Unsupported type",IF(COUNTIF(Products!$A$2:$A$101,$D380)=0,"Unknown SKU",IF(COUNTIFS(Batches!$A$2:$A$301,$F380,Batches!$B$2:$B$301,$D380)=0,"Unknown lot for this SKU",IF(AND($C380="Adjustment",$G380=""),"Missing: reason",IF(AND($G380&lt;&gt;"",COUNTIF(Config!$B$15:$B$34,$G380)=0),"Unsupported reason",IF(OR(INT($E380)&lt;&gt;$E380,AND(OR($C380="Receipt",$C380="Shipment"),$E380&lt;=0),AND($C380="Adjustment",$E380=0)),"Invalid qty",IF($B380&gt;Config!$B$4,"Date after the as-of date",IF($B380&lt;Config!$B$5,"Date before the opening balance date","OK")))))))))))))))))</f>
        <v/>
      </c>
    </row>
    <row r="381">
      <c r="A381" s="46" t="n"/>
      <c r="B381" s="54" t="n"/>
      <c r="C381" s="46" t="n"/>
      <c r="D381" s="46" t="n"/>
      <c r="E381" s="55" t="n"/>
      <c r="F381" s="46" t="n"/>
      <c r="G381" s="46" t="n"/>
      <c r="H381" s="46" t="n"/>
      <c r="I381" s="46" t="n"/>
      <c r="J381" s="46" t="n"/>
      <c r="K381" s="46" t="n"/>
      <c r="L381" s="46" t="n"/>
      <c r="M381" s="51" t="str">
        <f>IF(NOT(ISNUMBER($E381)),"",IF($C381="Receipt",$E381,IF($C381="Shipment",-$E381,IF($C381="Adjustment",$E381,0))))</f>
        <v/>
      </c>
      <c r="N381" s="49" t="str">
        <f>IF($D381="","",IFERROR(INDEX(Products!$B$2:$B$101,MATCH($D381,Products!$A$2:$A$101,0))&amp;"","(not found)"))</f>
        <v/>
      </c>
      <c r="O381" s="49" t="str">
        <f>IF($F381="","",IFERROR(INDEX(Batches!$B$2:$B$301,MATCH($F381,Batches!$A$2:$A$301,0))&amp;"","(not found)"))</f>
        <v/>
      </c>
      <c r="P381" s="49" t="str">
        <f>IF(COUNTA($A381:$L381)=0,"",IF($A381="","Missing: entry ID",IF(COUNTIF($A$2:$A$2001,$A381)&gt;1,"Duplicate entry ID",IF(NOT(ISNUMBER($B381)),"Missing or invalid: date",IF($C381="","Missing: type",IF($D381="","Missing: SKU",IF(NOT(ISNUMBER($E381)),"Missing: qty",IF($F381="","Missing: lot",IF($I381="","Missing: source link",IF(COUNTIF(Config!$A$15:$A$34,$C381)=0,"Unsupported type",IF(COUNTIF(Products!$A$2:$A$101,$D381)=0,"Unknown SKU",IF(COUNTIFS(Batches!$A$2:$A$301,$F381,Batches!$B$2:$B$301,$D381)=0,"Unknown lot for this SKU",IF(AND($C381="Adjustment",$G381=""),"Missing: reason",IF(AND($G381&lt;&gt;"",COUNTIF(Config!$B$15:$B$34,$G381)=0),"Unsupported reason",IF(OR(INT($E381)&lt;&gt;$E381,AND(OR($C381="Receipt",$C381="Shipment"),$E381&lt;=0),AND($C381="Adjustment",$E381=0)),"Invalid qty",IF($B381&gt;Config!$B$4,"Date after the as-of date",IF($B381&lt;Config!$B$5,"Date before the opening balance date","OK")))))))))))))))))</f>
        <v/>
      </c>
    </row>
    <row r="382">
      <c r="A382" s="46" t="n"/>
      <c r="B382" s="54" t="n"/>
      <c r="C382" s="46" t="n"/>
      <c r="D382" s="46" t="n"/>
      <c r="E382" s="55" t="n"/>
      <c r="F382" s="46" t="n"/>
      <c r="G382" s="46" t="n"/>
      <c r="H382" s="46" t="n"/>
      <c r="I382" s="46" t="n"/>
      <c r="J382" s="46" t="n"/>
      <c r="K382" s="46" t="n"/>
      <c r="L382" s="46" t="n"/>
      <c r="M382" s="51" t="str">
        <f>IF(NOT(ISNUMBER($E382)),"",IF($C382="Receipt",$E382,IF($C382="Shipment",-$E382,IF($C382="Adjustment",$E382,0))))</f>
        <v/>
      </c>
      <c r="N382" s="49" t="str">
        <f>IF($D382="","",IFERROR(INDEX(Products!$B$2:$B$101,MATCH($D382,Products!$A$2:$A$101,0))&amp;"","(not found)"))</f>
        <v/>
      </c>
      <c r="O382" s="49" t="str">
        <f>IF($F382="","",IFERROR(INDEX(Batches!$B$2:$B$301,MATCH($F382,Batches!$A$2:$A$301,0))&amp;"","(not found)"))</f>
        <v/>
      </c>
      <c r="P382" s="49" t="str">
        <f>IF(COUNTA($A382:$L382)=0,"",IF($A382="","Missing: entry ID",IF(COUNTIF($A$2:$A$2001,$A382)&gt;1,"Duplicate entry ID",IF(NOT(ISNUMBER($B382)),"Missing or invalid: date",IF($C382="","Missing: type",IF($D382="","Missing: SKU",IF(NOT(ISNUMBER($E382)),"Missing: qty",IF($F382="","Missing: lot",IF($I382="","Missing: source link",IF(COUNTIF(Config!$A$15:$A$34,$C382)=0,"Unsupported type",IF(COUNTIF(Products!$A$2:$A$101,$D382)=0,"Unknown SKU",IF(COUNTIFS(Batches!$A$2:$A$301,$F382,Batches!$B$2:$B$301,$D382)=0,"Unknown lot for this SKU",IF(AND($C382="Adjustment",$G382=""),"Missing: reason",IF(AND($G382&lt;&gt;"",COUNTIF(Config!$B$15:$B$34,$G382)=0),"Unsupported reason",IF(OR(INT($E382)&lt;&gt;$E382,AND(OR($C382="Receipt",$C382="Shipment"),$E382&lt;=0),AND($C382="Adjustment",$E382=0)),"Invalid qty",IF($B382&gt;Config!$B$4,"Date after the as-of date",IF($B382&lt;Config!$B$5,"Date before the opening balance date","OK")))))))))))))))))</f>
        <v/>
      </c>
    </row>
    <row r="383">
      <c r="A383" s="46" t="n"/>
      <c r="B383" s="54" t="n"/>
      <c r="C383" s="46" t="n"/>
      <c r="D383" s="46" t="n"/>
      <c r="E383" s="55" t="n"/>
      <c r="F383" s="46" t="n"/>
      <c r="G383" s="46" t="n"/>
      <c r="H383" s="46" t="n"/>
      <c r="I383" s="46" t="n"/>
      <c r="J383" s="46" t="n"/>
      <c r="K383" s="46" t="n"/>
      <c r="L383" s="46" t="n"/>
      <c r="M383" s="51" t="str">
        <f>IF(NOT(ISNUMBER($E383)),"",IF($C383="Receipt",$E383,IF($C383="Shipment",-$E383,IF($C383="Adjustment",$E383,0))))</f>
        <v/>
      </c>
      <c r="N383" s="49" t="str">
        <f>IF($D383="","",IFERROR(INDEX(Products!$B$2:$B$101,MATCH($D383,Products!$A$2:$A$101,0))&amp;"","(not found)"))</f>
        <v/>
      </c>
      <c r="O383" s="49" t="str">
        <f>IF($F383="","",IFERROR(INDEX(Batches!$B$2:$B$301,MATCH($F383,Batches!$A$2:$A$301,0))&amp;"","(not found)"))</f>
        <v/>
      </c>
      <c r="P383" s="49" t="str">
        <f>IF(COUNTA($A383:$L383)=0,"",IF($A383="","Missing: entry ID",IF(COUNTIF($A$2:$A$2001,$A383)&gt;1,"Duplicate entry ID",IF(NOT(ISNUMBER($B383)),"Missing or invalid: date",IF($C383="","Missing: type",IF($D383="","Missing: SKU",IF(NOT(ISNUMBER($E383)),"Missing: qty",IF($F383="","Missing: lot",IF($I383="","Missing: source link",IF(COUNTIF(Config!$A$15:$A$34,$C383)=0,"Unsupported type",IF(COUNTIF(Products!$A$2:$A$101,$D383)=0,"Unknown SKU",IF(COUNTIFS(Batches!$A$2:$A$301,$F383,Batches!$B$2:$B$301,$D383)=0,"Unknown lot for this SKU",IF(AND($C383="Adjustment",$G383=""),"Missing: reason",IF(AND($G383&lt;&gt;"",COUNTIF(Config!$B$15:$B$34,$G383)=0),"Unsupported reason",IF(OR(INT($E383)&lt;&gt;$E383,AND(OR($C383="Receipt",$C383="Shipment"),$E383&lt;=0),AND($C383="Adjustment",$E383=0)),"Invalid qty",IF($B383&gt;Config!$B$4,"Date after the as-of date",IF($B383&lt;Config!$B$5,"Date before the opening balance date","OK")))))))))))))))))</f>
        <v/>
      </c>
    </row>
    <row r="384">
      <c r="A384" s="46" t="n"/>
      <c r="B384" s="54" t="n"/>
      <c r="C384" s="46" t="n"/>
      <c r="D384" s="46" t="n"/>
      <c r="E384" s="55" t="n"/>
      <c r="F384" s="46" t="n"/>
      <c r="G384" s="46" t="n"/>
      <c r="H384" s="46" t="n"/>
      <c r="I384" s="46" t="n"/>
      <c r="J384" s="46" t="n"/>
      <c r="K384" s="46" t="n"/>
      <c r="L384" s="46" t="n"/>
      <c r="M384" s="51" t="str">
        <f>IF(NOT(ISNUMBER($E384)),"",IF($C384="Receipt",$E384,IF($C384="Shipment",-$E384,IF($C384="Adjustment",$E384,0))))</f>
        <v/>
      </c>
      <c r="N384" s="49" t="str">
        <f>IF($D384="","",IFERROR(INDEX(Products!$B$2:$B$101,MATCH($D384,Products!$A$2:$A$101,0))&amp;"","(not found)"))</f>
        <v/>
      </c>
      <c r="O384" s="49" t="str">
        <f>IF($F384="","",IFERROR(INDEX(Batches!$B$2:$B$301,MATCH($F384,Batches!$A$2:$A$301,0))&amp;"","(not found)"))</f>
        <v/>
      </c>
      <c r="P384" s="49" t="str">
        <f>IF(COUNTA($A384:$L384)=0,"",IF($A384="","Missing: entry ID",IF(COUNTIF($A$2:$A$2001,$A384)&gt;1,"Duplicate entry ID",IF(NOT(ISNUMBER($B384)),"Missing or invalid: date",IF($C384="","Missing: type",IF($D384="","Missing: SKU",IF(NOT(ISNUMBER($E384)),"Missing: qty",IF($F384="","Missing: lot",IF($I384="","Missing: source link",IF(COUNTIF(Config!$A$15:$A$34,$C384)=0,"Unsupported type",IF(COUNTIF(Products!$A$2:$A$101,$D384)=0,"Unknown SKU",IF(COUNTIFS(Batches!$A$2:$A$301,$F384,Batches!$B$2:$B$301,$D384)=0,"Unknown lot for this SKU",IF(AND($C384="Adjustment",$G384=""),"Missing: reason",IF(AND($G384&lt;&gt;"",COUNTIF(Config!$B$15:$B$34,$G384)=0),"Unsupported reason",IF(OR(INT($E384)&lt;&gt;$E384,AND(OR($C384="Receipt",$C384="Shipment"),$E384&lt;=0),AND($C384="Adjustment",$E384=0)),"Invalid qty",IF($B384&gt;Config!$B$4,"Date after the as-of date",IF($B384&lt;Config!$B$5,"Date before the opening balance date","OK")))))))))))))))))</f>
        <v/>
      </c>
    </row>
    <row r="385">
      <c r="A385" s="46" t="n"/>
      <c r="B385" s="54" t="n"/>
      <c r="C385" s="46" t="n"/>
      <c r="D385" s="46" t="n"/>
      <c r="E385" s="55" t="n"/>
      <c r="F385" s="46" t="n"/>
      <c r="G385" s="46" t="n"/>
      <c r="H385" s="46" t="n"/>
      <c r="I385" s="46" t="n"/>
      <c r="J385" s="46" t="n"/>
      <c r="K385" s="46" t="n"/>
      <c r="L385" s="46" t="n"/>
      <c r="M385" s="51" t="str">
        <f>IF(NOT(ISNUMBER($E385)),"",IF($C385="Receipt",$E385,IF($C385="Shipment",-$E385,IF($C385="Adjustment",$E385,0))))</f>
        <v/>
      </c>
      <c r="N385" s="49" t="str">
        <f>IF($D385="","",IFERROR(INDEX(Products!$B$2:$B$101,MATCH($D385,Products!$A$2:$A$101,0))&amp;"","(not found)"))</f>
        <v/>
      </c>
      <c r="O385" s="49" t="str">
        <f>IF($F385="","",IFERROR(INDEX(Batches!$B$2:$B$301,MATCH($F385,Batches!$A$2:$A$301,0))&amp;"","(not found)"))</f>
        <v/>
      </c>
      <c r="P385" s="49" t="str">
        <f>IF(COUNTA($A385:$L385)=0,"",IF($A385="","Missing: entry ID",IF(COUNTIF($A$2:$A$2001,$A385)&gt;1,"Duplicate entry ID",IF(NOT(ISNUMBER($B385)),"Missing or invalid: date",IF($C385="","Missing: type",IF($D385="","Missing: SKU",IF(NOT(ISNUMBER($E385)),"Missing: qty",IF($F385="","Missing: lot",IF($I385="","Missing: source link",IF(COUNTIF(Config!$A$15:$A$34,$C385)=0,"Unsupported type",IF(COUNTIF(Products!$A$2:$A$101,$D385)=0,"Unknown SKU",IF(COUNTIFS(Batches!$A$2:$A$301,$F385,Batches!$B$2:$B$301,$D385)=0,"Unknown lot for this SKU",IF(AND($C385="Adjustment",$G385=""),"Missing: reason",IF(AND($G385&lt;&gt;"",COUNTIF(Config!$B$15:$B$34,$G385)=0),"Unsupported reason",IF(OR(INT($E385)&lt;&gt;$E385,AND(OR($C385="Receipt",$C385="Shipment"),$E385&lt;=0),AND($C385="Adjustment",$E385=0)),"Invalid qty",IF($B385&gt;Config!$B$4,"Date after the as-of date",IF($B385&lt;Config!$B$5,"Date before the opening balance date","OK")))))))))))))))))</f>
        <v/>
      </c>
    </row>
    <row r="386">
      <c r="A386" s="46" t="n"/>
      <c r="B386" s="54" t="n"/>
      <c r="C386" s="46" t="n"/>
      <c r="D386" s="46" t="n"/>
      <c r="E386" s="55" t="n"/>
      <c r="F386" s="46" t="n"/>
      <c r="G386" s="46" t="n"/>
      <c r="H386" s="46" t="n"/>
      <c r="I386" s="46" t="n"/>
      <c r="J386" s="46" t="n"/>
      <c r="K386" s="46" t="n"/>
      <c r="L386" s="46" t="n"/>
      <c r="M386" s="51" t="str">
        <f>IF(NOT(ISNUMBER($E386)),"",IF($C386="Receipt",$E386,IF($C386="Shipment",-$E386,IF($C386="Adjustment",$E386,0))))</f>
        <v/>
      </c>
      <c r="N386" s="49" t="str">
        <f>IF($D386="","",IFERROR(INDEX(Products!$B$2:$B$101,MATCH($D386,Products!$A$2:$A$101,0))&amp;"","(not found)"))</f>
        <v/>
      </c>
      <c r="O386" s="49" t="str">
        <f>IF($F386="","",IFERROR(INDEX(Batches!$B$2:$B$301,MATCH($F386,Batches!$A$2:$A$301,0))&amp;"","(not found)"))</f>
        <v/>
      </c>
      <c r="P386" s="49" t="str">
        <f>IF(COUNTA($A386:$L386)=0,"",IF($A386="","Missing: entry ID",IF(COUNTIF($A$2:$A$2001,$A386)&gt;1,"Duplicate entry ID",IF(NOT(ISNUMBER($B386)),"Missing or invalid: date",IF($C386="","Missing: type",IF($D386="","Missing: SKU",IF(NOT(ISNUMBER($E386)),"Missing: qty",IF($F386="","Missing: lot",IF($I386="","Missing: source link",IF(COUNTIF(Config!$A$15:$A$34,$C386)=0,"Unsupported type",IF(COUNTIF(Products!$A$2:$A$101,$D386)=0,"Unknown SKU",IF(COUNTIFS(Batches!$A$2:$A$301,$F386,Batches!$B$2:$B$301,$D386)=0,"Unknown lot for this SKU",IF(AND($C386="Adjustment",$G386=""),"Missing: reason",IF(AND($G386&lt;&gt;"",COUNTIF(Config!$B$15:$B$34,$G386)=0),"Unsupported reason",IF(OR(INT($E386)&lt;&gt;$E386,AND(OR($C386="Receipt",$C386="Shipment"),$E386&lt;=0),AND($C386="Adjustment",$E386=0)),"Invalid qty",IF($B386&gt;Config!$B$4,"Date after the as-of date",IF($B386&lt;Config!$B$5,"Date before the opening balance date","OK")))))))))))))))))</f>
        <v/>
      </c>
    </row>
    <row r="387">
      <c r="A387" s="46" t="n"/>
      <c r="B387" s="54" t="n"/>
      <c r="C387" s="46" t="n"/>
      <c r="D387" s="46" t="n"/>
      <c r="E387" s="55" t="n"/>
      <c r="F387" s="46" t="n"/>
      <c r="G387" s="46" t="n"/>
      <c r="H387" s="46" t="n"/>
      <c r="I387" s="46" t="n"/>
      <c r="J387" s="46" t="n"/>
      <c r="K387" s="46" t="n"/>
      <c r="L387" s="46" t="n"/>
      <c r="M387" s="51" t="str">
        <f>IF(NOT(ISNUMBER($E387)),"",IF($C387="Receipt",$E387,IF($C387="Shipment",-$E387,IF($C387="Adjustment",$E387,0))))</f>
        <v/>
      </c>
      <c r="N387" s="49" t="str">
        <f>IF($D387="","",IFERROR(INDEX(Products!$B$2:$B$101,MATCH($D387,Products!$A$2:$A$101,0))&amp;"","(not found)"))</f>
        <v/>
      </c>
      <c r="O387" s="49" t="str">
        <f>IF($F387="","",IFERROR(INDEX(Batches!$B$2:$B$301,MATCH($F387,Batches!$A$2:$A$301,0))&amp;"","(not found)"))</f>
        <v/>
      </c>
      <c r="P387" s="49" t="str">
        <f>IF(COUNTA($A387:$L387)=0,"",IF($A387="","Missing: entry ID",IF(COUNTIF($A$2:$A$2001,$A387)&gt;1,"Duplicate entry ID",IF(NOT(ISNUMBER($B387)),"Missing or invalid: date",IF($C387="","Missing: type",IF($D387="","Missing: SKU",IF(NOT(ISNUMBER($E387)),"Missing: qty",IF($F387="","Missing: lot",IF($I387="","Missing: source link",IF(COUNTIF(Config!$A$15:$A$34,$C387)=0,"Unsupported type",IF(COUNTIF(Products!$A$2:$A$101,$D387)=0,"Unknown SKU",IF(COUNTIFS(Batches!$A$2:$A$301,$F387,Batches!$B$2:$B$301,$D387)=0,"Unknown lot for this SKU",IF(AND($C387="Adjustment",$G387=""),"Missing: reason",IF(AND($G387&lt;&gt;"",COUNTIF(Config!$B$15:$B$34,$G387)=0),"Unsupported reason",IF(OR(INT($E387)&lt;&gt;$E387,AND(OR($C387="Receipt",$C387="Shipment"),$E387&lt;=0),AND($C387="Adjustment",$E387=0)),"Invalid qty",IF($B387&gt;Config!$B$4,"Date after the as-of date",IF($B387&lt;Config!$B$5,"Date before the opening balance date","OK")))))))))))))))))</f>
        <v/>
      </c>
    </row>
    <row r="388">
      <c r="A388" s="46" t="n"/>
      <c r="B388" s="54" t="n"/>
      <c r="C388" s="46" t="n"/>
      <c r="D388" s="46" t="n"/>
      <c r="E388" s="55" t="n"/>
      <c r="F388" s="46" t="n"/>
      <c r="G388" s="46" t="n"/>
      <c r="H388" s="46" t="n"/>
      <c r="I388" s="46" t="n"/>
      <c r="J388" s="46" t="n"/>
      <c r="K388" s="46" t="n"/>
      <c r="L388" s="46" t="n"/>
      <c r="M388" s="51" t="str">
        <f>IF(NOT(ISNUMBER($E388)),"",IF($C388="Receipt",$E388,IF($C388="Shipment",-$E388,IF($C388="Adjustment",$E388,0))))</f>
        <v/>
      </c>
      <c r="N388" s="49" t="str">
        <f>IF($D388="","",IFERROR(INDEX(Products!$B$2:$B$101,MATCH($D388,Products!$A$2:$A$101,0))&amp;"","(not found)"))</f>
        <v/>
      </c>
      <c r="O388" s="49" t="str">
        <f>IF($F388="","",IFERROR(INDEX(Batches!$B$2:$B$301,MATCH($F388,Batches!$A$2:$A$301,0))&amp;"","(not found)"))</f>
        <v/>
      </c>
      <c r="P388" s="49" t="str">
        <f>IF(COUNTA($A388:$L388)=0,"",IF($A388="","Missing: entry ID",IF(COUNTIF($A$2:$A$2001,$A388)&gt;1,"Duplicate entry ID",IF(NOT(ISNUMBER($B388)),"Missing or invalid: date",IF($C388="","Missing: type",IF($D388="","Missing: SKU",IF(NOT(ISNUMBER($E388)),"Missing: qty",IF($F388="","Missing: lot",IF($I388="","Missing: source link",IF(COUNTIF(Config!$A$15:$A$34,$C388)=0,"Unsupported type",IF(COUNTIF(Products!$A$2:$A$101,$D388)=0,"Unknown SKU",IF(COUNTIFS(Batches!$A$2:$A$301,$F388,Batches!$B$2:$B$301,$D388)=0,"Unknown lot for this SKU",IF(AND($C388="Adjustment",$G388=""),"Missing: reason",IF(AND($G388&lt;&gt;"",COUNTIF(Config!$B$15:$B$34,$G388)=0),"Unsupported reason",IF(OR(INT($E388)&lt;&gt;$E388,AND(OR($C388="Receipt",$C388="Shipment"),$E388&lt;=0),AND($C388="Adjustment",$E388=0)),"Invalid qty",IF($B388&gt;Config!$B$4,"Date after the as-of date",IF($B388&lt;Config!$B$5,"Date before the opening balance date","OK")))))))))))))))))</f>
        <v/>
      </c>
    </row>
    <row r="389">
      <c r="A389" s="46" t="n"/>
      <c r="B389" s="54" t="n"/>
      <c r="C389" s="46" t="n"/>
      <c r="D389" s="46" t="n"/>
      <c r="E389" s="55" t="n"/>
      <c r="F389" s="46" t="n"/>
      <c r="G389" s="46" t="n"/>
      <c r="H389" s="46" t="n"/>
      <c r="I389" s="46" t="n"/>
      <c r="J389" s="46" t="n"/>
      <c r="K389" s="46" t="n"/>
      <c r="L389" s="46" t="n"/>
      <c r="M389" s="51" t="str">
        <f>IF(NOT(ISNUMBER($E389)),"",IF($C389="Receipt",$E389,IF($C389="Shipment",-$E389,IF($C389="Adjustment",$E389,0))))</f>
        <v/>
      </c>
      <c r="N389" s="49" t="str">
        <f>IF($D389="","",IFERROR(INDEX(Products!$B$2:$B$101,MATCH($D389,Products!$A$2:$A$101,0))&amp;"","(not found)"))</f>
        <v/>
      </c>
      <c r="O389" s="49" t="str">
        <f>IF($F389="","",IFERROR(INDEX(Batches!$B$2:$B$301,MATCH($F389,Batches!$A$2:$A$301,0))&amp;"","(not found)"))</f>
        <v/>
      </c>
      <c r="P389" s="49" t="str">
        <f>IF(COUNTA($A389:$L389)=0,"",IF($A389="","Missing: entry ID",IF(COUNTIF($A$2:$A$2001,$A389)&gt;1,"Duplicate entry ID",IF(NOT(ISNUMBER($B389)),"Missing or invalid: date",IF($C389="","Missing: type",IF($D389="","Missing: SKU",IF(NOT(ISNUMBER($E389)),"Missing: qty",IF($F389="","Missing: lot",IF($I389="","Missing: source link",IF(COUNTIF(Config!$A$15:$A$34,$C389)=0,"Unsupported type",IF(COUNTIF(Products!$A$2:$A$101,$D389)=0,"Unknown SKU",IF(COUNTIFS(Batches!$A$2:$A$301,$F389,Batches!$B$2:$B$301,$D389)=0,"Unknown lot for this SKU",IF(AND($C389="Adjustment",$G389=""),"Missing: reason",IF(AND($G389&lt;&gt;"",COUNTIF(Config!$B$15:$B$34,$G389)=0),"Unsupported reason",IF(OR(INT($E389)&lt;&gt;$E389,AND(OR($C389="Receipt",$C389="Shipment"),$E389&lt;=0),AND($C389="Adjustment",$E389=0)),"Invalid qty",IF($B389&gt;Config!$B$4,"Date after the as-of date",IF($B389&lt;Config!$B$5,"Date before the opening balance date","OK")))))))))))))))))</f>
        <v/>
      </c>
    </row>
    <row r="390">
      <c r="A390" s="46" t="n"/>
      <c r="B390" s="54" t="n"/>
      <c r="C390" s="46" t="n"/>
      <c r="D390" s="46" t="n"/>
      <c r="E390" s="55" t="n"/>
      <c r="F390" s="46" t="n"/>
      <c r="G390" s="46" t="n"/>
      <c r="H390" s="46" t="n"/>
      <c r="I390" s="46" t="n"/>
      <c r="J390" s="46" t="n"/>
      <c r="K390" s="46" t="n"/>
      <c r="L390" s="46" t="n"/>
      <c r="M390" s="51" t="str">
        <f>IF(NOT(ISNUMBER($E390)),"",IF($C390="Receipt",$E390,IF($C390="Shipment",-$E390,IF($C390="Adjustment",$E390,0))))</f>
        <v/>
      </c>
      <c r="N390" s="49" t="str">
        <f>IF($D390="","",IFERROR(INDEX(Products!$B$2:$B$101,MATCH($D390,Products!$A$2:$A$101,0))&amp;"","(not found)"))</f>
        <v/>
      </c>
      <c r="O390" s="49" t="str">
        <f>IF($F390="","",IFERROR(INDEX(Batches!$B$2:$B$301,MATCH($F390,Batches!$A$2:$A$301,0))&amp;"","(not found)"))</f>
        <v/>
      </c>
      <c r="P390" s="49" t="str">
        <f>IF(COUNTA($A390:$L390)=0,"",IF($A390="","Missing: entry ID",IF(COUNTIF($A$2:$A$2001,$A390)&gt;1,"Duplicate entry ID",IF(NOT(ISNUMBER($B390)),"Missing or invalid: date",IF($C390="","Missing: type",IF($D390="","Missing: SKU",IF(NOT(ISNUMBER($E390)),"Missing: qty",IF($F390="","Missing: lot",IF($I390="","Missing: source link",IF(COUNTIF(Config!$A$15:$A$34,$C390)=0,"Unsupported type",IF(COUNTIF(Products!$A$2:$A$101,$D390)=0,"Unknown SKU",IF(COUNTIFS(Batches!$A$2:$A$301,$F390,Batches!$B$2:$B$301,$D390)=0,"Unknown lot for this SKU",IF(AND($C390="Adjustment",$G390=""),"Missing: reason",IF(AND($G390&lt;&gt;"",COUNTIF(Config!$B$15:$B$34,$G390)=0),"Unsupported reason",IF(OR(INT($E390)&lt;&gt;$E390,AND(OR($C390="Receipt",$C390="Shipment"),$E390&lt;=0),AND($C390="Adjustment",$E390=0)),"Invalid qty",IF($B390&gt;Config!$B$4,"Date after the as-of date",IF($B390&lt;Config!$B$5,"Date before the opening balance date","OK")))))))))))))))))</f>
        <v/>
      </c>
    </row>
    <row r="391">
      <c r="A391" s="46" t="n"/>
      <c r="B391" s="54" t="n"/>
      <c r="C391" s="46" t="n"/>
      <c r="D391" s="46" t="n"/>
      <c r="E391" s="55" t="n"/>
      <c r="F391" s="46" t="n"/>
      <c r="G391" s="46" t="n"/>
      <c r="H391" s="46" t="n"/>
      <c r="I391" s="46" t="n"/>
      <c r="J391" s="46" t="n"/>
      <c r="K391" s="46" t="n"/>
      <c r="L391" s="46" t="n"/>
      <c r="M391" s="51" t="str">
        <f>IF(NOT(ISNUMBER($E391)),"",IF($C391="Receipt",$E391,IF($C391="Shipment",-$E391,IF($C391="Adjustment",$E391,0))))</f>
        <v/>
      </c>
      <c r="N391" s="49" t="str">
        <f>IF($D391="","",IFERROR(INDEX(Products!$B$2:$B$101,MATCH($D391,Products!$A$2:$A$101,0))&amp;"","(not found)"))</f>
        <v/>
      </c>
      <c r="O391" s="49" t="str">
        <f>IF($F391="","",IFERROR(INDEX(Batches!$B$2:$B$301,MATCH($F391,Batches!$A$2:$A$301,0))&amp;"","(not found)"))</f>
        <v/>
      </c>
      <c r="P391" s="49" t="str">
        <f>IF(COUNTA($A391:$L391)=0,"",IF($A391="","Missing: entry ID",IF(COUNTIF($A$2:$A$2001,$A391)&gt;1,"Duplicate entry ID",IF(NOT(ISNUMBER($B391)),"Missing or invalid: date",IF($C391="","Missing: type",IF($D391="","Missing: SKU",IF(NOT(ISNUMBER($E391)),"Missing: qty",IF($F391="","Missing: lot",IF($I391="","Missing: source link",IF(COUNTIF(Config!$A$15:$A$34,$C391)=0,"Unsupported type",IF(COUNTIF(Products!$A$2:$A$101,$D391)=0,"Unknown SKU",IF(COUNTIFS(Batches!$A$2:$A$301,$F391,Batches!$B$2:$B$301,$D391)=0,"Unknown lot for this SKU",IF(AND($C391="Adjustment",$G391=""),"Missing: reason",IF(AND($G391&lt;&gt;"",COUNTIF(Config!$B$15:$B$34,$G391)=0),"Unsupported reason",IF(OR(INT($E391)&lt;&gt;$E391,AND(OR($C391="Receipt",$C391="Shipment"),$E391&lt;=0),AND($C391="Adjustment",$E391=0)),"Invalid qty",IF($B391&gt;Config!$B$4,"Date after the as-of date",IF($B391&lt;Config!$B$5,"Date before the opening balance date","OK")))))))))))))))))</f>
        <v/>
      </c>
    </row>
    <row r="392">
      <c r="A392" s="46" t="n"/>
      <c r="B392" s="54" t="n"/>
      <c r="C392" s="46" t="n"/>
      <c r="D392" s="46" t="n"/>
      <c r="E392" s="55" t="n"/>
      <c r="F392" s="46" t="n"/>
      <c r="G392" s="46" t="n"/>
      <c r="H392" s="46" t="n"/>
      <c r="I392" s="46" t="n"/>
      <c r="J392" s="46" t="n"/>
      <c r="K392" s="46" t="n"/>
      <c r="L392" s="46" t="n"/>
      <c r="M392" s="51" t="str">
        <f>IF(NOT(ISNUMBER($E392)),"",IF($C392="Receipt",$E392,IF($C392="Shipment",-$E392,IF($C392="Adjustment",$E392,0))))</f>
        <v/>
      </c>
      <c r="N392" s="49" t="str">
        <f>IF($D392="","",IFERROR(INDEX(Products!$B$2:$B$101,MATCH($D392,Products!$A$2:$A$101,0))&amp;"","(not found)"))</f>
        <v/>
      </c>
      <c r="O392" s="49" t="str">
        <f>IF($F392="","",IFERROR(INDEX(Batches!$B$2:$B$301,MATCH($F392,Batches!$A$2:$A$301,0))&amp;"","(not found)"))</f>
        <v/>
      </c>
      <c r="P392" s="49" t="str">
        <f>IF(COUNTA($A392:$L392)=0,"",IF($A392="","Missing: entry ID",IF(COUNTIF($A$2:$A$2001,$A392)&gt;1,"Duplicate entry ID",IF(NOT(ISNUMBER($B392)),"Missing or invalid: date",IF($C392="","Missing: type",IF($D392="","Missing: SKU",IF(NOT(ISNUMBER($E392)),"Missing: qty",IF($F392="","Missing: lot",IF($I392="","Missing: source link",IF(COUNTIF(Config!$A$15:$A$34,$C392)=0,"Unsupported type",IF(COUNTIF(Products!$A$2:$A$101,$D392)=0,"Unknown SKU",IF(COUNTIFS(Batches!$A$2:$A$301,$F392,Batches!$B$2:$B$301,$D392)=0,"Unknown lot for this SKU",IF(AND($C392="Adjustment",$G392=""),"Missing: reason",IF(AND($G392&lt;&gt;"",COUNTIF(Config!$B$15:$B$34,$G392)=0),"Unsupported reason",IF(OR(INT($E392)&lt;&gt;$E392,AND(OR($C392="Receipt",$C392="Shipment"),$E392&lt;=0),AND($C392="Adjustment",$E392=0)),"Invalid qty",IF($B392&gt;Config!$B$4,"Date after the as-of date",IF($B392&lt;Config!$B$5,"Date before the opening balance date","OK")))))))))))))))))</f>
        <v/>
      </c>
    </row>
    <row r="393">
      <c r="A393" s="46" t="n"/>
      <c r="B393" s="54" t="n"/>
      <c r="C393" s="46" t="n"/>
      <c r="D393" s="46" t="n"/>
      <c r="E393" s="55" t="n"/>
      <c r="F393" s="46" t="n"/>
      <c r="G393" s="46" t="n"/>
      <c r="H393" s="46" t="n"/>
      <c r="I393" s="46" t="n"/>
      <c r="J393" s="46" t="n"/>
      <c r="K393" s="46" t="n"/>
      <c r="L393" s="46" t="n"/>
      <c r="M393" s="51" t="str">
        <f>IF(NOT(ISNUMBER($E393)),"",IF($C393="Receipt",$E393,IF($C393="Shipment",-$E393,IF($C393="Adjustment",$E393,0))))</f>
        <v/>
      </c>
      <c r="N393" s="49" t="str">
        <f>IF($D393="","",IFERROR(INDEX(Products!$B$2:$B$101,MATCH($D393,Products!$A$2:$A$101,0))&amp;"","(not found)"))</f>
        <v/>
      </c>
      <c r="O393" s="49" t="str">
        <f>IF($F393="","",IFERROR(INDEX(Batches!$B$2:$B$301,MATCH($F393,Batches!$A$2:$A$301,0))&amp;"","(not found)"))</f>
        <v/>
      </c>
      <c r="P393" s="49" t="str">
        <f>IF(COUNTA($A393:$L393)=0,"",IF($A393="","Missing: entry ID",IF(COUNTIF($A$2:$A$2001,$A393)&gt;1,"Duplicate entry ID",IF(NOT(ISNUMBER($B393)),"Missing or invalid: date",IF($C393="","Missing: type",IF($D393="","Missing: SKU",IF(NOT(ISNUMBER($E393)),"Missing: qty",IF($F393="","Missing: lot",IF($I393="","Missing: source link",IF(COUNTIF(Config!$A$15:$A$34,$C393)=0,"Unsupported type",IF(COUNTIF(Products!$A$2:$A$101,$D393)=0,"Unknown SKU",IF(COUNTIFS(Batches!$A$2:$A$301,$F393,Batches!$B$2:$B$301,$D393)=0,"Unknown lot for this SKU",IF(AND($C393="Adjustment",$G393=""),"Missing: reason",IF(AND($G393&lt;&gt;"",COUNTIF(Config!$B$15:$B$34,$G393)=0),"Unsupported reason",IF(OR(INT($E393)&lt;&gt;$E393,AND(OR($C393="Receipt",$C393="Shipment"),$E393&lt;=0),AND($C393="Adjustment",$E393=0)),"Invalid qty",IF($B393&gt;Config!$B$4,"Date after the as-of date",IF($B393&lt;Config!$B$5,"Date before the opening balance date","OK")))))))))))))))))</f>
        <v/>
      </c>
    </row>
    <row r="394">
      <c r="A394" s="46" t="n"/>
      <c r="B394" s="54" t="n"/>
      <c r="C394" s="46" t="n"/>
      <c r="D394" s="46" t="n"/>
      <c r="E394" s="55" t="n"/>
      <c r="F394" s="46" t="n"/>
      <c r="G394" s="46" t="n"/>
      <c r="H394" s="46" t="n"/>
      <c r="I394" s="46" t="n"/>
      <c r="J394" s="46" t="n"/>
      <c r="K394" s="46" t="n"/>
      <c r="L394" s="46" t="n"/>
      <c r="M394" s="51" t="str">
        <f>IF(NOT(ISNUMBER($E394)),"",IF($C394="Receipt",$E394,IF($C394="Shipment",-$E394,IF($C394="Adjustment",$E394,0))))</f>
        <v/>
      </c>
      <c r="N394" s="49" t="str">
        <f>IF($D394="","",IFERROR(INDEX(Products!$B$2:$B$101,MATCH($D394,Products!$A$2:$A$101,0))&amp;"","(not found)"))</f>
        <v/>
      </c>
      <c r="O394" s="49" t="str">
        <f>IF($F394="","",IFERROR(INDEX(Batches!$B$2:$B$301,MATCH($F394,Batches!$A$2:$A$301,0))&amp;"","(not found)"))</f>
        <v/>
      </c>
      <c r="P394" s="49" t="str">
        <f>IF(COUNTA($A394:$L394)=0,"",IF($A394="","Missing: entry ID",IF(COUNTIF($A$2:$A$2001,$A394)&gt;1,"Duplicate entry ID",IF(NOT(ISNUMBER($B394)),"Missing or invalid: date",IF($C394="","Missing: type",IF($D394="","Missing: SKU",IF(NOT(ISNUMBER($E394)),"Missing: qty",IF($F394="","Missing: lot",IF($I394="","Missing: source link",IF(COUNTIF(Config!$A$15:$A$34,$C394)=0,"Unsupported type",IF(COUNTIF(Products!$A$2:$A$101,$D394)=0,"Unknown SKU",IF(COUNTIFS(Batches!$A$2:$A$301,$F394,Batches!$B$2:$B$301,$D394)=0,"Unknown lot for this SKU",IF(AND($C394="Adjustment",$G394=""),"Missing: reason",IF(AND($G394&lt;&gt;"",COUNTIF(Config!$B$15:$B$34,$G394)=0),"Unsupported reason",IF(OR(INT($E394)&lt;&gt;$E394,AND(OR($C394="Receipt",$C394="Shipment"),$E394&lt;=0),AND($C394="Adjustment",$E394=0)),"Invalid qty",IF($B394&gt;Config!$B$4,"Date after the as-of date",IF($B394&lt;Config!$B$5,"Date before the opening balance date","OK")))))))))))))))))</f>
        <v/>
      </c>
    </row>
    <row r="395">
      <c r="A395" s="46" t="n"/>
      <c r="B395" s="54" t="n"/>
      <c r="C395" s="46" t="n"/>
      <c r="D395" s="46" t="n"/>
      <c r="E395" s="55" t="n"/>
      <c r="F395" s="46" t="n"/>
      <c r="G395" s="46" t="n"/>
      <c r="H395" s="46" t="n"/>
      <c r="I395" s="46" t="n"/>
      <c r="J395" s="46" t="n"/>
      <c r="K395" s="46" t="n"/>
      <c r="L395" s="46" t="n"/>
      <c r="M395" s="51" t="str">
        <f>IF(NOT(ISNUMBER($E395)),"",IF($C395="Receipt",$E395,IF($C395="Shipment",-$E395,IF($C395="Adjustment",$E395,0))))</f>
        <v/>
      </c>
      <c r="N395" s="49" t="str">
        <f>IF($D395="","",IFERROR(INDEX(Products!$B$2:$B$101,MATCH($D395,Products!$A$2:$A$101,0))&amp;"","(not found)"))</f>
        <v/>
      </c>
      <c r="O395" s="49" t="str">
        <f>IF($F395="","",IFERROR(INDEX(Batches!$B$2:$B$301,MATCH($F395,Batches!$A$2:$A$301,0))&amp;"","(not found)"))</f>
        <v/>
      </c>
      <c r="P395" s="49" t="str">
        <f>IF(COUNTA($A395:$L395)=0,"",IF($A395="","Missing: entry ID",IF(COUNTIF($A$2:$A$2001,$A395)&gt;1,"Duplicate entry ID",IF(NOT(ISNUMBER($B395)),"Missing or invalid: date",IF($C395="","Missing: type",IF($D395="","Missing: SKU",IF(NOT(ISNUMBER($E395)),"Missing: qty",IF($F395="","Missing: lot",IF($I395="","Missing: source link",IF(COUNTIF(Config!$A$15:$A$34,$C395)=0,"Unsupported type",IF(COUNTIF(Products!$A$2:$A$101,$D395)=0,"Unknown SKU",IF(COUNTIFS(Batches!$A$2:$A$301,$F395,Batches!$B$2:$B$301,$D395)=0,"Unknown lot for this SKU",IF(AND($C395="Adjustment",$G395=""),"Missing: reason",IF(AND($G395&lt;&gt;"",COUNTIF(Config!$B$15:$B$34,$G395)=0),"Unsupported reason",IF(OR(INT($E395)&lt;&gt;$E395,AND(OR($C395="Receipt",$C395="Shipment"),$E395&lt;=0),AND($C395="Adjustment",$E395=0)),"Invalid qty",IF($B395&gt;Config!$B$4,"Date after the as-of date",IF($B395&lt;Config!$B$5,"Date before the opening balance date","OK")))))))))))))))))</f>
        <v/>
      </c>
    </row>
    <row r="396">
      <c r="A396" s="46" t="n"/>
      <c r="B396" s="54" t="n"/>
      <c r="C396" s="46" t="n"/>
      <c r="D396" s="46" t="n"/>
      <c r="E396" s="55" t="n"/>
      <c r="F396" s="46" t="n"/>
      <c r="G396" s="46" t="n"/>
      <c r="H396" s="46" t="n"/>
      <c r="I396" s="46" t="n"/>
      <c r="J396" s="46" t="n"/>
      <c r="K396" s="46" t="n"/>
      <c r="L396" s="46" t="n"/>
      <c r="M396" s="51" t="str">
        <f>IF(NOT(ISNUMBER($E396)),"",IF($C396="Receipt",$E396,IF($C396="Shipment",-$E396,IF($C396="Adjustment",$E396,0))))</f>
        <v/>
      </c>
      <c r="N396" s="49" t="str">
        <f>IF($D396="","",IFERROR(INDEX(Products!$B$2:$B$101,MATCH($D396,Products!$A$2:$A$101,0))&amp;"","(not found)"))</f>
        <v/>
      </c>
      <c r="O396" s="49" t="str">
        <f>IF($F396="","",IFERROR(INDEX(Batches!$B$2:$B$301,MATCH($F396,Batches!$A$2:$A$301,0))&amp;"","(not found)"))</f>
        <v/>
      </c>
      <c r="P396" s="49" t="str">
        <f>IF(COUNTA($A396:$L396)=0,"",IF($A396="","Missing: entry ID",IF(COUNTIF($A$2:$A$2001,$A396)&gt;1,"Duplicate entry ID",IF(NOT(ISNUMBER($B396)),"Missing or invalid: date",IF($C396="","Missing: type",IF($D396="","Missing: SKU",IF(NOT(ISNUMBER($E396)),"Missing: qty",IF($F396="","Missing: lot",IF($I396="","Missing: source link",IF(COUNTIF(Config!$A$15:$A$34,$C396)=0,"Unsupported type",IF(COUNTIF(Products!$A$2:$A$101,$D396)=0,"Unknown SKU",IF(COUNTIFS(Batches!$A$2:$A$301,$F396,Batches!$B$2:$B$301,$D396)=0,"Unknown lot for this SKU",IF(AND($C396="Adjustment",$G396=""),"Missing: reason",IF(AND($G396&lt;&gt;"",COUNTIF(Config!$B$15:$B$34,$G396)=0),"Unsupported reason",IF(OR(INT($E396)&lt;&gt;$E396,AND(OR($C396="Receipt",$C396="Shipment"),$E396&lt;=0),AND($C396="Adjustment",$E396=0)),"Invalid qty",IF($B396&gt;Config!$B$4,"Date after the as-of date",IF($B396&lt;Config!$B$5,"Date before the opening balance date","OK")))))))))))))))))</f>
        <v/>
      </c>
    </row>
    <row r="397">
      <c r="A397" s="46" t="n"/>
      <c r="B397" s="54" t="n"/>
      <c r="C397" s="46" t="n"/>
      <c r="D397" s="46" t="n"/>
      <c r="E397" s="55" t="n"/>
      <c r="F397" s="46" t="n"/>
      <c r="G397" s="46" t="n"/>
      <c r="H397" s="46" t="n"/>
      <c r="I397" s="46" t="n"/>
      <c r="J397" s="46" t="n"/>
      <c r="K397" s="46" t="n"/>
      <c r="L397" s="46" t="n"/>
      <c r="M397" s="51" t="str">
        <f>IF(NOT(ISNUMBER($E397)),"",IF($C397="Receipt",$E397,IF($C397="Shipment",-$E397,IF($C397="Adjustment",$E397,0))))</f>
        <v/>
      </c>
      <c r="N397" s="49" t="str">
        <f>IF($D397="","",IFERROR(INDEX(Products!$B$2:$B$101,MATCH($D397,Products!$A$2:$A$101,0))&amp;"","(not found)"))</f>
        <v/>
      </c>
      <c r="O397" s="49" t="str">
        <f>IF($F397="","",IFERROR(INDEX(Batches!$B$2:$B$301,MATCH($F397,Batches!$A$2:$A$301,0))&amp;"","(not found)"))</f>
        <v/>
      </c>
      <c r="P397" s="49" t="str">
        <f>IF(COUNTA($A397:$L397)=0,"",IF($A397="","Missing: entry ID",IF(COUNTIF($A$2:$A$2001,$A397)&gt;1,"Duplicate entry ID",IF(NOT(ISNUMBER($B397)),"Missing or invalid: date",IF($C397="","Missing: type",IF($D397="","Missing: SKU",IF(NOT(ISNUMBER($E397)),"Missing: qty",IF($F397="","Missing: lot",IF($I397="","Missing: source link",IF(COUNTIF(Config!$A$15:$A$34,$C397)=0,"Unsupported type",IF(COUNTIF(Products!$A$2:$A$101,$D397)=0,"Unknown SKU",IF(COUNTIFS(Batches!$A$2:$A$301,$F397,Batches!$B$2:$B$301,$D397)=0,"Unknown lot for this SKU",IF(AND($C397="Adjustment",$G397=""),"Missing: reason",IF(AND($G397&lt;&gt;"",COUNTIF(Config!$B$15:$B$34,$G397)=0),"Unsupported reason",IF(OR(INT($E397)&lt;&gt;$E397,AND(OR($C397="Receipt",$C397="Shipment"),$E397&lt;=0),AND($C397="Adjustment",$E397=0)),"Invalid qty",IF($B397&gt;Config!$B$4,"Date after the as-of date",IF($B397&lt;Config!$B$5,"Date before the opening balance date","OK")))))))))))))))))</f>
        <v/>
      </c>
    </row>
    <row r="398">
      <c r="A398" s="46" t="n"/>
      <c r="B398" s="54" t="n"/>
      <c r="C398" s="46" t="n"/>
      <c r="D398" s="46" t="n"/>
      <c r="E398" s="55" t="n"/>
      <c r="F398" s="46" t="n"/>
      <c r="G398" s="46" t="n"/>
      <c r="H398" s="46" t="n"/>
      <c r="I398" s="46" t="n"/>
      <c r="J398" s="46" t="n"/>
      <c r="K398" s="46" t="n"/>
      <c r="L398" s="46" t="n"/>
      <c r="M398" s="51" t="str">
        <f>IF(NOT(ISNUMBER($E398)),"",IF($C398="Receipt",$E398,IF($C398="Shipment",-$E398,IF($C398="Adjustment",$E398,0))))</f>
        <v/>
      </c>
      <c r="N398" s="49" t="str">
        <f>IF($D398="","",IFERROR(INDEX(Products!$B$2:$B$101,MATCH($D398,Products!$A$2:$A$101,0))&amp;"","(not found)"))</f>
        <v/>
      </c>
      <c r="O398" s="49" t="str">
        <f>IF($F398="","",IFERROR(INDEX(Batches!$B$2:$B$301,MATCH($F398,Batches!$A$2:$A$301,0))&amp;"","(not found)"))</f>
        <v/>
      </c>
      <c r="P398" s="49" t="str">
        <f>IF(COUNTA($A398:$L398)=0,"",IF($A398="","Missing: entry ID",IF(COUNTIF($A$2:$A$2001,$A398)&gt;1,"Duplicate entry ID",IF(NOT(ISNUMBER($B398)),"Missing or invalid: date",IF($C398="","Missing: type",IF($D398="","Missing: SKU",IF(NOT(ISNUMBER($E398)),"Missing: qty",IF($F398="","Missing: lot",IF($I398="","Missing: source link",IF(COUNTIF(Config!$A$15:$A$34,$C398)=0,"Unsupported type",IF(COUNTIF(Products!$A$2:$A$101,$D398)=0,"Unknown SKU",IF(COUNTIFS(Batches!$A$2:$A$301,$F398,Batches!$B$2:$B$301,$D398)=0,"Unknown lot for this SKU",IF(AND($C398="Adjustment",$G398=""),"Missing: reason",IF(AND($G398&lt;&gt;"",COUNTIF(Config!$B$15:$B$34,$G398)=0),"Unsupported reason",IF(OR(INT($E398)&lt;&gt;$E398,AND(OR($C398="Receipt",$C398="Shipment"),$E398&lt;=0),AND($C398="Adjustment",$E398=0)),"Invalid qty",IF($B398&gt;Config!$B$4,"Date after the as-of date",IF($B398&lt;Config!$B$5,"Date before the opening balance date","OK")))))))))))))))))</f>
        <v/>
      </c>
    </row>
    <row r="399">
      <c r="A399" s="46" t="n"/>
      <c r="B399" s="54" t="n"/>
      <c r="C399" s="46" t="n"/>
      <c r="D399" s="46" t="n"/>
      <c r="E399" s="55" t="n"/>
      <c r="F399" s="46" t="n"/>
      <c r="G399" s="46" t="n"/>
      <c r="H399" s="46" t="n"/>
      <c r="I399" s="46" t="n"/>
      <c r="J399" s="46" t="n"/>
      <c r="K399" s="46" t="n"/>
      <c r="L399" s="46" t="n"/>
      <c r="M399" s="51" t="str">
        <f>IF(NOT(ISNUMBER($E399)),"",IF($C399="Receipt",$E399,IF($C399="Shipment",-$E399,IF($C399="Adjustment",$E399,0))))</f>
        <v/>
      </c>
      <c r="N399" s="49" t="str">
        <f>IF($D399="","",IFERROR(INDEX(Products!$B$2:$B$101,MATCH($D399,Products!$A$2:$A$101,0))&amp;"","(not found)"))</f>
        <v/>
      </c>
      <c r="O399" s="49" t="str">
        <f>IF($F399="","",IFERROR(INDEX(Batches!$B$2:$B$301,MATCH($F399,Batches!$A$2:$A$301,0))&amp;"","(not found)"))</f>
        <v/>
      </c>
      <c r="P399" s="49" t="str">
        <f>IF(COUNTA($A399:$L399)=0,"",IF($A399="","Missing: entry ID",IF(COUNTIF($A$2:$A$2001,$A399)&gt;1,"Duplicate entry ID",IF(NOT(ISNUMBER($B399)),"Missing or invalid: date",IF($C399="","Missing: type",IF($D399="","Missing: SKU",IF(NOT(ISNUMBER($E399)),"Missing: qty",IF($F399="","Missing: lot",IF($I399="","Missing: source link",IF(COUNTIF(Config!$A$15:$A$34,$C399)=0,"Unsupported type",IF(COUNTIF(Products!$A$2:$A$101,$D399)=0,"Unknown SKU",IF(COUNTIFS(Batches!$A$2:$A$301,$F399,Batches!$B$2:$B$301,$D399)=0,"Unknown lot for this SKU",IF(AND($C399="Adjustment",$G399=""),"Missing: reason",IF(AND($G399&lt;&gt;"",COUNTIF(Config!$B$15:$B$34,$G399)=0),"Unsupported reason",IF(OR(INT($E399)&lt;&gt;$E399,AND(OR($C399="Receipt",$C399="Shipment"),$E399&lt;=0),AND($C399="Adjustment",$E399=0)),"Invalid qty",IF($B399&gt;Config!$B$4,"Date after the as-of date",IF($B399&lt;Config!$B$5,"Date before the opening balance date","OK")))))))))))))))))</f>
        <v/>
      </c>
    </row>
    <row r="400">
      <c r="A400" s="46" t="n"/>
      <c r="B400" s="54" t="n"/>
      <c r="C400" s="46" t="n"/>
      <c r="D400" s="46" t="n"/>
      <c r="E400" s="55" t="n"/>
      <c r="F400" s="46" t="n"/>
      <c r="G400" s="46" t="n"/>
      <c r="H400" s="46" t="n"/>
      <c r="I400" s="46" t="n"/>
      <c r="J400" s="46" t="n"/>
      <c r="K400" s="46" t="n"/>
      <c r="L400" s="46" t="n"/>
      <c r="M400" s="51" t="str">
        <f>IF(NOT(ISNUMBER($E400)),"",IF($C400="Receipt",$E400,IF($C400="Shipment",-$E400,IF($C400="Adjustment",$E400,0))))</f>
        <v/>
      </c>
      <c r="N400" s="49" t="str">
        <f>IF($D400="","",IFERROR(INDEX(Products!$B$2:$B$101,MATCH($D400,Products!$A$2:$A$101,0))&amp;"","(not found)"))</f>
        <v/>
      </c>
      <c r="O400" s="49" t="str">
        <f>IF($F400="","",IFERROR(INDEX(Batches!$B$2:$B$301,MATCH($F400,Batches!$A$2:$A$301,0))&amp;"","(not found)"))</f>
        <v/>
      </c>
      <c r="P400" s="49" t="str">
        <f>IF(COUNTA($A400:$L400)=0,"",IF($A400="","Missing: entry ID",IF(COUNTIF($A$2:$A$2001,$A400)&gt;1,"Duplicate entry ID",IF(NOT(ISNUMBER($B400)),"Missing or invalid: date",IF($C400="","Missing: type",IF($D400="","Missing: SKU",IF(NOT(ISNUMBER($E400)),"Missing: qty",IF($F400="","Missing: lot",IF($I400="","Missing: source link",IF(COUNTIF(Config!$A$15:$A$34,$C400)=0,"Unsupported type",IF(COUNTIF(Products!$A$2:$A$101,$D400)=0,"Unknown SKU",IF(COUNTIFS(Batches!$A$2:$A$301,$F400,Batches!$B$2:$B$301,$D400)=0,"Unknown lot for this SKU",IF(AND($C400="Adjustment",$G400=""),"Missing: reason",IF(AND($G400&lt;&gt;"",COUNTIF(Config!$B$15:$B$34,$G400)=0),"Unsupported reason",IF(OR(INT($E400)&lt;&gt;$E400,AND(OR($C400="Receipt",$C400="Shipment"),$E400&lt;=0),AND($C400="Adjustment",$E400=0)),"Invalid qty",IF($B400&gt;Config!$B$4,"Date after the as-of date",IF($B400&lt;Config!$B$5,"Date before the opening balance date","OK")))))))))))))))))</f>
        <v/>
      </c>
    </row>
    <row r="401">
      <c r="A401" s="46" t="n"/>
      <c r="B401" s="54" t="n"/>
      <c r="C401" s="46" t="n"/>
      <c r="D401" s="46" t="n"/>
      <c r="E401" s="55" t="n"/>
      <c r="F401" s="46" t="n"/>
      <c r="G401" s="46" t="n"/>
      <c r="H401" s="46" t="n"/>
      <c r="I401" s="46" t="n"/>
      <c r="J401" s="46" t="n"/>
      <c r="K401" s="46" t="n"/>
      <c r="L401" s="46" t="n"/>
      <c r="M401" s="51" t="str">
        <f>IF(NOT(ISNUMBER($E401)),"",IF($C401="Receipt",$E401,IF($C401="Shipment",-$E401,IF($C401="Adjustment",$E401,0))))</f>
        <v/>
      </c>
      <c r="N401" s="49" t="str">
        <f>IF($D401="","",IFERROR(INDEX(Products!$B$2:$B$101,MATCH($D401,Products!$A$2:$A$101,0))&amp;"","(not found)"))</f>
        <v/>
      </c>
      <c r="O401" s="49" t="str">
        <f>IF($F401="","",IFERROR(INDEX(Batches!$B$2:$B$301,MATCH($F401,Batches!$A$2:$A$301,0))&amp;"","(not found)"))</f>
        <v/>
      </c>
      <c r="P401" s="49" t="str">
        <f>IF(COUNTA($A401:$L401)=0,"",IF($A401="","Missing: entry ID",IF(COUNTIF($A$2:$A$2001,$A401)&gt;1,"Duplicate entry ID",IF(NOT(ISNUMBER($B401)),"Missing or invalid: date",IF($C401="","Missing: type",IF($D401="","Missing: SKU",IF(NOT(ISNUMBER($E401)),"Missing: qty",IF($F401="","Missing: lot",IF($I401="","Missing: source link",IF(COUNTIF(Config!$A$15:$A$34,$C401)=0,"Unsupported type",IF(COUNTIF(Products!$A$2:$A$101,$D401)=0,"Unknown SKU",IF(COUNTIFS(Batches!$A$2:$A$301,$F401,Batches!$B$2:$B$301,$D401)=0,"Unknown lot for this SKU",IF(AND($C401="Adjustment",$G401=""),"Missing: reason",IF(AND($G401&lt;&gt;"",COUNTIF(Config!$B$15:$B$34,$G401)=0),"Unsupported reason",IF(OR(INT($E401)&lt;&gt;$E401,AND(OR($C401="Receipt",$C401="Shipment"),$E401&lt;=0),AND($C401="Adjustment",$E401=0)),"Invalid qty",IF($B401&gt;Config!$B$4,"Date after the as-of date",IF($B401&lt;Config!$B$5,"Date before the opening balance date","OK")))))))))))))))))</f>
        <v/>
      </c>
    </row>
    <row r="402">
      <c r="A402" s="46" t="n"/>
      <c r="B402" s="54" t="n"/>
      <c r="C402" s="46" t="n"/>
      <c r="D402" s="46" t="n"/>
      <c r="E402" s="55" t="n"/>
      <c r="F402" s="46" t="n"/>
      <c r="G402" s="46" t="n"/>
      <c r="H402" s="46" t="n"/>
      <c r="I402" s="46" t="n"/>
      <c r="J402" s="46" t="n"/>
      <c r="K402" s="46" t="n"/>
      <c r="L402" s="46" t="n"/>
      <c r="M402" s="51" t="str">
        <f>IF(NOT(ISNUMBER($E402)),"",IF($C402="Receipt",$E402,IF($C402="Shipment",-$E402,IF($C402="Adjustment",$E402,0))))</f>
        <v/>
      </c>
      <c r="N402" s="49" t="str">
        <f>IF($D402="","",IFERROR(INDEX(Products!$B$2:$B$101,MATCH($D402,Products!$A$2:$A$101,0))&amp;"","(not found)"))</f>
        <v/>
      </c>
      <c r="O402" s="49" t="str">
        <f>IF($F402="","",IFERROR(INDEX(Batches!$B$2:$B$301,MATCH($F402,Batches!$A$2:$A$301,0))&amp;"","(not found)"))</f>
        <v/>
      </c>
      <c r="P402" s="49" t="str">
        <f>IF(COUNTA($A402:$L402)=0,"",IF($A402="","Missing: entry ID",IF(COUNTIF($A$2:$A$2001,$A402)&gt;1,"Duplicate entry ID",IF(NOT(ISNUMBER($B402)),"Missing or invalid: date",IF($C402="","Missing: type",IF($D402="","Missing: SKU",IF(NOT(ISNUMBER($E402)),"Missing: qty",IF($F402="","Missing: lot",IF($I402="","Missing: source link",IF(COUNTIF(Config!$A$15:$A$34,$C402)=0,"Unsupported type",IF(COUNTIF(Products!$A$2:$A$101,$D402)=0,"Unknown SKU",IF(COUNTIFS(Batches!$A$2:$A$301,$F402,Batches!$B$2:$B$301,$D402)=0,"Unknown lot for this SKU",IF(AND($C402="Adjustment",$G402=""),"Missing: reason",IF(AND($G402&lt;&gt;"",COUNTIF(Config!$B$15:$B$34,$G402)=0),"Unsupported reason",IF(OR(INT($E402)&lt;&gt;$E402,AND(OR($C402="Receipt",$C402="Shipment"),$E402&lt;=0),AND($C402="Adjustment",$E402=0)),"Invalid qty",IF($B402&gt;Config!$B$4,"Date after the as-of date",IF($B402&lt;Config!$B$5,"Date before the opening balance date","OK")))))))))))))))))</f>
        <v/>
      </c>
    </row>
    <row r="403">
      <c r="A403" s="46" t="n"/>
      <c r="B403" s="54" t="n"/>
      <c r="C403" s="46" t="n"/>
      <c r="D403" s="46" t="n"/>
      <c r="E403" s="55" t="n"/>
      <c r="F403" s="46" t="n"/>
      <c r="G403" s="46" t="n"/>
      <c r="H403" s="46" t="n"/>
      <c r="I403" s="46" t="n"/>
      <c r="J403" s="46" t="n"/>
      <c r="K403" s="46" t="n"/>
      <c r="L403" s="46" t="n"/>
      <c r="M403" s="51" t="str">
        <f>IF(NOT(ISNUMBER($E403)),"",IF($C403="Receipt",$E403,IF($C403="Shipment",-$E403,IF($C403="Adjustment",$E403,0))))</f>
        <v/>
      </c>
      <c r="N403" s="49" t="str">
        <f>IF($D403="","",IFERROR(INDEX(Products!$B$2:$B$101,MATCH($D403,Products!$A$2:$A$101,0))&amp;"","(not found)"))</f>
        <v/>
      </c>
      <c r="O403" s="49" t="str">
        <f>IF($F403="","",IFERROR(INDEX(Batches!$B$2:$B$301,MATCH($F403,Batches!$A$2:$A$301,0))&amp;"","(not found)"))</f>
        <v/>
      </c>
      <c r="P403" s="49" t="str">
        <f>IF(COUNTA($A403:$L403)=0,"",IF($A403="","Missing: entry ID",IF(COUNTIF($A$2:$A$2001,$A403)&gt;1,"Duplicate entry ID",IF(NOT(ISNUMBER($B403)),"Missing or invalid: date",IF($C403="","Missing: type",IF($D403="","Missing: SKU",IF(NOT(ISNUMBER($E403)),"Missing: qty",IF($F403="","Missing: lot",IF($I403="","Missing: source link",IF(COUNTIF(Config!$A$15:$A$34,$C403)=0,"Unsupported type",IF(COUNTIF(Products!$A$2:$A$101,$D403)=0,"Unknown SKU",IF(COUNTIFS(Batches!$A$2:$A$301,$F403,Batches!$B$2:$B$301,$D403)=0,"Unknown lot for this SKU",IF(AND($C403="Adjustment",$G403=""),"Missing: reason",IF(AND($G403&lt;&gt;"",COUNTIF(Config!$B$15:$B$34,$G403)=0),"Unsupported reason",IF(OR(INT($E403)&lt;&gt;$E403,AND(OR($C403="Receipt",$C403="Shipment"),$E403&lt;=0),AND($C403="Adjustment",$E403=0)),"Invalid qty",IF($B403&gt;Config!$B$4,"Date after the as-of date",IF($B403&lt;Config!$B$5,"Date before the opening balance date","OK")))))))))))))))))</f>
        <v/>
      </c>
    </row>
    <row r="404">
      <c r="A404" s="46" t="n"/>
      <c r="B404" s="54" t="n"/>
      <c r="C404" s="46" t="n"/>
      <c r="D404" s="46" t="n"/>
      <c r="E404" s="55" t="n"/>
      <c r="F404" s="46" t="n"/>
      <c r="G404" s="46" t="n"/>
      <c r="H404" s="46" t="n"/>
      <c r="I404" s="46" t="n"/>
      <c r="J404" s="46" t="n"/>
      <c r="K404" s="46" t="n"/>
      <c r="L404" s="46" t="n"/>
      <c r="M404" s="51" t="str">
        <f>IF(NOT(ISNUMBER($E404)),"",IF($C404="Receipt",$E404,IF($C404="Shipment",-$E404,IF($C404="Adjustment",$E404,0))))</f>
        <v/>
      </c>
      <c r="N404" s="49" t="str">
        <f>IF($D404="","",IFERROR(INDEX(Products!$B$2:$B$101,MATCH($D404,Products!$A$2:$A$101,0))&amp;"","(not found)"))</f>
        <v/>
      </c>
      <c r="O404" s="49" t="str">
        <f>IF($F404="","",IFERROR(INDEX(Batches!$B$2:$B$301,MATCH($F404,Batches!$A$2:$A$301,0))&amp;"","(not found)"))</f>
        <v/>
      </c>
      <c r="P404" s="49" t="str">
        <f>IF(COUNTA($A404:$L404)=0,"",IF($A404="","Missing: entry ID",IF(COUNTIF($A$2:$A$2001,$A404)&gt;1,"Duplicate entry ID",IF(NOT(ISNUMBER($B404)),"Missing or invalid: date",IF($C404="","Missing: type",IF($D404="","Missing: SKU",IF(NOT(ISNUMBER($E404)),"Missing: qty",IF($F404="","Missing: lot",IF($I404="","Missing: source link",IF(COUNTIF(Config!$A$15:$A$34,$C404)=0,"Unsupported type",IF(COUNTIF(Products!$A$2:$A$101,$D404)=0,"Unknown SKU",IF(COUNTIFS(Batches!$A$2:$A$301,$F404,Batches!$B$2:$B$301,$D404)=0,"Unknown lot for this SKU",IF(AND($C404="Adjustment",$G404=""),"Missing: reason",IF(AND($G404&lt;&gt;"",COUNTIF(Config!$B$15:$B$34,$G404)=0),"Unsupported reason",IF(OR(INT($E404)&lt;&gt;$E404,AND(OR($C404="Receipt",$C404="Shipment"),$E404&lt;=0),AND($C404="Adjustment",$E404=0)),"Invalid qty",IF($B404&gt;Config!$B$4,"Date after the as-of date",IF($B404&lt;Config!$B$5,"Date before the opening balance date","OK")))))))))))))))))</f>
        <v/>
      </c>
    </row>
    <row r="405">
      <c r="A405" s="46" t="n"/>
      <c r="B405" s="54" t="n"/>
      <c r="C405" s="46" t="n"/>
      <c r="D405" s="46" t="n"/>
      <c r="E405" s="55" t="n"/>
      <c r="F405" s="46" t="n"/>
      <c r="G405" s="46" t="n"/>
      <c r="H405" s="46" t="n"/>
      <c r="I405" s="46" t="n"/>
      <c r="J405" s="46" t="n"/>
      <c r="K405" s="46" t="n"/>
      <c r="L405" s="46" t="n"/>
      <c r="M405" s="51" t="str">
        <f>IF(NOT(ISNUMBER($E405)),"",IF($C405="Receipt",$E405,IF($C405="Shipment",-$E405,IF($C405="Adjustment",$E405,0))))</f>
        <v/>
      </c>
      <c r="N405" s="49" t="str">
        <f>IF($D405="","",IFERROR(INDEX(Products!$B$2:$B$101,MATCH($D405,Products!$A$2:$A$101,0))&amp;"","(not found)"))</f>
        <v/>
      </c>
      <c r="O405" s="49" t="str">
        <f>IF($F405="","",IFERROR(INDEX(Batches!$B$2:$B$301,MATCH($F405,Batches!$A$2:$A$301,0))&amp;"","(not found)"))</f>
        <v/>
      </c>
      <c r="P405" s="49" t="str">
        <f>IF(COUNTA($A405:$L405)=0,"",IF($A405="","Missing: entry ID",IF(COUNTIF($A$2:$A$2001,$A405)&gt;1,"Duplicate entry ID",IF(NOT(ISNUMBER($B405)),"Missing or invalid: date",IF($C405="","Missing: type",IF($D405="","Missing: SKU",IF(NOT(ISNUMBER($E405)),"Missing: qty",IF($F405="","Missing: lot",IF($I405="","Missing: source link",IF(COUNTIF(Config!$A$15:$A$34,$C405)=0,"Unsupported type",IF(COUNTIF(Products!$A$2:$A$101,$D405)=0,"Unknown SKU",IF(COUNTIFS(Batches!$A$2:$A$301,$F405,Batches!$B$2:$B$301,$D405)=0,"Unknown lot for this SKU",IF(AND($C405="Adjustment",$G405=""),"Missing: reason",IF(AND($G405&lt;&gt;"",COUNTIF(Config!$B$15:$B$34,$G405)=0),"Unsupported reason",IF(OR(INT($E405)&lt;&gt;$E405,AND(OR($C405="Receipt",$C405="Shipment"),$E405&lt;=0),AND($C405="Adjustment",$E405=0)),"Invalid qty",IF($B405&gt;Config!$B$4,"Date after the as-of date",IF($B405&lt;Config!$B$5,"Date before the opening balance date","OK")))))))))))))))))</f>
        <v/>
      </c>
    </row>
    <row r="406">
      <c r="A406" s="46" t="n"/>
      <c r="B406" s="54" t="n"/>
      <c r="C406" s="46" t="n"/>
      <c r="D406" s="46" t="n"/>
      <c r="E406" s="55" t="n"/>
      <c r="F406" s="46" t="n"/>
      <c r="G406" s="46" t="n"/>
      <c r="H406" s="46" t="n"/>
      <c r="I406" s="46" t="n"/>
      <c r="J406" s="46" t="n"/>
      <c r="K406" s="46" t="n"/>
      <c r="L406" s="46" t="n"/>
      <c r="M406" s="51" t="str">
        <f>IF(NOT(ISNUMBER($E406)),"",IF($C406="Receipt",$E406,IF($C406="Shipment",-$E406,IF($C406="Adjustment",$E406,0))))</f>
        <v/>
      </c>
      <c r="N406" s="49" t="str">
        <f>IF($D406="","",IFERROR(INDEX(Products!$B$2:$B$101,MATCH($D406,Products!$A$2:$A$101,0))&amp;"","(not found)"))</f>
        <v/>
      </c>
      <c r="O406" s="49" t="str">
        <f>IF($F406="","",IFERROR(INDEX(Batches!$B$2:$B$301,MATCH($F406,Batches!$A$2:$A$301,0))&amp;"","(not found)"))</f>
        <v/>
      </c>
      <c r="P406" s="49" t="str">
        <f>IF(COUNTA($A406:$L406)=0,"",IF($A406="","Missing: entry ID",IF(COUNTIF($A$2:$A$2001,$A406)&gt;1,"Duplicate entry ID",IF(NOT(ISNUMBER($B406)),"Missing or invalid: date",IF($C406="","Missing: type",IF($D406="","Missing: SKU",IF(NOT(ISNUMBER($E406)),"Missing: qty",IF($F406="","Missing: lot",IF($I406="","Missing: source link",IF(COUNTIF(Config!$A$15:$A$34,$C406)=0,"Unsupported type",IF(COUNTIF(Products!$A$2:$A$101,$D406)=0,"Unknown SKU",IF(COUNTIFS(Batches!$A$2:$A$301,$F406,Batches!$B$2:$B$301,$D406)=0,"Unknown lot for this SKU",IF(AND($C406="Adjustment",$G406=""),"Missing: reason",IF(AND($G406&lt;&gt;"",COUNTIF(Config!$B$15:$B$34,$G406)=0),"Unsupported reason",IF(OR(INT($E406)&lt;&gt;$E406,AND(OR($C406="Receipt",$C406="Shipment"),$E406&lt;=0),AND($C406="Adjustment",$E406=0)),"Invalid qty",IF($B406&gt;Config!$B$4,"Date after the as-of date",IF($B406&lt;Config!$B$5,"Date before the opening balance date","OK")))))))))))))))))</f>
        <v/>
      </c>
    </row>
    <row r="407">
      <c r="A407" s="46" t="n"/>
      <c r="B407" s="54" t="n"/>
      <c r="C407" s="46" t="n"/>
      <c r="D407" s="46" t="n"/>
      <c r="E407" s="55" t="n"/>
      <c r="F407" s="46" t="n"/>
      <c r="G407" s="46" t="n"/>
      <c r="H407" s="46" t="n"/>
      <c r="I407" s="46" t="n"/>
      <c r="J407" s="46" t="n"/>
      <c r="K407" s="46" t="n"/>
      <c r="L407" s="46" t="n"/>
      <c r="M407" s="51" t="str">
        <f>IF(NOT(ISNUMBER($E407)),"",IF($C407="Receipt",$E407,IF($C407="Shipment",-$E407,IF($C407="Adjustment",$E407,0))))</f>
        <v/>
      </c>
      <c r="N407" s="49" t="str">
        <f>IF($D407="","",IFERROR(INDEX(Products!$B$2:$B$101,MATCH($D407,Products!$A$2:$A$101,0))&amp;"","(not found)"))</f>
        <v/>
      </c>
      <c r="O407" s="49" t="str">
        <f>IF($F407="","",IFERROR(INDEX(Batches!$B$2:$B$301,MATCH($F407,Batches!$A$2:$A$301,0))&amp;"","(not found)"))</f>
        <v/>
      </c>
      <c r="P407" s="49" t="str">
        <f>IF(COUNTA($A407:$L407)=0,"",IF($A407="","Missing: entry ID",IF(COUNTIF($A$2:$A$2001,$A407)&gt;1,"Duplicate entry ID",IF(NOT(ISNUMBER($B407)),"Missing or invalid: date",IF($C407="","Missing: type",IF($D407="","Missing: SKU",IF(NOT(ISNUMBER($E407)),"Missing: qty",IF($F407="","Missing: lot",IF($I407="","Missing: source link",IF(COUNTIF(Config!$A$15:$A$34,$C407)=0,"Unsupported type",IF(COUNTIF(Products!$A$2:$A$101,$D407)=0,"Unknown SKU",IF(COUNTIFS(Batches!$A$2:$A$301,$F407,Batches!$B$2:$B$301,$D407)=0,"Unknown lot for this SKU",IF(AND($C407="Adjustment",$G407=""),"Missing: reason",IF(AND($G407&lt;&gt;"",COUNTIF(Config!$B$15:$B$34,$G407)=0),"Unsupported reason",IF(OR(INT($E407)&lt;&gt;$E407,AND(OR($C407="Receipt",$C407="Shipment"),$E407&lt;=0),AND($C407="Adjustment",$E407=0)),"Invalid qty",IF($B407&gt;Config!$B$4,"Date after the as-of date",IF($B407&lt;Config!$B$5,"Date before the opening balance date","OK")))))))))))))))))</f>
        <v/>
      </c>
    </row>
    <row r="408">
      <c r="A408" s="46" t="n"/>
      <c r="B408" s="54" t="n"/>
      <c r="C408" s="46" t="n"/>
      <c r="D408" s="46" t="n"/>
      <c r="E408" s="55" t="n"/>
      <c r="F408" s="46" t="n"/>
      <c r="G408" s="46" t="n"/>
      <c r="H408" s="46" t="n"/>
      <c r="I408" s="46" t="n"/>
      <c r="J408" s="46" t="n"/>
      <c r="K408" s="46" t="n"/>
      <c r="L408" s="46" t="n"/>
      <c r="M408" s="51" t="str">
        <f>IF(NOT(ISNUMBER($E408)),"",IF($C408="Receipt",$E408,IF($C408="Shipment",-$E408,IF($C408="Adjustment",$E408,0))))</f>
        <v/>
      </c>
      <c r="N408" s="49" t="str">
        <f>IF($D408="","",IFERROR(INDEX(Products!$B$2:$B$101,MATCH($D408,Products!$A$2:$A$101,0))&amp;"","(not found)"))</f>
        <v/>
      </c>
      <c r="O408" s="49" t="str">
        <f>IF($F408="","",IFERROR(INDEX(Batches!$B$2:$B$301,MATCH($F408,Batches!$A$2:$A$301,0))&amp;"","(not found)"))</f>
        <v/>
      </c>
      <c r="P408" s="49" t="str">
        <f>IF(COUNTA($A408:$L408)=0,"",IF($A408="","Missing: entry ID",IF(COUNTIF($A$2:$A$2001,$A408)&gt;1,"Duplicate entry ID",IF(NOT(ISNUMBER($B408)),"Missing or invalid: date",IF($C408="","Missing: type",IF($D408="","Missing: SKU",IF(NOT(ISNUMBER($E408)),"Missing: qty",IF($F408="","Missing: lot",IF($I408="","Missing: source link",IF(COUNTIF(Config!$A$15:$A$34,$C408)=0,"Unsupported type",IF(COUNTIF(Products!$A$2:$A$101,$D408)=0,"Unknown SKU",IF(COUNTIFS(Batches!$A$2:$A$301,$F408,Batches!$B$2:$B$301,$D408)=0,"Unknown lot for this SKU",IF(AND($C408="Adjustment",$G408=""),"Missing: reason",IF(AND($G408&lt;&gt;"",COUNTIF(Config!$B$15:$B$34,$G408)=0),"Unsupported reason",IF(OR(INT($E408)&lt;&gt;$E408,AND(OR($C408="Receipt",$C408="Shipment"),$E408&lt;=0),AND($C408="Adjustment",$E408=0)),"Invalid qty",IF($B408&gt;Config!$B$4,"Date after the as-of date",IF($B408&lt;Config!$B$5,"Date before the opening balance date","OK")))))))))))))))))</f>
        <v/>
      </c>
    </row>
    <row r="409">
      <c r="A409" s="46" t="n"/>
      <c r="B409" s="54" t="n"/>
      <c r="C409" s="46" t="n"/>
      <c r="D409" s="46" t="n"/>
      <c r="E409" s="55" t="n"/>
      <c r="F409" s="46" t="n"/>
      <c r="G409" s="46" t="n"/>
      <c r="H409" s="46" t="n"/>
      <c r="I409" s="46" t="n"/>
      <c r="J409" s="46" t="n"/>
      <c r="K409" s="46" t="n"/>
      <c r="L409" s="46" t="n"/>
      <c r="M409" s="51" t="str">
        <f>IF(NOT(ISNUMBER($E409)),"",IF($C409="Receipt",$E409,IF($C409="Shipment",-$E409,IF($C409="Adjustment",$E409,0))))</f>
        <v/>
      </c>
      <c r="N409" s="49" t="str">
        <f>IF($D409="","",IFERROR(INDEX(Products!$B$2:$B$101,MATCH($D409,Products!$A$2:$A$101,0))&amp;"","(not found)"))</f>
        <v/>
      </c>
      <c r="O409" s="49" t="str">
        <f>IF($F409="","",IFERROR(INDEX(Batches!$B$2:$B$301,MATCH($F409,Batches!$A$2:$A$301,0))&amp;"","(not found)"))</f>
        <v/>
      </c>
      <c r="P409" s="49" t="str">
        <f>IF(COUNTA($A409:$L409)=0,"",IF($A409="","Missing: entry ID",IF(COUNTIF($A$2:$A$2001,$A409)&gt;1,"Duplicate entry ID",IF(NOT(ISNUMBER($B409)),"Missing or invalid: date",IF($C409="","Missing: type",IF($D409="","Missing: SKU",IF(NOT(ISNUMBER($E409)),"Missing: qty",IF($F409="","Missing: lot",IF($I409="","Missing: source link",IF(COUNTIF(Config!$A$15:$A$34,$C409)=0,"Unsupported type",IF(COUNTIF(Products!$A$2:$A$101,$D409)=0,"Unknown SKU",IF(COUNTIFS(Batches!$A$2:$A$301,$F409,Batches!$B$2:$B$301,$D409)=0,"Unknown lot for this SKU",IF(AND($C409="Adjustment",$G409=""),"Missing: reason",IF(AND($G409&lt;&gt;"",COUNTIF(Config!$B$15:$B$34,$G409)=0),"Unsupported reason",IF(OR(INT($E409)&lt;&gt;$E409,AND(OR($C409="Receipt",$C409="Shipment"),$E409&lt;=0),AND($C409="Adjustment",$E409=0)),"Invalid qty",IF($B409&gt;Config!$B$4,"Date after the as-of date",IF($B409&lt;Config!$B$5,"Date before the opening balance date","OK")))))))))))))))))</f>
        <v/>
      </c>
    </row>
    <row r="410">
      <c r="A410" s="46" t="n"/>
      <c r="B410" s="54" t="n"/>
      <c r="C410" s="46" t="n"/>
      <c r="D410" s="46" t="n"/>
      <c r="E410" s="55" t="n"/>
      <c r="F410" s="46" t="n"/>
      <c r="G410" s="46" t="n"/>
      <c r="H410" s="46" t="n"/>
      <c r="I410" s="46" t="n"/>
      <c r="J410" s="46" t="n"/>
      <c r="K410" s="46" t="n"/>
      <c r="L410" s="46" t="n"/>
      <c r="M410" s="51" t="str">
        <f>IF(NOT(ISNUMBER($E410)),"",IF($C410="Receipt",$E410,IF($C410="Shipment",-$E410,IF($C410="Adjustment",$E410,0))))</f>
        <v/>
      </c>
      <c r="N410" s="49" t="str">
        <f>IF($D410="","",IFERROR(INDEX(Products!$B$2:$B$101,MATCH($D410,Products!$A$2:$A$101,0))&amp;"","(not found)"))</f>
        <v/>
      </c>
      <c r="O410" s="49" t="str">
        <f>IF($F410="","",IFERROR(INDEX(Batches!$B$2:$B$301,MATCH($F410,Batches!$A$2:$A$301,0))&amp;"","(not found)"))</f>
        <v/>
      </c>
      <c r="P410" s="49" t="str">
        <f>IF(COUNTA($A410:$L410)=0,"",IF($A410="","Missing: entry ID",IF(COUNTIF($A$2:$A$2001,$A410)&gt;1,"Duplicate entry ID",IF(NOT(ISNUMBER($B410)),"Missing or invalid: date",IF($C410="","Missing: type",IF($D410="","Missing: SKU",IF(NOT(ISNUMBER($E410)),"Missing: qty",IF($F410="","Missing: lot",IF($I410="","Missing: source link",IF(COUNTIF(Config!$A$15:$A$34,$C410)=0,"Unsupported type",IF(COUNTIF(Products!$A$2:$A$101,$D410)=0,"Unknown SKU",IF(COUNTIFS(Batches!$A$2:$A$301,$F410,Batches!$B$2:$B$301,$D410)=0,"Unknown lot for this SKU",IF(AND($C410="Adjustment",$G410=""),"Missing: reason",IF(AND($G410&lt;&gt;"",COUNTIF(Config!$B$15:$B$34,$G410)=0),"Unsupported reason",IF(OR(INT($E410)&lt;&gt;$E410,AND(OR($C410="Receipt",$C410="Shipment"),$E410&lt;=0),AND($C410="Adjustment",$E410=0)),"Invalid qty",IF($B410&gt;Config!$B$4,"Date after the as-of date",IF($B410&lt;Config!$B$5,"Date before the opening balance date","OK")))))))))))))))))</f>
        <v/>
      </c>
    </row>
    <row r="411">
      <c r="A411" s="46" t="n"/>
      <c r="B411" s="54" t="n"/>
      <c r="C411" s="46" t="n"/>
      <c r="D411" s="46" t="n"/>
      <c r="E411" s="55" t="n"/>
      <c r="F411" s="46" t="n"/>
      <c r="G411" s="46" t="n"/>
      <c r="H411" s="46" t="n"/>
      <c r="I411" s="46" t="n"/>
      <c r="J411" s="46" t="n"/>
      <c r="K411" s="46" t="n"/>
      <c r="L411" s="46" t="n"/>
      <c r="M411" s="51" t="str">
        <f>IF(NOT(ISNUMBER($E411)),"",IF($C411="Receipt",$E411,IF($C411="Shipment",-$E411,IF($C411="Adjustment",$E411,0))))</f>
        <v/>
      </c>
      <c r="N411" s="49" t="str">
        <f>IF($D411="","",IFERROR(INDEX(Products!$B$2:$B$101,MATCH($D411,Products!$A$2:$A$101,0))&amp;"","(not found)"))</f>
        <v/>
      </c>
      <c r="O411" s="49" t="str">
        <f>IF($F411="","",IFERROR(INDEX(Batches!$B$2:$B$301,MATCH($F411,Batches!$A$2:$A$301,0))&amp;"","(not found)"))</f>
        <v/>
      </c>
      <c r="P411" s="49" t="str">
        <f>IF(COUNTA($A411:$L411)=0,"",IF($A411="","Missing: entry ID",IF(COUNTIF($A$2:$A$2001,$A411)&gt;1,"Duplicate entry ID",IF(NOT(ISNUMBER($B411)),"Missing or invalid: date",IF($C411="","Missing: type",IF($D411="","Missing: SKU",IF(NOT(ISNUMBER($E411)),"Missing: qty",IF($F411="","Missing: lot",IF($I411="","Missing: source link",IF(COUNTIF(Config!$A$15:$A$34,$C411)=0,"Unsupported type",IF(COUNTIF(Products!$A$2:$A$101,$D411)=0,"Unknown SKU",IF(COUNTIFS(Batches!$A$2:$A$301,$F411,Batches!$B$2:$B$301,$D411)=0,"Unknown lot for this SKU",IF(AND($C411="Adjustment",$G411=""),"Missing: reason",IF(AND($G411&lt;&gt;"",COUNTIF(Config!$B$15:$B$34,$G411)=0),"Unsupported reason",IF(OR(INT($E411)&lt;&gt;$E411,AND(OR($C411="Receipt",$C411="Shipment"),$E411&lt;=0),AND($C411="Adjustment",$E411=0)),"Invalid qty",IF($B411&gt;Config!$B$4,"Date after the as-of date",IF($B411&lt;Config!$B$5,"Date before the opening balance date","OK")))))))))))))))))</f>
        <v/>
      </c>
    </row>
    <row r="412">
      <c r="A412" s="46" t="n"/>
      <c r="B412" s="54" t="n"/>
      <c r="C412" s="46" t="n"/>
      <c r="D412" s="46" t="n"/>
      <c r="E412" s="55" t="n"/>
      <c r="F412" s="46" t="n"/>
      <c r="G412" s="46" t="n"/>
      <c r="H412" s="46" t="n"/>
      <c r="I412" s="46" t="n"/>
      <c r="J412" s="46" t="n"/>
      <c r="K412" s="46" t="n"/>
      <c r="L412" s="46" t="n"/>
      <c r="M412" s="51" t="str">
        <f>IF(NOT(ISNUMBER($E412)),"",IF($C412="Receipt",$E412,IF($C412="Shipment",-$E412,IF($C412="Adjustment",$E412,0))))</f>
        <v/>
      </c>
      <c r="N412" s="49" t="str">
        <f>IF($D412="","",IFERROR(INDEX(Products!$B$2:$B$101,MATCH($D412,Products!$A$2:$A$101,0))&amp;"","(not found)"))</f>
        <v/>
      </c>
      <c r="O412" s="49" t="str">
        <f>IF($F412="","",IFERROR(INDEX(Batches!$B$2:$B$301,MATCH($F412,Batches!$A$2:$A$301,0))&amp;"","(not found)"))</f>
        <v/>
      </c>
      <c r="P412" s="49" t="str">
        <f>IF(COUNTA($A412:$L412)=0,"",IF($A412="","Missing: entry ID",IF(COUNTIF($A$2:$A$2001,$A412)&gt;1,"Duplicate entry ID",IF(NOT(ISNUMBER($B412)),"Missing or invalid: date",IF($C412="","Missing: type",IF($D412="","Missing: SKU",IF(NOT(ISNUMBER($E412)),"Missing: qty",IF($F412="","Missing: lot",IF($I412="","Missing: source link",IF(COUNTIF(Config!$A$15:$A$34,$C412)=0,"Unsupported type",IF(COUNTIF(Products!$A$2:$A$101,$D412)=0,"Unknown SKU",IF(COUNTIFS(Batches!$A$2:$A$301,$F412,Batches!$B$2:$B$301,$D412)=0,"Unknown lot for this SKU",IF(AND($C412="Adjustment",$G412=""),"Missing: reason",IF(AND($G412&lt;&gt;"",COUNTIF(Config!$B$15:$B$34,$G412)=0),"Unsupported reason",IF(OR(INT($E412)&lt;&gt;$E412,AND(OR($C412="Receipt",$C412="Shipment"),$E412&lt;=0),AND($C412="Adjustment",$E412=0)),"Invalid qty",IF($B412&gt;Config!$B$4,"Date after the as-of date",IF($B412&lt;Config!$B$5,"Date before the opening balance date","OK")))))))))))))))))</f>
        <v/>
      </c>
    </row>
    <row r="413">
      <c r="A413" s="46" t="n"/>
      <c r="B413" s="54" t="n"/>
      <c r="C413" s="46" t="n"/>
      <c r="D413" s="46" t="n"/>
      <c r="E413" s="55" t="n"/>
      <c r="F413" s="46" t="n"/>
      <c r="G413" s="46" t="n"/>
      <c r="H413" s="46" t="n"/>
      <c r="I413" s="46" t="n"/>
      <c r="J413" s="46" t="n"/>
      <c r="K413" s="46" t="n"/>
      <c r="L413" s="46" t="n"/>
      <c r="M413" s="51" t="str">
        <f>IF(NOT(ISNUMBER($E413)),"",IF($C413="Receipt",$E413,IF($C413="Shipment",-$E413,IF($C413="Adjustment",$E413,0))))</f>
        <v/>
      </c>
      <c r="N413" s="49" t="str">
        <f>IF($D413="","",IFERROR(INDEX(Products!$B$2:$B$101,MATCH($D413,Products!$A$2:$A$101,0))&amp;"","(not found)"))</f>
        <v/>
      </c>
      <c r="O413" s="49" t="str">
        <f>IF($F413="","",IFERROR(INDEX(Batches!$B$2:$B$301,MATCH($F413,Batches!$A$2:$A$301,0))&amp;"","(not found)"))</f>
        <v/>
      </c>
      <c r="P413" s="49" t="str">
        <f>IF(COUNTA($A413:$L413)=0,"",IF($A413="","Missing: entry ID",IF(COUNTIF($A$2:$A$2001,$A413)&gt;1,"Duplicate entry ID",IF(NOT(ISNUMBER($B413)),"Missing or invalid: date",IF($C413="","Missing: type",IF($D413="","Missing: SKU",IF(NOT(ISNUMBER($E413)),"Missing: qty",IF($F413="","Missing: lot",IF($I413="","Missing: source link",IF(COUNTIF(Config!$A$15:$A$34,$C413)=0,"Unsupported type",IF(COUNTIF(Products!$A$2:$A$101,$D413)=0,"Unknown SKU",IF(COUNTIFS(Batches!$A$2:$A$301,$F413,Batches!$B$2:$B$301,$D413)=0,"Unknown lot for this SKU",IF(AND($C413="Adjustment",$G413=""),"Missing: reason",IF(AND($G413&lt;&gt;"",COUNTIF(Config!$B$15:$B$34,$G413)=0),"Unsupported reason",IF(OR(INT($E413)&lt;&gt;$E413,AND(OR($C413="Receipt",$C413="Shipment"),$E413&lt;=0),AND($C413="Adjustment",$E413=0)),"Invalid qty",IF($B413&gt;Config!$B$4,"Date after the as-of date",IF($B413&lt;Config!$B$5,"Date before the opening balance date","OK")))))))))))))))))</f>
        <v/>
      </c>
    </row>
    <row r="414">
      <c r="A414" s="46" t="n"/>
      <c r="B414" s="54" t="n"/>
      <c r="C414" s="46" t="n"/>
      <c r="D414" s="46" t="n"/>
      <c r="E414" s="55" t="n"/>
      <c r="F414" s="46" t="n"/>
      <c r="G414" s="46" t="n"/>
      <c r="H414" s="46" t="n"/>
      <c r="I414" s="46" t="n"/>
      <c r="J414" s="46" t="n"/>
      <c r="K414" s="46" t="n"/>
      <c r="L414" s="46" t="n"/>
      <c r="M414" s="51" t="str">
        <f>IF(NOT(ISNUMBER($E414)),"",IF($C414="Receipt",$E414,IF($C414="Shipment",-$E414,IF($C414="Adjustment",$E414,0))))</f>
        <v/>
      </c>
      <c r="N414" s="49" t="str">
        <f>IF($D414="","",IFERROR(INDEX(Products!$B$2:$B$101,MATCH($D414,Products!$A$2:$A$101,0))&amp;"","(not found)"))</f>
        <v/>
      </c>
      <c r="O414" s="49" t="str">
        <f>IF($F414="","",IFERROR(INDEX(Batches!$B$2:$B$301,MATCH($F414,Batches!$A$2:$A$301,0))&amp;"","(not found)"))</f>
        <v/>
      </c>
      <c r="P414" s="49" t="str">
        <f>IF(COUNTA($A414:$L414)=0,"",IF($A414="","Missing: entry ID",IF(COUNTIF($A$2:$A$2001,$A414)&gt;1,"Duplicate entry ID",IF(NOT(ISNUMBER($B414)),"Missing or invalid: date",IF($C414="","Missing: type",IF($D414="","Missing: SKU",IF(NOT(ISNUMBER($E414)),"Missing: qty",IF($F414="","Missing: lot",IF($I414="","Missing: source link",IF(COUNTIF(Config!$A$15:$A$34,$C414)=0,"Unsupported type",IF(COUNTIF(Products!$A$2:$A$101,$D414)=0,"Unknown SKU",IF(COUNTIFS(Batches!$A$2:$A$301,$F414,Batches!$B$2:$B$301,$D414)=0,"Unknown lot for this SKU",IF(AND($C414="Adjustment",$G414=""),"Missing: reason",IF(AND($G414&lt;&gt;"",COUNTIF(Config!$B$15:$B$34,$G414)=0),"Unsupported reason",IF(OR(INT($E414)&lt;&gt;$E414,AND(OR($C414="Receipt",$C414="Shipment"),$E414&lt;=0),AND($C414="Adjustment",$E414=0)),"Invalid qty",IF($B414&gt;Config!$B$4,"Date after the as-of date",IF($B414&lt;Config!$B$5,"Date before the opening balance date","OK")))))))))))))))))</f>
        <v/>
      </c>
    </row>
    <row r="415">
      <c r="A415" s="46" t="n"/>
      <c r="B415" s="54" t="n"/>
      <c r="C415" s="46" t="n"/>
      <c r="D415" s="46" t="n"/>
      <c r="E415" s="55" t="n"/>
      <c r="F415" s="46" t="n"/>
      <c r="G415" s="46" t="n"/>
      <c r="H415" s="46" t="n"/>
      <c r="I415" s="46" t="n"/>
      <c r="J415" s="46" t="n"/>
      <c r="K415" s="46" t="n"/>
      <c r="L415" s="46" t="n"/>
      <c r="M415" s="51" t="str">
        <f>IF(NOT(ISNUMBER($E415)),"",IF($C415="Receipt",$E415,IF($C415="Shipment",-$E415,IF($C415="Adjustment",$E415,0))))</f>
        <v/>
      </c>
      <c r="N415" s="49" t="str">
        <f>IF($D415="","",IFERROR(INDEX(Products!$B$2:$B$101,MATCH($D415,Products!$A$2:$A$101,0))&amp;"","(not found)"))</f>
        <v/>
      </c>
      <c r="O415" s="49" t="str">
        <f>IF($F415="","",IFERROR(INDEX(Batches!$B$2:$B$301,MATCH($F415,Batches!$A$2:$A$301,0))&amp;"","(not found)"))</f>
        <v/>
      </c>
      <c r="P415" s="49" t="str">
        <f>IF(COUNTA($A415:$L415)=0,"",IF($A415="","Missing: entry ID",IF(COUNTIF($A$2:$A$2001,$A415)&gt;1,"Duplicate entry ID",IF(NOT(ISNUMBER($B415)),"Missing or invalid: date",IF($C415="","Missing: type",IF($D415="","Missing: SKU",IF(NOT(ISNUMBER($E415)),"Missing: qty",IF($F415="","Missing: lot",IF($I415="","Missing: source link",IF(COUNTIF(Config!$A$15:$A$34,$C415)=0,"Unsupported type",IF(COUNTIF(Products!$A$2:$A$101,$D415)=0,"Unknown SKU",IF(COUNTIFS(Batches!$A$2:$A$301,$F415,Batches!$B$2:$B$301,$D415)=0,"Unknown lot for this SKU",IF(AND($C415="Adjustment",$G415=""),"Missing: reason",IF(AND($G415&lt;&gt;"",COUNTIF(Config!$B$15:$B$34,$G415)=0),"Unsupported reason",IF(OR(INT($E415)&lt;&gt;$E415,AND(OR($C415="Receipt",$C415="Shipment"),$E415&lt;=0),AND($C415="Adjustment",$E415=0)),"Invalid qty",IF($B415&gt;Config!$B$4,"Date after the as-of date",IF($B415&lt;Config!$B$5,"Date before the opening balance date","OK")))))))))))))))))</f>
        <v/>
      </c>
    </row>
    <row r="416">
      <c r="A416" s="46" t="n"/>
      <c r="B416" s="54" t="n"/>
      <c r="C416" s="46" t="n"/>
      <c r="D416" s="46" t="n"/>
      <c r="E416" s="55" t="n"/>
      <c r="F416" s="46" t="n"/>
      <c r="G416" s="46" t="n"/>
      <c r="H416" s="46" t="n"/>
      <c r="I416" s="46" t="n"/>
      <c r="J416" s="46" t="n"/>
      <c r="K416" s="46" t="n"/>
      <c r="L416" s="46" t="n"/>
      <c r="M416" s="51" t="str">
        <f>IF(NOT(ISNUMBER($E416)),"",IF($C416="Receipt",$E416,IF($C416="Shipment",-$E416,IF($C416="Adjustment",$E416,0))))</f>
        <v/>
      </c>
      <c r="N416" s="49" t="str">
        <f>IF($D416="","",IFERROR(INDEX(Products!$B$2:$B$101,MATCH($D416,Products!$A$2:$A$101,0))&amp;"","(not found)"))</f>
        <v/>
      </c>
      <c r="O416" s="49" t="str">
        <f>IF($F416="","",IFERROR(INDEX(Batches!$B$2:$B$301,MATCH($F416,Batches!$A$2:$A$301,0))&amp;"","(not found)"))</f>
        <v/>
      </c>
      <c r="P416" s="49" t="str">
        <f>IF(COUNTA($A416:$L416)=0,"",IF($A416="","Missing: entry ID",IF(COUNTIF($A$2:$A$2001,$A416)&gt;1,"Duplicate entry ID",IF(NOT(ISNUMBER($B416)),"Missing or invalid: date",IF($C416="","Missing: type",IF($D416="","Missing: SKU",IF(NOT(ISNUMBER($E416)),"Missing: qty",IF($F416="","Missing: lot",IF($I416="","Missing: source link",IF(COUNTIF(Config!$A$15:$A$34,$C416)=0,"Unsupported type",IF(COUNTIF(Products!$A$2:$A$101,$D416)=0,"Unknown SKU",IF(COUNTIFS(Batches!$A$2:$A$301,$F416,Batches!$B$2:$B$301,$D416)=0,"Unknown lot for this SKU",IF(AND($C416="Adjustment",$G416=""),"Missing: reason",IF(AND($G416&lt;&gt;"",COUNTIF(Config!$B$15:$B$34,$G416)=0),"Unsupported reason",IF(OR(INT($E416)&lt;&gt;$E416,AND(OR($C416="Receipt",$C416="Shipment"),$E416&lt;=0),AND($C416="Adjustment",$E416=0)),"Invalid qty",IF($B416&gt;Config!$B$4,"Date after the as-of date",IF($B416&lt;Config!$B$5,"Date before the opening balance date","OK")))))))))))))))))</f>
        <v/>
      </c>
    </row>
    <row r="417">
      <c r="A417" s="46" t="n"/>
      <c r="B417" s="54" t="n"/>
      <c r="C417" s="46" t="n"/>
      <c r="D417" s="46" t="n"/>
      <c r="E417" s="55" t="n"/>
      <c r="F417" s="46" t="n"/>
      <c r="G417" s="46" t="n"/>
      <c r="H417" s="46" t="n"/>
      <c r="I417" s="46" t="n"/>
      <c r="J417" s="46" t="n"/>
      <c r="K417" s="46" t="n"/>
      <c r="L417" s="46" t="n"/>
      <c r="M417" s="51" t="str">
        <f>IF(NOT(ISNUMBER($E417)),"",IF($C417="Receipt",$E417,IF($C417="Shipment",-$E417,IF($C417="Adjustment",$E417,0))))</f>
        <v/>
      </c>
      <c r="N417" s="49" t="str">
        <f>IF($D417="","",IFERROR(INDEX(Products!$B$2:$B$101,MATCH($D417,Products!$A$2:$A$101,0))&amp;"","(not found)"))</f>
        <v/>
      </c>
      <c r="O417" s="49" t="str">
        <f>IF($F417="","",IFERROR(INDEX(Batches!$B$2:$B$301,MATCH($F417,Batches!$A$2:$A$301,0))&amp;"","(not found)"))</f>
        <v/>
      </c>
      <c r="P417" s="49" t="str">
        <f>IF(COUNTA($A417:$L417)=0,"",IF($A417="","Missing: entry ID",IF(COUNTIF($A$2:$A$2001,$A417)&gt;1,"Duplicate entry ID",IF(NOT(ISNUMBER($B417)),"Missing or invalid: date",IF($C417="","Missing: type",IF($D417="","Missing: SKU",IF(NOT(ISNUMBER($E417)),"Missing: qty",IF($F417="","Missing: lot",IF($I417="","Missing: source link",IF(COUNTIF(Config!$A$15:$A$34,$C417)=0,"Unsupported type",IF(COUNTIF(Products!$A$2:$A$101,$D417)=0,"Unknown SKU",IF(COUNTIFS(Batches!$A$2:$A$301,$F417,Batches!$B$2:$B$301,$D417)=0,"Unknown lot for this SKU",IF(AND($C417="Adjustment",$G417=""),"Missing: reason",IF(AND($G417&lt;&gt;"",COUNTIF(Config!$B$15:$B$34,$G417)=0),"Unsupported reason",IF(OR(INT($E417)&lt;&gt;$E417,AND(OR($C417="Receipt",$C417="Shipment"),$E417&lt;=0),AND($C417="Adjustment",$E417=0)),"Invalid qty",IF($B417&gt;Config!$B$4,"Date after the as-of date",IF($B417&lt;Config!$B$5,"Date before the opening balance date","OK")))))))))))))))))</f>
        <v/>
      </c>
    </row>
    <row r="418">
      <c r="A418" s="46" t="n"/>
      <c r="B418" s="54" t="n"/>
      <c r="C418" s="46" t="n"/>
      <c r="D418" s="46" t="n"/>
      <c r="E418" s="55" t="n"/>
      <c r="F418" s="46" t="n"/>
      <c r="G418" s="46" t="n"/>
      <c r="H418" s="46" t="n"/>
      <c r="I418" s="46" t="n"/>
      <c r="J418" s="46" t="n"/>
      <c r="K418" s="46" t="n"/>
      <c r="L418" s="46" t="n"/>
      <c r="M418" s="51" t="str">
        <f>IF(NOT(ISNUMBER($E418)),"",IF($C418="Receipt",$E418,IF($C418="Shipment",-$E418,IF($C418="Adjustment",$E418,0))))</f>
        <v/>
      </c>
      <c r="N418" s="49" t="str">
        <f>IF($D418="","",IFERROR(INDEX(Products!$B$2:$B$101,MATCH($D418,Products!$A$2:$A$101,0))&amp;"","(not found)"))</f>
        <v/>
      </c>
      <c r="O418" s="49" t="str">
        <f>IF($F418="","",IFERROR(INDEX(Batches!$B$2:$B$301,MATCH($F418,Batches!$A$2:$A$301,0))&amp;"","(not found)"))</f>
        <v/>
      </c>
      <c r="P418" s="49" t="str">
        <f>IF(COUNTA($A418:$L418)=0,"",IF($A418="","Missing: entry ID",IF(COUNTIF($A$2:$A$2001,$A418)&gt;1,"Duplicate entry ID",IF(NOT(ISNUMBER($B418)),"Missing or invalid: date",IF($C418="","Missing: type",IF($D418="","Missing: SKU",IF(NOT(ISNUMBER($E418)),"Missing: qty",IF($F418="","Missing: lot",IF($I418="","Missing: source link",IF(COUNTIF(Config!$A$15:$A$34,$C418)=0,"Unsupported type",IF(COUNTIF(Products!$A$2:$A$101,$D418)=0,"Unknown SKU",IF(COUNTIFS(Batches!$A$2:$A$301,$F418,Batches!$B$2:$B$301,$D418)=0,"Unknown lot for this SKU",IF(AND($C418="Adjustment",$G418=""),"Missing: reason",IF(AND($G418&lt;&gt;"",COUNTIF(Config!$B$15:$B$34,$G418)=0),"Unsupported reason",IF(OR(INT($E418)&lt;&gt;$E418,AND(OR($C418="Receipt",$C418="Shipment"),$E418&lt;=0),AND($C418="Adjustment",$E418=0)),"Invalid qty",IF($B418&gt;Config!$B$4,"Date after the as-of date",IF($B418&lt;Config!$B$5,"Date before the opening balance date","OK")))))))))))))))))</f>
        <v/>
      </c>
    </row>
    <row r="419">
      <c r="A419" s="46" t="n"/>
      <c r="B419" s="54" t="n"/>
      <c r="C419" s="46" t="n"/>
      <c r="D419" s="46" t="n"/>
      <c r="E419" s="55" t="n"/>
      <c r="F419" s="46" t="n"/>
      <c r="G419" s="46" t="n"/>
      <c r="H419" s="46" t="n"/>
      <c r="I419" s="46" t="n"/>
      <c r="J419" s="46" t="n"/>
      <c r="K419" s="46" t="n"/>
      <c r="L419" s="46" t="n"/>
      <c r="M419" s="51" t="str">
        <f>IF(NOT(ISNUMBER($E419)),"",IF($C419="Receipt",$E419,IF($C419="Shipment",-$E419,IF($C419="Adjustment",$E419,0))))</f>
        <v/>
      </c>
      <c r="N419" s="49" t="str">
        <f>IF($D419="","",IFERROR(INDEX(Products!$B$2:$B$101,MATCH($D419,Products!$A$2:$A$101,0))&amp;"","(not found)"))</f>
        <v/>
      </c>
      <c r="O419" s="49" t="str">
        <f>IF($F419="","",IFERROR(INDEX(Batches!$B$2:$B$301,MATCH($F419,Batches!$A$2:$A$301,0))&amp;"","(not found)"))</f>
        <v/>
      </c>
      <c r="P419" s="49" t="str">
        <f>IF(COUNTA($A419:$L419)=0,"",IF($A419="","Missing: entry ID",IF(COUNTIF($A$2:$A$2001,$A419)&gt;1,"Duplicate entry ID",IF(NOT(ISNUMBER($B419)),"Missing or invalid: date",IF($C419="","Missing: type",IF($D419="","Missing: SKU",IF(NOT(ISNUMBER($E419)),"Missing: qty",IF($F419="","Missing: lot",IF($I419="","Missing: source link",IF(COUNTIF(Config!$A$15:$A$34,$C419)=0,"Unsupported type",IF(COUNTIF(Products!$A$2:$A$101,$D419)=0,"Unknown SKU",IF(COUNTIFS(Batches!$A$2:$A$301,$F419,Batches!$B$2:$B$301,$D419)=0,"Unknown lot for this SKU",IF(AND($C419="Adjustment",$G419=""),"Missing: reason",IF(AND($G419&lt;&gt;"",COUNTIF(Config!$B$15:$B$34,$G419)=0),"Unsupported reason",IF(OR(INT($E419)&lt;&gt;$E419,AND(OR($C419="Receipt",$C419="Shipment"),$E419&lt;=0),AND($C419="Adjustment",$E419=0)),"Invalid qty",IF($B419&gt;Config!$B$4,"Date after the as-of date",IF($B419&lt;Config!$B$5,"Date before the opening balance date","OK")))))))))))))))))</f>
        <v/>
      </c>
    </row>
    <row r="420">
      <c r="A420" s="46" t="n"/>
      <c r="B420" s="54" t="n"/>
      <c r="C420" s="46" t="n"/>
      <c r="D420" s="46" t="n"/>
      <c r="E420" s="55" t="n"/>
      <c r="F420" s="46" t="n"/>
      <c r="G420" s="46" t="n"/>
      <c r="H420" s="46" t="n"/>
      <c r="I420" s="46" t="n"/>
      <c r="J420" s="46" t="n"/>
      <c r="K420" s="46" t="n"/>
      <c r="L420" s="46" t="n"/>
      <c r="M420" s="51" t="str">
        <f>IF(NOT(ISNUMBER($E420)),"",IF($C420="Receipt",$E420,IF($C420="Shipment",-$E420,IF($C420="Adjustment",$E420,0))))</f>
        <v/>
      </c>
      <c r="N420" s="49" t="str">
        <f>IF($D420="","",IFERROR(INDEX(Products!$B$2:$B$101,MATCH($D420,Products!$A$2:$A$101,0))&amp;"","(not found)"))</f>
        <v/>
      </c>
      <c r="O420" s="49" t="str">
        <f>IF($F420="","",IFERROR(INDEX(Batches!$B$2:$B$301,MATCH($F420,Batches!$A$2:$A$301,0))&amp;"","(not found)"))</f>
        <v/>
      </c>
      <c r="P420" s="49" t="str">
        <f>IF(COUNTA($A420:$L420)=0,"",IF($A420="","Missing: entry ID",IF(COUNTIF($A$2:$A$2001,$A420)&gt;1,"Duplicate entry ID",IF(NOT(ISNUMBER($B420)),"Missing or invalid: date",IF($C420="","Missing: type",IF($D420="","Missing: SKU",IF(NOT(ISNUMBER($E420)),"Missing: qty",IF($F420="","Missing: lot",IF($I420="","Missing: source link",IF(COUNTIF(Config!$A$15:$A$34,$C420)=0,"Unsupported type",IF(COUNTIF(Products!$A$2:$A$101,$D420)=0,"Unknown SKU",IF(COUNTIFS(Batches!$A$2:$A$301,$F420,Batches!$B$2:$B$301,$D420)=0,"Unknown lot for this SKU",IF(AND($C420="Adjustment",$G420=""),"Missing: reason",IF(AND($G420&lt;&gt;"",COUNTIF(Config!$B$15:$B$34,$G420)=0),"Unsupported reason",IF(OR(INT($E420)&lt;&gt;$E420,AND(OR($C420="Receipt",$C420="Shipment"),$E420&lt;=0),AND($C420="Adjustment",$E420=0)),"Invalid qty",IF($B420&gt;Config!$B$4,"Date after the as-of date",IF($B420&lt;Config!$B$5,"Date before the opening balance date","OK")))))))))))))))))</f>
        <v/>
      </c>
    </row>
    <row r="421">
      <c r="A421" s="46" t="n"/>
      <c r="B421" s="54" t="n"/>
      <c r="C421" s="46" t="n"/>
      <c r="D421" s="46" t="n"/>
      <c r="E421" s="55" t="n"/>
      <c r="F421" s="46" t="n"/>
      <c r="G421" s="46" t="n"/>
      <c r="H421" s="46" t="n"/>
      <c r="I421" s="46" t="n"/>
      <c r="J421" s="46" t="n"/>
      <c r="K421" s="46" t="n"/>
      <c r="L421" s="46" t="n"/>
      <c r="M421" s="51" t="str">
        <f>IF(NOT(ISNUMBER($E421)),"",IF($C421="Receipt",$E421,IF($C421="Shipment",-$E421,IF($C421="Adjustment",$E421,0))))</f>
        <v/>
      </c>
      <c r="N421" s="49" t="str">
        <f>IF($D421="","",IFERROR(INDEX(Products!$B$2:$B$101,MATCH($D421,Products!$A$2:$A$101,0))&amp;"","(not found)"))</f>
        <v/>
      </c>
      <c r="O421" s="49" t="str">
        <f>IF($F421="","",IFERROR(INDEX(Batches!$B$2:$B$301,MATCH($F421,Batches!$A$2:$A$301,0))&amp;"","(not found)"))</f>
        <v/>
      </c>
      <c r="P421" s="49" t="str">
        <f>IF(COUNTA($A421:$L421)=0,"",IF($A421="","Missing: entry ID",IF(COUNTIF($A$2:$A$2001,$A421)&gt;1,"Duplicate entry ID",IF(NOT(ISNUMBER($B421)),"Missing or invalid: date",IF($C421="","Missing: type",IF($D421="","Missing: SKU",IF(NOT(ISNUMBER($E421)),"Missing: qty",IF($F421="","Missing: lot",IF($I421="","Missing: source link",IF(COUNTIF(Config!$A$15:$A$34,$C421)=0,"Unsupported type",IF(COUNTIF(Products!$A$2:$A$101,$D421)=0,"Unknown SKU",IF(COUNTIFS(Batches!$A$2:$A$301,$F421,Batches!$B$2:$B$301,$D421)=0,"Unknown lot for this SKU",IF(AND($C421="Adjustment",$G421=""),"Missing: reason",IF(AND($G421&lt;&gt;"",COUNTIF(Config!$B$15:$B$34,$G421)=0),"Unsupported reason",IF(OR(INT($E421)&lt;&gt;$E421,AND(OR($C421="Receipt",$C421="Shipment"),$E421&lt;=0),AND($C421="Adjustment",$E421=0)),"Invalid qty",IF($B421&gt;Config!$B$4,"Date after the as-of date",IF($B421&lt;Config!$B$5,"Date before the opening balance date","OK")))))))))))))))))</f>
        <v/>
      </c>
    </row>
    <row r="422">
      <c r="A422" s="46" t="n"/>
      <c r="B422" s="54" t="n"/>
      <c r="C422" s="46" t="n"/>
      <c r="D422" s="46" t="n"/>
      <c r="E422" s="55" t="n"/>
      <c r="F422" s="46" t="n"/>
      <c r="G422" s="46" t="n"/>
      <c r="H422" s="46" t="n"/>
      <c r="I422" s="46" t="n"/>
      <c r="J422" s="46" t="n"/>
      <c r="K422" s="46" t="n"/>
      <c r="L422" s="46" t="n"/>
      <c r="M422" s="51" t="str">
        <f>IF(NOT(ISNUMBER($E422)),"",IF($C422="Receipt",$E422,IF($C422="Shipment",-$E422,IF($C422="Adjustment",$E422,0))))</f>
        <v/>
      </c>
      <c r="N422" s="49" t="str">
        <f>IF($D422="","",IFERROR(INDEX(Products!$B$2:$B$101,MATCH($D422,Products!$A$2:$A$101,0))&amp;"","(not found)"))</f>
        <v/>
      </c>
      <c r="O422" s="49" t="str">
        <f>IF($F422="","",IFERROR(INDEX(Batches!$B$2:$B$301,MATCH($F422,Batches!$A$2:$A$301,0))&amp;"","(not found)"))</f>
        <v/>
      </c>
      <c r="P422" s="49" t="str">
        <f>IF(COUNTA($A422:$L422)=0,"",IF($A422="","Missing: entry ID",IF(COUNTIF($A$2:$A$2001,$A422)&gt;1,"Duplicate entry ID",IF(NOT(ISNUMBER($B422)),"Missing or invalid: date",IF($C422="","Missing: type",IF($D422="","Missing: SKU",IF(NOT(ISNUMBER($E422)),"Missing: qty",IF($F422="","Missing: lot",IF($I422="","Missing: source link",IF(COUNTIF(Config!$A$15:$A$34,$C422)=0,"Unsupported type",IF(COUNTIF(Products!$A$2:$A$101,$D422)=0,"Unknown SKU",IF(COUNTIFS(Batches!$A$2:$A$301,$F422,Batches!$B$2:$B$301,$D422)=0,"Unknown lot for this SKU",IF(AND($C422="Adjustment",$G422=""),"Missing: reason",IF(AND($G422&lt;&gt;"",COUNTIF(Config!$B$15:$B$34,$G422)=0),"Unsupported reason",IF(OR(INT($E422)&lt;&gt;$E422,AND(OR($C422="Receipt",$C422="Shipment"),$E422&lt;=0),AND($C422="Adjustment",$E422=0)),"Invalid qty",IF($B422&gt;Config!$B$4,"Date after the as-of date",IF($B422&lt;Config!$B$5,"Date before the opening balance date","OK")))))))))))))))))</f>
        <v/>
      </c>
    </row>
    <row r="423">
      <c r="A423" s="46" t="n"/>
      <c r="B423" s="54" t="n"/>
      <c r="C423" s="46" t="n"/>
      <c r="D423" s="46" t="n"/>
      <c r="E423" s="55" t="n"/>
      <c r="F423" s="46" t="n"/>
      <c r="G423" s="46" t="n"/>
      <c r="H423" s="46" t="n"/>
      <c r="I423" s="46" t="n"/>
      <c r="J423" s="46" t="n"/>
      <c r="K423" s="46" t="n"/>
      <c r="L423" s="46" t="n"/>
      <c r="M423" s="51" t="str">
        <f>IF(NOT(ISNUMBER($E423)),"",IF($C423="Receipt",$E423,IF($C423="Shipment",-$E423,IF($C423="Adjustment",$E423,0))))</f>
        <v/>
      </c>
      <c r="N423" s="49" t="str">
        <f>IF($D423="","",IFERROR(INDEX(Products!$B$2:$B$101,MATCH($D423,Products!$A$2:$A$101,0))&amp;"","(not found)"))</f>
        <v/>
      </c>
      <c r="O423" s="49" t="str">
        <f>IF($F423="","",IFERROR(INDEX(Batches!$B$2:$B$301,MATCH($F423,Batches!$A$2:$A$301,0))&amp;"","(not found)"))</f>
        <v/>
      </c>
      <c r="P423" s="49" t="str">
        <f>IF(COUNTA($A423:$L423)=0,"",IF($A423="","Missing: entry ID",IF(COUNTIF($A$2:$A$2001,$A423)&gt;1,"Duplicate entry ID",IF(NOT(ISNUMBER($B423)),"Missing or invalid: date",IF($C423="","Missing: type",IF($D423="","Missing: SKU",IF(NOT(ISNUMBER($E423)),"Missing: qty",IF($F423="","Missing: lot",IF($I423="","Missing: source link",IF(COUNTIF(Config!$A$15:$A$34,$C423)=0,"Unsupported type",IF(COUNTIF(Products!$A$2:$A$101,$D423)=0,"Unknown SKU",IF(COUNTIFS(Batches!$A$2:$A$301,$F423,Batches!$B$2:$B$301,$D423)=0,"Unknown lot for this SKU",IF(AND($C423="Adjustment",$G423=""),"Missing: reason",IF(AND($G423&lt;&gt;"",COUNTIF(Config!$B$15:$B$34,$G423)=0),"Unsupported reason",IF(OR(INT($E423)&lt;&gt;$E423,AND(OR($C423="Receipt",$C423="Shipment"),$E423&lt;=0),AND($C423="Adjustment",$E423=0)),"Invalid qty",IF($B423&gt;Config!$B$4,"Date after the as-of date",IF($B423&lt;Config!$B$5,"Date before the opening balance date","OK")))))))))))))))))</f>
        <v/>
      </c>
    </row>
    <row r="424">
      <c r="A424" s="46" t="n"/>
      <c r="B424" s="54" t="n"/>
      <c r="C424" s="46" t="n"/>
      <c r="D424" s="46" t="n"/>
      <c r="E424" s="55" t="n"/>
      <c r="F424" s="46" t="n"/>
      <c r="G424" s="46" t="n"/>
      <c r="H424" s="46" t="n"/>
      <c r="I424" s="46" t="n"/>
      <c r="J424" s="46" t="n"/>
      <c r="K424" s="46" t="n"/>
      <c r="L424" s="46" t="n"/>
      <c r="M424" s="51" t="str">
        <f>IF(NOT(ISNUMBER($E424)),"",IF($C424="Receipt",$E424,IF($C424="Shipment",-$E424,IF($C424="Adjustment",$E424,0))))</f>
        <v/>
      </c>
      <c r="N424" s="49" t="str">
        <f>IF($D424="","",IFERROR(INDEX(Products!$B$2:$B$101,MATCH($D424,Products!$A$2:$A$101,0))&amp;"","(not found)"))</f>
        <v/>
      </c>
      <c r="O424" s="49" t="str">
        <f>IF($F424="","",IFERROR(INDEX(Batches!$B$2:$B$301,MATCH($F424,Batches!$A$2:$A$301,0))&amp;"","(not found)"))</f>
        <v/>
      </c>
      <c r="P424" s="49" t="str">
        <f>IF(COUNTA($A424:$L424)=0,"",IF($A424="","Missing: entry ID",IF(COUNTIF($A$2:$A$2001,$A424)&gt;1,"Duplicate entry ID",IF(NOT(ISNUMBER($B424)),"Missing or invalid: date",IF($C424="","Missing: type",IF($D424="","Missing: SKU",IF(NOT(ISNUMBER($E424)),"Missing: qty",IF($F424="","Missing: lot",IF($I424="","Missing: source link",IF(COUNTIF(Config!$A$15:$A$34,$C424)=0,"Unsupported type",IF(COUNTIF(Products!$A$2:$A$101,$D424)=0,"Unknown SKU",IF(COUNTIFS(Batches!$A$2:$A$301,$F424,Batches!$B$2:$B$301,$D424)=0,"Unknown lot for this SKU",IF(AND($C424="Adjustment",$G424=""),"Missing: reason",IF(AND($G424&lt;&gt;"",COUNTIF(Config!$B$15:$B$34,$G424)=0),"Unsupported reason",IF(OR(INT($E424)&lt;&gt;$E424,AND(OR($C424="Receipt",$C424="Shipment"),$E424&lt;=0),AND($C424="Adjustment",$E424=0)),"Invalid qty",IF($B424&gt;Config!$B$4,"Date after the as-of date",IF($B424&lt;Config!$B$5,"Date before the opening balance date","OK")))))))))))))))))</f>
        <v/>
      </c>
    </row>
    <row r="425">
      <c r="A425" s="46" t="n"/>
      <c r="B425" s="54" t="n"/>
      <c r="C425" s="46" t="n"/>
      <c r="D425" s="46" t="n"/>
      <c r="E425" s="55" t="n"/>
      <c r="F425" s="46" t="n"/>
      <c r="G425" s="46" t="n"/>
      <c r="H425" s="46" t="n"/>
      <c r="I425" s="46" t="n"/>
      <c r="J425" s="46" t="n"/>
      <c r="K425" s="46" t="n"/>
      <c r="L425" s="46" t="n"/>
      <c r="M425" s="51" t="str">
        <f>IF(NOT(ISNUMBER($E425)),"",IF($C425="Receipt",$E425,IF($C425="Shipment",-$E425,IF($C425="Adjustment",$E425,0))))</f>
        <v/>
      </c>
      <c r="N425" s="49" t="str">
        <f>IF($D425="","",IFERROR(INDEX(Products!$B$2:$B$101,MATCH($D425,Products!$A$2:$A$101,0))&amp;"","(not found)"))</f>
        <v/>
      </c>
      <c r="O425" s="49" t="str">
        <f>IF($F425="","",IFERROR(INDEX(Batches!$B$2:$B$301,MATCH($F425,Batches!$A$2:$A$301,0))&amp;"","(not found)"))</f>
        <v/>
      </c>
      <c r="P425" s="49" t="str">
        <f>IF(COUNTA($A425:$L425)=0,"",IF($A425="","Missing: entry ID",IF(COUNTIF($A$2:$A$2001,$A425)&gt;1,"Duplicate entry ID",IF(NOT(ISNUMBER($B425)),"Missing or invalid: date",IF($C425="","Missing: type",IF($D425="","Missing: SKU",IF(NOT(ISNUMBER($E425)),"Missing: qty",IF($F425="","Missing: lot",IF($I425="","Missing: source link",IF(COUNTIF(Config!$A$15:$A$34,$C425)=0,"Unsupported type",IF(COUNTIF(Products!$A$2:$A$101,$D425)=0,"Unknown SKU",IF(COUNTIFS(Batches!$A$2:$A$301,$F425,Batches!$B$2:$B$301,$D425)=0,"Unknown lot for this SKU",IF(AND($C425="Adjustment",$G425=""),"Missing: reason",IF(AND($G425&lt;&gt;"",COUNTIF(Config!$B$15:$B$34,$G425)=0),"Unsupported reason",IF(OR(INT($E425)&lt;&gt;$E425,AND(OR($C425="Receipt",$C425="Shipment"),$E425&lt;=0),AND($C425="Adjustment",$E425=0)),"Invalid qty",IF($B425&gt;Config!$B$4,"Date after the as-of date",IF($B425&lt;Config!$B$5,"Date before the opening balance date","OK")))))))))))))))))</f>
        <v/>
      </c>
    </row>
    <row r="426">
      <c r="A426" s="46" t="n"/>
      <c r="B426" s="54" t="n"/>
      <c r="C426" s="46" t="n"/>
      <c r="D426" s="46" t="n"/>
      <c r="E426" s="55" t="n"/>
      <c r="F426" s="46" t="n"/>
      <c r="G426" s="46" t="n"/>
      <c r="H426" s="46" t="n"/>
      <c r="I426" s="46" t="n"/>
      <c r="J426" s="46" t="n"/>
      <c r="K426" s="46" t="n"/>
      <c r="L426" s="46" t="n"/>
      <c r="M426" s="51" t="str">
        <f>IF(NOT(ISNUMBER($E426)),"",IF($C426="Receipt",$E426,IF($C426="Shipment",-$E426,IF($C426="Adjustment",$E426,0))))</f>
        <v/>
      </c>
      <c r="N426" s="49" t="str">
        <f>IF($D426="","",IFERROR(INDEX(Products!$B$2:$B$101,MATCH($D426,Products!$A$2:$A$101,0))&amp;"","(not found)"))</f>
        <v/>
      </c>
      <c r="O426" s="49" t="str">
        <f>IF($F426="","",IFERROR(INDEX(Batches!$B$2:$B$301,MATCH($F426,Batches!$A$2:$A$301,0))&amp;"","(not found)"))</f>
        <v/>
      </c>
      <c r="P426" s="49" t="str">
        <f>IF(COUNTA($A426:$L426)=0,"",IF($A426="","Missing: entry ID",IF(COUNTIF($A$2:$A$2001,$A426)&gt;1,"Duplicate entry ID",IF(NOT(ISNUMBER($B426)),"Missing or invalid: date",IF($C426="","Missing: type",IF($D426="","Missing: SKU",IF(NOT(ISNUMBER($E426)),"Missing: qty",IF($F426="","Missing: lot",IF($I426="","Missing: source link",IF(COUNTIF(Config!$A$15:$A$34,$C426)=0,"Unsupported type",IF(COUNTIF(Products!$A$2:$A$101,$D426)=0,"Unknown SKU",IF(COUNTIFS(Batches!$A$2:$A$301,$F426,Batches!$B$2:$B$301,$D426)=0,"Unknown lot for this SKU",IF(AND($C426="Adjustment",$G426=""),"Missing: reason",IF(AND($G426&lt;&gt;"",COUNTIF(Config!$B$15:$B$34,$G426)=0),"Unsupported reason",IF(OR(INT($E426)&lt;&gt;$E426,AND(OR($C426="Receipt",$C426="Shipment"),$E426&lt;=0),AND($C426="Adjustment",$E426=0)),"Invalid qty",IF($B426&gt;Config!$B$4,"Date after the as-of date",IF($B426&lt;Config!$B$5,"Date before the opening balance date","OK")))))))))))))))))</f>
        <v/>
      </c>
    </row>
    <row r="427">
      <c r="A427" s="46" t="n"/>
      <c r="B427" s="54" t="n"/>
      <c r="C427" s="46" t="n"/>
      <c r="D427" s="46" t="n"/>
      <c r="E427" s="55" t="n"/>
      <c r="F427" s="46" t="n"/>
      <c r="G427" s="46" t="n"/>
      <c r="H427" s="46" t="n"/>
      <c r="I427" s="46" t="n"/>
      <c r="J427" s="46" t="n"/>
      <c r="K427" s="46" t="n"/>
      <c r="L427" s="46" t="n"/>
      <c r="M427" s="51" t="str">
        <f>IF(NOT(ISNUMBER($E427)),"",IF($C427="Receipt",$E427,IF($C427="Shipment",-$E427,IF($C427="Adjustment",$E427,0))))</f>
        <v/>
      </c>
      <c r="N427" s="49" t="str">
        <f>IF($D427="","",IFERROR(INDEX(Products!$B$2:$B$101,MATCH($D427,Products!$A$2:$A$101,0))&amp;"","(not found)"))</f>
        <v/>
      </c>
      <c r="O427" s="49" t="str">
        <f>IF($F427="","",IFERROR(INDEX(Batches!$B$2:$B$301,MATCH($F427,Batches!$A$2:$A$301,0))&amp;"","(not found)"))</f>
        <v/>
      </c>
      <c r="P427" s="49" t="str">
        <f>IF(COUNTA($A427:$L427)=0,"",IF($A427="","Missing: entry ID",IF(COUNTIF($A$2:$A$2001,$A427)&gt;1,"Duplicate entry ID",IF(NOT(ISNUMBER($B427)),"Missing or invalid: date",IF($C427="","Missing: type",IF($D427="","Missing: SKU",IF(NOT(ISNUMBER($E427)),"Missing: qty",IF($F427="","Missing: lot",IF($I427="","Missing: source link",IF(COUNTIF(Config!$A$15:$A$34,$C427)=0,"Unsupported type",IF(COUNTIF(Products!$A$2:$A$101,$D427)=0,"Unknown SKU",IF(COUNTIFS(Batches!$A$2:$A$301,$F427,Batches!$B$2:$B$301,$D427)=0,"Unknown lot for this SKU",IF(AND($C427="Adjustment",$G427=""),"Missing: reason",IF(AND($G427&lt;&gt;"",COUNTIF(Config!$B$15:$B$34,$G427)=0),"Unsupported reason",IF(OR(INT($E427)&lt;&gt;$E427,AND(OR($C427="Receipt",$C427="Shipment"),$E427&lt;=0),AND($C427="Adjustment",$E427=0)),"Invalid qty",IF($B427&gt;Config!$B$4,"Date after the as-of date",IF($B427&lt;Config!$B$5,"Date before the opening balance date","OK")))))))))))))))))</f>
        <v/>
      </c>
    </row>
    <row r="428">
      <c r="A428" s="46" t="n"/>
      <c r="B428" s="54" t="n"/>
      <c r="C428" s="46" t="n"/>
      <c r="D428" s="46" t="n"/>
      <c r="E428" s="55" t="n"/>
      <c r="F428" s="46" t="n"/>
      <c r="G428" s="46" t="n"/>
      <c r="H428" s="46" t="n"/>
      <c r="I428" s="46" t="n"/>
      <c r="J428" s="46" t="n"/>
      <c r="K428" s="46" t="n"/>
      <c r="L428" s="46" t="n"/>
      <c r="M428" s="51" t="str">
        <f>IF(NOT(ISNUMBER($E428)),"",IF($C428="Receipt",$E428,IF($C428="Shipment",-$E428,IF($C428="Adjustment",$E428,0))))</f>
        <v/>
      </c>
      <c r="N428" s="49" t="str">
        <f>IF($D428="","",IFERROR(INDEX(Products!$B$2:$B$101,MATCH($D428,Products!$A$2:$A$101,0))&amp;"","(not found)"))</f>
        <v/>
      </c>
      <c r="O428" s="49" t="str">
        <f>IF($F428="","",IFERROR(INDEX(Batches!$B$2:$B$301,MATCH($F428,Batches!$A$2:$A$301,0))&amp;"","(not found)"))</f>
        <v/>
      </c>
      <c r="P428" s="49" t="str">
        <f>IF(COUNTA($A428:$L428)=0,"",IF($A428="","Missing: entry ID",IF(COUNTIF($A$2:$A$2001,$A428)&gt;1,"Duplicate entry ID",IF(NOT(ISNUMBER($B428)),"Missing or invalid: date",IF($C428="","Missing: type",IF($D428="","Missing: SKU",IF(NOT(ISNUMBER($E428)),"Missing: qty",IF($F428="","Missing: lot",IF($I428="","Missing: source link",IF(COUNTIF(Config!$A$15:$A$34,$C428)=0,"Unsupported type",IF(COUNTIF(Products!$A$2:$A$101,$D428)=0,"Unknown SKU",IF(COUNTIFS(Batches!$A$2:$A$301,$F428,Batches!$B$2:$B$301,$D428)=0,"Unknown lot for this SKU",IF(AND($C428="Adjustment",$G428=""),"Missing: reason",IF(AND($G428&lt;&gt;"",COUNTIF(Config!$B$15:$B$34,$G428)=0),"Unsupported reason",IF(OR(INT($E428)&lt;&gt;$E428,AND(OR($C428="Receipt",$C428="Shipment"),$E428&lt;=0),AND($C428="Adjustment",$E428=0)),"Invalid qty",IF($B428&gt;Config!$B$4,"Date after the as-of date",IF($B428&lt;Config!$B$5,"Date before the opening balance date","OK")))))))))))))))))</f>
        <v/>
      </c>
    </row>
    <row r="429">
      <c r="A429" s="46" t="n"/>
      <c r="B429" s="54" t="n"/>
      <c r="C429" s="46" t="n"/>
      <c r="D429" s="46" t="n"/>
      <c r="E429" s="55" t="n"/>
      <c r="F429" s="46" t="n"/>
      <c r="G429" s="46" t="n"/>
      <c r="H429" s="46" t="n"/>
      <c r="I429" s="46" t="n"/>
      <c r="J429" s="46" t="n"/>
      <c r="K429" s="46" t="n"/>
      <c r="L429" s="46" t="n"/>
      <c r="M429" s="51" t="str">
        <f>IF(NOT(ISNUMBER($E429)),"",IF($C429="Receipt",$E429,IF($C429="Shipment",-$E429,IF($C429="Adjustment",$E429,0))))</f>
        <v/>
      </c>
      <c r="N429" s="49" t="str">
        <f>IF($D429="","",IFERROR(INDEX(Products!$B$2:$B$101,MATCH($D429,Products!$A$2:$A$101,0))&amp;"","(not found)"))</f>
        <v/>
      </c>
      <c r="O429" s="49" t="str">
        <f>IF($F429="","",IFERROR(INDEX(Batches!$B$2:$B$301,MATCH($F429,Batches!$A$2:$A$301,0))&amp;"","(not found)"))</f>
        <v/>
      </c>
      <c r="P429" s="49" t="str">
        <f>IF(COUNTA($A429:$L429)=0,"",IF($A429="","Missing: entry ID",IF(COUNTIF($A$2:$A$2001,$A429)&gt;1,"Duplicate entry ID",IF(NOT(ISNUMBER($B429)),"Missing or invalid: date",IF($C429="","Missing: type",IF($D429="","Missing: SKU",IF(NOT(ISNUMBER($E429)),"Missing: qty",IF($F429="","Missing: lot",IF($I429="","Missing: source link",IF(COUNTIF(Config!$A$15:$A$34,$C429)=0,"Unsupported type",IF(COUNTIF(Products!$A$2:$A$101,$D429)=0,"Unknown SKU",IF(COUNTIFS(Batches!$A$2:$A$301,$F429,Batches!$B$2:$B$301,$D429)=0,"Unknown lot for this SKU",IF(AND($C429="Adjustment",$G429=""),"Missing: reason",IF(AND($G429&lt;&gt;"",COUNTIF(Config!$B$15:$B$34,$G429)=0),"Unsupported reason",IF(OR(INT($E429)&lt;&gt;$E429,AND(OR($C429="Receipt",$C429="Shipment"),$E429&lt;=0),AND($C429="Adjustment",$E429=0)),"Invalid qty",IF($B429&gt;Config!$B$4,"Date after the as-of date",IF($B429&lt;Config!$B$5,"Date before the opening balance date","OK")))))))))))))))))</f>
        <v/>
      </c>
    </row>
    <row r="430">
      <c r="A430" s="46" t="n"/>
      <c r="B430" s="54" t="n"/>
      <c r="C430" s="46" t="n"/>
      <c r="D430" s="46" t="n"/>
      <c r="E430" s="55" t="n"/>
      <c r="F430" s="46" t="n"/>
      <c r="G430" s="46" t="n"/>
      <c r="H430" s="46" t="n"/>
      <c r="I430" s="46" t="n"/>
      <c r="J430" s="46" t="n"/>
      <c r="K430" s="46" t="n"/>
      <c r="L430" s="46" t="n"/>
      <c r="M430" s="51" t="str">
        <f>IF(NOT(ISNUMBER($E430)),"",IF($C430="Receipt",$E430,IF($C430="Shipment",-$E430,IF($C430="Adjustment",$E430,0))))</f>
        <v/>
      </c>
      <c r="N430" s="49" t="str">
        <f>IF($D430="","",IFERROR(INDEX(Products!$B$2:$B$101,MATCH($D430,Products!$A$2:$A$101,0))&amp;"","(not found)"))</f>
        <v/>
      </c>
      <c r="O430" s="49" t="str">
        <f>IF($F430="","",IFERROR(INDEX(Batches!$B$2:$B$301,MATCH($F430,Batches!$A$2:$A$301,0))&amp;"","(not found)"))</f>
        <v/>
      </c>
      <c r="P430" s="49" t="str">
        <f>IF(COUNTA($A430:$L430)=0,"",IF($A430="","Missing: entry ID",IF(COUNTIF($A$2:$A$2001,$A430)&gt;1,"Duplicate entry ID",IF(NOT(ISNUMBER($B430)),"Missing or invalid: date",IF($C430="","Missing: type",IF($D430="","Missing: SKU",IF(NOT(ISNUMBER($E430)),"Missing: qty",IF($F430="","Missing: lot",IF($I430="","Missing: source link",IF(COUNTIF(Config!$A$15:$A$34,$C430)=0,"Unsupported type",IF(COUNTIF(Products!$A$2:$A$101,$D430)=0,"Unknown SKU",IF(COUNTIFS(Batches!$A$2:$A$301,$F430,Batches!$B$2:$B$301,$D430)=0,"Unknown lot for this SKU",IF(AND($C430="Adjustment",$G430=""),"Missing: reason",IF(AND($G430&lt;&gt;"",COUNTIF(Config!$B$15:$B$34,$G430)=0),"Unsupported reason",IF(OR(INT($E430)&lt;&gt;$E430,AND(OR($C430="Receipt",$C430="Shipment"),$E430&lt;=0),AND($C430="Adjustment",$E430=0)),"Invalid qty",IF($B430&gt;Config!$B$4,"Date after the as-of date",IF($B430&lt;Config!$B$5,"Date before the opening balance date","OK")))))))))))))))))</f>
        <v/>
      </c>
    </row>
    <row r="431">
      <c r="A431" s="46" t="n"/>
      <c r="B431" s="54" t="n"/>
      <c r="C431" s="46" t="n"/>
      <c r="D431" s="46" t="n"/>
      <c r="E431" s="55" t="n"/>
      <c r="F431" s="46" t="n"/>
      <c r="G431" s="46" t="n"/>
      <c r="H431" s="46" t="n"/>
      <c r="I431" s="46" t="n"/>
      <c r="J431" s="46" t="n"/>
      <c r="K431" s="46" t="n"/>
      <c r="L431" s="46" t="n"/>
      <c r="M431" s="51" t="str">
        <f>IF(NOT(ISNUMBER($E431)),"",IF($C431="Receipt",$E431,IF($C431="Shipment",-$E431,IF($C431="Adjustment",$E431,0))))</f>
        <v/>
      </c>
      <c r="N431" s="49" t="str">
        <f>IF($D431="","",IFERROR(INDEX(Products!$B$2:$B$101,MATCH($D431,Products!$A$2:$A$101,0))&amp;"","(not found)"))</f>
        <v/>
      </c>
      <c r="O431" s="49" t="str">
        <f>IF($F431="","",IFERROR(INDEX(Batches!$B$2:$B$301,MATCH($F431,Batches!$A$2:$A$301,0))&amp;"","(not found)"))</f>
        <v/>
      </c>
      <c r="P431" s="49" t="str">
        <f>IF(COUNTA($A431:$L431)=0,"",IF($A431="","Missing: entry ID",IF(COUNTIF($A$2:$A$2001,$A431)&gt;1,"Duplicate entry ID",IF(NOT(ISNUMBER($B431)),"Missing or invalid: date",IF($C431="","Missing: type",IF($D431="","Missing: SKU",IF(NOT(ISNUMBER($E431)),"Missing: qty",IF($F431="","Missing: lot",IF($I431="","Missing: source link",IF(COUNTIF(Config!$A$15:$A$34,$C431)=0,"Unsupported type",IF(COUNTIF(Products!$A$2:$A$101,$D431)=0,"Unknown SKU",IF(COUNTIFS(Batches!$A$2:$A$301,$F431,Batches!$B$2:$B$301,$D431)=0,"Unknown lot for this SKU",IF(AND($C431="Adjustment",$G431=""),"Missing: reason",IF(AND($G431&lt;&gt;"",COUNTIF(Config!$B$15:$B$34,$G431)=0),"Unsupported reason",IF(OR(INT($E431)&lt;&gt;$E431,AND(OR($C431="Receipt",$C431="Shipment"),$E431&lt;=0),AND($C431="Adjustment",$E431=0)),"Invalid qty",IF($B431&gt;Config!$B$4,"Date after the as-of date",IF($B431&lt;Config!$B$5,"Date before the opening balance date","OK")))))))))))))))))</f>
        <v/>
      </c>
    </row>
    <row r="432">
      <c r="A432" s="46" t="n"/>
      <c r="B432" s="54" t="n"/>
      <c r="C432" s="46" t="n"/>
      <c r="D432" s="46" t="n"/>
      <c r="E432" s="55" t="n"/>
      <c r="F432" s="46" t="n"/>
      <c r="G432" s="46" t="n"/>
      <c r="H432" s="46" t="n"/>
      <c r="I432" s="46" t="n"/>
      <c r="J432" s="46" t="n"/>
      <c r="K432" s="46" t="n"/>
      <c r="L432" s="46" t="n"/>
      <c r="M432" s="51" t="str">
        <f>IF(NOT(ISNUMBER($E432)),"",IF($C432="Receipt",$E432,IF($C432="Shipment",-$E432,IF($C432="Adjustment",$E432,0))))</f>
        <v/>
      </c>
      <c r="N432" s="49" t="str">
        <f>IF($D432="","",IFERROR(INDEX(Products!$B$2:$B$101,MATCH($D432,Products!$A$2:$A$101,0))&amp;"","(not found)"))</f>
        <v/>
      </c>
      <c r="O432" s="49" t="str">
        <f>IF($F432="","",IFERROR(INDEX(Batches!$B$2:$B$301,MATCH($F432,Batches!$A$2:$A$301,0))&amp;"","(not found)"))</f>
        <v/>
      </c>
      <c r="P432" s="49" t="str">
        <f>IF(COUNTA($A432:$L432)=0,"",IF($A432="","Missing: entry ID",IF(COUNTIF($A$2:$A$2001,$A432)&gt;1,"Duplicate entry ID",IF(NOT(ISNUMBER($B432)),"Missing or invalid: date",IF($C432="","Missing: type",IF($D432="","Missing: SKU",IF(NOT(ISNUMBER($E432)),"Missing: qty",IF($F432="","Missing: lot",IF($I432="","Missing: source link",IF(COUNTIF(Config!$A$15:$A$34,$C432)=0,"Unsupported type",IF(COUNTIF(Products!$A$2:$A$101,$D432)=0,"Unknown SKU",IF(COUNTIFS(Batches!$A$2:$A$301,$F432,Batches!$B$2:$B$301,$D432)=0,"Unknown lot for this SKU",IF(AND($C432="Adjustment",$G432=""),"Missing: reason",IF(AND($G432&lt;&gt;"",COUNTIF(Config!$B$15:$B$34,$G432)=0),"Unsupported reason",IF(OR(INT($E432)&lt;&gt;$E432,AND(OR($C432="Receipt",$C432="Shipment"),$E432&lt;=0),AND($C432="Adjustment",$E432=0)),"Invalid qty",IF($B432&gt;Config!$B$4,"Date after the as-of date",IF($B432&lt;Config!$B$5,"Date before the opening balance date","OK")))))))))))))))))</f>
        <v/>
      </c>
    </row>
    <row r="433">
      <c r="A433" s="46" t="n"/>
      <c r="B433" s="54" t="n"/>
      <c r="C433" s="46" t="n"/>
      <c r="D433" s="46" t="n"/>
      <c r="E433" s="55" t="n"/>
      <c r="F433" s="46" t="n"/>
      <c r="G433" s="46" t="n"/>
      <c r="H433" s="46" t="n"/>
      <c r="I433" s="46" t="n"/>
      <c r="J433" s="46" t="n"/>
      <c r="K433" s="46" t="n"/>
      <c r="L433" s="46" t="n"/>
      <c r="M433" s="51" t="str">
        <f>IF(NOT(ISNUMBER($E433)),"",IF($C433="Receipt",$E433,IF($C433="Shipment",-$E433,IF($C433="Adjustment",$E433,0))))</f>
        <v/>
      </c>
      <c r="N433" s="49" t="str">
        <f>IF($D433="","",IFERROR(INDEX(Products!$B$2:$B$101,MATCH($D433,Products!$A$2:$A$101,0))&amp;"","(not found)"))</f>
        <v/>
      </c>
      <c r="O433" s="49" t="str">
        <f>IF($F433="","",IFERROR(INDEX(Batches!$B$2:$B$301,MATCH($F433,Batches!$A$2:$A$301,0))&amp;"","(not found)"))</f>
        <v/>
      </c>
      <c r="P433" s="49" t="str">
        <f>IF(COUNTA($A433:$L433)=0,"",IF($A433="","Missing: entry ID",IF(COUNTIF($A$2:$A$2001,$A433)&gt;1,"Duplicate entry ID",IF(NOT(ISNUMBER($B433)),"Missing or invalid: date",IF($C433="","Missing: type",IF($D433="","Missing: SKU",IF(NOT(ISNUMBER($E433)),"Missing: qty",IF($F433="","Missing: lot",IF($I433="","Missing: source link",IF(COUNTIF(Config!$A$15:$A$34,$C433)=0,"Unsupported type",IF(COUNTIF(Products!$A$2:$A$101,$D433)=0,"Unknown SKU",IF(COUNTIFS(Batches!$A$2:$A$301,$F433,Batches!$B$2:$B$301,$D433)=0,"Unknown lot for this SKU",IF(AND($C433="Adjustment",$G433=""),"Missing: reason",IF(AND($G433&lt;&gt;"",COUNTIF(Config!$B$15:$B$34,$G433)=0),"Unsupported reason",IF(OR(INT($E433)&lt;&gt;$E433,AND(OR($C433="Receipt",$C433="Shipment"),$E433&lt;=0),AND($C433="Adjustment",$E433=0)),"Invalid qty",IF($B433&gt;Config!$B$4,"Date after the as-of date",IF($B433&lt;Config!$B$5,"Date before the opening balance date","OK")))))))))))))))))</f>
        <v/>
      </c>
    </row>
    <row r="434">
      <c r="A434" s="46" t="n"/>
      <c r="B434" s="54" t="n"/>
      <c r="C434" s="46" t="n"/>
      <c r="D434" s="46" t="n"/>
      <c r="E434" s="55" t="n"/>
      <c r="F434" s="46" t="n"/>
      <c r="G434" s="46" t="n"/>
      <c r="H434" s="46" t="n"/>
      <c r="I434" s="46" t="n"/>
      <c r="J434" s="46" t="n"/>
      <c r="K434" s="46" t="n"/>
      <c r="L434" s="46" t="n"/>
      <c r="M434" s="51" t="str">
        <f>IF(NOT(ISNUMBER($E434)),"",IF($C434="Receipt",$E434,IF($C434="Shipment",-$E434,IF($C434="Adjustment",$E434,0))))</f>
        <v/>
      </c>
      <c r="N434" s="49" t="str">
        <f>IF($D434="","",IFERROR(INDEX(Products!$B$2:$B$101,MATCH($D434,Products!$A$2:$A$101,0))&amp;"","(not found)"))</f>
        <v/>
      </c>
      <c r="O434" s="49" t="str">
        <f>IF($F434="","",IFERROR(INDEX(Batches!$B$2:$B$301,MATCH($F434,Batches!$A$2:$A$301,0))&amp;"","(not found)"))</f>
        <v/>
      </c>
      <c r="P434" s="49" t="str">
        <f>IF(COUNTA($A434:$L434)=0,"",IF($A434="","Missing: entry ID",IF(COUNTIF($A$2:$A$2001,$A434)&gt;1,"Duplicate entry ID",IF(NOT(ISNUMBER($B434)),"Missing or invalid: date",IF($C434="","Missing: type",IF($D434="","Missing: SKU",IF(NOT(ISNUMBER($E434)),"Missing: qty",IF($F434="","Missing: lot",IF($I434="","Missing: source link",IF(COUNTIF(Config!$A$15:$A$34,$C434)=0,"Unsupported type",IF(COUNTIF(Products!$A$2:$A$101,$D434)=0,"Unknown SKU",IF(COUNTIFS(Batches!$A$2:$A$301,$F434,Batches!$B$2:$B$301,$D434)=0,"Unknown lot for this SKU",IF(AND($C434="Adjustment",$G434=""),"Missing: reason",IF(AND($G434&lt;&gt;"",COUNTIF(Config!$B$15:$B$34,$G434)=0),"Unsupported reason",IF(OR(INT($E434)&lt;&gt;$E434,AND(OR($C434="Receipt",$C434="Shipment"),$E434&lt;=0),AND($C434="Adjustment",$E434=0)),"Invalid qty",IF($B434&gt;Config!$B$4,"Date after the as-of date",IF($B434&lt;Config!$B$5,"Date before the opening balance date","OK")))))))))))))))))</f>
        <v/>
      </c>
    </row>
    <row r="435">
      <c r="A435" s="46" t="n"/>
      <c r="B435" s="54" t="n"/>
      <c r="C435" s="46" t="n"/>
      <c r="D435" s="46" t="n"/>
      <c r="E435" s="55" t="n"/>
      <c r="F435" s="46" t="n"/>
      <c r="G435" s="46" t="n"/>
      <c r="H435" s="46" t="n"/>
      <c r="I435" s="46" t="n"/>
      <c r="J435" s="46" t="n"/>
      <c r="K435" s="46" t="n"/>
      <c r="L435" s="46" t="n"/>
      <c r="M435" s="51" t="str">
        <f>IF(NOT(ISNUMBER($E435)),"",IF($C435="Receipt",$E435,IF($C435="Shipment",-$E435,IF($C435="Adjustment",$E435,0))))</f>
        <v/>
      </c>
      <c r="N435" s="49" t="str">
        <f>IF($D435="","",IFERROR(INDEX(Products!$B$2:$B$101,MATCH($D435,Products!$A$2:$A$101,0))&amp;"","(not found)"))</f>
        <v/>
      </c>
      <c r="O435" s="49" t="str">
        <f>IF($F435="","",IFERROR(INDEX(Batches!$B$2:$B$301,MATCH($F435,Batches!$A$2:$A$301,0))&amp;"","(not found)"))</f>
        <v/>
      </c>
      <c r="P435" s="49" t="str">
        <f>IF(COUNTA($A435:$L435)=0,"",IF($A435="","Missing: entry ID",IF(COUNTIF($A$2:$A$2001,$A435)&gt;1,"Duplicate entry ID",IF(NOT(ISNUMBER($B435)),"Missing or invalid: date",IF($C435="","Missing: type",IF($D435="","Missing: SKU",IF(NOT(ISNUMBER($E435)),"Missing: qty",IF($F435="","Missing: lot",IF($I435="","Missing: source link",IF(COUNTIF(Config!$A$15:$A$34,$C435)=0,"Unsupported type",IF(COUNTIF(Products!$A$2:$A$101,$D435)=0,"Unknown SKU",IF(COUNTIFS(Batches!$A$2:$A$301,$F435,Batches!$B$2:$B$301,$D435)=0,"Unknown lot for this SKU",IF(AND($C435="Adjustment",$G435=""),"Missing: reason",IF(AND($G435&lt;&gt;"",COUNTIF(Config!$B$15:$B$34,$G435)=0),"Unsupported reason",IF(OR(INT($E435)&lt;&gt;$E435,AND(OR($C435="Receipt",$C435="Shipment"),$E435&lt;=0),AND($C435="Adjustment",$E435=0)),"Invalid qty",IF($B435&gt;Config!$B$4,"Date after the as-of date",IF($B435&lt;Config!$B$5,"Date before the opening balance date","OK")))))))))))))))))</f>
        <v/>
      </c>
    </row>
    <row r="436">
      <c r="A436" s="46" t="n"/>
      <c r="B436" s="54" t="n"/>
      <c r="C436" s="46" t="n"/>
      <c r="D436" s="46" t="n"/>
      <c r="E436" s="55" t="n"/>
      <c r="F436" s="46" t="n"/>
      <c r="G436" s="46" t="n"/>
      <c r="H436" s="46" t="n"/>
      <c r="I436" s="46" t="n"/>
      <c r="J436" s="46" t="n"/>
      <c r="K436" s="46" t="n"/>
      <c r="L436" s="46" t="n"/>
      <c r="M436" s="51" t="str">
        <f>IF(NOT(ISNUMBER($E436)),"",IF($C436="Receipt",$E436,IF($C436="Shipment",-$E436,IF($C436="Adjustment",$E436,0))))</f>
        <v/>
      </c>
      <c r="N436" s="49" t="str">
        <f>IF($D436="","",IFERROR(INDEX(Products!$B$2:$B$101,MATCH($D436,Products!$A$2:$A$101,0))&amp;"","(not found)"))</f>
        <v/>
      </c>
      <c r="O436" s="49" t="str">
        <f>IF($F436="","",IFERROR(INDEX(Batches!$B$2:$B$301,MATCH($F436,Batches!$A$2:$A$301,0))&amp;"","(not found)"))</f>
        <v/>
      </c>
      <c r="P436" s="49" t="str">
        <f>IF(COUNTA($A436:$L436)=0,"",IF($A436="","Missing: entry ID",IF(COUNTIF($A$2:$A$2001,$A436)&gt;1,"Duplicate entry ID",IF(NOT(ISNUMBER($B436)),"Missing or invalid: date",IF($C436="","Missing: type",IF($D436="","Missing: SKU",IF(NOT(ISNUMBER($E436)),"Missing: qty",IF($F436="","Missing: lot",IF($I436="","Missing: source link",IF(COUNTIF(Config!$A$15:$A$34,$C436)=0,"Unsupported type",IF(COUNTIF(Products!$A$2:$A$101,$D436)=0,"Unknown SKU",IF(COUNTIFS(Batches!$A$2:$A$301,$F436,Batches!$B$2:$B$301,$D436)=0,"Unknown lot for this SKU",IF(AND($C436="Adjustment",$G436=""),"Missing: reason",IF(AND($G436&lt;&gt;"",COUNTIF(Config!$B$15:$B$34,$G436)=0),"Unsupported reason",IF(OR(INT($E436)&lt;&gt;$E436,AND(OR($C436="Receipt",$C436="Shipment"),$E436&lt;=0),AND($C436="Adjustment",$E436=0)),"Invalid qty",IF($B436&gt;Config!$B$4,"Date after the as-of date",IF($B436&lt;Config!$B$5,"Date before the opening balance date","OK")))))))))))))))))</f>
        <v/>
      </c>
    </row>
    <row r="437">
      <c r="A437" s="46" t="n"/>
      <c r="B437" s="54" t="n"/>
      <c r="C437" s="46" t="n"/>
      <c r="D437" s="46" t="n"/>
      <c r="E437" s="55" t="n"/>
      <c r="F437" s="46" t="n"/>
      <c r="G437" s="46" t="n"/>
      <c r="H437" s="46" t="n"/>
      <c r="I437" s="46" t="n"/>
      <c r="J437" s="46" t="n"/>
      <c r="K437" s="46" t="n"/>
      <c r="L437" s="46" t="n"/>
      <c r="M437" s="51" t="str">
        <f>IF(NOT(ISNUMBER($E437)),"",IF($C437="Receipt",$E437,IF($C437="Shipment",-$E437,IF($C437="Adjustment",$E437,0))))</f>
        <v/>
      </c>
      <c r="N437" s="49" t="str">
        <f>IF($D437="","",IFERROR(INDEX(Products!$B$2:$B$101,MATCH($D437,Products!$A$2:$A$101,0))&amp;"","(not found)"))</f>
        <v/>
      </c>
      <c r="O437" s="49" t="str">
        <f>IF($F437="","",IFERROR(INDEX(Batches!$B$2:$B$301,MATCH($F437,Batches!$A$2:$A$301,0))&amp;"","(not found)"))</f>
        <v/>
      </c>
      <c r="P437" s="49" t="str">
        <f>IF(COUNTA($A437:$L437)=0,"",IF($A437="","Missing: entry ID",IF(COUNTIF($A$2:$A$2001,$A437)&gt;1,"Duplicate entry ID",IF(NOT(ISNUMBER($B437)),"Missing or invalid: date",IF($C437="","Missing: type",IF($D437="","Missing: SKU",IF(NOT(ISNUMBER($E437)),"Missing: qty",IF($F437="","Missing: lot",IF($I437="","Missing: source link",IF(COUNTIF(Config!$A$15:$A$34,$C437)=0,"Unsupported type",IF(COUNTIF(Products!$A$2:$A$101,$D437)=0,"Unknown SKU",IF(COUNTIFS(Batches!$A$2:$A$301,$F437,Batches!$B$2:$B$301,$D437)=0,"Unknown lot for this SKU",IF(AND($C437="Adjustment",$G437=""),"Missing: reason",IF(AND($G437&lt;&gt;"",COUNTIF(Config!$B$15:$B$34,$G437)=0),"Unsupported reason",IF(OR(INT($E437)&lt;&gt;$E437,AND(OR($C437="Receipt",$C437="Shipment"),$E437&lt;=0),AND($C437="Adjustment",$E437=0)),"Invalid qty",IF($B437&gt;Config!$B$4,"Date after the as-of date",IF($B437&lt;Config!$B$5,"Date before the opening balance date","OK")))))))))))))))))</f>
        <v/>
      </c>
    </row>
    <row r="438">
      <c r="A438" s="46" t="n"/>
      <c r="B438" s="54" t="n"/>
      <c r="C438" s="46" t="n"/>
      <c r="D438" s="46" t="n"/>
      <c r="E438" s="55" t="n"/>
      <c r="F438" s="46" t="n"/>
      <c r="G438" s="46" t="n"/>
      <c r="H438" s="46" t="n"/>
      <c r="I438" s="46" t="n"/>
      <c r="J438" s="46" t="n"/>
      <c r="K438" s="46" t="n"/>
      <c r="L438" s="46" t="n"/>
      <c r="M438" s="51" t="str">
        <f>IF(NOT(ISNUMBER($E438)),"",IF($C438="Receipt",$E438,IF($C438="Shipment",-$E438,IF($C438="Adjustment",$E438,0))))</f>
        <v/>
      </c>
      <c r="N438" s="49" t="str">
        <f>IF($D438="","",IFERROR(INDEX(Products!$B$2:$B$101,MATCH($D438,Products!$A$2:$A$101,0))&amp;"","(not found)"))</f>
        <v/>
      </c>
      <c r="O438" s="49" t="str">
        <f>IF($F438="","",IFERROR(INDEX(Batches!$B$2:$B$301,MATCH($F438,Batches!$A$2:$A$301,0))&amp;"","(not found)"))</f>
        <v/>
      </c>
      <c r="P438" s="49" t="str">
        <f>IF(COUNTA($A438:$L438)=0,"",IF($A438="","Missing: entry ID",IF(COUNTIF($A$2:$A$2001,$A438)&gt;1,"Duplicate entry ID",IF(NOT(ISNUMBER($B438)),"Missing or invalid: date",IF($C438="","Missing: type",IF($D438="","Missing: SKU",IF(NOT(ISNUMBER($E438)),"Missing: qty",IF($F438="","Missing: lot",IF($I438="","Missing: source link",IF(COUNTIF(Config!$A$15:$A$34,$C438)=0,"Unsupported type",IF(COUNTIF(Products!$A$2:$A$101,$D438)=0,"Unknown SKU",IF(COUNTIFS(Batches!$A$2:$A$301,$F438,Batches!$B$2:$B$301,$D438)=0,"Unknown lot for this SKU",IF(AND($C438="Adjustment",$G438=""),"Missing: reason",IF(AND($G438&lt;&gt;"",COUNTIF(Config!$B$15:$B$34,$G438)=0),"Unsupported reason",IF(OR(INT($E438)&lt;&gt;$E438,AND(OR($C438="Receipt",$C438="Shipment"),$E438&lt;=0),AND($C438="Adjustment",$E438=0)),"Invalid qty",IF($B438&gt;Config!$B$4,"Date after the as-of date",IF($B438&lt;Config!$B$5,"Date before the opening balance date","OK")))))))))))))))))</f>
        <v/>
      </c>
    </row>
    <row r="439">
      <c r="A439" s="46" t="n"/>
      <c r="B439" s="54" t="n"/>
      <c r="C439" s="46" t="n"/>
      <c r="D439" s="46" t="n"/>
      <c r="E439" s="55" t="n"/>
      <c r="F439" s="46" t="n"/>
      <c r="G439" s="46" t="n"/>
      <c r="H439" s="46" t="n"/>
      <c r="I439" s="46" t="n"/>
      <c r="J439" s="46" t="n"/>
      <c r="K439" s="46" t="n"/>
      <c r="L439" s="46" t="n"/>
      <c r="M439" s="51" t="str">
        <f>IF(NOT(ISNUMBER($E439)),"",IF($C439="Receipt",$E439,IF($C439="Shipment",-$E439,IF($C439="Adjustment",$E439,0))))</f>
        <v/>
      </c>
      <c r="N439" s="49" t="str">
        <f>IF($D439="","",IFERROR(INDEX(Products!$B$2:$B$101,MATCH($D439,Products!$A$2:$A$101,0))&amp;"","(not found)"))</f>
        <v/>
      </c>
      <c r="O439" s="49" t="str">
        <f>IF($F439="","",IFERROR(INDEX(Batches!$B$2:$B$301,MATCH($F439,Batches!$A$2:$A$301,0))&amp;"","(not found)"))</f>
        <v/>
      </c>
      <c r="P439" s="49" t="str">
        <f>IF(COUNTA($A439:$L439)=0,"",IF($A439="","Missing: entry ID",IF(COUNTIF($A$2:$A$2001,$A439)&gt;1,"Duplicate entry ID",IF(NOT(ISNUMBER($B439)),"Missing or invalid: date",IF($C439="","Missing: type",IF($D439="","Missing: SKU",IF(NOT(ISNUMBER($E439)),"Missing: qty",IF($F439="","Missing: lot",IF($I439="","Missing: source link",IF(COUNTIF(Config!$A$15:$A$34,$C439)=0,"Unsupported type",IF(COUNTIF(Products!$A$2:$A$101,$D439)=0,"Unknown SKU",IF(COUNTIFS(Batches!$A$2:$A$301,$F439,Batches!$B$2:$B$301,$D439)=0,"Unknown lot for this SKU",IF(AND($C439="Adjustment",$G439=""),"Missing: reason",IF(AND($G439&lt;&gt;"",COUNTIF(Config!$B$15:$B$34,$G439)=0),"Unsupported reason",IF(OR(INT($E439)&lt;&gt;$E439,AND(OR($C439="Receipt",$C439="Shipment"),$E439&lt;=0),AND($C439="Adjustment",$E439=0)),"Invalid qty",IF($B439&gt;Config!$B$4,"Date after the as-of date",IF($B439&lt;Config!$B$5,"Date before the opening balance date","OK")))))))))))))))))</f>
        <v/>
      </c>
    </row>
    <row r="440">
      <c r="A440" s="46" t="n"/>
      <c r="B440" s="54" t="n"/>
      <c r="C440" s="46" t="n"/>
      <c r="D440" s="46" t="n"/>
      <c r="E440" s="55" t="n"/>
      <c r="F440" s="46" t="n"/>
      <c r="G440" s="46" t="n"/>
      <c r="H440" s="46" t="n"/>
      <c r="I440" s="46" t="n"/>
      <c r="J440" s="46" t="n"/>
      <c r="K440" s="46" t="n"/>
      <c r="L440" s="46" t="n"/>
      <c r="M440" s="51" t="str">
        <f>IF(NOT(ISNUMBER($E440)),"",IF($C440="Receipt",$E440,IF($C440="Shipment",-$E440,IF($C440="Adjustment",$E440,0))))</f>
        <v/>
      </c>
      <c r="N440" s="49" t="str">
        <f>IF($D440="","",IFERROR(INDEX(Products!$B$2:$B$101,MATCH($D440,Products!$A$2:$A$101,0))&amp;"","(not found)"))</f>
        <v/>
      </c>
      <c r="O440" s="49" t="str">
        <f>IF($F440="","",IFERROR(INDEX(Batches!$B$2:$B$301,MATCH($F440,Batches!$A$2:$A$301,0))&amp;"","(not found)"))</f>
        <v/>
      </c>
      <c r="P440" s="49" t="str">
        <f>IF(COUNTA($A440:$L440)=0,"",IF($A440="","Missing: entry ID",IF(COUNTIF($A$2:$A$2001,$A440)&gt;1,"Duplicate entry ID",IF(NOT(ISNUMBER($B440)),"Missing or invalid: date",IF($C440="","Missing: type",IF($D440="","Missing: SKU",IF(NOT(ISNUMBER($E440)),"Missing: qty",IF($F440="","Missing: lot",IF($I440="","Missing: source link",IF(COUNTIF(Config!$A$15:$A$34,$C440)=0,"Unsupported type",IF(COUNTIF(Products!$A$2:$A$101,$D440)=0,"Unknown SKU",IF(COUNTIFS(Batches!$A$2:$A$301,$F440,Batches!$B$2:$B$301,$D440)=0,"Unknown lot for this SKU",IF(AND($C440="Adjustment",$G440=""),"Missing: reason",IF(AND($G440&lt;&gt;"",COUNTIF(Config!$B$15:$B$34,$G440)=0),"Unsupported reason",IF(OR(INT($E440)&lt;&gt;$E440,AND(OR($C440="Receipt",$C440="Shipment"),$E440&lt;=0),AND($C440="Adjustment",$E440=0)),"Invalid qty",IF($B440&gt;Config!$B$4,"Date after the as-of date",IF($B440&lt;Config!$B$5,"Date before the opening balance date","OK")))))))))))))))))</f>
        <v/>
      </c>
    </row>
    <row r="441">
      <c r="A441" s="46" t="n"/>
      <c r="B441" s="54" t="n"/>
      <c r="C441" s="46" t="n"/>
      <c r="D441" s="46" t="n"/>
      <c r="E441" s="55" t="n"/>
      <c r="F441" s="46" t="n"/>
      <c r="G441" s="46" t="n"/>
      <c r="H441" s="46" t="n"/>
      <c r="I441" s="46" t="n"/>
      <c r="J441" s="46" t="n"/>
      <c r="K441" s="46" t="n"/>
      <c r="L441" s="46" t="n"/>
      <c r="M441" s="51" t="str">
        <f>IF(NOT(ISNUMBER($E441)),"",IF($C441="Receipt",$E441,IF($C441="Shipment",-$E441,IF($C441="Adjustment",$E441,0))))</f>
        <v/>
      </c>
      <c r="N441" s="49" t="str">
        <f>IF($D441="","",IFERROR(INDEX(Products!$B$2:$B$101,MATCH($D441,Products!$A$2:$A$101,0))&amp;"","(not found)"))</f>
        <v/>
      </c>
      <c r="O441" s="49" t="str">
        <f>IF($F441="","",IFERROR(INDEX(Batches!$B$2:$B$301,MATCH($F441,Batches!$A$2:$A$301,0))&amp;"","(not found)"))</f>
        <v/>
      </c>
      <c r="P441" s="49" t="str">
        <f>IF(COUNTA($A441:$L441)=0,"",IF($A441="","Missing: entry ID",IF(COUNTIF($A$2:$A$2001,$A441)&gt;1,"Duplicate entry ID",IF(NOT(ISNUMBER($B441)),"Missing or invalid: date",IF($C441="","Missing: type",IF($D441="","Missing: SKU",IF(NOT(ISNUMBER($E441)),"Missing: qty",IF($F441="","Missing: lot",IF($I441="","Missing: source link",IF(COUNTIF(Config!$A$15:$A$34,$C441)=0,"Unsupported type",IF(COUNTIF(Products!$A$2:$A$101,$D441)=0,"Unknown SKU",IF(COUNTIFS(Batches!$A$2:$A$301,$F441,Batches!$B$2:$B$301,$D441)=0,"Unknown lot for this SKU",IF(AND($C441="Adjustment",$G441=""),"Missing: reason",IF(AND($G441&lt;&gt;"",COUNTIF(Config!$B$15:$B$34,$G441)=0),"Unsupported reason",IF(OR(INT($E441)&lt;&gt;$E441,AND(OR($C441="Receipt",$C441="Shipment"),$E441&lt;=0),AND($C441="Adjustment",$E441=0)),"Invalid qty",IF($B441&gt;Config!$B$4,"Date after the as-of date",IF($B441&lt;Config!$B$5,"Date before the opening balance date","OK")))))))))))))))))</f>
        <v/>
      </c>
    </row>
    <row r="442">
      <c r="A442" s="46" t="n"/>
      <c r="B442" s="54" t="n"/>
      <c r="C442" s="46" t="n"/>
      <c r="D442" s="46" t="n"/>
      <c r="E442" s="55" t="n"/>
      <c r="F442" s="46" t="n"/>
      <c r="G442" s="46" t="n"/>
      <c r="H442" s="46" t="n"/>
      <c r="I442" s="46" t="n"/>
      <c r="J442" s="46" t="n"/>
      <c r="K442" s="46" t="n"/>
      <c r="L442" s="46" t="n"/>
      <c r="M442" s="51" t="str">
        <f>IF(NOT(ISNUMBER($E442)),"",IF($C442="Receipt",$E442,IF($C442="Shipment",-$E442,IF($C442="Adjustment",$E442,0))))</f>
        <v/>
      </c>
      <c r="N442" s="49" t="str">
        <f>IF($D442="","",IFERROR(INDEX(Products!$B$2:$B$101,MATCH($D442,Products!$A$2:$A$101,0))&amp;"","(not found)"))</f>
        <v/>
      </c>
      <c r="O442" s="49" t="str">
        <f>IF($F442="","",IFERROR(INDEX(Batches!$B$2:$B$301,MATCH($F442,Batches!$A$2:$A$301,0))&amp;"","(not found)"))</f>
        <v/>
      </c>
      <c r="P442" s="49" t="str">
        <f>IF(COUNTA($A442:$L442)=0,"",IF($A442="","Missing: entry ID",IF(COUNTIF($A$2:$A$2001,$A442)&gt;1,"Duplicate entry ID",IF(NOT(ISNUMBER($B442)),"Missing or invalid: date",IF($C442="","Missing: type",IF($D442="","Missing: SKU",IF(NOT(ISNUMBER($E442)),"Missing: qty",IF($F442="","Missing: lot",IF($I442="","Missing: source link",IF(COUNTIF(Config!$A$15:$A$34,$C442)=0,"Unsupported type",IF(COUNTIF(Products!$A$2:$A$101,$D442)=0,"Unknown SKU",IF(COUNTIFS(Batches!$A$2:$A$301,$F442,Batches!$B$2:$B$301,$D442)=0,"Unknown lot for this SKU",IF(AND($C442="Adjustment",$G442=""),"Missing: reason",IF(AND($G442&lt;&gt;"",COUNTIF(Config!$B$15:$B$34,$G442)=0),"Unsupported reason",IF(OR(INT($E442)&lt;&gt;$E442,AND(OR($C442="Receipt",$C442="Shipment"),$E442&lt;=0),AND($C442="Adjustment",$E442=0)),"Invalid qty",IF($B442&gt;Config!$B$4,"Date after the as-of date",IF($B442&lt;Config!$B$5,"Date before the opening balance date","OK")))))))))))))))))</f>
        <v/>
      </c>
    </row>
    <row r="443">
      <c r="A443" s="46" t="n"/>
      <c r="B443" s="54" t="n"/>
      <c r="C443" s="46" t="n"/>
      <c r="D443" s="46" t="n"/>
      <c r="E443" s="55" t="n"/>
      <c r="F443" s="46" t="n"/>
      <c r="G443" s="46" t="n"/>
      <c r="H443" s="46" t="n"/>
      <c r="I443" s="46" t="n"/>
      <c r="J443" s="46" t="n"/>
      <c r="K443" s="46" t="n"/>
      <c r="L443" s="46" t="n"/>
      <c r="M443" s="51" t="str">
        <f>IF(NOT(ISNUMBER($E443)),"",IF($C443="Receipt",$E443,IF($C443="Shipment",-$E443,IF($C443="Adjustment",$E443,0))))</f>
        <v/>
      </c>
      <c r="N443" s="49" t="str">
        <f>IF($D443="","",IFERROR(INDEX(Products!$B$2:$B$101,MATCH($D443,Products!$A$2:$A$101,0))&amp;"","(not found)"))</f>
        <v/>
      </c>
      <c r="O443" s="49" t="str">
        <f>IF($F443="","",IFERROR(INDEX(Batches!$B$2:$B$301,MATCH($F443,Batches!$A$2:$A$301,0))&amp;"","(not found)"))</f>
        <v/>
      </c>
      <c r="P443" s="49" t="str">
        <f>IF(COUNTA($A443:$L443)=0,"",IF($A443="","Missing: entry ID",IF(COUNTIF($A$2:$A$2001,$A443)&gt;1,"Duplicate entry ID",IF(NOT(ISNUMBER($B443)),"Missing or invalid: date",IF($C443="","Missing: type",IF($D443="","Missing: SKU",IF(NOT(ISNUMBER($E443)),"Missing: qty",IF($F443="","Missing: lot",IF($I443="","Missing: source link",IF(COUNTIF(Config!$A$15:$A$34,$C443)=0,"Unsupported type",IF(COUNTIF(Products!$A$2:$A$101,$D443)=0,"Unknown SKU",IF(COUNTIFS(Batches!$A$2:$A$301,$F443,Batches!$B$2:$B$301,$D443)=0,"Unknown lot for this SKU",IF(AND($C443="Adjustment",$G443=""),"Missing: reason",IF(AND($G443&lt;&gt;"",COUNTIF(Config!$B$15:$B$34,$G443)=0),"Unsupported reason",IF(OR(INT($E443)&lt;&gt;$E443,AND(OR($C443="Receipt",$C443="Shipment"),$E443&lt;=0),AND($C443="Adjustment",$E443=0)),"Invalid qty",IF($B443&gt;Config!$B$4,"Date after the as-of date",IF($B443&lt;Config!$B$5,"Date before the opening balance date","OK")))))))))))))))))</f>
        <v/>
      </c>
    </row>
    <row r="444">
      <c r="A444" s="46" t="n"/>
      <c r="B444" s="54" t="n"/>
      <c r="C444" s="46" t="n"/>
      <c r="D444" s="46" t="n"/>
      <c r="E444" s="55" t="n"/>
      <c r="F444" s="46" t="n"/>
      <c r="G444" s="46" t="n"/>
      <c r="H444" s="46" t="n"/>
      <c r="I444" s="46" t="n"/>
      <c r="J444" s="46" t="n"/>
      <c r="K444" s="46" t="n"/>
      <c r="L444" s="46" t="n"/>
      <c r="M444" s="51" t="str">
        <f>IF(NOT(ISNUMBER($E444)),"",IF($C444="Receipt",$E444,IF($C444="Shipment",-$E444,IF($C444="Adjustment",$E444,0))))</f>
        <v/>
      </c>
      <c r="N444" s="49" t="str">
        <f>IF($D444="","",IFERROR(INDEX(Products!$B$2:$B$101,MATCH($D444,Products!$A$2:$A$101,0))&amp;"","(not found)"))</f>
        <v/>
      </c>
      <c r="O444" s="49" t="str">
        <f>IF($F444="","",IFERROR(INDEX(Batches!$B$2:$B$301,MATCH($F444,Batches!$A$2:$A$301,0))&amp;"","(not found)"))</f>
        <v/>
      </c>
      <c r="P444" s="49" t="str">
        <f>IF(COUNTA($A444:$L444)=0,"",IF($A444="","Missing: entry ID",IF(COUNTIF($A$2:$A$2001,$A444)&gt;1,"Duplicate entry ID",IF(NOT(ISNUMBER($B444)),"Missing or invalid: date",IF($C444="","Missing: type",IF($D444="","Missing: SKU",IF(NOT(ISNUMBER($E444)),"Missing: qty",IF($F444="","Missing: lot",IF($I444="","Missing: source link",IF(COUNTIF(Config!$A$15:$A$34,$C444)=0,"Unsupported type",IF(COUNTIF(Products!$A$2:$A$101,$D444)=0,"Unknown SKU",IF(COUNTIFS(Batches!$A$2:$A$301,$F444,Batches!$B$2:$B$301,$D444)=0,"Unknown lot for this SKU",IF(AND($C444="Adjustment",$G444=""),"Missing: reason",IF(AND($G444&lt;&gt;"",COUNTIF(Config!$B$15:$B$34,$G444)=0),"Unsupported reason",IF(OR(INT($E444)&lt;&gt;$E444,AND(OR($C444="Receipt",$C444="Shipment"),$E444&lt;=0),AND($C444="Adjustment",$E444=0)),"Invalid qty",IF($B444&gt;Config!$B$4,"Date after the as-of date",IF($B444&lt;Config!$B$5,"Date before the opening balance date","OK")))))))))))))))))</f>
        <v/>
      </c>
    </row>
    <row r="445">
      <c r="A445" s="46" t="n"/>
      <c r="B445" s="54" t="n"/>
      <c r="C445" s="46" t="n"/>
      <c r="D445" s="46" t="n"/>
      <c r="E445" s="55" t="n"/>
      <c r="F445" s="46" t="n"/>
      <c r="G445" s="46" t="n"/>
      <c r="H445" s="46" t="n"/>
      <c r="I445" s="46" t="n"/>
      <c r="J445" s="46" t="n"/>
      <c r="K445" s="46" t="n"/>
      <c r="L445" s="46" t="n"/>
      <c r="M445" s="51" t="str">
        <f>IF(NOT(ISNUMBER($E445)),"",IF($C445="Receipt",$E445,IF($C445="Shipment",-$E445,IF($C445="Adjustment",$E445,0))))</f>
        <v/>
      </c>
      <c r="N445" s="49" t="str">
        <f>IF($D445="","",IFERROR(INDEX(Products!$B$2:$B$101,MATCH($D445,Products!$A$2:$A$101,0))&amp;"","(not found)"))</f>
        <v/>
      </c>
      <c r="O445" s="49" t="str">
        <f>IF($F445="","",IFERROR(INDEX(Batches!$B$2:$B$301,MATCH($F445,Batches!$A$2:$A$301,0))&amp;"","(not found)"))</f>
        <v/>
      </c>
      <c r="P445" s="49" t="str">
        <f>IF(COUNTA($A445:$L445)=0,"",IF($A445="","Missing: entry ID",IF(COUNTIF($A$2:$A$2001,$A445)&gt;1,"Duplicate entry ID",IF(NOT(ISNUMBER($B445)),"Missing or invalid: date",IF($C445="","Missing: type",IF($D445="","Missing: SKU",IF(NOT(ISNUMBER($E445)),"Missing: qty",IF($F445="","Missing: lot",IF($I445="","Missing: source link",IF(COUNTIF(Config!$A$15:$A$34,$C445)=0,"Unsupported type",IF(COUNTIF(Products!$A$2:$A$101,$D445)=0,"Unknown SKU",IF(COUNTIFS(Batches!$A$2:$A$301,$F445,Batches!$B$2:$B$301,$D445)=0,"Unknown lot for this SKU",IF(AND($C445="Adjustment",$G445=""),"Missing: reason",IF(AND($G445&lt;&gt;"",COUNTIF(Config!$B$15:$B$34,$G445)=0),"Unsupported reason",IF(OR(INT($E445)&lt;&gt;$E445,AND(OR($C445="Receipt",$C445="Shipment"),$E445&lt;=0),AND($C445="Adjustment",$E445=0)),"Invalid qty",IF($B445&gt;Config!$B$4,"Date after the as-of date",IF($B445&lt;Config!$B$5,"Date before the opening balance date","OK")))))))))))))))))</f>
        <v/>
      </c>
    </row>
    <row r="446">
      <c r="A446" s="46" t="n"/>
      <c r="B446" s="54" t="n"/>
      <c r="C446" s="46" t="n"/>
      <c r="D446" s="46" t="n"/>
      <c r="E446" s="55" t="n"/>
      <c r="F446" s="46" t="n"/>
      <c r="G446" s="46" t="n"/>
      <c r="H446" s="46" t="n"/>
      <c r="I446" s="46" t="n"/>
      <c r="J446" s="46" t="n"/>
      <c r="K446" s="46" t="n"/>
      <c r="L446" s="46" t="n"/>
      <c r="M446" s="51" t="str">
        <f>IF(NOT(ISNUMBER($E446)),"",IF($C446="Receipt",$E446,IF($C446="Shipment",-$E446,IF($C446="Adjustment",$E446,0))))</f>
        <v/>
      </c>
      <c r="N446" s="49" t="str">
        <f>IF($D446="","",IFERROR(INDEX(Products!$B$2:$B$101,MATCH($D446,Products!$A$2:$A$101,0))&amp;"","(not found)"))</f>
        <v/>
      </c>
      <c r="O446" s="49" t="str">
        <f>IF($F446="","",IFERROR(INDEX(Batches!$B$2:$B$301,MATCH($F446,Batches!$A$2:$A$301,0))&amp;"","(not found)"))</f>
        <v/>
      </c>
      <c r="P446" s="49" t="str">
        <f>IF(COUNTA($A446:$L446)=0,"",IF($A446="","Missing: entry ID",IF(COUNTIF($A$2:$A$2001,$A446)&gt;1,"Duplicate entry ID",IF(NOT(ISNUMBER($B446)),"Missing or invalid: date",IF($C446="","Missing: type",IF($D446="","Missing: SKU",IF(NOT(ISNUMBER($E446)),"Missing: qty",IF($F446="","Missing: lot",IF($I446="","Missing: source link",IF(COUNTIF(Config!$A$15:$A$34,$C446)=0,"Unsupported type",IF(COUNTIF(Products!$A$2:$A$101,$D446)=0,"Unknown SKU",IF(COUNTIFS(Batches!$A$2:$A$301,$F446,Batches!$B$2:$B$301,$D446)=0,"Unknown lot for this SKU",IF(AND($C446="Adjustment",$G446=""),"Missing: reason",IF(AND($G446&lt;&gt;"",COUNTIF(Config!$B$15:$B$34,$G446)=0),"Unsupported reason",IF(OR(INT($E446)&lt;&gt;$E446,AND(OR($C446="Receipt",$C446="Shipment"),$E446&lt;=0),AND($C446="Adjustment",$E446=0)),"Invalid qty",IF($B446&gt;Config!$B$4,"Date after the as-of date",IF($B446&lt;Config!$B$5,"Date before the opening balance date","OK")))))))))))))))))</f>
        <v/>
      </c>
    </row>
    <row r="447">
      <c r="A447" s="46" t="n"/>
      <c r="B447" s="54" t="n"/>
      <c r="C447" s="46" t="n"/>
      <c r="D447" s="46" t="n"/>
      <c r="E447" s="55" t="n"/>
      <c r="F447" s="46" t="n"/>
      <c r="G447" s="46" t="n"/>
      <c r="H447" s="46" t="n"/>
      <c r="I447" s="46" t="n"/>
      <c r="J447" s="46" t="n"/>
      <c r="K447" s="46" t="n"/>
      <c r="L447" s="46" t="n"/>
      <c r="M447" s="51" t="str">
        <f>IF(NOT(ISNUMBER($E447)),"",IF($C447="Receipt",$E447,IF($C447="Shipment",-$E447,IF($C447="Adjustment",$E447,0))))</f>
        <v/>
      </c>
      <c r="N447" s="49" t="str">
        <f>IF($D447="","",IFERROR(INDEX(Products!$B$2:$B$101,MATCH($D447,Products!$A$2:$A$101,0))&amp;"","(not found)"))</f>
        <v/>
      </c>
      <c r="O447" s="49" t="str">
        <f>IF($F447="","",IFERROR(INDEX(Batches!$B$2:$B$301,MATCH($F447,Batches!$A$2:$A$301,0))&amp;"","(not found)"))</f>
        <v/>
      </c>
      <c r="P447" s="49" t="str">
        <f>IF(COUNTA($A447:$L447)=0,"",IF($A447="","Missing: entry ID",IF(COUNTIF($A$2:$A$2001,$A447)&gt;1,"Duplicate entry ID",IF(NOT(ISNUMBER($B447)),"Missing or invalid: date",IF($C447="","Missing: type",IF($D447="","Missing: SKU",IF(NOT(ISNUMBER($E447)),"Missing: qty",IF($F447="","Missing: lot",IF($I447="","Missing: source link",IF(COUNTIF(Config!$A$15:$A$34,$C447)=0,"Unsupported type",IF(COUNTIF(Products!$A$2:$A$101,$D447)=0,"Unknown SKU",IF(COUNTIFS(Batches!$A$2:$A$301,$F447,Batches!$B$2:$B$301,$D447)=0,"Unknown lot for this SKU",IF(AND($C447="Adjustment",$G447=""),"Missing: reason",IF(AND($G447&lt;&gt;"",COUNTIF(Config!$B$15:$B$34,$G447)=0),"Unsupported reason",IF(OR(INT($E447)&lt;&gt;$E447,AND(OR($C447="Receipt",$C447="Shipment"),$E447&lt;=0),AND($C447="Adjustment",$E447=0)),"Invalid qty",IF($B447&gt;Config!$B$4,"Date after the as-of date",IF($B447&lt;Config!$B$5,"Date before the opening balance date","OK")))))))))))))))))</f>
        <v/>
      </c>
    </row>
    <row r="448">
      <c r="A448" s="46" t="n"/>
      <c r="B448" s="54" t="n"/>
      <c r="C448" s="46" t="n"/>
      <c r="D448" s="46" t="n"/>
      <c r="E448" s="55" t="n"/>
      <c r="F448" s="46" t="n"/>
      <c r="G448" s="46" t="n"/>
      <c r="H448" s="46" t="n"/>
      <c r="I448" s="46" t="n"/>
      <c r="J448" s="46" t="n"/>
      <c r="K448" s="46" t="n"/>
      <c r="L448" s="46" t="n"/>
      <c r="M448" s="51" t="str">
        <f>IF(NOT(ISNUMBER($E448)),"",IF($C448="Receipt",$E448,IF($C448="Shipment",-$E448,IF($C448="Adjustment",$E448,0))))</f>
        <v/>
      </c>
      <c r="N448" s="49" t="str">
        <f>IF($D448="","",IFERROR(INDEX(Products!$B$2:$B$101,MATCH($D448,Products!$A$2:$A$101,0))&amp;"","(not found)"))</f>
        <v/>
      </c>
      <c r="O448" s="49" t="str">
        <f>IF($F448="","",IFERROR(INDEX(Batches!$B$2:$B$301,MATCH($F448,Batches!$A$2:$A$301,0))&amp;"","(not found)"))</f>
        <v/>
      </c>
      <c r="P448" s="49" t="str">
        <f>IF(COUNTA($A448:$L448)=0,"",IF($A448="","Missing: entry ID",IF(COUNTIF($A$2:$A$2001,$A448)&gt;1,"Duplicate entry ID",IF(NOT(ISNUMBER($B448)),"Missing or invalid: date",IF($C448="","Missing: type",IF($D448="","Missing: SKU",IF(NOT(ISNUMBER($E448)),"Missing: qty",IF($F448="","Missing: lot",IF($I448="","Missing: source link",IF(COUNTIF(Config!$A$15:$A$34,$C448)=0,"Unsupported type",IF(COUNTIF(Products!$A$2:$A$101,$D448)=0,"Unknown SKU",IF(COUNTIFS(Batches!$A$2:$A$301,$F448,Batches!$B$2:$B$301,$D448)=0,"Unknown lot for this SKU",IF(AND($C448="Adjustment",$G448=""),"Missing: reason",IF(AND($G448&lt;&gt;"",COUNTIF(Config!$B$15:$B$34,$G448)=0),"Unsupported reason",IF(OR(INT($E448)&lt;&gt;$E448,AND(OR($C448="Receipt",$C448="Shipment"),$E448&lt;=0),AND($C448="Adjustment",$E448=0)),"Invalid qty",IF($B448&gt;Config!$B$4,"Date after the as-of date",IF($B448&lt;Config!$B$5,"Date before the opening balance date","OK")))))))))))))))))</f>
        <v/>
      </c>
    </row>
    <row r="449">
      <c r="A449" s="46" t="n"/>
      <c r="B449" s="54" t="n"/>
      <c r="C449" s="46" t="n"/>
      <c r="D449" s="46" t="n"/>
      <c r="E449" s="55" t="n"/>
      <c r="F449" s="46" t="n"/>
      <c r="G449" s="46" t="n"/>
      <c r="H449" s="46" t="n"/>
      <c r="I449" s="46" t="n"/>
      <c r="J449" s="46" t="n"/>
      <c r="K449" s="46" t="n"/>
      <c r="L449" s="46" t="n"/>
      <c r="M449" s="51" t="str">
        <f>IF(NOT(ISNUMBER($E449)),"",IF($C449="Receipt",$E449,IF($C449="Shipment",-$E449,IF($C449="Adjustment",$E449,0))))</f>
        <v/>
      </c>
      <c r="N449" s="49" t="str">
        <f>IF($D449="","",IFERROR(INDEX(Products!$B$2:$B$101,MATCH($D449,Products!$A$2:$A$101,0))&amp;"","(not found)"))</f>
        <v/>
      </c>
      <c r="O449" s="49" t="str">
        <f>IF($F449="","",IFERROR(INDEX(Batches!$B$2:$B$301,MATCH($F449,Batches!$A$2:$A$301,0))&amp;"","(not found)"))</f>
        <v/>
      </c>
      <c r="P449" s="49" t="str">
        <f>IF(COUNTA($A449:$L449)=0,"",IF($A449="","Missing: entry ID",IF(COUNTIF($A$2:$A$2001,$A449)&gt;1,"Duplicate entry ID",IF(NOT(ISNUMBER($B449)),"Missing or invalid: date",IF($C449="","Missing: type",IF($D449="","Missing: SKU",IF(NOT(ISNUMBER($E449)),"Missing: qty",IF($F449="","Missing: lot",IF($I449="","Missing: source link",IF(COUNTIF(Config!$A$15:$A$34,$C449)=0,"Unsupported type",IF(COUNTIF(Products!$A$2:$A$101,$D449)=0,"Unknown SKU",IF(COUNTIFS(Batches!$A$2:$A$301,$F449,Batches!$B$2:$B$301,$D449)=0,"Unknown lot for this SKU",IF(AND($C449="Adjustment",$G449=""),"Missing: reason",IF(AND($G449&lt;&gt;"",COUNTIF(Config!$B$15:$B$34,$G449)=0),"Unsupported reason",IF(OR(INT($E449)&lt;&gt;$E449,AND(OR($C449="Receipt",$C449="Shipment"),$E449&lt;=0),AND($C449="Adjustment",$E449=0)),"Invalid qty",IF($B449&gt;Config!$B$4,"Date after the as-of date",IF($B449&lt;Config!$B$5,"Date before the opening balance date","OK")))))))))))))))))</f>
        <v/>
      </c>
    </row>
    <row r="450">
      <c r="A450" s="46" t="n"/>
      <c r="B450" s="54" t="n"/>
      <c r="C450" s="46" t="n"/>
      <c r="D450" s="46" t="n"/>
      <c r="E450" s="55" t="n"/>
      <c r="F450" s="46" t="n"/>
      <c r="G450" s="46" t="n"/>
      <c r="H450" s="46" t="n"/>
      <c r="I450" s="46" t="n"/>
      <c r="J450" s="46" t="n"/>
      <c r="K450" s="46" t="n"/>
      <c r="L450" s="46" t="n"/>
      <c r="M450" s="51" t="str">
        <f>IF(NOT(ISNUMBER($E450)),"",IF($C450="Receipt",$E450,IF($C450="Shipment",-$E450,IF($C450="Adjustment",$E450,0))))</f>
        <v/>
      </c>
      <c r="N450" s="49" t="str">
        <f>IF($D450="","",IFERROR(INDEX(Products!$B$2:$B$101,MATCH($D450,Products!$A$2:$A$101,0))&amp;"","(not found)"))</f>
        <v/>
      </c>
      <c r="O450" s="49" t="str">
        <f>IF($F450="","",IFERROR(INDEX(Batches!$B$2:$B$301,MATCH($F450,Batches!$A$2:$A$301,0))&amp;"","(not found)"))</f>
        <v/>
      </c>
      <c r="P450" s="49" t="str">
        <f>IF(COUNTA($A450:$L450)=0,"",IF($A450="","Missing: entry ID",IF(COUNTIF($A$2:$A$2001,$A450)&gt;1,"Duplicate entry ID",IF(NOT(ISNUMBER($B450)),"Missing or invalid: date",IF($C450="","Missing: type",IF($D450="","Missing: SKU",IF(NOT(ISNUMBER($E450)),"Missing: qty",IF($F450="","Missing: lot",IF($I450="","Missing: source link",IF(COUNTIF(Config!$A$15:$A$34,$C450)=0,"Unsupported type",IF(COUNTIF(Products!$A$2:$A$101,$D450)=0,"Unknown SKU",IF(COUNTIFS(Batches!$A$2:$A$301,$F450,Batches!$B$2:$B$301,$D450)=0,"Unknown lot for this SKU",IF(AND($C450="Adjustment",$G450=""),"Missing: reason",IF(AND($G450&lt;&gt;"",COUNTIF(Config!$B$15:$B$34,$G450)=0),"Unsupported reason",IF(OR(INT($E450)&lt;&gt;$E450,AND(OR($C450="Receipt",$C450="Shipment"),$E450&lt;=0),AND($C450="Adjustment",$E450=0)),"Invalid qty",IF($B450&gt;Config!$B$4,"Date after the as-of date",IF($B450&lt;Config!$B$5,"Date before the opening balance date","OK")))))))))))))))))</f>
        <v/>
      </c>
    </row>
    <row r="451">
      <c r="A451" s="46" t="n"/>
      <c r="B451" s="54" t="n"/>
      <c r="C451" s="46" t="n"/>
      <c r="D451" s="46" t="n"/>
      <c r="E451" s="55" t="n"/>
      <c r="F451" s="46" t="n"/>
      <c r="G451" s="46" t="n"/>
      <c r="H451" s="46" t="n"/>
      <c r="I451" s="46" t="n"/>
      <c r="J451" s="46" t="n"/>
      <c r="K451" s="46" t="n"/>
      <c r="L451" s="46" t="n"/>
      <c r="M451" s="51" t="str">
        <f>IF(NOT(ISNUMBER($E451)),"",IF($C451="Receipt",$E451,IF($C451="Shipment",-$E451,IF($C451="Adjustment",$E451,0))))</f>
        <v/>
      </c>
      <c r="N451" s="49" t="str">
        <f>IF($D451="","",IFERROR(INDEX(Products!$B$2:$B$101,MATCH($D451,Products!$A$2:$A$101,0))&amp;"","(not found)"))</f>
        <v/>
      </c>
      <c r="O451" s="49" t="str">
        <f>IF($F451="","",IFERROR(INDEX(Batches!$B$2:$B$301,MATCH($F451,Batches!$A$2:$A$301,0))&amp;"","(not found)"))</f>
        <v/>
      </c>
      <c r="P451" s="49" t="str">
        <f>IF(COUNTA($A451:$L451)=0,"",IF($A451="","Missing: entry ID",IF(COUNTIF($A$2:$A$2001,$A451)&gt;1,"Duplicate entry ID",IF(NOT(ISNUMBER($B451)),"Missing or invalid: date",IF($C451="","Missing: type",IF($D451="","Missing: SKU",IF(NOT(ISNUMBER($E451)),"Missing: qty",IF($F451="","Missing: lot",IF($I451="","Missing: source link",IF(COUNTIF(Config!$A$15:$A$34,$C451)=0,"Unsupported type",IF(COUNTIF(Products!$A$2:$A$101,$D451)=0,"Unknown SKU",IF(COUNTIFS(Batches!$A$2:$A$301,$F451,Batches!$B$2:$B$301,$D451)=0,"Unknown lot for this SKU",IF(AND($C451="Adjustment",$G451=""),"Missing: reason",IF(AND($G451&lt;&gt;"",COUNTIF(Config!$B$15:$B$34,$G451)=0),"Unsupported reason",IF(OR(INT($E451)&lt;&gt;$E451,AND(OR($C451="Receipt",$C451="Shipment"),$E451&lt;=0),AND($C451="Adjustment",$E451=0)),"Invalid qty",IF($B451&gt;Config!$B$4,"Date after the as-of date",IF($B451&lt;Config!$B$5,"Date before the opening balance date","OK")))))))))))))))))</f>
        <v/>
      </c>
    </row>
    <row r="452">
      <c r="A452" s="46" t="n"/>
      <c r="B452" s="54" t="n"/>
      <c r="C452" s="46" t="n"/>
      <c r="D452" s="46" t="n"/>
      <c r="E452" s="55" t="n"/>
      <c r="F452" s="46" t="n"/>
      <c r="G452" s="46" t="n"/>
      <c r="H452" s="46" t="n"/>
      <c r="I452" s="46" t="n"/>
      <c r="J452" s="46" t="n"/>
      <c r="K452" s="46" t="n"/>
      <c r="L452" s="46" t="n"/>
      <c r="M452" s="51" t="str">
        <f>IF(NOT(ISNUMBER($E452)),"",IF($C452="Receipt",$E452,IF($C452="Shipment",-$E452,IF($C452="Adjustment",$E452,0))))</f>
        <v/>
      </c>
      <c r="N452" s="49" t="str">
        <f>IF($D452="","",IFERROR(INDEX(Products!$B$2:$B$101,MATCH($D452,Products!$A$2:$A$101,0))&amp;"","(not found)"))</f>
        <v/>
      </c>
      <c r="O452" s="49" t="str">
        <f>IF($F452="","",IFERROR(INDEX(Batches!$B$2:$B$301,MATCH($F452,Batches!$A$2:$A$301,0))&amp;"","(not found)"))</f>
        <v/>
      </c>
      <c r="P452" s="49" t="str">
        <f>IF(COUNTA($A452:$L452)=0,"",IF($A452="","Missing: entry ID",IF(COUNTIF($A$2:$A$2001,$A452)&gt;1,"Duplicate entry ID",IF(NOT(ISNUMBER($B452)),"Missing or invalid: date",IF($C452="","Missing: type",IF($D452="","Missing: SKU",IF(NOT(ISNUMBER($E452)),"Missing: qty",IF($F452="","Missing: lot",IF($I452="","Missing: source link",IF(COUNTIF(Config!$A$15:$A$34,$C452)=0,"Unsupported type",IF(COUNTIF(Products!$A$2:$A$101,$D452)=0,"Unknown SKU",IF(COUNTIFS(Batches!$A$2:$A$301,$F452,Batches!$B$2:$B$301,$D452)=0,"Unknown lot for this SKU",IF(AND($C452="Adjustment",$G452=""),"Missing: reason",IF(AND($G452&lt;&gt;"",COUNTIF(Config!$B$15:$B$34,$G452)=0),"Unsupported reason",IF(OR(INT($E452)&lt;&gt;$E452,AND(OR($C452="Receipt",$C452="Shipment"),$E452&lt;=0),AND($C452="Adjustment",$E452=0)),"Invalid qty",IF($B452&gt;Config!$B$4,"Date after the as-of date",IF($B452&lt;Config!$B$5,"Date before the opening balance date","OK")))))))))))))))))</f>
        <v/>
      </c>
    </row>
    <row r="453">
      <c r="A453" s="46" t="n"/>
      <c r="B453" s="54" t="n"/>
      <c r="C453" s="46" t="n"/>
      <c r="D453" s="46" t="n"/>
      <c r="E453" s="55" t="n"/>
      <c r="F453" s="46" t="n"/>
      <c r="G453" s="46" t="n"/>
      <c r="H453" s="46" t="n"/>
      <c r="I453" s="46" t="n"/>
      <c r="J453" s="46" t="n"/>
      <c r="K453" s="46" t="n"/>
      <c r="L453" s="46" t="n"/>
      <c r="M453" s="51" t="str">
        <f>IF(NOT(ISNUMBER($E453)),"",IF($C453="Receipt",$E453,IF($C453="Shipment",-$E453,IF($C453="Adjustment",$E453,0))))</f>
        <v/>
      </c>
      <c r="N453" s="49" t="str">
        <f>IF($D453="","",IFERROR(INDEX(Products!$B$2:$B$101,MATCH($D453,Products!$A$2:$A$101,0))&amp;"","(not found)"))</f>
        <v/>
      </c>
      <c r="O453" s="49" t="str">
        <f>IF($F453="","",IFERROR(INDEX(Batches!$B$2:$B$301,MATCH($F453,Batches!$A$2:$A$301,0))&amp;"","(not found)"))</f>
        <v/>
      </c>
      <c r="P453" s="49" t="str">
        <f>IF(COUNTA($A453:$L453)=0,"",IF($A453="","Missing: entry ID",IF(COUNTIF($A$2:$A$2001,$A453)&gt;1,"Duplicate entry ID",IF(NOT(ISNUMBER($B453)),"Missing or invalid: date",IF($C453="","Missing: type",IF($D453="","Missing: SKU",IF(NOT(ISNUMBER($E453)),"Missing: qty",IF($F453="","Missing: lot",IF($I453="","Missing: source link",IF(COUNTIF(Config!$A$15:$A$34,$C453)=0,"Unsupported type",IF(COUNTIF(Products!$A$2:$A$101,$D453)=0,"Unknown SKU",IF(COUNTIFS(Batches!$A$2:$A$301,$F453,Batches!$B$2:$B$301,$D453)=0,"Unknown lot for this SKU",IF(AND($C453="Adjustment",$G453=""),"Missing: reason",IF(AND($G453&lt;&gt;"",COUNTIF(Config!$B$15:$B$34,$G453)=0),"Unsupported reason",IF(OR(INT($E453)&lt;&gt;$E453,AND(OR($C453="Receipt",$C453="Shipment"),$E453&lt;=0),AND($C453="Adjustment",$E453=0)),"Invalid qty",IF($B453&gt;Config!$B$4,"Date after the as-of date",IF($B453&lt;Config!$B$5,"Date before the opening balance date","OK")))))))))))))))))</f>
        <v/>
      </c>
    </row>
    <row r="454">
      <c r="A454" s="46" t="n"/>
      <c r="B454" s="54" t="n"/>
      <c r="C454" s="46" t="n"/>
      <c r="D454" s="46" t="n"/>
      <c r="E454" s="55" t="n"/>
      <c r="F454" s="46" t="n"/>
      <c r="G454" s="46" t="n"/>
      <c r="H454" s="46" t="n"/>
      <c r="I454" s="46" t="n"/>
      <c r="J454" s="46" t="n"/>
      <c r="K454" s="46" t="n"/>
      <c r="L454" s="46" t="n"/>
      <c r="M454" s="51" t="str">
        <f>IF(NOT(ISNUMBER($E454)),"",IF($C454="Receipt",$E454,IF($C454="Shipment",-$E454,IF($C454="Adjustment",$E454,0))))</f>
        <v/>
      </c>
      <c r="N454" s="49" t="str">
        <f>IF($D454="","",IFERROR(INDEX(Products!$B$2:$B$101,MATCH($D454,Products!$A$2:$A$101,0))&amp;"","(not found)"))</f>
        <v/>
      </c>
      <c r="O454" s="49" t="str">
        <f>IF($F454="","",IFERROR(INDEX(Batches!$B$2:$B$301,MATCH($F454,Batches!$A$2:$A$301,0))&amp;"","(not found)"))</f>
        <v/>
      </c>
      <c r="P454" s="49" t="str">
        <f>IF(COUNTA($A454:$L454)=0,"",IF($A454="","Missing: entry ID",IF(COUNTIF($A$2:$A$2001,$A454)&gt;1,"Duplicate entry ID",IF(NOT(ISNUMBER($B454)),"Missing or invalid: date",IF($C454="","Missing: type",IF($D454="","Missing: SKU",IF(NOT(ISNUMBER($E454)),"Missing: qty",IF($F454="","Missing: lot",IF($I454="","Missing: source link",IF(COUNTIF(Config!$A$15:$A$34,$C454)=0,"Unsupported type",IF(COUNTIF(Products!$A$2:$A$101,$D454)=0,"Unknown SKU",IF(COUNTIFS(Batches!$A$2:$A$301,$F454,Batches!$B$2:$B$301,$D454)=0,"Unknown lot for this SKU",IF(AND($C454="Adjustment",$G454=""),"Missing: reason",IF(AND($G454&lt;&gt;"",COUNTIF(Config!$B$15:$B$34,$G454)=0),"Unsupported reason",IF(OR(INT($E454)&lt;&gt;$E454,AND(OR($C454="Receipt",$C454="Shipment"),$E454&lt;=0),AND($C454="Adjustment",$E454=0)),"Invalid qty",IF($B454&gt;Config!$B$4,"Date after the as-of date",IF($B454&lt;Config!$B$5,"Date before the opening balance date","OK")))))))))))))))))</f>
        <v/>
      </c>
    </row>
    <row r="455">
      <c r="A455" s="46" t="n"/>
      <c r="B455" s="54" t="n"/>
      <c r="C455" s="46" t="n"/>
      <c r="D455" s="46" t="n"/>
      <c r="E455" s="55" t="n"/>
      <c r="F455" s="46" t="n"/>
      <c r="G455" s="46" t="n"/>
      <c r="H455" s="46" t="n"/>
      <c r="I455" s="46" t="n"/>
      <c r="J455" s="46" t="n"/>
      <c r="K455" s="46" t="n"/>
      <c r="L455" s="46" t="n"/>
      <c r="M455" s="51" t="str">
        <f>IF(NOT(ISNUMBER($E455)),"",IF($C455="Receipt",$E455,IF($C455="Shipment",-$E455,IF($C455="Adjustment",$E455,0))))</f>
        <v/>
      </c>
      <c r="N455" s="49" t="str">
        <f>IF($D455="","",IFERROR(INDEX(Products!$B$2:$B$101,MATCH($D455,Products!$A$2:$A$101,0))&amp;"","(not found)"))</f>
        <v/>
      </c>
      <c r="O455" s="49" t="str">
        <f>IF($F455="","",IFERROR(INDEX(Batches!$B$2:$B$301,MATCH($F455,Batches!$A$2:$A$301,0))&amp;"","(not found)"))</f>
        <v/>
      </c>
      <c r="P455" s="49" t="str">
        <f>IF(COUNTA($A455:$L455)=0,"",IF($A455="","Missing: entry ID",IF(COUNTIF($A$2:$A$2001,$A455)&gt;1,"Duplicate entry ID",IF(NOT(ISNUMBER($B455)),"Missing or invalid: date",IF($C455="","Missing: type",IF($D455="","Missing: SKU",IF(NOT(ISNUMBER($E455)),"Missing: qty",IF($F455="","Missing: lot",IF($I455="","Missing: source link",IF(COUNTIF(Config!$A$15:$A$34,$C455)=0,"Unsupported type",IF(COUNTIF(Products!$A$2:$A$101,$D455)=0,"Unknown SKU",IF(COUNTIFS(Batches!$A$2:$A$301,$F455,Batches!$B$2:$B$301,$D455)=0,"Unknown lot for this SKU",IF(AND($C455="Adjustment",$G455=""),"Missing: reason",IF(AND($G455&lt;&gt;"",COUNTIF(Config!$B$15:$B$34,$G455)=0),"Unsupported reason",IF(OR(INT($E455)&lt;&gt;$E455,AND(OR($C455="Receipt",$C455="Shipment"),$E455&lt;=0),AND($C455="Adjustment",$E455=0)),"Invalid qty",IF($B455&gt;Config!$B$4,"Date after the as-of date",IF($B455&lt;Config!$B$5,"Date before the opening balance date","OK")))))))))))))))))</f>
        <v/>
      </c>
    </row>
    <row r="456">
      <c r="A456" s="46" t="n"/>
      <c r="B456" s="54" t="n"/>
      <c r="C456" s="46" t="n"/>
      <c r="D456" s="46" t="n"/>
      <c r="E456" s="55" t="n"/>
      <c r="F456" s="46" t="n"/>
      <c r="G456" s="46" t="n"/>
      <c r="H456" s="46" t="n"/>
      <c r="I456" s="46" t="n"/>
      <c r="J456" s="46" t="n"/>
      <c r="K456" s="46" t="n"/>
      <c r="L456" s="46" t="n"/>
      <c r="M456" s="51" t="str">
        <f>IF(NOT(ISNUMBER($E456)),"",IF($C456="Receipt",$E456,IF($C456="Shipment",-$E456,IF($C456="Adjustment",$E456,0))))</f>
        <v/>
      </c>
      <c r="N456" s="49" t="str">
        <f>IF($D456="","",IFERROR(INDEX(Products!$B$2:$B$101,MATCH($D456,Products!$A$2:$A$101,0))&amp;"","(not found)"))</f>
        <v/>
      </c>
      <c r="O456" s="49" t="str">
        <f>IF($F456="","",IFERROR(INDEX(Batches!$B$2:$B$301,MATCH($F456,Batches!$A$2:$A$301,0))&amp;"","(not found)"))</f>
        <v/>
      </c>
      <c r="P456" s="49" t="str">
        <f>IF(COUNTA($A456:$L456)=0,"",IF($A456="","Missing: entry ID",IF(COUNTIF($A$2:$A$2001,$A456)&gt;1,"Duplicate entry ID",IF(NOT(ISNUMBER($B456)),"Missing or invalid: date",IF($C456="","Missing: type",IF($D456="","Missing: SKU",IF(NOT(ISNUMBER($E456)),"Missing: qty",IF($F456="","Missing: lot",IF($I456="","Missing: source link",IF(COUNTIF(Config!$A$15:$A$34,$C456)=0,"Unsupported type",IF(COUNTIF(Products!$A$2:$A$101,$D456)=0,"Unknown SKU",IF(COUNTIFS(Batches!$A$2:$A$301,$F456,Batches!$B$2:$B$301,$D456)=0,"Unknown lot for this SKU",IF(AND($C456="Adjustment",$G456=""),"Missing: reason",IF(AND($G456&lt;&gt;"",COUNTIF(Config!$B$15:$B$34,$G456)=0),"Unsupported reason",IF(OR(INT($E456)&lt;&gt;$E456,AND(OR($C456="Receipt",$C456="Shipment"),$E456&lt;=0),AND($C456="Adjustment",$E456=0)),"Invalid qty",IF($B456&gt;Config!$B$4,"Date after the as-of date",IF($B456&lt;Config!$B$5,"Date before the opening balance date","OK")))))))))))))))))</f>
        <v/>
      </c>
    </row>
    <row r="457">
      <c r="A457" s="46" t="n"/>
      <c r="B457" s="54" t="n"/>
      <c r="C457" s="46" t="n"/>
      <c r="D457" s="46" t="n"/>
      <c r="E457" s="55" t="n"/>
      <c r="F457" s="46" t="n"/>
      <c r="G457" s="46" t="n"/>
      <c r="H457" s="46" t="n"/>
      <c r="I457" s="46" t="n"/>
      <c r="J457" s="46" t="n"/>
      <c r="K457" s="46" t="n"/>
      <c r="L457" s="46" t="n"/>
      <c r="M457" s="51" t="str">
        <f>IF(NOT(ISNUMBER($E457)),"",IF($C457="Receipt",$E457,IF($C457="Shipment",-$E457,IF($C457="Adjustment",$E457,0))))</f>
        <v/>
      </c>
      <c r="N457" s="49" t="str">
        <f>IF($D457="","",IFERROR(INDEX(Products!$B$2:$B$101,MATCH($D457,Products!$A$2:$A$101,0))&amp;"","(not found)"))</f>
        <v/>
      </c>
      <c r="O457" s="49" t="str">
        <f>IF($F457="","",IFERROR(INDEX(Batches!$B$2:$B$301,MATCH($F457,Batches!$A$2:$A$301,0))&amp;"","(not found)"))</f>
        <v/>
      </c>
      <c r="P457" s="49" t="str">
        <f>IF(COUNTA($A457:$L457)=0,"",IF($A457="","Missing: entry ID",IF(COUNTIF($A$2:$A$2001,$A457)&gt;1,"Duplicate entry ID",IF(NOT(ISNUMBER($B457)),"Missing or invalid: date",IF($C457="","Missing: type",IF($D457="","Missing: SKU",IF(NOT(ISNUMBER($E457)),"Missing: qty",IF($F457="","Missing: lot",IF($I457="","Missing: source link",IF(COUNTIF(Config!$A$15:$A$34,$C457)=0,"Unsupported type",IF(COUNTIF(Products!$A$2:$A$101,$D457)=0,"Unknown SKU",IF(COUNTIFS(Batches!$A$2:$A$301,$F457,Batches!$B$2:$B$301,$D457)=0,"Unknown lot for this SKU",IF(AND($C457="Adjustment",$G457=""),"Missing: reason",IF(AND($G457&lt;&gt;"",COUNTIF(Config!$B$15:$B$34,$G457)=0),"Unsupported reason",IF(OR(INT($E457)&lt;&gt;$E457,AND(OR($C457="Receipt",$C457="Shipment"),$E457&lt;=0),AND($C457="Adjustment",$E457=0)),"Invalid qty",IF($B457&gt;Config!$B$4,"Date after the as-of date",IF($B457&lt;Config!$B$5,"Date before the opening balance date","OK")))))))))))))))))</f>
        <v/>
      </c>
    </row>
    <row r="458">
      <c r="A458" s="46" t="n"/>
      <c r="B458" s="54" t="n"/>
      <c r="C458" s="46" t="n"/>
      <c r="D458" s="46" t="n"/>
      <c r="E458" s="55" t="n"/>
      <c r="F458" s="46" t="n"/>
      <c r="G458" s="46" t="n"/>
      <c r="H458" s="46" t="n"/>
      <c r="I458" s="46" t="n"/>
      <c r="J458" s="46" t="n"/>
      <c r="K458" s="46" t="n"/>
      <c r="L458" s="46" t="n"/>
      <c r="M458" s="51" t="str">
        <f>IF(NOT(ISNUMBER($E458)),"",IF($C458="Receipt",$E458,IF($C458="Shipment",-$E458,IF($C458="Adjustment",$E458,0))))</f>
        <v/>
      </c>
      <c r="N458" s="49" t="str">
        <f>IF($D458="","",IFERROR(INDEX(Products!$B$2:$B$101,MATCH($D458,Products!$A$2:$A$101,0))&amp;"","(not found)"))</f>
        <v/>
      </c>
      <c r="O458" s="49" t="str">
        <f>IF($F458="","",IFERROR(INDEX(Batches!$B$2:$B$301,MATCH($F458,Batches!$A$2:$A$301,0))&amp;"","(not found)"))</f>
        <v/>
      </c>
      <c r="P458" s="49" t="str">
        <f>IF(COUNTA($A458:$L458)=0,"",IF($A458="","Missing: entry ID",IF(COUNTIF($A$2:$A$2001,$A458)&gt;1,"Duplicate entry ID",IF(NOT(ISNUMBER($B458)),"Missing or invalid: date",IF($C458="","Missing: type",IF($D458="","Missing: SKU",IF(NOT(ISNUMBER($E458)),"Missing: qty",IF($F458="","Missing: lot",IF($I458="","Missing: source link",IF(COUNTIF(Config!$A$15:$A$34,$C458)=0,"Unsupported type",IF(COUNTIF(Products!$A$2:$A$101,$D458)=0,"Unknown SKU",IF(COUNTIFS(Batches!$A$2:$A$301,$F458,Batches!$B$2:$B$301,$D458)=0,"Unknown lot for this SKU",IF(AND($C458="Adjustment",$G458=""),"Missing: reason",IF(AND($G458&lt;&gt;"",COUNTIF(Config!$B$15:$B$34,$G458)=0),"Unsupported reason",IF(OR(INT($E458)&lt;&gt;$E458,AND(OR($C458="Receipt",$C458="Shipment"),$E458&lt;=0),AND($C458="Adjustment",$E458=0)),"Invalid qty",IF($B458&gt;Config!$B$4,"Date after the as-of date",IF($B458&lt;Config!$B$5,"Date before the opening balance date","OK")))))))))))))))))</f>
        <v/>
      </c>
    </row>
    <row r="459">
      <c r="A459" s="46" t="n"/>
      <c r="B459" s="54" t="n"/>
      <c r="C459" s="46" t="n"/>
      <c r="D459" s="46" t="n"/>
      <c r="E459" s="55" t="n"/>
      <c r="F459" s="46" t="n"/>
      <c r="G459" s="46" t="n"/>
      <c r="H459" s="46" t="n"/>
      <c r="I459" s="46" t="n"/>
      <c r="J459" s="46" t="n"/>
      <c r="K459" s="46" t="n"/>
      <c r="L459" s="46" t="n"/>
      <c r="M459" s="51" t="str">
        <f>IF(NOT(ISNUMBER($E459)),"",IF($C459="Receipt",$E459,IF($C459="Shipment",-$E459,IF($C459="Adjustment",$E459,0))))</f>
        <v/>
      </c>
      <c r="N459" s="49" t="str">
        <f>IF($D459="","",IFERROR(INDEX(Products!$B$2:$B$101,MATCH($D459,Products!$A$2:$A$101,0))&amp;"","(not found)"))</f>
        <v/>
      </c>
      <c r="O459" s="49" t="str">
        <f>IF($F459="","",IFERROR(INDEX(Batches!$B$2:$B$301,MATCH($F459,Batches!$A$2:$A$301,0))&amp;"","(not found)"))</f>
        <v/>
      </c>
      <c r="P459" s="49" t="str">
        <f>IF(COUNTA($A459:$L459)=0,"",IF($A459="","Missing: entry ID",IF(COUNTIF($A$2:$A$2001,$A459)&gt;1,"Duplicate entry ID",IF(NOT(ISNUMBER($B459)),"Missing or invalid: date",IF($C459="","Missing: type",IF($D459="","Missing: SKU",IF(NOT(ISNUMBER($E459)),"Missing: qty",IF($F459="","Missing: lot",IF($I459="","Missing: source link",IF(COUNTIF(Config!$A$15:$A$34,$C459)=0,"Unsupported type",IF(COUNTIF(Products!$A$2:$A$101,$D459)=0,"Unknown SKU",IF(COUNTIFS(Batches!$A$2:$A$301,$F459,Batches!$B$2:$B$301,$D459)=0,"Unknown lot for this SKU",IF(AND($C459="Adjustment",$G459=""),"Missing: reason",IF(AND($G459&lt;&gt;"",COUNTIF(Config!$B$15:$B$34,$G459)=0),"Unsupported reason",IF(OR(INT($E459)&lt;&gt;$E459,AND(OR($C459="Receipt",$C459="Shipment"),$E459&lt;=0),AND($C459="Adjustment",$E459=0)),"Invalid qty",IF($B459&gt;Config!$B$4,"Date after the as-of date",IF($B459&lt;Config!$B$5,"Date before the opening balance date","OK")))))))))))))))))</f>
        <v/>
      </c>
    </row>
    <row r="460">
      <c r="A460" s="46" t="n"/>
      <c r="B460" s="54" t="n"/>
      <c r="C460" s="46" t="n"/>
      <c r="D460" s="46" t="n"/>
      <c r="E460" s="55" t="n"/>
      <c r="F460" s="46" t="n"/>
      <c r="G460" s="46" t="n"/>
      <c r="H460" s="46" t="n"/>
      <c r="I460" s="46" t="n"/>
      <c r="J460" s="46" t="n"/>
      <c r="K460" s="46" t="n"/>
      <c r="L460" s="46" t="n"/>
      <c r="M460" s="51" t="str">
        <f>IF(NOT(ISNUMBER($E460)),"",IF($C460="Receipt",$E460,IF($C460="Shipment",-$E460,IF($C460="Adjustment",$E460,0))))</f>
        <v/>
      </c>
      <c r="N460" s="49" t="str">
        <f>IF($D460="","",IFERROR(INDEX(Products!$B$2:$B$101,MATCH($D460,Products!$A$2:$A$101,0))&amp;"","(not found)"))</f>
        <v/>
      </c>
      <c r="O460" s="49" t="str">
        <f>IF($F460="","",IFERROR(INDEX(Batches!$B$2:$B$301,MATCH($F460,Batches!$A$2:$A$301,0))&amp;"","(not found)"))</f>
        <v/>
      </c>
      <c r="P460" s="49" t="str">
        <f>IF(COUNTA($A460:$L460)=0,"",IF($A460="","Missing: entry ID",IF(COUNTIF($A$2:$A$2001,$A460)&gt;1,"Duplicate entry ID",IF(NOT(ISNUMBER($B460)),"Missing or invalid: date",IF($C460="","Missing: type",IF($D460="","Missing: SKU",IF(NOT(ISNUMBER($E460)),"Missing: qty",IF($F460="","Missing: lot",IF($I460="","Missing: source link",IF(COUNTIF(Config!$A$15:$A$34,$C460)=0,"Unsupported type",IF(COUNTIF(Products!$A$2:$A$101,$D460)=0,"Unknown SKU",IF(COUNTIFS(Batches!$A$2:$A$301,$F460,Batches!$B$2:$B$301,$D460)=0,"Unknown lot for this SKU",IF(AND($C460="Adjustment",$G460=""),"Missing: reason",IF(AND($G460&lt;&gt;"",COUNTIF(Config!$B$15:$B$34,$G460)=0),"Unsupported reason",IF(OR(INT($E460)&lt;&gt;$E460,AND(OR($C460="Receipt",$C460="Shipment"),$E460&lt;=0),AND($C460="Adjustment",$E460=0)),"Invalid qty",IF($B460&gt;Config!$B$4,"Date after the as-of date",IF($B460&lt;Config!$B$5,"Date before the opening balance date","OK")))))))))))))))))</f>
        <v/>
      </c>
    </row>
    <row r="461">
      <c r="A461" s="46" t="n"/>
      <c r="B461" s="54" t="n"/>
      <c r="C461" s="46" t="n"/>
      <c r="D461" s="46" t="n"/>
      <c r="E461" s="55" t="n"/>
      <c r="F461" s="46" t="n"/>
      <c r="G461" s="46" t="n"/>
      <c r="H461" s="46" t="n"/>
      <c r="I461" s="46" t="n"/>
      <c r="J461" s="46" t="n"/>
      <c r="K461" s="46" t="n"/>
      <c r="L461" s="46" t="n"/>
      <c r="M461" s="51" t="str">
        <f>IF(NOT(ISNUMBER($E461)),"",IF($C461="Receipt",$E461,IF($C461="Shipment",-$E461,IF($C461="Adjustment",$E461,0))))</f>
        <v/>
      </c>
      <c r="N461" s="49" t="str">
        <f>IF($D461="","",IFERROR(INDEX(Products!$B$2:$B$101,MATCH($D461,Products!$A$2:$A$101,0))&amp;"","(not found)"))</f>
        <v/>
      </c>
      <c r="O461" s="49" t="str">
        <f>IF($F461="","",IFERROR(INDEX(Batches!$B$2:$B$301,MATCH($F461,Batches!$A$2:$A$301,0))&amp;"","(not found)"))</f>
        <v/>
      </c>
      <c r="P461" s="49" t="str">
        <f>IF(COUNTA($A461:$L461)=0,"",IF($A461="","Missing: entry ID",IF(COUNTIF($A$2:$A$2001,$A461)&gt;1,"Duplicate entry ID",IF(NOT(ISNUMBER($B461)),"Missing or invalid: date",IF($C461="","Missing: type",IF($D461="","Missing: SKU",IF(NOT(ISNUMBER($E461)),"Missing: qty",IF($F461="","Missing: lot",IF($I461="","Missing: source link",IF(COUNTIF(Config!$A$15:$A$34,$C461)=0,"Unsupported type",IF(COUNTIF(Products!$A$2:$A$101,$D461)=0,"Unknown SKU",IF(COUNTIFS(Batches!$A$2:$A$301,$F461,Batches!$B$2:$B$301,$D461)=0,"Unknown lot for this SKU",IF(AND($C461="Adjustment",$G461=""),"Missing: reason",IF(AND($G461&lt;&gt;"",COUNTIF(Config!$B$15:$B$34,$G461)=0),"Unsupported reason",IF(OR(INT($E461)&lt;&gt;$E461,AND(OR($C461="Receipt",$C461="Shipment"),$E461&lt;=0),AND($C461="Adjustment",$E461=0)),"Invalid qty",IF($B461&gt;Config!$B$4,"Date after the as-of date",IF($B461&lt;Config!$B$5,"Date before the opening balance date","OK")))))))))))))))))</f>
        <v/>
      </c>
    </row>
    <row r="462">
      <c r="A462" s="46" t="n"/>
      <c r="B462" s="54" t="n"/>
      <c r="C462" s="46" t="n"/>
      <c r="D462" s="46" t="n"/>
      <c r="E462" s="55" t="n"/>
      <c r="F462" s="46" t="n"/>
      <c r="G462" s="46" t="n"/>
      <c r="H462" s="46" t="n"/>
      <c r="I462" s="46" t="n"/>
      <c r="J462" s="46" t="n"/>
      <c r="K462" s="46" t="n"/>
      <c r="L462" s="46" t="n"/>
      <c r="M462" s="51" t="str">
        <f>IF(NOT(ISNUMBER($E462)),"",IF($C462="Receipt",$E462,IF($C462="Shipment",-$E462,IF($C462="Adjustment",$E462,0))))</f>
        <v/>
      </c>
      <c r="N462" s="49" t="str">
        <f>IF($D462="","",IFERROR(INDEX(Products!$B$2:$B$101,MATCH($D462,Products!$A$2:$A$101,0))&amp;"","(not found)"))</f>
        <v/>
      </c>
      <c r="O462" s="49" t="str">
        <f>IF($F462="","",IFERROR(INDEX(Batches!$B$2:$B$301,MATCH($F462,Batches!$A$2:$A$301,0))&amp;"","(not found)"))</f>
        <v/>
      </c>
      <c r="P462" s="49" t="str">
        <f>IF(COUNTA($A462:$L462)=0,"",IF($A462="","Missing: entry ID",IF(COUNTIF($A$2:$A$2001,$A462)&gt;1,"Duplicate entry ID",IF(NOT(ISNUMBER($B462)),"Missing or invalid: date",IF($C462="","Missing: type",IF($D462="","Missing: SKU",IF(NOT(ISNUMBER($E462)),"Missing: qty",IF($F462="","Missing: lot",IF($I462="","Missing: source link",IF(COUNTIF(Config!$A$15:$A$34,$C462)=0,"Unsupported type",IF(COUNTIF(Products!$A$2:$A$101,$D462)=0,"Unknown SKU",IF(COUNTIFS(Batches!$A$2:$A$301,$F462,Batches!$B$2:$B$301,$D462)=0,"Unknown lot for this SKU",IF(AND($C462="Adjustment",$G462=""),"Missing: reason",IF(AND($G462&lt;&gt;"",COUNTIF(Config!$B$15:$B$34,$G462)=0),"Unsupported reason",IF(OR(INT($E462)&lt;&gt;$E462,AND(OR($C462="Receipt",$C462="Shipment"),$E462&lt;=0),AND($C462="Adjustment",$E462=0)),"Invalid qty",IF($B462&gt;Config!$B$4,"Date after the as-of date",IF($B462&lt;Config!$B$5,"Date before the opening balance date","OK")))))))))))))))))</f>
        <v/>
      </c>
    </row>
    <row r="463">
      <c r="A463" s="46" t="n"/>
      <c r="B463" s="54" t="n"/>
      <c r="C463" s="46" t="n"/>
      <c r="D463" s="46" t="n"/>
      <c r="E463" s="55" t="n"/>
      <c r="F463" s="46" t="n"/>
      <c r="G463" s="46" t="n"/>
      <c r="H463" s="46" t="n"/>
      <c r="I463" s="46" t="n"/>
      <c r="J463" s="46" t="n"/>
      <c r="K463" s="46" t="n"/>
      <c r="L463" s="46" t="n"/>
      <c r="M463" s="51" t="str">
        <f>IF(NOT(ISNUMBER($E463)),"",IF($C463="Receipt",$E463,IF($C463="Shipment",-$E463,IF($C463="Adjustment",$E463,0))))</f>
        <v/>
      </c>
      <c r="N463" s="49" t="str">
        <f>IF($D463="","",IFERROR(INDEX(Products!$B$2:$B$101,MATCH($D463,Products!$A$2:$A$101,0))&amp;"","(not found)"))</f>
        <v/>
      </c>
      <c r="O463" s="49" t="str">
        <f>IF($F463="","",IFERROR(INDEX(Batches!$B$2:$B$301,MATCH($F463,Batches!$A$2:$A$301,0))&amp;"","(not found)"))</f>
        <v/>
      </c>
      <c r="P463" s="49" t="str">
        <f>IF(COUNTA($A463:$L463)=0,"",IF($A463="","Missing: entry ID",IF(COUNTIF($A$2:$A$2001,$A463)&gt;1,"Duplicate entry ID",IF(NOT(ISNUMBER($B463)),"Missing or invalid: date",IF($C463="","Missing: type",IF($D463="","Missing: SKU",IF(NOT(ISNUMBER($E463)),"Missing: qty",IF($F463="","Missing: lot",IF($I463="","Missing: source link",IF(COUNTIF(Config!$A$15:$A$34,$C463)=0,"Unsupported type",IF(COUNTIF(Products!$A$2:$A$101,$D463)=0,"Unknown SKU",IF(COUNTIFS(Batches!$A$2:$A$301,$F463,Batches!$B$2:$B$301,$D463)=0,"Unknown lot for this SKU",IF(AND($C463="Adjustment",$G463=""),"Missing: reason",IF(AND($G463&lt;&gt;"",COUNTIF(Config!$B$15:$B$34,$G463)=0),"Unsupported reason",IF(OR(INT($E463)&lt;&gt;$E463,AND(OR($C463="Receipt",$C463="Shipment"),$E463&lt;=0),AND($C463="Adjustment",$E463=0)),"Invalid qty",IF($B463&gt;Config!$B$4,"Date after the as-of date",IF($B463&lt;Config!$B$5,"Date before the opening balance date","OK")))))))))))))))))</f>
        <v/>
      </c>
    </row>
    <row r="464">
      <c r="A464" s="46" t="n"/>
      <c r="B464" s="54" t="n"/>
      <c r="C464" s="46" t="n"/>
      <c r="D464" s="46" t="n"/>
      <c r="E464" s="55" t="n"/>
      <c r="F464" s="46" t="n"/>
      <c r="G464" s="46" t="n"/>
      <c r="H464" s="46" t="n"/>
      <c r="I464" s="46" t="n"/>
      <c r="J464" s="46" t="n"/>
      <c r="K464" s="46" t="n"/>
      <c r="L464" s="46" t="n"/>
      <c r="M464" s="51" t="str">
        <f>IF(NOT(ISNUMBER($E464)),"",IF($C464="Receipt",$E464,IF($C464="Shipment",-$E464,IF($C464="Adjustment",$E464,0))))</f>
        <v/>
      </c>
      <c r="N464" s="49" t="str">
        <f>IF($D464="","",IFERROR(INDEX(Products!$B$2:$B$101,MATCH($D464,Products!$A$2:$A$101,0))&amp;"","(not found)"))</f>
        <v/>
      </c>
      <c r="O464" s="49" t="str">
        <f>IF($F464="","",IFERROR(INDEX(Batches!$B$2:$B$301,MATCH($F464,Batches!$A$2:$A$301,0))&amp;"","(not found)"))</f>
        <v/>
      </c>
      <c r="P464" s="49" t="str">
        <f>IF(COUNTA($A464:$L464)=0,"",IF($A464="","Missing: entry ID",IF(COUNTIF($A$2:$A$2001,$A464)&gt;1,"Duplicate entry ID",IF(NOT(ISNUMBER($B464)),"Missing or invalid: date",IF($C464="","Missing: type",IF($D464="","Missing: SKU",IF(NOT(ISNUMBER($E464)),"Missing: qty",IF($F464="","Missing: lot",IF($I464="","Missing: source link",IF(COUNTIF(Config!$A$15:$A$34,$C464)=0,"Unsupported type",IF(COUNTIF(Products!$A$2:$A$101,$D464)=0,"Unknown SKU",IF(COUNTIFS(Batches!$A$2:$A$301,$F464,Batches!$B$2:$B$301,$D464)=0,"Unknown lot for this SKU",IF(AND($C464="Adjustment",$G464=""),"Missing: reason",IF(AND($G464&lt;&gt;"",COUNTIF(Config!$B$15:$B$34,$G464)=0),"Unsupported reason",IF(OR(INT($E464)&lt;&gt;$E464,AND(OR($C464="Receipt",$C464="Shipment"),$E464&lt;=0),AND($C464="Adjustment",$E464=0)),"Invalid qty",IF($B464&gt;Config!$B$4,"Date after the as-of date",IF($B464&lt;Config!$B$5,"Date before the opening balance date","OK")))))))))))))))))</f>
        <v/>
      </c>
    </row>
    <row r="465">
      <c r="A465" s="46" t="n"/>
      <c r="B465" s="54" t="n"/>
      <c r="C465" s="46" t="n"/>
      <c r="D465" s="46" t="n"/>
      <c r="E465" s="55" t="n"/>
      <c r="F465" s="46" t="n"/>
      <c r="G465" s="46" t="n"/>
      <c r="H465" s="46" t="n"/>
      <c r="I465" s="46" t="n"/>
      <c r="J465" s="46" t="n"/>
      <c r="K465" s="46" t="n"/>
      <c r="L465" s="46" t="n"/>
      <c r="M465" s="51" t="str">
        <f>IF(NOT(ISNUMBER($E465)),"",IF($C465="Receipt",$E465,IF($C465="Shipment",-$E465,IF($C465="Adjustment",$E465,0))))</f>
        <v/>
      </c>
      <c r="N465" s="49" t="str">
        <f>IF($D465="","",IFERROR(INDEX(Products!$B$2:$B$101,MATCH($D465,Products!$A$2:$A$101,0))&amp;"","(not found)"))</f>
        <v/>
      </c>
      <c r="O465" s="49" t="str">
        <f>IF($F465="","",IFERROR(INDEX(Batches!$B$2:$B$301,MATCH($F465,Batches!$A$2:$A$301,0))&amp;"","(not found)"))</f>
        <v/>
      </c>
      <c r="P465" s="49" t="str">
        <f>IF(COUNTA($A465:$L465)=0,"",IF($A465="","Missing: entry ID",IF(COUNTIF($A$2:$A$2001,$A465)&gt;1,"Duplicate entry ID",IF(NOT(ISNUMBER($B465)),"Missing or invalid: date",IF($C465="","Missing: type",IF($D465="","Missing: SKU",IF(NOT(ISNUMBER($E465)),"Missing: qty",IF($F465="","Missing: lot",IF($I465="","Missing: source link",IF(COUNTIF(Config!$A$15:$A$34,$C465)=0,"Unsupported type",IF(COUNTIF(Products!$A$2:$A$101,$D465)=0,"Unknown SKU",IF(COUNTIFS(Batches!$A$2:$A$301,$F465,Batches!$B$2:$B$301,$D465)=0,"Unknown lot for this SKU",IF(AND($C465="Adjustment",$G465=""),"Missing: reason",IF(AND($G465&lt;&gt;"",COUNTIF(Config!$B$15:$B$34,$G465)=0),"Unsupported reason",IF(OR(INT($E465)&lt;&gt;$E465,AND(OR($C465="Receipt",$C465="Shipment"),$E465&lt;=0),AND($C465="Adjustment",$E465=0)),"Invalid qty",IF($B465&gt;Config!$B$4,"Date after the as-of date",IF($B465&lt;Config!$B$5,"Date before the opening balance date","OK")))))))))))))))))</f>
        <v/>
      </c>
    </row>
    <row r="466">
      <c r="A466" s="46" t="n"/>
      <c r="B466" s="54" t="n"/>
      <c r="C466" s="46" t="n"/>
      <c r="D466" s="46" t="n"/>
      <c r="E466" s="55" t="n"/>
      <c r="F466" s="46" t="n"/>
      <c r="G466" s="46" t="n"/>
      <c r="H466" s="46" t="n"/>
      <c r="I466" s="46" t="n"/>
      <c r="J466" s="46" t="n"/>
      <c r="K466" s="46" t="n"/>
      <c r="L466" s="46" t="n"/>
      <c r="M466" s="51" t="str">
        <f>IF(NOT(ISNUMBER($E466)),"",IF($C466="Receipt",$E466,IF($C466="Shipment",-$E466,IF($C466="Adjustment",$E466,0))))</f>
        <v/>
      </c>
      <c r="N466" s="49" t="str">
        <f>IF($D466="","",IFERROR(INDEX(Products!$B$2:$B$101,MATCH($D466,Products!$A$2:$A$101,0))&amp;"","(not found)"))</f>
        <v/>
      </c>
      <c r="O466" s="49" t="str">
        <f>IF($F466="","",IFERROR(INDEX(Batches!$B$2:$B$301,MATCH($F466,Batches!$A$2:$A$301,0))&amp;"","(not found)"))</f>
        <v/>
      </c>
      <c r="P466" s="49" t="str">
        <f>IF(COUNTA($A466:$L466)=0,"",IF($A466="","Missing: entry ID",IF(COUNTIF($A$2:$A$2001,$A466)&gt;1,"Duplicate entry ID",IF(NOT(ISNUMBER($B466)),"Missing or invalid: date",IF($C466="","Missing: type",IF($D466="","Missing: SKU",IF(NOT(ISNUMBER($E466)),"Missing: qty",IF($F466="","Missing: lot",IF($I466="","Missing: source link",IF(COUNTIF(Config!$A$15:$A$34,$C466)=0,"Unsupported type",IF(COUNTIF(Products!$A$2:$A$101,$D466)=0,"Unknown SKU",IF(COUNTIFS(Batches!$A$2:$A$301,$F466,Batches!$B$2:$B$301,$D466)=0,"Unknown lot for this SKU",IF(AND($C466="Adjustment",$G466=""),"Missing: reason",IF(AND($G466&lt;&gt;"",COUNTIF(Config!$B$15:$B$34,$G466)=0),"Unsupported reason",IF(OR(INT($E466)&lt;&gt;$E466,AND(OR($C466="Receipt",$C466="Shipment"),$E466&lt;=0),AND($C466="Adjustment",$E466=0)),"Invalid qty",IF($B466&gt;Config!$B$4,"Date after the as-of date",IF($B466&lt;Config!$B$5,"Date before the opening balance date","OK")))))))))))))))))</f>
        <v/>
      </c>
    </row>
    <row r="467">
      <c r="A467" s="46" t="n"/>
      <c r="B467" s="54" t="n"/>
      <c r="C467" s="46" t="n"/>
      <c r="D467" s="46" t="n"/>
      <c r="E467" s="55" t="n"/>
      <c r="F467" s="46" t="n"/>
      <c r="G467" s="46" t="n"/>
      <c r="H467" s="46" t="n"/>
      <c r="I467" s="46" t="n"/>
      <c r="J467" s="46" t="n"/>
      <c r="K467" s="46" t="n"/>
      <c r="L467" s="46" t="n"/>
      <c r="M467" s="51" t="str">
        <f>IF(NOT(ISNUMBER($E467)),"",IF($C467="Receipt",$E467,IF($C467="Shipment",-$E467,IF($C467="Adjustment",$E467,0))))</f>
        <v/>
      </c>
      <c r="N467" s="49" t="str">
        <f>IF($D467="","",IFERROR(INDEX(Products!$B$2:$B$101,MATCH($D467,Products!$A$2:$A$101,0))&amp;"","(not found)"))</f>
        <v/>
      </c>
      <c r="O467" s="49" t="str">
        <f>IF($F467="","",IFERROR(INDEX(Batches!$B$2:$B$301,MATCH($F467,Batches!$A$2:$A$301,0))&amp;"","(not found)"))</f>
        <v/>
      </c>
      <c r="P467" s="49" t="str">
        <f>IF(COUNTA($A467:$L467)=0,"",IF($A467="","Missing: entry ID",IF(COUNTIF($A$2:$A$2001,$A467)&gt;1,"Duplicate entry ID",IF(NOT(ISNUMBER($B467)),"Missing or invalid: date",IF($C467="","Missing: type",IF($D467="","Missing: SKU",IF(NOT(ISNUMBER($E467)),"Missing: qty",IF($F467="","Missing: lot",IF($I467="","Missing: source link",IF(COUNTIF(Config!$A$15:$A$34,$C467)=0,"Unsupported type",IF(COUNTIF(Products!$A$2:$A$101,$D467)=0,"Unknown SKU",IF(COUNTIFS(Batches!$A$2:$A$301,$F467,Batches!$B$2:$B$301,$D467)=0,"Unknown lot for this SKU",IF(AND($C467="Adjustment",$G467=""),"Missing: reason",IF(AND($G467&lt;&gt;"",COUNTIF(Config!$B$15:$B$34,$G467)=0),"Unsupported reason",IF(OR(INT($E467)&lt;&gt;$E467,AND(OR($C467="Receipt",$C467="Shipment"),$E467&lt;=0),AND($C467="Adjustment",$E467=0)),"Invalid qty",IF($B467&gt;Config!$B$4,"Date after the as-of date",IF($B467&lt;Config!$B$5,"Date before the opening balance date","OK")))))))))))))))))</f>
        <v/>
      </c>
    </row>
    <row r="468">
      <c r="A468" s="46" t="n"/>
      <c r="B468" s="54" t="n"/>
      <c r="C468" s="46" t="n"/>
      <c r="D468" s="46" t="n"/>
      <c r="E468" s="55" t="n"/>
      <c r="F468" s="46" t="n"/>
      <c r="G468" s="46" t="n"/>
      <c r="H468" s="46" t="n"/>
      <c r="I468" s="46" t="n"/>
      <c r="J468" s="46" t="n"/>
      <c r="K468" s="46" t="n"/>
      <c r="L468" s="46" t="n"/>
      <c r="M468" s="51" t="str">
        <f>IF(NOT(ISNUMBER($E468)),"",IF($C468="Receipt",$E468,IF($C468="Shipment",-$E468,IF($C468="Adjustment",$E468,0))))</f>
        <v/>
      </c>
      <c r="N468" s="49" t="str">
        <f>IF($D468="","",IFERROR(INDEX(Products!$B$2:$B$101,MATCH($D468,Products!$A$2:$A$101,0))&amp;"","(not found)"))</f>
        <v/>
      </c>
      <c r="O468" s="49" t="str">
        <f>IF($F468="","",IFERROR(INDEX(Batches!$B$2:$B$301,MATCH($F468,Batches!$A$2:$A$301,0))&amp;"","(not found)"))</f>
        <v/>
      </c>
      <c r="P468" s="49" t="str">
        <f>IF(COUNTA($A468:$L468)=0,"",IF($A468="","Missing: entry ID",IF(COUNTIF($A$2:$A$2001,$A468)&gt;1,"Duplicate entry ID",IF(NOT(ISNUMBER($B468)),"Missing or invalid: date",IF($C468="","Missing: type",IF($D468="","Missing: SKU",IF(NOT(ISNUMBER($E468)),"Missing: qty",IF($F468="","Missing: lot",IF($I468="","Missing: source link",IF(COUNTIF(Config!$A$15:$A$34,$C468)=0,"Unsupported type",IF(COUNTIF(Products!$A$2:$A$101,$D468)=0,"Unknown SKU",IF(COUNTIFS(Batches!$A$2:$A$301,$F468,Batches!$B$2:$B$301,$D468)=0,"Unknown lot for this SKU",IF(AND($C468="Adjustment",$G468=""),"Missing: reason",IF(AND($G468&lt;&gt;"",COUNTIF(Config!$B$15:$B$34,$G468)=0),"Unsupported reason",IF(OR(INT($E468)&lt;&gt;$E468,AND(OR($C468="Receipt",$C468="Shipment"),$E468&lt;=0),AND($C468="Adjustment",$E468=0)),"Invalid qty",IF($B468&gt;Config!$B$4,"Date after the as-of date",IF($B468&lt;Config!$B$5,"Date before the opening balance date","OK")))))))))))))))))</f>
        <v/>
      </c>
    </row>
    <row r="469">
      <c r="A469" s="46" t="n"/>
      <c r="B469" s="54" t="n"/>
      <c r="C469" s="46" t="n"/>
      <c r="D469" s="46" t="n"/>
      <c r="E469" s="55" t="n"/>
      <c r="F469" s="46" t="n"/>
      <c r="G469" s="46" t="n"/>
      <c r="H469" s="46" t="n"/>
      <c r="I469" s="46" t="n"/>
      <c r="J469" s="46" t="n"/>
      <c r="K469" s="46" t="n"/>
      <c r="L469" s="46" t="n"/>
      <c r="M469" s="51" t="str">
        <f>IF(NOT(ISNUMBER($E469)),"",IF($C469="Receipt",$E469,IF($C469="Shipment",-$E469,IF($C469="Adjustment",$E469,0))))</f>
        <v/>
      </c>
      <c r="N469" s="49" t="str">
        <f>IF($D469="","",IFERROR(INDEX(Products!$B$2:$B$101,MATCH($D469,Products!$A$2:$A$101,0))&amp;"","(not found)"))</f>
        <v/>
      </c>
      <c r="O469" s="49" t="str">
        <f>IF($F469="","",IFERROR(INDEX(Batches!$B$2:$B$301,MATCH($F469,Batches!$A$2:$A$301,0))&amp;"","(not found)"))</f>
        <v/>
      </c>
      <c r="P469" s="49" t="str">
        <f>IF(COUNTA($A469:$L469)=0,"",IF($A469="","Missing: entry ID",IF(COUNTIF($A$2:$A$2001,$A469)&gt;1,"Duplicate entry ID",IF(NOT(ISNUMBER($B469)),"Missing or invalid: date",IF($C469="","Missing: type",IF($D469="","Missing: SKU",IF(NOT(ISNUMBER($E469)),"Missing: qty",IF($F469="","Missing: lot",IF($I469="","Missing: source link",IF(COUNTIF(Config!$A$15:$A$34,$C469)=0,"Unsupported type",IF(COUNTIF(Products!$A$2:$A$101,$D469)=0,"Unknown SKU",IF(COUNTIFS(Batches!$A$2:$A$301,$F469,Batches!$B$2:$B$301,$D469)=0,"Unknown lot for this SKU",IF(AND($C469="Adjustment",$G469=""),"Missing: reason",IF(AND($G469&lt;&gt;"",COUNTIF(Config!$B$15:$B$34,$G469)=0),"Unsupported reason",IF(OR(INT($E469)&lt;&gt;$E469,AND(OR($C469="Receipt",$C469="Shipment"),$E469&lt;=0),AND($C469="Adjustment",$E469=0)),"Invalid qty",IF($B469&gt;Config!$B$4,"Date after the as-of date",IF($B469&lt;Config!$B$5,"Date before the opening balance date","OK")))))))))))))))))</f>
        <v/>
      </c>
    </row>
    <row r="470">
      <c r="A470" s="46" t="n"/>
      <c r="B470" s="54" t="n"/>
      <c r="C470" s="46" t="n"/>
      <c r="D470" s="46" t="n"/>
      <c r="E470" s="55" t="n"/>
      <c r="F470" s="46" t="n"/>
      <c r="G470" s="46" t="n"/>
      <c r="H470" s="46" t="n"/>
      <c r="I470" s="46" t="n"/>
      <c r="J470" s="46" t="n"/>
      <c r="K470" s="46" t="n"/>
      <c r="L470" s="46" t="n"/>
      <c r="M470" s="51" t="str">
        <f>IF(NOT(ISNUMBER($E470)),"",IF($C470="Receipt",$E470,IF($C470="Shipment",-$E470,IF($C470="Adjustment",$E470,0))))</f>
        <v/>
      </c>
      <c r="N470" s="49" t="str">
        <f>IF($D470="","",IFERROR(INDEX(Products!$B$2:$B$101,MATCH($D470,Products!$A$2:$A$101,0))&amp;"","(not found)"))</f>
        <v/>
      </c>
      <c r="O470" s="49" t="str">
        <f>IF($F470="","",IFERROR(INDEX(Batches!$B$2:$B$301,MATCH($F470,Batches!$A$2:$A$301,0))&amp;"","(not found)"))</f>
        <v/>
      </c>
      <c r="P470" s="49" t="str">
        <f>IF(COUNTA($A470:$L470)=0,"",IF($A470="","Missing: entry ID",IF(COUNTIF($A$2:$A$2001,$A470)&gt;1,"Duplicate entry ID",IF(NOT(ISNUMBER($B470)),"Missing or invalid: date",IF($C470="","Missing: type",IF($D470="","Missing: SKU",IF(NOT(ISNUMBER($E470)),"Missing: qty",IF($F470="","Missing: lot",IF($I470="","Missing: source link",IF(COUNTIF(Config!$A$15:$A$34,$C470)=0,"Unsupported type",IF(COUNTIF(Products!$A$2:$A$101,$D470)=0,"Unknown SKU",IF(COUNTIFS(Batches!$A$2:$A$301,$F470,Batches!$B$2:$B$301,$D470)=0,"Unknown lot for this SKU",IF(AND($C470="Adjustment",$G470=""),"Missing: reason",IF(AND($G470&lt;&gt;"",COUNTIF(Config!$B$15:$B$34,$G470)=0),"Unsupported reason",IF(OR(INT($E470)&lt;&gt;$E470,AND(OR($C470="Receipt",$C470="Shipment"),$E470&lt;=0),AND($C470="Adjustment",$E470=0)),"Invalid qty",IF($B470&gt;Config!$B$4,"Date after the as-of date",IF($B470&lt;Config!$B$5,"Date before the opening balance date","OK")))))))))))))))))</f>
        <v/>
      </c>
    </row>
    <row r="471">
      <c r="A471" s="46" t="n"/>
      <c r="B471" s="54" t="n"/>
      <c r="C471" s="46" t="n"/>
      <c r="D471" s="46" t="n"/>
      <c r="E471" s="55" t="n"/>
      <c r="F471" s="46" t="n"/>
      <c r="G471" s="46" t="n"/>
      <c r="H471" s="46" t="n"/>
      <c r="I471" s="46" t="n"/>
      <c r="J471" s="46" t="n"/>
      <c r="K471" s="46" t="n"/>
      <c r="L471" s="46" t="n"/>
      <c r="M471" s="51" t="str">
        <f>IF(NOT(ISNUMBER($E471)),"",IF($C471="Receipt",$E471,IF($C471="Shipment",-$E471,IF($C471="Adjustment",$E471,0))))</f>
        <v/>
      </c>
      <c r="N471" s="49" t="str">
        <f>IF($D471="","",IFERROR(INDEX(Products!$B$2:$B$101,MATCH($D471,Products!$A$2:$A$101,0))&amp;"","(not found)"))</f>
        <v/>
      </c>
      <c r="O471" s="49" t="str">
        <f>IF($F471="","",IFERROR(INDEX(Batches!$B$2:$B$301,MATCH($F471,Batches!$A$2:$A$301,0))&amp;"","(not found)"))</f>
        <v/>
      </c>
      <c r="P471" s="49" t="str">
        <f>IF(COUNTA($A471:$L471)=0,"",IF($A471="","Missing: entry ID",IF(COUNTIF($A$2:$A$2001,$A471)&gt;1,"Duplicate entry ID",IF(NOT(ISNUMBER($B471)),"Missing or invalid: date",IF($C471="","Missing: type",IF($D471="","Missing: SKU",IF(NOT(ISNUMBER($E471)),"Missing: qty",IF($F471="","Missing: lot",IF($I471="","Missing: source link",IF(COUNTIF(Config!$A$15:$A$34,$C471)=0,"Unsupported type",IF(COUNTIF(Products!$A$2:$A$101,$D471)=0,"Unknown SKU",IF(COUNTIFS(Batches!$A$2:$A$301,$F471,Batches!$B$2:$B$301,$D471)=0,"Unknown lot for this SKU",IF(AND($C471="Adjustment",$G471=""),"Missing: reason",IF(AND($G471&lt;&gt;"",COUNTIF(Config!$B$15:$B$34,$G471)=0),"Unsupported reason",IF(OR(INT($E471)&lt;&gt;$E471,AND(OR($C471="Receipt",$C471="Shipment"),$E471&lt;=0),AND($C471="Adjustment",$E471=0)),"Invalid qty",IF($B471&gt;Config!$B$4,"Date after the as-of date",IF($B471&lt;Config!$B$5,"Date before the opening balance date","OK")))))))))))))))))</f>
        <v/>
      </c>
    </row>
    <row r="472">
      <c r="A472" s="46" t="n"/>
      <c r="B472" s="54" t="n"/>
      <c r="C472" s="46" t="n"/>
      <c r="D472" s="46" t="n"/>
      <c r="E472" s="55" t="n"/>
      <c r="F472" s="46" t="n"/>
      <c r="G472" s="46" t="n"/>
      <c r="H472" s="46" t="n"/>
      <c r="I472" s="46" t="n"/>
      <c r="J472" s="46" t="n"/>
      <c r="K472" s="46" t="n"/>
      <c r="L472" s="46" t="n"/>
      <c r="M472" s="51" t="str">
        <f>IF(NOT(ISNUMBER($E472)),"",IF($C472="Receipt",$E472,IF($C472="Shipment",-$E472,IF($C472="Adjustment",$E472,0))))</f>
        <v/>
      </c>
      <c r="N472" s="49" t="str">
        <f>IF($D472="","",IFERROR(INDEX(Products!$B$2:$B$101,MATCH($D472,Products!$A$2:$A$101,0))&amp;"","(not found)"))</f>
        <v/>
      </c>
      <c r="O472" s="49" t="str">
        <f>IF($F472="","",IFERROR(INDEX(Batches!$B$2:$B$301,MATCH($F472,Batches!$A$2:$A$301,0))&amp;"","(not found)"))</f>
        <v/>
      </c>
      <c r="P472" s="49" t="str">
        <f>IF(COUNTA($A472:$L472)=0,"",IF($A472="","Missing: entry ID",IF(COUNTIF($A$2:$A$2001,$A472)&gt;1,"Duplicate entry ID",IF(NOT(ISNUMBER($B472)),"Missing or invalid: date",IF($C472="","Missing: type",IF($D472="","Missing: SKU",IF(NOT(ISNUMBER($E472)),"Missing: qty",IF($F472="","Missing: lot",IF($I472="","Missing: source link",IF(COUNTIF(Config!$A$15:$A$34,$C472)=0,"Unsupported type",IF(COUNTIF(Products!$A$2:$A$101,$D472)=0,"Unknown SKU",IF(COUNTIFS(Batches!$A$2:$A$301,$F472,Batches!$B$2:$B$301,$D472)=0,"Unknown lot for this SKU",IF(AND($C472="Adjustment",$G472=""),"Missing: reason",IF(AND($G472&lt;&gt;"",COUNTIF(Config!$B$15:$B$34,$G472)=0),"Unsupported reason",IF(OR(INT($E472)&lt;&gt;$E472,AND(OR($C472="Receipt",$C472="Shipment"),$E472&lt;=0),AND($C472="Adjustment",$E472=0)),"Invalid qty",IF($B472&gt;Config!$B$4,"Date after the as-of date",IF($B472&lt;Config!$B$5,"Date before the opening balance date","OK")))))))))))))))))</f>
        <v/>
      </c>
    </row>
    <row r="473">
      <c r="A473" s="46" t="n"/>
      <c r="B473" s="54" t="n"/>
      <c r="C473" s="46" t="n"/>
      <c r="D473" s="46" t="n"/>
      <c r="E473" s="55" t="n"/>
      <c r="F473" s="46" t="n"/>
      <c r="G473" s="46" t="n"/>
      <c r="H473" s="46" t="n"/>
      <c r="I473" s="46" t="n"/>
      <c r="J473" s="46" t="n"/>
      <c r="K473" s="46" t="n"/>
      <c r="L473" s="46" t="n"/>
      <c r="M473" s="51" t="str">
        <f>IF(NOT(ISNUMBER($E473)),"",IF($C473="Receipt",$E473,IF($C473="Shipment",-$E473,IF($C473="Adjustment",$E473,0))))</f>
        <v/>
      </c>
      <c r="N473" s="49" t="str">
        <f>IF($D473="","",IFERROR(INDEX(Products!$B$2:$B$101,MATCH($D473,Products!$A$2:$A$101,0))&amp;"","(not found)"))</f>
        <v/>
      </c>
      <c r="O473" s="49" t="str">
        <f>IF($F473="","",IFERROR(INDEX(Batches!$B$2:$B$301,MATCH($F473,Batches!$A$2:$A$301,0))&amp;"","(not found)"))</f>
        <v/>
      </c>
      <c r="P473" s="49" t="str">
        <f>IF(COUNTA($A473:$L473)=0,"",IF($A473="","Missing: entry ID",IF(COUNTIF($A$2:$A$2001,$A473)&gt;1,"Duplicate entry ID",IF(NOT(ISNUMBER($B473)),"Missing or invalid: date",IF($C473="","Missing: type",IF($D473="","Missing: SKU",IF(NOT(ISNUMBER($E473)),"Missing: qty",IF($F473="","Missing: lot",IF($I473="","Missing: source link",IF(COUNTIF(Config!$A$15:$A$34,$C473)=0,"Unsupported type",IF(COUNTIF(Products!$A$2:$A$101,$D473)=0,"Unknown SKU",IF(COUNTIFS(Batches!$A$2:$A$301,$F473,Batches!$B$2:$B$301,$D473)=0,"Unknown lot for this SKU",IF(AND($C473="Adjustment",$G473=""),"Missing: reason",IF(AND($G473&lt;&gt;"",COUNTIF(Config!$B$15:$B$34,$G473)=0),"Unsupported reason",IF(OR(INT($E473)&lt;&gt;$E473,AND(OR($C473="Receipt",$C473="Shipment"),$E473&lt;=0),AND($C473="Adjustment",$E473=0)),"Invalid qty",IF($B473&gt;Config!$B$4,"Date after the as-of date",IF($B473&lt;Config!$B$5,"Date before the opening balance date","OK")))))))))))))))))</f>
        <v/>
      </c>
    </row>
    <row r="474">
      <c r="A474" s="46" t="n"/>
      <c r="B474" s="54" t="n"/>
      <c r="C474" s="46" t="n"/>
      <c r="D474" s="46" t="n"/>
      <c r="E474" s="55" t="n"/>
      <c r="F474" s="46" t="n"/>
      <c r="G474" s="46" t="n"/>
      <c r="H474" s="46" t="n"/>
      <c r="I474" s="46" t="n"/>
      <c r="J474" s="46" t="n"/>
      <c r="K474" s="46" t="n"/>
      <c r="L474" s="46" t="n"/>
      <c r="M474" s="51" t="str">
        <f>IF(NOT(ISNUMBER($E474)),"",IF($C474="Receipt",$E474,IF($C474="Shipment",-$E474,IF($C474="Adjustment",$E474,0))))</f>
        <v/>
      </c>
      <c r="N474" s="49" t="str">
        <f>IF($D474="","",IFERROR(INDEX(Products!$B$2:$B$101,MATCH($D474,Products!$A$2:$A$101,0))&amp;"","(not found)"))</f>
        <v/>
      </c>
      <c r="O474" s="49" t="str">
        <f>IF($F474="","",IFERROR(INDEX(Batches!$B$2:$B$301,MATCH($F474,Batches!$A$2:$A$301,0))&amp;"","(not found)"))</f>
        <v/>
      </c>
      <c r="P474" s="49" t="str">
        <f>IF(COUNTA($A474:$L474)=0,"",IF($A474="","Missing: entry ID",IF(COUNTIF($A$2:$A$2001,$A474)&gt;1,"Duplicate entry ID",IF(NOT(ISNUMBER($B474)),"Missing or invalid: date",IF($C474="","Missing: type",IF($D474="","Missing: SKU",IF(NOT(ISNUMBER($E474)),"Missing: qty",IF($F474="","Missing: lot",IF($I474="","Missing: source link",IF(COUNTIF(Config!$A$15:$A$34,$C474)=0,"Unsupported type",IF(COUNTIF(Products!$A$2:$A$101,$D474)=0,"Unknown SKU",IF(COUNTIFS(Batches!$A$2:$A$301,$F474,Batches!$B$2:$B$301,$D474)=0,"Unknown lot for this SKU",IF(AND($C474="Adjustment",$G474=""),"Missing: reason",IF(AND($G474&lt;&gt;"",COUNTIF(Config!$B$15:$B$34,$G474)=0),"Unsupported reason",IF(OR(INT($E474)&lt;&gt;$E474,AND(OR($C474="Receipt",$C474="Shipment"),$E474&lt;=0),AND($C474="Adjustment",$E474=0)),"Invalid qty",IF($B474&gt;Config!$B$4,"Date after the as-of date",IF($B474&lt;Config!$B$5,"Date before the opening balance date","OK")))))))))))))))))</f>
        <v/>
      </c>
    </row>
    <row r="475">
      <c r="A475" s="46" t="n"/>
      <c r="B475" s="54" t="n"/>
      <c r="C475" s="46" t="n"/>
      <c r="D475" s="46" t="n"/>
      <c r="E475" s="55" t="n"/>
      <c r="F475" s="46" t="n"/>
      <c r="G475" s="46" t="n"/>
      <c r="H475" s="46" t="n"/>
      <c r="I475" s="46" t="n"/>
      <c r="J475" s="46" t="n"/>
      <c r="K475" s="46" t="n"/>
      <c r="L475" s="46" t="n"/>
      <c r="M475" s="51" t="str">
        <f>IF(NOT(ISNUMBER($E475)),"",IF($C475="Receipt",$E475,IF($C475="Shipment",-$E475,IF($C475="Adjustment",$E475,0))))</f>
        <v/>
      </c>
      <c r="N475" s="49" t="str">
        <f>IF($D475="","",IFERROR(INDEX(Products!$B$2:$B$101,MATCH($D475,Products!$A$2:$A$101,0))&amp;"","(not found)"))</f>
        <v/>
      </c>
      <c r="O475" s="49" t="str">
        <f>IF($F475="","",IFERROR(INDEX(Batches!$B$2:$B$301,MATCH($F475,Batches!$A$2:$A$301,0))&amp;"","(not found)"))</f>
        <v/>
      </c>
      <c r="P475" s="49" t="str">
        <f>IF(COUNTA($A475:$L475)=0,"",IF($A475="","Missing: entry ID",IF(COUNTIF($A$2:$A$2001,$A475)&gt;1,"Duplicate entry ID",IF(NOT(ISNUMBER($B475)),"Missing or invalid: date",IF($C475="","Missing: type",IF($D475="","Missing: SKU",IF(NOT(ISNUMBER($E475)),"Missing: qty",IF($F475="","Missing: lot",IF($I475="","Missing: source link",IF(COUNTIF(Config!$A$15:$A$34,$C475)=0,"Unsupported type",IF(COUNTIF(Products!$A$2:$A$101,$D475)=0,"Unknown SKU",IF(COUNTIFS(Batches!$A$2:$A$301,$F475,Batches!$B$2:$B$301,$D475)=0,"Unknown lot for this SKU",IF(AND($C475="Adjustment",$G475=""),"Missing: reason",IF(AND($G475&lt;&gt;"",COUNTIF(Config!$B$15:$B$34,$G475)=0),"Unsupported reason",IF(OR(INT($E475)&lt;&gt;$E475,AND(OR($C475="Receipt",$C475="Shipment"),$E475&lt;=0),AND($C475="Adjustment",$E475=0)),"Invalid qty",IF($B475&gt;Config!$B$4,"Date after the as-of date",IF($B475&lt;Config!$B$5,"Date before the opening balance date","OK")))))))))))))))))</f>
        <v/>
      </c>
    </row>
    <row r="476">
      <c r="A476" s="46" t="n"/>
      <c r="B476" s="54" t="n"/>
      <c r="C476" s="46" t="n"/>
      <c r="D476" s="46" t="n"/>
      <c r="E476" s="55" t="n"/>
      <c r="F476" s="46" t="n"/>
      <c r="G476" s="46" t="n"/>
      <c r="H476" s="46" t="n"/>
      <c r="I476" s="46" t="n"/>
      <c r="J476" s="46" t="n"/>
      <c r="K476" s="46" t="n"/>
      <c r="L476" s="46" t="n"/>
      <c r="M476" s="51" t="str">
        <f>IF(NOT(ISNUMBER($E476)),"",IF($C476="Receipt",$E476,IF($C476="Shipment",-$E476,IF($C476="Adjustment",$E476,0))))</f>
        <v/>
      </c>
      <c r="N476" s="49" t="str">
        <f>IF($D476="","",IFERROR(INDEX(Products!$B$2:$B$101,MATCH($D476,Products!$A$2:$A$101,0))&amp;"","(not found)"))</f>
        <v/>
      </c>
      <c r="O476" s="49" t="str">
        <f>IF($F476="","",IFERROR(INDEX(Batches!$B$2:$B$301,MATCH($F476,Batches!$A$2:$A$301,0))&amp;"","(not found)"))</f>
        <v/>
      </c>
      <c r="P476" s="49" t="str">
        <f>IF(COUNTA($A476:$L476)=0,"",IF($A476="","Missing: entry ID",IF(COUNTIF($A$2:$A$2001,$A476)&gt;1,"Duplicate entry ID",IF(NOT(ISNUMBER($B476)),"Missing or invalid: date",IF($C476="","Missing: type",IF($D476="","Missing: SKU",IF(NOT(ISNUMBER($E476)),"Missing: qty",IF($F476="","Missing: lot",IF($I476="","Missing: source link",IF(COUNTIF(Config!$A$15:$A$34,$C476)=0,"Unsupported type",IF(COUNTIF(Products!$A$2:$A$101,$D476)=0,"Unknown SKU",IF(COUNTIFS(Batches!$A$2:$A$301,$F476,Batches!$B$2:$B$301,$D476)=0,"Unknown lot for this SKU",IF(AND($C476="Adjustment",$G476=""),"Missing: reason",IF(AND($G476&lt;&gt;"",COUNTIF(Config!$B$15:$B$34,$G476)=0),"Unsupported reason",IF(OR(INT($E476)&lt;&gt;$E476,AND(OR($C476="Receipt",$C476="Shipment"),$E476&lt;=0),AND($C476="Adjustment",$E476=0)),"Invalid qty",IF($B476&gt;Config!$B$4,"Date after the as-of date",IF($B476&lt;Config!$B$5,"Date before the opening balance date","OK")))))))))))))))))</f>
        <v/>
      </c>
    </row>
    <row r="477">
      <c r="A477" s="46" t="n"/>
      <c r="B477" s="54" t="n"/>
      <c r="C477" s="46" t="n"/>
      <c r="D477" s="46" t="n"/>
      <c r="E477" s="55" t="n"/>
      <c r="F477" s="46" t="n"/>
      <c r="G477" s="46" t="n"/>
      <c r="H477" s="46" t="n"/>
      <c r="I477" s="46" t="n"/>
      <c r="J477" s="46" t="n"/>
      <c r="K477" s="46" t="n"/>
      <c r="L477" s="46" t="n"/>
      <c r="M477" s="51" t="str">
        <f>IF(NOT(ISNUMBER($E477)),"",IF($C477="Receipt",$E477,IF($C477="Shipment",-$E477,IF($C477="Adjustment",$E477,0))))</f>
        <v/>
      </c>
      <c r="N477" s="49" t="str">
        <f>IF($D477="","",IFERROR(INDEX(Products!$B$2:$B$101,MATCH($D477,Products!$A$2:$A$101,0))&amp;"","(not found)"))</f>
        <v/>
      </c>
      <c r="O477" s="49" t="str">
        <f>IF($F477="","",IFERROR(INDEX(Batches!$B$2:$B$301,MATCH($F477,Batches!$A$2:$A$301,0))&amp;"","(not found)"))</f>
        <v/>
      </c>
      <c r="P477" s="49" t="str">
        <f>IF(COUNTA($A477:$L477)=0,"",IF($A477="","Missing: entry ID",IF(COUNTIF($A$2:$A$2001,$A477)&gt;1,"Duplicate entry ID",IF(NOT(ISNUMBER($B477)),"Missing or invalid: date",IF($C477="","Missing: type",IF($D477="","Missing: SKU",IF(NOT(ISNUMBER($E477)),"Missing: qty",IF($F477="","Missing: lot",IF($I477="","Missing: source link",IF(COUNTIF(Config!$A$15:$A$34,$C477)=0,"Unsupported type",IF(COUNTIF(Products!$A$2:$A$101,$D477)=0,"Unknown SKU",IF(COUNTIFS(Batches!$A$2:$A$301,$F477,Batches!$B$2:$B$301,$D477)=0,"Unknown lot for this SKU",IF(AND($C477="Adjustment",$G477=""),"Missing: reason",IF(AND($G477&lt;&gt;"",COUNTIF(Config!$B$15:$B$34,$G477)=0),"Unsupported reason",IF(OR(INT($E477)&lt;&gt;$E477,AND(OR($C477="Receipt",$C477="Shipment"),$E477&lt;=0),AND($C477="Adjustment",$E477=0)),"Invalid qty",IF($B477&gt;Config!$B$4,"Date after the as-of date",IF($B477&lt;Config!$B$5,"Date before the opening balance date","OK")))))))))))))))))</f>
        <v/>
      </c>
    </row>
    <row r="478">
      <c r="A478" s="46" t="n"/>
      <c r="B478" s="54" t="n"/>
      <c r="C478" s="46" t="n"/>
      <c r="D478" s="46" t="n"/>
      <c r="E478" s="55" t="n"/>
      <c r="F478" s="46" t="n"/>
      <c r="G478" s="46" t="n"/>
      <c r="H478" s="46" t="n"/>
      <c r="I478" s="46" t="n"/>
      <c r="J478" s="46" t="n"/>
      <c r="K478" s="46" t="n"/>
      <c r="L478" s="46" t="n"/>
      <c r="M478" s="51" t="str">
        <f>IF(NOT(ISNUMBER($E478)),"",IF($C478="Receipt",$E478,IF($C478="Shipment",-$E478,IF($C478="Adjustment",$E478,0))))</f>
        <v/>
      </c>
      <c r="N478" s="49" t="str">
        <f>IF($D478="","",IFERROR(INDEX(Products!$B$2:$B$101,MATCH($D478,Products!$A$2:$A$101,0))&amp;"","(not found)"))</f>
        <v/>
      </c>
      <c r="O478" s="49" t="str">
        <f>IF($F478="","",IFERROR(INDEX(Batches!$B$2:$B$301,MATCH($F478,Batches!$A$2:$A$301,0))&amp;"","(not found)"))</f>
        <v/>
      </c>
      <c r="P478" s="49" t="str">
        <f>IF(COUNTA($A478:$L478)=0,"",IF($A478="","Missing: entry ID",IF(COUNTIF($A$2:$A$2001,$A478)&gt;1,"Duplicate entry ID",IF(NOT(ISNUMBER($B478)),"Missing or invalid: date",IF($C478="","Missing: type",IF($D478="","Missing: SKU",IF(NOT(ISNUMBER($E478)),"Missing: qty",IF($F478="","Missing: lot",IF($I478="","Missing: source link",IF(COUNTIF(Config!$A$15:$A$34,$C478)=0,"Unsupported type",IF(COUNTIF(Products!$A$2:$A$101,$D478)=0,"Unknown SKU",IF(COUNTIFS(Batches!$A$2:$A$301,$F478,Batches!$B$2:$B$301,$D478)=0,"Unknown lot for this SKU",IF(AND($C478="Adjustment",$G478=""),"Missing: reason",IF(AND($G478&lt;&gt;"",COUNTIF(Config!$B$15:$B$34,$G478)=0),"Unsupported reason",IF(OR(INT($E478)&lt;&gt;$E478,AND(OR($C478="Receipt",$C478="Shipment"),$E478&lt;=0),AND($C478="Adjustment",$E478=0)),"Invalid qty",IF($B478&gt;Config!$B$4,"Date after the as-of date",IF($B478&lt;Config!$B$5,"Date before the opening balance date","OK")))))))))))))))))</f>
        <v/>
      </c>
    </row>
    <row r="479">
      <c r="A479" s="46" t="n"/>
      <c r="B479" s="54" t="n"/>
      <c r="C479" s="46" t="n"/>
      <c r="D479" s="46" t="n"/>
      <c r="E479" s="55" t="n"/>
      <c r="F479" s="46" t="n"/>
      <c r="G479" s="46" t="n"/>
      <c r="H479" s="46" t="n"/>
      <c r="I479" s="46" t="n"/>
      <c r="J479" s="46" t="n"/>
      <c r="K479" s="46" t="n"/>
      <c r="L479" s="46" t="n"/>
      <c r="M479" s="51" t="str">
        <f>IF(NOT(ISNUMBER($E479)),"",IF($C479="Receipt",$E479,IF($C479="Shipment",-$E479,IF($C479="Adjustment",$E479,0))))</f>
        <v/>
      </c>
      <c r="N479" s="49" t="str">
        <f>IF($D479="","",IFERROR(INDEX(Products!$B$2:$B$101,MATCH($D479,Products!$A$2:$A$101,0))&amp;"","(not found)"))</f>
        <v/>
      </c>
      <c r="O479" s="49" t="str">
        <f>IF($F479="","",IFERROR(INDEX(Batches!$B$2:$B$301,MATCH($F479,Batches!$A$2:$A$301,0))&amp;"","(not found)"))</f>
        <v/>
      </c>
      <c r="P479" s="49" t="str">
        <f>IF(COUNTA($A479:$L479)=0,"",IF($A479="","Missing: entry ID",IF(COUNTIF($A$2:$A$2001,$A479)&gt;1,"Duplicate entry ID",IF(NOT(ISNUMBER($B479)),"Missing or invalid: date",IF($C479="","Missing: type",IF($D479="","Missing: SKU",IF(NOT(ISNUMBER($E479)),"Missing: qty",IF($F479="","Missing: lot",IF($I479="","Missing: source link",IF(COUNTIF(Config!$A$15:$A$34,$C479)=0,"Unsupported type",IF(COUNTIF(Products!$A$2:$A$101,$D479)=0,"Unknown SKU",IF(COUNTIFS(Batches!$A$2:$A$301,$F479,Batches!$B$2:$B$301,$D479)=0,"Unknown lot for this SKU",IF(AND($C479="Adjustment",$G479=""),"Missing: reason",IF(AND($G479&lt;&gt;"",COUNTIF(Config!$B$15:$B$34,$G479)=0),"Unsupported reason",IF(OR(INT($E479)&lt;&gt;$E479,AND(OR($C479="Receipt",$C479="Shipment"),$E479&lt;=0),AND($C479="Adjustment",$E479=0)),"Invalid qty",IF($B479&gt;Config!$B$4,"Date after the as-of date",IF($B479&lt;Config!$B$5,"Date before the opening balance date","OK")))))))))))))))))</f>
        <v/>
      </c>
    </row>
    <row r="480">
      <c r="A480" s="46" t="n"/>
      <c r="B480" s="54" t="n"/>
      <c r="C480" s="46" t="n"/>
      <c r="D480" s="46" t="n"/>
      <c r="E480" s="55" t="n"/>
      <c r="F480" s="46" t="n"/>
      <c r="G480" s="46" t="n"/>
      <c r="H480" s="46" t="n"/>
      <c r="I480" s="46" t="n"/>
      <c r="J480" s="46" t="n"/>
      <c r="K480" s="46" t="n"/>
      <c r="L480" s="46" t="n"/>
      <c r="M480" s="51" t="str">
        <f>IF(NOT(ISNUMBER($E480)),"",IF($C480="Receipt",$E480,IF($C480="Shipment",-$E480,IF($C480="Adjustment",$E480,0))))</f>
        <v/>
      </c>
      <c r="N480" s="49" t="str">
        <f>IF($D480="","",IFERROR(INDEX(Products!$B$2:$B$101,MATCH($D480,Products!$A$2:$A$101,0))&amp;"","(not found)"))</f>
        <v/>
      </c>
      <c r="O480" s="49" t="str">
        <f>IF($F480="","",IFERROR(INDEX(Batches!$B$2:$B$301,MATCH($F480,Batches!$A$2:$A$301,0))&amp;"","(not found)"))</f>
        <v/>
      </c>
      <c r="P480" s="49" t="str">
        <f>IF(COUNTA($A480:$L480)=0,"",IF($A480="","Missing: entry ID",IF(COUNTIF($A$2:$A$2001,$A480)&gt;1,"Duplicate entry ID",IF(NOT(ISNUMBER($B480)),"Missing or invalid: date",IF($C480="","Missing: type",IF($D480="","Missing: SKU",IF(NOT(ISNUMBER($E480)),"Missing: qty",IF($F480="","Missing: lot",IF($I480="","Missing: source link",IF(COUNTIF(Config!$A$15:$A$34,$C480)=0,"Unsupported type",IF(COUNTIF(Products!$A$2:$A$101,$D480)=0,"Unknown SKU",IF(COUNTIFS(Batches!$A$2:$A$301,$F480,Batches!$B$2:$B$301,$D480)=0,"Unknown lot for this SKU",IF(AND($C480="Adjustment",$G480=""),"Missing: reason",IF(AND($G480&lt;&gt;"",COUNTIF(Config!$B$15:$B$34,$G480)=0),"Unsupported reason",IF(OR(INT($E480)&lt;&gt;$E480,AND(OR($C480="Receipt",$C480="Shipment"),$E480&lt;=0),AND($C480="Adjustment",$E480=0)),"Invalid qty",IF($B480&gt;Config!$B$4,"Date after the as-of date",IF($B480&lt;Config!$B$5,"Date before the opening balance date","OK")))))))))))))))))</f>
        <v/>
      </c>
    </row>
    <row r="481">
      <c r="A481" s="46" t="n"/>
      <c r="B481" s="54" t="n"/>
      <c r="C481" s="46" t="n"/>
      <c r="D481" s="46" t="n"/>
      <c r="E481" s="55" t="n"/>
      <c r="F481" s="46" t="n"/>
      <c r="G481" s="46" t="n"/>
      <c r="H481" s="46" t="n"/>
      <c r="I481" s="46" t="n"/>
      <c r="J481" s="46" t="n"/>
      <c r="K481" s="46" t="n"/>
      <c r="L481" s="46" t="n"/>
      <c r="M481" s="51" t="str">
        <f>IF(NOT(ISNUMBER($E481)),"",IF($C481="Receipt",$E481,IF($C481="Shipment",-$E481,IF($C481="Adjustment",$E481,0))))</f>
        <v/>
      </c>
      <c r="N481" s="49" t="str">
        <f>IF($D481="","",IFERROR(INDEX(Products!$B$2:$B$101,MATCH($D481,Products!$A$2:$A$101,0))&amp;"","(not found)"))</f>
        <v/>
      </c>
      <c r="O481" s="49" t="str">
        <f>IF($F481="","",IFERROR(INDEX(Batches!$B$2:$B$301,MATCH($F481,Batches!$A$2:$A$301,0))&amp;"","(not found)"))</f>
        <v/>
      </c>
      <c r="P481" s="49" t="str">
        <f>IF(COUNTA($A481:$L481)=0,"",IF($A481="","Missing: entry ID",IF(COUNTIF($A$2:$A$2001,$A481)&gt;1,"Duplicate entry ID",IF(NOT(ISNUMBER($B481)),"Missing or invalid: date",IF($C481="","Missing: type",IF($D481="","Missing: SKU",IF(NOT(ISNUMBER($E481)),"Missing: qty",IF($F481="","Missing: lot",IF($I481="","Missing: source link",IF(COUNTIF(Config!$A$15:$A$34,$C481)=0,"Unsupported type",IF(COUNTIF(Products!$A$2:$A$101,$D481)=0,"Unknown SKU",IF(COUNTIFS(Batches!$A$2:$A$301,$F481,Batches!$B$2:$B$301,$D481)=0,"Unknown lot for this SKU",IF(AND($C481="Adjustment",$G481=""),"Missing: reason",IF(AND($G481&lt;&gt;"",COUNTIF(Config!$B$15:$B$34,$G481)=0),"Unsupported reason",IF(OR(INT($E481)&lt;&gt;$E481,AND(OR($C481="Receipt",$C481="Shipment"),$E481&lt;=0),AND($C481="Adjustment",$E481=0)),"Invalid qty",IF($B481&gt;Config!$B$4,"Date after the as-of date",IF($B481&lt;Config!$B$5,"Date before the opening balance date","OK")))))))))))))))))</f>
        <v/>
      </c>
    </row>
    <row r="482">
      <c r="A482" s="46" t="n"/>
      <c r="B482" s="54" t="n"/>
      <c r="C482" s="46" t="n"/>
      <c r="D482" s="46" t="n"/>
      <c r="E482" s="55" t="n"/>
      <c r="F482" s="46" t="n"/>
      <c r="G482" s="46" t="n"/>
      <c r="H482" s="46" t="n"/>
      <c r="I482" s="46" t="n"/>
      <c r="J482" s="46" t="n"/>
      <c r="K482" s="46" t="n"/>
      <c r="L482" s="46" t="n"/>
      <c r="M482" s="51" t="str">
        <f>IF(NOT(ISNUMBER($E482)),"",IF($C482="Receipt",$E482,IF($C482="Shipment",-$E482,IF($C482="Adjustment",$E482,0))))</f>
        <v/>
      </c>
      <c r="N482" s="49" t="str">
        <f>IF($D482="","",IFERROR(INDEX(Products!$B$2:$B$101,MATCH($D482,Products!$A$2:$A$101,0))&amp;"","(not found)"))</f>
        <v/>
      </c>
      <c r="O482" s="49" t="str">
        <f>IF($F482="","",IFERROR(INDEX(Batches!$B$2:$B$301,MATCH($F482,Batches!$A$2:$A$301,0))&amp;"","(not found)"))</f>
        <v/>
      </c>
      <c r="P482" s="49" t="str">
        <f>IF(COUNTA($A482:$L482)=0,"",IF($A482="","Missing: entry ID",IF(COUNTIF($A$2:$A$2001,$A482)&gt;1,"Duplicate entry ID",IF(NOT(ISNUMBER($B482)),"Missing or invalid: date",IF($C482="","Missing: type",IF($D482="","Missing: SKU",IF(NOT(ISNUMBER($E482)),"Missing: qty",IF($F482="","Missing: lot",IF($I482="","Missing: source link",IF(COUNTIF(Config!$A$15:$A$34,$C482)=0,"Unsupported type",IF(COUNTIF(Products!$A$2:$A$101,$D482)=0,"Unknown SKU",IF(COUNTIFS(Batches!$A$2:$A$301,$F482,Batches!$B$2:$B$301,$D482)=0,"Unknown lot for this SKU",IF(AND($C482="Adjustment",$G482=""),"Missing: reason",IF(AND($G482&lt;&gt;"",COUNTIF(Config!$B$15:$B$34,$G482)=0),"Unsupported reason",IF(OR(INT($E482)&lt;&gt;$E482,AND(OR($C482="Receipt",$C482="Shipment"),$E482&lt;=0),AND($C482="Adjustment",$E482=0)),"Invalid qty",IF($B482&gt;Config!$B$4,"Date after the as-of date",IF($B482&lt;Config!$B$5,"Date before the opening balance date","OK")))))))))))))))))</f>
        <v/>
      </c>
    </row>
    <row r="483">
      <c r="A483" s="46" t="n"/>
      <c r="B483" s="54" t="n"/>
      <c r="C483" s="46" t="n"/>
      <c r="D483" s="46" t="n"/>
      <c r="E483" s="55" t="n"/>
      <c r="F483" s="46" t="n"/>
      <c r="G483" s="46" t="n"/>
      <c r="H483" s="46" t="n"/>
      <c r="I483" s="46" t="n"/>
      <c r="J483" s="46" t="n"/>
      <c r="K483" s="46" t="n"/>
      <c r="L483" s="46" t="n"/>
      <c r="M483" s="51" t="str">
        <f>IF(NOT(ISNUMBER($E483)),"",IF($C483="Receipt",$E483,IF($C483="Shipment",-$E483,IF($C483="Adjustment",$E483,0))))</f>
        <v/>
      </c>
      <c r="N483" s="49" t="str">
        <f>IF($D483="","",IFERROR(INDEX(Products!$B$2:$B$101,MATCH($D483,Products!$A$2:$A$101,0))&amp;"","(not found)"))</f>
        <v/>
      </c>
      <c r="O483" s="49" t="str">
        <f>IF($F483="","",IFERROR(INDEX(Batches!$B$2:$B$301,MATCH($F483,Batches!$A$2:$A$301,0))&amp;"","(not found)"))</f>
        <v/>
      </c>
      <c r="P483" s="49" t="str">
        <f>IF(COUNTA($A483:$L483)=0,"",IF($A483="","Missing: entry ID",IF(COUNTIF($A$2:$A$2001,$A483)&gt;1,"Duplicate entry ID",IF(NOT(ISNUMBER($B483)),"Missing or invalid: date",IF($C483="","Missing: type",IF($D483="","Missing: SKU",IF(NOT(ISNUMBER($E483)),"Missing: qty",IF($F483="","Missing: lot",IF($I483="","Missing: source link",IF(COUNTIF(Config!$A$15:$A$34,$C483)=0,"Unsupported type",IF(COUNTIF(Products!$A$2:$A$101,$D483)=0,"Unknown SKU",IF(COUNTIFS(Batches!$A$2:$A$301,$F483,Batches!$B$2:$B$301,$D483)=0,"Unknown lot for this SKU",IF(AND($C483="Adjustment",$G483=""),"Missing: reason",IF(AND($G483&lt;&gt;"",COUNTIF(Config!$B$15:$B$34,$G483)=0),"Unsupported reason",IF(OR(INT($E483)&lt;&gt;$E483,AND(OR($C483="Receipt",$C483="Shipment"),$E483&lt;=0),AND($C483="Adjustment",$E483=0)),"Invalid qty",IF($B483&gt;Config!$B$4,"Date after the as-of date",IF($B483&lt;Config!$B$5,"Date before the opening balance date","OK")))))))))))))))))</f>
        <v/>
      </c>
    </row>
    <row r="484">
      <c r="A484" s="46" t="n"/>
      <c r="B484" s="54" t="n"/>
      <c r="C484" s="46" t="n"/>
      <c r="D484" s="46" t="n"/>
      <c r="E484" s="55" t="n"/>
      <c r="F484" s="46" t="n"/>
      <c r="G484" s="46" t="n"/>
      <c r="H484" s="46" t="n"/>
      <c r="I484" s="46" t="n"/>
      <c r="J484" s="46" t="n"/>
      <c r="K484" s="46" t="n"/>
      <c r="L484" s="46" t="n"/>
      <c r="M484" s="51" t="str">
        <f>IF(NOT(ISNUMBER($E484)),"",IF($C484="Receipt",$E484,IF($C484="Shipment",-$E484,IF($C484="Adjustment",$E484,0))))</f>
        <v/>
      </c>
      <c r="N484" s="49" t="str">
        <f>IF($D484="","",IFERROR(INDEX(Products!$B$2:$B$101,MATCH($D484,Products!$A$2:$A$101,0))&amp;"","(not found)"))</f>
        <v/>
      </c>
      <c r="O484" s="49" t="str">
        <f>IF($F484="","",IFERROR(INDEX(Batches!$B$2:$B$301,MATCH($F484,Batches!$A$2:$A$301,0))&amp;"","(not found)"))</f>
        <v/>
      </c>
      <c r="P484" s="49" t="str">
        <f>IF(COUNTA($A484:$L484)=0,"",IF($A484="","Missing: entry ID",IF(COUNTIF($A$2:$A$2001,$A484)&gt;1,"Duplicate entry ID",IF(NOT(ISNUMBER($B484)),"Missing or invalid: date",IF($C484="","Missing: type",IF($D484="","Missing: SKU",IF(NOT(ISNUMBER($E484)),"Missing: qty",IF($F484="","Missing: lot",IF($I484="","Missing: source link",IF(COUNTIF(Config!$A$15:$A$34,$C484)=0,"Unsupported type",IF(COUNTIF(Products!$A$2:$A$101,$D484)=0,"Unknown SKU",IF(COUNTIFS(Batches!$A$2:$A$301,$F484,Batches!$B$2:$B$301,$D484)=0,"Unknown lot for this SKU",IF(AND($C484="Adjustment",$G484=""),"Missing: reason",IF(AND($G484&lt;&gt;"",COUNTIF(Config!$B$15:$B$34,$G484)=0),"Unsupported reason",IF(OR(INT($E484)&lt;&gt;$E484,AND(OR($C484="Receipt",$C484="Shipment"),$E484&lt;=0),AND($C484="Adjustment",$E484=0)),"Invalid qty",IF($B484&gt;Config!$B$4,"Date after the as-of date",IF($B484&lt;Config!$B$5,"Date before the opening balance date","OK")))))))))))))))))</f>
        <v/>
      </c>
    </row>
    <row r="485">
      <c r="A485" s="46" t="n"/>
      <c r="B485" s="54" t="n"/>
      <c r="C485" s="46" t="n"/>
      <c r="D485" s="46" t="n"/>
      <c r="E485" s="55" t="n"/>
      <c r="F485" s="46" t="n"/>
      <c r="G485" s="46" t="n"/>
      <c r="H485" s="46" t="n"/>
      <c r="I485" s="46" t="n"/>
      <c r="J485" s="46" t="n"/>
      <c r="K485" s="46" t="n"/>
      <c r="L485" s="46" t="n"/>
      <c r="M485" s="51" t="str">
        <f>IF(NOT(ISNUMBER($E485)),"",IF($C485="Receipt",$E485,IF($C485="Shipment",-$E485,IF($C485="Adjustment",$E485,0))))</f>
        <v/>
      </c>
      <c r="N485" s="49" t="str">
        <f>IF($D485="","",IFERROR(INDEX(Products!$B$2:$B$101,MATCH($D485,Products!$A$2:$A$101,0))&amp;"","(not found)"))</f>
        <v/>
      </c>
      <c r="O485" s="49" t="str">
        <f>IF($F485="","",IFERROR(INDEX(Batches!$B$2:$B$301,MATCH($F485,Batches!$A$2:$A$301,0))&amp;"","(not found)"))</f>
        <v/>
      </c>
      <c r="P485" s="49" t="str">
        <f>IF(COUNTA($A485:$L485)=0,"",IF($A485="","Missing: entry ID",IF(COUNTIF($A$2:$A$2001,$A485)&gt;1,"Duplicate entry ID",IF(NOT(ISNUMBER($B485)),"Missing or invalid: date",IF($C485="","Missing: type",IF($D485="","Missing: SKU",IF(NOT(ISNUMBER($E485)),"Missing: qty",IF($F485="","Missing: lot",IF($I485="","Missing: source link",IF(COUNTIF(Config!$A$15:$A$34,$C485)=0,"Unsupported type",IF(COUNTIF(Products!$A$2:$A$101,$D485)=0,"Unknown SKU",IF(COUNTIFS(Batches!$A$2:$A$301,$F485,Batches!$B$2:$B$301,$D485)=0,"Unknown lot for this SKU",IF(AND($C485="Adjustment",$G485=""),"Missing: reason",IF(AND($G485&lt;&gt;"",COUNTIF(Config!$B$15:$B$34,$G485)=0),"Unsupported reason",IF(OR(INT($E485)&lt;&gt;$E485,AND(OR($C485="Receipt",$C485="Shipment"),$E485&lt;=0),AND($C485="Adjustment",$E485=0)),"Invalid qty",IF($B485&gt;Config!$B$4,"Date after the as-of date",IF($B485&lt;Config!$B$5,"Date before the opening balance date","OK")))))))))))))))))</f>
        <v/>
      </c>
    </row>
    <row r="486">
      <c r="A486" s="46" t="n"/>
      <c r="B486" s="54" t="n"/>
      <c r="C486" s="46" t="n"/>
      <c r="D486" s="46" t="n"/>
      <c r="E486" s="55" t="n"/>
      <c r="F486" s="46" t="n"/>
      <c r="G486" s="46" t="n"/>
      <c r="H486" s="46" t="n"/>
      <c r="I486" s="46" t="n"/>
      <c r="J486" s="46" t="n"/>
      <c r="K486" s="46" t="n"/>
      <c r="L486" s="46" t="n"/>
      <c r="M486" s="51" t="str">
        <f>IF(NOT(ISNUMBER($E486)),"",IF($C486="Receipt",$E486,IF($C486="Shipment",-$E486,IF($C486="Adjustment",$E486,0))))</f>
        <v/>
      </c>
      <c r="N486" s="49" t="str">
        <f>IF($D486="","",IFERROR(INDEX(Products!$B$2:$B$101,MATCH($D486,Products!$A$2:$A$101,0))&amp;"","(not found)"))</f>
        <v/>
      </c>
      <c r="O486" s="49" t="str">
        <f>IF($F486="","",IFERROR(INDEX(Batches!$B$2:$B$301,MATCH($F486,Batches!$A$2:$A$301,0))&amp;"","(not found)"))</f>
        <v/>
      </c>
      <c r="P486" s="49" t="str">
        <f>IF(COUNTA($A486:$L486)=0,"",IF($A486="","Missing: entry ID",IF(COUNTIF($A$2:$A$2001,$A486)&gt;1,"Duplicate entry ID",IF(NOT(ISNUMBER($B486)),"Missing or invalid: date",IF($C486="","Missing: type",IF($D486="","Missing: SKU",IF(NOT(ISNUMBER($E486)),"Missing: qty",IF($F486="","Missing: lot",IF($I486="","Missing: source link",IF(COUNTIF(Config!$A$15:$A$34,$C486)=0,"Unsupported type",IF(COUNTIF(Products!$A$2:$A$101,$D486)=0,"Unknown SKU",IF(COUNTIFS(Batches!$A$2:$A$301,$F486,Batches!$B$2:$B$301,$D486)=0,"Unknown lot for this SKU",IF(AND($C486="Adjustment",$G486=""),"Missing: reason",IF(AND($G486&lt;&gt;"",COUNTIF(Config!$B$15:$B$34,$G486)=0),"Unsupported reason",IF(OR(INT($E486)&lt;&gt;$E486,AND(OR($C486="Receipt",$C486="Shipment"),$E486&lt;=0),AND($C486="Adjustment",$E486=0)),"Invalid qty",IF($B486&gt;Config!$B$4,"Date after the as-of date",IF($B486&lt;Config!$B$5,"Date before the opening balance date","OK")))))))))))))))))</f>
        <v/>
      </c>
    </row>
    <row r="487">
      <c r="A487" s="46" t="n"/>
      <c r="B487" s="54" t="n"/>
      <c r="C487" s="46" t="n"/>
      <c r="D487" s="46" t="n"/>
      <c r="E487" s="55" t="n"/>
      <c r="F487" s="46" t="n"/>
      <c r="G487" s="46" t="n"/>
      <c r="H487" s="46" t="n"/>
      <c r="I487" s="46" t="n"/>
      <c r="J487" s="46" t="n"/>
      <c r="K487" s="46" t="n"/>
      <c r="L487" s="46" t="n"/>
      <c r="M487" s="51" t="str">
        <f>IF(NOT(ISNUMBER($E487)),"",IF($C487="Receipt",$E487,IF($C487="Shipment",-$E487,IF($C487="Adjustment",$E487,0))))</f>
        <v/>
      </c>
      <c r="N487" s="49" t="str">
        <f>IF($D487="","",IFERROR(INDEX(Products!$B$2:$B$101,MATCH($D487,Products!$A$2:$A$101,0))&amp;"","(not found)"))</f>
        <v/>
      </c>
      <c r="O487" s="49" t="str">
        <f>IF($F487="","",IFERROR(INDEX(Batches!$B$2:$B$301,MATCH($F487,Batches!$A$2:$A$301,0))&amp;"","(not found)"))</f>
        <v/>
      </c>
      <c r="P487" s="49" t="str">
        <f>IF(COUNTA($A487:$L487)=0,"",IF($A487="","Missing: entry ID",IF(COUNTIF($A$2:$A$2001,$A487)&gt;1,"Duplicate entry ID",IF(NOT(ISNUMBER($B487)),"Missing or invalid: date",IF($C487="","Missing: type",IF($D487="","Missing: SKU",IF(NOT(ISNUMBER($E487)),"Missing: qty",IF($F487="","Missing: lot",IF($I487="","Missing: source link",IF(COUNTIF(Config!$A$15:$A$34,$C487)=0,"Unsupported type",IF(COUNTIF(Products!$A$2:$A$101,$D487)=0,"Unknown SKU",IF(COUNTIFS(Batches!$A$2:$A$301,$F487,Batches!$B$2:$B$301,$D487)=0,"Unknown lot for this SKU",IF(AND($C487="Adjustment",$G487=""),"Missing: reason",IF(AND($G487&lt;&gt;"",COUNTIF(Config!$B$15:$B$34,$G487)=0),"Unsupported reason",IF(OR(INT($E487)&lt;&gt;$E487,AND(OR($C487="Receipt",$C487="Shipment"),$E487&lt;=0),AND($C487="Adjustment",$E487=0)),"Invalid qty",IF($B487&gt;Config!$B$4,"Date after the as-of date",IF($B487&lt;Config!$B$5,"Date before the opening balance date","OK")))))))))))))))))</f>
        <v/>
      </c>
    </row>
    <row r="488">
      <c r="A488" s="46" t="n"/>
      <c r="B488" s="54" t="n"/>
      <c r="C488" s="46" t="n"/>
      <c r="D488" s="46" t="n"/>
      <c r="E488" s="55" t="n"/>
      <c r="F488" s="46" t="n"/>
      <c r="G488" s="46" t="n"/>
      <c r="H488" s="46" t="n"/>
      <c r="I488" s="46" t="n"/>
      <c r="J488" s="46" t="n"/>
      <c r="K488" s="46" t="n"/>
      <c r="L488" s="46" t="n"/>
      <c r="M488" s="51" t="str">
        <f>IF(NOT(ISNUMBER($E488)),"",IF($C488="Receipt",$E488,IF($C488="Shipment",-$E488,IF($C488="Adjustment",$E488,0))))</f>
        <v/>
      </c>
      <c r="N488" s="49" t="str">
        <f>IF($D488="","",IFERROR(INDEX(Products!$B$2:$B$101,MATCH($D488,Products!$A$2:$A$101,0))&amp;"","(not found)"))</f>
        <v/>
      </c>
      <c r="O488" s="49" t="str">
        <f>IF($F488="","",IFERROR(INDEX(Batches!$B$2:$B$301,MATCH($F488,Batches!$A$2:$A$301,0))&amp;"","(not found)"))</f>
        <v/>
      </c>
      <c r="P488" s="49" t="str">
        <f>IF(COUNTA($A488:$L488)=0,"",IF($A488="","Missing: entry ID",IF(COUNTIF($A$2:$A$2001,$A488)&gt;1,"Duplicate entry ID",IF(NOT(ISNUMBER($B488)),"Missing or invalid: date",IF($C488="","Missing: type",IF($D488="","Missing: SKU",IF(NOT(ISNUMBER($E488)),"Missing: qty",IF($F488="","Missing: lot",IF($I488="","Missing: source link",IF(COUNTIF(Config!$A$15:$A$34,$C488)=0,"Unsupported type",IF(COUNTIF(Products!$A$2:$A$101,$D488)=0,"Unknown SKU",IF(COUNTIFS(Batches!$A$2:$A$301,$F488,Batches!$B$2:$B$301,$D488)=0,"Unknown lot for this SKU",IF(AND($C488="Adjustment",$G488=""),"Missing: reason",IF(AND($G488&lt;&gt;"",COUNTIF(Config!$B$15:$B$34,$G488)=0),"Unsupported reason",IF(OR(INT($E488)&lt;&gt;$E488,AND(OR($C488="Receipt",$C488="Shipment"),$E488&lt;=0),AND($C488="Adjustment",$E488=0)),"Invalid qty",IF($B488&gt;Config!$B$4,"Date after the as-of date",IF($B488&lt;Config!$B$5,"Date before the opening balance date","OK")))))))))))))))))</f>
        <v/>
      </c>
    </row>
    <row r="489">
      <c r="A489" s="46" t="n"/>
      <c r="B489" s="54" t="n"/>
      <c r="C489" s="46" t="n"/>
      <c r="D489" s="46" t="n"/>
      <c r="E489" s="55" t="n"/>
      <c r="F489" s="46" t="n"/>
      <c r="G489" s="46" t="n"/>
      <c r="H489" s="46" t="n"/>
      <c r="I489" s="46" t="n"/>
      <c r="J489" s="46" t="n"/>
      <c r="K489" s="46" t="n"/>
      <c r="L489" s="46" t="n"/>
      <c r="M489" s="51" t="str">
        <f>IF(NOT(ISNUMBER($E489)),"",IF($C489="Receipt",$E489,IF($C489="Shipment",-$E489,IF($C489="Adjustment",$E489,0))))</f>
        <v/>
      </c>
      <c r="N489" s="49" t="str">
        <f>IF($D489="","",IFERROR(INDEX(Products!$B$2:$B$101,MATCH($D489,Products!$A$2:$A$101,0))&amp;"","(not found)"))</f>
        <v/>
      </c>
      <c r="O489" s="49" t="str">
        <f>IF($F489="","",IFERROR(INDEX(Batches!$B$2:$B$301,MATCH($F489,Batches!$A$2:$A$301,0))&amp;"","(not found)"))</f>
        <v/>
      </c>
      <c r="P489" s="49" t="str">
        <f>IF(COUNTA($A489:$L489)=0,"",IF($A489="","Missing: entry ID",IF(COUNTIF($A$2:$A$2001,$A489)&gt;1,"Duplicate entry ID",IF(NOT(ISNUMBER($B489)),"Missing or invalid: date",IF($C489="","Missing: type",IF($D489="","Missing: SKU",IF(NOT(ISNUMBER($E489)),"Missing: qty",IF($F489="","Missing: lot",IF($I489="","Missing: source link",IF(COUNTIF(Config!$A$15:$A$34,$C489)=0,"Unsupported type",IF(COUNTIF(Products!$A$2:$A$101,$D489)=0,"Unknown SKU",IF(COUNTIFS(Batches!$A$2:$A$301,$F489,Batches!$B$2:$B$301,$D489)=0,"Unknown lot for this SKU",IF(AND($C489="Adjustment",$G489=""),"Missing: reason",IF(AND($G489&lt;&gt;"",COUNTIF(Config!$B$15:$B$34,$G489)=0),"Unsupported reason",IF(OR(INT($E489)&lt;&gt;$E489,AND(OR($C489="Receipt",$C489="Shipment"),$E489&lt;=0),AND($C489="Adjustment",$E489=0)),"Invalid qty",IF($B489&gt;Config!$B$4,"Date after the as-of date",IF($B489&lt;Config!$B$5,"Date before the opening balance date","OK")))))))))))))))))</f>
        <v/>
      </c>
    </row>
    <row r="490">
      <c r="A490" s="46" t="n"/>
      <c r="B490" s="54" t="n"/>
      <c r="C490" s="46" t="n"/>
      <c r="D490" s="46" t="n"/>
      <c r="E490" s="55" t="n"/>
      <c r="F490" s="46" t="n"/>
      <c r="G490" s="46" t="n"/>
      <c r="H490" s="46" t="n"/>
      <c r="I490" s="46" t="n"/>
      <c r="J490" s="46" t="n"/>
      <c r="K490" s="46" t="n"/>
      <c r="L490" s="46" t="n"/>
      <c r="M490" s="51" t="str">
        <f>IF(NOT(ISNUMBER($E490)),"",IF($C490="Receipt",$E490,IF($C490="Shipment",-$E490,IF($C490="Adjustment",$E490,0))))</f>
        <v/>
      </c>
      <c r="N490" s="49" t="str">
        <f>IF($D490="","",IFERROR(INDEX(Products!$B$2:$B$101,MATCH($D490,Products!$A$2:$A$101,0))&amp;"","(not found)"))</f>
        <v/>
      </c>
      <c r="O490" s="49" t="str">
        <f>IF($F490="","",IFERROR(INDEX(Batches!$B$2:$B$301,MATCH($F490,Batches!$A$2:$A$301,0))&amp;"","(not found)"))</f>
        <v/>
      </c>
      <c r="P490" s="49" t="str">
        <f>IF(COUNTA($A490:$L490)=0,"",IF($A490="","Missing: entry ID",IF(COUNTIF($A$2:$A$2001,$A490)&gt;1,"Duplicate entry ID",IF(NOT(ISNUMBER($B490)),"Missing or invalid: date",IF($C490="","Missing: type",IF($D490="","Missing: SKU",IF(NOT(ISNUMBER($E490)),"Missing: qty",IF($F490="","Missing: lot",IF($I490="","Missing: source link",IF(COUNTIF(Config!$A$15:$A$34,$C490)=0,"Unsupported type",IF(COUNTIF(Products!$A$2:$A$101,$D490)=0,"Unknown SKU",IF(COUNTIFS(Batches!$A$2:$A$301,$F490,Batches!$B$2:$B$301,$D490)=0,"Unknown lot for this SKU",IF(AND($C490="Adjustment",$G490=""),"Missing: reason",IF(AND($G490&lt;&gt;"",COUNTIF(Config!$B$15:$B$34,$G490)=0),"Unsupported reason",IF(OR(INT($E490)&lt;&gt;$E490,AND(OR($C490="Receipt",$C490="Shipment"),$E490&lt;=0),AND($C490="Adjustment",$E490=0)),"Invalid qty",IF($B490&gt;Config!$B$4,"Date after the as-of date",IF($B490&lt;Config!$B$5,"Date before the opening balance date","OK")))))))))))))))))</f>
        <v/>
      </c>
    </row>
    <row r="491">
      <c r="A491" s="46" t="n"/>
      <c r="B491" s="54" t="n"/>
      <c r="C491" s="46" t="n"/>
      <c r="D491" s="46" t="n"/>
      <c r="E491" s="55" t="n"/>
      <c r="F491" s="46" t="n"/>
      <c r="G491" s="46" t="n"/>
      <c r="H491" s="46" t="n"/>
      <c r="I491" s="46" t="n"/>
      <c r="J491" s="46" t="n"/>
      <c r="K491" s="46" t="n"/>
      <c r="L491" s="46" t="n"/>
      <c r="M491" s="51" t="str">
        <f>IF(NOT(ISNUMBER($E491)),"",IF($C491="Receipt",$E491,IF($C491="Shipment",-$E491,IF($C491="Adjustment",$E491,0))))</f>
        <v/>
      </c>
      <c r="N491" s="49" t="str">
        <f>IF($D491="","",IFERROR(INDEX(Products!$B$2:$B$101,MATCH($D491,Products!$A$2:$A$101,0))&amp;"","(not found)"))</f>
        <v/>
      </c>
      <c r="O491" s="49" t="str">
        <f>IF($F491="","",IFERROR(INDEX(Batches!$B$2:$B$301,MATCH($F491,Batches!$A$2:$A$301,0))&amp;"","(not found)"))</f>
        <v/>
      </c>
      <c r="P491" s="49" t="str">
        <f>IF(COUNTA($A491:$L491)=0,"",IF($A491="","Missing: entry ID",IF(COUNTIF($A$2:$A$2001,$A491)&gt;1,"Duplicate entry ID",IF(NOT(ISNUMBER($B491)),"Missing or invalid: date",IF($C491="","Missing: type",IF($D491="","Missing: SKU",IF(NOT(ISNUMBER($E491)),"Missing: qty",IF($F491="","Missing: lot",IF($I491="","Missing: source link",IF(COUNTIF(Config!$A$15:$A$34,$C491)=0,"Unsupported type",IF(COUNTIF(Products!$A$2:$A$101,$D491)=0,"Unknown SKU",IF(COUNTIFS(Batches!$A$2:$A$301,$F491,Batches!$B$2:$B$301,$D491)=0,"Unknown lot for this SKU",IF(AND($C491="Adjustment",$G491=""),"Missing: reason",IF(AND($G491&lt;&gt;"",COUNTIF(Config!$B$15:$B$34,$G491)=0),"Unsupported reason",IF(OR(INT($E491)&lt;&gt;$E491,AND(OR($C491="Receipt",$C491="Shipment"),$E491&lt;=0),AND($C491="Adjustment",$E491=0)),"Invalid qty",IF($B491&gt;Config!$B$4,"Date after the as-of date",IF($B491&lt;Config!$B$5,"Date before the opening balance date","OK")))))))))))))))))</f>
        <v/>
      </c>
    </row>
    <row r="492">
      <c r="A492" s="46" t="n"/>
      <c r="B492" s="54" t="n"/>
      <c r="C492" s="46" t="n"/>
      <c r="D492" s="46" t="n"/>
      <c r="E492" s="55" t="n"/>
      <c r="F492" s="46" t="n"/>
      <c r="G492" s="46" t="n"/>
      <c r="H492" s="46" t="n"/>
      <c r="I492" s="46" t="n"/>
      <c r="J492" s="46" t="n"/>
      <c r="K492" s="46" t="n"/>
      <c r="L492" s="46" t="n"/>
      <c r="M492" s="51" t="str">
        <f>IF(NOT(ISNUMBER($E492)),"",IF($C492="Receipt",$E492,IF($C492="Shipment",-$E492,IF($C492="Adjustment",$E492,0))))</f>
        <v/>
      </c>
      <c r="N492" s="49" t="str">
        <f>IF($D492="","",IFERROR(INDEX(Products!$B$2:$B$101,MATCH($D492,Products!$A$2:$A$101,0))&amp;"","(not found)"))</f>
        <v/>
      </c>
      <c r="O492" s="49" t="str">
        <f>IF($F492="","",IFERROR(INDEX(Batches!$B$2:$B$301,MATCH($F492,Batches!$A$2:$A$301,0))&amp;"","(not found)"))</f>
        <v/>
      </c>
      <c r="P492" s="49" t="str">
        <f>IF(COUNTA($A492:$L492)=0,"",IF($A492="","Missing: entry ID",IF(COUNTIF($A$2:$A$2001,$A492)&gt;1,"Duplicate entry ID",IF(NOT(ISNUMBER($B492)),"Missing or invalid: date",IF($C492="","Missing: type",IF($D492="","Missing: SKU",IF(NOT(ISNUMBER($E492)),"Missing: qty",IF($F492="","Missing: lot",IF($I492="","Missing: source link",IF(COUNTIF(Config!$A$15:$A$34,$C492)=0,"Unsupported type",IF(COUNTIF(Products!$A$2:$A$101,$D492)=0,"Unknown SKU",IF(COUNTIFS(Batches!$A$2:$A$301,$F492,Batches!$B$2:$B$301,$D492)=0,"Unknown lot for this SKU",IF(AND($C492="Adjustment",$G492=""),"Missing: reason",IF(AND($G492&lt;&gt;"",COUNTIF(Config!$B$15:$B$34,$G492)=0),"Unsupported reason",IF(OR(INT($E492)&lt;&gt;$E492,AND(OR($C492="Receipt",$C492="Shipment"),$E492&lt;=0),AND($C492="Adjustment",$E492=0)),"Invalid qty",IF($B492&gt;Config!$B$4,"Date after the as-of date",IF($B492&lt;Config!$B$5,"Date before the opening balance date","OK")))))))))))))))))</f>
        <v/>
      </c>
    </row>
    <row r="493">
      <c r="A493" s="46" t="n"/>
      <c r="B493" s="54" t="n"/>
      <c r="C493" s="46" t="n"/>
      <c r="D493" s="46" t="n"/>
      <c r="E493" s="55" t="n"/>
      <c r="F493" s="46" t="n"/>
      <c r="G493" s="46" t="n"/>
      <c r="H493" s="46" t="n"/>
      <c r="I493" s="46" t="n"/>
      <c r="J493" s="46" t="n"/>
      <c r="K493" s="46" t="n"/>
      <c r="L493" s="46" t="n"/>
      <c r="M493" s="51" t="str">
        <f>IF(NOT(ISNUMBER($E493)),"",IF($C493="Receipt",$E493,IF($C493="Shipment",-$E493,IF($C493="Adjustment",$E493,0))))</f>
        <v/>
      </c>
      <c r="N493" s="49" t="str">
        <f>IF($D493="","",IFERROR(INDEX(Products!$B$2:$B$101,MATCH($D493,Products!$A$2:$A$101,0))&amp;"","(not found)"))</f>
        <v/>
      </c>
      <c r="O493" s="49" t="str">
        <f>IF($F493="","",IFERROR(INDEX(Batches!$B$2:$B$301,MATCH($F493,Batches!$A$2:$A$301,0))&amp;"","(not found)"))</f>
        <v/>
      </c>
      <c r="P493" s="49" t="str">
        <f>IF(COUNTA($A493:$L493)=0,"",IF($A493="","Missing: entry ID",IF(COUNTIF($A$2:$A$2001,$A493)&gt;1,"Duplicate entry ID",IF(NOT(ISNUMBER($B493)),"Missing or invalid: date",IF($C493="","Missing: type",IF($D493="","Missing: SKU",IF(NOT(ISNUMBER($E493)),"Missing: qty",IF($F493="","Missing: lot",IF($I493="","Missing: source link",IF(COUNTIF(Config!$A$15:$A$34,$C493)=0,"Unsupported type",IF(COUNTIF(Products!$A$2:$A$101,$D493)=0,"Unknown SKU",IF(COUNTIFS(Batches!$A$2:$A$301,$F493,Batches!$B$2:$B$301,$D493)=0,"Unknown lot for this SKU",IF(AND($C493="Adjustment",$G493=""),"Missing: reason",IF(AND($G493&lt;&gt;"",COUNTIF(Config!$B$15:$B$34,$G493)=0),"Unsupported reason",IF(OR(INT($E493)&lt;&gt;$E493,AND(OR($C493="Receipt",$C493="Shipment"),$E493&lt;=0),AND($C493="Adjustment",$E493=0)),"Invalid qty",IF($B493&gt;Config!$B$4,"Date after the as-of date",IF($B493&lt;Config!$B$5,"Date before the opening balance date","OK")))))))))))))))))</f>
        <v/>
      </c>
    </row>
    <row r="494">
      <c r="A494" s="46" t="n"/>
      <c r="B494" s="54" t="n"/>
      <c r="C494" s="46" t="n"/>
      <c r="D494" s="46" t="n"/>
      <c r="E494" s="55" t="n"/>
      <c r="F494" s="46" t="n"/>
      <c r="G494" s="46" t="n"/>
      <c r="H494" s="46" t="n"/>
      <c r="I494" s="46" t="n"/>
      <c r="J494" s="46" t="n"/>
      <c r="K494" s="46" t="n"/>
      <c r="L494" s="46" t="n"/>
      <c r="M494" s="51" t="str">
        <f>IF(NOT(ISNUMBER($E494)),"",IF($C494="Receipt",$E494,IF($C494="Shipment",-$E494,IF($C494="Adjustment",$E494,0))))</f>
        <v/>
      </c>
      <c r="N494" s="49" t="str">
        <f>IF($D494="","",IFERROR(INDEX(Products!$B$2:$B$101,MATCH($D494,Products!$A$2:$A$101,0))&amp;"","(not found)"))</f>
        <v/>
      </c>
      <c r="O494" s="49" t="str">
        <f>IF($F494="","",IFERROR(INDEX(Batches!$B$2:$B$301,MATCH($F494,Batches!$A$2:$A$301,0))&amp;"","(not found)"))</f>
        <v/>
      </c>
      <c r="P494" s="49" t="str">
        <f>IF(COUNTA($A494:$L494)=0,"",IF($A494="","Missing: entry ID",IF(COUNTIF($A$2:$A$2001,$A494)&gt;1,"Duplicate entry ID",IF(NOT(ISNUMBER($B494)),"Missing or invalid: date",IF($C494="","Missing: type",IF($D494="","Missing: SKU",IF(NOT(ISNUMBER($E494)),"Missing: qty",IF($F494="","Missing: lot",IF($I494="","Missing: source link",IF(COUNTIF(Config!$A$15:$A$34,$C494)=0,"Unsupported type",IF(COUNTIF(Products!$A$2:$A$101,$D494)=0,"Unknown SKU",IF(COUNTIFS(Batches!$A$2:$A$301,$F494,Batches!$B$2:$B$301,$D494)=0,"Unknown lot for this SKU",IF(AND($C494="Adjustment",$G494=""),"Missing: reason",IF(AND($G494&lt;&gt;"",COUNTIF(Config!$B$15:$B$34,$G494)=0),"Unsupported reason",IF(OR(INT($E494)&lt;&gt;$E494,AND(OR($C494="Receipt",$C494="Shipment"),$E494&lt;=0),AND($C494="Adjustment",$E494=0)),"Invalid qty",IF($B494&gt;Config!$B$4,"Date after the as-of date",IF($B494&lt;Config!$B$5,"Date before the opening balance date","OK")))))))))))))))))</f>
        <v/>
      </c>
    </row>
    <row r="495">
      <c r="A495" s="46" t="n"/>
      <c r="B495" s="54" t="n"/>
      <c r="C495" s="46" t="n"/>
      <c r="D495" s="46" t="n"/>
      <c r="E495" s="55" t="n"/>
      <c r="F495" s="46" t="n"/>
      <c r="G495" s="46" t="n"/>
      <c r="H495" s="46" t="n"/>
      <c r="I495" s="46" t="n"/>
      <c r="J495" s="46" t="n"/>
      <c r="K495" s="46" t="n"/>
      <c r="L495" s="46" t="n"/>
      <c r="M495" s="51" t="str">
        <f>IF(NOT(ISNUMBER($E495)),"",IF($C495="Receipt",$E495,IF($C495="Shipment",-$E495,IF($C495="Adjustment",$E495,0))))</f>
        <v/>
      </c>
      <c r="N495" s="49" t="str">
        <f>IF($D495="","",IFERROR(INDEX(Products!$B$2:$B$101,MATCH($D495,Products!$A$2:$A$101,0))&amp;"","(not found)"))</f>
        <v/>
      </c>
      <c r="O495" s="49" t="str">
        <f>IF($F495="","",IFERROR(INDEX(Batches!$B$2:$B$301,MATCH($F495,Batches!$A$2:$A$301,0))&amp;"","(not found)"))</f>
        <v/>
      </c>
      <c r="P495" s="49" t="str">
        <f>IF(COUNTA($A495:$L495)=0,"",IF($A495="","Missing: entry ID",IF(COUNTIF($A$2:$A$2001,$A495)&gt;1,"Duplicate entry ID",IF(NOT(ISNUMBER($B495)),"Missing or invalid: date",IF($C495="","Missing: type",IF($D495="","Missing: SKU",IF(NOT(ISNUMBER($E495)),"Missing: qty",IF($F495="","Missing: lot",IF($I495="","Missing: source link",IF(COUNTIF(Config!$A$15:$A$34,$C495)=0,"Unsupported type",IF(COUNTIF(Products!$A$2:$A$101,$D495)=0,"Unknown SKU",IF(COUNTIFS(Batches!$A$2:$A$301,$F495,Batches!$B$2:$B$301,$D495)=0,"Unknown lot for this SKU",IF(AND($C495="Adjustment",$G495=""),"Missing: reason",IF(AND($G495&lt;&gt;"",COUNTIF(Config!$B$15:$B$34,$G495)=0),"Unsupported reason",IF(OR(INT($E495)&lt;&gt;$E495,AND(OR($C495="Receipt",$C495="Shipment"),$E495&lt;=0),AND($C495="Adjustment",$E495=0)),"Invalid qty",IF($B495&gt;Config!$B$4,"Date after the as-of date",IF($B495&lt;Config!$B$5,"Date before the opening balance date","OK")))))))))))))))))</f>
        <v/>
      </c>
    </row>
    <row r="496">
      <c r="A496" s="46" t="n"/>
      <c r="B496" s="54" t="n"/>
      <c r="C496" s="46" t="n"/>
      <c r="D496" s="46" t="n"/>
      <c r="E496" s="55" t="n"/>
      <c r="F496" s="46" t="n"/>
      <c r="G496" s="46" t="n"/>
      <c r="H496" s="46" t="n"/>
      <c r="I496" s="46" t="n"/>
      <c r="J496" s="46" t="n"/>
      <c r="K496" s="46" t="n"/>
      <c r="L496" s="46" t="n"/>
      <c r="M496" s="51" t="str">
        <f>IF(NOT(ISNUMBER($E496)),"",IF($C496="Receipt",$E496,IF($C496="Shipment",-$E496,IF($C496="Adjustment",$E496,0))))</f>
        <v/>
      </c>
      <c r="N496" s="49" t="str">
        <f>IF($D496="","",IFERROR(INDEX(Products!$B$2:$B$101,MATCH($D496,Products!$A$2:$A$101,0))&amp;"","(not found)"))</f>
        <v/>
      </c>
      <c r="O496" s="49" t="str">
        <f>IF($F496="","",IFERROR(INDEX(Batches!$B$2:$B$301,MATCH($F496,Batches!$A$2:$A$301,0))&amp;"","(not found)"))</f>
        <v/>
      </c>
      <c r="P496" s="49" t="str">
        <f>IF(COUNTA($A496:$L496)=0,"",IF($A496="","Missing: entry ID",IF(COUNTIF($A$2:$A$2001,$A496)&gt;1,"Duplicate entry ID",IF(NOT(ISNUMBER($B496)),"Missing or invalid: date",IF($C496="","Missing: type",IF($D496="","Missing: SKU",IF(NOT(ISNUMBER($E496)),"Missing: qty",IF($F496="","Missing: lot",IF($I496="","Missing: source link",IF(COUNTIF(Config!$A$15:$A$34,$C496)=0,"Unsupported type",IF(COUNTIF(Products!$A$2:$A$101,$D496)=0,"Unknown SKU",IF(COUNTIFS(Batches!$A$2:$A$301,$F496,Batches!$B$2:$B$301,$D496)=0,"Unknown lot for this SKU",IF(AND($C496="Adjustment",$G496=""),"Missing: reason",IF(AND($G496&lt;&gt;"",COUNTIF(Config!$B$15:$B$34,$G496)=0),"Unsupported reason",IF(OR(INT($E496)&lt;&gt;$E496,AND(OR($C496="Receipt",$C496="Shipment"),$E496&lt;=0),AND($C496="Adjustment",$E496=0)),"Invalid qty",IF($B496&gt;Config!$B$4,"Date after the as-of date",IF($B496&lt;Config!$B$5,"Date before the opening balance date","OK")))))))))))))))))</f>
        <v/>
      </c>
    </row>
    <row r="497">
      <c r="A497" s="46" t="n"/>
      <c r="B497" s="54" t="n"/>
      <c r="C497" s="46" t="n"/>
      <c r="D497" s="46" t="n"/>
      <c r="E497" s="55" t="n"/>
      <c r="F497" s="46" t="n"/>
      <c r="G497" s="46" t="n"/>
      <c r="H497" s="46" t="n"/>
      <c r="I497" s="46" t="n"/>
      <c r="J497" s="46" t="n"/>
      <c r="K497" s="46" t="n"/>
      <c r="L497" s="46" t="n"/>
      <c r="M497" s="51" t="str">
        <f>IF(NOT(ISNUMBER($E497)),"",IF($C497="Receipt",$E497,IF($C497="Shipment",-$E497,IF($C497="Adjustment",$E497,0))))</f>
        <v/>
      </c>
      <c r="N497" s="49" t="str">
        <f>IF($D497="","",IFERROR(INDEX(Products!$B$2:$B$101,MATCH($D497,Products!$A$2:$A$101,0))&amp;"","(not found)"))</f>
        <v/>
      </c>
      <c r="O497" s="49" t="str">
        <f>IF($F497="","",IFERROR(INDEX(Batches!$B$2:$B$301,MATCH($F497,Batches!$A$2:$A$301,0))&amp;"","(not found)"))</f>
        <v/>
      </c>
      <c r="P497" s="49" t="str">
        <f>IF(COUNTA($A497:$L497)=0,"",IF($A497="","Missing: entry ID",IF(COUNTIF($A$2:$A$2001,$A497)&gt;1,"Duplicate entry ID",IF(NOT(ISNUMBER($B497)),"Missing or invalid: date",IF($C497="","Missing: type",IF($D497="","Missing: SKU",IF(NOT(ISNUMBER($E497)),"Missing: qty",IF($F497="","Missing: lot",IF($I497="","Missing: source link",IF(COUNTIF(Config!$A$15:$A$34,$C497)=0,"Unsupported type",IF(COUNTIF(Products!$A$2:$A$101,$D497)=0,"Unknown SKU",IF(COUNTIFS(Batches!$A$2:$A$301,$F497,Batches!$B$2:$B$301,$D497)=0,"Unknown lot for this SKU",IF(AND($C497="Adjustment",$G497=""),"Missing: reason",IF(AND($G497&lt;&gt;"",COUNTIF(Config!$B$15:$B$34,$G497)=0),"Unsupported reason",IF(OR(INT($E497)&lt;&gt;$E497,AND(OR($C497="Receipt",$C497="Shipment"),$E497&lt;=0),AND($C497="Adjustment",$E497=0)),"Invalid qty",IF($B497&gt;Config!$B$4,"Date after the as-of date",IF($B497&lt;Config!$B$5,"Date before the opening balance date","OK")))))))))))))))))</f>
        <v/>
      </c>
    </row>
    <row r="498">
      <c r="A498" s="46" t="n"/>
      <c r="B498" s="54" t="n"/>
      <c r="C498" s="46" t="n"/>
      <c r="D498" s="46" t="n"/>
      <c r="E498" s="55" t="n"/>
      <c r="F498" s="46" t="n"/>
      <c r="G498" s="46" t="n"/>
      <c r="H498" s="46" t="n"/>
      <c r="I498" s="46" t="n"/>
      <c r="J498" s="46" t="n"/>
      <c r="K498" s="46" t="n"/>
      <c r="L498" s="46" t="n"/>
      <c r="M498" s="51" t="str">
        <f>IF(NOT(ISNUMBER($E498)),"",IF($C498="Receipt",$E498,IF($C498="Shipment",-$E498,IF($C498="Adjustment",$E498,0))))</f>
        <v/>
      </c>
      <c r="N498" s="49" t="str">
        <f>IF($D498="","",IFERROR(INDEX(Products!$B$2:$B$101,MATCH($D498,Products!$A$2:$A$101,0))&amp;"","(not found)"))</f>
        <v/>
      </c>
      <c r="O498" s="49" t="str">
        <f>IF($F498="","",IFERROR(INDEX(Batches!$B$2:$B$301,MATCH($F498,Batches!$A$2:$A$301,0))&amp;"","(not found)"))</f>
        <v/>
      </c>
      <c r="P498" s="49" t="str">
        <f>IF(COUNTA($A498:$L498)=0,"",IF($A498="","Missing: entry ID",IF(COUNTIF($A$2:$A$2001,$A498)&gt;1,"Duplicate entry ID",IF(NOT(ISNUMBER($B498)),"Missing or invalid: date",IF($C498="","Missing: type",IF($D498="","Missing: SKU",IF(NOT(ISNUMBER($E498)),"Missing: qty",IF($F498="","Missing: lot",IF($I498="","Missing: source link",IF(COUNTIF(Config!$A$15:$A$34,$C498)=0,"Unsupported type",IF(COUNTIF(Products!$A$2:$A$101,$D498)=0,"Unknown SKU",IF(COUNTIFS(Batches!$A$2:$A$301,$F498,Batches!$B$2:$B$301,$D498)=0,"Unknown lot for this SKU",IF(AND($C498="Adjustment",$G498=""),"Missing: reason",IF(AND($G498&lt;&gt;"",COUNTIF(Config!$B$15:$B$34,$G498)=0),"Unsupported reason",IF(OR(INT($E498)&lt;&gt;$E498,AND(OR($C498="Receipt",$C498="Shipment"),$E498&lt;=0),AND($C498="Adjustment",$E498=0)),"Invalid qty",IF($B498&gt;Config!$B$4,"Date after the as-of date",IF($B498&lt;Config!$B$5,"Date before the opening balance date","OK")))))))))))))))))</f>
        <v/>
      </c>
    </row>
    <row r="499">
      <c r="A499" s="46" t="n"/>
      <c r="B499" s="54" t="n"/>
      <c r="C499" s="46" t="n"/>
      <c r="D499" s="46" t="n"/>
      <c r="E499" s="55" t="n"/>
      <c r="F499" s="46" t="n"/>
      <c r="G499" s="46" t="n"/>
      <c r="H499" s="46" t="n"/>
      <c r="I499" s="46" t="n"/>
      <c r="J499" s="46" t="n"/>
      <c r="K499" s="46" t="n"/>
      <c r="L499" s="46" t="n"/>
      <c r="M499" s="51" t="str">
        <f>IF(NOT(ISNUMBER($E499)),"",IF($C499="Receipt",$E499,IF($C499="Shipment",-$E499,IF($C499="Adjustment",$E499,0))))</f>
        <v/>
      </c>
      <c r="N499" s="49" t="str">
        <f>IF($D499="","",IFERROR(INDEX(Products!$B$2:$B$101,MATCH($D499,Products!$A$2:$A$101,0))&amp;"","(not found)"))</f>
        <v/>
      </c>
      <c r="O499" s="49" t="str">
        <f>IF($F499="","",IFERROR(INDEX(Batches!$B$2:$B$301,MATCH($F499,Batches!$A$2:$A$301,0))&amp;"","(not found)"))</f>
        <v/>
      </c>
      <c r="P499" s="49" t="str">
        <f>IF(COUNTA($A499:$L499)=0,"",IF($A499="","Missing: entry ID",IF(COUNTIF($A$2:$A$2001,$A499)&gt;1,"Duplicate entry ID",IF(NOT(ISNUMBER($B499)),"Missing or invalid: date",IF($C499="","Missing: type",IF($D499="","Missing: SKU",IF(NOT(ISNUMBER($E499)),"Missing: qty",IF($F499="","Missing: lot",IF($I499="","Missing: source link",IF(COUNTIF(Config!$A$15:$A$34,$C499)=0,"Unsupported type",IF(COUNTIF(Products!$A$2:$A$101,$D499)=0,"Unknown SKU",IF(COUNTIFS(Batches!$A$2:$A$301,$F499,Batches!$B$2:$B$301,$D499)=0,"Unknown lot for this SKU",IF(AND($C499="Adjustment",$G499=""),"Missing: reason",IF(AND($G499&lt;&gt;"",COUNTIF(Config!$B$15:$B$34,$G499)=0),"Unsupported reason",IF(OR(INT($E499)&lt;&gt;$E499,AND(OR($C499="Receipt",$C499="Shipment"),$E499&lt;=0),AND($C499="Adjustment",$E499=0)),"Invalid qty",IF($B499&gt;Config!$B$4,"Date after the as-of date",IF($B499&lt;Config!$B$5,"Date before the opening balance date","OK")))))))))))))))))</f>
        <v/>
      </c>
    </row>
    <row r="500">
      <c r="A500" s="46" t="n"/>
      <c r="B500" s="54" t="n"/>
      <c r="C500" s="46" t="n"/>
      <c r="D500" s="46" t="n"/>
      <c r="E500" s="55" t="n"/>
      <c r="F500" s="46" t="n"/>
      <c r="G500" s="46" t="n"/>
      <c r="H500" s="46" t="n"/>
      <c r="I500" s="46" t="n"/>
      <c r="J500" s="46" t="n"/>
      <c r="K500" s="46" t="n"/>
      <c r="L500" s="46" t="n"/>
      <c r="M500" s="51" t="str">
        <f>IF(NOT(ISNUMBER($E500)),"",IF($C500="Receipt",$E500,IF($C500="Shipment",-$E500,IF($C500="Adjustment",$E500,0))))</f>
        <v/>
      </c>
      <c r="N500" s="49" t="str">
        <f>IF($D500="","",IFERROR(INDEX(Products!$B$2:$B$101,MATCH($D500,Products!$A$2:$A$101,0))&amp;"","(not found)"))</f>
        <v/>
      </c>
      <c r="O500" s="49" t="str">
        <f>IF($F500="","",IFERROR(INDEX(Batches!$B$2:$B$301,MATCH($F500,Batches!$A$2:$A$301,0))&amp;"","(not found)"))</f>
        <v/>
      </c>
      <c r="P500" s="49" t="str">
        <f>IF(COUNTA($A500:$L500)=0,"",IF($A500="","Missing: entry ID",IF(COUNTIF($A$2:$A$2001,$A500)&gt;1,"Duplicate entry ID",IF(NOT(ISNUMBER($B500)),"Missing or invalid: date",IF($C500="","Missing: type",IF($D500="","Missing: SKU",IF(NOT(ISNUMBER($E500)),"Missing: qty",IF($F500="","Missing: lot",IF($I500="","Missing: source link",IF(COUNTIF(Config!$A$15:$A$34,$C500)=0,"Unsupported type",IF(COUNTIF(Products!$A$2:$A$101,$D500)=0,"Unknown SKU",IF(COUNTIFS(Batches!$A$2:$A$301,$F500,Batches!$B$2:$B$301,$D500)=0,"Unknown lot for this SKU",IF(AND($C500="Adjustment",$G500=""),"Missing: reason",IF(AND($G500&lt;&gt;"",COUNTIF(Config!$B$15:$B$34,$G500)=0),"Unsupported reason",IF(OR(INT($E500)&lt;&gt;$E500,AND(OR($C500="Receipt",$C500="Shipment"),$E500&lt;=0),AND($C500="Adjustment",$E500=0)),"Invalid qty",IF($B500&gt;Config!$B$4,"Date after the as-of date",IF($B500&lt;Config!$B$5,"Date before the opening balance date","OK")))))))))))))))))</f>
        <v/>
      </c>
    </row>
    <row r="501">
      <c r="A501" s="46" t="n"/>
      <c r="B501" s="54" t="n"/>
      <c r="C501" s="46" t="n"/>
      <c r="D501" s="46" t="n"/>
      <c r="E501" s="55" t="n"/>
      <c r="F501" s="46" t="n"/>
      <c r="G501" s="46" t="n"/>
      <c r="H501" s="46" t="n"/>
      <c r="I501" s="46" t="n"/>
      <c r="J501" s="46" t="n"/>
      <c r="K501" s="46" t="n"/>
      <c r="L501" s="46" t="n"/>
      <c r="M501" s="51" t="str">
        <f>IF(NOT(ISNUMBER($E501)),"",IF($C501="Receipt",$E501,IF($C501="Shipment",-$E501,IF($C501="Adjustment",$E501,0))))</f>
        <v/>
      </c>
      <c r="N501" s="49" t="str">
        <f>IF($D501="","",IFERROR(INDEX(Products!$B$2:$B$101,MATCH($D501,Products!$A$2:$A$101,0))&amp;"","(not found)"))</f>
        <v/>
      </c>
      <c r="O501" s="49" t="str">
        <f>IF($F501="","",IFERROR(INDEX(Batches!$B$2:$B$301,MATCH($F501,Batches!$A$2:$A$301,0))&amp;"","(not found)"))</f>
        <v/>
      </c>
      <c r="P501" s="49" t="str">
        <f>IF(COUNTA($A501:$L501)=0,"",IF($A501="","Missing: entry ID",IF(COUNTIF($A$2:$A$2001,$A501)&gt;1,"Duplicate entry ID",IF(NOT(ISNUMBER($B501)),"Missing or invalid: date",IF($C501="","Missing: type",IF($D501="","Missing: SKU",IF(NOT(ISNUMBER($E501)),"Missing: qty",IF($F501="","Missing: lot",IF($I501="","Missing: source link",IF(COUNTIF(Config!$A$15:$A$34,$C501)=0,"Unsupported type",IF(COUNTIF(Products!$A$2:$A$101,$D501)=0,"Unknown SKU",IF(COUNTIFS(Batches!$A$2:$A$301,$F501,Batches!$B$2:$B$301,$D501)=0,"Unknown lot for this SKU",IF(AND($C501="Adjustment",$G501=""),"Missing: reason",IF(AND($G501&lt;&gt;"",COUNTIF(Config!$B$15:$B$34,$G501)=0),"Unsupported reason",IF(OR(INT($E501)&lt;&gt;$E501,AND(OR($C501="Receipt",$C501="Shipment"),$E501&lt;=0),AND($C501="Adjustment",$E501=0)),"Invalid qty",IF($B501&gt;Config!$B$4,"Date after the as-of date",IF($B501&lt;Config!$B$5,"Date before the opening balance date","OK")))))))))))))))))</f>
        <v/>
      </c>
    </row>
    <row r="502">
      <c r="A502" s="46" t="n"/>
      <c r="B502" s="54" t="n"/>
      <c r="C502" s="46" t="n"/>
      <c r="D502" s="46" t="n"/>
      <c r="E502" s="55" t="n"/>
      <c r="F502" s="46" t="n"/>
      <c r="G502" s="46" t="n"/>
      <c r="H502" s="46" t="n"/>
      <c r="I502" s="46" t="n"/>
      <c r="J502" s="46" t="n"/>
      <c r="K502" s="46" t="n"/>
      <c r="L502" s="46" t="n"/>
      <c r="M502" s="51" t="str">
        <f>IF(NOT(ISNUMBER($E502)),"",IF($C502="Receipt",$E502,IF($C502="Shipment",-$E502,IF($C502="Adjustment",$E502,0))))</f>
        <v/>
      </c>
      <c r="N502" s="49" t="str">
        <f>IF($D502="","",IFERROR(INDEX(Products!$B$2:$B$101,MATCH($D502,Products!$A$2:$A$101,0))&amp;"","(not found)"))</f>
        <v/>
      </c>
      <c r="O502" s="49" t="str">
        <f>IF($F502="","",IFERROR(INDEX(Batches!$B$2:$B$301,MATCH($F502,Batches!$A$2:$A$301,0))&amp;"","(not found)"))</f>
        <v/>
      </c>
      <c r="P502" s="49" t="str">
        <f>IF(COUNTA($A502:$L502)=0,"",IF($A502="","Missing: entry ID",IF(COUNTIF($A$2:$A$2001,$A502)&gt;1,"Duplicate entry ID",IF(NOT(ISNUMBER($B502)),"Missing or invalid: date",IF($C502="","Missing: type",IF($D502="","Missing: SKU",IF(NOT(ISNUMBER($E502)),"Missing: qty",IF($F502="","Missing: lot",IF($I502="","Missing: source link",IF(COUNTIF(Config!$A$15:$A$34,$C502)=0,"Unsupported type",IF(COUNTIF(Products!$A$2:$A$101,$D502)=0,"Unknown SKU",IF(COUNTIFS(Batches!$A$2:$A$301,$F502,Batches!$B$2:$B$301,$D502)=0,"Unknown lot for this SKU",IF(AND($C502="Adjustment",$G502=""),"Missing: reason",IF(AND($G502&lt;&gt;"",COUNTIF(Config!$B$15:$B$34,$G502)=0),"Unsupported reason",IF(OR(INT($E502)&lt;&gt;$E502,AND(OR($C502="Receipt",$C502="Shipment"),$E502&lt;=0),AND($C502="Adjustment",$E502=0)),"Invalid qty",IF($B502&gt;Config!$B$4,"Date after the as-of date",IF($B502&lt;Config!$B$5,"Date before the opening balance date","OK")))))))))))))))))</f>
        <v/>
      </c>
    </row>
    <row r="503">
      <c r="A503" s="46" t="n"/>
      <c r="B503" s="54" t="n"/>
      <c r="C503" s="46" t="n"/>
      <c r="D503" s="46" t="n"/>
      <c r="E503" s="55" t="n"/>
      <c r="F503" s="46" t="n"/>
      <c r="G503" s="46" t="n"/>
      <c r="H503" s="46" t="n"/>
      <c r="I503" s="46" t="n"/>
      <c r="J503" s="46" t="n"/>
      <c r="K503" s="46" t="n"/>
      <c r="L503" s="46" t="n"/>
      <c r="M503" s="51" t="str">
        <f>IF(NOT(ISNUMBER($E503)),"",IF($C503="Receipt",$E503,IF($C503="Shipment",-$E503,IF($C503="Adjustment",$E503,0))))</f>
        <v/>
      </c>
      <c r="N503" s="49" t="str">
        <f>IF($D503="","",IFERROR(INDEX(Products!$B$2:$B$101,MATCH($D503,Products!$A$2:$A$101,0))&amp;"","(not found)"))</f>
        <v/>
      </c>
      <c r="O503" s="49" t="str">
        <f>IF($F503="","",IFERROR(INDEX(Batches!$B$2:$B$301,MATCH($F503,Batches!$A$2:$A$301,0))&amp;"","(not found)"))</f>
        <v/>
      </c>
      <c r="P503" s="49" t="str">
        <f>IF(COUNTA($A503:$L503)=0,"",IF($A503="","Missing: entry ID",IF(COUNTIF($A$2:$A$2001,$A503)&gt;1,"Duplicate entry ID",IF(NOT(ISNUMBER($B503)),"Missing or invalid: date",IF($C503="","Missing: type",IF($D503="","Missing: SKU",IF(NOT(ISNUMBER($E503)),"Missing: qty",IF($F503="","Missing: lot",IF($I503="","Missing: source link",IF(COUNTIF(Config!$A$15:$A$34,$C503)=0,"Unsupported type",IF(COUNTIF(Products!$A$2:$A$101,$D503)=0,"Unknown SKU",IF(COUNTIFS(Batches!$A$2:$A$301,$F503,Batches!$B$2:$B$301,$D503)=0,"Unknown lot for this SKU",IF(AND($C503="Adjustment",$G503=""),"Missing: reason",IF(AND($G503&lt;&gt;"",COUNTIF(Config!$B$15:$B$34,$G503)=0),"Unsupported reason",IF(OR(INT($E503)&lt;&gt;$E503,AND(OR($C503="Receipt",$C503="Shipment"),$E503&lt;=0),AND($C503="Adjustment",$E503=0)),"Invalid qty",IF($B503&gt;Config!$B$4,"Date after the as-of date",IF($B503&lt;Config!$B$5,"Date before the opening balance date","OK")))))))))))))))))</f>
        <v/>
      </c>
    </row>
    <row r="504">
      <c r="A504" s="46" t="n"/>
      <c r="B504" s="54" t="n"/>
      <c r="C504" s="46" t="n"/>
      <c r="D504" s="46" t="n"/>
      <c r="E504" s="55" t="n"/>
      <c r="F504" s="46" t="n"/>
      <c r="G504" s="46" t="n"/>
      <c r="H504" s="46" t="n"/>
      <c r="I504" s="46" t="n"/>
      <c r="J504" s="46" t="n"/>
      <c r="K504" s="46" t="n"/>
      <c r="L504" s="46" t="n"/>
      <c r="M504" s="51" t="str">
        <f>IF(NOT(ISNUMBER($E504)),"",IF($C504="Receipt",$E504,IF($C504="Shipment",-$E504,IF($C504="Adjustment",$E504,0))))</f>
        <v/>
      </c>
      <c r="N504" s="49" t="str">
        <f>IF($D504="","",IFERROR(INDEX(Products!$B$2:$B$101,MATCH($D504,Products!$A$2:$A$101,0))&amp;"","(not found)"))</f>
        <v/>
      </c>
      <c r="O504" s="49" t="str">
        <f>IF($F504="","",IFERROR(INDEX(Batches!$B$2:$B$301,MATCH($F504,Batches!$A$2:$A$301,0))&amp;"","(not found)"))</f>
        <v/>
      </c>
      <c r="P504" s="49" t="str">
        <f>IF(COUNTA($A504:$L504)=0,"",IF($A504="","Missing: entry ID",IF(COUNTIF($A$2:$A$2001,$A504)&gt;1,"Duplicate entry ID",IF(NOT(ISNUMBER($B504)),"Missing or invalid: date",IF($C504="","Missing: type",IF($D504="","Missing: SKU",IF(NOT(ISNUMBER($E504)),"Missing: qty",IF($F504="","Missing: lot",IF($I504="","Missing: source link",IF(COUNTIF(Config!$A$15:$A$34,$C504)=0,"Unsupported type",IF(COUNTIF(Products!$A$2:$A$101,$D504)=0,"Unknown SKU",IF(COUNTIFS(Batches!$A$2:$A$301,$F504,Batches!$B$2:$B$301,$D504)=0,"Unknown lot for this SKU",IF(AND($C504="Adjustment",$G504=""),"Missing: reason",IF(AND($G504&lt;&gt;"",COUNTIF(Config!$B$15:$B$34,$G504)=0),"Unsupported reason",IF(OR(INT($E504)&lt;&gt;$E504,AND(OR($C504="Receipt",$C504="Shipment"),$E504&lt;=0),AND($C504="Adjustment",$E504=0)),"Invalid qty",IF($B504&gt;Config!$B$4,"Date after the as-of date",IF($B504&lt;Config!$B$5,"Date before the opening balance date","OK")))))))))))))))))</f>
        <v/>
      </c>
    </row>
    <row r="505">
      <c r="A505" s="46" t="n"/>
      <c r="B505" s="54" t="n"/>
      <c r="C505" s="46" t="n"/>
      <c r="D505" s="46" t="n"/>
      <c r="E505" s="55" t="n"/>
      <c r="F505" s="46" t="n"/>
      <c r="G505" s="46" t="n"/>
      <c r="H505" s="46" t="n"/>
      <c r="I505" s="46" t="n"/>
      <c r="J505" s="46" t="n"/>
      <c r="K505" s="46" t="n"/>
      <c r="L505" s="46" t="n"/>
      <c r="M505" s="51" t="str">
        <f>IF(NOT(ISNUMBER($E505)),"",IF($C505="Receipt",$E505,IF($C505="Shipment",-$E505,IF($C505="Adjustment",$E505,0))))</f>
        <v/>
      </c>
      <c r="N505" s="49" t="str">
        <f>IF($D505="","",IFERROR(INDEX(Products!$B$2:$B$101,MATCH($D505,Products!$A$2:$A$101,0))&amp;"","(not found)"))</f>
        <v/>
      </c>
      <c r="O505" s="49" t="str">
        <f>IF($F505="","",IFERROR(INDEX(Batches!$B$2:$B$301,MATCH($F505,Batches!$A$2:$A$301,0))&amp;"","(not found)"))</f>
        <v/>
      </c>
      <c r="P505" s="49" t="str">
        <f>IF(COUNTA($A505:$L505)=0,"",IF($A505="","Missing: entry ID",IF(COUNTIF($A$2:$A$2001,$A505)&gt;1,"Duplicate entry ID",IF(NOT(ISNUMBER($B505)),"Missing or invalid: date",IF($C505="","Missing: type",IF($D505="","Missing: SKU",IF(NOT(ISNUMBER($E505)),"Missing: qty",IF($F505="","Missing: lot",IF($I505="","Missing: source link",IF(COUNTIF(Config!$A$15:$A$34,$C505)=0,"Unsupported type",IF(COUNTIF(Products!$A$2:$A$101,$D505)=0,"Unknown SKU",IF(COUNTIFS(Batches!$A$2:$A$301,$F505,Batches!$B$2:$B$301,$D505)=0,"Unknown lot for this SKU",IF(AND($C505="Adjustment",$G505=""),"Missing: reason",IF(AND($G505&lt;&gt;"",COUNTIF(Config!$B$15:$B$34,$G505)=0),"Unsupported reason",IF(OR(INT($E505)&lt;&gt;$E505,AND(OR($C505="Receipt",$C505="Shipment"),$E505&lt;=0),AND($C505="Adjustment",$E505=0)),"Invalid qty",IF($B505&gt;Config!$B$4,"Date after the as-of date",IF($B505&lt;Config!$B$5,"Date before the opening balance date","OK")))))))))))))))))</f>
        <v/>
      </c>
    </row>
    <row r="506">
      <c r="A506" s="46" t="n"/>
      <c r="B506" s="54" t="n"/>
      <c r="C506" s="46" t="n"/>
      <c r="D506" s="46" t="n"/>
      <c r="E506" s="55" t="n"/>
      <c r="F506" s="46" t="n"/>
      <c r="G506" s="46" t="n"/>
      <c r="H506" s="46" t="n"/>
      <c r="I506" s="46" t="n"/>
      <c r="J506" s="46" t="n"/>
      <c r="K506" s="46" t="n"/>
      <c r="L506" s="46" t="n"/>
      <c r="M506" s="51" t="str">
        <f>IF(NOT(ISNUMBER($E506)),"",IF($C506="Receipt",$E506,IF($C506="Shipment",-$E506,IF($C506="Adjustment",$E506,0))))</f>
        <v/>
      </c>
      <c r="N506" s="49" t="str">
        <f>IF($D506="","",IFERROR(INDEX(Products!$B$2:$B$101,MATCH($D506,Products!$A$2:$A$101,0))&amp;"","(not found)"))</f>
        <v/>
      </c>
      <c r="O506" s="49" t="str">
        <f>IF($F506="","",IFERROR(INDEX(Batches!$B$2:$B$301,MATCH($F506,Batches!$A$2:$A$301,0))&amp;"","(not found)"))</f>
        <v/>
      </c>
      <c r="P506" s="49" t="str">
        <f>IF(COUNTA($A506:$L506)=0,"",IF($A506="","Missing: entry ID",IF(COUNTIF($A$2:$A$2001,$A506)&gt;1,"Duplicate entry ID",IF(NOT(ISNUMBER($B506)),"Missing or invalid: date",IF($C506="","Missing: type",IF($D506="","Missing: SKU",IF(NOT(ISNUMBER($E506)),"Missing: qty",IF($F506="","Missing: lot",IF($I506="","Missing: source link",IF(COUNTIF(Config!$A$15:$A$34,$C506)=0,"Unsupported type",IF(COUNTIF(Products!$A$2:$A$101,$D506)=0,"Unknown SKU",IF(COUNTIFS(Batches!$A$2:$A$301,$F506,Batches!$B$2:$B$301,$D506)=0,"Unknown lot for this SKU",IF(AND($C506="Adjustment",$G506=""),"Missing: reason",IF(AND($G506&lt;&gt;"",COUNTIF(Config!$B$15:$B$34,$G506)=0),"Unsupported reason",IF(OR(INT($E506)&lt;&gt;$E506,AND(OR($C506="Receipt",$C506="Shipment"),$E506&lt;=0),AND($C506="Adjustment",$E506=0)),"Invalid qty",IF($B506&gt;Config!$B$4,"Date after the as-of date",IF($B506&lt;Config!$B$5,"Date before the opening balance date","OK")))))))))))))))))</f>
        <v/>
      </c>
    </row>
    <row r="507">
      <c r="A507" s="46" t="n"/>
      <c r="B507" s="54" t="n"/>
      <c r="C507" s="46" t="n"/>
      <c r="D507" s="46" t="n"/>
      <c r="E507" s="55" t="n"/>
      <c r="F507" s="46" t="n"/>
      <c r="G507" s="46" t="n"/>
      <c r="H507" s="46" t="n"/>
      <c r="I507" s="46" t="n"/>
      <c r="J507" s="46" t="n"/>
      <c r="K507" s="46" t="n"/>
      <c r="L507" s="46" t="n"/>
      <c r="M507" s="51" t="str">
        <f>IF(NOT(ISNUMBER($E507)),"",IF($C507="Receipt",$E507,IF($C507="Shipment",-$E507,IF($C507="Adjustment",$E507,0))))</f>
        <v/>
      </c>
      <c r="N507" s="49" t="str">
        <f>IF($D507="","",IFERROR(INDEX(Products!$B$2:$B$101,MATCH($D507,Products!$A$2:$A$101,0))&amp;"","(not found)"))</f>
        <v/>
      </c>
      <c r="O507" s="49" t="str">
        <f>IF($F507="","",IFERROR(INDEX(Batches!$B$2:$B$301,MATCH($F507,Batches!$A$2:$A$301,0))&amp;"","(not found)"))</f>
        <v/>
      </c>
      <c r="P507" s="49" t="str">
        <f>IF(COUNTA($A507:$L507)=0,"",IF($A507="","Missing: entry ID",IF(COUNTIF($A$2:$A$2001,$A507)&gt;1,"Duplicate entry ID",IF(NOT(ISNUMBER($B507)),"Missing or invalid: date",IF($C507="","Missing: type",IF($D507="","Missing: SKU",IF(NOT(ISNUMBER($E507)),"Missing: qty",IF($F507="","Missing: lot",IF($I507="","Missing: source link",IF(COUNTIF(Config!$A$15:$A$34,$C507)=0,"Unsupported type",IF(COUNTIF(Products!$A$2:$A$101,$D507)=0,"Unknown SKU",IF(COUNTIFS(Batches!$A$2:$A$301,$F507,Batches!$B$2:$B$301,$D507)=0,"Unknown lot for this SKU",IF(AND($C507="Adjustment",$G507=""),"Missing: reason",IF(AND($G507&lt;&gt;"",COUNTIF(Config!$B$15:$B$34,$G507)=0),"Unsupported reason",IF(OR(INT($E507)&lt;&gt;$E507,AND(OR($C507="Receipt",$C507="Shipment"),$E507&lt;=0),AND($C507="Adjustment",$E507=0)),"Invalid qty",IF($B507&gt;Config!$B$4,"Date after the as-of date",IF($B507&lt;Config!$B$5,"Date before the opening balance date","OK")))))))))))))))))</f>
        <v/>
      </c>
    </row>
    <row r="508">
      <c r="A508" s="46" t="n"/>
      <c r="B508" s="54" t="n"/>
      <c r="C508" s="46" t="n"/>
      <c r="D508" s="46" t="n"/>
      <c r="E508" s="55" t="n"/>
      <c r="F508" s="46" t="n"/>
      <c r="G508" s="46" t="n"/>
      <c r="H508" s="46" t="n"/>
      <c r="I508" s="46" t="n"/>
      <c r="J508" s="46" t="n"/>
      <c r="K508" s="46" t="n"/>
      <c r="L508" s="46" t="n"/>
      <c r="M508" s="51" t="str">
        <f>IF(NOT(ISNUMBER($E508)),"",IF($C508="Receipt",$E508,IF($C508="Shipment",-$E508,IF($C508="Adjustment",$E508,0))))</f>
        <v/>
      </c>
      <c r="N508" s="49" t="str">
        <f>IF($D508="","",IFERROR(INDEX(Products!$B$2:$B$101,MATCH($D508,Products!$A$2:$A$101,0))&amp;"","(not found)"))</f>
        <v/>
      </c>
      <c r="O508" s="49" t="str">
        <f>IF($F508="","",IFERROR(INDEX(Batches!$B$2:$B$301,MATCH($F508,Batches!$A$2:$A$301,0))&amp;"","(not found)"))</f>
        <v/>
      </c>
      <c r="P508" s="49" t="str">
        <f>IF(COUNTA($A508:$L508)=0,"",IF($A508="","Missing: entry ID",IF(COUNTIF($A$2:$A$2001,$A508)&gt;1,"Duplicate entry ID",IF(NOT(ISNUMBER($B508)),"Missing or invalid: date",IF($C508="","Missing: type",IF($D508="","Missing: SKU",IF(NOT(ISNUMBER($E508)),"Missing: qty",IF($F508="","Missing: lot",IF($I508="","Missing: source link",IF(COUNTIF(Config!$A$15:$A$34,$C508)=0,"Unsupported type",IF(COUNTIF(Products!$A$2:$A$101,$D508)=0,"Unknown SKU",IF(COUNTIFS(Batches!$A$2:$A$301,$F508,Batches!$B$2:$B$301,$D508)=0,"Unknown lot for this SKU",IF(AND($C508="Adjustment",$G508=""),"Missing: reason",IF(AND($G508&lt;&gt;"",COUNTIF(Config!$B$15:$B$34,$G508)=0),"Unsupported reason",IF(OR(INT($E508)&lt;&gt;$E508,AND(OR($C508="Receipt",$C508="Shipment"),$E508&lt;=0),AND($C508="Adjustment",$E508=0)),"Invalid qty",IF($B508&gt;Config!$B$4,"Date after the as-of date",IF($B508&lt;Config!$B$5,"Date before the opening balance date","OK")))))))))))))))))</f>
        <v/>
      </c>
    </row>
    <row r="509">
      <c r="A509" s="46" t="n"/>
      <c r="B509" s="54" t="n"/>
      <c r="C509" s="46" t="n"/>
      <c r="D509" s="46" t="n"/>
      <c r="E509" s="55" t="n"/>
      <c r="F509" s="46" t="n"/>
      <c r="G509" s="46" t="n"/>
      <c r="H509" s="46" t="n"/>
      <c r="I509" s="46" t="n"/>
      <c r="J509" s="46" t="n"/>
      <c r="K509" s="46" t="n"/>
      <c r="L509" s="46" t="n"/>
      <c r="M509" s="51" t="str">
        <f>IF(NOT(ISNUMBER($E509)),"",IF($C509="Receipt",$E509,IF($C509="Shipment",-$E509,IF($C509="Adjustment",$E509,0))))</f>
        <v/>
      </c>
      <c r="N509" s="49" t="str">
        <f>IF($D509="","",IFERROR(INDEX(Products!$B$2:$B$101,MATCH($D509,Products!$A$2:$A$101,0))&amp;"","(not found)"))</f>
        <v/>
      </c>
      <c r="O509" s="49" t="str">
        <f>IF($F509="","",IFERROR(INDEX(Batches!$B$2:$B$301,MATCH($F509,Batches!$A$2:$A$301,0))&amp;"","(not found)"))</f>
        <v/>
      </c>
      <c r="P509" s="49" t="str">
        <f>IF(COUNTA($A509:$L509)=0,"",IF($A509="","Missing: entry ID",IF(COUNTIF($A$2:$A$2001,$A509)&gt;1,"Duplicate entry ID",IF(NOT(ISNUMBER($B509)),"Missing or invalid: date",IF($C509="","Missing: type",IF($D509="","Missing: SKU",IF(NOT(ISNUMBER($E509)),"Missing: qty",IF($F509="","Missing: lot",IF($I509="","Missing: source link",IF(COUNTIF(Config!$A$15:$A$34,$C509)=0,"Unsupported type",IF(COUNTIF(Products!$A$2:$A$101,$D509)=0,"Unknown SKU",IF(COUNTIFS(Batches!$A$2:$A$301,$F509,Batches!$B$2:$B$301,$D509)=0,"Unknown lot for this SKU",IF(AND($C509="Adjustment",$G509=""),"Missing: reason",IF(AND($G509&lt;&gt;"",COUNTIF(Config!$B$15:$B$34,$G509)=0),"Unsupported reason",IF(OR(INT($E509)&lt;&gt;$E509,AND(OR($C509="Receipt",$C509="Shipment"),$E509&lt;=0),AND($C509="Adjustment",$E509=0)),"Invalid qty",IF($B509&gt;Config!$B$4,"Date after the as-of date",IF($B509&lt;Config!$B$5,"Date before the opening balance date","OK")))))))))))))))))</f>
        <v/>
      </c>
    </row>
    <row r="510">
      <c r="A510" s="46" t="n"/>
      <c r="B510" s="54" t="n"/>
      <c r="C510" s="46" t="n"/>
      <c r="D510" s="46" t="n"/>
      <c r="E510" s="55" t="n"/>
      <c r="F510" s="46" t="n"/>
      <c r="G510" s="46" t="n"/>
      <c r="H510" s="46" t="n"/>
      <c r="I510" s="46" t="n"/>
      <c r="J510" s="46" t="n"/>
      <c r="K510" s="46" t="n"/>
      <c r="L510" s="46" t="n"/>
      <c r="M510" s="51" t="str">
        <f>IF(NOT(ISNUMBER($E510)),"",IF($C510="Receipt",$E510,IF($C510="Shipment",-$E510,IF($C510="Adjustment",$E510,0))))</f>
        <v/>
      </c>
      <c r="N510" s="49" t="str">
        <f>IF($D510="","",IFERROR(INDEX(Products!$B$2:$B$101,MATCH($D510,Products!$A$2:$A$101,0))&amp;"","(not found)"))</f>
        <v/>
      </c>
      <c r="O510" s="49" t="str">
        <f>IF($F510="","",IFERROR(INDEX(Batches!$B$2:$B$301,MATCH($F510,Batches!$A$2:$A$301,0))&amp;"","(not found)"))</f>
        <v/>
      </c>
      <c r="P510" s="49" t="str">
        <f>IF(COUNTA($A510:$L510)=0,"",IF($A510="","Missing: entry ID",IF(COUNTIF($A$2:$A$2001,$A510)&gt;1,"Duplicate entry ID",IF(NOT(ISNUMBER($B510)),"Missing or invalid: date",IF($C510="","Missing: type",IF($D510="","Missing: SKU",IF(NOT(ISNUMBER($E510)),"Missing: qty",IF($F510="","Missing: lot",IF($I510="","Missing: source link",IF(COUNTIF(Config!$A$15:$A$34,$C510)=0,"Unsupported type",IF(COUNTIF(Products!$A$2:$A$101,$D510)=0,"Unknown SKU",IF(COUNTIFS(Batches!$A$2:$A$301,$F510,Batches!$B$2:$B$301,$D510)=0,"Unknown lot for this SKU",IF(AND($C510="Adjustment",$G510=""),"Missing: reason",IF(AND($G510&lt;&gt;"",COUNTIF(Config!$B$15:$B$34,$G510)=0),"Unsupported reason",IF(OR(INT($E510)&lt;&gt;$E510,AND(OR($C510="Receipt",$C510="Shipment"),$E510&lt;=0),AND($C510="Adjustment",$E510=0)),"Invalid qty",IF($B510&gt;Config!$B$4,"Date after the as-of date",IF($B510&lt;Config!$B$5,"Date before the opening balance date","OK")))))))))))))))))</f>
        <v/>
      </c>
    </row>
    <row r="511">
      <c r="A511" s="46" t="n"/>
      <c r="B511" s="54" t="n"/>
      <c r="C511" s="46" t="n"/>
      <c r="D511" s="46" t="n"/>
      <c r="E511" s="55" t="n"/>
      <c r="F511" s="46" t="n"/>
      <c r="G511" s="46" t="n"/>
      <c r="H511" s="46" t="n"/>
      <c r="I511" s="46" t="n"/>
      <c r="J511" s="46" t="n"/>
      <c r="K511" s="46" t="n"/>
      <c r="L511" s="46" t="n"/>
      <c r="M511" s="51" t="str">
        <f>IF(NOT(ISNUMBER($E511)),"",IF($C511="Receipt",$E511,IF($C511="Shipment",-$E511,IF($C511="Adjustment",$E511,0))))</f>
        <v/>
      </c>
      <c r="N511" s="49" t="str">
        <f>IF($D511="","",IFERROR(INDEX(Products!$B$2:$B$101,MATCH($D511,Products!$A$2:$A$101,0))&amp;"","(not found)"))</f>
        <v/>
      </c>
      <c r="O511" s="49" t="str">
        <f>IF($F511="","",IFERROR(INDEX(Batches!$B$2:$B$301,MATCH($F511,Batches!$A$2:$A$301,0))&amp;"","(not found)"))</f>
        <v/>
      </c>
      <c r="P511" s="49" t="str">
        <f>IF(COUNTA($A511:$L511)=0,"",IF($A511="","Missing: entry ID",IF(COUNTIF($A$2:$A$2001,$A511)&gt;1,"Duplicate entry ID",IF(NOT(ISNUMBER($B511)),"Missing or invalid: date",IF($C511="","Missing: type",IF($D511="","Missing: SKU",IF(NOT(ISNUMBER($E511)),"Missing: qty",IF($F511="","Missing: lot",IF($I511="","Missing: source link",IF(COUNTIF(Config!$A$15:$A$34,$C511)=0,"Unsupported type",IF(COUNTIF(Products!$A$2:$A$101,$D511)=0,"Unknown SKU",IF(COUNTIFS(Batches!$A$2:$A$301,$F511,Batches!$B$2:$B$301,$D511)=0,"Unknown lot for this SKU",IF(AND($C511="Adjustment",$G511=""),"Missing: reason",IF(AND($G511&lt;&gt;"",COUNTIF(Config!$B$15:$B$34,$G511)=0),"Unsupported reason",IF(OR(INT($E511)&lt;&gt;$E511,AND(OR($C511="Receipt",$C511="Shipment"),$E511&lt;=0),AND($C511="Adjustment",$E511=0)),"Invalid qty",IF($B511&gt;Config!$B$4,"Date after the as-of date",IF($B511&lt;Config!$B$5,"Date before the opening balance date","OK")))))))))))))))))</f>
        <v/>
      </c>
    </row>
    <row r="512">
      <c r="A512" s="46" t="n"/>
      <c r="B512" s="54" t="n"/>
      <c r="C512" s="46" t="n"/>
      <c r="D512" s="46" t="n"/>
      <c r="E512" s="55" t="n"/>
      <c r="F512" s="46" t="n"/>
      <c r="G512" s="46" t="n"/>
      <c r="H512" s="46" t="n"/>
      <c r="I512" s="46" t="n"/>
      <c r="J512" s="46" t="n"/>
      <c r="K512" s="46" t="n"/>
      <c r="L512" s="46" t="n"/>
      <c r="M512" s="51" t="str">
        <f>IF(NOT(ISNUMBER($E512)),"",IF($C512="Receipt",$E512,IF($C512="Shipment",-$E512,IF($C512="Adjustment",$E512,0))))</f>
        <v/>
      </c>
      <c r="N512" s="49" t="str">
        <f>IF($D512="","",IFERROR(INDEX(Products!$B$2:$B$101,MATCH($D512,Products!$A$2:$A$101,0))&amp;"","(not found)"))</f>
        <v/>
      </c>
      <c r="O512" s="49" t="str">
        <f>IF($F512="","",IFERROR(INDEX(Batches!$B$2:$B$301,MATCH($F512,Batches!$A$2:$A$301,0))&amp;"","(not found)"))</f>
        <v/>
      </c>
      <c r="P512" s="49" t="str">
        <f>IF(COUNTA($A512:$L512)=0,"",IF($A512="","Missing: entry ID",IF(COUNTIF($A$2:$A$2001,$A512)&gt;1,"Duplicate entry ID",IF(NOT(ISNUMBER($B512)),"Missing or invalid: date",IF($C512="","Missing: type",IF($D512="","Missing: SKU",IF(NOT(ISNUMBER($E512)),"Missing: qty",IF($F512="","Missing: lot",IF($I512="","Missing: source link",IF(COUNTIF(Config!$A$15:$A$34,$C512)=0,"Unsupported type",IF(COUNTIF(Products!$A$2:$A$101,$D512)=0,"Unknown SKU",IF(COUNTIFS(Batches!$A$2:$A$301,$F512,Batches!$B$2:$B$301,$D512)=0,"Unknown lot for this SKU",IF(AND($C512="Adjustment",$G512=""),"Missing: reason",IF(AND($G512&lt;&gt;"",COUNTIF(Config!$B$15:$B$34,$G512)=0),"Unsupported reason",IF(OR(INT($E512)&lt;&gt;$E512,AND(OR($C512="Receipt",$C512="Shipment"),$E512&lt;=0),AND($C512="Adjustment",$E512=0)),"Invalid qty",IF($B512&gt;Config!$B$4,"Date after the as-of date",IF($B512&lt;Config!$B$5,"Date before the opening balance date","OK")))))))))))))))))</f>
        <v/>
      </c>
    </row>
    <row r="513">
      <c r="A513" s="46" t="n"/>
      <c r="B513" s="54" t="n"/>
      <c r="C513" s="46" t="n"/>
      <c r="D513" s="46" t="n"/>
      <c r="E513" s="55" t="n"/>
      <c r="F513" s="46" t="n"/>
      <c r="G513" s="46" t="n"/>
      <c r="H513" s="46" t="n"/>
      <c r="I513" s="46" t="n"/>
      <c r="J513" s="46" t="n"/>
      <c r="K513" s="46" t="n"/>
      <c r="L513" s="46" t="n"/>
      <c r="M513" s="51" t="str">
        <f>IF(NOT(ISNUMBER($E513)),"",IF($C513="Receipt",$E513,IF($C513="Shipment",-$E513,IF($C513="Adjustment",$E513,0))))</f>
        <v/>
      </c>
      <c r="N513" s="49" t="str">
        <f>IF($D513="","",IFERROR(INDEX(Products!$B$2:$B$101,MATCH($D513,Products!$A$2:$A$101,0))&amp;"","(not found)"))</f>
        <v/>
      </c>
      <c r="O513" s="49" t="str">
        <f>IF($F513="","",IFERROR(INDEX(Batches!$B$2:$B$301,MATCH($F513,Batches!$A$2:$A$301,0))&amp;"","(not found)"))</f>
        <v/>
      </c>
      <c r="P513" s="49" t="str">
        <f>IF(COUNTA($A513:$L513)=0,"",IF($A513="","Missing: entry ID",IF(COUNTIF($A$2:$A$2001,$A513)&gt;1,"Duplicate entry ID",IF(NOT(ISNUMBER($B513)),"Missing or invalid: date",IF($C513="","Missing: type",IF($D513="","Missing: SKU",IF(NOT(ISNUMBER($E513)),"Missing: qty",IF($F513="","Missing: lot",IF($I513="","Missing: source link",IF(COUNTIF(Config!$A$15:$A$34,$C513)=0,"Unsupported type",IF(COUNTIF(Products!$A$2:$A$101,$D513)=0,"Unknown SKU",IF(COUNTIFS(Batches!$A$2:$A$301,$F513,Batches!$B$2:$B$301,$D513)=0,"Unknown lot for this SKU",IF(AND($C513="Adjustment",$G513=""),"Missing: reason",IF(AND($G513&lt;&gt;"",COUNTIF(Config!$B$15:$B$34,$G513)=0),"Unsupported reason",IF(OR(INT($E513)&lt;&gt;$E513,AND(OR($C513="Receipt",$C513="Shipment"),$E513&lt;=0),AND($C513="Adjustment",$E513=0)),"Invalid qty",IF($B513&gt;Config!$B$4,"Date after the as-of date",IF($B513&lt;Config!$B$5,"Date before the opening balance date","OK")))))))))))))))))</f>
        <v/>
      </c>
    </row>
    <row r="514">
      <c r="A514" s="46" t="n"/>
      <c r="B514" s="54" t="n"/>
      <c r="C514" s="46" t="n"/>
      <c r="D514" s="46" t="n"/>
      <c r="E514" s="55" t="n"/>
      <c r="F514" s="46" t="n"/>
      <c r="G514" s="46" t="n"/>
      <c r="H514" s="46" t="n"/>
      <c r="I514" s="46" t="n"/>
      <c r="J514" s="46" t="n"/>
      <c r="K514" s="46" t="n"/>
      <c r="L514" s="46" t="n"/>
      <c r="M514" s="51" t="str">
        <f>IF(NOT(ISNUMBER($E514)),"",IF($C514="Receipt",$E514,IF($C514="Shipment",-$E514,IF($C514="Adjustment",$E514,0))))</f>
        <v/>
      </c>
      <c r="N514" s="49" t="str">
        <f>IF($D514="","",IFERROR(INDEX(Products!$B$2:$B$101,MATCH($D514,Products!$A$2:$A$101,0))&amp;"","(not found)"))</f>
        <v/>
      </c>
      <c r="O514" s="49" t="str">
        <f>IF($F514="","",IFERROR(INDEX(Batches!$B$2:$B$301,MATCH($F514,Batches!$A$2:$A$301,0))&amp;"","(not found)"))</f>
        <v/>
      </c>
      <c r="P514" s="49" t="str">
        <f>IF(COUNTA($A514:$L514)=0,"",IF($A514="","Missing: entry ID",IF(COUNTIF($A$2:$A$2001,$A514)&gt;1,"Duplicate entry ID",IF(NOT(ISNUMBER($B514)),"Missing or invalid: date",IF($C514="","Missing: type",IF($D514="","Missing: SKU",IF(NOT(ISNUMBER($E514)),"Missing: qty",IF($F514="","Missing: lot",IF($I514="","Missing: source link",IF(COUNTIF(Config!$A$15:$A$34,$C514)=0,"Unsupported type",IF(COUNTIF(Products!$A$2:$A$101,$D514)=0,"Unknown SKU",IF(COUNTIFS(Batches!$A$2:$A$301,$F514,Batches!$B$2:$B$301,$D514)=0,"Unknown lot for this SKU",IF(AND($C514="Adjustment",$G514=""),"Missing: reason",IF(AND($G514&lt;&gt;"",COUNTIF(Config!$B$15:$B$34,$G514)=0),"Unsupported reason",IF(OR(INT($E514)&lt;&gt;$E514,AND(OR($C514="Receipt",$C514="Shipment"),$E514&lt;=0),AND($C514="Adjustment",$E514=0)),"Invalid qty",IF($B514&gt;Config!$B$4,"Date after the as-of date",IF($B514&lt;Config!$B$5,"Date before the opening balance date","OK")))))))))))))))))</f>
        <v/>
      </c>
    </row>
    <row r="515">
      <c r="A515" s="46" t="n"/>
      <c r="B515" s="54" t="n"/>
      <c r="C515" s="46" t="n"/>
      <c r="D515" s="46" t="n"/>
      <c r="E515" s="55" t="n"/>
      <c r="F515" s="46" t="n"/>
      <c r="G515" s="46" t="n"/>
      <c r="H515" s="46" t="n"/>
      <c r="I515" s="46" t="n"/>
      <c r="J515" s="46" t="n"/>
      <c r="K515" s="46" t="n"/>
      <c r="L515" s="46" t="n"/>
      <c r="M515" s="51" t="str">
        <f>IF(NOT(ISNUMBER($E515)),"",IF($C515="Receipt",$E515,IF($C515="Shipment",-$E515,IF($C515="Adjustment",$E515,0))))</f>
        <v/>
      </c>
      <c r="N515" s="49" t="str">
        <f>IF($D515="","",IFERROR(INDEX(Products!$B$2:$B$101,MATCH($D515,Products!$A$2:$A$101,0))&amp;"","(not found)"))</f>
        <v/>
      </c>
      <c r="O515" s="49" t="str">
        <f>IF($F515="","",IFERROR(INDEX(Batches!$B$2:$B$301,MATCH($F515,Batches!$A$2:$A$301,0))&amp;"","(not found)"))</f>
        <v/>
      </c>
      <c r="P515" s="49" t="str">
        <f>IF(COUNTA($A515:$L515)=0,"",IF($A515="","Missing: entry ID",IF(COUNTIF($A$2:$A$2001,$A515)&gt;1,"Duplicate entry ID",IF(NOT(ISNUMBER($B515)),"Missing or invalid: date",IF($C515="","Missing: type",IF($D515="","Missing: SKU",IF(NOT(ISNUMBER($E515)),"Missing: qty",IF($F515="","Missing: lot",IF($I515="","Missing: source link",IF(COUNTIF(Config!$A$15:$A$34,$C515)=0,"Unsupported type",IF(COUNTIF(Products!$A$2:$A$101,$D515)=0,"Unknown SKU",IF(COUNTIFS(Batches!$A$2:$A$301,$F515,Batches!$B$2:$B$301,$D515)=0,"Unknown lot for this SKU",IF(AND($C515="Adjustment",$G515=""),"Missing: reason",IF(AND($G515&lt;&gt;"",COUNTIF(Config!$B$15:$B$34,$G515)=0),"Unsupported reason",IF(OR(INT($E515)&lt;&gt;$E515,AND(OR($C515="Receipt",$C515="Shipment"),$E515&lt;=0),AND($C515="Adjustment",$E515=0)),"Invalid qty",IF($B515&gt;Config!$B$4,"Date after the as-of date",IF($B515&lt;Config!$B$5,"Date before the opening balance date","OK")))))))))))))))))</f>
        <v/>
      </c>
    </row>
    <row r="516">
      <c r="A516" s="46" t="n"/>
      <c r="B516" s="54" t="n"/>
      <c r="C516" s="46" t="n"/>
      <c r="D516" s="46" t="n"/>
      <c r="E516" s="55" t="n"/>
      <c r="F516" s="46" t="n"/>
      <c r="G516" s="46" t="n"/>
      <c r="H516" s="46" t="n"/>
      <c r="I516" s="46" t="n"/>
      <c r="J516" s="46" t="n"/>
      <c r="K516" s="46" t="n"/>
      <c r="L516" s="46" t="n"/>
      <c r="M516" s="51" t="str">
        <f>IF(NOT(ISNUMBER($E516)),"",IF($C516="Receipt",$E516,IF($C516="Shipment",-$E516,IF($C516="Adjustment",$E516,0))))</f>
        <v/>
      </c>
      <c r="N516" s="49" t="str">
        <f>IF($D516="","",IFERROR(INDEX(Products!$B$2:$B$101,MATCH($D516,Products!$A$2:$A$101,0))&amp;"","(not found)"))</f>
        <v/>
      </c>
      <c r="O516" s="49" t="str">
        <f>IF($F516="","",IFERROR(INDEX(Batches!$B$2:$B$301,MATCH($F516,Batches!$A$2:$A$301,0))&amp;"","(not found)"))</f>
        <v/>
      </c>
      <c r="P516" s="49" t="str">
        <f>IF(COUNTA($A516:$L516)=0,"",IF($A516="","Missing: entry ID",IF(COUNTIF($A$2:$A$2001,$A516)&gt;1,"Duplicate entry ID",IF(NOT(ISNUMBER($B516)),"Missing or invalid: date",IF($C516="","Missing: type",IF($D516="","Missing: SKU",IF(NOT(ISNUMBER($E516)),"Missing: qty",IF($F516="","Missing: lot",IF($I516="","Missing: source link",IF(COUNTIF(Config!$A$15:$A$34,$C516)=0,"Unsupported type",IF(COUNTIF(Products!$A$2:$A$101,$D516)=0,"Unknown SKU",IF(COUNTIFS(Batches!$A$2:$A$301,$F516,Batches!$B$2:$B$301,$D516)=0,"Unknown lot for this SKU",IF(AND($C516="Adjustment",$G516=""),"Missing: reason",IF(AND($G516&lt;&gt;"",COUNTIF(Config!$B$15:$B$34,$G516)=0),"Unsupported reason",IF(OR(INT($E516)&lt;&gt;$E516,AND(OR($C516="Receipt",$C516="Shipment"),$E516&lt;=0),AND($C516="Adjustment",$E516=0)),"Invalid qty",IF($B516&gt;Config!$B$4,"Date after the as-of date",IF($B516&lt;Config!$B$5,"Date before the opening balance date","OK")))))))))))))))))</f>
        <v/>
      </c>
    </row>
    <row r="517">
      <c r="A517" s="46" t="n"/>
      <c r="B517" s="54" t="n"/>
      <c r="C517" s="46" t="n"/>
      <c r="D517" s="46" t="n"/>
      <c r="E517" s="55" t="n"/>
      <c r="F517" s="46" t="n"/>
      <c r="G517" s="46" t="n"/>
      <c r="H517" s="46" t="n"/>
      <c r="I517" s="46" t="n"/>
      <c r="J517" s="46" t="n"/>
      <c r="K517" s="46" t="n"/>
      <c r="L517" s="46" t="n"/>
      <c r="M517" s="51" t="str">
        <f>IF(NOT(ISNUMBER($E517)),"",IF($C517="Receipt",$E517,IF($C517="Shipment",-$E517,IF($C517="Adjustment",$E517,0))))</f>
        <v/>
      </c>
      <c r="N517" s="49" t="str">
        <f>IF($D517="","",IFERROR(INDEX(Products!$B$2:$B$101,MATCH($D517,Products!$A$2:$A$101,0))&amp;"","(not found)"))</f>
        <v/>
      </c>
      <c r="O517" s="49" t="str">
        <f>IF($F517="","",IFERROR(INDEX(Batches!$B$2:$B$301,MATCH($F517,Batches!$A$2:$A$301,0))&amp;"","(not found)"))</f>
        <v/>
      </c>
      <c r="P517" s="49" t="str">
        <f>IF(COUNTA($A517:$L517)=0,"",IF($A517="","Missing: entry ID",IF(COUNTIF($A$2:$A$2001,$A517)&gt;1,"Duplicate entry ID",IF(NOT(ISNUMBER($B517)),"Missing or invalid: date",IF($C517="","Missing: type",IF($D517="","Missing: SKU",IF(NOT(ISNUMBER($E517)),"Missing: qty",IF($F517="","Missing: lot",IF($I517="","Missing: source link",IF(COUNTIF(Config!$A$15:$A$34,$C517)=0,"Unsupported type",IF(COUNTIF(Products!$A$2:$A$101,$D517)=0,"Unknown SKU",IF(COUNTIFS(Batches!$A$2:$A$301,$F517,Batches!$B$2:$B$301,$D517)=0,"Unknown lot for this SKU",IF(AND($C517="Adjustment",$G517=""),"Missing: reason",IF(AND($G517&lt;&gt;"",COUNTIF(Config!$B$15:$B$34,$G517)=0),"Unsupported reason",IF(OR(INT($E517)&lt;&gt;$E517,AND(OR($C517="Receipt",$C517="Shipment"),$E517&lt;=0),AND($C517="Adjustment",$E517=0)),"Invalid qty",IF($B517&gt;Config!$B$4,"Date after the as-of date",IF($B517&lt;Config!$B$5,"Date before the opening balance date","OK")))))))))))))))))</f>
        <v/>
      </c>
    </row>
    <row r="518">
      <c r="A518" s="46" t="n"/>
      <c r="B518" s="54" t="n"/>
      <c r="C518" s="46" t="n"/>
      <c r="D518" s="46" t="n"/>
      <c r="E518" s="55" t="n"/>
      <c r="F518" s="46" t="n"/>
      <c r="G518" s="46" t="n"/>
      <c r="H518" s="46" t="n"/>
      <c r="I518" s="46" t="n"/>
      <c r="J518" s="46" t="n"/>
      <c r="K518" s="46" t="n"/>
      <c r="L518" s="46" t="n"/>
      <c r="M518" s="51" t="str">
        <f>IF(NOT(ISNUMBER($E518)),"",IF($C518="Receipt",$E518,IF($C518="Shipment",-$E518,IF($C518="Adjustment",$E518,0))))</f>
        <v/>
      </c>
      <c r="N518" s="49" t="str">
        <f>IF($D518="","",IFERROR(INDEX(Products!$B$2:$B$101,MATCH($D518,Products!$A$2:$A$101,0))&amp;"","(not found)"))</f>
        <v/>
      </c>
      <c r="O518" s="49" t="str">
        <f>IF($F518="","",IFERROR(INDEX(Batches!$B$2:$B$301,MATCH($F518,Batches!$A$2:$A$301,0))&amp;"","(not found)"))</f>
        <v/>
      </c>
      <c r="P518" s="49" t="str">
        <f>IF(COUNTA($A518:$L518)=0,"",IF($A518="","Missing: entry ID",IF(COUNTIF($A$2:$A$2001,$A518)&gt;1,"Duplicate entry ID",IF(NOT(ISNUMBER($B518)),"Missing or invalid: date",IF($C518="","Missing: type",IF($D518="","Missing: SKU",IF(NOT(ISNUMBER($E518)),"Missing: qty",IF($F518="","Missing: lot",IF($I518="","Missing: source link",IF(COUNTIF(Config!$A$15:$A$34,$C518)=0,"Unsupported type",IF(COUNTIF(Products!$A$2:$A$101,$D518)=0,"Unknown SKU",IF(COUNTIFS(Batches!$A$2:$A$301,$F518,Batches!$B$2:$B$301,$D518)=0,"Unknown lot for this SKU",IF(AND($C518="Adjustment",$G518=""),"Missing: reason",IF(AND($G518&lt;&gt;"",COUNTIF(Config!$B$15:$B$34,$G518)=0),"Unsupported reason",IF(OR(INT($E518)&lt;&gt;$E518,AND(OR($C518="Receipt",$C518="Shipment"),$E518&lt;=0),AND($C518="Adjustment",$E518=0)),"Invalid qty",IF($B518&gt;Config!$B$4,"Date after the as-of date",IF($B518&lt;Config!$B$5,"Date before the opening balance date","OK")))))))))))))))))</f>
        <v/>
      </c>
    </row>
    <row r="519">
      <c r="A519" s="46" t="n"/>
      <c r="B519" s="54" t="n"/>
      <c r="C519" s="46" t="n"/>
      <c r="D519" s="46" t="n"/>
      <c r="E519" s="55" t="n"/>
      <c r="F519" s="46" t="n"/>
      <c r="G519" s="46" t="n"/>
      <c r="H519" s="46" t="n"/>
      <c r="I519" s="46" t="n"/>
      <c r="J519" s="46" t="n"/>
      <c r="K519" s="46" t="n"/>
      <c r="L519" s="46" t="n"/>
      <c r="M519" s="51" t="str">
        <f>IF(NOT(ISNUMBER($E519)),"",IF($C519="Receipt",$E519,IF($C519="Shipment",-$E519,IF($C519="Adjustment",$E519,0))))</f>
        <v/>
      </c>
      <c r="N519" s="49" t="str">
        <f>IF($D519="","",IFERROR(INDEX(Products!$B$2:$B$101,MATCH($D519,Products!$A$2:$A$101,0))&amp;"","(not found)"))</f>
        <v/>
      </c>
      <c r="O519" s="49" t="str">
        <f>IF($F519="","",IFERROR(INDEX(Batches!$B$2:$B$301,MATCH($F519,Batches!$A$2:$A$301,0))&amp;"","(not found)"))</f>
        <v/>
      </c>
      <c r="P519" s="49" t="str">
        <f>IF(COUNTA($A519:$L519)=0,"",IF($A519="","Missing: entry ID",IF(COUNTIF($A$2:$A$2001,$A519)&gt;1,"Duplicate entry ID",IF(NOT(ISNUMBER($B519)),"Missing or invalid: date",IF($C519="","Missing: type",IF($D519="","Missing: SKU",IF(NOT(ISNUMBER($E519)),"Missing: qty",IF($F519="","Missing: lot",IF($I519="","Missing: source link",IF(COUNTIF(Config!$A$15:$A$34,$C519)=0,"Unsupported type",IF(COUNTIF(Products!$A$2:$A$101,$D519)=0,"Unknown SKU",IF(COUNTIFS(Batches!$A$2:$A$301,$F519,Batches!$B$2:$B$301,$D519)=0,"Unknown lot for this SKU",IF(AND($C519="Adjustment",$G519=""),"Missing: reason",IF(AND($G519&lt;&gt;"",COUNTIF(Config!$B$15:$B$34,$G519)=0),"Unsupported reason",IF(OR(INT($E519)&lt;&gt;$E519,AND(OR($C519="Receipt",$C519="Shipment"),$E519&lt;=0),AND($C519="Adjustment",$E519=0)),"Invalid qty",IF($B519&gt;Config!$B$4,"Date after the as-of date",IF($B519&lt;Config!$B$5,"Date before the opening balance date","OK")))))))))))))))))</f>
        <v/>
      </c>
    </row>
    <row r="520">
      <c r="A520" s="46" t="n"/>
      <c r="B520" s="54" t="n"/>
      <c r="C520" s="46" t="n"/>
      <c r="D520" s="46" t="n"/>
      <c r="E520" s="55" t="n"/>
      <c r="F520" s="46" t="n"/>
      <c r="G520" s="46" t="n"/>
      <c r="H520" s="46" t="n"/>
      <c r="I520" s="46" t="n"/>
      <c r="J520" s="46" t="n"/>
      <c r="K520" s="46" t="n"/>
      <c r="L520" s="46" t="n"/>
      <c r="M520" s="51" t="str">
        <f>IF(NOT(ISNUMBER($E520)),"",IF($C520="Receipt",$E520,IF($C520="Shipment",-$E520,IF($C520="Adjustment",$E520,0))))</f>
        <v/>
      </c>
      <c r="N520" s="49" t="str">
        <f>IF($D520="","",IFERROR(INDEX(Products!$B$2:$B$101,MATCH($D520,Products!$A$2:$A$101,0))&amp;"","(not found)"))</f>
        <v/>
      </c>
      <c r="O520" s="49" t="str">
        <f>IF($F520="","",IFERROR(INDEX(Batches!$B$2:$B$301,MATCH($F520,Batches!$A$2:$A$301,0))&amp;"","(not found)"))</f>
        <v/>
      </c>
      <c r="P520" s="49" t="str">
        <f>IF(COUNTA($A520:$L520)=0,"",IF($A520="","Missing: entry ID",IF(COUNTIF($A$2:$A$2001,$A520)&gt;1,"Duplicate entry ID",IF(NOT(ISNUMBER($B520)),"Missing or invalid: date",IF($C520="","Missing: type",IF($D520="","Missing: SKU",IF(NOT(ISNUMBER($E520)),"Missing: qty",IF($F520="","Missing: lot",IF($I520="","Missing: source link",IF(COUNTIF(Config!$A$15:$A$34,$C520)=0,"Unsupported type",IF(COUNTIF(Products!$A$2:$A$101,$D520)=0,"Unknown SKU",IF(COUNTIFS(Batches!$A$2:$A$301,$F520,Batches!$B$2:$B$301,$D520)=0,"Unknown lot for this SKU",IF(AND($C520="Adjustment",$G520=""),"Missing: reason",IF(AND($G520&lt;&gt;"",COUNTIF(Config!$B$15:$B$34,$G520)=0),"Unsupported reason",IF(OR(INT($E520)&lt;&gt;$E520,AND(OR($C520="Receipt",$C520="Shipment"),$E520&lt;=0),AND($C520="Adjustment",$E520=0)),"Invalid qty",IF($B520&gt;Config!$B$4,"Date after the as-of date",IF($B520&lt;Config!$B$5,"Date before the opening balance date","OK")))))))))))))))))</f>
        <v/>
      </c>
    </row>
    <row r="521">
      <c r="A521" s="46" t="n"/>
      <c r="B521" s="54" t="n"/>
      <c r="C521" s="46" t="n"/>
      <c r="D521" s="46" t="n"/>
      <c r="E521" s="55" t="n"/>
      <c r="F521" s="46" t="n"/>
      <c r="G521" s="46" t="n"/>
      <c r="H521" s="46" t="n"/>
      <c r="I521" s="46" t="n"/>
      <c r="J521" s="46" t="n"/>
      <c r="K521" s="46" t="n"/>
      <c r="L521" s="46" t="n"/>
      <c r="M521" s="51" t="str">
        <f>IF(NOT(ISNUMBER($E521)),"",IF($C521="Receipt",$E521,IF($C521="Shipment",-$E521,IF($C521="Adjustment",$E521,0))))</f>
        <v/>
      </c>
      <c r="N521" s="49" t="str">
        <f>IF($D521="","",IFERROR(INDEX(Products!$B$2:$B$101,MATCH($D521,Products!$A$2:$A$101,0))&amp;"","(not found)"))</f>
        <v/>
      </c>
      <c r="O521" s="49" t="str">
        <f>IF($F521="","",IFERROR(INDEX(Batches!$B$2:$B$301,MATCH($F521,Batches!$A$2:$A$301,0))&amp;"","(not found)"))</f>
        <v/>
      </c>
      <c r="P521" s="49" t="str">
        <f>IF(COUNTA($A521:$L521)=0,"",IF($A521="","Missing: entry ID",IF(COUNTIF($A$2:$A$2001,$A521)&gt;1,"Duplicate entry ID",IF(NOT(ISNUMBER($B521)),"Missing or invalid: date",IF($C521="","Missing: type",IF($D521="","Missing: SKU",IF(NOT(ISNUMBER($E521)),"Missing: qty",IF($F521="","Missing: lot",IF($I521="","Missing: source link",IF(COUNTIF(Config!$A$15:$A$34,$C521)=0,"Unsupported type",IF(COUNTIF(Products!$A$2:$A$101,$D521)=0,"Unknown SKU",IF(COUNTIFS(Batches!$A$2:$A$301,$F521,Batches!$B$2:$B$301,$D521)=0,"Unknown lot for this SKU",IF(AND($C521="Adjustment",$G521=""),"Missing: reason",IF(AND($G521&lt;&gt;"",COUNTIF(Config!$B$15:$B$34,$G521)=0),"Unsupported reason",IF(OR(INT($E521)&lt;&gt;$E521,AND(OR($C521="Receipt",$C521="Shipment"),$E521&lt;=0),AND($C521="Adjustment",$E521=0)),"Invalid qty",IF($B521&gt;Config!$B$4,"Date after the as-of date",IF($B521&lt;Config!$B$5,"Date before the opening balance date","OK")))))))))))))))))</f>
        <v/>
      </c>
    </row>
    <row r="522">
      <c r="A522" s="46" t="n"/>
      <c r="B522" s="54" t="n"/>
      <c r="C522" s="46" t="n"/>
      <c r="D522" s="46" t="n"/>
      <c r="E522" s="55" t="n"/>
      <c r="F522" s="46" t="n"/>
      <c r="G522" s="46" t="n"/>
      <c r="H522" s="46" t="n"/>
      <c r="I522" s="46" t="n"/>
      <c r="J522" s="46" t="n"/>
      <c r="K522" s="46" t="n"/>
      <c r="L522" s="46" t="n"/>
      <c r="M522" s="51" t="str">
        <f>IF(NOT(ISNUMBER($E522)),"",IF($C522="Receipt",$E522,IF($C522="Shipment",-$E522,IF($C522="Adjustment",$E522,0))))</f>
        <v/>
      </c>
      <c r="N522" s="49" t="str">
        <f>IF($D522="","",IFERROR(INDEX(Products!$B$2:$B$101,MATCH($D522,Products!$A$2:$A$101,0))&amp;"","(not found)"))</f>
        <v/>
      </c>
      <c r="O522" s="49" t="str">
        <f>IF($F522="","",IFERROR(INDEX(Batches!$B$2:$B$301,MATCH($F522,Batches!$A$2:$A$301,0))&amp;"","(not found)"))</f>
        <v/>
      </c>
      <c r="P522" s="49" t="str">
        <f>IF(COUNTA($A522:$L522)=0,"",IF($A522="","Missing: entry ID",IF(COUNTIF($A$2:$A$2001,$A522)&gt;1,"Duplicate entry ID",IF(NOT(ISNUMBER($B522)),"Missing or invalid: date",IF($C522="","Missing: type",IF($D522="","Missing: SKU",IF(NOT(ISNUMBER($E522)),"Missing: qty",IF($F522="","Missing: lot",IF($I522="","Missing: source link",IF(COUNTIF(Config!$A$15:$A$34,$C522)=0,"Unsupported type",IF(COUNTIF(Products!$A$2:$A$101,$D522)=0,"Unknown SKU",IF(COUNTIFS(Batches!$A$2:$A$301,$F522,Batches!$B$2:$B$301,$D522)=0,"Unknown lot for this SKU",IF(AND($C522="Adjustment",$G522=""),"Missing: reason",IF(AND($G522&lt;&gt;"",COUNTIF(Config!$B$15:$B$34,$G522)=0),"Unsupported reason",IF(OR(INT($E522)&lt;&gt;$E522,AND(OR($C522="Receipt",$C522="Shipment"),$E522&lt;=0),AND($C522="Adjustment",$E522=0)),"Invalid qty",IF($B522&gt;Config!$B$4,"Date after the as-of date",IF($B522&lt;Config!$B$5,"Date before the opening balance date","OK")))))))))))))))))</f>
        <v/>
      </c>
    </row>
    <row r="523">
      <c r="A523" s="46" t="n"/>
      <c r="B523" s="54" t="n"/>
      <c r="C523" s="46" t="n"/>
      <c r="D523" s="46" t="n"/>
      <c r="E523" s="55" t="n"/>
      <c r="F523" s="46" t="n"/>
      <c r="G523" s="46" t="n"/>
      <c r="H523" s="46" t="n"/>
      <c r="I523" s="46" t="n"/>
      <c r="J523" s="46" t="n"/>
      <c r="K523" s="46" t="n"/>
      <c r="L523" s="46" t="n"/>
      <c r="M523" s="51" t="str">
        <f>IF(NOT(ISNUMBER($E523)),"",IF($C523="Receipt",$E523,IF($C523="Shipment",-$E523,IF($C523="Adjustment",$E523,0))))</f>
        <v/>
      </c>
      <c r="N523" s="49" t="str">
        <f>IF($D523="","",IFERROR(INDEX(Products!$B$2:$B$101,MATCH($D523,Products!$A$2:$A$101,0))&amp;"","(not found)"))</f>
        <v/>
      </c>
      <c r="O523" s="49" t="str">
        <f>IF($F523="","",IFERROR(INDEX(Batches!$B$2:$B$301,MATCH($F523,Batches!$A$2:$A$301,0))&amp;"","(not found)"))</f>
        <v/>
      </c>
      <c r="P523" s="49" t="str">
        <f>IF(COUNTA($A523:$L523)=0,"",IF($A523="","Missing: entry ID",IF(COUNTIF($A$2:$A$2001,$A523)&gt;1,"Duplicate entry ID",IF(NOT(ISNUMBER($B523)),"Missing or invalid: date",IF($C523="","Missing: type",IF($D523="","Missing: SKU",IF(NOT(ISNUMBER($E523)),"Missing: qty",IF($F523="","Missing: lot",IF($I523="","Missing: source link",IF(COUNTIF(Config!$A$15:$A$34,$C523)=0,"Unsupported type",IF(COUNTIF(Products!$A$2:$A$101,$D523)=0,"Unknown SKU",IF(COUNTIFS(Batches!$A$2:$A$301,$F523,Batches!$B$2:$B$301,$D523)=0,"Unknown lot for this SKU",IF(AND($C523="Adjustment",$G523=""),"Missing: reason",IF(AND($G523&lt;&gt;"",COUNTIF(Config!$B$15:$B$34,$G523)=0),"Unsupported reason",IF(OR(INT($E523)&lt;&gt;$E523,AND(OR($C523="Receipt",$C523="Shipment"),$E523&lt;=0),AND($C523="Adjustment",$E523=0)),"Invalid qty",IF($B523&gt;Config!$B$4,"Date after the as-of date",IF($B523&lt;Config!$B$5,"Date before the opening balance date","OK")))))))))))))))))</f>
        <v/>
      </c>
    </row>
    <row r="524">
      <c r="A524" s="46" t="n"/>
      <c r="B524" s="54" t="n"/>
      <c r="C524" s="46" t="n"/>
      <c r="D524" s="46" t="n"/>
      <c r="E524" s="55" t="n"/>
      <c r="F524" s="46" t="n"/>
      <c r="G524" s="46" t="n"/>
      <c r="H524" s="46" t="n"/>
      <c r="I524" s="46" t="n"/>
      <c r="J524" s="46" t="n"/>
      <c r="K524" s="46" t="n"/>
      <c r="L524" s="46" t="n"/>
      <c r="M524" s="51" t="str">
        <f>IF(NOT(ISNUMBER($E524)),"",IF($C524="Receipt",$E524,IF($C524="Shipment",-$E524,IF($C524="Adjustment",$E524,0))))</f>
        <v/>
      </c>
      <c r="N524" s="49" t="str">
        <f>IF($D524="","",IFERROR(INDEX(Products!$B$2:$B$101,MATCH($D524,Products!$A$2:$A$101,0))&amp;"","(not found)"))</f>
        <v/>
      </c>
      <c r="O524" s="49" t="str">
        <f>IF($F524="","",IFERROR(INDEX(Batches!$B$2:$B$301,MATCH($F524,Batches!$A$2:$A$301,0))&amp;"","(not found)"))</f>
        <v/>
      </c>
      <c r="P524" s="49" t="str">
        <f>IF(COUNTA($A524:$L524)=0,"",IF($A524="","Missing: entry ID",IF(COUNTIF($A$2:$A$2001,$A524)&gt;1,"Duplicate entry ID",IF(NOT(ISNUMBER($B524)),"Missing or invalid: date",IF($C524="","Missing: type",IF($D524="","Missing: SKU",IF(NOT(ISNUMBER($E524)),"Missing: qty",IF($F524="","Missing: lot",IF($I524="","Missing: source link",IF(COUNTIF(Config!$A$15:$A$34,$C524)=0,"Unsupported type",IF(COUNTIF(Products!$A$2:$A$101,$D524)=0,"Unknown SKU",IF(COUNTIFS(Batches!$A$2:$A$301,$F524,Batches!$B$2:$B$301,$D524)=0,"Unknown lot for this SKU",IF(AND($C524="Adjustment",$G524=""),"Missing: reason",IF(AND($G524&lt;&gt;"",COUNTIF(Config!$B$15:$B$34,$G524)=0),"Unsupported reason",IF(OR(INT($E524)&lt;&gt;$E524,AND(OR($C524="Receipt",$C524="Shipment"),$E524&lt;=0),AND($C524="Adjustment",$E524=0)),"Invalid qty",IF($B524&gt;Config!$B$4,"Date after the as-of date",IF($B524&lt;Config!$B$5,"Date before the opening balance date","OK")))))))))))))))))</f>
        <v/>
      </c>
    </row>
    <row r="525">
      <c r="A525" s="46" t="n"/>
      <c r="B525" s="54" t="n"/>
      <c r="C525" s="46" t="n"/>
      <c r="D525" s="46" t="n"/>
      <c r="E525" s="55" t="n"/>
      <c r="F525" s="46" t="n"/>
      <c r="G525" s="46" t="n"/>
      <c r="H525" s="46" t="n"/>
      <c r="I525" s="46" t="n"/>
      <c r="J525" s="46" t="n"/>
      <c r="K525" s="46" t="n"/>
      <c r="L525" s="46" t="n"/>
      <c r="M525" s="51" t="str">
        <f>IF(NOT(ISNUMBER($E525)),"",IF($C525="Receipt",$E525,IF($C525="Shipment",-$E525,IF($C525="Adjustment",$E525,0))))</f>
        <v/>
      </c>
      <c r="N525" s="49" t="str">
        <f>IF($D525="","",IFERROR(INDEX(Products!$B$2:$B$101,MATCH($D525,Products!$A$2:$A$101,0))&amp;"","(not found)"))</f>
        <v/>
      </c>
      <c r="O525" s="49" t="str">
        <f>IF($F525="","",IFERROR(INDEX(Batches!$B$2:$B$301,MATCH($F525,Batches!$A$2:$A$301,0))&amp;"","(not found)"))</f>
        <v/>
      </c>
      <c r="P525" s="49" t="str">
        <f>IF(COUNTA($A525:$L525)=0,"",IF($A525="","Missing: entry ID",IF(COUNTIF($A$2:$A$2001,$A525)&gt;1,"Duplicate entry ID",IF(NOT(ISNUMBER($B525)),"Missing or invalid: date",IF($C525="","Missing: type",IF($D525="","Missing: SKU",IF(NOT(ISNUMBER($E525)),"Missing: qty",IF($F525="","Missing: lot",IF($I525="","Missing: source link",IF(COUNTIF(Config!$A$15:$A$34,$C525)=0,"Unsupported type",IF(COUNTIF(Products!$A$2:$A$101,$D525)=0,"Unknown SKU",IF(COUNTIFS(Batches!$A$2:$A$301,$F525,Batches!$B$2:$B$301,$D525)=0,"Unknown lot for this SKU",IF(AND($C525="Adjustment",$G525=""),"Missing: reason",IF(AND($G525&lt;&gt;"",COUNTIF(Config!$B$15:$B$34,$G525)=0),"Unsupported reason",IF(OR(INT($E525)&lt;&gt;$E525,AND(OR($C525="Receipt",$C525="Shipment"),$E525&lt;=0),AND($C525="Adjustment",$E525=0)),"Invalid qty",IF($B525&gt;Config!$B$4,"Date after the as-of date",IF($B525&lt;Config!$B$5,"Date before the opening balance date","OK")))))))))))))))))</f>
        <v/>
      </c>
    </row>
    <row r="526">
      <c r="A526" s="46" t="n"/>
      <c r="B526" s="54" t="n"/>
      <c r="C526" s="46" t="n"/>
      <c r="D526" s="46" t="n"/>
      <c r="E526" s="55" t="n"/>
      <c r="F526" s="46" t="n"/>
      <c r="G526" s="46" t="n"/>
      <c r="H526" s="46" t="n"/>
      <c r="I526" s="46" t="n"/>
      <c r="J526" s="46" t="n"/>
      <c r="K526" s="46" t="n"/>
      <c r="L526" s="46" t="n"/>
      <c r="M526" s="51" t="str">
        <f>IF(NOT(ISNUMBER($E526)),"",IF($C526="Receipt",$E526,IF($C526="Shipment",-$E526,IF($C526="Adjustment",$E526,0))))</f>
        <v/>
      </c>
      <c r="N526" s="49" t="str">
        <f>IF($D526="","",IFERROR(INDEX(Products!$B$2:$B$101,MATCH($D526,Products!$A$2:$A$101,0))&amp;"","(not found)"))</f>
        <v/>
      </c>
      <c r="O526" s="49" t="str">
        <f>IF($F526="","",IFERROR(INDEX(Batches!$B$2:$B$301,MATCH($F526,Batches!$A$2:$A$301,0))&amp;"","(not found)"))</f>
        <v/>
      </c>
      <c r="P526" s="49" t="str">
        <f>IF(COUNTA($A526:$L526)=0,"",IF($A526="","Missing: entry ID",IF(COUNTIF($A$2:$A$2001,$A526)&gt;1,"Duplicate entry ID",IF(NOT(ISNUMBER($B526)),"Missing or invalid: date",IF($C526="","Missing: type",IF($D526="","Missing: SKU",IF(NOT(ISNUMBER($E526)),"Missing: qty",IF($F526="","Missing: lot",IF($I526="","Missing: source link",IF(COUNTIF(Config!$A$15:$A$34,$C526)=0,"Unsupported type",IF(COUNTIF(Products!$A$2:$A$101,$D526)=0,"Unknown SKU",IF(COUNTIFS(Batches!$A$2:$A$301,$F526,Batches!$B$2:$B$301,$D526)=0,"Unknown lot for this SKU",IF(AND($C526="Adjustment",$G526=""),"Missing: reason",IF(AND($G526&lt;&gt;"",COUNTIF(Config!$B$15:$B$34,$G526)=0),"Unsupported reason",IF(OR(INT($E526)&lt;&gt;$E526,AND(OR($C526="Receipt",$C526="Shipment"),$E526&lt;=0),AND($C526="Adjustment",$E526=0)),"Invalid qty",IF($B526&gt;Config!$B$4,"Date after the as-of date",IF($B526&lt;Config!$B$5,"Date before the opening balance date","OK")))))))))))))))))</f>
        <v/>
      </c>
    </row>
    <row r="527">
      <c r="A527" s="46" t="n"/>
      <c r="B527" s="54" t="n"/>
      <c r="C527" s="46" t="n"/>
      <c r="D527" s="46" t="n"/>
      <c r="E527" s="55" t="n"/>
      <c r="F527" s="46" t="n"/>
      <c r="G527" s="46" t="n"/>
      <c r="H527" s="46" t="n"/>
      <c r="I527" s="46" t="n"/>
      <c r="J527" s="46" t="n"/>
      <c r="K527" s="46" t="n"/>
      <c r="L527" s="46" t="n"/>
      <c r="M527" s="51" t="str">
        <f>IF(NOT(ISNUMBER($E527)),"",IF($C527="Receipt",$E527,IF($C527="Shipment",-$E527,IF($C527="Adjustment",$E527,0))))</f>
        <v/>
      </c>
      <c r="N527" s="49" t="str">
        <f>IF($D527="","",IFERROR(INDEX(Products!$B$2:$B$101,MATCH($D527,Products!$A$2:$A$101,0))&amp;"","(not found)"))</f>
        <v/>
      </c>
      <c r="O527" s="49" t="str">
        <f>IF($F527="","",IFERROR(INDEX(Batches!$B$2:$B$301,MATCH($F527,Batches!$A$2:$A$301,0))&amp;"","(not found)"))</f>
        <v/>
      </c>
      <c r="P527" s="49" t="str">
        <f>IF(COUNTA($A527:$L527)=0,"",IF($A527="","Missing: entry ID",IF(COUNTIF($A$2:$A$2001,$A527)&gt;1,"Duplicate entry ID",IF(NOT(ISNUMBER($B527)),"Missing or invalid: date",IF($C527="","Missing: type",IF($D527="","Missing: SKU",IF(NOT(ISNUMBER($E527)),"Missing: qty",IF($F527="","Missing: lot",IF($I527="","Missing: source link",IF(COUNTIF(Config!$A$15:$A$34,$C527)=0,"Unsupported type",IF(COUNTIF(Products!$A$2:$A$101,$D527)=0,"Unknown SKU",IF(COUNTIFS(Batches!$A$2:$A$301,$F527,Batches!$B$2:$B$301,$D527)=0,"Unknown lot for this SKU",IF(AND($C527="Adjustment",$G527=""),"Missing: reason",IF(AND($G527&lt;&gt;"",COUNTIF(Config!$B$15:$B$34,$G527)=0),"Unsupported reason",IF(OR(INT($E527)&lt;&gt;$E527,AND(OR($C527="Receipt",$C527="Shipment"),$E527&lt;=0),AND($C527="Adjustment",$E527=0)),"Invalid qty",IF($B527&gt;Config!$B$4,"Date after the as-of date",IF($B527&lt;Config!$B$5,"Date before the opening balance date","OK")))))))))))))))))</f>
        <v/>
      </c>
    </row>
    <row r="528">
      <c r="A528" s="46" t="n"/>
      <c r="B528" s="54" t="n"/>
      <c r="C528" s="46" t="n"/>
      <c r="D528" s="46" t="n"/>
      <c r="E528" s="55" t="n"/>
      <c r="F528" s="46" t="n"/>
      <c r="G528" s="46" t="n"/>
      <c r="H528" s="46" t="n"/>
      <c r="I528" s="46" t="n"/>
      <c r="J528" s="46" t="n"/>
      <c r="K528" s="46" t="n"/>
      <c r="L528" s="46" t="n"/>
      <c r="M528" s="51" t="str">
        <f>IF(NOT(ISNUMBER($E528)),"",IF($C528="Receipt",$E528,IF($C528="Shipment",-$E528,IF($C528="Adjustment",$E528,0))))</f>
        <v/>
      </c>
      <c r="N528" s="49" t="str">
        <f>IF($D528="","",IFERROR(INDEX(Products!$B$2:$B$101,MATCH($D528,Products!$A$2:$A$101,0))&amp;"","(not found)"))</f>
        <v/>
      </c>
      <c r="O528" s="49" t="str">
        <f>IF($F528="","",IFERROR(INDEX(Batches!$B$2:$B$301,MATCH($F528,Batches!$A$2:$A$301,0))&amp;"","(not found)"))</f>
        <v/>
      </c>
      <c r="P528" s="49" t="str">
        <f>IF(COUNTA($A528:$L528)=0,"",IF($A528="","Missing: entry ID",IF(COUNTIF($A$2:$A$2001,$A528)&gt;1,"Duplicate entry ID",IF(NOT(ISNUMBER($B528)),"Missing or invalid: date",IF($C528="","Missing: type",IF($D528="","Missing: SKU",IF(NOT(ISNUMBER($E528)),"Missing: qty",IF($F528="","Missing: lot",IF($I528="","Missing: source link",IF(COUNTIF(Config!$A$15:$A$34,$C528)=0,"Unsupported type",IF(COUNTIF(Products!$A$2:$A$101,$D528)=0,"Unknown SKU",IF(COUNTIFS(Batches!$A$2:$A$301,$F528,Batches!$B$2:$B$301,$D528)=0,"Unknown lot for this SKU",IF(AND($C528="Adjustment",$G528=""),"Missing: reason",IF(AND($G528&lt;&gt;"",COUNTIF(Config!$B$15:$B$34,$G528)=0),"Unsupported reason",IF(OR(INT($E528)&lt;&gt;$E528,AND(OR($C528="Receipt",$C528="Shipment"),$E528&lt;=0),AND($C528="Adjustment",$E528=0)),"Invalid qty",IF($B528&gt;Config!$B$4,"Date after the as-of date",IF($B528&lt;Config!$B$5,"Date before the opening balance date","OK")))))))))))))))))</f>
        <v/>
      </c>
    </row>
    <row r="529">
      <c r="A529" s="46" t="n"/>
      <c r="B529" s="54" t="n"/>
      <c r="C529" s="46" t="n"/>
      <c r="D529" s="46" t="n"/>
      <c r="E529" s="55" t="n"/>
      <c r="F529" s="46" t="n"/>
      <c r="G529" s="46" t="n"/>
      <c r="H529" s="46" t="n"/>
      <c r="I529" s="46" t="n"/>
      <c r="J529" s="46" t="n"/>
      <c r="K529" s="46" t="n"/>
      <c r="L529" s="46" t="n"/>
      <c r="M529" s="51" t="str">
        <f>IF(NOT(ISNUMBER($E529)),"",IF($C529="Receipt",$E529,IF($C529="Shipment",-$E529,IF($C529="Adjustment",$E529,0))))</f>
        <v/>
      </c>
      <c r="N529" s="49" t="str">
        <f>IF($D529="","",IFERROR(INDEX(Products!$B$2:$B$101,MATCH($D529,Products!$A$2:$A$101,0))&amp;"","(not found)"))</f>
        <v/>
      </c>
      <c r="O529" s="49" t="str">
        <f>IF($F529="","",IFERROR(INDEX(Batches!$B$2:$B$301,MATCH($F529,Batches!$A$2:$A$301,0))&amp;"","(not found)"))</f>
        <v/>
      </c>
      <c r="P529" s="49" t="str">
        <f>IF(COUNTA($A529:$L529)=0,"",IF($A529="","Missing: entry ID",IF(COUNTIF($A$2:$A$2001,$A529)&gt;1,"Duplicate entry ID",IF(NOT(ISNUMBER($B529)),"Missing or invalid: date",IF($C529="","Missing: type",IF($D529="","Missing: SKU",IF(NOT(ISNUMBER($E529)),"Missing: qty",IF($F529="","Missing: lot",IF($I529="","Missing: source link",IF(COUNTIF(Config!$A$15:$A$34,$C529)=0,"Unsupported type",IF(COUNTIF(Products!$A$2:$A$101,$D529)=0,"Unknown SKU",IF(COUNTIFS(Batches!$A$2:$A$301,$F529,Batches!$B$2:$B$301,$D529)=0,"Unknown lot for this SKU",IF(AND($C529="Adjustment",$G529=""),"Missing: reason",IF(AND($G529&lt;&gt;"",COUNTIF(Config!$B$15:$B$34,$G529)=0),"Unsupported reason",IF(OR(INT($E529)&lt;&gt;$E529,AND(OR($C529="Receipt",$C529="Shipment"),$E529&lt;=0),AND($C529="Adjustment",$E529=0)),"Invalid qty",IF($B529&gt;Config!$B$4,"Date after the as-of date",IF($B529&lt;Config!$B$5,"Date before the opening balance date","OK")))))))))))))))))</f>
        <v/>
      </c>
    </row>
    <row r="530">
      <c r="A530" s="46" t="n"/>
      <c r="B530" s="54" t="n"/>
      <c r="C530" s="46" t="n"/>
      <c r="D530" s="46" t="n"/>
      <c r="E530" s="55" t="n"/>
      <c r="F530" s="46" t="n"/>
      <c r="G530" s="46" t="n"/>
      <c r="H530" s="46" t="n"/>
      <c r="I530" s="46" t="n"/>
      <c r="J530" s="46" t="n"/>
      <c r="K530" s="46" t="n"/>
      <c r="L530" s="46" t="n"/>
      <c r="M530" s="51" t="str">
        <f>IF(NOT(ISNUMBER($E530)),"",IF($C530="Receipt",$E530,IF($C530="Shipment",-$E530,IF($C530="Adjustment",$E530,0))))</f>
        <v/>
      </c>
      <c r="N530" s="49" t="str">
        <f>IF($D530="","",IFERROR(INDEX(Products!$B$2:$B$101,MATCH($D530,Products!$A$2:$A$101,0))&amp;"","(not found)"))</f>
        <v/>
      </c>
      <c r="O530" s="49" t="str">
        <f>IF($F530="","",IFERROR(INDEX(Batches!$B$2:$B$301,MATCH($F530,Batches!$A$2:$A$301,0))&amp;"","(not found)"))</f>
        <v/>
      </c>
      <c r="P530" s="49" t="str">
        <f>IF(COUNTA($A530:$L530)=0,"",IF($A530="","Missing: entry ID",IF(COUNTIF($A$2:$A$2001,$A530)&gt;1,"Duplicate entry ID",IF(NOT(ISNUMBER($B530)),"Missing or invalid: date",IF($C530="","Missing: type",IF($D530="","Missing: SKU",IF(NOT(ISNUMBER($E530)),"Missing: qty",IF($F530="","Missing: lot",IF($I530="","Missing: source link",IF(COUNTIF(Config!$A$15:$A$34,$C530)=0,"Unsupported type",IF(COUNTIF(Products!$A$2:$A$101,$D530)=0,"Unknown SKU",IF(COUNTIFS(Batches!$A$2:$A$301,$F530,Batches!$B$2:$B$301,$D530)=0,"Unknown lot for this SKU",IF(AND($C530="Adjustment",$G530=""),"Missing: reason",IF(AND($G530&lt;&gt;"",COUNTIF(Config!$B$15:$B$34,$G530)=0),"Unsupported reason",IF(OR(INT($E530)&lt;&gt;$E530,AND(OR($C530="Receipt",$C530="Shipment"),$E530&lt;=0),AND($C530="Adjustment",$E530=0)),"Invalid qty",IF($B530&gt;Config!$B$4,"Date after the as-of date",IF($B530&lt;Config!$B$5,"Date before the opening balance date","OK")))))))))))))))))</f>
        <v/>
      </c>
    </row>
    <row r="531">
      <c r="A531" s="46" t="n"/>
      <c r="B531" s="54" t="n"/>
      <c r="C531" s="46" t="n"/>
      <c r="D531" s="46" t="n"/>
      <c r="E531" s="55" t="n"/>
      <c r="F531" s="46" t="n"/>
      <c r="G531" s="46" t="n"/>
      <c r="H531" s="46" t="n"/>
      <c r="I531" s="46" t="n"/>
      <c r="J531" s="46" t="n"/>
      <c r="K531" s="46" t="n"/>
      <c r="L531" s="46" t="n"/>
      <c r="M531" s="51" t="str">
        <f>IF(NOT(ISNUMBER($E531)),"",IF($C531="Receipt",$E531,IF($C531="Shipment",-$E531,IF($C531="Adjustment",$E531,0))))</f>
        <v/>
      </c>
      <c r="N531" s="49" t="str">
        <f>IF($D531="","",IFERROR(INDEX(Products!$B$2:$B$101,MATCH($D531,Products!$A$2:$A$101,0))&amp;"","(not found)"))</f>
        <v/>
      </c>
      <c r="O531" s="49" t="str">
        <f>IF($F531="","",IFERROR(INDEX(Batches!$B$2:$B$301,MATCH($F531,Batches!$A$2:$A$301,0))&amp;"","(not found)"))</f>
        <v/>
      </c>
      <c r="P531" s="49" t="str">
        <f>IF(COUNTA($A531:$L531)=0,"",IF($A531="","Missing: entry ID",IF(COUNTIF($A$2:$A$2001,$A531)&gt;1,"Duplicate entry ID",IF(NOT(ISNUMBER($B531)),"Missing or invalid: date",IF($C531="","Missing: type",IF($D531="","Missing: SKU",IF(NOT(ISNUMBER($E531)),"Missing: qty",IF($F531="","Missing: lot",IF($I531="","Missing: source link",IF(COUNTIF(Config!$A$15:$A$34,$C531)=0,"Unsupported type",IF(COUNTIF(Products!$A$2:$A$101,$D531)=0,"Unknown SKU",IF(COUNTIFS(Batches!$A$2:$A$301,$F531,Batches!$B$2:$B$301,$D531)=0,"Unknown lot for this SKU",IF(AND($C531="Adjustment",$G531=""),"Missing: reason",IF(AND($G531&lt;&gt;"",COUNTIF(Config!$B$15:$B$34,$G531)=0),"Unsupported reason",IF(OR(INT($E531)&lt;&gt;$E531,AND(OR($C531="Receipt",$C531="Shipment"),$E531&lt;=0),AND($C531="Adjustment",$E531=0)),"Invalid qty",IF($B531&gt;Config!$B$4,"Date after the as-of date",IF($B531&lt;Config!$B$5,"Date before the opening balance date","OK")))))))))))))))))</f>
        <v/>
      </c>
    </row>
    <row r="532">
      <c r="A532" s="46" t="n"/>
      <c r="B532" s="54" t="n"/>
      <c r="C532" s="46" t="n"/>
      <c r="D532" s="46" t="n"/>
      <c r="E532" s="55" t="n"/>
      <c r="F532" s="46" t="n"/>
      <c r="G532" s="46" t="n"/>
      <c r="H532" s="46" t="n"/>
      <c r="I532" s="46" t="n"/>
      <c r="J532" s="46" t="n"/>
      <c r="K532" s="46" t="n"/>
      <c r="L532" s="46" t="n"/>
      <c r="M532" s="51" t="str">
        <f>IF(NOT(ISNUMBER($E532)),"",IF($C532="Receipt",$E532,IF($C532="Shipment",-$E532,IF($C532="Adjustment",$E532,0))))</f>
        <v/>
      </c>
      <c r="N532" s="49" t="str">
        <f>IF($D532="","",IFERROR(INDEX(Products!$B$2:$B$101,MATCH($D532,Products!$A$2:$A$101,0))&amp;"","(not found)"))</f>
        <v/>
      </c>
      <c r="O532" s="49" t="str">
        <f>IF($F532="","",IFERROR(INDEX(Batches!$B$2:$B$301,MATCH($F532,Batches!$A$2:$A$301,0))&amp;"","(not found)"))</f>
        <v/>
      </c>
      <c r="P532" s="49" t="str">
        <f>IF(COUNTA($A532:$L532)=0,"",IF($A532="","Missing: entry ID",IF(COUNTIF($A$2:$A$2001,$A532)&gt;1,"Duplicate entry ID",IF(NOT(ISNUMBER($B532)),"Missing or invalid: date",IF($C532="","Missing: type",IF($D532="","Missing: SKU",IF(NOT(ISNUMBER($E532)),"Missing: qty",IF($F532="","Missing: lot",IF($I532="","Missing: source link",IF(COUNTIF(Config!$A$15:$A$34,$C532)=0,"Unsupported type",IF(COUNTIF(Products!$A$2:$A$101,$D532)=0,"Unknown SKU",IF(COUNTIFS(Batches!$A$2:$A$301,$F532,Batches!$B$2:$B$301,$D532)=0,"Unknown lot for this SKU",IF(AND($C532="Adjustment",$G532=""),"Missing: reason",IF(AND($G532&lt;&gt;"",COUNTIF(Config!$B$15:$B$34,$G532)=0),"Unsupported reason",IF(OR(INT($E532)&lt;&gt;$E532,AND(OR($C532="Receipt",$C532="Shipment"),$E532&lt;=0),AND($C532="Adjustment",$E532=0)),"Invalid qty",IF($B532&gt;Config!$B$4,"Date after the as-of date",IF($B532&lt;Config!$B$5,"Date before the opening balance date","OK")))))))))))))))))</f>
        <v/>
      </c>
    </row>
    <row r="533">
      <c r="A533" s="46" t="n"/>
      <c r="B533" s="54" t="n"/>
      <c r="C533" s="46" t="n"/>
      <c r="D533" s="46" t="n"/>
      <c r="E533" s="55" t="n"/>
      <c r="F533" s="46" t="n"/>
      <c r="G533" s="46" t="n"/>
      <c r="H533" s="46" t="n"/>
      <c r="I533" s="46" t="n"/>
      <c r="J533" s="46" t="n"/>
      <c r="K533" s="46" t="n"/>
      <c r="L533" s="46" t="n"/>
      <c r="M533" s="51" t="str">
        <f>IF(NOT(ISNUMBER($E533)),"",IF($C533="Receipt",$E533,IF($C533="Shipment",-$E533,IF($C533="Adjustment",$E533,0))))</f>
        <v/>
      </c>
      <c r="N533" s="49" t="str">
        <f>IF($D533="","",IFERROR(INDEX(Products!$B$2:$B$101,MATCH($D533,Products!$A$2:$A$101,0))&amp;"","(not found)"))</f>
        <v/>
      </c>
      <c r="O533" s="49" t="str">
        <f>IF($F533="","",IFERROR(INDEX(Batches!$B$2:$B$301,MATCH($F533,Batches!$A$2:$A$301,0))&amp;"","(not found)"))</f>
        <v/>
      </c>
      <c r="P533" s="49" t="str">
        <f>IF(COUNTA($A533:$L533)=0,"",IF($A533="","Missing: entry ID",IF(COUNTIF($A$2:$A$2001,$A533)&gt;1,"Duplicate entry ID",IF(NOT(ISNUMBER($B533)),"Missing or invalid: date",IF($C533="","Missing: type",IF($D533="","Missing: SKU",IF(NOT(ISNUMBER($E533)),"Missing: qty",IF($F533="","Missing: lot",IF($I533="","Missing: source link",IF(COUNTIF(Config!$A$15:$A$34,$C533)=0,"Unsupported type",IF(COUNTIF(Products!$A$2:$A$101,$D533)=0,"Unknown SKU",IF(COUNTIFS(Batches!$A$2:$A$301,$F533,Batches!$B$2:$B$301,$D533)=0,"Unknown lot for this SKU",IF(AND($C533="Adjustment",$G533=""),"Missing: reason",IF(AND($G533&lt;&gt;"",COUNTIF(Config!$B$15:$B$34,$G533)=0),"Unsupported reason",IF(OR(INT($E533)&lt;&gt;$E533,AND(OR($C533="Receipt",$C533="Shipment"),$E533&lt;=0),AND($C533="Adjustment",$E533=0)),"Invalid qty",IF($B533&gt;Config!$B$4,"Date after the as-of date",IF($B533&lt;Config!$B$5,"Date before the opening balance date","OK")))))))))))))))))</f>
        <v/>
      </c>
    </row>
    <row r="534">
      <c r="A534" s="46" t="n"/>
      <c r="B534" s="54" t="n"/>
      <c r="C534" s="46" t="n"/>
      <c r="D534" s="46" t="n"/>
      <c r="E534" s="55" t="n"/>
      <c r="F534" s="46" t="n"/>
      <c r="G534" s="46" t="n"/>
      <c r="H534" s="46" t="n"/>
      <c r="I534" s="46" t="n"/>
      <c r="J534" s="46" t="n"/>
      <c r="K534" s="46" t="n"/>
      <c r="L534" s="46" t="n"/>
      <c r="M534" s="51" t="str">
        <f>IF(NOT(ISNUMBER($E534)),"",IF($C534="Receipt",$E534,IF($C534="Shipment",-$E534,IF($C534="Adjustment",$E534,0))))</f>
        <v/>
      </c>
      <c r="N534" s="49" t="str">
        <f>IF($D534="","",IFERROR(INDEX(Products!$B$2:$B$101,MATCH($D534,Products!$A$2:$A$101,0))&amp;"","(not found)"))</f>
        <v/>
      </c>
      <c r="O534" s="49" t="str">
        <f>IF($F534="","",IFERROR(INDEX(Batches!$B$2:$B$301,MATCH($F534,Batches!$A$2:$A$301,0))&amp;"","(not found)"))</f>
        <v/>
      </c>
      <c r="P534" s="49" t="str">
        <f>IF(COUNTA($A534:$L534)=0,"",IF($A534="","Missing: entry ID",IF(COUNTIF($A$2:$A$2001,$A534)&gt;1,"Duplicate entry ID",IF(NOT(ISNUMBER($B534)),"Missing or invalid: date",IF($C534="","Missing: type",IF($D534="","Missing: SKU",IF(NOT(ISNUMBER($E534)),"Missing: qty",IF($F534="","Missing: lot",IF($I534="","Missing: source link",IF(COUNTIF(Config!$A$15:$A$34,$C534)=0,"Unsupported type",IF(COUNTIF(Products!$A$2:$A$101,$D534)=0,"Unknown SKU",IF(COUNTIFS(Batches!$A$2:$A$301,$F534,Batches!$B$2:$B$301,$D534)=0,"Unknown lot for this SKU",IF(AND($C534="Adjustment",$G534=""),"Missing: reason",IF(AND($G534&lt;&gt;"",COUNTIF(Config!$B$15:$B$34,$G534)=0),"Unsupported reason",IF(OR(INT($E534)&lt;&gt;$E534,AND(OR($C534="Receipt",$C534="Shipment"),$E534&lt;=0),AND($C534="Adjustment",$E534=0)),"Invalid qty",IF($B534&gt;Config!$B$4,"Date after the as-of date",IF($B534&lt;Config!$B$5,"Date before the opening balance date","OK")))))))))))))))))</f>
        <v/>
      </c>
    </row>
    <row r="535">
      <c r="A535" s="46" t="n"/>
      <c r="B535" s="54" t="n"/>
      <c r="C535" s="46" t="n"/>
      <c r="D535" s="46" t="n"/>
      <c r="E535" s="55" t="n"/>
      <c r="F535" s="46" t="n"/>
      <c r="G535" s="46" t="n"/>
      <c r="H535" s="46" t="n"/>
      <c r="I535" s="46" t="n"/>
      <c r="J535" s="46" t="n"/>
      <c r="K535" s="46" t="n"/>
      <c r="L535" s="46" t="n"/>
      <c r="M535" s="51" t="str">
        <f>IF(NOT(ISNUMBER($E535)),"",IF($C535="Receipt",$E535,IF($C535="Shipment",-$E535,IF($C535="Adjustment",$E535,0))))</f>
        <v/>
      </c>
      <c r="N535" s="49" t="str">
        <f>IF($D535="","",IFERROR(INDEX(Products!$B$2:$B$101,MATCH($D535,Products!$A$2:$A$101,0))&amp;"","(not found)"))</f>
        <v/>
      </c>
      <c r="O535" s="49" t="str">
        <f>IF($F535="","",IFERROR(INDEX(Batches!$B$2:$B$301,MATCH($F535,Batches!$A$2:$A$301,0))&amp;"","(not found)"))</f>
        <v/>
      </c>
      <c r="P535" s="49" t="str">
        <f>IF(COUNTA($A535:$L535)=0,"",IF($A535="","Missing: entry ID",IF(COUNTIF($A$2:$A$2001,$A535)&gt;1,"Duplicate entry ID",IF(NOT(ISNUMBER($B535)),"Missing or invalid: date",IF($C535="","Missing: type",IF($D535="","Missing: SKU",IF(NOT(ISNUMBER($E535)),"Missing: qty",IF($F535="","Missing: lot",IF($I535="","Missing: source link",IF(COUNTIF(Config!$A$15:$A$34,$C535)=0,"Unsupported type",IF(COUNTIF(Products!$A$2:$A$101,$D535)=0,"Unknown SKU",IF(COUNTIFS(Batches!$A$2:$A$301,$F535,Batches!$B$2:$B$301,$D535)=0,"Unknown lot for this SKU",IF(AND($C535="Adjustment",$G535=""),"Missing: reason",IF(AND($G535&lt;&gt;"",COUNTIF(Config!$B$15:$B$34,$G535)=0),"Unsupported reason",IF(OR(INT($E535)&lt;&gt;$E535,AND(OR($C535="Receipt",$C535="Shipment"),$E535&lt;=0),AND($C535="Adjustment",$E535=0)),"Invalid qty",IF($B535&gt;Config!$B$4,"Date after the as-of date",IF($B535&lt;Config!$B$5,"Date before the opening balance date","OK")))))))))))))))))</f>
        <v/>
      </c>
    </row>
    <row r="536">
      <c r="A536" s="46" t="n"/>
      <c r="B536" s="54" t="n"/>
      <c r="C536" s="46" t="n"/>
      <c r="D536" s="46" t="n"/>
      <c r="E536" s="55" t="n"/>
      <c r="F536" s="46" t="n"/>
      <c r="G536" s="46" t="n"/>
      <c r="H536" s="46" t="n"/>
      <c r="I536" s="46" t="n"/>
      <c r="J536" s="46" t="n"/>
      <c r="K536" s="46" t="n"/>
      <c r="L536" s="46" t="n"/>
      <c r="M536" s="51" t="str">
        <f>IF(NOT(ISNUMBER($E536)),"",IF($C536="Receipt",$E536,IF($C536="Shipment",-$E536,IF($C536="Adjustment",$E536,0))))</f>
        <v/>
      </c>
      <c r="N536" s="49" t="str">
        <f>IF($D536="","",IFERROR(INDEX(Products!$B$2:$B$101,MATCH($D536,Products!$A$2:$A$101,0))&amp;"","(not found)"))</f>
        <v/>
      </c>
      <c r="O536" s="49" t="str">
        <f>IF($F536="","",IFERROR(INDEX(Batches!$B$2:$B$301,MATCH($F536,Batches!$A$2:$A$301,0))&amp;"","(not found)"))</f>
        <v/>
      </c>
      <c r="P536" s="49" t="str">
        <f>IF(COUNTA($A536:$L536)=0,"",IF($A536="","Missing: entry ID",IF(COUNTIF($A$2:$A$2001,$A536)&gt;1,"Duplicate entry ID",IF(NOT(ISNUMBER($B536)),"Missing or invalid: date",IF($C536="","Missing: type",IF($D536="","Missing: SKU",IF(NOT(ISNUMBER($E536)),"Missing: qty",IF($F536="","Missing: lot",IF($I536="","Missing: source link",IF(COUNTIF(Config!$A$15:$A$34,$C536)=0,"Unsupported type",IF(COUNTIF(Products!$A$2:$A$101,$D536)=0,"Unknown SKU",IF(COUNTIFS(Batches!$A$2:$A$301,$F536,Batches!$B$2:$B$301,$D536)=0,"Unknown lot for this SKU",IF(AND($C536="Adjustment",$G536=""),"Missing: reason",IF(AND($G536&lt;&gt;"",COUNTIF(Config!$B$15:$B$34,$G536)=0),"Unsupported reason",IF(OR(INT($E536)&lt;&gt;$E536,AND(OR($C536="Receipt",$C536="Shipment"),$E536&lt;=0),AND($C536="Adjustment",$E536=0)),"Invalid qty",IF($B536&gt;Config!$B$4,"Date after the as-of date",IF($B536&lt;Config!$B$5,"Date before the opening balance date","OK")))))))))))))))))</f>
        <v/>
      </c>
    </row>
    <row r="537">
      <c r="A537" s="46" t="n"/>
      <c r="B537" s="54" t="n"/>
      <c r="C537" s="46" t="n"/>
      <c r="D537" s="46" t="n"/>
      <c r="E537" s="55" t="n"/>
      <c r="F537" s="46" t="n"/>
      <c r="G537" s="46" t="n"/>
      <c r="H537" s="46" t="n"/>
      <c r="I537" s="46" t="n"/>
      <c r="J537" s="46" t="n"/>
      <c r="K537" s="46" t="n"/>
      <c r="L537" s="46" t="n"/>
      <c r="M537" s="51" t="str">
        <f>IF(NOT(ISNUMBER($E537)),"",IF($C537="Receipt",$E537,IF($C537="Shipment",-$E537,IF($C537="Adjustment",$E537,0))))</f>
        <v/>
      </c>
      <c r="N537" s="49" t="str">
        <f>IF($D537="","",IFERROR(INDEX(Products!$B$2:$B$101,MATCH($D537,Products!$A$2:$A$101,0))&amp;"","(not found)"))</f>
        <v/>
      </c>
      <c r="O537" s="49" t="str">
        <f>IF($F537="","",IFERROR(INDEX(Batches!$B$2:$B$301,MATCH($F537,Batches!$A$2:$A$301,0))&amp;"","(not found)"))</f>
        <v/>
      </c>
      <c r="P537" s="49" t="str">
        <f>IF(COUNTA($A537:$L537)=0,"",IF($A537="","Missing: entry ID",IF(COUNTIF($A$2:$A$2001,$A537)&gt;1,"Duplicate entry ID",IF(NOT(ISNUMBER($B537)),"Missing or invalid: date",IF($C537="","Missing: type",IF($D537="","Missing: SKU",IF(NOT(ISNUMBER($E537)),"Missing: qty",IF($F537="","Missing: lot",IF($I537="","Missing: source link",IF(COUNTIF(Config!$A$15:$A$34,$C537)=0,"Unsupported type",IF(COUNTIF(Products!$A$2:$A$101,$D537)=0,"Unknown SKU",IF(COUNTIFS(Batches!$A$2:$A$301,$F537,Batches!$B$2:$B$301,$D537)=0,"Unknown lot for this SKU",IF(AND($C537="Adjustment",$G537=""),"Missing: reason",IF(AND($G537&lt;&gt;"",COUNTIF(Config!$B$15:$B$34,$G537)=0),"Unsupported reason",IF(OR(INT($E537)&lt;&gt;$E537,AND(OR($C537="Receipt",$C537="Shipment"),$E537&lt;=0),AND($C537="Adjustment",$E537=0)),"Invalid qty",IF($B537&gt;Config!$B$4,"Date after the as-of date",IF($B537&lt;Config!$B$5,"Date before the opening balance date","OK")))))))))))))))))</f>
        <v/>
      </c>
    </row>
    <row r="538">
      <c r="A538" s="46" t="n"/>
      <c r="B538" s="54" t="n"/>
      <c r="C538" s="46" t="n"/>
      <c r="D538" s="46" t="n"/>
      <c r="E538" s="55" t="n"/>
      <c r="F538" s="46" t="n"/>
      <c r="G538" s="46" t="n"/>
      <c r="H538" s="46" t="n"/>
      <c r="I538" s="46" t="n"/>
      <c r="J538" s="46" t="n"/>
      <c r="K538" s="46" t="n"/>
      <c r="L538" s="46" t="n"/>
      <c r="M538" s="51" t="str">
        <f>IF(NOT(ISNUMBER($E538)),"",IF($C538="Receipt",$E538,IF($C538="Shipment",-$E538,IF($C538="Adjustment",$E538,0))))</f>
        <v/>
      </c>
      <c r="N538" s="49" t="str">
        <f>IF($D538="","",IFERROR(INDEX(Products!$B$2:$B$101,MATCH($D538,Products!$A$2:$A$101,0))&amp;"","(not found)"))</f>
        <v/>
      </c>
      <c r="O538" s="49" t="str">
        <f>IF($F538="","",IFERROR(INDEX(Batches!$B$2:$B$301,MATCH($F538,Batches!$A$2:$A$301,0))&amp;"","(not found)"))</f>
        <v/>
      </c>
      <c r="P538" s="49" t="str">
        <f>IF(COUNTA($A538:$L538)=0,"",IF($A538="","Missing: entry ID",IF(COUNTIF($A$2:$A$2001,$A538)&gt;1,"Duplicate entry ID",IF(NOT(ISNUMBER($B538)),"Missing or invalid: date",IF($C538="","Missing: type",IF($D538="","Missing: SKU",IF(NOT(ISNUMBER($E538)),"Missing: qty",IF($F538="","Missing: lot",IF($I538="","Missing: source link",IF(COUNTIF(Config!$A$15:$A$34,$C538)=0,"Unsupported type",IF(COUNTIF(Products!$A$2:$A$101,$D538)=0,"Unknown SKU",IF(COUNTIFS(Batches!$A$2:$A$301,$F538,Batches!$B$2:$B$301,$D538)=0,"Unknown lot for this SKU",IF(AND($C538="Adjustment",$G538=""),"Missing: reason",IF(AND($G538&lt;&gt;"",COUNTIF(Config!$B$15:$B$34,$G538)=0),"Unsupported reason",IF(OR(INT($E538)&lt;&gt;$E538,AND(OR($C538="Receipt",$C538="Shipment"),$E538&lt;=0),AND($C538="Adjustment",$E538=0)),"Invalid qty",IF($B538&gt;Config!$B$4,"Date after the as-of date",IF($B538&lt;Config!$B$5,"Date before the opening balance date","OK")))))))))))))))))</f>
        <v/>
      </c>
    </row>
    <row r="539">
      <c r="A539" s="46" t="n"/>
      <c r="B539" s="54" t="n"/>
      <c r="C539" s="46" t="n"/>
      <c r="D539" s="46" t="n"/>
      <c r="E539" s="55" t="n"/>
      <c r="F539" s="46" t="n"/>
      <c r="G539" s="46" t="n"/>
      <c r="H539" s="46" t="n"/>
      <c r="I539" s="46" t="n"/>
      <c r="J539" s="46" t="n"/>
      <c r="K539" s="46" t="n"/>
      <c r="L539" s="46" t="n"/>
      <c r="M539" s="51" t="str">
        <f>IF(NOT(ISNUMBER($E539)),"",IF($C539="Receipt",$E539,IF($C539="Shipment",-$E539,IF($C539="Adjustment",$E539,0))))</f>
        <v/>
      </c>
      <c r="N539" s="49" t="str">
        <f>IF($D539="","",IFERROR(INDEX(Products!$B$2:$B$101,MATCH($D539,Products!$A$2:$A$101,0))&amp;"","(not found)"))</f>
        <v/>
      </c>
      <c r="O539" s="49" t="str">
        <f>IF($F539="","",IFERROR(INDEX(Batches!$B$2:$B$301,MATCH($F539,Batches!$A$2:$A$301,0))&amp;"","(not found)"))</f>
        <v/>
      </c>
      <c r="P539" s="49" t="str">
        <f>IF(COUNTA($A539:$L539)=0,"",IF($A539="","Missing: entry ID",IF(COUNTIF($A$2:$A$2001,$A539)&gt;1,"Duplicate entry ID",IF(NOT(ISNUMBER($B539)),"Missing or invalid: date",IF($C539="","Missing: type",IF($D539="","Missing: SKU",IF(NOT(ISNUMBER($E539)),"Missing: qty",IF($F539="","Missing: lot",IF($I539="","Missing: source link",IF(COUNTIF(Config!$A$15:$A$34,$C539)=0,"Unsupported type",IF(COUNTIF(Products!$A$2:$A$101,$D539)=0,"Unknown SKU",IF(COUNTIFS(Batches!$A$2:$A$301,$F539,Batches!$B$2:$B$301,$D539)=0,"Unknown lot for this SKU",IF(AND($C539="Adjustment",$G539=""),"Missing: reason",IF(AND($G539&lt;&gt;"",COUNTIF(Config!$B$15:$B$34,$G539)=0),"Unsupported reason",IF(OR(INT($E539)&lt;&gt;$E539,AND(OR($C539="Receipt",$C539="Shipment"),$E539&lt;=0),AND($C539="Adjustment",$E539=0)),"Invalid qty",IF($B539&gt;Config!$B$4,"Date after the as-of date",IF($B539&lt;Config!$B$5,"Date before the opening balance date","OK")))))))))))))))))</f>
        <v/>
      </c>
    </row>
    <row r="540">
      <c r="A540" s="46" t="n"/>
      <c r="B540" s="54" t="n"/>
      <c r="C540" s="46" t="n"/>
      <c r="D540" s="46" t="n"/>
      <c r="E540" s="55" t="n"/>
      <c r="F540" s="46" t="n"/>
      <c r="G540" s="46" t="n"/>
      <c r="H540" s="46" t="n"/>
      <c r="I540" s="46" t="n"/>
      <c r="J540" s="46" t="n"/>
      <c r="K540" s="46" t="n"/>
      <c r="L540" s="46" t="n"/>
      <c r="M540" s="51" t="str">
        <f>IF(NOT(ISNUMBER($E540)),"",IF($C540="Receipt",$E540,IF($C540="Shipment",-$E540,IF($C540="Adjustment",$E540,0))))</f>
        <v/>
      </c>
      <c r="N540" s="49" t="str">
        <f>IF($D540="","",IFERROR(INDEX(Products!$B$2:$B$101,MATCH($D540,Products!$A$2:$A$101,0))&amp;"","(not found)"))</f>
        <v/>
      </c>
      <c r="O540" s="49" t="str">
        <f>IF($F540="","",IFERROR(INDEX(Batches!$B$2:$B$301,MATCH($F540,Batches!$A$2:$A$301,0))&amp;"","(not found)"))</f>
        <v/>
      </c>
      <c r="P540" s="49" t="str">
        <f>IF(COUNTA($A540:$L540)=0,"",IF($A540="","Missing: entry ID",IF(COUNTIF($A$2:$A$2001,$A540)&gt;1,"Duplicate entry ID",IF(NOT(ISNUMBER($B540)),"Missing or invalid: date",IF($C540="","Missing: type",IF($D540="","Missing: SKU",IF(NOT(ISNUMBER($E540)),"Missing: qty",IF($F540="","Missing: lot",IF($I540="","Missing: source link",IF(COUNTIF(Config!$A$15:$A$34,$C540)=0,"Unsupported type",IF(COUNTIF(Products!$A$2:$A$101,$D540)=0,"Unknown SKU",IF(COUNTIFS(Batches!$A$2:$A$301,$F540,Batches!$B$2:$B$301,$D540)=0,"Unknown lot for this SKU",IF(AND($C540="Adjustment",$G540=""),"Missing: reason",IF(AND($G540&lt;&gt;"",COUNTIF(Config!$B$15:$B$34,$G540)=0),"Unsupported reason",IF(OR(INT($E540)&lt;&gt;$E540,AND(OR($C540="Receipt",$C540="Shipment"),$E540&lt;=0),AND($C540="Adjustment",$E540=0)),"Invalid qty",IF($B540&gt;Config!$B$4,"Date after the as-of date",IF($B540&lt;Config!$B$5,"Date before the opening balance date","OK")))))))))))))))))</f>
        <v/>
      </c>
    </row>
    <row r="541">
      <c r="A541" s="46" t="n"/>
      <c r="B541" s="54" t="n"/>
      <c r="C541" s="46" t="n"/>
      <c r="D541" s="46" t="n"/>
      <c r="E541" s="55" t="n"/>
      <c r="F541" s="46" t="n"/>
      <c r="G541" s="46" t="n"/>
      <c r="H541" s="46" t="n"/>
      <c r="I541" s="46" t="n"/>
      <c r="J541" s="46" t="n"/>
      <c r="K541" s="46" t="n"/>
      <c r="L541" s="46" t="n"/>
      <c r="M541" s="51" t="str">
        <f>IF(NOT(ISNUMBER($E541)),"",IF($C541="Receipt",$E541,IF($C541="Shipment",-$E541,IF($C541="Adjustment",$E541,0))))</f>
        <v/>
      </c>
      <c r="N541" s="49" t="str">
        <f>IF($D541="","",IFERROR(INDEX(Products!$B$2:$B$101,MATCH($D541,Products!$A$2:$A$101,0))&amp;"","(not found)"))</f>
        <v/>
      </c>
      <c r="O541" s="49" t="str">
        <f>IF($F541="","",IFERROR(INDEX(Batches!$B$2:$B$301,MATCH($F541,Batches!$A$2:$A$301,0))&amp;"","(not found)"))</f>
        <v/>
      </c>
      <c r="P541" s="49" t="str">
        <f>IF(COUNTA($A541:$L541)=0,"",IF($A541="","Missing: entry ID",IF(COUNTIF($A$2:$A$2001,$A541)&gt;1,"Duplicate entry ID",IF(NOT(ISNUMBER($B541)),"Missing or invalid: date",IF($C541="","Missing: type",IF($D541="","Missing: SKU",IF(NOT(ISNUMBER($E541)),"Missing: qty",IF($F541="","Missing: lot",IF($I541="","Missing: source link",IF(COUNTIF(Config!$A$15:$A$34,$C541)=0,"Unsupported type",IF(COUNTIF(Products!$A$2:$A$101,$D541)=0,"Unknown SKU",IF(COUNTIFS(Batches!$A$2:$A$301,$F541,Batches!$B$2:$B$301,$D541)=0,"Unknown lot for this SKU",IF(AND($C541="Adjustment",$G541=""),"Missing: reason",IF(AND($G541&lt;&gt;"",COUNTIF(Config!$B$15:$B$34,$G541)=0),"Unsupported reason",IF(OR(INT($E541)&lt;&gt;$E541,AND(OR($C541="Receipt",$C541="Shipment"),$E541&lt;=0),AND($C541="Adjustment",$E541=0)),"Invalid qty",IF($B541&gt;Config!$B$4,"Date after the as-of date",IF($B541&lt;Config!$B$5,"Date before the opening balance date","OK")))))))))))))))))</f>
        <v/>
      </c>
    </row>
    <row r="542">
      <c r="A542" s="46" t="n"/>
      <c r="B542" s="54" t="n"/>
      <c r="C542" s="46" t="n"/>
      <c r="D542" s="46" t="n"/>
      <c r="E542" s="55" t="n"/>
      <c r="F542" s="46" t="n"/>
      <c r="G542" s="46" t="n"/>
      <c r="H542" s="46" t="n"/>
      <c r="I542" s="46" t="n"/>
      <c r="J542" s="46" t="n"/>
      <c r="K542" s="46" t="n"/>
      <c r="L542" s="46" t="n"/>
      <c r="M542" s="51" t="str">
        <f>IF(NOT(ISNUMBER($E542)),"",IF($C542="Receipt",$E542,IF($C542="Shipment",-$E542,IF($C542="Adjustment",$E542,0))))</f>
        <v/>
      </c>
      <c r="N542" s="49" t="str">
        <f>IF($D542="","",IFERROR(INDEX(Products!$B$2:$B$101,MATCH($D542,Products!$A$2:$A$101,0))&amp;"","(not found)"))</f>
        <v/>
      </c>
      <c r="O542" s="49" t="str">
        <f>IF($F542="","",IFERROR(INDEX(Batches!$B$2:$B$301,MATCH($F542,Batches!$A$2:$A$301,0))&amp;"","(not found)"))</f>
        <v/>
      </c>
      <c r="P542" s="49" t="str">
        <f>IF(COUNTA($A542:$L542)=0,"",IF($A542="","Missing: entry ID",IF(COUNTIF($A$2:$A$2001,$A542)&gt;1,"Duplicate entry ID",IF(NOT(ISNUMBER($B542)),"Missing or invalid: date",IF($C542="","Missing: type",IF($D542="","Missing: SKU",IF(NOT(ISNUMBER($E542)),"Missing: qty",IF($F542="","Missing: lot",IF($I542="","Missing: source link",IF(COUNTIF(Config!$A$15:$A$34,$C542)=0,"Unsupported type",IF(COUNTIF(Products!$A$2:$A$101,$D542)=0,"Unknown SKU",IF(COUNTIFS(Batches!$A$2:$A$301,$F542,Batches!$B$2:$B$301,$D542)=0,"Unknown lot for this SKU",IF(AND($C542="Adjustment",$G542=""),"Missing: reason",IF(AND($G542&lt;&gt;"",COUNTIF(Config!$B$15:$B$34,$G542)=0),"Unsupported reason",IF(OR(INT($E542)&lt;&gt;$E542,AND(OR($C542="Receipt",$C542="Shipment"),$E542&lt;=0),AND($C542="Adjustment",$E542=0)),"Invalid qty",IF($B542&gt;Config!$B$4,"Date after the as-of date",IF($B542&lt;Config!$B$5,"Date before the opening balance date","OK")))))))))))))))))</f>
        <v/>
      </c>
    </row>
    <row r="543">
      <c r="A543" s="46" t="n"/>
      <c r="B543" s="54" t="n"/>
      <c r="C543" s="46" t="n"/>
      <c r="D543" s="46" t="n"/>
      <c r="E543" s="55" t="n"/>
      <c r="F543" s="46" t="n"/>
      <c r="G543" s="46" t="n"/>
      <c r="H543" s="46" t="n"/>
      <c r="I543" s="46" t="n"/>
      <c r="J543" s="46" t="n"/>
      <c r="K543" s="46" t="n"/>
      <c r="L543" s="46" t="n"/>
      <c r="M543" s="51" t="str">
        <f>IF(NOT(ISNUMBER($E543)),"",IF($C543="Receipt",$E543,IF($C543="Shipment",-$E543,IF($C543="Adjustment",$E543,0))))</f>
        <v/>
      </c>
      <c r="N543" s="49" t="str">
        <f>IF($D543="","",IFERROR(INDEX(Products!$B$2:$B$101,MATCH($D543,Products!$A$2:$A$101,0))&amp;"","(not found)"))</f>
        <v/>
      </c>
      <c r="O543" s="49" t="str">
        <f>IF($F543="","",IFERROR(INDEX(Batches!$B$2:$B$301,MATCH($F543,Batches!$A$2:$A$301,0))&amp;"","(not found)"))</f>
        <v/>
      </c>
      <c r="P543" s="49" t="str">
        <f>IF(COUNTA($A543:$L543)=0,"",IF($A543="","Missing: entry ID",IF(COUNTIF($A$2:$A$2001,$A543)&gt;1,"Duplicate entry ID",IF(NOT(ISNUMBER($B543)),"Missing or invalid: date",IF($C543="","Missing: type",IF($D543="","Missing: SKU",IF(NOT(ISNUMBER($E543)),"Missing: qty",IF($F543="","Missing: lot",IF($I543="","Missing: source link",IF(COUNTIF(Config!$A$15:$A$34,$C543)=0,"Unsupported type",IF(COUNTIF(Products!$A$2:$A$101,$D543)=0,"Unknown SKU",IF(COUNTIFS(Batches!$A$2:$A$301,$F543,Batches!$B$2:$B$301,$D543)=0,"Unknown lot for this SKU",IF(AND($C543="Adjustment",$G543=""),"Missing: reason",IF(AND($G543&lt;&gt;"",COUNTIF(Config!$B$15:$B$34,$G543)=0),"Unsupported reason",IF(OR(INT($E543)&lt;&gt;$E543,AND(OR($C543="Receipt",$C543="Shipment"),$E543&lt;=0),AND($C543="Adjustment",$E543=0)),"Invalid qty",IF($B543&gt;Config!$B$4,"Date after the as-of date",IF($B543&lt;Config!$B$5,"Date before the opening balance date","OK")))))))))))))))))</f>
        <v/>
      </c>
    </row>
    <row r="544">
      <c r="A544" s="46" t="n"/>
      <c r="B544" s="54" t="n"/>
      <c r="C544" s="46" t="n"/>
      <c r="D544" s="46" t="n"/>
      <c r="E544" s="55" t="n"/>
      <c r="F544" s="46" t="n"/>
      <c r="G544" s="46" t="n"/>
      <c r="H544" s="46" t="n"/>
      <c r="I544" s="46" t="n"/>
      <c r="J544" s="46" t="n"/>
      <c r="K544" s="46" t="n"/>
      <c r="L544" s="46" t="n"/>
      <c r="M544" s="51" t="str">
        <f>IF(NOT(ISNUMBER($E544)),"",IF($C544="Receipt",$E544,IF($C544="Shipment",-$E544,IF($C544="Adjustment",$E544,0))))</f>
        <v/>
      </c>
      <c r="N544" s="49" t="str">
        <f>IF($D544="","",IFERROR(INDEX(Products!$B$2:$B$101,MATCH($D544,Products!$A$2:$A$101,0))&amp;"","(not found)"))</f>
        <v/>
      </c>
      <c r="O544" s="49" t="str">
        <f>IF($F544="","",IFERROR(INDEX(Batches!$B$2:$B$301,MATCH($F544,Batches!$A$2:$A$301,0))&amp;"","(not found)"))</f>
        <v/>
      </c>
      <c r="P544" s="49" t="str">
        <f>IF(COUNTA($A544:$L544)=0,"",IF($A544="","Missing: entry ID",IF(COUNTIF($A$2:$A$2001,$A544)&gt;1,"Duplicate entry ID",IF(NOT(ISNUMBER($B544)),"Missing or invalid: date",IF($C544="","Missing: type",IF($D544="","Missing: SKU",IF(NOT(ISNUMBER($E544)),"Missing: qty",IF($F544="","Missing: lot",IF($I544="","Missing: source link",IF(COUNTIF(Config!$A$15:$A$34,$C544)=0,"Unsupported type",IF(COUNTIF(Products!$A$2:$A$101,$D544)=0,"Unknown SKU",IF(COUNTIFS(Batches!$A$2:$A$301,$F544,Batches!$B$2:$B$301,$D544)=0,"Unknown lot for this SKU",IF(AND($C544="Adjustment",$G544=""),"Missing: reason",IF(AND($G544&lt;&gt;"",COUNTIF(Config!$B$15:$B$34,$G544)=0),"Unsupported reason",IF(OR(INT($E544)&lt;&gt;$E544,AND(OR($C544="Receipt",$C544="Shipment"),$E544&lt;=0),AND($C544="Adjustment",$E544=0)),"Invalid qty",IF($B544&gt;Config!$B$4,"Date after the as-of date",IF($B544&lt;Config!$B$5,"Date before the opening balance date","OK")))))))))))))))))</f>
        <v/>
      </c>
    </row>
    <row r="545">
      <c r="A545" s="46" t="n"/>
      <c r="B545" s="54" t="n"/>
      <c r="C545" s="46" t="n"/>
      <c r="D545" s="46" t="n"/>
      <c r="E545" s="55" t="n"/>
      <c r="F545" s="46" t="n"/>
      <c r="G545" s="46" t="n"/>
      <c r="H545" s="46" t="n"/>
      <c r="I545" s="46" t="n"/>
      <c r="J545" s="46" t="n"/>
      <c r="K545" s="46" t="n"/>
      <c r="L545" s="46" t="n"/>
      <c r="M545" s="51" t="str">
        <f>IF(NOT(ISNUMBER($E545)),"",IF($C545="Receipt",$E545,IF($C545="Shipment",-$E545,IF($C545="Adjustment",$E545,0))))</f>
        <v/>
      </c>
      <c r="N545" s="49" t="str">
        <f>IF($D545="","",IFERROR(INDEX(Products!$B$2:$B$101,MATCH($D545,Products!$A$2:$A$101,0))&amp;"","(not found)"))</f>
        <v/>
      </c>
      <c r="O545" s="49" t="str">
        <f>IF($F545="","",IFERROR(INDEX(Batches!$B$2:$B$301,MATCH($F545,Batches!$A$2:$A$301,0))&amp;"","(not found)"))</f>
        <v/>
      </c>
      <c r="P545" s="49" t="str">
        <f>IF(COUNTA($A545:$L545)=0,"",IF($A545="","Missing: entry ID",IF(COUNTIF($A$2:$A$2001,$A545)&gt;1,"Duplicate entry ID",IF(NOT(ISNUMBER($B545)),"Missing or invalid: date",IF($C545="","Missing: type",IF($D545="","Missing: SKU",IF(NOT(ISNUMBER($E545)),"Missing: qty",IF($F545="","Missing: lot",IF($I545="","Missing: source link",IF(COUNTIF(Config!$A$15:$A$34,$C545)=0,"Unsupported type",IF(COUNTIF(Products!$A$2:$A$101,$D545)=0,"Unknown SKU",IF(COUNTIFS(Batches!$A$2:$A$301,$F545,Batches!$B$2:$B$301,$D545)=0,"Unknown lot for this SKU",IF(AND($C545="Adjustment",$G545=""),"Missing: reason",IF(AND($G545&lt;&gt;"",COUNTIF(Config!$B$15:$B$34,$G545)=0),"Unsupported reason",IF(OR(INT($E545)&lt;&gt;$E545,AND(OR($C545="Receipt",$C545="Shipment"),$E545&lt;=0),AND($C545="Adjustment",$E545=0)),"Invalid qty",IF($B545&gt;Config!$B$4,"Date after the as-of date",IF($B545&lt;Config!$B$5,"Date before the opening balance date","OK")))))))))))))))))</f>
        <v/>
      </c>
    </row>
    <row r="546">
      <c r="A546" s="46" t="n"/>
      <c r="B546" s="54" t="n"/>
      <c r="C546" s="46" t="n"/>
      <c r="D546" s="46" t="n"/>
      <c r="E546" s="55" t="n"/>
      <c r="F546" s="46" t="n"/>
      <c r="G546" s="46" t="n"/>
      <c r="H546" s="46" t="n"/>
      <c r="I546" s="46" t="n"/>
      <c r="J546" s="46" t="n"/>
      <c r="K546" s="46" t="n"/>
      <c r="L546" s="46" t="n"/>
      <c r="M546" s="51" t="str">
        <f>IF(NOT(ISNUMBER($E546)),"",IF($C546="Receipt",$E546,IF($C546="Shipment",-$E546,IF($C546="Adjustment",$E546,0))))</f>
        <v/>
      </c>
      <c r="N546" s="49" t="str">
        <f>IF($D546="","",IFERROR(INDEX(Products!$B$2:$B$101,MATCH($D546,Products!$A$2:$A$101,0))&amp;"","(not found)"))</f>
        <v/>
      </c>
      <c r="O546" s="49" t="str">
        <f>IF($F546="","",IFERROR(INDEX(Batches!$B$2:$B$301,MATCH($F546,Batches!$A$2:$A$301,0))&amp;"","(not found)"))</f>
        <v/>
      </c>
      <c r="P546" s="49" t="str">
        <f>IF(COUNTA($A546:$L546)=0,"",IF($A546="","Missing: entry ID",IF(COUNTIF($A$2:$A$2001,$A546)&gt;1,"Duplicate entry ID",IF(NOT(ISNUMBER($B546)),"Missing or invalid: date",IF($C546="","Missing: type",IF($D546="","Missing: SKU",IF(NOT(ISNUMBER($E546)),"Missing: qty",IF($F546="","Missing: lot",IF($I546="","Missing: source link",IF(COUNTIF(Config!$A$15:$A$34,$C546)=0,"Unsupported type",IF(COUNTIF(Products!$A$2:$A$101,$D546)=0,"Unknown SKU",IF(COUNTIFS(Batches!$A$2:$A$301,$F546,Batches!$B$2:$B$301,$D546)=0,"Unknown lot for this SKU",IF(AND($C546="Adjustment",$G546=""),"Missing: reason",IF(AND($G546&lt;&gt;"",COUNTIF(Config!$B$15:$B$34,$G546)=0),"Unsupported reason",IF(OR(INT($E546)&lt;&gt;$E546,AND(OR($C546="Receipt",$C546="Shipment"),$E546&lt;=0),AND($C546="Adjustment",$E546=0)),"Invalid qty",IF($B546&gt;Config!$B$4,"Date after the as-of date",IF($B546&lt;Config!$B$5,"Date before the opening balance date","OK")))))))))))))))))</f>
        <v/>
      </c>
    </row>
    <row r="547">
      <c r="A547" s="46" t="n"/>
      <c r="B547" s="54" t="n"/>
      <c r="C547" s="46" t="n"/>
      <c r="D547" s="46" t="n"/>
      <c r="E547" s="55" t="n"/>
      <c r="F547" s="46" t="n"/>
      <c r="G547" s="46" t="n"/>
      <c r="H547" s="46" t="n"/>
      <c r="I547" s="46" t="n"/>
      <c r="J547" s="46" t="n"/>
      <c r="K547" s="46" t="n"/>
      <c r="L547" s="46" t="n"/>
      <c r="M547" s="51" t="str">
        <f>IF(NOT(ISNUMBER($E547)),"",IF($C547="Receipt",$E547,IF($C547="Shipment",-$E547,IF($C547="Adjustment",$E547,0))))</f>
        <v/>
      </c>
      <c r="N547" s="49" t="str">
        <f>IF($D547="","",IFERROR(INDEX(Products!$B$2:$B$101,MATCH($D547,Products!$A$2:$A$101,0))&amp;"","(not found)"))</f>
        <v/>
      </c>
      <c r="O547" s="49" t="str">
        <f>IF($F547="","",IFERROR(INDEX(Batches!$B$2:$B$301,MATCH($F547,Batches!$A$2:$A$301,0))&amp;"","(not found)"))</f>
        <v/>
      </c>
      <c r="P547" s="49" t="str">
        <f>IF(COUNTA($A547:$L547)=0,"",IF($A547="","Missing: entry ID",IF(COUNTIF($A$2:$A$2001,$A547)&gt;1,"Duplicate entry ID",IF(NOT(ISNUMBER($B547)),"Missing or invalid: date",IF($C547="","Missing: type",IF($D547="","Missing: SKU",IF(NOT(ISNUMBER($E547)),"Missing: qty",IF($F547="","Missing: lot",IF($I547="","Missing: source link",IF(COUNTIF(Config!$A$15:$A$34,$C547)=0,"Unsupported type",IF(COUNTIF(Products!$A$2:$A$101,$D547)=0,"Unknown SKU",IF(COUNTIFS(Batches!$A$2:$A$301,$F547,Batches!$B$2:$B$301,$D547)=0,"Unknown lot for this SKU",IF(AND($C547="Adjustment",$G547=""),"Missing: reason",IF(AND($G547&lt;&gt;"",COUNTIF(Config!$B$15:$B$34,$G547)=0),"Unsupported reason",IF(OR(INT($E547)&lt;&gt;$E547,AND(OR($C547="Receipt",$C547="Shipment"),$E547&lt;=0),AND($C547="Adjustment",$E547=0)),"Invalid qty",IF($B547&gt;Config!$B$4,"Date after the as-of date",IF($B547&lt;Config!$B$5,"Date before the opening balance date","OK")))))))))))))))))</f>
        <v/>
      </c>
    </row>
    <row r="548">
      <c r="A548" s="46" t="n"/>
      <c r="B548" s="54" t="n"/>
      <c r="C548" s="46" t="n"/>
      <c r="D548" s="46" t="n"/>
      <c r="E548" s="55" t="n"/>
      <c r="F548" s="46" t="n"/>
      <c r="G548" s="46" t="n"/>
      <c r="H548" s="46" t="n"/>
      <c r="I548" s="46" t="n"/>
      <c r="J548" s="46" t="n"/>
      <c r="K548" s="46" t="n"/>
      <c r="L548" s="46" t="n"/>
      <c r="M548" s="51" t="str">
        <f>IF(NOT(ISNUMBER($E548)),"",IF($C548="Receipt",$E548,IF($C548="Shipment",-$E548,IF($C548="Adjustment",$E548,0))))</f>
        <v/>
      </c>
      <c r="N548" s="49" t="str">
        <f>IF($D548="","",IFERROR(INDEX(Products!$B$2:$B$101,MATCH($D548,Products!$A$2:$A$101,0))&amp;"","(not found)"))</f>
        <v/>
      </c>
      <c r="O548" s="49" t="str">
        <f>IF($F548="","",IFERROR(INDEX(Batches!$B$2:$B$301,MATCH($F548,Batches!$A$2:$A$301,0))&amp;"","(not found)"))</f>
        <v/>
      </c>
      <c r="P548" s="49" t="str">
        <f>IF(COUNTA($A548:$L548)=0,"",IF($A548="","Missing: entry ID",IF(COUNTIF($A$2:$A$2001,$A548)&gt;1,"Duplicate entry ID",IF(NOT(ISNUMBER($B548)),"Missing or invalid: date",IF($C548="","Missing: type",IF($D548="","Missing: SKU",IF(NOT(ISNUMBER($E548)),"Missing: qty",IF($F548="","Missing: lot",IF($I548="","Missing: source link",IF(COUNTIF(Config!$A$15:$A$34,$C548)=0,"Unsupported type",IF(COUNTIF(Products!$A$2:$A$101,$D548)=0,"Unknown SKU",IF(COUNTIFS(Batches!$A$2:$A$301,$F548,Batches!$B$2:$B$301,$D548)=0,"Unknown lot for this SKU",IF(AND($C548="Adjustment",$G548=""),"Missing: reason",IF(AND($G548&lt;&gt;"",COUNTIF(Config!$B$15:$B$34,$G548)=0),"Unsupported reason",IF(OR(INT($E548)&lt;&gt;$E548,AND(OR($C548="Receipt",$C548="Shipment"),$E548&lt;=0),AND($C548="Adjustment",$E548=0)),"Invalid qty",IF($B548&gt;Config!$B$4,"Date after the as-of date",IF($B548&lt;Config!$B$5,"Date before the opening balance date","OK")))))))))))))))))</f>
        <v/>
      </c>
    </row>
    <row r="549">
      <c r="A549" s="46" t="n"/>
      <c r="B549" s="54" t="n"/>
      <c r="C549" s="46" t="n"/>
      <c r="D549" s="46" t="n"/>
      <c r="E549" s="55" t="n"/>
      <c r="F549" s="46" t="n"/>
      <c r="G549" s="46" t="n"/>
      <c r="H549" s="46" t="n"/>
      <c r="I549" s="46" t="n"/>
      <c r="J549" s="46" t="n"/>
      <c r="K549" s="46" t="n"/>
      <c r="L549" s="46" t="n"/>
      <c r="M549" s="51" t="str">
        <f>IF(NOT(ISNUMBER($E549)),"",IF($C549="Receipt",$E549,IF($C549="Shipment",-$E549,IF($C549="Adjustment",$E549,0))))</f>
        <v/>
      </c>
      <c r="N549" s="49" t="str">
        <f>IF($D549="","",IFERROR(INDEX(Products!$B$2:$B$101,MATCH($D549,Products!$A$2:$A$101,0))&amp;"","(not found)"))</f>
        <v/>
      </c>
      <c r="O549" s="49" t="str">
        <f>IF($F549="","",IFERROR(INDEX(Batches!$B$2:$B$301,MATCH($F549,Batches!$A$2:$A$301,0))&amp;"","(not found)"))</f>
        <v/>
      </c>
      <c r="P549" s="49" t="str">
        <f>IF(COUNTA($A549:$L549)=0,"",IF($A549="","Missing: entry ID",IF(COUNTIF($A$2:$A$2001,$A549)&gt;1,"Duplicate entry ID",IF(NOT(ISNUMBER($B549)),"Missing or invalid: date",IF($C549="","Missing: type",IF($D549="","Missing: SKU",IF(NOT(ISNUMBER($E549)),"Missing: qty",IF($F549="","Missing: lot",IF($I549="","Missing: source link",IF(COUNTIF(Config!$A$15:$A$34,$C549)=0,"Unsupported type",IF(COUNTIF(Products!$A$2:$A$101,$D549)=0,"Unknown SKU",IF(COUNTIFS(Batches!$A$2:$A$301,$F549,Batches!$B$2:$B$301,$D549)=0,"Unknown lot for this SKU",IF(AND($C549="Adjustment",$G549=""),"Missing: reason",IF(AND($G549&lt;&gt;"",COUNTIF(Config!$B$15:$B$34,$G549)=0),"Unsupported reason",IF(OR(INT($E549)&lt;&gt;$E549,AND(OR($C549="Receipt",$C549="Shipment"),$E549&lt;=0),AND($C549="Adjustment",$E549=0)),"Invalid qty",IF($B549&gt;Config!$B$4,"Date after the as-of date",IF($B549&lt;Config!$B$5,"Date before the opening balance date","OK")))))))))))))))))</f>
        <v/>
      </c>
    </row>
    <row r="550">
      <c r="A550" s="46" t="n"/>
      <c r="B550" s="54" t="n"/>
      <c r="C550" s="46" t="n"/>
      <c r="D550" s="46" t="n"/>
      <c r="E550" s="55" t="n"/>
      <c r="F550" s="46" t="n"/>
      <c r="G550" s="46" t="n"/>
      <c r="H550" s="46" t="n"/>
      <c r="I550" s="46" t="n"/>
      <c r="J550" s="46" t="n"/>
      <c r="K550" s="46" t="n"/>
      <c r="L550" s="46" t="n"/>
      <c r="M550" s="51" t="str">
        <f>IF(NOT(ISNUMBER($E550)),"",IF($C550="Receipt",$E550,IF($C550="Shipment",-$E550,IF($C550="Adjustment",$E550,0))))</f>
        <v/>
      </c>
      <c r="N550" s="49" t="str">
        <f>IF($D550="","",IFERROR(INDEX(Products!$B$2:$B$101,MATCH($D550,Products!$A$2:$A$101,0))&amp;"","(not found)"))</f>
        <v/>
      </c>
      <c r="O550" s="49" t="str">
        <f>IF($F550="","",IFERROR(INDEX(Batches!$B$2:$B$301,MATCH($F550,Batches!$A$2:$A$301,0))&amp;"","(not found)"))</f>
        <v/>
      </c>
      <c r="P550" s="49" t="str">
        <f>IF(COUNTA($A550:$L550)=0,"",IF($A550="","Missing: entry ID",IF(COUNTIF($A$2:$A$2001,$A550)&gt;1,"Duplicate entry ID",IF(NOT(ISNUMBER($B550)),"Missing or invalid: date",IF($C550="","Missing: type",IF($D550="","Missing: SKU",IF(NOT(ISNUMBER($E550)),"Missing: qty",IF($F550="","Missing: lot",IF($I550="","Missing: source link",IF(COUNTIF(Config!$A$15:$A$34,$C550)=0,"Unsupported type",IF(COUNTIF(Products!$A$2:$A$101,$D550)=0,"Unknown SKU",IF(COUNTIFS(Batches!$A$2:$A$301,$F550,Batches!$B$2:$B$301,$D550)=0,"Unknown lot for this SKU",IF(AND($C550="Adjustment",$G550=""),"Missing: reason",IF(AND($G550&lt;&gt;"",COUNTIF(Config!$B$15:$B$34,$G550)=0),"Unsupported reason",IF(OR(INT($E550)&lt;&gt;$E550,AND(OR($C550="Receipt",$C550="Shipment"),$E550&lt;=0),AND($C550="Adjustment",$E550=0)),"Invalid qty",IF($B550&gt;Config!$B$4,"Date after the as-of date",IF($B550&lt;Config!$B$5,"Date before the opening balance date","OK")))))))))))))))))</f>
        <v/>
      </c>
    </row>
    <row r="551">
      <c r="A551" s="46" t="n"/>
      <c r="B551" s="54" t="n"/>
      <c r="C551" s="46" t="n"/>
      <c r="D551" s="46" t="n"/>
      <c r="E551" s="55" t="n"/>
      <c r="F551" s="46" t="n"/>
      <c r="G551" s="46" t="n"/>
      <c r="H551" s="46" t="n"/>
      <c r="I551" s="46" t="n"/>
      <c r="J551" s="46" t="n"/>
      <c r="K551" s="46" t="n"/>
      <c r="L551" s="46" t="n"/>
      <c r="M551" s="51" t="str">
        <f>IF(NOT(ISNUMBER($E551)),"",IF($C551="Receipt",$E551,IF($C551="Shipment",-$E551,IF($C551="Adjustment",$E551,0))))</f>
        <v/>
      </c>
      <c r="N551" s="49" t="str">
        <f>IF($D551="","",IFERROR(INDEX(Products!$B$2:$B$101,MATCH($D551,Products!$A$2:$A$101,0))&amp;"","(not found)"))</f>
        <v/>
      </c>
      <c r="O551" s="49" t="str">
        <f>IF($F551="","",IFERROR(INDEX(Batches!$B$2:$B$301,MATCH($F551,Batches!$A$2:$A$301,0))&amp;"","(not found)"))</f>
        <v/>
      </c>
      <c r="P551" s="49" t="str">
        <f>IF(COUNTA($A551:$L551)=0,"",IF($A551="","Missing: entry ID",IF(COUNTIF($A$2:$A$2001,$A551)&gt;1,"Duplicate entry ID",IF(NOT(ISNUMBER($B551)),"Missing or invalid: date",IF($C551="","Missing: type",IF($D551="","Missing: SKU",IF(NOT(ISNUMBER($E551)),"Missing: qty",IF($F551="","Missing: lot",IF($I551="","Missing: source link",IF(COUNTIF(Config!$A$15:$A$34,$C551)=0,"Unsupported type",IF(COUNTIF(Products!$A$2:$A$101,$D551)=0,"Unknown SKU",IF(COUNTIFS(Batches!$A$2:$A$301,$F551,Batches!$B$2:$B$301,$D551)=0,"Unknown lot for this SKU",IF(AND($C551="Adjustment",$G551=""),"Missing: reason",IF(AND($G551&lt;&gt;"",COUNTIF(Config!$B$15:$B$34,$G551)=0),"Unsupported reason",IF(OR(INT($E551)&lt;&gt;$E551,AND(OR($C551="Receipt",$C551="Shipment"),$E551&lt;=0),AND($C551="Adjustment",$E551=0)),"Invalid qty",IF($B551&gt;Config!$B$4,"Date after the as-of date",IF($B551&lt;Config!$B$5,"Date before the opening balance date","OK")))))))))))))))))</f>
        <v/>
      </c>
    </row>
    <row r="552">
      <c r="A552" s="46" t="n"/>
      <c r="B552" s="54" t="n"/>
      <c r="C552" s="46" t="n"/>
      <c r="D552" s="46" t="n"/>
      <c r="E552" s="55" t="n"/>
      <c r="F552" s="46" t="n"/>
      <c r="G552" s="46" t="n"/>
      <c r="H552" s="46" t="n"/>
      <c r="I552" s="46" t="n"/>
      <c r="J552" s="46" t="n"/>
      <c r="K552" s="46" t="n"/>
      <c r="L552" s="46" t="n"/>
      <c r="M552" s="51" t="str">
        <f>IF(NOT(ISNUMBER($E552)),"",IF($C552="Receipt",$E552,IF($C552="Shipment",-$E552,IF($C552="Adjustment",$E552,0))))</f>
        <v/>
      </c>
      <c r="N552" s="49" t="str">
        <f>IF($D552="","",IFERROR(INDEX(Products!$B$2:$B$101,MATCH($D552,Products!$A$2:$A$101,0))&amp;"","(not found)"))</f>
        <v/>
      </c>
      <c r="O552" s="49" t="str">
        <f>IF($F552="","",IFERROR(INDEX(Batches!$B$2:$B$301,MATCH($F552,Batches!$A$2:$A$301,0))&amp;"","(not found)"))</f>
        <v/>
      </c>
      <c r="P552" s="49" t="str">
        <f>IF(COUNTA($A552:$L552)=0,"",IF($A552="","Missing: entry ID",IF(COUNTIF($A$2:$A$2001,$A552)&gt;1,"Duplicate entry ID",IF(NOT(ISNUMBER($B552)),"Missing or invalid: date",IF($C552="","Missing: type",IF($D552="","Missing: SKU",IF(NOT(ISNUMBER($E552)),"Missing: qty",IF($F552="","Missing: lot",IF($I552="","Missing: source link",IF(COUNTIF(Config!$A$15:$A$34,$C552)=0,"Unsupported type",IF(COUNTIF(Products!$A$2:$A$101,$D552)=0,"Unknown SKU",IF(COUNTIFS(Batches!$A$2:$A$301,$F552,Batches!$B$2:$B$301,$D552)=0,"Unknown lot for this SKU",IF(AND($C552="Adjustment",$G552=""),"Missing: reason",IF(AND($G552&lt;&gt;"",COUNTIF(Config!$B$15:$B$34,$G552)=0),"Unsupported reason",IF(OR(INT($E552)&lt;&gt;$E552,AND(OR($C552="Receipt",$C552="Shipment"),$E552&lt;=0),AND($C552="Adjustment",$E552=0)),"Invalid qty",IF($B552&gt;Config!$B$4,"Date after the as-of date",IF($B552&lt;Config!$B$5,"Date before the opening balance date","OK")))))))))))))))))</f>
        <v/>
      </c>
    </row>
    <row r="553">
      <c r="A553" s="46" t="n"/>
      <c r="B553" s="54" t="n"/>
      <c r="C553" s="46" t="n"/>
      <c r="D553" s="46" t="n"/>
      <c r="E553" s="55" t="n"/>
      <c r="F553" s="46" t="n"/>
      <c r="G553" s="46" t="n"/>
      <c r="H553" s="46" t="n"/>
      <c r="I553" s="46" t="n"/>
      <c r="J553" s="46" t="n"/>
      <c r="K553" s="46" t="n"/>
      <c r="L553" s="46" t="n"/>
      <c r="M553" s="51" t="str">
        <f>IF(NOT(ISNUMBER($E553)),"",IF($C553="Receipt",$E553,IF($C553="Shipment",-$E553,IF($C553="Adjustment",$E553,0))))</f>
        <v/>
      </c>
      <c r="N553" s="49" t="str">
        <f>IF($D553="","",IFERROR(INDEX(Products!$B$2:$B$101,MATCH($D553,Products!$A$2:$A$101,0))&amp;"","(not found)"))</f>
        <v/>
      </c>
      <c r="O553" s="49" t="str">
        <f>IF($F553="","",IFERROR(INDEX(Batches!$B$2:$B$301,MATCH($F553,Batches!$A$2:$A$301,0))&amp;"","(not found)"))</f>
        <v/>
      </c>
      <c r="P553" s="49" t="str">
        <f>IF(COUNTA($A553:$L553)=0,"",IF($A553="","Missing: entry ID",IF(COUNTIF($A$2:$A$2001,$A553)&gt;1,"Duplicate entry ID",IF(NOT(ISNUMBER($B553)),"Missing or invalid: date",IF($C553="","Missing: type",IF($D553="","Missing: SKU",IF(NOT(ISNUMBER($E553)),"Missing: qty",IF($F553="","Missing: lot",IF($I553="","Missing: source link",IF(COUNTIF(Config!$A$15:$A$34,$C553)=0,"Unsupported type",IF(COUNTIF(Products!$A$2:$A$101,$D553)=0,"Unknown SKU",IF(COUNTIFS(Batches!$A$2:$A$301,$F553,Batches!$B$2:$B$301,$D553)=0,"Unknown lot for this SKU",IF(AND($C553="Adjustment",$G553=""),"Missing: reason",IF(AND($G553&lt;&gt;"",COUNTIF(Config!$B$15:$B$34,$G553)=0),"Unsupported reason",IF(OR(INT($E553)&lt;&gt;$E553,AND(OR($C553="Receipt",$C553="Shipment"),$E553&lt;=0),AND($C553="Adjustment",$E553=0)),"Invalid qty",IF($B553&gt;Config!$B$4,"Date after the as-of date",IF($B553&lt;Config!$B$5,"Date before the opening balance date","OK")))))))))))))))))</f>
        <v/>
      </c>
    </row>
    <row r="554">
      <c r="A554" s="46" t="n"/>
      <c r="B554" s="54" t="n"/>
      <c r="C554" s="46" t="n"/>
      <c r="D554" s="46" t="n"/>
      <c r="E554" s="55" t="n"/>
      <c r="F554" s="46" t="n"/>
      <c r="G554" s="46" t="n"/>
      <c r="H554" s="46" t="n"/>
      <c r="I554" s="46" t="n"/>
      <c r="J554" s="46" t="n"/>
      <c r="K554" s="46" t="n"/>
      <c r="L554" s="46" t="n"/>
      <c r="M554" s="51" t="str">
        <f>IF(NOT(ISNUMBER($E554)),"",IF($C554="Receipt",$E554,IF($C554="Shipment",-$E554,IF($C554="Adjustment",$E554,0))))</f>
        <v/>
      </c>
      <c r="N554" s="49" t="str">
        <f>IF($D554="","",IFERROR(INDEX(Products!$B$2:$B$101,MATCH($D554,Products!$A$2:$A$101,0))&amp;"","(not found)"))</f>
        <v/>
      </c>
      <c r="O554" s="49" t="str">
        <f>IF($F554="","",IFERROR(INDEX(Batches!$B$2:$B$301,MATCH($F554,Batches!$A$2:$A$301,0))&amp;"","(not found)"))</f>
        <v/>
      </c>
      <c r="P554" s="49" t="str">
        <f>IF(COUNTA($A554:$L554)=0,"",IF($A554="","Missing: entry ID",IF(COUNTIF($A$2:$A$2001,$A554)&gt;1,"Duplicate entry ID",IF(NOT(ISNUMBER($B554)),"Missing or invalid: date",IF($C554="","Missing: type",IF($D554="","Missing: SKU",IF(NOT(ISNUMBER($E554)),"Missing: qty",IF($F554="","Missing: lot",IF($I554="","Missing: source link",IF(COUNTIF(Config!$A$15:$A$34,$C554)=0,"Unsupported type",IF(COUNTIF(Products!$A$2:$A$101,$D554)=0,"Unknown SKU",IF(COUNTIFS(Batches!$A$2:$A$301,$F554,Batches!$B$2:$B$301,$D554)=0,"Unknown lot for this SKU",IF(AND($C554="Adjustment",$G554=""),"Missing: reason",IF(AND($G554&lt;&gt;"",COUNTIF(Config!$B$15:$B$34,$G554)=0),"Unsupported reason",IF(OR(INT($E554)&lt;&gt;$E554,AND(OR($C554="Receipt",$C554="Shipment"),$E554&lt;=0),AND($C554="Adjustment",$E554=0)),"Invalid qty",IF($B554&gt;Config!$B$4,"Date after the as-of date",IF($B554&lt;Config!$B$5,"Date before the opening balance date","OK")))))))))))))))))</f>
        <v/>
      </c>
    </row>
    <row r="555">
      <c r="A555" s="46" t="n"/>
      <c r="B555" s="54" t="n"/>
      <c r="C555" s="46" t="n"/>
      <c r="D555" s="46" t="n"/>
      <c r="E555" s="55" t="n"/>
      <c r="F555" s="46" t="n"/>
      <c r="G555" s="46" t="n"/>
      <c r="H555" s="46" t="n"/>
      <c r="I555" s="46" t="n"/>
      <c r="J555" s="46" t="n"/>
      <c r="K555" s="46" t="n"/>
      <c r="L555" s="46" t="n"/>
      <c r="M555" s="51" t="str">
        <f>IF(NOT(ISNUMBER($E555)),"",IF($C555="Receipt",$E555,IF($C555="Shipment",-$E555,IF($C555="Adjustment",$E555,0))))</f>
        <v/>
      </c>
      <c r="N555" s="49" t="str">
        <f>IF($D555="","",IFERROR(INDEX(Products!$B$2:$B$101,MATCH($D555,Products!$A$2:$A$101,0))&amp;"","(not found)"))</f>
        <v/>
      </c>
      <c r="O555" s="49" t="str">
        <f>IF($F555="","",IFERROR(INDEX(Batches!$B$2:$B$301,MATCH($F555,Batches!$A$2:$A$301,0))&amp;"","(not found)"))</f>
        <v/>
      </c>
      <c r="P555" s="49" t="str">
        <f>IF(COUNTA($A555:$L555)=0,"",IF($A555="","Missing: entry ID",IF(COUNTIF($A$2:$A$2001,$A555)&gt;1,"Duplicate entry ID",IF(NOT(ISNUMBER($B555)),"Missing or invalid: date",IF($C555="","Missing: type",IF($D555="","Missing: SKU",IF(NOT(ISNUMBER($E555)),"Missing: qty",IF($F555="","Missing: lot",IF($I555="","Missing: source link",IF(COUNTIF(Config!$A$15:$A$34,$C555)=0,"Unsupported type",IF(COUNTIF(Products!$A$2:$A$101,$D555)=0,"Unknown SKU",IF(COUNTIFS(Batches!$A$2:$A$301,$F555,Batches!$B$2:$B$301,$D555)=0,"Unknown lot for this SKU",IF(AND($C555="Adjustment",$G555=""),"Missing: reason",IF(AND($G555&lt;&gt;"",COUNTIF(Config!$B$15:$B$34,$G555)=0),"Unsupported reason",IF(OR(INT($E555)&lt;&gt;$E555,AND(OR($C555="Receipt",$C555="Shipment"),$E555&lt;=0),AND($C555="Adjustment",$E555=0)),"Invalid qty",IF($B555&gt;Config!$B$4,"Date after the as-of date",IF($B555&lt;Config!$B$5,"Date before the opening balance date","OK")))))))))))))))))</f>
        <v/>
      </c>
    </row>
    <row r="556">
      <c r="A556" s="46" t="n"/>
      <c r="B556" s="54" t="n"/>
      <c r="C556" s="46" t="n"/>
      <c r="D556" s="46" t="n"/>
      <c r="E556" s="55" t="n"/>
      <c r="F556" s="46" t="n"/>
      <c r="G556" s="46" t="n"/>
      <c r="H556" s="46" t="n"/>
      <c r="I556" s="46" t="n"/>
      <c r="J556" s="46" t="n"/>
      <c r="K556" s="46" t="n"/>
      <c r="L556" s="46" t="n"/>
      <c r="M556" s="51" t="str">
        <f>IF(NOT(ISNUMBER($E556)),"",IF($C556="Receipt",$E556,IF($C556="Shipment",-$E556,IF($C556="Adjustment",$E556,0))))</f>
        <v/>
      </c>
      <c r="N556" s="49" t="str">
        <f>IF($D556="","",IFERROR(INDEX(Products!$B$2:$B$101,MATCH($D556,Products!$A$2:$A$101,0))&amp;"","(not found)"))</f>
        <v/>
      </c>
      <c r="O556" s="49" t="str">
        <f>IF($F556="","",IFERROR(INDEX(Batches!$B$2:$B$301,MATCH($F556,Batches!$A$2:$A$301,0))&amp;"","(not found)"))</f>
        <v/>
      </c>
      <c r="P556" s="49" t="str">
        <f>IF(COUNTA($A556:$L556)=0,"",IF($A556="","Missing: entry ID",IF(COUNTIF($A$2:$A$2001,$A556)&gt;1,"Duplicate entry ID",IF(NOT(ISNUMBER($B556)),"Missing or invalid: date",IF($C556="","Missing: type",IF($D556="","Missing: SKU",IF(NOT(ISNUMBER($E556)),"Missing: qty",IF($F556="","Missing: lot",IF($I556="","Missing: source link",IF(COUNTIF(Config!$A$15:$A$34,$C556)=0,"Unsupported type",IF(COUNTIF(Products!$A$2:$A$101,$D556)=0,"Unknown SKU",IF(COUNTIFS(Batches!$A$2:$A$301,$F556,Batches!$B$2:$B$301,$D556)=0,"Unknown lot for this SKU",IF(AND($C556="Adjustment",$G556=""),"Missing: reason",IF(AND($G556&lt;&gt;"",COUNTIF(Config!$B$15:$B$34,$G556)=0),"Unsupported reason",IF(OR(INT($E556)&lt;&gt;$E556,AND(OR($C556="Receipt",$C556="Shipment"),$E556&lt;=0),AND($C556="Adjustment",$E556=0)),"Invalid qty",IF($B556&gt;Config!$B$4,"Date after the as-of date",IF($B556&lt;Config!$B$5,"Date before the opening balance date","OK")))))))))))))))))</f>
        <v/>
      </c>
    </row>
    <row r="557">
      <c r="A557" s="46" t="n"/>
      <c r="B557" s="54" t="n"/>
      <c r="C557" s="46" t="n"/>
      <c r="D557" s="46" t="n"/>
      <c r="E557" s="55" t="n"/>
      <c r="F557" s="46" t="n"/>
      <c r="G557" s="46" t="n"/>
      <c r="H557" s="46" t="n"/>
      <c r="I557" s="46" t="n"/>
      <c r="J557" s="46" t="n"/>
      <c r="K557" s="46" t="n"/>
      <c r="L557" s="46" t="n"/>
      <c r="M557" s="51" t="str">
        <f>IF(NOT(ISNUMBER($E557)),"",IF($C557="Receipt",$E557,IF($C557="Shipment",-$E557,IF($C557="Adjustment",$E557,0))))</f>
        <v/>
      </c>
      <c r="N557" s="49" t="str">
        <f>IF($D557="","",IFERROR(INDEX(Products!$B$2:$B$101,MATCH($D557,Products!$A$2:$A$101,0))&amp;"","(not found)"))</f>
        <v/>
      </c>
      <c r="O557" s="49" t="str">
        <f>IF($F557="","",IFERROR(INDEX(Batches!$B$2:$B$301,MATCH($F557,Batches!$A$2:$A$301,0))&amp;"","(not found)"))</f>
        <v/>
      </c>
      <c r="P557" s="49" t="str">
        <f>IF(COUNTA($A557:$L557)=0,"",IF($A557="","Missing: entry ID",IF(COUNTIF($A$2:$A$2001,$A557)&gt;1,"Duplicate entry ID",IF(NOT(ISNUMBER($B557)),"Missing or invalid: date",IF($C557="","Missing: type",IF($D557="","Missing: SKU",IF(NOT(ISNUMBER($E557)),"Missing: qty",IF($F557="","Missing: lot",IF($I557="","Missing: source link",IF(COUNTIF(Config!$A$15:$A$34,$C557)=0,"Unsupported type",IF(COUNTIF(Products!$A$2:$A$101,$D557)=0,"Unknown SKU",IF(COUNTIFS(Batches!$A$2:$A$301,$F557,Batches!$B$2:$B$301,$D557)=0,"Unknown lot for this SKU",IF(AND($C557="Adjustment",$G557=""),"Missing: reason",IF(AND($G557&lt;&gt;"",COUNTIF(Config!$B$15:$B$34,$G557)=0),"Unsupported reason",IF(OR(INT($E557)&lt;&gt;$E557,AND(OR($C557="Receipt",$C557="Shipment"),$E557&lt;=0),AND($C557="Adjustment",$E557=0)),"Invalid qty",IF($B557&gt;Config!$B$4,"Date after the as-of date",IF($B557&lt;Config!$B$5,"Date before the opening balance date","OK")))))))))))))))))</f>
        <v/>
      </c>
    </row>
    <row r="558">
      <c r="A558" s="46" t="n"/>
      <c r="B558" s="54" t="n"/>
      <c r="C558" s="46" t="n"/>
      <c r="D558" s="46" t="n"/>
      <c r="E558" s="55" t="n"/>
      <c r="F558" s="46" t="n"/>
      <c r="G558" s="46" t="n"/>
      <c r="H558" s="46" t="n"/>
      <c r="I558" s="46" t="n"/>
      <c r="J558" s="46" t="n"/>
      <c r="K558" s="46" t="n"/>
      <c r="L558" s="46" t="n"/>
      <c r="M558" s="51" t="str">
        <f>IF(NOT(ISNUMBER($E558)),"",IF($C558="Receipt",$E558,IF($C558="Shipment",-$E558,IF($C558="Adjustment",$E558,0))))</f>
        <v/>
      </c>
      <c r="N558" s="49" t="str">
        <f>IF($D558="","",IFERROR(INDEX(Products!$B$2:$B$101,MATCH($D558,Products!$A$2:$A$101,0))&amp;"","(not found)"))</f>
        <v/>
      </c>
      <c r="O558" s="49" t="str">
        <f>IF($F558="","",IFERROR(INDEX(Batches!$B$2:$B$301,MATCH($F558,Batches!$A$2:$A$301,0))&amp;"","(not found)"))</f>
        <v/>
      </c>
      <c r="P558" s="49" t="str">
        <f>IF(COUNTA($A558:$L558)=0,"",IF($A558="","Missing: entry ID",IF(COUNTIF($A$2:$A$2001,$A558)&gt;1,"Duplicate entry ID",IF(NOT(ISNUMBER($B558)),"Missing or invalid: date",IF($C558="","Missing: type",IF($D558="","Missing: SKU",IF(NOT(ISNUMBER($E558)),"Missing: qty",IF($F558="","Missing: lot",IF($I558="","Missing: source link",IF(COUNTIF(Config!$A$15:$A$34,$C558)=0,"Unsupported type",IF(COUNTIF(Products!$A$2:$A$101,$D558)=0,"Unknown SKU",IF(COUNTIFS(Batches!$A$2:$A$301,$F558,Batches!$B$2:$B$301,$D558)=0,"Unknown lot for this SKU",IF(AND($C558="Adjustment",$G558=""),"Missing: reason",IF(AND($G558&lt;&gt;"",COUNTIF(Config!$B$15:$B$34,$G558)=0),"Unsupported reason",IF(OR(INT($E558)&lt;&gt;$E558,AND(OR($C558="Receipt",$C558="Shipment"),$E558&lt;=0),AND($C558="Adjustment",$E558=0)),"Invalid qty",IF($B558&gt;Config!$B$4,"Date after the as-of date",IF($B558&lt;Config!$B$5,"Date before the opening balance date","OK")))))))))))))))))</f>
        <v/>
      </c>
    </row>
    <row r="559">
      <c r="A559" s="46" t="n"/>
      <c r="B559" s="54" t="n"/>
      <c r="C559" s="46" t="n"/>
      <c r="D559" s="46" t="n"/>
      <c r="E559" s="55" t="n"/>
      <c r="F559" s="46" t="n"/>
      <c r="G559" s="46" t="n"/>
      <c r="H559" s="46" t="n"/>
      <c r="I559" s="46" t="n"/>
      <c r="J559" s="46" t="n"/>
      <c r="K559" s="46" t="n"/>
      <c r="L559" s="46" t="n"/>
      <c r="M559" s="51" t="str">
        <f>IF(NOT(ISNUMBER($E559)),"",IF($C559="Receipt",$E559,IF($C559="Shipment",-$E559,IF($C559="Adjustment",$E559,0))))</f>
        <v/>
      </c>
      <c r="N559" s="49" t="str">
        <f>IF($D559="","",IFERROR(INDEX(Products!$B$2:$B$101,MATCH($D559,Products!$A$2:$A$101,0))&amp;"","(not found)"))</f>
        <v/>
      </c>
      <c r="O559" s="49" t="str">
        <f>IF($F559="","",IFERROR(INDEX(Batches!$B$2:$B$301,MATCH($F559,Batches!$A$2:$A$301,0))&amp;"","(not found)"))</f>
        <v/>
      </c>
      <c r="P559" s="49" t="str">
        <f>IF(COUNTA($A559:$L559)=0,"",IF($A559="","Missing: entry ID",IF(COUNTIF($A$2:$A$2001,$A559)&gt;1,"Duplicate entry ID",IF(NOT(ISNUMBER($B559)),"Missing or invalid: date",IF($C559="","Missing: type",IF($D559="","Missing: SKU",IF(NOT(ISNUMBER($E559)),"Missing: qty",IF($F559="","Missing: lot",IF($I559="","Missing: source link",IF(COUNTIF(Config!$A$15:$A$34,$C559)=0,"Unsupported type",IF(COUNTIF(Products!$A$2:$A$101,$D559)=0,"Unknown SKU",IF(COUNTIFS(Batches!$A$2:$A$301,$F559,Batches!$B$2:$B$301,$D559)=0,"Unknown lot for this SKU",IF(AND($C559="Adjustment",$G559=""),"Missing: reason",IF(AND($G559&lt;&gt;"",COUNTIF(Config!$B$15:$B$34,$G559)=0),"Unsupported reason",IF(OR(INT($E559)&lt;&gt;$E559,AND(OR($C559="Receipt",$C559="Shipment"),$E559&lt;=0),AND($C559="Adjustment",$E559=0)),"Invalid qty",IF($B559&gt;Config!$B$4,"Date after the as-of date",IF($B559&lt;Config!$B$5,"Date before the opening balance date","OK")))))))))))))))))</f>
        <v/>
      </c>
    </row>
    <row r="560">
      <c r="A560" s="46" t="n"/>
      <c r="B560" s="54" t="n"/>
      <c r="C560" s="46" t="n"/>
      <c r="D560" s="46" t="n"/>
      <c r="E560" s="55" t="n"/>
      <c r="F560" s="46" t="n"/>
      <c r="G560" s="46" t="n"/>
      <c r="H560" s="46" t="n"/>
      <c r="I560" s="46" t="n"/>
      <c r="J560" s="46" t="n"/>
      <c r="K560" s="46" t="n"/>
      <c r="L560" s="46" t="n"/>
      <c r="M560" s="51" t="str">
        <f>IF(NOT(ISNUMBER($E560)),"",IF($C560="Receipt",$E560,IF($C560="Shipment",-$E560,IF($C560="Adjustment",$E560,0))))</f>
        <v/>
      </c>
      <c r="N560" s="49" t="str">
        <f>IF($D560="","",IFERROR(INDEX(Products!$B$2:$B$101,MATCH($D560,Products!$A$2:$A$101,0))&amp;"","(not found)"))</f>
        <v/>
      </c>
      <c r="O560" s="49" t="str">
        <f>IF($F560="","",IFERROR(INDEX(Batches!$B$2:$B$301,MATCH($F560,Batches!$A$2:$A$301,0))&amp;"","(not found)"))</f>
        <v/>
      </c>
      <c r="P560" s="49" t="str">
        <f>IF(COUNTA($A560:$L560)=0,"",IF($A560="","Missing: entry ID",IF(COUNTIF($A$2:$A$2001,$A560)&gt;1,"Duplicate entry ID",IF(NOT(ISNUMBER($B560)),"Missing or invalid: date",IF($C560="","Missing: type",IF($D560="","Missing: SKU",IF(NOT(ISNUMBER($E560)),"Missing: qty",IF($F560="","Missing: lot",IF($I560="","Missing: source link",IF(COUNTIF(Config!$A$15:$A$34,$C560)=0,"Unsupported type",IF(COUNTIF(Products!$A$2:$A$101,$D560)=0,"Unknown SKU",IF(COUNTIFS(Batches!$A$2:$A$301,$F560,Batches!$B$2:$B$301,$D560)=0,"Unknown lot for this SKU",IF(AND($C560="Adjustment",$G560=""),"Missing: reason",IF(AND($G560&lt;&gt;"",COUNTIF(Config!$B$15:$B$34,$G560)=0),"Unsupported reason",IF(OR(INT($E560)&lt;&gt;$E560,AND(OR($C560="Receipt",$C560="Shipment"),$E560&lt;=0),AND($C560="Adjustment",$E560=0)),"Invalid qty",IF($B560&gt;Config!$B$4,"Date after the as-of date",IF($B560&lt;Config!$B$5,"Date before the opening balance date","OK")))))))))))))))))</f>
        <v/>
      </c>
    </row>
    <row r="561">
      <c r="A561" s="46" t="n"/>
      <c r="B561" s="54" t="n"/>
      <c r="C561" s="46" t="n"/>
      <c r="D561" s="46" t="n"/>
      <c r="E561" s="55" t="n"/>
      <c r="F561" s="46" t="n"/>
      <c r="G561" s="46" t="n"/>
      <c r="H561" s="46" t="n"/>
      <c r="I561" s="46" t="n"/>
      <c r="J561" s="46" t="n"/>
      <c r="K561" s="46" t="n"/>
      <c r="L561" s="46" t="n"/>
      <c r="M561" s="51" t="str">
        <f>IF(NOT(ISNUMBER($E561)),"",IF($C561="Receipt",$E561,IF($C561="Shipment",-$E561,IF($C561="Adjustment",$E561,0))))</f>
        <v/>
      </c>
      <c r="N561" s="49" t="str">
        <f>IF($D561="","",IFERROR(INDEX(Products!$B$2:$B$101,MATCH($D561,Products!$A$2:$A$101,0))&amp;"","(not found)"))</f>
        <v/>
      </c>
      <c r="O561" s="49" t="str">
        <f>IF($F561="","",IFERROR(INDEX(Batches!$B$2:$B$301,MATCH($F561,Batches!$A$2:$A$301,0))&amp;"","(not found)"))</f>
        <v/>
      </c>
      <c r="P561" s="49" t="str">
        <f>IF(COUNTA($A561:$L561)=0,"",IF($A561="","Missing: entry ID",IF(COUNTIF($A$2:$A$2001,$A561)&gt;1,"Duplicate entry ID",IF(NOT(ISNUMBER($B561)),"Missing or invalid: date",IF($C561="","Missing: type",IF($D561="","Missing: SKU",IF(NOT(ISNUMBER($E561)),"Missing: qty",IF($F561="","Missing: lot",IF($I561="","Missing: source link",IF(COUNTIF(Config!$A$15:$A$34,$C561)=0,"Unsupported type",IF(COUNTIF(Products!$A$2:$A$101,$D561)=0,"Unknown SKU",IF(COUNTIFS(Batches!$A$2:$A$301,$F561,Batches!$B$2:$B$301,$D561)=0,"Unknown lot for this SKU",IF(AND($C561="Adjustment",$G561=""),"Missing: reason",IF(AND($G561&lt;&gt;"",COUNTIF(Config!$B$15:$B$34,$G561)=0),"Unsupported reason",IF(OR(INT($E561)&lt;&gt;$E561,AND(OR($C561="Receipt",$C561="Shipment"),$E561&lt;=0),AND($C561="Adjustment",$E561=0)),"Invalid qty",IF($B561&gt;Config!$B$4,"Date after the as-of date",IF($B561&lt;Config!$B$5,"Date before the opening balance date","OK")))))))))))))))))</f>
        <v/>
      </c>
    </row>
    <row r="562">
      <c r="A562" s="46" t="n"/>
      <c r="B562" s="54" t="n"/>
      <c r="C562" s="46" t="n"/>
      <c r="D562" s="46" t="n"/>
      <c r="E562" s="55" t="n"/>
      <c r="F562" s="46" t="n"/>
      <c r="G562" s="46" t="n"/>
      <c r="H562" s="46" t="n"/>
      <c r="I562" s="46" t="n"/>
      <c r="J562" s="46" t="n"/>
      <c r="K562" s="46" t="n"/>
      <c r="L562" s="46" t="n"/>
      <c r="M562" s="51" t="str">
        <f>IF(NOT(ISNUMBER($E562)),"",IF($C562="Receipt",$E562,IF($C562="Shipment",-$E562,IF($C562="Adjustment",$E562,0))))</f>
        <v/>
      </c>
      <c r="N562" s="49" t="str">
        <f>IF($D562="","",IFERROR(INDEX(Products!$B$2:$B$101,MATCH($D562,Products!$A$2:$A$101,0))&amp;"","(not found)"))</f>
        <v/>
      </c>
      <c r="O562" s="49" t="str">
        <f>IF($F562="","",IFERROR(INDEX(Batches!$B$2:$B$301,MATCH($F562,Batches!$A$2:$A$301,0))&amp;"","(not found)"))</f>
        <v/>
      </c>
      <c r="P562" s="49" t="str">
        <f>IF(COUNTA($A562:$L562)=0,"",IF($A562="","Missing: entry ID",IF(COUNTIF($A$2:$A$2001,$A562)&gt;1,"Duplicate entry ID",IF(NOT(ISNUMBER($B562)),"Missing or invalid: date",IF($C562="","Missing: type",IF($D562="","Missing: SKU",IF(NOT(ISNUMBER($E562)),"Missing: qty",IF($F562="","Missing: lot",IF($I562="","Missing: source link",IF(COUNTIF(Config!$A$15:$A$34,$C562)=0,"Unsupported type",IF(COUNTIF(Products!$A$2:$A$101,$D562)=0,"Unknown SKU",IF(COUNTIFS(Batches!$A$2:$A$301,$F562,Batches!$B$2:$B$301,$D562)=0,"Unknown lot for this SKU",IF(AND($C562="Adjustment",$G562=""),"Missing: reason",IF(AND($G562&lt;&gt;"",COUNTIF(Config!$B$15:$B$34,$G562)=0),"Unsupported reason",IF(OR(INT($E562)&lt;&gt;$E562,AND(OR($C562="Receipt",$C562="Shipment"),$E562&lt;=0),AND($C562="Adjustment",$E562=0)),"Invalid qty",IF($B562&gt;Config!$B$4,"Date after the as-of date",IF($B562&lt;Config!$B$5,"Date before the opening balance date","OK")))))))))))))))))</f>
        <v/>
      </c>
    </row>
    <row r="563">
      <c r="A563" s="46" t="n"/>
      <c r="B563" s="54" t="n"/>
      <c r="C563" s="46" t="n"/>
      <c r="D563" s="46" t="n"/>
      <c r="E563" s="55" t="n"/>
      <c r="F563" s="46" t="n"/>
      <c r="G563" s="46" t="n"/>
      <c r="H563" s="46" t="n"/>
      <c r="I563" s="46" t="n"/>
      <c r="J563" s="46" t="n"/>
      <c r="K563" s="46" t="n"/>
      <c r="L563" s="46" t="n"/>
      <c r="M563" s="51" t="str">
        <f>IF(NOT(ISNUMBER($E563)),"",IF($C563="Receipt",$E563,IF($C563="Shipment",-$E563,IF($C563="Adjustment",$E563,0))))</f>
        <v/>
      </c>
      <c r="N563" s="49" t="str">
        <f>IF($D563="","",IFERROR(INDEX(Products!$B$2:$B$101,MATCH($D563,Products!$A$2:$A$101,0))&amp;"","(not found)"))</f>
        <v/>
      </c>
      <c r="O563" s="49" t="str">
        <f>IF($F563="","",IFERROR(INDEX(Batches!$B$2:$B$301,MATCH($F563,Batches!$A$2:$A$301,0))&amp;"","(not found)"))</f>
        <v/>
      </c>
      <c r="P563" s="49" t="str">
        <f>IF(COUNTA($A563:$L563)=0,"",IF($A563="","Missing: entry ID",IF(COUNTIF($A$2:$A$2001,$A563)&gt;1,"Duplicate entry ID",IF(NOT(ISNUMBER($B563)),"Missing or invalid: date",IF($C563="","Missing: type",IF($D563="","Missing: SKU",IF(NOT(ISNUMBER($E563)),"Missing: qty",IF($F563="","Missing: lot",IF($I563="","Missing: source link",IF(COUNTIF(Config!$A$15:$A$34,$C563)=0,"Unsupported type",IF(COUNTIF(Products!$A$2:$A$101,$D563)=0,"Unknown SKU",IF(COUNTIFS(Batches!$A$2:$A$301,$F563,Batches!$B$2:$B$301,$D563)=0,"Unknown lot for this SKU",IF(AND($C563="Adjustment",$G563=""),"Missing: reason",IF(AND($G563&lt;&gt;"",COUNTIF(Config!$B$15:$B$34,$G563)=0),"Unsupported reason",IF(OR(INT($E563)&lt;&gt;$E563,AND(OR($C563="Receipt",$C563="Shipment"),$E563&lt;=0),AND($C563="Adjustment",$E563=0)),"Invalid qty",IF($B563&gt;Config!$B$4,"Date after the as-of date",IF($B563&lt;Config!$B$5,"Date before the opening balance date","OK")))))))))))))))))</f>
        <v/>
      </c>
    </row>
    <row r="564">
      <c r="A564" s="46" t="n"/>
      <c r="B564" s="54" t="n"/>
      <c r="C564" s="46" t="n"/>
      <c r="D564" s="46" t="n"/>
      <c r="E564" s="55" t="n"/>
      <c r="F564" s="46" t="n"/>
      <c r="G564" s="46" t="n"/>
      <c r="H564" s="46" t="n"/>
      <c r="I564" s="46" t="n"/>
      <c r="J564" s="46" t="n"/>
      <c r="K564" s="46" t="n"/>
      <c r="L564" s="46" t="n"/>
      <c r="M564" s="51" t="str">
        <f>IF(NOT(ISNUMBER($E564)),"",IF($C564="Receipt",$E564,IF($C564="Shipment",-$E564,IF($C564="Adjustment",$E564,0))))</f>
        <v/>
      </c>
      <c r="N564" s="49" t="str">
        <f>IF($D564="","",IFERROR(INDEX(Products!$B$2:$B$101,MATCH($D564,Products!$A$2:$A$101,0))&amp;"","(not found)"))</f>
        <v/>
      </c>
      <c r="O564" s="49" t="str">
        <f>IF($F564="","",IFERROR(INDEX(Batches!$B$2:$B$301,MATCH($F564,Batches!$A$2:$A$301,0))&amp;"","(not found)"))</f>
        <v/>
      </c>
      <c r="P564" s="49" t="str">
        <f>IF(COUNTA($A564:$L564)=0,"",IF($A564="","Missing: entry ID",IF(COUNTIF($A$2:$A$2001,$A564)&gt;1,"Duplicate entry ID",IF(NOT(ISNUMBER($B564)),"Missing or invalid: date",IF($C564="","Missing: type",IF($D564="","Missing: SKU",IF(NOT(ISNUMBER($E564)),"Missing: qty",IF($F564="","Missing: lot",IF($I564="","Missing: source link",IF(COUNTIF(Config!$A$15:$A$34,$C564)=0,"Unsupported type",IF(COUNTIF(Products!$A$2:$A$101,$D564)=0,"Unknown SKU",IF(COUNTIFS(Batches!$A$2:$A$301,$F564,Batches!$B$2:$B$301,$D564)=0,"Unknown lot for this SKU",IF(AND($C564="Adjustment",$G564=""),"Missing: reason",IF(AND($G564&lt;&gt;"",COUNTIF(Config!$B$15:$B$34,$G564)=0),"Unsupported reason",IF(OR(INT($E564)&lt;&gt;$E564,AND(OR($C564="Receipt",$C564="Shipment"),$E564&lt;=0),AND($C564="Adjustment",$E564=0)),"Invalid qty",IF($B564&gt;Config!$B$4,"Date after the as-of date",IF($B564&lt;Config!$B$5,"Date before the opening balance date","OK")))))))))))))))))</f>
        <v/>
      </c>
    </row>
    <row r="565">
      <c r="A565" s="46" t="n"/>
      <c r="B565" s="54" t="n"/>
      <c r="C565" s="46" t="n"/>
      <c r="D565" s="46" t="n"/>
      <c r="E565" s="55" t="n"/>
      <c r="F565" s="46" t="n"/>
      <c r="G565" s="46" t="n"/>
      <c r="H565" s="46" t="n"/>
      <c r="I565" s="46" t="n"/>
      <c r="J565" s="46" t="n"/>
      <c r="K565" s="46" t="n"/>
      <c r="L565" s="46" t="n"/>
      <c r="M565" s="51" t="str">
        <f>IF(NOT(ISNUMBER($E565)),"",IF($C565="Receipt",$E565,IF($C565="Shipment",-$E565,IF($C565="Adjustment",$E565,0))))</f>
        <v/>
      </c>
      <c r="N565" s="49" t="str">
        <f>IF($D565="","",IFERROR(INDEX(Products!$B$2:$B$101,MATCH($D565,Products!$A$2:$A$101,0))&amp;"","(not found)"))</f>
        <v/>
      </c>
      <c r="O565" s="49" t="str">
        <f>IF($F565="","",IFERROR(INDEX(Batches!$B$2:$B$301,MATCH($F565,Batches!$A$2:$A$301,0))&amp;"","(not found)"))</f>
        <v/>
      </c>
      <c r="P565" s="49" t="str">
        <f>IF(COUNTA($A565:$L565)=0,"",IF($A565="","Missing: entry ID",IF(COUNTIF($A$2:$A$2001,$A565)&gt;1,"Duplicate entry ID",IF(NOT(ISNUMBER($B565)),"Missing or invalid: date",IF($C565="","Missing: type",IF($D565="","Missing: SKU",IF(NOT(ISNUMBER($E565)),"Missing: qty",IF($F565="","Missing: lot",IF($I565="","Missing: source link",IF(COUNTIF(Config!$A$15:$A$34,$C565)=0,"Unsupported type",IF(COUNTIF(Products!$A$2:$A$101,$D565)=0,"Unknown SKU",IF(COUNTIFS(Batches!$A$2:$A$301,$F565,Batches!$B$2:$B$301,$D565)=0,"Unknown lot for this SKU",IF(AND($C565="Adjustment",$G565=""),"Missing: reason",IF(AND($G565&lt;&gt;"",COUNTIF(Config!$B$15:$B$34,$G565)=0),"Unsupported reason",IF(OR(INT($E565)&lt;&gt;$E565,AND(OR($C565="Receipt",$C565="Shipment"),$E565&lt;=0),AND($C565="Adjustment",$E565=0)),"Invalid qty",IF($B565&gt;Config!$B$4,"Date after the as-of date",IF($B565&lt;Config!$B$5,"Date before the opening balance date","OK")))))))))))))))))</f>
        <v/>
      </c>
    </row>
    <row r="566">
      <c r="A566" s="46" t="n"/>
      <c r="B566" s="54" t="n"/>
      <c r="C566" s="46" t="n"/>
      <c r="D566" s="46" t="n"/>
      <c r="E566" s="55" t="n"/>
      <c r="F566" s="46" t="n"/>
      <c r="G566" s="46" t="n"/>
      <c r="H566" s="46" t="n"/>
      <c r="I566" s="46" t="n"/>
      <c r="J566" s="46" t="n"/>
      <c r="K566" s="46" t="n"/>
      <c r="L566" s="46" t="n"/>
      <c r="M566" s="51" t="str">
        <f>IF(NOT(ISNUMBER($E566)),"",IF($C566="Receipt",$E566,IF($C566="Shipment",-$E566,IF($C566="Adjustment",$E566,0))))</f>
        <v/>
      </c>
      <c r="N566" s="49" t="str">
        <f>IF($D566="","",IFERROR(INDEX(Products!$B$2:$B$101,MATCH($D566,Products!$A$2:$A$101,0))&amp;"","(not found)"))</f>
        <v/>
      </c>
      <c r="O566" s="49" t="str">
        <f>IF($F566="","",IFERROR(INDEX(Batches!$B$2:$B$301,MATCH($F566,Batches!$A$2:$A$301,0))&amp;"","(not found)"))</f>
        <v/>
      </c>
      <c r="P566" s="49" t="str">
        <f>IF(COUNTA($A566:$L566)=0,"",IF($A566="","Missing: entry ID",IF(COUNTIF($A$2:$A$2001,$A566)&gt;1,"Duplicate entry ID",IF(NOT(ISNUMBER($B566)),"Missing or invalid: date",IF($C566="","Missing: type",IF($D566="","Missing: SKU",IF(NOT(ISNUMBER($E566)),"Missing: qty",IF($F566="","Missing: lot",IF($I566="","Missing: source link",IF(COUNTIF(Config!$A$15:$A$34,$C566)=0,"Unsupported type",IF(COUNTIF(Products!$A$2:$A$101,$D566)=0,"Unknown SKU",IF(COUNTIFS(Batches!$A$2:$A$301,$F566,Batches!$B$2:$B$301,$D566)=0,"Unknown lot for this SKU",IF(AND($C566="Adjustment",$G566=""),"Missing: reason",IF(AND($G566&lt;&gt;"",COUNTIF(Config!$B$15:$B$34,$G566)=0),"Unsupported reason",IF(OR(INT($E566)&lt;&gt;$E566,AND(OR($C566="Receipt",$C566="Shipment"),$E566&lt;=0),AND($C566="Adjustment",$E566=0)),"Invalid qty",IF($B566&gt;Config!$B$4,"Date after the as-of date",IF($B566&lt;Config!$B$5,"Date before the opening balance date","OK")))))))))))))))))</f>
        <v/>
      </c>
    </row>
    <row r="567">
      <c r="A567" s="46" t="n"/>
      <c r="B567" s="54" t="n"/>
      <c r="C567" s="46" t="n"/>
      <c r="D567" s="46" t="n"/>
      <c r="E567" s="55" t="n"/>
      <c r="F567" s="46" t="n"/>
      <c r="G567" s="46" t="n"/>
      <c r="H567" s="46" t="n"/>
      <c r="I567" s="46" t="n"/>
      <c r="J567" s="46" t="n"/>
      <c r="K567" s="46" t="n"/>
      <c r="L567" s="46" t="n"/>
      <c r="M567" s="51" t="str">
        <f>IF(NOT(ISNUMBER($E567)),"",IF($C567="Receipt",$E567,IF($C567="Shipment",-$E567,IF($C567="Adjustment",$E567,0))))</f>
        <v/>
      </c>
      <c r="N567" s="49" t="str">
        <f>IF($D567="","",IFERROR(INDEX(Products!$B$2:$B$101,MATCH($D567,Products!$A$2:$A$101,0))&amp;"","(not found)"))</f>
        <v/>
      </c>
      <c r="O567" s="49" t="str">
        <f>IF($F567="","",IFERROR(INDEX(Batches!$B$2:$B$301,MATCH($F567,Batches!$A$2:$A$301,0))&amp;"","(not found)"))</f>
        <v/>
      </c>
      <c r="P567" s="49" t="str">
        <f>IF(COUNTA($A567:$L567)=0,"",IF($A567="","Missing: entry ID",IF(COUNTIF($A$2:$A$2001,$A567)&gt;1,"Duplicate entry ID",IF(NOT(ISNUMBER($B567)),"Missing or invalid: date",IF($C567="","Missing: type",IF($D567="","Missing: SKU",IF(NOT(ISNUMBER($E567)),"Missing: qty",IF($F567="","Missing: lot",IF($I567="","Missing: source link",IF(COUNTIF(Config!$A$15:$A$34,$C567)=0,"Unsupported type",IF(COUNTIF(Products!$A$2:$A$101,$D567)=0,"Unknown SKU",IF(COUNTIFS(Batches!$A$2:$A$301,$F567,Batches!$B$2:$B$301,$D567)=0,"Unknown lot for this SKU",IF(AND($C567="Adjustment",$G567=""),"Missing: reason",IF(AND($G567&lt;&gt;"",COUNTIF(Config!$B$15:$B$34,$G567)=0),"Unsupported reason",IF(OR(INT($E567)&lt;&gt;$E567,AND(OR($C567="Receipt",$C567="Shipment"),$E567&lt;=0),AND($C567="Adjustment",$E567=0)),"Invalid qty",IF($B567&gt;Config!$B$4,"Date after the as-of date",IF($B567&lt;Config!$B$5,"Date before the opening balance date","OK")))))))))))))))))</f>
        <v/>
      </c>
    </row>
    <row r="568">
      <c r="A568" s="46" t="n"/>
      <c r="B568" s="54" t="n"/>
      <c r="C568" s="46" t="n"/>
      <c r="D568" s="46" t="n"/>
      <c r="E568" s="55" t="n"/>
      <c r="F568" s="46" t="n"/>
      <c r="G568" s="46" t="n"/>
      <c r="H568" s="46" t="n"/>
      <c r="I568" s="46" t="n"/>
      <c r="J568" s="46" t="n"/>
      <c r="K568" s="46" t="n"/>
      <c r="L568" s="46" t="n"/>
      <c r="M568" s="51" t="str">
        <f>IF(NOT(ISNUMBER($E568)),"",IF($C568="Receipt",$E568,IF($C568="Shipment",-$E568,IF($C568="Adjustment",$E568,0))))</f>
        <v/>
      </c>
      <c r="N568" s="49" t="str">
        <f>IF($D568="","",IFERROR(INDEX(Products!$B$2:$B$101,MATCH($D568,Products!$A$2:$A$101,0))&amp;"","(not found)"))</f>
        <v/>
      </c>
      <c r="O568" s="49" t="str">
        <f>IF($F568="","",IFERROR(INDEX(Batches!$B$2:$B$301,MATCH($F568,Batches!$A$2:$A$301,0))&amp;"","(not found)"))</f>
        <v/>
      </c>
      <c r="P568" s="49" t="str">
        <f>IF(COUNTA($A568:$L568)=0,"",IF($A568="","Missing: entry ID",IF(COUNTIF($A$2:$A$2001,$A568)&gt;1,"Duplicate entry ID",IF(NOT(ISNUMBER($B568)),"Missing or invalid: date",IF($C568="","Missing: type",IF($D568="","Missing: SKU",IF(NOT(ISNUMBER($E568)),"Missing: qty",IF($F568="","Missing: lot",IF($I568="","Missing: source link",IF(COUNTIF(Config!$A$15:$A$34,$C568)=0,"Unsupported type",IF(COUNTIF(Products!$A$2:$A$101,$D568)=0,"Unknown SKU",IF(COUNTIFS(Batches!$A$2:$A$301,$F568,Batches!$B$2:$B$301,$D568)=0,"Unknown lot for this SKU",IF(AND($C568="Adjustment",$G568=""),"Missing: reason",IF(AND($G568&lt;&gt;"",COUNTIF(Config!$B$15:$B$34,$G568)=0),"Unsupported reason",IF(OR(INT($E568)&lt;&gt;$E568,AND(OR($C568="Receipt",$C568="Shipment"),$E568&lt;=0),AND($C568="Adjustment",$E568=0)),"Invalid qty",IF($B568&gt;Config!$B$4,"Date after the as-of date",IF($B568&lt;Config!$B$5,"Date before the opening balance date","OK")))))))))))))))))</f>
        <v/>
      </c>
    </row>
    <row r="569">
      <c r="A569" s="46" t="n"/>
      <c r="B569" s="54" t="n"/>
      <c r="C569" s="46" t="n"/>
      <c r="D569" s="46" t="n"/>
      <c r="E569" s="55" t="n"/>
      <c r="F569" s="46" t="n"/>
      <c r="G569" s="46" t="n"/>
      <c r="H569" s="46" t="n"/>
      <c r="I569" s="46" t="n"/>
      <c r="J569" s="46" t="n"/>
      <c r="K569" s="46" t="n"/>
      <c r="L569" s="46" t="n"/>
      <c r="M569" s="51" t="str">
        <f>IF(NOT(ISNUMBER($E569)),"",IF($C569="Receipt",$E569,IF($C569="Shipment",-$E569,IF($C569="Adjustment",$E569,0))))</f>
        <v/>
      </c>
      <c r="N569" s="49" t="str">
        <f>IF($D569="","",IFERROR(INDEX(Products!$B$2:$B$101,MATCH($D569,Products!$A$2:$A$101,0))&amp;"","(not found)"))</f>
        <v/>
      </c>
      <c r="O569" s="49" t="str">
        <f>IF($F569="","",IFERROR(INDEX(Batches!$B$2:$B$301,MATCH($F569,Batches!$A$2:$A$301,0))&amp;"","(not found)"))</f>
        <v/>
      </c>
      <c r="P569" s="49" t="str">
        <f>IF(COUNTA($A569:$L569)=0,"",IF($A569="","Missing: entry ID",IF(COUNTIF($A$2:$A$2001,$A569)&gt;1,"Duplicate entry ID",IF(NOT(ISNUMBER($B569)),"Missing or invalid: date",IF($C569="","Missing: type",IF($D569="","Missing: SKU",IF(NOT(ISNUMBER($E569)),"Missing: qty",IF($F569="","Missing: lot",IF($I569="","Missing: source link",IF(COUNTIF(Config!$A$15:$A$34,$C569)=0,"Unsupported type",IF(COUNTIF(Products!$A$2:$A$101,$D569)=0,"Unknown SKU",IF(COUNTIFS(Batches!$A$2:$A$301,$F569,Batches!$B$2:$B$301,$D569)=0,"Unknown lot for this SKU",IF(AND($C569="Adjustment",$G569=""),"Missing: reason",IF(AND($G569&lt;&gt;"",COUNTIF(Config!$B$15:$B$34,$G569)=0),"Unsupported reason",IF(OR(INT($E569)&lt;&gt;$E569,AND(OR($C569="Receipt",$C569="Shipment"),$E569&lt;=0),AND($C569="Adjustment",$E569=0)),"Invalid qty",IF($B569&gt;Config!$B$4,"Date after the as-of date",IF($B569&lt;Config!$B$5,"Date before the opening balance date","OK")))))))))))))))))</f>
        <v/>
      </c>
    </row>
    <row r="570">
      <c r="A570" s="46" t="n"/>
      <c r="B570" s="54" t="n"/>
      <c r="C570" s="46" t="n"/>
      <c r="D570" s="46" t="n"/>
      <c r="E570" s="55" t="n"/>
      <c r="F570" s="46" t="n"/>
      <c r="G570" s="46" t="n"/>
      <c r="H570" s="46" t="n"/>
      <c r="I570" s="46" t="n"/>
      <c r="J570" s="46" t="n"/>
      <c r="K570" s="46" t="n"/>
      <c r="L570" s="46" t="n"/>
      <c r="M570" s="51" t="str">
        <f>IF(NOT(ISNUMBER($E570)),"",IF($C570="Receipt",$E570,IF($C570="Shipment",-$E570,IF($C570="Adjustment",$E570,0))))</f>
        <v/>
      </c>
      <c r="N570" s="49" t="str">
        <f>IF($D570="","",IFERROR(INDEX(Products!$B$2:$B$101,MATCH($D570,Products!$A$2:$A$101,0))&amp;"","(not found)"))</f>
        <v/>
      </c>
      <c r="O570" s="49" t="str">
        <f>IF($F570="","",IFERROR(INDEX(Batches!$B$2:$B$301,MATCH($F570,Batches!$A$2:$A$301,0))&amp;"","(not found)"))</f>
        <v/>
      </c>
      <c r="P570" s="49" t="str">
        <f>IF(COUNTA($A570:$L570)=0,"",IF($A570="","Missing: entry ID",IF(COUNTIF($A$2:$A$2001,$A570)&gt;1,"Duplicate entry ID",IF(NOT(ISNUMBER($B570)),"Missing or invalid: date",IF($C570="","Missing: type",IF($D570="","Missing: SKU",IF(NOT(ISNUMBER($E570)),"Missing: qty",IF($F570="","Missing: lot",IF($I570="","Missing: source link",IF(COUNTIF(Config!$A$15:$A$34,$C570)=0,"Unsupported type",IF(COUNTIF(Products!$A$2:$A$101,$D570)=0,"Unknown SKU",IF(COUNTIFS(Batches!$A$2:$A$301,$F570,Batches!$B$2:$B$301,$D570)=0,"Unknown lot for this SKU",IF(AND($C570="Adjustment",$G570=""),"Missing: reason",IF(AND($G570&lt;&gt;"",COUNTIF(Config!$B$15:$B$34,$G570)=0),"Unsupported reason",IF(OR(INT($E570)&lt;&gt;$E570,AND(OR($C570="Receipt",$C570="Shipment"),$E570&lt;=0),AND($C570="Adjustment",$E570=0)),"Invalid qty",IF($B570&gt;Config!$B$4,"Date after the as-of date",IF($B570&lt;Config!$B$5,"Date before the opening balance date","OK")))))))))))))))))</f>
        <v/>
      </c>
    </row>
    <row r="571">
      <c r="A571" s="46" t="n"/>
      <c r="B571" s="54" t="n"/>
      <c r="C571" s="46" t="n"/>
      <c r="D571" s="46" t="n"/>
      <c r="E571" s="55" t="n"/>
      <c r="F571" s="46" t="n"/>
      <c r="G571" s="46" t="n"/>
      <c r="H571" s="46" t="n"/>
      <c r="I571" s="46" t="n"/>
      <c r="J571" s="46" t="n"/>
      <c r="K571" s="46" t="n"/>
      <c r="L571" s="46" t="n"/>
      <c r="M571" s="51" t="str">
        <f>IF(NOT(ISNUMBER($E571)),"",IF($C571="Receipt",$E571,IF($C571="Shipment",-$E571,IF($C571="Adjustment",$E571,0))))</f>
        <v/>
      </c>
      <c r="N571" s="49" t="str">
        <f>IF($D571="","",IFERROR(INDEX(Products!$B$2:$B$101,MATCH($D571,Products!$A$2:$A$101,0))&amp;"","(not found)"))</f>
        <v/>
      </c>
      <c r="O571" s="49" t="str">
        <f>IF($F571="","",IFERROR(INDEX(Batches!$B$2:$B$301,MATCH($F571,Batches!$A$2:$A$301,0))&amp;"","(not found)"))</f>
        <v/>
      </c>
      <c r="P571" s="49" t="str">
        <f>IF(COUNTA($A571:$L571)=0,"",IF($A571="","Missing: entry ID",IF(COUNTIF($A$2:$A$2001,$A571)&gt;1,"Duplicate entry ID",IF(NOT(ISNUMBER($B571)),"Missing or invalid: date",IF($C571="","Missing: type",IF($D571="","Missing: SKU",IF(NOT(ISNUMBER($E571)),"Missing: qty",IF($F571="","Missing: lot",IF($I571="","Missing: source link",IF(COUNTIF(Config!$A$15:$A$34,$C571)=0,"Unsupported type",IF(COUNTIF(Products!$A$2:$A$101,$D571)=0,"Unknown SKU",IF(COUNTIFS(Batches!$A$2:$A$301,$F571,Batches!$B$2:$B$301,$D571)=0,"Unknown lot for this SKU",IF(AND($C571="Adjustment",$G571=""),"Missing: reason",IF(AND($G571&lt;&gt;"",COUNTIF(Config!$B$15:$B$34,$G571)=0),"Unsupported reason",IF(OR(INT($E571)&lt;&gt;$E571,AND(OR($C571="Receipt",$C571="Shipment"),$E571&lt;=0),AND($C571="Adjustment",$E571=0)),"Invalid qty",IF($B571&gt;Config!$B$4,"Date after the as-of date",IF($B571&lt;Config!$B$5,"Date before the opening balance date","OK")))))))))))))))))</f>
        <v/>
      </c>
    </row>
    <row r="572">
      <c r="A572" s="46" t="n"/>
      <c r="B572" s="54" t="n"/>
      <c r="C572" s="46" t="n"/>
      <c r="D572" s="46" t="n"/>
      <c r="E572" s="55" t="n"/>
      <c r="F572" s="46" t="n"/>
      <c r="G572" s="46" t="n"/>
      <c r="H572" s="46" t="n"/>
      <c r="I572" s="46" t="n"/>
      <c r="J572" s="46" t="n"/>
      <c r="K572" s="46" t="n"/>
      <c r="L572" s="46" t="n"/>
      <c r="M572" s="51" t="str">
        <f>IF(NOT(ISNUMBER($E572)),"",IF($C572="Receipt",$E572,IF($C572="Shipment",-$E572,IF($C572="Adjustment",$E572,0))))</f>
        <v/>
      </c>
      <c r="N572" s="49" t="str">
        <f>IF($D572="","",IFERROR(INDEX(Products!$B$2:$B$101,MATCH($D572,Products!$A$2:$A$101,0))&amp;"","(not found)"))</f>
        <v/>
      </c>
      <c r="O572" s="49" t="str">
        <f>IF($F572="","",IFERROR(INDEX(Batches!$B$2:$B$301,MATCH($F572,Batches!$A$2:$A$301,0))&amp;"","(not found)"))</f>
        <v/>
      </c>
      <c r="P572" s="49" t="str">
        <f>IF(COUNTA($A572:$L572)=0,"",IF($A572="","Missing: entry ID",IF(COUNTIF($A$2:$A$2001,$A572)&gt;1,"Duplicate entry ID",IF(NOT(ISNUMBER($B572)),"Missing or invalid: date",IF($C572="","Missing: type",IF($D572="","Missing: SKU",IF(NOT(ISNUMBER($E572)),"Missing: qty",IF($F572="","Missing: lot",IF($I572="","Missing: source link",IF(COUNTIF(Config!$A$15:$A$34,$C572)=0,"Unsupported type",IF(COUNTIF(Products!$A$2:$A$101,$D572)=0,"Unknown SKU",IF(COUNTIFS(Batches!$A$2:$A$301,$F572,Batches!$B$2:$B$301,$D572)=0,"Unknown lot for this SKU",IF(AND($C572="Adjustment",$G572=""),"Missing: reason",IF(AND($G572&lt;&gt;"",COUNTIF(Config!$B$15:$B$34,$G572)=0),"Unsupported reason",IF(OR(INT($E572)&lt;&gt;$E572,AND(OR($C572="Receipt",$C572="Shipment"),$E572&lt;=0),AND($C572="Adjustment",$E572=0)),"Invalid qty",IF($B572&gt;Config!$B$4,"Date after the as-of date",IF($B572&lt;Config!$B$5,"Date before the opening balance date","OK")))))))))))))))))</f>
        <v/>
      </c>
    </row>
    <row r="573">
      <c r="A573" s="46" t="n"/>
      <c r="B573" s="54" t="n"/>
      <c r="C573" s="46" t="n"/>
      <c r="D573" s="46" t="n"/>
      <c r="E573" s="55" t="n"/>
      <c r="F573" s="46" t="n"/>
      <c r="G573" s="46" t="n"/>
      <c r="H573" s="46" t="n"/>
      <c r="I573" s="46" t="n"/>
      <c r="J573" s="46" t="n"/>
      <c r="K573" s="46" t="n"/>
      <c r="L573" s="46" t="n"/>
      <c r="M573" s="51" t="str">
        <f>IF(NOT(ISNUMBER($E573)),"",IF($C573="Receipt",$E573,IF($C573="Shipment",-$E573,IF($C573="Adjustment",$E573,0))))</f>
        <v/>
      </c>
      <c r="N573" s="49" t="str">
        <f>IF($D573="","",IFERROR(INDEX(Products!$B$2:$B$101,MATCH($D573,Products!$A$2:$A$101,0))&amp;"","(not found)"))</f>
        <v/>
      </c>
      <c r="O573" s="49" t="str">
        <f>IF($F573="","",IFERROR(INDEX(Batches!$B$2:$B$301,MATCH($F573,Batches!$A$2:$A$301,0))&amp;"","(not found)"))</f>
        <v/>
      </c>
      <c r="P573" s="49" t="str">
        <f>IF(COUNTA($A573:$L573)=0,"",IF($A573="","Missing: entry ID",IF(COUNTIF($A$2:$A$2001,$A573)&gt;1,"Duplicate entry ID",IF(NOT(ISNUMBER($B573)),"Missing or invalid: date",IF($C573="","Missing: type",IF($D573="","Missing: SKU",IF(NOT(ISNUMBER($E573)),"Missing: qty",IF($F573="","Missing: lot",IF($I573="","Missing: source link",IF(COUNTIF(Config!$A$15:$A$34,$C573)=0,"Unsupported type",IF(COUNTIF(Products!$A$2:$A$101,$D573)=0,"Unknown SKU",IF(COUNTIFS(Batches!$A$2:$A$301,$F573,Batches!$B$2:$B$301,$D573)=0,"Unknown lot for this SKU",IF(AND($C573="Adjustment",$G573=""),"Missing: reason",IF(AND($G573&lt;&gt;"",COUNTIF(Config!$B$15:$B$34,$G573)=0),"Unsupported reason",IF(OR(INT($E573)&lt;&gt;$E573,AND(OR($C573="Receipt",$C573="Shipment"),$E573&lt;=0),AND($C573="Adjustment",$E573=0)),"Invalid qty",IF($B573&gt;Config!$B$4,"Date after the as-of date",IF($B573&lt;Config!$B$5,"Date before the opening balance date","OK")))))))))))))))))</f>
        <v/>
      </c>
    </row>
    <row r="574">
      <c r="A574" s="46" t="n"/>
      <c r="B574" s="54" t="n"/>
      <c r="C574" s="46" t="n"/>
      <c r="D574" s="46" t="n"/>
      <c r="E574" s="55" t="n"/>
      <c r="F574" s="46" t="n"/>
      <c r="G574" s="46" t="n"/>
      <c r="H574" s="46" t="n"/>
      <c r="I574" s="46" t="n"/>
      <c r="J574" s="46" t="n"/>
      <c r="K574" s="46" t="n"/>
      <c r="L574" s="46" t="n"/>
      <c r="M574" s="51" t="str">
        <f>IF(NOT(ISNUMBER($E574)),"",IF($C574="Receipt",$E574,IF($C574="Shipment",-$E574,IF($C574="Adjustment",$E574,0))))</f>
        <v/>
      </c>
      <c r="N574" s="49" t="str">
        <f>IF($D574="","",IFERROR(INDEX(Products!$B$2:$B$101,MATCH($D574,Products!$A$2:$A$101,0))&amp;"","(not found)"))</f>
        <v/>
      </c>
      <c r="O574" s="49" t="str">
        <f>IF($F574="","",IFERROR(INDEX(Batches!$B$2:$B$301,MATCH($F574,Batches!$A$2:$A$301,0))&amp;"","(not found)"))</f>
        <v/>
      </c>
      <c r="P574" s="49" t="str">
        <f>IF(COUNTA($A574:$L574)=0,"",IF($A574="","Missing: entry ID",IF(COUNTIF($A$2:$A$2001,$A574)&gt;1,"Duplicate entry ID",IF(NOT(ISNUMBER($B574)),"Missing or invalid: date",IF($C574="","Missing: type",IF($D574="","Missing: SKU",IF(NOT(ISNUMBER($E574)),"Missing: qty",IF($F574="","Missing: lot",IF($I574="","Missing: source link",IF(COUNTIF(Config!$A$15:$A$34,$C574)=0,"Unsupported type",IF(COUNTIF(Products!$A$2:$A$101,$D574)=0,"Unknown SKU",IF(COUNTIFS(Batches!$A$2:$A$301,$F574,Batches!$B$2:$B$301,$D574)=0,"Unknown lot for this SKU",IF(AND($C574="Adjustment",$G574=""),"Missing: reason",IF(AND($G574&lt;&gt;"",COUNTIF(Config!$B$15:$B$34,$G574)=0),"Unsupported reason",IF(OR(INT($E574)&lt;&gt;$E574,AND(OR($C574="Receipt",$C574="Shipment"),$E574&lt;=0),AND($C574="Adjustment",$E574=0)),"Invalid qty",IF($B574&gt;Config!$B$4,"Date after the as-of date",IF($B574&lt;Config!$B$5,"Date before the opening balance date","OK")))))))))))))))))</f>
        <v/>
      </c>
    </row>
    <row r="575">
      <c r="A575" s="46" t="n"/>
      <c r="B575" s="54" t="n"/>
      <c r="C575" s="46" t="n"/>
      <c r="D575" s="46" t="n"/>
      <c r="E575" s="55" t="n"/>
      <c r="F575" s="46" t="n"/>
      <c r="G575" s="46" t="n"/>
      <c r="H575" s="46" t="n"/>
      <c r="I575" s="46" t="n"/>
      <c r="J575" s="46" t="n"/>
      <c r="K575" s="46" t="n"/>
      <c r="L575" s="46" t="n"/>
      <c r="M575" s="51" t="str">
        <f>IF(NOT(ISNUMBER($E575)),"",IF($C575="Receipt",$E575,IF($C575="Shipment",-$E575,IF($C575="Adjustment",$E575,0))))</f>
        <v/>
      </c>
      <c r="N575" s="49" t="str">
        <f>IF($D575="","",IFERROR(INDEX(Products!$B$2:$B$101,MATCH($D575,Products!$A$2:$A$101,0))&amp;"","(not found)"))</f>
        <v/>
      </c>
      <c r="O575" s="49" t="str">
        <f>IF($F575="","",IFERROR(INDEX(Batches!$B$2:$B$301,MATCH($F575,Batches!$A$2:$A$301,0))&amp;"","(not found)"))</f>
        <v/>
      </c>
      <c r="P575" s="49" t="str">
        <f>IF(COUNTA($A575:$L575)=0,"",IF($A575="","Missing: entry ID",IF(COUNTIF($A$2:$A$2001,$A575)&gt;1,"Duplicate entry ID",IF(NOT(ISNUMBER($B575)),"Missing or invalid: date",IF($C575="","Missing: type",IF($D575="","Missing: SKU",IF(NOT(ISNUMBER($E575)),"Missing: qty",IF($F575="","Missing: lot",IF($I575="","Missing: source link",IF(COUNTIF(Config!$A$15:$A$34,$C575)=0,"Unsupported type",IF(COUNTIF(Products!$A$2:$A$101,$D575)=0,"Unknown SKU",IF(COUNTIFS(Batches!$A$2:$A$301,$F575,Batches!$B$2:$B$301,$D575)=0,"Unknown lot for this SKU",IF(AND($C575="Adjustment",$G575=""),"Missing: reason",IF(AND($G575&lt;&gt;"",COUNTIF(Config!$B$15:$B$34,$G575)=0),"Unsupported reason",IF(OR(INT($E575)&lt;&gt;$E575,AND(OR($C575="Receipt",$C575="Shipment"),$E575&lt;=0),AND($C575="Adjustment",$E575=0)),"Invalid qty",IF($B575&gt;Config!$B$4,"Date after the as-of date",IF($B575&lt;Config!$B$5,"Date before the opening balance date","OK")))))))))))))))))</f>
        <v/>
      </c>
    </row>
    <row r="576">
      <c r="A576" s="46" t="n"/>
      <c r="B576" s="54" t="n"/>
      <c r="C576" s="46" t="n"/>
      <c r="D576" s="46" t="n"/>
      <c r="E576" s="55" t="n"/>
      <c r="F576" s="46" t="n"/>
      <c r="G576" s="46" t="n"/>
      <c r="H576" s="46" t="n"/>
      <c r="I576" s="46" t="n"/>
      <c r="J576" s="46" t="n"/>
      <c r="K576" s="46" t="n"/>
      <c r="L576" s="46" t="n"/>
      <c r="M576" s="51" t="str">
        <f>IF(NOT(ISNUMBER($E576)),"",IF($C576="Receipt",$E576,IF($C576="Shipment",-$E576,IF($C576="Adjustment",$E576,0))))</f>
        <v/>
      </c>
      <c r="N576" s="49" t="str">
        <f>IF($D576="","",IFERROR(INDEX(Products!$B$2:$B$101,MATCH($D576,Products!$A$2:$A$101,0))&amp;"","(not found)"))</f>
        <v/>
      </c>
      <c r="O576" s="49" t="str">
        <f>IF($F576="","",IFERROR(INDEX(Batches!$B$2:$B$301,MATCH($F576,Batches!$A$2:$A$301,0))&amp;"","(not found)"))</f>
        <v/>
      </c>
      <c r="P576" s="49" t="str">
        <f>IF(COUNTA($A576:$L576)=0,"",IF($A576="","Missing: entry ID",IF(COUNTIF($A$2:$A$2001,$A576)&gt;1,"Duplicate entry ID",IF(NOT(ISNUMBER($B576)),"Missing or invalid: date",IF($C576="","Missing: type",IF($D576="","Missing: SKU",IF(NOT(ISNUMBER($E576)),"Missing: qty",IF($F576="","Missing: lot",IF($I576="","Missing: source link",IF(COUNTIF(Config!$A$15:$A$34,$C576)=0,"Unsupported type",IF(COUNTIF(Products!$A$2:$A$101,$D576)=0,"Unknown SKU",IF(COUNTIFS(Batches!$A$2:$A$301,$F576,Batches!$B$2:$B$301,$D576)=0,"Unknown lot for this SKU",IF(AND($C576="Adjustment",$G576=""),"Missing: reason",IF(AND($G576&lt;&gt;"",COUNTIF(Config!$B$15:$B$34,$G576)=0),"Unsupported reason",IF(OR(INT($E576)&lt;&gt;$E576,AND(OR($C576="Receipt",$C576="Shipment"),$E576&lt;=0),AND($C576="Adjustment",$E576=0)),"Invalid qty",IF($B576&gt;Config!$B$4,"Date after the as-of date",IF($B576&lt;Config!$B$5,"Date before the opening balance date","OK")))))))))))))))))</f>
        <v/>
      </c>
    </row>
    <row r="577">
      <c r="A577" s="46" t="n"/>
      <c r="B577" s="54" t="n"/>
      <c r="C577" s="46" t="n"/>
      <c r="D577" s="46" t="n"/>
      <c r="E577" s="55" t="n"/>
      <c r="F577" s="46" t="n"/>
      <c r="G577" s="46" t="n"/>
      <c r="H577" s="46" t="n"/>
      <c r="I577" s="46" t="n"/>
      <c r="J577" s="46" t="n"/>
      <c r="K577" s="46" t="n"/>
      <c r="L577" s="46" t="n"/>
      <c r="M577" s="51" t="str">
        <f>IF(NOT(ISNUMBER($E577)),"",IF($C577="Receipt",$E577,IF($C577="Shipment",-$E577,IF($C577="Adjustment",$E577,0))))</f>
        <v/>
      </c>
      <c r="N577" s="49" t="str">
        <f>IF($D577="","",IFERROR(INDEX(Products!$B$2:$B$101,MATCH($D577,Products!$A$2:$A$101,0))&amp;"","(not found)"))</f>
        <v/>
      </c>
      <c r="O577" s="49" t="str">
        <f>IF($F577="","",IFERROR(INDEX(Batches!$B$2:$B$301,MATCH($F577,Batches!$A$2:$A$301,0))&amp;"","(not found)"))</f>
        <v/>
      </c>
      <c r="P577" s="49" t="str">
        <f>IF(COUNTA($A577:$L577)=0,"",IF($A577="","Missing: entry ID",IF(COUNTIF($A$2:$A$2001,$A577)&gt;1,"Duplicate entry ID",IF(NOT(ISNUMBER($B577)),"Missing or invalid: date",IF($C577="","Missing: type",IF($D577="","Missing: SKU",IF(NOT(ISNUMBER($E577)),"Missing: qty",IF($F577="","Missing: lot",IF($I577="","Missing: source link",IF(COUNTIF(Config!$A$15:$A$34,$C577)=0,"Unsupported type",IF(COUNTIF(Products!$A$2:$A$101,$D577)=0,"Unknown SKU",IF(COUNTIFS(Batches!$A$2:$A$301,$F577,Batches!$B$2:$B$301,$D577)=0,"Unknown lot for this SKU",IF(AND($C577="Adjustment",$G577=""),"Missing: reason",IF(AND($G577&lt;&gt;"",COUNTIF(Config!$B$15:$B$34,$G577)=0),"Unsupported reason",IF(OR(INT($E577)&lt;&gt;$E577,AND(OR($C577="Receipt",$C577="Shipment"),$E577&lt;=0),AND($C577="Adjustment",$E577=0)),"Invalid qty",IF($B577&gt;Config!$B$4,"Date after the as-of date",IF($B577&lt;Config!$B$5,"Date before the opening balance date","OK")))))))))))))))))</f>
        <v/>
      </c>
    </row>
    <row r="578">
      <c r="A578" s="46" t="n"/>
      <c r="B578" s="54" t="n"/>
      <c r="C578" s="46" t="n"/>
      <c r="D578" s="46" t="n"/>
      <c r="E578" s="55" t="n"/>
      <c r="F578" s="46" t="n"/>
      <c r="G578" s="46" t="n"/>
      <c r="H578" s="46" t="n"/>
      <c r="I578" s="46" t="n"/>
      <c r="J578" s="46" t="n"/>
      <c r="K578" s="46" t="n"/>
      <c r="L578" s="46" t="n"/>
      <c r="M578" s="51" t="str">
        <f>IF(NOT(ISNUMBER($E578)),"",IF($C578="Receipt",$E578,IF($C578="Shipment",-$E578,IF($C578="Adjustment",$E578,0))))</f>
        <v/>
      </c>
      <c r="N578" s="49" t="str">
        <f>IF($D578="","",IFERROR(INDEX(Products!$B$2:$B$101,MATCH($D578,Products!$A$2:$A$101,0))&amp;"","(not found)"))</f>
        <v/>
      </c>
      <c r="O578" s="49" t="str">
        <f>IF($F578="","",IFERROR(INDEX(Batches!$B$2:$B$301,MATCH($F578,Batches!$A$2:$A$301,0))&amp;"","(not found)"))</f>
        <v/>
      </c>
      <c r="P578" s="49" t="str">
        <f>IF(COUNTA($A578:$L578)=0,"",IF($A578="","Missing: entry ID",IF(COUNTIF($A$2:$A$2001,$A578)&gt;1,"Duplicate entry ID",IF(NOT(ISNUMBER($B578)),"Missing or invalid: date",IF($C578="","Missing: type",IF($D578="","Missing: SKU",IF(NOT(ISNUMBER($E578)),"Missing: qty",IF($F578="","Missing: lot",IF($I578="","Missing: source link",IF(COUNTIF(Config!$A$15:$A$34,$C578)=0,"Unsupported type",IF(COUNTIF(Products!$A$2:$A$101,$D578)=0,"Unknown SKU",IF(COUNTIFS(Batches!$A$2:$A$301,$F578,Batches!$B$2:$B$301,$D578)=0,"Unknown lot for this SKU",IF(AND($C578="Adjustment",$G578=""),"Missing: reason",IF(AND($G578&lt;&gt;"",COUNTIF(Config!$B$15:$B$34,$G578)=0),"Unsupported reason",IF(OR(INT($E578)&lt;&gt;$E578,AND(OR($C578="Receipt",$C578="Shipment"),$E578&lt;=0),AND($C578="Adjustment",$E578=0)),"Invalid qty",IF($B578&gt;Config!$B$4,"Date after the as-of date",IF($B578&lt;Config!$B$5,"Date before the opening balance date","OK")))))))))))))))))</f>
        <v/>
      </c>
    </row>
    <row r="579">
      <c r="A579" s="46" t="n"/>
      <c r="B579" s="54" t="n"/>
      <c r="C579" s="46" t="n"/>
      <c r="D579" s="46" t="n"/>
      <c r="E579" s="55" t="n"/>
      <c r="F579" s="46" t="n"/>
      <c r="G579" s="46" t="n"/>
      <c r="H579" s="46" t="n"/>
      <c r="I579" s="46" t="n"/>
      <c r="J579" s="46" t="n"/>
      <c r="K579" s="46" t="n"/>
      <c r="L579" s="46" t="n"/>
      <c r="M579" s="51" t="str">
        <f>IF(NOT(ISNUMBER($E579)),"",IF($C579="Receipt",$E579,IF($C579="Shipment",-$E579,IF($C579="Adjustment",$E579,0))))</f>
        <v/>
      </c>
      <c r="N579" s="49" t="str">
        <f>IF($D579="","",IFERROR(INDEX(Products!$B$2:$B$101,MATCH($D579,Products!$A$2:$A$101,0))&amp;"","(not found)"))</f>
        <v/>
      </c>
      <c r="O579" s="49" t="str">
        <f>IF($F579="","",IFERROR(INDEX(Batches!$B$2:$B$301,MATCH($F579,Batches!$A$2:$A$301,0))&amp;"","(not found)"))</f>
        <v/>
      </c>
      <c r="P579" s="49" t="str">
        <f>IF(COUNTA($A579:$L579)=0,"",IF($A579="","Missing: entry ID",IF(COUNTIF($A$2:$A$2001,$A579)&gt;1,"Duplicate entry ID",IF(NOT(ISNUMBER($B579)),"Missing or invalid: date",IF($C579="","Missing: type",IF($D579="","Missing: SKU",IF(NOT(ISNUMBER($E579)),"Missing: qty",IF($F579="","Missing: lot",IF($I579="","Missing: source link",IF(COUNTIF(Config!$A$15:$A$34,$C579)=0,"Unsupported type",IF(COUNTIF(Products!$A$2:$A$101,$D579)=0,"Unknown SKU",IF(COUNTIFS(Batches!$A$2:$A$301,$F579,Batches!$B$2:$B$301,$D579)=0,"Unknown lot for this SKU",IF(AND($C579="Adjustment",$G579=""),"Missing: reason",IF(AND($G579&lt;&gt;"",COUNTIF(Config!$B$15:$B$34,$G579)=0),"Unsupported reason",IF(OR(INT($E579)&lt;&gt;$E579,AND(OR($C579="Receipt",$C579="Shipment"),$E579&lt;=0),AND($C579="Adjustment",$E579=0)),"Invalid qty",IF($B579&gt;Config!$B$4,"Date after the as-of date",IF($B579&lt;Config!$B$5,"Date before the opening balance date","OK")))))))))))))))))</f>
        <v/>
      </c>
    </row>
    <row r="580">
      <c r="A580" s="46" t="n"/>
      <c r="B580" s="54" t="n"/>
      <c r="C580" s="46" t="n"/>
      <c r="D580" s="46" t="n"/>
      <c r="E580" s="55" t="n"/>
      <c r="F580" s="46" t="n"/>
      <c r="G580" s="46" t="n"/>
      <c r="H580" s="46" t="n"/>
      <c r="I580" s="46" t="n"/>
      <c r="J580" s="46" t="n"/>
      <c r="K580" s="46" t="n"/>
      <c r="L580" s="46" t="n"/>
      <c r="M580" s="51" t="str">
        <f>IF(NOT(ISNUMBER($E580)),"",IF($C580="Receipt",$E580,IF($C580="Shipment",-$E580,IF($C580="Adjustment",$E580,0))))</f>
        <v/>
      </c>
      <c r="N580" s="49" t="str">
        <f>IF($D580="","",IFERROR(INDEX(Products!$B$2:$B$101,MATCH($D580,Products!$A$2:$A$101,0))&amp;"","(not found)"))</f>
        <v/>
      </c>
      <c r="O580" s="49" t="str">
        <f>IF($F580="","",IFERROR(INDEX(Batches!$B$2:$B$301,MATCH($F580,Batches!$A$2:$A$301,0))&amp;"","(not found)"))</f>
        <v/>
      </c>
      <c r="P580" s="49" t="str">
        <f>IF(COUNTA($A580:$L580)=0,"",IF($A580="","Missing: entry ID",IF(COUNTIF($A$2:$A$2001,$A580)&gt;1,"Duplicate entry ID",IF(NOT(ISNUMBER($B580)),"Missing or invalid: date",IF($C580="","Missing: type",IF($D580="","Missing: SKU",IF(NOT(ISNUMBER($E580)),"Missing: qty",IF($F580="","Missing: lot",IF($I580="","Missing: source link",IF(COUNTIF(Config!$A$15:$A$34,$C580)=0,"Unsupported type",IF(COUNTIF(Products!$A$2:$A$101,$D580)=0,"Unknown SKU",IF(COUNTIFS(Batches!$A$2:$A$301,$F580,Batches!$B$2:$B$301,$D580)=0,"Unknown lot for this SKU",IF(AND($C580="Adjustment",$G580=""),"Missing: reason",IF(AND($G580&lt;&gt;"",COUNTIF(Config!$B$15:$B$34,$G580)=0),"Unsupported reason",IF(OR(INT($E580)&lt;&gt;$E580,AND(OR($C580="Receipt",$C580="Shipment"),$E580&lt;=0),AND($C580="Adjustment",$E580=0)),"Invalid qty",IF($B580&gt;Config!$B$4,"Date after the as-of date",IF($B580&lt;Config!$B$5,"Date before the opening balance date","OK")))))))))))))))))</f>
        <v/>
      </c>
    </row>
    <row r="581">
      <c r="A581" s="46" t="n"/>
      <c r="B581" s="54" t="n"/>
      <c r="C581" s="46" t="n"/>
      <c r="D581" s="46" t="n"/>
      <c r="E581" s="55" t="n"/>
      <c r="F581" s="46" t="n"/>
      <c r="G581" s="46" t="n"/>
      <c r="H581" s="46" t="n"/>
      <c r="I581" s="46" t="n"/>
      <c r="J581" s="46" t="n"/>
      <c r="K581" s="46" t="n"/>
      <c r="L581" s="46" t="n"/>
      <c r="M581" s="51" t="str">
        <f>IF(NOT(ISNUMBER($E581)),"",IF($C581="Receipt",$E581,IF($C581="Shipment",-$E581,IF($C581="Adjustment",$E581,0))))</f>
        <v/>
      </c>
      <c r="N581" s="49" t="str">
        <f>IF($D581="","",IFERROR(INDEX(Products!$B$2:$B$101,MATCH($D581,Products!$A$2:$A$101,0))&amp;"","(not found)"))</f>
        <v/>
      </c>
      <c r="O581" s="49" t="str">
        <f>IF($F581="","",IFERROR(INDEX(Batches!$B$2:$B$301,MATCH($F581,Batches!$A$2:$A$301,0))&amp;"","(not found)"))</f>
        <v/>
      </c>
      <c r="P581" s="49" t="str">
        <f>IF(COUNTA($A581:$L581)=0,"",IF($A581="","Missing: entry ID",IF(COUNTIF($A$2:$A$2001,$A581)&gt;1,"Duplicate entry ID",IF(NOT(ISNUMBER($B581)),"Missing or invalid: date",IF($C581="","Missing: type",IF($D581="","Missing: SKU",IF(NOT(ISNUMBER($E581)),"Missing: qty",IF($F581="","Missing: lot",IF($I581="","Missing: source link",IF(COUNTIF(Config!$A$15:$A$34,$C581)=0,"Unsupported type",IF(COUNTIF(Products!$A$2:$A$101,$D581)=0,"Unknown SKU",IF(COUNTIFS(Batches!$A$2:$A$301,$F581,Batches!$B$2:$B$301,$D581)=0,"Unknown lot for this SKU",IF(AND($C581="Adjustment",$G581=""),"Missing: reason",IF(AND($G581&lt;&gt;"",COUNTIF(Config!$B$15:$B$34,$G581)=0),"Unsupported reason",IF(OR(INT($E581)&lt;&gt;$E581,AND(OR($C581="Receipt",$C581="Shipment"),$E581&lt;=0),AND($C581="Adjustment",$E581=0)),"Invalid qty",IF($B581&gt;Config!$B$4,"Date after the as-of date",IF($B581&lt;Config!$B$5,"Date before the opening balance date","OK")))))))))))))))))</f>
        <v/>
      </c>
    </row>
    <row r="582">
      <c r="A582" s="46" t="n"/>
      <c r="B582" s="54" t="n"/>
      <c r="C582" s="46" t="n"/>
      <c r="D582" s="46" t="n"/>
      <c r="E582" s="55" t="n"/>
      <c r="F582" s="46" t="n"/>
      <c r="G582" s="46" t="n"/>
      <c r="H582" s="46" t="n"/>
      <c r="I582" s="46" t="n"/>
      <c r="J582" s="46" t="n"/>
      <c r="K582" s="46" t="n"/>
      <c r="L582" s="46" t="n"/>
      <c r="M582" s="51" t="str">
        <f>IF(NOT(ISNUMBER($E582)),"",IF($C582="Receipt",$E582,IF($C582="Shipment",-$E582,IF($C582="Adjustment",$E582,0))))</f>
        <v/>
      </c>
      <c r="N582" s="49" t="str">
        <f>IF($D582="","",IFERROR(INDEX(Products!$B$2:$B$101,MATCH($D582,Products!$A$2:$A$101,0))&amp;"","(not found)"))</f>
        <v/>
      </c>
      <c r="O582" s="49" t="str">
        <f>IF($F582="","",IFERROR(INDEX(Batches!$B$2:$B$301,MATCH($F582,Batches!$A$2:$A$301,0))&amp;"","(not found)"))</f>
        <v/>
      </c>
      <c r="P582" s="49" t="str">
        <f>IF(COUNTA($A582:$L582)=0,"",IF($A582="","Missing: entry ID",IF(COUNTIF($A$2:$A$2001,$A582)&gt;1,"Duplicate entry ID",IF(NOT(ISNUMBER($B582)),"Missing or invalid: date",IF($C582="","Missing: type",IF($D582="","Missing: SKU",IF(NOT(ISNUMBER($E582)),"Missing: qty",IF($F582="","Missing: lot",IF($I582="","Missing: source link",IF(COUNTIF(Config!$A$15:$A$34,$C582)=0,"Unsupported type",IF(COUNTIF(Products!$A$2:$A$101,$D582)=0,"Unknown SKU",IF(COUNTIFS(Batches!$A$2:$A$301,$F582,Batches!$B$2:$B$301,$D582)=0,"Unknown lot for this SKU",IF(AND($C582="Adjustment",$G582=""),"Missing: reason",IF(AND($G582&lt;&gt;"",COUNTIF(Config!$B$15:$B$34,$G582)=0),"Unsupported reason",IF(OR(INT($E582)&lt;&gt;$E582,AND(OR($C582="Receipt",$C582="Shipment"),$E582&lt;=0),AND($C582="Adjustment",$E582=0)),"Invalid qty",IF($B582&gt;Config!$B$4,"Date after the as-of date",IF($B582&lt;Config!$B$5,"Date before the opening balance date","OK")))))))))))))))))</f>
        <v/>
      </c>
    </row>
    <row r="583">
      <c r="A583" s="46" t="n"/>
      <c r="B583" s="54" t="n"/>
      <c r="C583" s="46" t="n"/>
      <c r="D583" s="46" t="n"/>
      <c r="E583" s="55" t="n"/>
      <c r="F583" s="46" t="n"/>
      <c r="G583" s="46" t="n"/>
      <c r="H583" s="46" t="n"/>
      <c r="I583" s="46" t="n"/>
      <c r="J583" s="46" t="n"/>
      <c r="K583" s="46" t="n"/>
      <c r="L583" s="46" t="n"/>
      <c r="M583" s="51" t="str">
        <f>IF(NOT(ISNUMBER($E583)),"",IF($C583="Receipt",$E583,IF($C583="Shipment",-$E583,IF($C583="Adjustment",$E583,0))))</f>
        <v/>
      </c>
      <c r="N583" s="49" t="str">
        <f>IF($D583="","",IFERROR(INDEX(Products!$B$2:$B$101,MATCH($D583,Products!$A$2:$A$101,0))&amp;"","(not found)"))</f>
        <v/>
      </c>
      <c r="O583" s="49" t="str">
        <f>IF($F583="","",IFERROR(INDEX(Batches!$B$2:$B$301,MATCH($F583,Batches!$A$2:$A$301,0))&amp;"","(not found)"))</f>
        <v/>
      </c>
      <c r="P583" s="49" t="str">
        <f>IF(COUNTA($A583:$L583)=0,"",IF($A583="","Missing: entry ID",IF(COUNTIF($A$2:$A$2001,$A583)&gt;1,"Duplicate entry ID",IF(NOT(ISNUMBER($B583)),"Missing or invalid: date",IF($C583="","Missing: type",IF($D583="","Missing: SKU",IF(NOT(ISNUMBER($E583)),"Missing: qty",IF($F583="","Missing: lot",IF($I583="","Missing: source link",IF(COUNTIF(Config!$A$15:$A$34,$C583)=0,"Unsupported type",IF(COUNTIF(Products!$A$2:$A$101,$D583)=0,"Unknown SKU",IF(COUNTIFS(Batches!$A$2:$A$301,$F583,Batches!$B$2:$B$301,$D583)=0,"Unknown lot for this SKU",IF(AND($C583="Adjustment",$G583=""),"Missing: reason",IF(AND($G583&lt;&gt;"",COUNTIF(Config!$B$15:$B$34,$G583)=0),"Unsupported reason",IF(OR(INT($E583)&lt;&gt;$E583,AND(OR($C583="Receipt",$C583="Shipment"),$E583&lt;=0),AND($C583="Adjustment",$E583=0)),"Invalid qty",IF($B583&gt;Config!$B$4,"Date after the as-of date",IF($B583&lt;Config!$B$5,"Date before the opening balance date","OK")))))))))))))))))</f>
        <v/>
      </c>
    </row>
    <row r="584">
      <c r="A584" s="46" t="n"/>
      <c r="B584" s="54" t="n"/>
      <c r="C584" s="46" t="n"/>
      <c r="D584" s="46" t="n"/>
      <c r="E584" s="55" t="n"/>
      <c r="F584" s="46" t="n"/>
      <c r="G584" s="46" t="n"/>
      <c r="H584" s="46" t="n"/>
      <c r="I584" s="46" t="n"/>
      <c r="J584" s="46" t="n"/>
      <c r="K584" s="46" t="n"/>
      <c r="L584" s="46" t="n"/>
      <c r="M584" s="51" t="str">
        <f>IF(NOT(ISNUMBER($E584)),"",IF($C584="Receipt",$E584,IF($C584="Shipment",-$E584,IF($C584="Adjustment",$E584,0))))</f>
        <v/>
      </c>
      <c r="N584" s="49" t="str">
        <f>IF($D584="","",IFERROR(INDEX(Products!$B$2:$B$101,MATCH($D584,Products!$A$2:$A$101,0))&amp;"","(not found)"))</f>
        <v/>
      </c>
      <c r="O584" s="49" t="str">
        <f>IF($F584="","",IFERROR(INDEX(Batches!$B$2:$B$301,MATCH($F584,Batches!$A$2:$A$301,0))&amp;"","(not found)"))</f>
        <v/>
      </c>
      <c r="P584" s="49" t="str">
        <f>IF(COUNTA($A584:$L584)=0,"",IF($A584="","Missing: entry ID",IF(COUNTIF($A$2:$A$2001,$A584)&gt;1,"Duplicate entry ID",IF(NOT(ISNUMBER($B584)),"Missing or invalid: date",IF($C584="","Missing: type",IF($D584="","Missing: SKU",IF(NOT(ISNUMBER($E584)),"Missing: qty",IF($F584="","Missing: lot",IF($I584="","Missing: source link",IF(COUNTIF(Config!$A$15:$A$34,$C584)=0,"Unsupported type",IF(COUNTIF(Products!$A$2:$A$101,$D584)=0,"Unknown SKU",IF(COUNTIFS(Batches!$A$2:$A$301,$F584,Batches!$B$2:$B$301,$D584)=0,"Unknown lot for this SKU",IF(AND($C584="Adjustment",$G584=""),"Missing: reason",IF(AND($G584&lt;&gt;"",COUNTIF(Config!$B$15:$B$34,$G584)=0),"Unsupported reason",IF(OR(INT($E584)&lt;&gt;$E584,AND(OR($C584="Receipt",$C584="Shipment"),$E584&lt;=0),AND($C584="Adjustment",$E584=0)),"Invalid qty",IF($B584&gt;Config!$B$4,"Date after the as-of date",IF($B584&lt;Config!$B$5,"Date before the opening balance date","OK")))))))))))))))))</f>
        <v/>
      </c>
    </row>
    <row r="585">
      <c r="A585" s="46" t="n"/>
      <c r="B585" s="54" t="n"/>
      <c r="C585" s="46" t="n"/>
      <c r="D585" s="46" t="n"/>
      <c r="E585" s="55" t="n"/>
      <c r="F585" s="46" t="n"/>
      <c r="G585" s="46" t="n"/>
      <c r="H585" s="46" t="n"/>
      <c r="I585" s="46" t="n"/>
      <c r="J585" s="46" t="n"/>
      <c r="K585" s="46" t="n"/>
      <c r="L585" s="46" t="n"/>
      <c r="M585" s="51" t="str">
        <f>IF(NOT(ISNUMBER($E585)),"",IF($C585="Receipt",$E585,IF($C585="Shipment",-$E585,IF($C585="Adjustment",$E585,0))))</f>
        <v/>
      </c>
      <c r="N585" s="49" t="str">
        <f>IF($D585="","",IFERROR(INDEX(Products!$B$2:$B$101,MATCH($D585,Products!$A$2:$A$101,0))&amp;"","(not found)"))</f>
        <v/>
      </c>
      <c r="O585" s="49" t="str">
        <f>IF($F585="","",IFERROR(INDEX(Batches!$B$2:$B$301,MATCH($F585,Batches!$A$2:$A$301,0))&amp;"","(not found)"))</f>
        <v/>
      </c>
      <c r="P585" s="49" t="str">
        <f>IF(COUNTA($A585:$L585)=0,"",IF($A585="","Missing: entry ID",IF(COUNTIF($A$2:$A$2001,$A585)&gt;1,"Duplicate entry ID",IF(NOT(ISNUMBER($B585)),"Missing or invalid: date",IF($C585="","Missing: type",IF($D585="","Missing: SKU",IF(NOT(ISNUMBER($E585)),"Missing: qty",IF($F585="","Missing: lot",IF($I585="","Missing: source link",IF(COUNTIF(Config!$A$15:$A$34,$C585)=0,"Unsupported type",IF(COUNTIF(Products!$A$2:$A$101,$D585)=0,"Unknown SKU",IF(COUNTIFS(Batches!$A$2:$A$301,$F585,Batches!$B$2:$B$301,$D585)=0,"Unknown lot for this SKU",IF(AND($C585="Adjustment",$G585=""),"Missing: reason",IF(AND($G585&lt;&gt;"",COUNTIF(Config!$B$15:$B$34,$G585)=0),"Unsupported reason",IF(OR(INT($E585)&lt;&gt;$E585,AND(OR($C585="Receipt",$C585="Shipment"),$E585&lt;=0),AND($C585="Adjustment",$E585=0)),"Invalid qty",IF($B585&gt;Config!$B$4,"Date after the as-of date",IF($B585&lt;Config!$B$5,"Date before the opening balance date","OK")))))))))))))))))</f>
        <v/>
      </c>
    </row>
    <row r="586">
      <c r="A586" s="46" t="n"/>
      <c r="B586" s="54" t="n"/>
      <c r="C586" s="46" t="n"/>
      <c r="D586" s="46" t="n"/>
      <c r="E586" s="55" t="n"/>
      <c r="F586" s="46" t="n"/>
      <c r="G586" s="46" t="n"/>
      <c r="H586" s="46" t="n"/>
      <c r="I586" s="46" t="n"/>
      <c r="J586" s="46" t="n"/>
      <c r="K586" s="46" t="n"/>
      <c r="L586" s="46" t="n"/>
      <c r="M586" s="51" t="str">
        <f>IF(NOT(ISNUMBER($E586)),"",IF($C586="Receipt",$E586,IF($C586="Shipment",-$E586,IF($C586="Adjustment",$E586,0))))</f>
        <v/>
      </c>
      <c r="N586" s="49" t="str">
        <f>IF($D586="","",IFERROR(INDEX(Products!$B$2:$B$101,MATCH($D586,Products!$A$2:$A$101,0))&amp;"","(not found)"))</f>
        <v/>
      </c>
      <c r="O586" s="49" t="str">
        <f>IF($F586="","",IFERROR(INDEX(Batches!$B$2:$B$301,MATCH($F586,Batches!$A$2:$A$301,0))&amp;"","(not found)"))</f>
        <v/>
      </c>
      <c r="P586" s="49" t="str">
        <f>IF(COUNTA($A586:$L586)=0,"",IF($A586="","Missing: entry ID",IF(COUNTIF($A$2:$A$2001,$A586)&gt;1,"Duplicate entry ID",IF(NOT(ISNUMBER($B586)),"Missing or invalid: date",IF($C586="","Missing: type",IF($D586="","Missing: SKU",IF(NOT(ISNUMBER($E586)),"Missing: qty",IF($F586="","Missing: lot",IF($I586="","Missing: source link",IF(COUNTIF(Config!$A$15:$A$34,$C586)=0,"Unsupported type",IF(COUNTIF(Products!$A$2:$A$101,$D586)=0,"Unknown SKU",IF(COUNTIFS(Batches!$A$2:$A$301,$F586,Batches!$B$2:$B$301,$D586)=0,"Unknown lot for this SKU",IF(AND($C586="Adjustment",$G586=""),"Missing: reason",IF(AND($G586&lt;&gt;"",COUNTIF(Config!$B$15:$B$34,$G586)=0),"Unsupported reason",IF(OR(INT($E586)&lt;&gt;$E586,AND(OR($C586="Receipt",$C586="Shipment"),$E586&lt;=0),AND($C586="Adjustment",$E586=0)),"Invalid qty",IF($B586&gt;Config!$B$4,"Date after the as-of date",IF($B586&lt;Config!$B$5,"Date before the opening balance date","OK")))))))))))))))))</f>
        <v/>
      </c>
    </row>
    <row r="587">
      <c r="A587" s="46" t="n"/>
      <c r="B587" s="54" t="n"/>
      <c r="C587" s="46" t="n"/>
      <c r="D587" s="46" t="n"/>
      <c r="E587" s="55" t="n"/>
      <c r="F587" s="46" t="n"/>
      <c r="G587" s="46" t="n"/>
      <c r="H587" s="46" t="n"/>
      <c r="I587" s="46" t="n"/>
      <c r="J587" s="46" t="n"/>
      <c r="K587" s="46" t="n"/>
      <c r="L587" s="46" t="n"/>
      <c r="M587" s="51" t="str">
        <f>IF(NOT(ISNUMBER($E587)),"",IF($C587="Receipt",$E587,IF($C587="Shipment",-$E587,IF($C587="Adjustment",$E587,0))))</f>
        <v/>
      </c>
      <c r="N587" s="49" t="str">
        <f>IF($D587="","",IFERROR(INDEX(Products!$B$2:$B$101,MATCH($D587,Products!$A$2:$A$101,0))&amp;"","(not found)"))</f>
        <v/>
      </c>
      <c r="O587" s="49" t="str">
        <f>IF($F587="","",IFERROR(INDEX(Batches!$B$2:$B$301,MATCH($F587,Batches!$A$2:$A$301,0))&amp;"","(not found)"))</f>
        <v/>
      </c>
      <c r="P587" s="49" t="str">
        <f>IF(COUNTA($A587:$L587)=0,"",IF($A587="","Missing: entry ID",IF(COUNTIF($A$2:$A$2001,$A587)&gt;1,"Duplicate entry ID",IF(NOT(ISNUMBER($B587)),"Missing or invalid: date",IF($C587="","Missing: type",IF($D587="","Missing: SKU",IF(NOT(ISNUMBER($E587)),"Missing: qty",IF($F587="","Missing: lot",IF($I587="","Missing: source link",IF(COUNTIF(Config!$A$15:$A$34,$C587)=0,"Unsupported type",IF(COUNTIF(Products!$A$2:$A$101,$D587)=0,"Unknown SKU",IF(COUNTIFS(Batches!$A$2:$A$301,$F587,Batches!$B$2:$B$301,$D587)=0,"Unknown lot for this SKU",IF(AND($C587="Adjustment",$G587=""),"Missing: reason",IF(AND($G587&lt;&gt;"",COUNTIF(Config!$B$15:$B$34,$G587)=0),"Unsupported reason",IF(OR(INT($E587)&lt;&gt;$E587,AND(OR($C587="Receipt",$C587="Shipment"),$E587&lt;=0),AND($C587="Adjustment",$E587=0)),"Invalid qty",IF($B587&gt;Config!$B$4,"Date after the as-of date",IF($B587&lt;Config!$B$5,"Date before the opening balance date","OK")))))))))))))))))</f>
        <v/>
      </c>
    </row>
    <row r="588">
      <c r="A588" s="46" t="n"/>
      <c r="B588" s="54" t="n"/>
      <c r="C588" s="46" t="n"/>
      <c r="D588" s="46" t="n"/>
      <c r="E588" s="55" t="n"/>
      <c r="F588" s="46" t="n"/>
      <c r="G588" s="46" t="n"/>
      <c r="H588" s="46" t="n"/>
      <c r="I588" s="46" t="n"/>
      <c r="J588" s="46" t="n"/>
      <c r="K588" s="46" t="n"/>
      <c r="L588" s="46" t="n"/>
      <c r="M588" s="51" t="str">
        <f>IF(NOT(ISNUMBER($E588)),"",IF($C588="Receipt",$E588,IF($C588="Shipment",-$E588,IF($C588="Adjustment",$E588,0))))</f>
        <v/>
      </c>
      <c r="N588" s="49" t="str">
        <f>IF($D588="","",IFERROR(INDEX(Products!$B$2:$B$101,MATCH($D588,Products!$A$2:$A$101,0))&amp;"","(not found)"))</f>
        <v/>
      </c>
      <c r="O588" s="49" t="str">
        <f>IF($F588="","",IFERROR(INDEX(Batches!$B$2:$B$301,MATCH($F588,Batches!$A$2:$A$301,0))&amp;"","(not found)"))</f>
        <v/>
      </c>
      <c r="P588" s="49" t="str">
        <f>IF(COUNTA($A588:$L588)=0,"",IF($A588="","Missing: entry ID",IF(COUNTIF($A$2:$A$2001,$A588)&gt;1,"Duplicate entry ID",IF(NOT(ISNUMBER($B588)),"Missing or invalid: date",IF($C588="","Missing: type",IF($D588="","Missing: SKU",IF(NOT(ISNUMBER($E588)),"Missing: qty",IF($F588="","Missing: lot",IF($I588="","Missing: source link",IF(COUNTIF(Config!$A$15:$A$34,$C588)=0,"Unsupported type",IF(COUNTIF(Products!$A$2:$A$101,$D588)=0,"Unknown SKU",IF(COUNTIFS(Batches!$A$2:$A$301,$F588,Batches!$B$2:$B$301,$D588)=0,"Unknown lot for this SKU",IF(AND($C588="Adjustment",$G588=""),"Missing: reason",IF(AND($G588&lt;&gt;"",COUNTIF(Config!$B$15:$B$34,$G588)=0),"Unsupported reason",IF(OR(INT($E588)&lt;&gt;$E588,AND(OR($C588="Receipt",$C588="Shipment"),$E588&lt;=0),AND($C588="Adjustment",$E588=0)),"Invalid qty",IF($B588&gt;Config!$B$4,"Date after the as-of date",IF($B588&lt;Config!$B$5,"Date before the opening balance date","OK")))))))))))))))))</f>
        <v/>
      </c>
    </row>
    <row r="589">
      <c r="A589" s="46" t="n"/>
      <c r="B589" s="54" t="n"/>
      <c r="C589" s="46" t="n"/>
      <c r="D589" s="46" t="n"/>
      <c r="E589" s="55" t="n"/>
      <c r="F589" s="46" t="n"/>
      <c r="G589" s="46" t="n"/>
      <c r="H589" s="46" t="n"/>
      <c r="I589" s="46" t="n"/>
      <c r="J589" s="46" t="n"/>
      <c r="K589" s="46" t="n"/>
      <c r="L589" s="46" t="n"/>
      <c r="M589" s="51" t="str">
        <f>IF(NOT(ISNUMBER($E589)),"",IF($C589="Receipt",$E589,IF($C589="Shipment",-$E589,IF($C589="Adjustment",$E589,0))))</f>
        <v/>
      </c>
      <c r="N589" s="49" t="str">
        <f>IF($D589="","",IFERROR(INDEX(Products!$B$2:$B$101,MATCH($D589,Products!$A$2:$A$101,0))&amp;"","(not found)"))</f>
        <v/>
      </c>
      <c r="O589" s="49" t="str">
        <f>IF($F589="","",IFERROR(INDEX(Batches!$B$2:$B$301,MATCH($F589,Batches!$A$2:$A$301,0))&amp;"","(not found)"))</f>
        <v/>
      </c>
      <c r="P589" s="49" t="str">
        <f>IF(COUNTA($A589:$L589)=0,"",IF($A589="","Missing: entry ID",IF(COUNTIF($A$2:$A$2001,$A589)&gt;1,"Duplicate entry ID",IF(NOT(ISNUMBER($B589)),"Missing or invalid: date",IF($C589="","Missing: type",IF($D589="","Missing: SKU",IF(NOT(ISNUMBER($E589)),"Missing: qty",IF($F589="","Missing: lot",IF($I589="","Missing: source link",IF(COUNTIF(Config!$A$15:$A$34,$C589)=0,"Unsupported type",IF(COUNTIF(Products!$A$2:$A$101,$D589)=0,"Unknown SKU",IF(COUNTIFS(Batches!$A$2:$A$301,$F589,Batches!$B$2:$B$301,$D589)=0,"Unknown lot for this SKU",IF(AND($C589="Adjustment",$G589=""),"Missing: reason",IF(AND($G589&lt;&gt;"",COUNTIF(Config!$B$15:$B$34,$G589)=0),"Unsupported reason",IF(OR(INT($E589)&lt;&gt;$E589,AND(OR($C589="Receipt",$C589="Shipment"),$E589&lt;=0),AND($C589="Adjustment",$E589=0)),"Invalid qty",IF($B589&gt;Config!$B$4,"Date after the as-of date",IF($B589&lt;Config!$B$5,"Date before the opening balance date","OK")))))))))))))))))</f>
        <v/>
      </c>
    </row>
    <row r="590">
      <c r="A590" s="46" t="n"/>
      <c r="B590" s="54" t="n"/>
      <c r="C590" s="46" t="n"/>
      <c r="D590" s="46" t="n"/>
      <c r="E590" s="55" t="n"/>
      <c r="F590" s="46" t="n"/>
      <c r="G590" s="46" t="n"/>
      <c r="H590" s="46" t="n"/>
      <c r="I590" s="46" t="n"/>
      <c r="J590" s="46" t="n"/>
      <c r="K590" s="46" t="n"/>
      <c r="L590" s="46" t="n"/>
      <c r="M590" s="51" t="str">
        <f>IF(NOT(ISNUMBER($E590)),"",IF($C590="Receipt",$E590,IF($C590="Shipment",-$E590,IF($C590="Adjustment",$E590,0))))</f>
        <v/>
      </c>
      <c r="N590" s="49" t="str">
        <f>IF($D590="","",IFERROR(INDEX(Products!$B$2:$B$101,MATCH($D590,Products!$A$2:$A$101,0))&amp;"","(not found)"))</f>
        <v/>
      </c>
      <c r="O590" s="49" t="str">
        <f>IF($F590="","",IFERROR(INDEX(Batches!$B$2:$B$301,MATCH($F590,Batches!$A$2:$A$301,0))&amp;"","(not found)"))</f>
        <v/>
      </c>
      <c r="P590" s="49" t="str">
        <f>IF(COUNTA($A590:$L590)=0,"",IF($A590="","Missing: entry ID",IF(COUNTIF($A$2:$A$2001,$A590)&gt;1,"Duplicate entry ID",IF(NOT(ISNUMBER($B590)),"Missing or invalid: date",IF($C590="","Missing: type",IF($D590="","Missing: SKU",IF(NOT(ISNUMBER($E590)),"Missing: qty",IF($F590="","Missing: lot",IF($I590="","Missing: source link",IF(COUNTIF(Config!$A$15:$A$34,$C590)=0,"Unsupported type",IF(COUNTIF(Products!$A$2:$A$101,$D590)=0,"Unknown SKU",IF(COUNTIFS(Batches!$A$2:$A$301,$F590,Batches!$B$2:$B$301,$D590)=0,"Unknown lot for this SKU",IF(AND($C590="Adjustment",$G590=""),"Missing: reason",IF(AND($G590&lt;&gt;"",COUNTIF(Config!$B$15:$B$34,$G590)=0),"Unsupported reason",IF(OR(INT($E590)&lt;&gt;$E590,AND(OR($C590="Receipt",$C590="Shipment"),$E590&lt;=0),AND($C590="Adjustment",$E590=0)),"Invalid qty",IF($B590&gt;Config!$B$4,"Date after the as-of date",IF($B590&lt;Config!$B$5,"Date before the opening balance date","OK")))))))))))))))))</f>
        <v/>
      </c>
    </row>
    <row r="591">
      <c r="A591" s="46" t="n"/>
      <c r="B591" s="54" t="n"/>
      <c r="C591" s="46" t="n"/>
      <c r="D591" s="46" t="n"/>
      <c r="E591" s="55" t="n"/>
      <c r="F591" s="46" t="n"/>
      <c r="G591" s="46" t="n"/>
      <c r="H591" s="46" t="n"/>
      <c r="I591" s="46" t="n"/>
      <c r="J591" s="46" t="n"/>
      <c r="K591" s="46" t="n"/>
      <c r="L591" s="46" t="n"/>
      <c r="M591" s="51" t="str">
        <f>IF(NOT(ISNUMBER($E591)),"",IF($C591="Receipt",$E591,IF($C591="Shipment",-$E591,IF($C591="Adjustment",$E591,0))))</f>
        <v/>
      </c>
      <c r="N591" s="49" t="str">
        <f>IF($D591="","",IFERROR(INDEX(Products!$B$2:$B$101,MATCH($D591,Products!$A$2:$A$101,0))&amp;"","(not found)"))</f>
        <v/>
      </c>
      <c r="O591" s="49" t="str">
        <f>IF($F591="","",IFERROR(INDEX(Batches!$B$2:$B$301,MATCH($F591,Batches!$A$2:$A$301,0))&amp;"","(not found)"))</f>
        <v/>
      </c>
      <c r="P591" s="49" t="str">
        <f>IF(COUNTA($A591:$L591)=0,"",IF($A591="","Missing: entry ID",IF(COUNTIF($A$2:$A$2001,$A591)&gt;1,"Duplicate entry ID",IF(NOT(ISNUMBER($B591)),"Missing or invalid: date",IF($C591="","Missing: type",IF($D591="","Missing: SKU",IF(NOT(ISNUMBER($E591)),"Missing: qty",IF($F591="","Missing: lot",IF($I591="","Missing: source link",IF(COUNTIF(Config!$A$15:$A$34,$C591)=0,"Unsupported type",IF(COUNTIF(Products!$A$2:$A$101,$D591)=0,"Unknown SKU",IF(COUNTIFS(Batches!$A$2:$A$301,$F591,Batches!$B$2:$B$301,$D591)=0,"Unknown lot for this SKU",IF(AND($C591="Adjustment",$G591=""),"Missing: reason",IF(AND($G591&lt;&gt;"",COUNTIF(Config!$B$15:$B$34,$G591)=0),"Unsupported reason",IF(OR(INT($E591)&lt;&gt;$E591,AND(OR($C591="Receipt",$C591="Shipment"),$E591&lt;=0),AND($C591="Adjustment",$E591=0)),"Invalid qty",IF($B591&gt;Config!$B$4,"Date after the as-of date",IF($B591&lt;Config!$B$5,"Date before the opening balance date","OK")))))))))))))))))</f>
        <v/>
      </c>
    </row>
    <row r="592">
      <c r="A592" s="46" t="n"/>
      <c r="B592" s="54" t="n"/>
      <c r="C592" s="46" t="n"/>
      <c r="D592" s="46" t="n"/>
      <c r="E592" s="55" t="n"/>
      <c r="F592" s="46" t="n"/>
      <c r="G592" s="46" t="n"/>
      <c r="H592" s="46" t="n"/>
      <c r="I592" s="46" t="n"/>
      <c r="J592" s="46" t="n"/>
      <c r="K592" s="46" t="n"/>
      <c r="L592" s="46" t="n"/>
      <c r="M592" s="51" t="str">
        <f>IF(NOT(ISNUMBER($E592)),"",IF($C592="Receipt",$E592,IF($C592="Shipment",-$E592,IF($C592="Adjustment",$E592,0))))</f>
        <v/>
      </c>
      <c r="N592" s="49" t="str">
        <f>IF($D592="","",IFERROR(INDEX(Products!$B$2:$B$101,MATCH($D592,Products!$A$2:$A$101,0))&amp;"","(not found)"))</f>
        <v/>
      </c>
      <c r="O592" s="49" t="str">
        <f>IF($F592="","",IFERROR(INDEX(Batches!$B$2:$B$301,MATCH($F592,Batches!$A$2:$A$301,0))&amp;"","(not found)"))</f>
        <v/>
      </c>
      <c r="P592" s="49" t="str">
        <f>IF(COUNTA($A592:$L592)=0,"",IF($A592="","Missing: entry ID",IF(COUNTIF($A$2:$A$2001,$A592)&gt;1,"Duplicate entry ID",IF(NOT(ISNUMBER($B592)),"Missing or invalid: date",IF($C592="","Missing: type",IF($D592="","Missing: SKU",IF(NOT(ISNUMBER($E592)),"Missing: qty",IF($F592="","Missing: lot",IF($I592="","Missing: source link",IF(COUNTIF(Config!$A$15:$A$34,$C592)=0,"Unsupported type",IF(COUNTIF(Products!$A$2:$A$101,$D592)=0,"Unknown SKU",IF(COUNTIFS(Batches!$A$2:$A$301,$F592,Batches!$B$2:$B$301,$D592)=0,"Unknown lot for this SKU",IF(AND($C592="Adjustment",$G592=""),"Missing: reason",IF(AND($G592&lt;&gt;"",COUNTIF(Config!$B$15:$B$34,$G592)=0),"Unsupported reason",IF(OR(INT($E592)&lt;&gt;$E592,AND(OR($C592="Receipt",$C592="Shipment"),$E592&lt;=0),AND($C592="Adjustment",$E592=0)),"Invalid qty",IF($B592&gt;Config!$B$4,"Date after the as-of date",IF($B592&lt;Config!$B$5,"Date before the opening balance date","OK")))))))))))))))))</f>
        <v/>
      </c>
    </row>
    <row r="593">
      <c r="A593" s="46" t="n"/>
      <c r="B593" s="54" t="n"/>
      <c r="C593" s="46" t="n"/>
      <c r="D593" s="46" t="n"/>
      <c r="E593" s="55" t="n"/>
      <c r="F593" s="46" t="n"/>
      <c r="G593" s="46" t="n"/>
      <c r="H593" s="46" t="n"/>
      <c r="I593" s="46" t="n"/>
      <c r="J593" s="46" t="n"/>
      <c r="K593" s="46" t="n"/>
      <c r="L593" s="46" t="n"/>
      <c r="M593" s="51" t="str">
        <f>IF(NOT(ISNUMBER($E593)),"",IF($C593="Receipt",$E593,IF($C593="Shipment",-$E593,IF($C593="Adjustment",$E593,0))))</f>
        <v/>
      </c>
      <c r="N593" s="49" t="str">
        <f>IF($D593="","",IFERROR(INDEX(Products!$B$2:$B$101,MATCH($D593,Products!$A$2:$A$101,0))&amp;"","(not found)"))</f>
        <v/>
      </c>
      <c r="O593" s="49" t="str">
        <f>IF($F593="","",IFERROR(INDEX(Batches!$B$2:$B$301,MATCH($F593,Batches!$A$2:$A$301,0))&amp;"","(not found)"))</f>
        <v/>
      </c>
      <c r="P593" s="49" t="str">
        <f>IF(COUNTA($A593:$L593)=0,"",IF($A593="","Missing: entry ID",IF(COUNTIF($A$2:$A$2001,$A593)&gt;1,"Duplicate entry ID",IF(NOT(ISNUMBER($B593)),"Missing or invalid: date",IF($C593="","Missing: type",IF($D593="","Missing: SKU",IF(NOT(ISNUMBER($E593)),"Missing: qty",IF($F593="","Missing: lot",IF($I593="","Missing: source link",IF(COUNTIF(Config!$A$15:$A$34,$C593)=0,"Unsupported type",IF(COUNTIF(Products!$A$2:$A$101,$D593)=0,"Unknown SKU",IF(COUNTIFS(Batches!$A$2:$A$301,$F593,Batches!$B$2:$B$301,$D593)=0,"Unknown lot for this SKU",IF(AND($C593="Adjustment",$G593=""),"Missing: reason",IF(AND($G593&lt;&gt;"",COUNTIF(Config!$B$15:$B$34,$G593)=0),"Unsupported reason",IF(OR(INT($E593)&lt;&gt;$E593,AND(OR($C593="Receipt",$C593="Shipment"),$E593&lt;=0),AND($C593="Adjustment",$E593=0)),"Invalid qty",IF($B593&gt;Config!$B$4,"Date after the as-of date",IF($B593&lt;Config!$B$5,"Date before the opening balance date","OK")))))))))))))))))</f>
        <v/>
      </c>
    </row>
    <row r="594">
      <c r="A594" s="46" t="n"/>
      <c r="B594" s="54" t="n"/>
      <c r="C594" s="46" t="n"/>
      <c r="D594" s="46" t="n"/>
      <c r="E594" s="55" t="n"/>
      <c r="F594" s="46" t="n"/>
      <c r="G594" s="46" t="n"/>
      <c r="H594" s="46" t="n"/>
      <c r="I594" s="46" t="n"/>
      <c r="J594" s="46" t="n"/>
      <c r="K594" s="46" t="n"/>
      <c r="L594" s="46" t="n"/>
      <c r="M594" s="51" t="str">
        <f>IF(NOT(ISNUMBER($E594)),"",IF($C594="Receipt",$E594,IF($C594="Shipment",-$E594,IF($C594="Adjustment",$E594,0))))</f>
        <v/>
      </c>
      <c r="N594" s="49" t="str">
        <f>IF($D594="","",IFERROR(INDEX(Products!$B$2:$B$101,MATCH($D594,Products!$A$2:$A$101,0))&amp;"","(not found)"))</f>
        <v/>
      </c>
      <c r="O594" s="49" t="str">
        <f>IF($F594="","",IFERROR(INDEX(Batches!$B$2:$B$301,MATCH($F594,Batches!$A$2:$A$301,0))&amp;"","(not found)"))</f>
        <v/>
      </c>
      <c r="P594" s="49" t="str">
        <f>IF(COUNTA($A594:$L594)=0,"",IF($A594="","Missing: entry ID",IF(COUNTIF($A$2:$A$2001,$A594)&gt;1,"Duplicate entry ID",IF(NOT(ISNUMBER($B594)),"Missing or invalid: date",IF($C594="","Missing: type",IF($D594="","Missing: SKU",IF(NOT(ISNUMBER($E594)),"Missing: qty",IF($F594="","Missing: lot",IF($I594="","Missing: source link",IF(COUNTIF(Config!$A$15:$A$34,$C594)=0,"Unsupported type",IF(COUNTIF(Products!$A$2:$A$101,$D594)=0,"Unknown SKU",IF(COUNTIFS(Batches!$A$2:$A$301,$F594,Batches!$B$2:$B$301,$D594)=0,"Unknown lot for this SKU",IF(AND($C594="Adjustment",$G594=""),"Missing: reason",IF(AND($G594&lt;&gt;"",COUNTIF(Config!$B$15:$B$34,$G594)=0),"Unsupported reason",IF(OR(INT($E594)&lt;&gt;$E594,AND(OR($C594="Receipt",$C594="Shipment"),$E594&lt;=0),AND($C594="Adjustment",$E594=0)),"Invalid qty",IF($B594&gt;Config!$B$4,"Date after the as-of date",IF($B594&lt;Config!$B$5,"Date before the opening balance date","OK")))))))))))))))))</f>
        <v/>
      </c>
    </row>
    <row r="595">
      <c r="A595" s="46" t="n"/>
      <c r="B595" s="54" t="n"/>
      <c r="C595" s="46" t="n"/>
      <c r="D595" s="46" t="n"/>
      <c r="E595" s="55" t="n"/>
      <c r="F595" s="46" t="n"/>
      <c r="G595" s="46" t="n"/>
      <c r="H595" s="46" t="n"/>
      <c r="I595" s="46" t="n"/>
      <c r="J595" s="46" t="n"/>
      <c r="K595" s="46" t="n"/>
      <c r="L595" s="46" t="n"/>
      <c r="M595" s="51" t="str">
        <f>IF(NOT(ISNUMBER($E595)),"",IF($C595="Receipt",$E595,IF($C595="Shipment",-$E595,IF($C595="Adjustment",$E595,0))))</f>
        <v/>
      </c>
      <c r="N595" s="49" t="str">
        <f>IF($D595="","",IFERROR(INDEX(Products!$B$2:$B$101,MATCH($D595,Products!$A$2:$A$101,0))&amp;"","(not found)"))</f>
        <v/>
      </c>
      <c r="O595" s="49" t="str">
        <f>IF($F595="","",IFERROR(INDEX(Batches!$B$2:$B$301,MATCH($F595,Batches!$A$2:$A$301,0))&amp;"","(not found)"))</f>
        <v/>
      </c>
      <c r="P595" s="49" t="str">
        <f>IF(COUNTA($A595:$L595)=0,"",IF($A595="","Missing: entry ID",IF(COUNTIF($A$2:$A$2001,$A595)&gt;1,"Duplicate entry ID",IF(NOT(ISNUMBER($B595)),"Missing or invalid: date",IF($C595="","Missing: type",IF($D595="","Missing: SKU",IF(NOT(ISNUMBER($E595)),"Missing: qty",IF($F595="","Missing: lot",IF($I595="","Missing: source link",IF(COUNTIF(Config!$A$15:$A$34,$C595)=0,"Unsupported type",IF(COUNTIF(Products!$A$2:$A$101,$D595)=0,"Unknown SKU",IF(COUNTIFS(Batches!$A$2:$A$301,$F595,Batches!$B$2:$B$301,$D595)=0,"Unknown lot for this SKU",IF(AND($C595="Adjustment",$G595=""),"Missing: reason",IF(AND($G595&lt;&gt;"",COUNTIF(Config!$B$15:$B$34,$G595)=0),"Unsupported reason",IF(OR(INT($E595)&lt;&gt;$E595,AND(OR($C595="Receipt",$C595="Shipment"),$E595&lt;=0),AND($C595="Adjustment",$E595=0)),"Invalid qty",IF($B595&gt;Config!$B$4,"Date after the as-of date",IF($B595&lt;Config!$B$5,"Date before the opening balance date","OK")))))))))))))))))</f>
        <v/>
      </c>
    </row>
    <row r="596">
      <c r="A596" s="46" t="n"/>
      <c r="B596" s="54" t="n"/>
      <c r="C596" s="46" t="n"/>
      <c r="D596" s="46" t="n"/>
      <c r="E596" s="55" t="n"/>
      <c r="F596" s="46" t="n"/>
      <c r="G596" s="46" t="n"/>
      <c r="H596" s="46" t="n"/>
      <c r="I596" s="46" t="n"/>
      <c r="J596" s="46" t="n"/>
      <c r="K596" s="46" t="n"/>
      <c r="L596" s="46" t="n"/>
      <c r="M596" s="51" t="str">
        <f>IF(NOT(ISNUMBER($E596)),"",IF($C596="Receipt",$E596,IF($C596="Shipment",-$E596,IF($C596="Adjustment",$E596,0))))</f>
        <v/>
      </c>
      <c r="N596" s="49" t="str">
        <f>IF($D596="","",IFERROR(INDEX(Products!$B$2:$B$101,MATCH($D596,Products!$A$2:$A$101,0))&amp;"","(not found)"))</f>
        <v/>
      </c>
      <c r="O596" s="49" t="str">
        <f>IF($F596="","",IFERROR(INDEX(Batches!$B$2:$B$301,MATCH($F596,Batches!$A$2:$A$301,0))&amp;"","(not found)"))</f>
        <v/>
      </c>
      <c r="P596" s="49" t="str">
        <f>IF(COUNTA($A596:$L596)=0,"",IF($A596="","Missing: entry ID",IF(COUNTIF($A$2:$A$2001,$A596)&gt;1,"Duplicate entry ID",IF(NOT(ISNUMBER($B596)),"Missing or invalid: date",IF($C596="","Missing: type",IF($D596="","Missing: SKU",IF(NOT(ISNUMBER($E596)),"Missing: qty",IF($F596="","Missing: lot",IF($I596="","Missing: source link",IF(COUNTIF(Config!$A$15:$A$34,$C596)=0,"Unsupported type",IF(COUNTIF(Products!$A$2:$A$101,$D596)=0,"Unknown SKU",IF(COUNTIFS(Batches!$A$2:$A$301,$F596,Batches!$B$2:$B$301,$D596)=0,"Unknown lot for this SKU",IF(AND($C596="Adjustment",$G596=""),"Missing: reason",IF(AND($G596&lt;&gt;"",COUNTIF(Config!$B$15:$B$34,$G596)=0),"Unsupported reason",IF(OR(INT($E596)&lt;&gt;$E596,AND(OR($C596="Receipt",$C596="Shipment"),$E596&lt;=0),AND($C596="Adjustment",$E596=0)),"Invalid qty",IF($B596&gt;Config!$B$4,"Date after the as-of date",IF($B596&lt;Config!$B$5,"Date before the opening balance date","OK")))))))))))))))))</f>
        <v/>
      </c>
    </row>
    <row r="597">
      <c r="A597" s="46" t="n"/>
      <c r="B597" s="54" t="n"/>
      <c r="C597" s="46" t="n"/>
      <c r="D597" s="46" t="n"/>
      <c r="E597" s="55" t="n"/>
      <c r="F597" s="46" t="n"/>
      <c r="G597" s="46" t="n"/>
      <c r="H597" s="46" t="n"/>
      <c r="I597" s="46" t="n"/>
      <c r="J597" s="46" t="n"/>
      <c r="K597" s="46" t="n"/>
      <c r="L597" s="46" t="n"/>
      <c r="M597" s="51" t="str">
        <f>IF(NOT(ISNUMBER($E597)),"",IF($C597="Receipt",$E597,IF($C597="Shipment",-$E597,IF($C597="Adjustment",$E597,0))))</f>
        <v/>
      </c>
      <c r="N597" s="49" t="str">
        <f>IF($D597="","",IFERROR(INDEX(Products!$B$2:$B$101,MATCH($D597,Products!$A$2:$A$101,0))&amp;"","(not found)"))</f>
        <v/>
      </c>
      <c r="O597" s="49" t="str">
        <f>IF($F597="","",IFERROR(INDEX(Batches!$B$2:$B$301,MATCH($F597,Batches!$A$2:$A$301,0))&amp;"","(not found)"))</f>
        <v/>
      </c>
      <c r="P597" s="49" t="str">
        <f>IF(COUNTA($A597:$L597)=0,"",IF($A597="","Missing: entry ID",IF(COUNTIF($A$2:$A$2001,$A597)&gt;1,"Duplicate entry ID",IF(NOT(ISNUMBER($B597)),"Missing or invalid: date",IF($C597="","Missing: type",IF($D597="","Missing: SKU",IF(NOT(ISNUMBER($E597)),"Missing: qty",IF($F597="","Missing: lot",IF($I597="","Missing: source link",IF(COUNTIF(Config!$A$15:$A$34,$C597)=0,"Unsupported type",IF(COUNTIF(Products!$A$2:$A$101,$D597)=0,"Unknown SKU",IF(COUNTIFS(Batches!$A$2:$A$301,$F597,Batches!$B$2:$B$301,$D597)=0,"Unknown lot for this SKU",IF(AND($C597="Adjustment",$G597=""),"Missing: reason",IF(AND($G597&lt;&gt;"",COUNTIF(Config!$B$15:$B$34,$G597)=0),"Unsupported reason",IF(OR(INT($E597)&lt;&gt;$E597,AND(OR($C597="Receipt",$C597="Shipment"),$E597&lt;=0),AND($C597="Adjustment",$E597=0)),"Invalid qty",IF($B597&gt;Config!$B$4,"Date after the as-of date",IF($B597&lt;Config!$B$5,"Date before the opening balance date","OK")))))))))))))))))</f>
        <v/>
      </c>
    </row>
    <row r="598">
      <c r="A598" s="46" t="n"/>
      <c r="B598" s="54" t="n"/>
      <c r="C598" s="46" t="n"/>
      <c r="D598" s="46" t="n"/>
      <c r="E598" s="55" t="n"/>
      <c r="F598" s="46" t="n"/>
      <c r="G598" s="46" t="n"/>
      <c r="H598" s="46" t="n"/>
      <c r="I598" s="46" t="n"/>
      <c r="J598" s="46" t="n"/>
      <c r="K598" s="46" t="n"/>
      <c r="L598" s="46" t="n"/>
      <c r="M598" s="51" t="str">
        <f>IF(NOT(ISNUMBER($E598)),"",IF($C598="Receipt",$E598,IF($C598="Shipment",-$E598,IF($C598="Adjustment",$E598,0))))</f>
        <v/>
      </c>
      <c r="N598" s="49" t="str">
        <f>IF($D598="","",IFERROR(INDEX(Products!$B$2:$B$101,MATCH($D598,Products!$A$2:$A$101,0))&amp;"","(not found)"))</f>
        <v/>
      </c>
      <c r="O598" s="49" t="str">
        <f>IF($F598="","",IFERROR(INDEX(Batches!$B$2:$B$301,MATCH($F598,Batches!$A$2:$A$301,0))&amp;"","(not found)"))</f>
        <v/>
      </c>
      <c r="P598" s="49" t="str">
        <f>IF(COUNTA($A598:$L598)=0,"",IF($A598="","Missing: entry ID",IF(COUNTIF($A$2:$A$2001,$A598)&gt;1,"Duplicate entry ID",IF(NOT(ISNUMBER($B598)),"Missing or invalid: date",IF($C598="","Missing: type",IF($D598="","Missing: SKU",IF(NOT(ISNUMBER($E598)),"Missing: qty",IF($F598="","Missing: lot",IF($I598="","Missing: source link",IF(COUNTIF(Config!$A$15:$A$34,$C598)=0,"Unsupported type",IF(COUNTIF(Products!$A$2:$A$101,$D598)=0,"Unknown SKU",IF(COUNTIFS(Batches!$A$2:$A$301,$F598,Batches!$B$2:$B$301,$D598)=0,"Unknown lot for this SKU",IF(AND($C598="Adjustment",$G598=""),"Missing: reason",IF(AND($G598&lt;&gt;"",COUNTIF(Config!$B$15:$B$34,$G598)=0),"Unsupported reason",IF(OR(INT($E598)&lt;&gt;$E598,AND(OR($C598="Receipt",$C598="Shipment"),$E598&lt;=0),AND($C598="Adjustment",$E598=0)),"Invalid qty",IF($B598&gt;Config!$B$4,"Date after the as-of date",IF($B598&lt;Config!$B$5,"Date before the opening balance date","OK")))))))))))))))))</f>
        <v/>
      </c>
    </row>
    <row r="599">
      <c r="A599" s="46" t="n"/>
      <c r="B599" s="54" t="n"/>
      <c r="C599" s="46" t="n"/>
      <c r="D599" s="46" t="n"/>
      <c r="E599" s="55" t="n"/>
      <c r="F599" s="46" t="n"/>
      <c r="G599" s="46" t="n"/>
      <c r="H599" s="46" t="n"/>
      <c r="I599" s="46" t="n"/>
      <c r="J599" s="46" t="n"/>
      <c r="K599" s="46" t="n"/>
      <c r="L599" s="46" t="n"/>
      <c r="M599" s="51" t="str">
        <f>IF(NOT(ISNUMBER($E599)),"",IF($C599="Receipt",$E599,IF($C599="Shipment",-$E599,IF($C599="Adjustment",$E599,0))))</f>
        <v/>
      </c>
      <c r="N599" s="49" t="str">
        <f>IF($D599="","",IFERROR(INDEX(Products!$B$2:$B$101,MATCH($D599,Products!$A$2:$A$101,0))&amp;"","(not found)"))</f>
        <v/>
      </c>
      <c r="O599" s="49" t="str">
        <f>IF($F599="","",IFERROR(INDEX(Batches!$B$2:$B$301,MATCH($F599,Batches!$A$2:$A$301,0))&amp;"","(not found)"))</f>
        <v/>
      </c>
      <c r="P599" s="49" t="str">
        <f>IF(COUNTA($A599:$L599)=0,"",IF($A599="","Missing: entry ID",IF(COUNTIF($A$2:$A$2001,$A599)&gt;1,"Duplicate entry ID",IF(NOT(ISNUMBER($B599)),"Missing or invalid: date",IF($C599="","Missing: type",IF($D599="","Missing: SKU",IF(NOT(ISNUMBER($E599)),"Missing: qty",IF($F599="","Missing: lot",IF($I599="","Missing: source link",IF(COUNTIF(Config!$A$15:$A$34,$C599)=0,"Unsupported type",IF(COUNTIF(Products!$A$2:$A$101,$D599)=0,"Unknown SKU",IF(COUNTIFS(Batches!$A$2:$A$301,$F599,Batches!$B$2:$B$301,$D599)=0,"Unknown lot for this SKU",IF(AND($C599="Adjustment",$G599=""),"Missing: reason",IF(AND($G599&lt;&gt;"",COUNTIF(Config!$B$15:$B$34,$G599)=0),"Unsupported reason",IF(OR(INT($E599)&lt;&gt;$E599,AND(OR($C599="Receipt",$C599="Shipment"),$E599&lt;=0),AND($C599="Adjustment",$E599=0)),"Invalid qty",IF($B599&gt;Config!$B$4,"Date after the as-of date",IF($B599&lt;Config!$B$5,"Date before the opening balance date","OK")))))))))))))))))</f>
        <v/>
      </c>
    </row>
    <row r="600">
      <c r="A600" s="46" t="n"/>
      <c r="B600" s="54" t="n"/>
      <c r="C600" s="46" t="n"/>
      <c r="D600" s="46" t="n"/>
      <c r="E600" s="55" t="n"/>
      <c r="F600" s="46" t="n"/>
      <c r="G600" s="46" t="n"/>
      <c r="H600" s="46" t="n"/>
      <c r="I600" s="46" t="n"/>
      <c r="J600" s="46" t="n"/>
      <c r="K600" s="46" t="n"/>
      <c r="L600" s="46" t="n"/>
      <c r="M600" s="51" t="str">
        <f>IF(NOT(ISNUMBER($E600)),"",IF($C600="Receipt",$E600,IF($C600="Shipment",-$E600,IF($C600="Adjustment",$E600,0))))</f>
        <v/>
      </c>
      <c r="N600" s="49" t="str">
        <f>IF($D600="","",IFERROR(INDEX(Products!$B$2:$B$101,MATCH($D600,Products!$A$2:$A$101,0))&amp;"","(not found)"))</f>
        <v/>
      </c>
      <c r="O600" s="49" t="str">
        <f>IF($F600="","",IFERROR(INDEX(Batches!$B$2:$B$301,MATCH($F600,Batches!$A$2:$A$301,0))&amp;"","(not found)"))</f>
        <v/>
      </c>
      <c r="P600" s="49" t="str">
        <f>IF(COUNTA($A600:$L600)=0,"",IF($A600="","Missing: entry ID",IF(COUNTIF($A$2:$A$2001,$A600)&gt;1,"Duplicate entry ID",IF(NOT(ISNUMBER($B600)),"Missing or invalid: date",IF($C600="","Missing: type",IF($D600="","Missing: SKU",IF(NOT(ISNUMBER($E600)),"Missing: qty",IF($F600="","Missing: lot",IF($I600="","Missing: source link",IF(COUNTIF(Config!$A$15:$A$34,$C600)=0,"Unsupported type",IF(COUNTIF(Products!$A$2:$A$101,$D600)=0,"Unknown SKU",IF(COUNTIFS(Batches!$A$2:$A$301,$F600,Batches!$B$2:$B$301,$D600)=0,"Unknown lot for this SKU",IF(AND($C600="Adjustment",$G600=""),"Missing: reason",IF(AND($G600&lt;&gt;"",COUNTIF(Config!$B$15:$B$34,$G600)=0),"Unsupported reason",IF(OR(INT($E600)&lt;&gt;$E600,AND(OR($C600="Receipt",$C600="Shipment"),$E600&lt;=0),AND($C600="Adjustment",$E600=0)),"Invalid qty",IF($B600&gt;Config!$B$4,"Date after the as-of date",IF($B600&lt;Config!$B$5,"Date before the opening balance date","OK")))))))))))))))))</f>
        <v/>
      </c>
    </row>
    <row r="601">
      <c r="A601" s="46" t="n"/>
      <c r="B601" s="54" t="n"/>
      <c r="C601" s="46" t="n"/>
      <c r="D601" s="46" t="n"/>
      <c r="E601" s="55" t="n"/>
      <c r="F601" s="46" t="n"/>
      <c r="G601" s="46" t="n"/>
      <c r="H601" s="46" t="n"/>
      <c r="I601" s="46" t="n"/>
      <c r="J601" s="46" t="n"/>
      <c r="K601" s="46" t="n"/>
      <c r="L601" s="46" t="n"/>
      <c r="M601" s="51" t="str">
        <f>IF(NOT(ISNUMBER($E601)),"",IF($C601="Receipt",$E601,IF($C601="Shipment",-$E601,IF($C601="Adjustment",$E601,0))))</f>
        <v/>
      </c>
      <c r="N601" s="49" t="str">
        <f>IF($D601="","",IFERROR(INDEX(Products!$B$2:$B$101,MATCH($D601,Products!$A$2:$A$101,0))&amp;"","(not found)"))</f>
        <v/>
      </c>
      <c r="O601" s="49" t="str">
        <f>IF($F601="","",IFERROR(INDEX(Batches!$B$2:$B$301,MATCH($F601,Batches!$A$2:$A$301,0))&amp;"","(not found)"))</f>
        <v/>
      </c>
      <c r="P601" s="49" t="str">
        <f>IF(COUNTA($A601:$L601)=0,"",IF($A601="","Missing: entry ID",IF(COUNTIF($A$2:$A$2001,$A601)&gt;1,"Duplicate entry ID",IF(NOT(ISNUMBER($B601)),"Missing or invalid: date",IF($C601="","Missing: type",IF($D601="","Missing: SKU",IF(NOT(ISNUMBER($E601)),"Missing: qty",IF($F601="","Missing: lot",IF($I601="","Missing: source link",IF(COUNTIF(Config!$A$15:$A$34,$C601)=0,"Unsupported type",IF(COUNTIF(Products!$A$2:$A$101,$D601)=0,"Unknown SKU",IF(COUNTIFS(Batches!$A$2:$A$301,$F601,Batches!$B$2:$B$301,$D601)=0,"Unknown lot for this SKU",IF(AND($C601="Adjustment",$G601=""),"Missing: reason",IF(AND($G601&lt;&gt;"",COUNTIF(Config!$B$15:$B$34,$G601)=0),"Unsupported reason",IF(OR(INT($E601)&lt;&gt;$E601,AND(OR($C601="Receipt",$C601="Shipment"),$E601&lt;=0),AND($C601="Adjustment",$E601=0)),"Invalid qty",IF($B601&gt;Config!$B$4,"Date after the as-of date",IF($B601&lt;Config!$B$5,"Date before the opening balance date","OK")))))))))))))))))</f>
        <v/>
      </c>
    </row>
    <row r="602">
      <c r="A602" s="46" t="n"/>
      <c r="B602" s="54" t="n"/>
      <c r="C602" s="46" t="n"/>
      <c r="D602" s="46" t="n"/>
      <c r="E602" s="55" t="n"/>
      <c r="F602" s="46" t="n"/>
      <c r="G602" s="46" t="n"/>
      <c r="H602" s="46" t="n"/>
      <c r="I602" s="46" t="n"/>
      <c r="J602" s="46" t="n"/>
      <c r="K602" s="46" t="n"/>
      <c r="L602" s="46" t="n"/>
      <c r="M602" s="51" t="str">
        <f>IF(NOT(ISNUMBER($E602)),"",IF($C602="Receipt",$E602,IF($C602="Shipment",-$E602,IF($C602="Adjustment",$E602,0))))</f>
        <v/>
      </c>
      <c r="N602" s="49" t="str">
        <f>IF($D602="","",IFERROR(INDEX(Products!$B$2:$B$101,MATCH($D602,Products!$A$2:$A$101,0))&amp;"","(not found)"))</f>
        <v/>
      </c>
      <c r="O602" s="49" t="str">
        <f>IF($F602="","",IFERROR(INDEX(Batches!$B$2:$B$301,MATCH($F602,Batches!$A$2:$A$301,0))&amp;"","(not found)"))</f>
        <v/>
      </c>
      <c r="P602" s="49" t="str">
        <f>IF(COUNTA($A602:$L602)=0,"",IF($A602="","Missing: entry ID",IF(COUNTIF($A$2:$A$2001,$A602)&gt;1,"Duplicate entry ID",IF(NOT(ISNUMBER($B602)),"Missing or invalid: date",IF($C602="","Missing: type",IF($D602="","Missing: SKU",IF(NOT(ISNUMBER($E602)),"Missing: qty",IF($F602="","Missing: lot",IF($I602="","Missing: source link",IF(COUNTIF(Config!$A$15:$A$34,$C602)=0,"Unsupported type",IF(COUNTIF(Products!$A$2:$A$101,$D602)=0,"Unknown SKU",IF(COUNTIFS(Batches!$A$2:$A$301,$F602,Batches!$B$2:$B$301,$D602)=0,"Unknown lot for this SKU",IF(AND($C602="Adjustment",$G602=""),"Missing: reason",IF(AND($G602&lt;&gt;"",COUNTIF(Config!$B$15:$B$34,$G602)=0),"Unsupported reason",IF(OR(INT($E602)&lt;&gt;$E602,AND(OR($C602="Receipt",$C602="Shipment"),$E602&lt;=0),AND($C602="Adjustment",$E602=0)),"Invalid qty",IF($B602&gt;Config!$B$4,"Date after the as-of date",IF($B602&lt;Config!$B$5,"Date before the opening balance date","OK")))))))))))))))))</f>
        <v/>
      </c>
    </row>
    <row r="603">
      <c r="A603" s="46" t="n"/>
      <c r="B603" s="54" t="n"/>
      <c r="C603" s="46" t="n"/>
      <c r="D603" s="46" t="n"/>
      <c r="E603" s="55" t="n"/>
      <c r="F603" s="46" t="n"/>
      <c r="G603" s="46" t="n"/>
      <c r="H603" s="46" t="n"/>
      <c r="I603" s="46" t="n"/>
      <c r="J603" s="46" t="n"/>
      <c r="K603" s="46" t="n"/>
      <c r="L603" s="46" t="n"/>
      <c r="M603" s="51" t="str">
        <f>IF(NOT(ISNUMBER($E603)),"",IF($C603="Receipt",$E603,IF($C603="Shipment",-$E603,IF($C603="Adjustment",$E603,0))))</f>
        <v/>
      </c>
      <c r="N603" s="49" t="str">
        <f>IF($D603="","",IFERROR(INDEX(Products!$B$2:$B$101,MATCH($D603,Products!$A$2:$A$101,0))&amp;"","(not found)"))</f>
        <v/>
      </c>
      <c r="O603" s="49" t="str">
        <f>IF($F603="","",IFERROR(INDEX(Batches!$B$2:$B$301,MATCH($F603,Batches!$A$2:$A$301,0))&amp;"","(not found)"))</f>
        <v/>
      </c>
      <c r="P603" s="49" t="str">
        <f>IF(COUNTA($A603:$L603)=0,"",IF($A603="","Missing: entry ID",IF(COUNTIF($A$2:$A$2001,$A603)&gt;1,"Duplicate entry ID",IF(NOT(ISNUMBER($B603)),"Missing or invalid: date",IF($C603="","Missing: type",IF($D603="","Missing: SKU",IF(NOT(ISNUMBER($E603)),"Missing: qty",IF($F603="","Missing: lot",IF($I603="","Missing: source link",IF(COUNTIF(Config!$A$15:$A$34,$C603)=0,"Unsupported type",IF(COUNTIF(Products!$A$2:$A$101,$D603)=0,"Unknown SKU",IF(COUNTIFS(Batches!$A$2:$A$301,$F603,Batches!$B$2:$B$301,$D603)=0,"Unknown lot for this SKU",IF(AND($C603="Adjustment",$G603=""),"Missing: reason",IF(AND($G603&lt;&gt;"",COUNTIF(Config!$B$15:$B$34,$G603)=0),"Unsupported reason",IF(OR(INT($E603)&lt;&gt;$E603,AND(OR($C603="Receipt",$C603="Shipment"),$E603&lt;=0),AND($C603="Adjustment",$E603=0)),"Invalid qty",IF($B603&gt;Config!$B$4,"Date after the as-of date",IF($B603&lt;Config!$B$5,"Date before the opening balance date","OK")))))))))))))))))</f>
        <v/>
      </c>
    </row>
    <row r="604">
      <c r="A604" s="46" t="n"/>
      <c r="B604" s="54" t="n"/>
      <c r="C604" s="46" t="n"/>
      <c r="D604" s="46" t="n"/>
      <c r="E604" s="55" t="n"/>
      <c r="F604" s="46" t="n"/>
      <c r="G604" s="46" t="n"/>
      <c r="H604" s="46" t="n"/>
      <c r="I604" s="46" t="n"/>
      <c r="J604" s="46" t="n"/>
      <c r="K604" s="46" t="n"/>
      <c r="L604" s="46" t="n"/>
      <c r="M604" s="51" t="str">
        <f>IF(NOT(ISNUMBER($E604)),"",IF($C604="Receipt",$E604,IF($C604="Shipment",-$E604,IF($C604="Adjustment",$E604,0))))</f>
        <v/>
      </c>
      <c r="N604" s="49" t="str">
        <f>IF($D604="","",IFERROR(INDEX(Products!$B$2:$B$101,MATCH($D604,Products!$A$2:$A$101,0))&amp;"","(not found)"))</f>
        <v/>
      </c>
      <c r="O604" s="49" t="str">
        <f>IF($F604="","",IFERROR(INDEX(Batches!$B$2:$B$301,MATCH($F604,Batches!$A$2:$A$301,0))&amp;"","(not found)"))</f>
        <v/>
      </c>
      <c r="P604" s="49" t="str">
        <f>IF(COUNTA($A604:$L604)=0,"",IF($A604="","Missing: entry ID",IF(COUNTIF($A$2:$A$2001,$A604)&gt;1,"Duplicate entry ID",IF(NOT(ISNUMBER($B604)),"Missing or invalid: date",IF($C604="","Missing: type",IF($D604="","Missing: SKU",IF(NOT(ISNUMBER($E604)),"Missing: qty",IF($F604="","Missing: lot",IF($I604="","Missing: source link",IF(COUNTIF(Config!$A$15:$A$34,$C604)=0,"Unsupported type",IF(COUNTIF(Products!$A$2:$A$101,$D604)=0,"Unknown SKU",IF(COUNTIFS(Batches!$A$2:$A$301,$F604,Batches!$B$2:$B$301,$D604)=0,"Unknown lot for this SKU",IF(AND($C604="Adjustment",$G604=""),"Missing: reason",IF(AND($G604&lt;&gt;"",COUNTIF(Config!$B$15:$B$34,$G604)=0),"Unsupported reason",IF(OR(INT($E604)&lt;&gt;$E604,AND(OR($C604="Receipt",$C604="Shipment"),$E604&lt;=0),AND($C604="Adjustment",$E604=0)),"Invalid qty",IF($B604&gt;Config!$B$4,"Date after the as-of date",IF($B604&lt;Config!$B$5,"Date before the opening balance date","OK")))))))))))))))))</f>
        <v/>
      </c>
    </row>
    <row r="605">
      <c r="A605" s="46" t="n"/>
      <c r="B605" s="54" t="n"/>
      <c r="C605" s="46" t="n"/>
      <c r="D605" s="46" t="n"/>
      <c r="E605" s="55" t="n"/>
      <c r="F605" s="46" t="n"/>
      <c r="G605" s="46" t="n"/>
      <c r="H605" s="46" t="n"/>
      <c r="I605" s="46" t="n"/>
      <c r="J605" s="46" t="n"/>
      <c r="K605" s="46" t="n"/>
      <c r="L605" s="46" t="n"/>
      <c r="M605" s="51" t="str">
        <f>IF(NOT(ISNUMBER($E605)),"",IF($C605="Receipt",$E605,IF($C605="Shipment",-$E605,IF($C605="Adjustment",$E605,0))))</f>
        <v/>
      </c>
      <c r="N605" s="49" t="str">
        <f>IF($D605="","",IFERROR(INDEX(Products!$B$2:$B$101,MATCH($D605,Products!$A$2:$A$101,0))&amp;"","(not found)"))</f>
        <v/>
      </c>
      <c r="O605" s="49" t="str">
        <f>IF($F605="","",IFERROR(INDEX(Batches!$B$2:$B$301,MATCH($F605,Batches!$A$2:$A$301,0))&amp;"","(not found)"))</f>
        <v/>
      </c>
      <c r="P605" s="49" t="str">
        <f>IF(COUNTA($A605:$L605)=0,"",IF($A605="","Missing: entry ID",IF(COUNTIF($A$2:$A$2001,$A605)&gt;1,"Duplicate entry ID",IF(NOT(ISNUMBER($B605)),"Missing or invalid: date",IF($C605="","Missing: type",IF($D605="","Missing: SKU",IF(NOT(ISNUMBER($E605)),"Missing: qty",IF($F605="","Missing: lot",IF($I605="","Missing: source link",IF(COUNTIF(Config!$A$15:$A$34,$C605)=0,"Unsupported type",IF(COUNTIF(Products!$A$2:$A$101,$D605)=0,"Unknown SKU",IF(COUNTIFS(Batches!$A$2:$A$301,$F605,Batches!$B$2:$B$301,$D605)=0,"Unknown lot for this SKU",IF(AND($C605="Adjustment",$G605=""),"Missing: reason",IF(AND($G605&lt;&gt;"",COUNTIF(Config!$B$15:$B$34,$G605)=0),"Unsupported reason",IF(OR(INT($E605)&lt;&gt;$E605,AND(OR($C605="Receipt",$C605="Shipment"),$E605&lt;=0),AND($C605="Adjustment",$E605=0)),"Invalid qty",IF($B605&gt;Config!$B$4,"Date after the as-of date",IF($B605&lt;Config!$B$5,"Date before the opening balance date","OK")))))))))))))))))</f>
        <v/>
      </c>
    </row>
    <row r="606">
      <c r="A606" s="46" t="n"/>
      <c r="B606" s="54" t="n"/>
      <c r="C606" s="46" t="n"/>
      <c r="D606" s="46" t="n"/>
      <c r="E606" s="55" t="n"/>
      <c r="F606" s="46" t="n"/>
      <c r="G606" s="46" t="n"/>
      <c r="H606" s="46" t="n"/>
      <c r="I606" s="46" t="n"/>
      <c r="J606" s="46" t="n"/>
      <c r="K606" s="46" t="n"/>
      <c r="L606" s="46" t="n"/>
      <c r="M606" s="51" t="str">
        <f>IF(NOT(ISNUMBER($E606)),"",IF($C606="Receipt",$E606,IF($C606="Shipment",-$E606,IF($C606="Adjustment",$E606,0))))</f>
        <v/>
      </c>
      <c r="N606" s="49" t="str">
        <f>IF($D606="","",IFERROR(INDEX(Products!$B$2:$B$101,MATCH($D606,Products!$A$2:$A$101,0))&amp;"","(not found)"))</f>
        <v/>
      </c>
      <c r="O606" s="49" t="str">
        <f>IF($F606="","",IFERROR(INDEX(Batches!$B$2:$B$301,MATCH($F606,Batches!$A$2:$A$301,0))&amp;"","(not found)"))</f>
        <v/>
      </c>
      <c r="P606" s="49" t="str">
        <f>IF(COUNTA($A606:$L606)=0,"",IF($A606="","Missing: entry ID",IF(COUNTIF($A$2:$A$2001,$A606)&gt;1,"Duplicate entry ID",IF(NOT(ISNUMBER($B606)),"Missing or invalid: date",IF($C606="","Missing: type",IF($D606="","Missing: SKU",IF(NOT(ISNUMBER($E606)),"Missing: qty",IF($F606="","Missing: lot",IF($I606="","Missing: source link",IF(COUNTIF(Config!$A$15:$A$34,$C606)=0,"Unsupported type",IF(COUNTIF(Products!$A$2:$A$101,$D606)=0,"Unknown SKU",IF(COUNTIFS(Batches!$A$2:$A$301,$F606,Batches!$B$2:$B$301,$D606)=0,"Unknown lot for this SKU",IF(AND($C606="Adjustment",$G606=""),"Missing: reason",IF(AND($G606&lt;&gt;"",COUNTIF(Config!$B$15:$B$34,$G606)=0),"Unsupported reason",IF(OR(INT($E606)&lt;&gt;$E606,AND(OR($C606="Receipt",$C606="Shipment"),$E606&lt;=0),AND($C606="Adjustment",$E606=0)),"Invalid qty",IF($B606&gt;Config!$B$4,"Date after the as-of date",IF($B606&lt;Config!$B$5,"Date before the opening balance date","OK")))))))))))))))))</f>
        <v/>
      </c>
    </row>
    <row r="607">
      <c r="A607" s="46" t="n"/>
      <c r="B607" s="54" t="n"/>
      <c r="C607" s="46" t="n"/>
      <c r="D607" s="46" t="n"/>
      <c r="E607" s="55" t="n"/>
      <c r="F607" s="46" t="n"/>
      <c r="G607" s="46" t="n"/>
      <c r="H607" s="46" t="n"/>
      <c r="I607" s="46" t="n"/>
      <c r="J607" s="46" t="n"/>
      <c r="K607" s="46" t="n"/>
      <c r="L607" s="46" t="n"/>
      <c r="M607" s="51" t="str">
        <f>IF(NOT(ISNUMBER($E607)),"",IF($C607="Receipt",$E607,IF($C607="Shipment",-$E607,IF($C607="Adjustment",$E607,0))))</f>
        <v/>
      </c>
      <c r="N607" s="49" t="str">
        <f>IF($D607="","",IFERROR(INDEX(Products!$B$2:$B$101,MATCH($D607,Products!$A$2:$A$101,0))&amp;"","(not found)"))</f>
        <v/>
      </c>
      <c r="O607" s="49" t="str">
        <f>IF($F607="","",IFERROR(INDEX(Batches!$B$2:$B$301,MATCH($F607,Batches!$A$2:$A$301,0))&amp;"","(not found)"))</f>
        <v/>
      </c>
      <c r="P607" s="49" t="str">
        <f>IF(COUNTA($A607:$L607)=0,"",IF($A607="","Missing: entry ID",IF(COUNTIF($A$2:$A$2001,$A607)&gt;1,"Duplicate entry ID",IF(NOT(ISNUMBER($B607)),"Missing or invalid: date",IF($C607="","Missing: type",IF($D607="","Missing: SKU",IF(NOT(ISNUMBER($E607)),"Missing: qty",IF($F607="","Missing: lot",IF($I607="","Missing: source link",IF(COUNTIF(Config!$A$15:$A$34,$C607)=0,"Unsupported type",IF(COUNTIF(Products!$A$2:$A$101,$D607)=0,"Unknown SKU",IF(COUNTIFS(Batches!$A$2:$A$301,$F607,Batches!$B$2:$B$301,$D607)=0,"Unknown lot for this SKU",IF(AND($C607="Adjustment",$G607=""),"Missing: reason",IF(AND($G607&lt;&gt;"",COUNTIF(Config!$B$15:$B$34,$G607)=0),"Unsupported reason",IF(OR(INT($E607)&lt;&gt;$E607,AND(OR($C607="Receipt",$C607="Shipment"),$E607&lt;=0),AND($C607="Adjustment",$E607=0)),"Invalid qty",IF($B607&gt;Config!$B$4,"Date after the as-of date",IF($B607&lt;Config!$B$5,"Date before the opening balance date","OK")))))))))))))))))</f>
        <v/>
      </c>
    </row>
    <row r="608">
      <c r="A608" s="46" t="n"/>
      <c r="B608" s="54" t="n"/>
      <c r="C608" s="46" t="n"/>
      <c r="D608" s="46" t="n"/>
      <c r="E608" s="55" t="n"/>
      <c r="F608" s="46" t="n"/>
      <c r="G608" s="46" t="n"/>
      <c r="H608" s="46" t="n"/>
      <c r="I608" s="46" t="n"/>
      <c r="J608" s="46" t="n"/>
      <c r="K608" s="46" t="n"/>
      <c r="L608" s="46" t="n"/>
      <c r="M608" s="51" t="str">
        <f>IF(NOT(ISNUMBER($E608)),"",IF($C608="Receipt",$E608,IF($C608="Shipment",-$E608,IF($C608="Adjustment",$E608,0))))</f>
        <v/>
      </c>
      <c r="N608" s="49" t="str">
        <f>IF($D608="","",IFERROR(INDEX(Products!$B$2:$B$101,MATCH($D608,Products!$A$2:$A$101,0))&amp;"","(not found)"))</f>
        <v/>
      </c>
      <c r="O608" s="49" t="str">
        <f>IF($F608="","",IFERROR(INDEX(Batches!$B$2:$B$301,MATCH($F608,Batches!$A$2:$A$301,0))&amp;"","(not found)"))</f>
        <v/>
      </c>
      <c r="P608" s="49" t="str">
        <f>IF(COUNTA($A608:$L608)=0,"",IF($A608="","Missing: entry ID",IF(COUNTIF($A$2:$A$2001,$A608)&gt;1,"Duplicate entry ID",IF(NOT(ISNUMBER($B608)),"Missing or invalid: date",IF($C608="","Missing: type",IF($D608="","Missing: SKU",IF(NOT(ISNUMBER($E608)),"Missing: qty",IF($F608="","Missing: lot",IF($I608="","Missing: source link",IF(COUNTIF(Config!$A$15:$A$34,$C608)=0,"Unsupported type",IF(COUNTIF(Products!$A$2:$A$101,$D608)=0,"Unknown SKU",IF(COUNTIFS(Batches!$A$2:$A$301,$F608,Batches!$B$2:$B$301,$D608)=0,"Unknown lot for this SKU",IF(AND($C608="Adjustment",$G608=""),"Missing: reason",IF(AND($G608&lt;&gt;"",COUNTIF(Config!$B$15:$B$34,$G608)=0),"Unsupported reason",IF(OR(INT($E608)&lt;&gt;$E608,AND(OR($C608="Receipt",$C608="Shipment"),$E608&lt;=0),AND($C608="Adjustment",$E608=0)),"Invalid qty",IF($B608&gt;Config!$B$4,"Date after the as-of date",IF($B608&lt;Config!$B$5,"Date before the opening balance date","OK")))))))))))))))))</f>
        <v/>
      </c>
    </row>
    <row r="609">
      <c r="A609" s="46" t="n"/>
      <c r="B609" s="54" t="n"/>
      <c r="C609" s="46" t="n"/>
      <c r="D609" s="46" t="n"/>
      <c r="E609" s="55" t="n"/>
      <c r="F609" s="46" t="n"/>
      <c r="G609" s="46" t="n"/>
      <c r="H609" s="46" t="n"/>
      <c r="I609" s="46" t="n"/>
      <c r="J609" s="46" t="n"/>
      <c r="K609" s="46" t="n"/>
      <c r="L609" s="46" t="n"/>
      <c r="M609" s="51" t="str">
        <f>IF(NOT(ISNUMBER($E609)),"",IF($C609="Receipt",$E609,IF($C609="Shipment",-$E609,IF($C609="Adjustment",$E609,0))))</f>
        <v/>
      </c>
      <c r="N609" s="49" t="str">
        <f>IF($D609="","",IFERROR(INDEX(Products!$B$2:$B$101,MATCH($D609,Products!$A$2:$A$101,0))&amp;"","(not found)"))</f>
        <v/>
      </c>
      <c r="O609" s="49" t="str">
        <f>IF($F609="","",IFERROR(INDEX(Batches!$B$2:$B$301,MATCH($F609,Batches!$A$2:$A$301,0))&amp;"","(not found)"))</f>
        <v/>
      </c>
      <c r="P609" s="49" t="str">
        <f>IF(COUNTA($A609:$L609)=0,"",IF($A609="","Missing: entry ID",IF(COUNTIF($A$2:$A$2001,$A609)&gt;1,"Duplicate entry ID",IF(NOT(ISNUMBER($B609)),"Missing or invalid: date",IF($C609="","Missing: type",IF($D609="","Missing: SKU",IF(NOT(ISNUMBER($E609)),"Missing: qty",IF($F609="","Missing: lot",IF($I609="","Missing: source link",IF(COUNTIF(Config!$A$15:$A$34,$C609)=0,"Unsupported type",IF(COUNTIF(Products!$A$2:$A$101,$D609)=0,"Unknown SKU",IF(COUNTIFS(Batches!$A$2:$A$301,$F609,Batches!$B$2:$B$301,$D609)=0,"Unknown lot for this SKU",IF(AND($C609="Adjustment",$G609=""),"Missing: reason",IF(AND($G609&lt;&gt;"",COUNTIF(Config!$B$15:$B$34,$G609)=0),"Unsupported reason",IF(OR(INT($E609)&lt;&gt;$E609,AND(OR($C609="Receipt",$C609="Shipment"),$E609&lt;=0),AND($C609="Adjustment",$E609=0)),"Invalid qty",IF($B609&gt;Config!$B$4,"Date after the as-of date",IF($B609&lt;Config!$B$5,"Date before the opening balance date","OK")))))))))))))))))</f>
        <v/>
      </c>
    </row>
    <row r="610">
      <c r="A610" s="46" t="n"/>
      <c r="B610" s="54" t="n"/>
      <c r="C610" s="46" t="n"/>
      <c r="D610" s="46" t="n"/>
      <c r="E610" s="55" t="n"/>
      <c r="F610" s="46" t="n"/>
      <c r="G610" s="46" t="n"/>
      <c r="H610" s="46" t="n"/>
      <c r="I610" s="46" t="n"/>
      <c r="J610" s="46" t="n"/>
      <c r="K610" s="46" t="n"/>
      <c r="L610" s="46" t="n"/>
      <c r="M610" s="51" t="str">
        <f>IF(NOT(ISNUMBER($E610)),"",IF($C610="Receipt",$E610,IF($C610="Shipment",-$E610,IF($C610="Adjustment",$E610,0))))</f>
        <v/>
      </c>
      <c r="N610" s="49" t="str">
        <f>IF($D610="","",IFERROR(INDEX(Products!$B$2:$B$101,MATCH($D610,Products!$A$2:$A$101,0))&amp;"","(not found)"))</f>
        <v/>
      </c>
      <c r="O610" s="49" t="str">
        <f>IF($F610="","",IFERROR(INDEX(Batches!$B$2:$B$301,MATCH($F610,Batches!$A$2:$A$301,0))&amp;"","(not found)"))</f>
        <v/>
      </c>
      <c r="P610" s="49" t="str">
        <f>IF(COUNTA($A610:$L610)=0,"",IF($A610="","Missing: entry ID",IF(COUNTIF($A$2:$A$2001,$A610)&gt;1,"Duplicate entry ID",IF(NOT(ISNUMBER($B610)),"Missing or invalid: date",IF($C610="","Missing: type",IF($D610="","Missing: SKU",IF(NOT(ISNUMBER($E610)),"Missing: qty",IF($F610="","Missing: lot",IF($I610="","Missing: source link",IF(COUNTIF(Config!$A$15:$A$34,$C610)=0,"Unsupported type",IF(COUNTIF(Products!$A$2:$A$101,$D610)=0,"Unknown SKU",IF(COUNTIFS(Batches!$A$2:$A$301,$F610,Batches!$B$2:$B$301,$D610)=0,"Unknown lot for this SKU",IF(AND($C610="Adjustment",$G610=""),"Missing: reason",IF(AND($G610&lt;&gt;"",COUNTIF(Config!$B$15:$B$34,$G610)=0),"Unsupported reason",IF(OR(INT($E610)&lt;&gt;$E610,AND(OR($C610="Receipt",$C610="Shipment"),$E610&lt;=0),AND($C610="Adjustment",$E610=0)),"Invalid qty",IF($B610&gt;Config!$B$4,"Date after the as-of date",IF($B610&lt;Config!$B$5,"Date before the opening balance date","OK")))))))))))))))))</f>
        <v/>
      </c>
    </row>
    <row r="611">
      <c r="A611" s="46" t="n"/>
      <c r="B611" s="54" t="n"/>
      <c r="C611" s="46" t="n"/>
      <c r="D611" s="46" t="n"/>
      <c r="E611" s="55" t="n"/>
      <c r="F611" s="46" t="n"/>
      <c r="G611" s="46" t="n"/>
      <c r="H611" s="46" t="n"/>
      <c r="I611" s="46" t="n"/>
      <c r="J611" s="46" t="n"/>
      <c r="K611" s="46" t="n"/>
      <c r="L611" s="46" t="n"/>
      <c r="M611" s="51" t="str">
        <f>IF(NOT(ISNUMBER($E611)),"",IF($C611="Receipt",$E611,IF($C611="Shipment",-$E611,IF($C611="Adjustment",$E611,0))))</f>
        <v/>
      </c>
      <c r="N611" s="49" t="str">
        <f>IF($D611="","",IFERROR(INDEX(Products!$B$2:$B$101,MATCH($D611,Products!$A$2:$A$101,0))&amp;"","(not found)"))</f>
        <v/>
      </c>
      <c r="O611" s="49" t="str">
        <f>IF($F611="","",IFERROR(INDEX(Batches!$B$2:$B$301,MATCH($F611,Batches!$A$2:$A$301,0))&amp;"","(not found)"))</f>
        <v/>
      </c>
      <c r="P611" s="49" t="str">
        <f>IF(COUNTA($A611:$L611)=0,"",IF($A611="","Missing: entry ID",IF(COUNTIF($A$2:$A$2001,$A611)&gt;1,"Duplicate entry ID",IF(NOT(ISNUMBER($B611)),"Missing or invalid: date",IF($C611="","Missing: type",IF($D611="","Missing: SKU",IF(NOT(ISNUMBER($E611)),"Missing: qty",IF($F611="","Missing: lot",IF($I611="","Missing: source link",IF(COUNTIF(Config!$A$15:$A$34,$C611)=0,"Unsupported type",IF(COUNTIF(Products!$A$2:$A$101,$D611)=0,"Unknown SKU",IF(COUNTIFS(Batches!$A$2:$A$301,$F611,Batches!$B$2:$B$301,$D611)=0,"Unknown lot for this SKU",IF(AND($C611="Adjustment",$G611=""),"Missing: reason",IF(AND($G611&lt;&gt;"",COUNTIF(Config!$B$15:$B$34,$G611)=0),"Unsupported reason",IF(OR(INT($E611)&lt;&gt;$E611,AND(OR($C611="Receipt",$C611="Shipment"),$E611&lt;=0),AND($C611="Adjustment",$E611=0)),"Invalid qty",IF($B611&gt;Config!$B$4,"Date after the as-of date",IF($B611&lt;Config!$B$5,"Date before the opening balance date","OK")))))))))))))))))</f>
        <v/>
      </c>
    </row>
    <row r="612">
      <c r="A612" s="46" t="n"/>
      <c r="B612" s="54" t="n"/>
      <c r="C612" s="46" t="n"/>
      <c r="D612" s="46" t="n"/>
      <c r="E612" s="55" t="n"/>
      <c r="F612" s="46" t="n"/>
      <c r="G612" s="46" t="n"/>
      <c r="H612" s="46" t="n"/>
      <c r="I612" s="46" t="n"/>
      <c r="J612" s="46" t="n"/>
      <c r="K612" s="46" t="n"/>
      <c r="L612" s="46" t="n"/>
      <c r="M612" s="51" t="str">
        <f>IF(NOT(ISNUMBER($E612)),"",IF($C612="Receipt",$E612,IF($C612="Shipment",-$E612,IF($C612="Adjustment",$E612,0))))</f>
        <v/>
      </c>
      <c r="N612" s="49" t="str">
        <f>IF($D612="","",IFERROR(INDEX(Products!$B$2:$B$101,MATCH($D612,Products!$A$2:$A$101,0))&amp;"","(not found)"))</f>
        <v/>
      </c>
      <c r="O612" s="49" t="str">
        <f>IF($F612="","",IFERROR(INDEX(Batches!$B$2:$B$301,MATCH($F612,Batches!$A$2:$A$301,0))&amp;"","(not found)"))</f>
        <v/>
      </c>
      <c r="P612" s="49" t="str">
        <f>IF(COUNTA($A612:$L612)=0,"",IF($A612="","Missing: entry ID",IF(COUNTIF($A$2:$A$2001,$A612)&gt;1,"Duplicate entry ID",IF(NOT(ISNUMBER($B612)),"Missing or invalid: date",IF($C612="","Missing: type",IF($D612="","Missing: SKU",IF(NOT(ISNUMBER($E612)),"Missing: qty",IF($F612="","Missing: lot",IF($I612="","Missing: source link",IF(COUNTIF(Config!$A$15:$A$34,$C612)=0,"Unsupported type",IF(COUNTIF(Products!$A$2:$A$101,$D612)=0,"Unknown SKU",IF(COUNTIFS(Batches!$A$2:$A$301,$F612,Batches!$B$2:$B$301,$D612)=0,"Unknown lot for this SKU",IF(AND($C612="Adjustment",$G612=""),"Missing: reason",IF(AND($G612&lt;&gt;"",COUNTIF(Config!$B$15:$B$34,$G612)=0),"Unsupported reason",IF(OR(INT($E612)&lt;&gt;$E612,AND(OR($C612="Receipt",$C612="Shipment"),$E612&lt;=0),AND($C612="Adjustment",$E612=0)),"Invalid qty",IF($B612&gt;Config!$B$4,"Date after the as-of date",IF($B612&lt;Config!$B$5,"Date before the opening balance date","OK")))))))))))))))))</f>
        <v/>
      </c>
    </row>
    <row r="613">
      <c r="A613" s="46" t="n"/>
      <c r="B613" s="54" t="n"/>
      <c r="C613" s="46" t="n"/>
      <c r="D613" s="46" t="n"/>
      <c r="E613" s="55" t="n"/>
      <c r="F613" s="46" t="n"/>
      <c r="G613" s="46" t="n"/>
      <c r="H613" s="46" t="n"/>
      <c r="I613" s="46" t="n"/>
      <c r="J613" s="46" t="n"/>
      <c r="K613" s="46" t="n"/>
      <c r="L613" s="46" t="n"/>
      <c r="M613" s="51" t="str">
        <f>IF(NOT(ISNUMBER($E613)),"",IF($C613="Receipt",$E613,IF($C613="Shipment",-$E613,IF($C613="Adjustment",$E613,0))))</f>
        <v/>
      </c>
      <c r="N613" s="49" t="str">
        <f>IF($D613="","",IFERROR(INDEX(Products!$B$2:$B$101,MATCH($D613,Products!$A$2:$A$101,0))&amp;"","(not found)"))</f>
        <v/>
      </c>
      <c r="O613" s="49" t="str">
        <f>IF($F613="","",IFERROR(INDEX(Batches!$B$2:$B$301,MATCH($F613,Batches!$A$2:$A$301,0))&amp;"","(not found)"))</f>
        <v/>
      </c>
      <c r="P613" s="49" t="str">
        <f>IF(COUNTA($A613:$L613)=0,"",IF($A613="","Missing: entry ID",IF(COUNTIF($A$2:$A$2001,$A613)&gt;1,"Duplicate entry ID",IF(NOT(ISNUMBER($B613)),"Missing or invalid: date",IF($C613="","Missing: type",IF($D613="","Missing: SKU",IF(NOT(ISNUMBER($E613)),"Missing: qty",IF($F613="","Missing: lot",IF($I613="","Missing: source link",IF(COUNTIF(Config!$A$15:$A$34,$C613)=0,"Unsupported type",IF(COUNTIF(Products!$A$2:$A$101,$D613)=0,"Unknown SKU",IF(COUNTIFS(Batches!$A$2:$A$301,$F613,Batches!$B$2:$B$301,$D613)=0,"Unknown lot for this SKU",IF(AND($C613="Adjustment",$G613=""),"Missing: reason",IF(AND($G613&lt;&gt;"",COUNTIF(Config!$B$15:$B$34,$G613)=0),"Unsupported reason",IF(OR(INT($E613)&lt;&gt;$E613,AND(OR($C613="Receipt",$C613="Shipment"),$E613&lt;=0),AND($C613="Adjustment",$E613=0)),"Invalid qty",IF($B613&gt;Config!$B$4,"Date after the as-of date",IF($B613&lt;Config!$B$5,"Date before the opening balance date","OK")))))))))))))))))</f>
        <v/>
      </c>
    </row>
    <row r="614">
      <c r="A614" s="46" t="n"/>
      <c r="B614" s="54" t="n"/>
      <c r="C614" s="46" t="n"/>
      <c r="D614" s="46" t="n"/>
      <c r="E614" s="55" t="n"/>
      <c r="F614" s="46" t="n"/>
      <c r="G614" s="46" t="n"/>
      <c r="H614" s="46" t="n"/>
      <c r="I614" s="46" t="n"/>
      <c r="J614" s="46" t="n"/>
      <c r="K614" s="46" t="n"/>
      <c r="L614" s="46" t="n"/>
      <c r="M614" s="51" t="str">
        <f>IF(NOT(ISNUMBER($E614)),"",IF($C614="Receipt",$E614,IF($C614="Shipment",-$E614,IF($C614="Adjustment",$E614,0))))</f>
        <v/>
      </c>
      <c r="N614" s="49" t="str">
        <f>IF($D614="","",IFERROR(INDEX(Products!$B$2:$B$101,MATCH($D614,Products!$A$2:$A$101,0))&amp;"","(not found)"))</f>
        <v/>
      </c>
      <c r="O614" s="49" t="str">
        <f>IF($F614="","",IFERROR(INDEX(Batches!$B$2:$B$301,MATCH($F614,Batches!$A$2:$A$301,0))&amp;"","(not found)"))</f>
        <v/>
      </c>
      <c r="P614" s="49" t="str">
        <f>IF(COUNTA($A614:$L614)=0,"",IF($A614="","Missing: entry ID",IF(COUNTIF($A$2:$A$2001,$A614)&gt;1,"Duplicate entry ID",IF(NOT(ISNUMBER($B614)),"Missing or invalid: date",IF($C614="","Missing: type",IF($D614="","Missing: SKU",IF(NOT(ISNUMBER($E614)),"Missing: qty",IF($F614="","Missing: lot",IF($I614="","Missing: source link",IF(COUNTIF(Config!$A$15:$A$34,$C614)=0,"Unsupported type",IF(COUNTIF(Products!$A$2:$A$101,$D614)=0,"Unknown SKU",IF(COUNTIFS(Batches!$A$2:$A$301,$F614,Batches!$B$2:$B$301,$D614)=0,"Unknown lot for this SKU",IF(AND($C614="Adjustment",$G614=""),"Missing: reason",IF(AND($G614&lt;&gt;"",COUNTIF(Config!$B$15:$B$34,$G614)=0),"Unsupported reason",IF(OR(INT($E614)&lt;&gt;$E614,AND(OR($C614="Receipt",$C614="Shipment"),$E614&lt;=0),AND($C614="Adjustment",$E614=0)),"Invalid qty",IF($B614&gt;Config!$B$4,"Date after the as-of date",IF($B614&lt;Config!$B$5,"Date before the opening balance date","OK")))))))))))))))))</f>
        <v/>
      </c>
    </row>
    <row r="615">
      <c r="A615" s="46" t="n"/>
      <c r="B615" s="54" t="n"/>
      <c r="C615" s="46" t="n"/>
      <c r="D615" s="46" t="n"/>
      <c r="E615" s="55" t="n"/>
      <c r="F615" s="46" t="n"/>
      <c r="G615" s="46" t="n"/>
      <c r="H615" s="46" t="n"/>
      <c r="I615" s="46" t="n"/>
      <c r="J615" s="46" t="n"/>
      <c r="K615" s="46" t="n"/>
      <c r="L615" s="46" t="n"/>
      <c r="M615" s="51" t="str">
        <f>IF(NOT(ISNUMBER($E615)),"",IF($C615="Receipt",$E615,IF($C615="Shipment",-$E615,IF($C615="Adjustment",$E615,0))))</f>
        <v/>
      </c>
      <c r="N615" s="49" t="str">
        <f>IF($D615="","",IFERROR(INDEX(Products!$B$2:$B$101,MATCH($D615,Products!$A$2:$A$101,0))&amp;"","(not found)"))</f>
        <v/>
      </c>
      <c r="O615" s="49" t="str">
        <f>IF($F615="","",IFERROR(INDEX(Batches!$B$2:$B$301,MATCH($F615,Batches!$A$2:$A$301,0))&amp;"","(not found)"))</f>
        <v/>
      </c>
      <c r="P615" s="49" t="str">
        <f>IF(COUNTA($A615:$L615)=0,"",IF($A615="","Missing: entry ID",IF(COUNTIF($A$2:$A$2001,$A615)&gt;1,"Duplicate entry ID",IF(NOT(ISNUMBER($B615)),"Missing or invalid: date",IF($C615="","Missing: type",IF($D615="","Missing: SKU",IF(NOT(ISNUMBER($E615)),"Missing: qty",IF($F615="","Missing: lot",IF($I615="","Missing: source link",IF(COUNTIF(Config!$A$15:$A$34,$C615)=0,"Unsupported type",IF(COUNTIF(Products!$A$2:$A$101,$D615)=0,"Unknown SKU",IF(COUNTIFS(Batches!$A$2:$A$301,$F615,Batches!$B$2:$B$301,$D615)=0,"Unknown lot for this SKU",IF(AND($C615="Adjustment",$G615=""),"Missing: reason",IF(AND($G615&lt;&gt;"",COUNTIF(Config!$B$15:$B$34,$G615)=0),"Unsupported reason",IF(OR(INT($E615)&lt;&gt;$E615,AND(OR($C615="Receipt",$C615="Shipment"),$E615&lt;=0),AND($C615="Adjustment",$E615=0)),"Invalid qty",IF($B615&gt;Config!$B$4,"Date after the as-of date",IF($B615&lt;Config!$B$5,"Date before the opening balance date","OK")))))))))))))))))</f>
        <v/>
      </c>
    </row>
    <row r="616">
      <c r="A616" s="46" t="n"/>
      <c r="B616" s="54" t="n"/>
      <c r="C616" s="46" t="n"/>
      <c r="D616" s="46" t="n"/>
      <c r="E616" s="55" t="n"/>
      <c r="F616" s="46" t="n"/>
      <c r="G616" s="46" t="n"/>
      <c r="H616" s="46" t="n"/>
      <c r="I616" s="46" t="n"/>
      <c r="J616" s="46" t="n"/>
      <c r="K616" s="46" t="n"/>
      <c r="L616" s="46" t="n"/>
      <c r="M616" s="51" t="str">
        <f>IF(NOT(ISNUMBER($E616)),"",IF($C616="Receipt",$E616,IF($C616="Shipment",-$E616,IF($C616="Adjustment",$E616,0))))</f>
        <v/>
      </c>
      <c r="N616" s="49" t="str">
        <f>IF($D616="","",IFERROR(INDEX(Products!$B$2:$B$101,MATCH($D616,Products!$A$2:$A$101,0))&amp;"","(not found)"))</f>
        <v/>
      </c>
      <c r="O616" s="49" t="str">
        <f>IF($F616="","",IFERROR(INDEX(Batches!$B$2:$B$301,MATCH($F616,Batches!$A$2:$A$301,0))&amp;"","(not found)"))</f>
        <v/>
      </c>
      <c r="P616" s="49" t="str">
        <f>IF(COUNTA($A616:$L616)=0,"",IF($A616="","Missing: entry ID",IF(COUNTIF($A$2:$A$2001,$A616)&gt;1,"Duplicate entry ID",IF(NOT(ISNUMBER($B616)),"Missing or invalid: date",IF($C616="","Missing: type",IF($D616="","Missing: SKU",IF(NOT(ISNUMBER($E616)),"Missing: qty",IF($F616="","Missing: lot",IF($I616="","Missing: source link",IF(COUNTIF(Config!$A$15:$A$34,$C616)=0,"Unsupported type",IF(COUNTIF(Products!$A$2:$A$101,$D616)=0,"Unknown SKU",IF(COUNTIFS(Batches!$A$2:$A$301,$F616,Batches!$B$2:$B$301,$D616)=0,"Unknown lot for this SKU",IF(AND($C616="Adjustment",$G616=""),"Missing: reason",IF(AND($G616&lt;&gt;"",COUNTIF(Config!$B$15:$B$34,$G616)=0),"Unsupported reason",IF(OR(INT($E616)&lt;&gt;$E616,AND(OR($C616="Receipt",$C616="Shipment"),$E616&lt;=0),AND($C616="Adjustment",$E616=0)),"Invalid qty",IF($B616&gt;Config!$B$4,"Date after the as-of date",IF($B616&lt;Config!$B$5,"Date before the opening balance date","OK")))))))))))))))))</f>
        <v/>
      </c>
    </row>
    <row r="617">
      <c r="A617" s="46" t="n"/>
      <c r="B617" s="54" t="n"/>
      <c r="C617" s="46" t="n"/>
      <c r="D617" s="46" t="n"/>
      <c r="E617" s="55" t="n"/>
      <c r="F617" s="46" t="n"/>
      <c r="G617" s="46" t="n"/>
      <c r="H617" s="46" t="n"/>
      <c r="I617" s="46" t="n"/>
      <c r="J617" s="46" t="n"/>
      <c r="K617" s="46" t="n"/>
      <c r="L617" s="46" t="n"/>
      <c r="M617" s="51" t="str">
        <f>IF(NOT(ISNUMBER($E617)),"",IF($C617="Receipt",$E617,IF($C617="Shipment",-$E617,IF($C617="Adjustment",$E617,0))))</f>
        <v/>
      </c>
      <c r="N617" s="49" t="str">
        <f>IF($D617="","",IFERROR(INDEX(Products!$B$2:$B$101,MATCH($D617,Products!$A$2:$A$101,0))&amp;"","(not found)"))</f>
        <v/>
      </c>
      <c r="O617" s="49" t="str">
        <f>IF($F617="","",IFERROR(INDEX(Batches!$B$2:$B$301,MATCH($F617,Batches!$A$2:$A$301,0))&amp;"","(not found)"))</f>
        <v/>
      </c>
      <c r="P617" s="49" t="str">
        <f>IF(COUNTA($A617:$L617)=0,"",IF($A617="","Missing: entry ID",IF(COUNTIF($A$2:$A$2001,$A617)&gt;1,"Duplicate entry ID",IF(NOT(ISNUMBER($B617)),"Missing or invalid: date",IF($C617="","Missing: type",IF($D617="","Missing: SKU",IF(NOT(ISNUMBER($E617)),"Missing: qty",IF($F617="","Missing: lot",IF($I617="","Missing: source link",IF(COUNTIF(Config!$A$15:$A$34,$C617)=0,"Unsupported type",IF(COUNTIF(Products!$A$2:$A$101,$D617)=0,"Unknown SKU",IF(COUNTIFS(Batches!$A$2:$A$301,$F617,Batches!$B$2:$B$301,$D617)=0,"Unknown lot for this SKU",IF(AND($C617="Adjustment",$G617=""),"Missing: reason",IF(AND($G617&lt;&gt;"",COUNTIF(Config!$B$15:$B$34,$G617)=0),"Unsupported reason",IF(OR(INT($E617)&lt;&gt;$E617,AND(OR($C617="Receipt",$C617="Shipment"),$E617&lt;=0),AND($C617="Adjustment",$E617=0)),"Invalid qty",IF($B617&gt;Config!$B$4,"Date after the as-of date",IF($B617&lt;Config!$B$5,"Date before the opening balance date","OK")))))))))))))))))</f>
        <v/>
      </c>
    </row>
    <row r="618">
      <c r="A618" s="46" t="n"/>
      <c r="B618" s="54" t="n"/>
      <c r="C618" s="46" t="n"/>
      <c r="D618" s="46" t="n"/>
      <c r="E618" s="55" t="n"/>
      <c r="F618" s="46" t="n"/>
      <c r="G618" s="46" t="n"/>
      <c r="H618" s="46" t="n"/>
      <c r="I618" s="46" t="n"/>
      <c r="J618" s="46" t="n"/>
      <c r="K618" s="46" t="n"/>
      <c r="L618" s="46" t="n"/>
      <c r="M618" s="51" t="str">
        <f>IF(NOT(ISNUMBER($E618)),"",IF($C618="Receipt",$E618,IF($C618="Shipment",-$E618,IF($C618="Adjustment",$E618,0))))</f>
        <v/>
      </c>
      <c r="N618" s="49" t="str">
        <f>IF($D618="","",IFERROR(INDEX(Products!$B$2:$B$101,MATCH($D618,Products!$A$2:$A$101,0))&amp;"","(not found)"))</f>
        <v/>
      </c>
      <c r="O618" s="49" t="str">
        <f>IF($F618="","",IFERROR(INDEX(Batches!$B$2:$B$301,MATCH($F618,Batches!$A$2:$A$301,0))&amp;"","(not found)"))</f>
        <v/>
      </c>
      <c r="P618" s="49" t="str">
        <f>IF(COUNTA($A618:$L618)=0,"",IF($A618="","Missing: entry ID",IF(COUNTIF($A$2:$A$2001,$A618)&gt;1,"Duplicate entry ID",IF(NOT(ISNUMBER($B618)),"Missing or invalid: date",IF($C618="","Missing: type",IF($D618="","Missing: SKU",IF(NOT(ISNUMBER($E618)),"Missing: qty",IF($F618="","Missing: lot",IF($I618="","Missing: source link",IF(COUNTIF(Config!$A$15:$A$34,$C618)=0,"Unsupported type",IF(COUNTIF(Products!$A$2:$A$101,$D618)=0,"Unknown SKU",IF(COUNTIFS(Batches!$A$2:$A$301,$F618,Batches!$B$2:$B$301,$D618)=0,"Unknown lot for this SKU",IF(AND($C618="Adjustment",$G618=""),"Missing: reason",IF(AND($G618&lt;&gt;"",COUNTIF(Config!$B$15:$B$34,$G618)=0),"Unsupported reason",IF(OR(INT($E618)&lt;&gt;$E618,AND(OR($C618="Receipt",$C618="Shipment"),$E618&lt;=0),AND($C618="Adjustment",$E618=0)),"Invalid qty",IF($B618&gt;Config!$B$4,"Date after the as-of date",IF($B618&lt;Config!$B$5,"Date before the opening balance date","OK")))))))))))))))))</f>
        <v/>
      </c>
    </row>
    <row r="619">
      <c r="A619" s="46" t="n"/>
      <c r="B619" s="54" t="n"/>
      <c r="C619" s="46" t="n"/>
      <c r="D619" s="46" t="n"/>
      <c r="E619" s="55" t="n"/>
      <c r="F619" s="46" t="n"/>
      <c r="G619" s="46" t="n"/>
      <c r="H619" s="46" t="n"/>
      <c r="I619" s="46" t="n"/>
      <c r="J619" s="46" t="n"/>
      <c r="K619" s="46" t="n"/>
      <c r="L619" s="46" t="n"/>
      <c r="M619" s="51" t="str">
        <f>IF(NOT(ISNUMBER($E619)),"",IF($C619="Receipt",$E619,IF($C619="Shipment",-$E619,IF($C619="Adjustment",$E619,0))))</f>
        <v/>
      </c>
      <c r="N619" s="49" t="str">
        <f>IF($D619="","",IFERROR(INDEX(Products!$B$2:$B$101,MATCH($D619,Products!$A$2:$A$101,0))&amp;"","(not found)"))</f>
        <v/>
      </c>
      <c r="O619" s="49" t="str">
        <f>IF($F619="","",IFERROR(INDEX(Batches!$B$2:$B$301,MATCH($F619,Batches!$A$2:$A$301,0))&amp;"","(not found)"))</f>
        <v/>
      </c>
      <c r="P619" s="49" t="str">
        <f>IF(COUNTA($A619:$L619)=0,"",IF($A619="","Missing: entry ID",IF(COUNTIF($A$2:$A$2001,$A619)&gt;1,"Duplicate entry ID",IF(NOT(ISNUMBER($B619)),"Missing or invalid: date",IF($C619="","Missing: type",IF($D619="","Missing: SKU",IF(NOT(ISNUMBER($E619)),"Missing: qty",IF($F619="","Missing: lot",IF($I619="","Missing: source link",IF(COUNTIF(Config!$A$15:$A$34,$C619)=0,"Unsupported type",IF(COUNTIF(Products!$A$2:$A$101,$D619)=0,"Unknown SKU",IF(COUNTIFS(Batches!$A$2:$A$301,$F619,Batches!$B$2:$B$301,$D619)=0,"Unknown lot for this SKU",IF(AND($C619="Adjustment",$G619=""),"Missing: reason",IF(AND($G619&lt;&gt;"",COUNTIF(Config!$B$15:$B$34,$G619)=0),"Unsupported reason",IF(OR(INT($E619)&lt;&gt;$E619,AND(OR($C619="Receipt",$C619="Shipment"),$E619&lt;=0),AND($C619="Adjustment",$E619=0)),"Invalid qty",IF($B619&gt;Config!$B$4,"Date after the as-of date",IF($B619&lt;Config!$B$5,"Date before the opening balance date","OK")))))))))))))))))</f>
        <v/>
      </c>
    </row>
    <row r="620">
      <c r="A620" s="46" t="n"/>
      <c r="B620" s="54" t="n"/>
      <c r="C620" s="46" t="n"/>
      <c r="D620" s="46" t="n"/>
      <c r="E620" s="55" t="n"/>
      <c r="F620" s="46" t="n"/>
      <c r="G620" s="46" t="n"/>
      <c r="H620" s="46" t="n"/>
      <c r="I620" s="46" t="n"/>
      <c r="J620" s="46" t="n"/>
      <c r="K620" s="46" t="n"/>
      <c r="L620" s="46" t="n"/>
      <c r="M620" s="51" t="str">
        <f>IF(NOT(ISNUMBER($E620)),"",IF($C620="Receipt",$E620,IF($C620="Shipment",-$E620,IF($C620="Adjustment",$E620,0))))</f>
        <v/>
      </c>
      <c r="N620" s="49" t="str">
        <f>IF($D620="","",IFERROR(INDEX(Products!$B$2:$B$101,MATCH($D620,Products!$A$2:$A$101,0))&amp;"","(not found)"))</f>
        <v/>
      </c>
      <c r="O620" s="49" t="str">
        <f>IF($F620="","",IFERROR(INDEX(Batches!$B$2:$B$301,MATCH($F620,Batches!$A$2:$A$301,0))&amp;"","(not found)"))</f>
        <v/>
      </c>
      <c r="P620" s="49" t="str">
        <f>IF(COUNTA($A620:$L620)=0,"",IF($A620="","Missing: entry ID",IF(COUNTIF($A$2:$A$2001,$A620)&gt;1,"Duplicate entry ID",IF(NOT(ISNUMBER($B620)),"Missing or invalid: date",IF($C620="","Missing: type",IF($D620="","Missing: SKU",IF(NOT(ISNUMBER($E620)),"Missing: qty",IF($F620="","Missing: lot",IF($I620="","Missing: source link",IF(COUNTIF(Config!$A$15:$A$34,$C620)=0,"Unsupported type",IF(COUNTIF(Products!$A$2:$A$101,$D620)=0,"Unknown SKU",IF(COUNTIFS(Batches!$A$2:$A$301,$F620,Batches!$B$2:$B$301,$D620)=0,"Unknown lot for this SKU",IF(AND($C620="Adjustment",$G620=""),"Missing: reason",IF(AND($G620&lt;&gt;"",COUNTIF(Config!$B$15:$B$34,$G620)=0),"Unsupported reason",IF(OR(INT($E620)&lt;&gt;$E620,AND(OR($C620="Receipt",$C620="Shipment"),$E620&lt;=0),AND($C620="Adjustment",$E620=0)),"Invalid qty",IF($B620&gt;Config!$B$4,"Date after the as-of date",IF($B620&lt;Config!$B$5,"Date before the opening balance date","OK")))))))))))))))))</f>
        <v/>
      </c>
    </row>
    <row r="621">
      <c r="A621" s="46" t="n"/>
      <c r="B621" s="54" t="n"/>
      <c r="C621" s="46" t="n"/>
      <c r="D621" s="46" t="n"/>
      <c r="E621" s="55" t="n"/>
      <c r="F621" s="46" t="n"/>
      <c r="G621" s="46" t="n"/>
      <c r="H621" s="46" t="n"/>
      <c r="I621" s="46" t="n"/>
      <c r="J621" s="46" t="n"/>
      <c r="K621" s="46" t="n"/>
      <c r="L621" s="46" t="n"/>
      <c r="M621" s="51" t="str">
        <f>IF(NOT(ISNUMBER($E621)),"",IF($C621="Receipt",$E621,IF($C621="Shipment",-$E621,IF($C621="Adjustment",$E621,0))))</f>
        <v/>
      </c>
      <c r="N621" s="49" t="str">
        <f>IF($D621="","",IFERROR(INDEX(Products!$B$2:$B$101,MATCH($D621,Products!$A$2:$A$101,0))&amp;"","(not found)"))</f>
        <v/>
      </c>
      <c r="O621" s="49" t="str">
        <f>IF($F621="","",IFERROR(INDEX(Batches!$B$2:$B$301,MATCH($F621,Batches!$A$2:$A$301,0))&amp;"","(not found)"))</f>
        <v/>
      </c>
      <c r="P621" s="49" t="str">
        <f>IF(COUNTA($A621:$L621)=0,"",IF($A621="","Missing: entry ID",IF(COUNTIF($A$2:$A$2001,$A621)&gt;1,"Duplicate entry ID",IF(NOT(ISNUMBER($B621)),"Missing or invalid: date",IF($C621="","Missing: type",IF($D621="","Missing: SKU",IF(NOT(ISNUMBER($E621)),"Missing: qty",IF($F621="","Missing: lot",IF($I621="","Missing: source link",IF(COUNTIF(Config!$A$15:$A$34,$C621)=0,"Unsupported type",IF(COUNTIF(Products!$A$2:$A$101,$D621)=0,"Unknown SKU",IF(COUNTIFS(Batches!$A$2:$A$301,$F621,Batches!$B$2:$B$301,$D621)=0,"Unknown lot for this SKU",IF(AND($C621="Adjustment",$G621=""),"Missing: reason",IF(AND($G621&lt;&gt;"",COUNTIF(Config!$B$15:$B$34,$G621)=0),"Unsupported reason",IF(OR(INT($E621)&lt;&gt;$E621,AND(OR($C621="Receipt",$C621="Shipment"),$E621&lt;=0),AND($C621="Adjustment",$E621=0)),"Invalid qty",IF($B621&gt;Config!$B$4,"Date after the as-of date",IF($B621&lt;Config!$B$5,"Date before the opening balance date","OK")))))))))))))))))</f>
        <v/>
      </c>
    </row>
    <row r="622">
      <c r="A622" s="46" t="n"/>
      <c r="B622" s="54" t="n"/>
      <c r="C622" s="46" t="n"/>
      <c r="D622" s="46" t="n"/>
      <c r="E622" s="55" t="n"/>
      <c r="F622" s="46" t="n"/>
      <c r="G622" s="46" t="n"/>
      <c r="H622" s="46" t="n"/>
      <c r="I622" s="46" t="n"/>
      <c r="J622" s="46" t="n"/>
      <c r="K622" s="46" t="n"/>
      <c r="L622" s="46" t="n"/>
      <c r="M622" s="51" t="str">
        <f>IF(NOT(ISNUMBER($E622)),"",IF($C622="Receipt",$E622,IF($C622="Shipment",-$E622,IF($C622="Adjustment",$E622,0))))</f>
        <v/>
      </c>
      <c r="N622" s="49" t="str">
        <f>IF($D622="","",IFERROR(INDEX(Products!$B$2:$B$101,MATCH($D622,Products!$A$2:$A$101,0))&amp;"","(not found)"))</f>
        <v/>
      </c>
      <c r="O622" s="49" t="str">
        <f>IF($F622="","",IFERROR(INDEX(Batches!$B$2:$B$301,MATCH($F622,Batches!$A$2:$A$301,0))&amp;"","(not found)"))</f>
        <v/>
      </c>
      <c r="P622" s="49" t="str">
        <f>IF(COUNTA($A622:$L622)=0,"",IF($A622="","Missing: entry ID",IF(COUNTIF($A$2:$A$2001,$A622)&gt;1,"Duplicate entry ID",IF(NOT(ISNUMBER($B622)),"Missing or invalid: date",IF($C622="","Missing: type",IF($D622="","Missing: SKU",IF(NOT(ISNUMBER($E622)),"Missing: qty",IF($F622="","Missing: lot",IF($I622="","Missing: source link",IF(COUNTIF(Config!$A$15:$A$34,$C622)=0,"Unsupported type",IF(COUNTIF(Products!$A$2:$A$101,$D622)=0,"Unknown SKU",IF(COUNTIFS(Batches!$A$2:$A$301,$F622,Batches!$B$2:$B$301,$D622)=0,"Unknown lot for this SKU",IF(AND($C622="Adjustment",$G622=""),"Missing: reason",IF(AND($G622&lt;&gt;"",COUNTIF(Config!$B$15:$B$34,$G622)=0),"Unsupported reason",IF(OR(INT($E622)&lt;&gt;$E622,AND(OR($C622="Receipt",$C622="Shipment"),$E622&lt;=0),AND($C622="Adjustment",$E622=0)),"Invalid qty",IF($B622&gt;Config!$B$4,"Date after the as-of date",IF($B622&lt;Config!$B$5,"Date before the opening balance date","OK")))))))))))))))))</f>
        <v/>
      </c>
    </row>
    <row r="623">
      <c r="A623" s="46" t="n"/>
      <c r="B623" s="54" t="n"/>
      <c r="C623" s="46" t="n"/>
      <c r="D623" s="46" t="n"/>
      <c r="E623" s="55" t="n"/>
      <c r="F623" s="46" t="n"/>
      <c r="G623" s="46" t="n"/>
      <c r="H623" s="46" t="n"/>
      <c r="I623" s="46" t="n"/>
      <c r="J623" s="46" t="n"/>
      <c r="K623" s="46" t="n"/>
      <c r="L623" s="46" t="n"/>
      <c r="M623" s="51" t="str">
        <f>IF(NOT(ISNUMBER($E623)),"",IF($C623="Receipt",$E623,IF($C623="Shipment",-$E623,IF($C623="Adjustment",$E623,0))))</f>
        <v/>
      </c>
      <c r="N623" s="49" t="str">
        <f>IF($D623="","",IFERROR(INDEX(Products!$B$2:$B$101,MATCH($D623,Products!$A$2:$A$101,0))&amp;"","(not found)"))</f>
        <v/>
      </c>
      <c r="O623" s="49" t="str">
        <f>IF($F623="","",IFERROR(INDEX(Batches!$B$2:$B$301,MATCH($F623,Batches!$A$2:$A$301,0))&amp;"","(not found)"))</f>
        <v/>
      </c>
      <c r="P623" s="49" t="str">
        <f>IF(COUNTA($A623:$L623)=0,"",IF($A623="","Missing: entry ID",IF(COUNTIF($A$2:$A$2001,$A623)&gt;1,"Duplicate entry ID",IF(NOT(ISNUMBER($B623)),"Missing or invalid: date",IF($C623="","Missing: type",IF($D623="","Missing: SKU",IF(NOT(ISNUMBER($E623)),"Missing: qty",IF($F623="","Missing: lot",IF($I623="","Missing: source link",IF(COUNTIF(Config!$A$15:$A$34,$C623)=0,"Unsupported type",IF(COUNTIF(Products!$A$2:$A$101,$D623)=0,"Unknown SKU",IF(COUNTIFS(Batches!$A$2:$A$301,$F623,Batches!$B$2:$B$301,$D623)=0,"Unknown lot for this SKU",IF(AND($C623="Adjustment",$G623=""),"Missing: reason",IF(AND($G623&lt;&gt;"",COUNTIF(Config!$B$15:$B$34,$G623)=0),"Unsupported reason",IF(OR(INT($E623)&lt;&gt;$E623,AND(OR($C623="Receipt",$C623="Shipment"),$E623&lt;=0),AND($C623="Adjustment",$E623=0)),"Invalid qty",IF($B623&gt;Config!$B$4,"Date after the as-of date",IF($B623&lt;Config!$B$5,"Date before the opening balance date","OK")))))))))))))))))</f>
        <v/>
      </c>
    </row>
    <row r="624">
      <c r="A624" s="46" t="n"/>
      <c r="B624" s="54" t="n"/>
      <c r="C624" s="46" t="n"/>
      <c r="D624" s="46" t="n"/>
      <c r="E624" s="55" t="n"/>
      <c r="F624" s="46" t="n"/>
      <c r="G624" s="46" t="n"/>
      <c r="H624" s="46" t="n"/>
      <c r="I624" s="46" t="n"/>
      <c r="J624" s="46" t="n"/>
      <c r="K624" s="46" t="n"/>
      <c r="L624" s="46" t="n"/>
      <c r="M624" s="51" t="str">
        <f>IF(NOT(ISNUMBER($E624)),"",IF($C624="Receipt",$E624,IF($C624="Shipment",-$E624,IF($C624="Adjustment",$E624,0))))</f>
        <v/>
      </c>
      <c r="N624" s="49" t="str">
        <f>IF($D624="","",IFERROR(INDEX(Products!$B$2:$B$101,MATCH($D624,Products!$A$2:$A$101,0))&amp;"","(not found)"))</f>
        <v/>
      </c>
      <c r="O624" s="49" t="str">
        <f>IF($F624="","",IFERROR(INDEX(Batches!$B$2:$B$301,MATCH($F624,Batches!$A$2:$A$301,0))&amp;"","(not found)"))</f>
        <v/>
      </c>
      <c r="P624" s="49" t="str">
        <f>IF(COUNTA($A624:$L624)=0,"",IF($A624="","Missing: entry ID",IF(COUNTIF($A$2:$A$2001,$A624)&gt;1,"Duplicate entry ID",IF(NOT(ISNUMBER($B624)),"Missing or invalid: date",IF($C624="","Missing: type",IF($D624="","Missing: SKU",IF(NOT(ISNUMBER($E624)),"Missing: qty",IF($F624="","Missing: lot",IF($I624="","Missing: source link",IF(COUNTIF(Config!$A$15:$A$34,$C624)=0,"Unsupported type",IF(COUNTIF(Products!$A$2:$A$101,$D624)=0,"Unknown SKU",IF(COUNTIFS(Batches!$A$2:$A$301,$F624,Batches!$B$2:$B$301,$D624)=0,"Unknown lot for this SKU",IF(AND($C624="Adjustment",$G624=""),"Missing: reason",IF(AND($G624&lt;&gt;"",COUNTIF(Config!$B$15:$B$34,$G624)=0),"Unsupported reason",IF(OR(INT($E624)&lt;&gt;$E624,AND(OR($C624="Receipt",$C624="Shipment"),$E624&lt;=0),AND($C624="Adjustment",$E624=0)),"Invalid qty",IF($B624&gt;Config!$B$4,"Date after the as-of date",IF($B624&lt;Config!$B$5,"Date before the opening balance date","OK")))))))))))))))))</f>
        <v/>
      </c>
    </row>
    <row r="625">
      <c r="A625" s="46" t="n"/>
      <c r="B625" s="54" t="n"/>
      <c r="C625" s="46" t="n"/>
      <c r="D625" s="46" t="n"/>
      <c r="E625" s="55" t="n"/>
      <c r="F625" s="46" t="n"/>
      <c r="G625" s="46" t="n"/>
      <c r="H625" s="46" t="n"/>
      <c r="I625" s="46" t="n"/>
      <c r="J625" s="46" t="n"/>
      <c r="K625" s="46" t="n"/>
      <c r="L625" s="46" t="n"/>
      <c r="M625" s="51" t="str">
        <f>IF(NOT(ISNUMBER($E625)),"",IF($C625="Receipt",$E625,IF($C625="Shipment",-$E625,IF($C625="Adjustment",$E625,0))))</f>
        <v/>
      </c>
      <c r="N625" s="49" t="str">
        <f>IF($D625="","",IFERROR(INDEX(Products!$B$2:$B$101,MATCH($D625,Products!$A$2:$A$101,0))&amp;"","(not found)"))</f>
        <v/>
      </c>
      <c r="O625" s="49" t="str">
        <f>IF($F625="","",IFERROR(INDEX(Batches!$B$2:$B$301,MATCH($F625,Batches!$A$2:$A$301,0))&amp;"","(not found)"))</f>
        <v/>
      </c>
      <c r="P625" s="49" t="str">
        <f>IF(COUNTA($A625:$L625)=0,"",IF($A625="","Missing: entry ID",IF(COUNTIF($A$2:$A$2001,$A625)&gt;1,"Duplicate entry ID",IF(NOT(ISNUMBER($B625)),"Missing or invalid: date",IF($C625="","Missing: type",IF($D625="","Missing: SKU",IF(NOT(ISNUMBER($E625)),"Missing: qty",IF($F625="","Missing: lot",IF($I625="","Missing: source link",IF(COUNTIF(Config!$A$15:$A$34,$C625)=0,"Unsupported type",IF(COUNTIF(Products!$A$2:$A$101,$D625)=0,"Unknown SKU",IF(COUNTIFS(Batches!$A$2:$A$301,$F625,Batches!$B$2:$B$301,$D625)=0,"Unknown lot for this SKU",IF(AND($C625="Adjustment",$G625=""),"Missing: reason",IF(AND($G625&lt;&gt;"",COUNTIF(Config!$B$15:$B$34,$G625)=0),"Unsupported reason",IF(OR(INT($E625)&lt;&gt;$E625,AND(OR($C625="Receipt",$C625="Shipment"),$E625&lt;=0),AND($C625="Adjustment",$E625=0)),"Invalid qty",IF($B625&gt;Config!$B$4,"Date after the as-of date",IF($B625&lt;Config!$B$5,"Date before the opening balance date","OK")))))))))))))))))</f>
        <v/>
      </c>
    </row>
    <row r="626">
      <c r="A626" s="46" t="n"/>
      <c r="B626" s="54" t="n"/>
      <c r="C626" s="46" t="n"/>
      <c r="D626" s="46" t="n"/>
      <c r="E626" s="55" t="n"/>
      <c r="F626" s="46" t="n"/>
      <c r="G626" s="46" t="n"/>
      <c r="H626" s="46" t="n"/>
      <c r="I626" s="46" t="n"/>
      <c r="J626" s="46" t="n"/>
      <c r="K626" s="46" t="n"/>
      <c r="L626" s="46" t="n"/>
      <c r="M626" s="51" t="str">
        <f>IF(NOT(ISNUMBER($E626)),"",IF($C626="Receipt",$E626,IF($C626="Shipment",-$E626,IF($C626="Adjustment",$E626,0))))</f>
        <v/>
      </c>
      <c r="N626" s="49" t="str">
        <f>IF($D626="","",IFERROR(INDEX(Products!$B$2:$B$101,MATCH($D626,Products!$A$2:$A$101,0))&amp;"","(not found)"))</f>
        <v/>
      </c>
      <c r="O626" s="49" t="str">
        <f>IF($F626="","",IFERROR(INDEX(Batches!$B$2:$B$301,MATCH($F626,Batches!$A$2:$A$301,0))&amp;"","(not found)"))</f>
        <v/>
      </c>
      <c r="P626" s="49" t="str">
        <f>IF(COUNTA($A626:$L626)=0,"",IF($A626="","Missing: entry ID",IF(COUNTIF($A$2:$A$2001,$A626)&gt;1,"Duplicate entry ID",IF(NOT(ISNUMBER($B626)),"Missing or invalid: date",IF($C626="","Missing: type",IF($D626="","Missing: SKU",IF(NOT(ISNUMBER($E626)),"Missing: qty",IF($F626="","Missing: lot",IF($I626="","Missing: source link",IF(COUNTIF(Config!$A$15:$A$34,$C626)=0,"Unsupported type",IF(COUNTIF(Products!$A$2:$A$101,$D626)=0,"Unknown SKU",IF(COUNTIFS(Batches!$A$2:$A$301,$F626,Batches!$B$2:$B$301,$D626)=0,"Unknown lot for this SKU",IF(AND($C626="Adjustment",$G626=""),"Missing: reason",IF(AND($G626&lt;&gt;"",COUNTIF(Config!$B$15:$B$34,$G626)=0),"Unsupported reason",IF(OR(INT($E626)&lt;&gt;$E626,AND(OR($C626="Receipt",$C626="Shipment"),$E626&lt;=0),AND($C626="Adjustment",$E626=0)),"Invalid qty",IF($B626&gt;Config!$B$4,"Date after the as-of date",IF($B626&lt;Config!$B$5,"Date before the opening balance date","OK")))))))))))))))))</f>
        <v/>
      </c>
    </row>
    <row r="627">
      <c r="A627" s="46" t="n"/>
      <c r="B627" s="54" t="n"/>
      <c r="C627" s="46" t="n"/>
      <c r="D627" s="46" t="n"/>
      <c r="E627" s="55" t="n"/>
      <c r="F627" s="46" t="n"/>
      <c r="G627" s="46" t="n"/>
      <c r="H627" s="46" t="n"/>
      <c r="I627" s="46" t="n"/>
      <c r="J627" s="46" t="n"/>
      <c r="K627" s="46" t="n"/>
      <c r="L627" s="46" t="n"/>
      <c r="M627" s="51" t="str">
        <f>IF(NOT(ISNUMBER($E627)),"",IF($C627="Receipt",$E627,IF($C627="Shipment",-$E627,IF($C627="Adjustment",$E627,0))))</f>
        <v/>
      </c>
      <c r="N627" s="49" t="str">
        <f>IF($D627="","",IFERROR(INDEX(Products!$B$2:$B$101,MATCH($D627,Products!$A$2:$A$101,0))&amp;"","(not found)"))</f>
        <v/>
      </c>
      <c r="O627" s="49" t="str">
        <f>IF($F627="","",IFERROR(INDEX(Batches!$B$2:$B$301,MATCH($F627,Batches!$A$2:$A$301,0))&amp;"","(not found)"))</f>
        <v/>
      </c>
      <c r="P627" s="49" t="str">
        <f>IF(COUNTA($A627:$L627)=0,"",IF($A627="","Missing: entry ID",IF(COUNTIF($A$2:$A$2001,$A627)&gt;1,"Duplicate entry ID",IF(NOT(ISNUMBER($B627)),"Missing or invalid: date",IF($C627="","Missing: type",IF($D627="","Missing: SKU",IF(NOT(ISNUMBER($E627)),"Missing: qty",IF($F627="","Missing: lot",IF($I627="","Missing: source link",IF(COUNTIF(Config!$A$15:$A$34,$C627)=0,"Unsupported type",IF(COUNTIF(Products!$A$2:$A$101,$D627)=0,"Unknown SKU",IF(COUNTIFS(Batches!$A$2:$A$301,$F627,Batches!$B$2:$B$301,$D627)=0,"Unknown lot for this SKU",IF(AND($C627="Adjustment",$G627=""),"Missing: reason",IF(AND($G627&lt;&gt;"",COUNTIF(Config!$B$15:$B$34,$G627)=0),"Unsupported reason",IF(OR(INT($E627)&lt;&gt;$E627,AND(OR($C627="Receipt",$C627="Shipment"),$E627&lt;=0),AND($C627="Adjustment",$E627=0)),"Invalid qty",IF($B627&gt;Config!$B$4,"Date after the as-of date",IF($B627&lt;Config!$B$5,"Date before the opening balance date","OK")))))))))))))))))</f>
        <v/>
      </c>
    </row>
    <row r="628">
      <c r="A628" s="46" t="n"/>
      <c r="B628" s="54" t="n"/>
      <c r="C628" s="46" t="n"/>
      <c r="D628" s="46" t="n"/>
      <c r="E628" s="55" t="n"/>
      <c r="F628" s="46" t="n"/>
      <c r="G628" s="46" t="n"/>
      <c r="H628" s="46" t="n"/>
      <c r="I628" s="46" t="n"/>
      <c r="J628" s="46" t="n"/>
      <c r="K628" s="46" t="n"/>
      <c r="L628" s="46" t="n"/>
      <c r="M628" s="51" t="str">
        <f>IF(NOT(ISNUMBER($E628)),"",IF($C628="Receipt",$E628,IF($C628="Shipment",-$E628,IF($C628="Adjustment",$E628,0))))</f>
        <v/>
      </c>
      <c r="N628" s="49" t="str">
        <f>IF($D628="","",IFERROR(INDEX(Products!$B$2:$B$101,MATCH($D628,Products!$A$2:$A$101,0))&amp;"","(not found)"))</f>
        <v/>
      </c>
      <c r="O628" s="49" t="str">
        <f>IF($F628="","",IFERROR(INDEX(Batches!$B$2:$B$301,MATCH($F628,Batches!$A$2:$A$301,0))&amp;"","(not found)"))</f>
        <v/>
      </c>
      <c r="P628" s="49" t="str">
        <f>IF(COUNTA($A628:$L628)=0,"",IF($A628="","Missing: entry ID",IF(COUNTIF($A$2:$A$2001,$A628)&gt;1,"Duplicate entry ID",IF(NOT(ISNUMBER($B628)),"Missing or invalid: date",IF($C628="","Missing: type",IF($D628="","Missing: SKU",IF(NOT(ISNUMBER($E628)),"Missing: qty",IF($F628="","Missing: lot",IF($I628="","Missing: source link",IF(COUNTIF(Config!$A$15:$A$34,$C628)=0,"Unsupported type",IF(COUNTIF(Products!$A$2:$A$101,$D628)=0,"Unknown SKU",IF(COUNTIFS(Batches!$A$2:$A$301,$F628,Batches!$B$2:$B$301,$D628)=0,"Unknown lot for this SKU",IF(AND($C628="Adjustment",$G628=""),"Missing: reason",IF(AND($G628&lt;&gt;"",COUNTIF(Config!$B$15:$B$34,$G628)=0),"Unsupported reason",IF(OR(INT($E628)&lt;&gt;$E628,AND(OR($C628="Receipt",$C628="Shipment"),$E628&lt;=0),AND($C628="Adjustment",$E628=0)),"Invalid qty",IF($B628&gt;Config!$B$4,"Date after the as-of date",IF($B628&lt;Config!$B$5,"Date before the opening balance date","OK")))))))))))))))))</f>
        <v/>
      </c>
    </row>
    <row r="629">
      <c r="A629" s="46" t="n"/>
      <c r="B629" s="54" t="n"/>
      <c r="C629" s="46" t="n"/>
      <c r="D629" s="46" t="n"/>
      <c r="E629" s="55" t="n"/>
      <c r="F629" s="46" t="n"/>
      <c r="G629" s="46" t="n"/>
      <c r="H629" s="46" t="n"/>
      <c r="I629" s="46" t="n"/>
      <c r="J629" s="46" t="n"/>
      <c r="K629" s="46" t="n"/>
      <c r="L629" s="46" t="n"/>
      <c r="M629" s="51" t="str">
        <f>IF(NOT(ISNUMBER($E629)),"",IF($C629="Receipt",$E629,IF($C629="Shipment",-$E629,IF($C629="Adjustment",$E629,0))))</f>
        <v/>
      </c>
      <c r="N629" s="49" t="str">
        <f>IF($D629="","",IFERROR(INDEX(Products!$B$2:$B$101,MATCH($D629,Products!$A$2:$A$101,0))&amp;"","(not found)"))</f>
        <v/>
      </c>
      <c r="O629" s="49" t="str">
        <f>IF($F629="","",IFERROR(INDEX(Batches!$B$2:$B$301,MATCH($F629,Batches!$A$2:$A$301,0))&amp;"","(not found)"))</f>
        <v/>
      </c>
      <c r="P629" s="49" t="str">
        <f>IF(COUNTA($A629:$L629)=0,"",IF($A629="","Missing: entry ID",IF(COUNTIF($A$2:$A$2001,$A629)&gt;1,"Duplicate entry ID",IF(NOT(ISNUMBER($B629)),"Missing or invalid: date",IF($C629="","Missing: type",IF($D629="","Missing: SKU",IF(NOT(ISNUMBER($E629)),"Missing: qty",IF($F629="","Missing: lot",IF($I629="","Missing: source link",IF(COUNTIF(Config!$A$15:$A$34,$C629)=0,"Unsupported type",IF(COUNTIF(Products!$A$2:$A$101,$D629)=0,"Unknown SKU",IF(COUNTIFS(Batches!$A$2:$A$301,$F629,Batches!$B$2:$B$301,$D629)=0,"Unknown lot for this SKU",IF(AND($C629="Adjustment",$G629=""),"Missing: reason",IF(AND($G629&lt;&gt;"",COUNTIF(Config!$B$15:$B$34,$G629)=0),"Unsupported reason",IF(OR(INT($E629)&lt;&gt;$E629,AND(OR($C629="Receipt",$C629="Shipment"),$E629&lt;=0),AND($C629="Adjustment",$E629=0)),"Invalid qty",IF($B629&gt;Config!$B$4,"Date after the as-of date",IF($B629&lt;Config!$B$5,"Date before the opening balance date","OK")))))))))))))))))</f>
        <v/>
      </c>
    </row>
    <row r="630">
      <c r="A630" s="46" t="n"/>
      <c r="B630" s="54" t="n"/>
      <c r="C630" s="46" t="n"/>
      <c r="D630" s="46" t="n"/>
      <c r="E630" s="55" t="n"/>
      <c r="F630" s="46" t="n"/>
      <c r="G630" s="46" t="n"/>
      <c r="H630" s="46" t="n"/>
      <c r="I630" s="46" t="n"/>
      <c r="J630" s="46" t="n"/>
      <c r="K630" s="46" t="n"/>
      <c r="L630" s="46" t="n"/>
      <c r="M630" s="51" t="str">
        <f>IF(NOT(ISNUMBER($E630)),"",IF($C630="Receipt",$E630,IF($C630="Shipment",-$E630,IF($C630="Adjustment",$E630,0))))</f>
        <v/>
      </c>
      <c r="N630" s="49" t="str">
        <f>IF($D630="","",IFERROR(INDEX(Products!$B$2:$B$101,MATCH($D630,Products!$A$2:$A$101,0))&amp;"","(not found)"))</f>
        <v/>
      </c>
      <c r="O630" s="49" t="str">
        <f>IF($F630="","",IFERROR(INDEX(Batches!$B$2:$B$301,MATCH($F630,Batches!$A$2:$A$301,0))&amp;"","(not found)"))</f>
        <v/>
      </c>
      <c r="P630" s="49" t="str">
        <f>IF(COUNTA($A630:$L630)=0,"",IF($A630="","Missing: entry ID",IF(COUNTIF($A$2:$A$2001,$A630)&gt;1,"Duplicate entry ID",IF(NOT(ISNUMBER($B630)),"Missing or invalid: date",IF($C630="","Missing: type",IF($D630="","Missing: SKU",IF(NOT(ISNUMBER($E630)),"Missing: qty",IF($F630="","Missing: lot",IF($I630="","Missing: source link",IF(COUNTIF(Config!$A$15:$A$34,$C630)=0,"Unsupported type",IF(COUNTIF(Products!$A$2:$A$101,$D630)=0,"Unknown SKU",IF(COUNTIFS(Batches!$A$2:$A$301,$F630,Batches!$B$2:$B$301,$D630)=0,"Unknown lot for this SKU",IF(AND($C630="Adjustment",$G630=""),"Missing: reason",IF(AND($G630&lt;&gt;"",COUNTIF(Config!$B$15:$B$34,$G630)=0),"Unsupported reason",IF(OR(INT($E630)&lt;&gt;$E630,AND(OR($C630="Receipt",$C630="Shipment"),$E630&lt;=0),AND($C630="Adjustment",$E630=0)),"Invalid qty",IF($B630&gt;Config!$B$4,"Date after the as-of date",IF($B630&lt;Config!$B$5,"Date before the opening balance date","OK")))))))))))))))))</f>
        <v/>
      </c>
    </row>
    <row r="631">
      <c r="A631" s="46" t="n"/>
      <c r="B631" s="54" t="n"/>
      <c r="C631" s="46" t="n"/>
      <c r="D631" s="46" t="n"/>
      <c r="E631" s="55" t="n"/>
      <c r="F631" s="46" t="n"/>
      <c r="G631" s="46" t="n"/>
      <c r="H631" s="46" t="n"/>
      <c r="I631" s="46" t="n"/>
      <c r="J631" s="46" t="n"/>
      <c r="K631" s="46" t="n"/>
      <c r="L631" s="46" t="n"/>
      <c r="M631" s="51" t="str">
        <f>IF(NOT(ISNUMBER($E631)),"",IF($C631="Receipt",$E631,IF($C631="Shipment",-$E631,IF($C631="Adjustment",$E631,0))))</f>
        <v/>
      </c>
      <c r="N631" s="49" t="str">
        <f>IF($D631="","",IFERROR(INDEX(Products!$B$2:$B$101,MATCH($D631,Products!$A$2:$A$101,0))&amp;"","(not found)"))</f>
        <v/>
      </c>
      <c r="O631" s="49" t="str">
        <f>IF($F631="","",IFERROR(INDEX(Batches!$B$2:$B$301,MATCH($F631,Batches!$A$2:$A$301,0))&amp;"","(not found)"))</f>
        <v/>
      </c>
      <c r="P631" s="49" t="str">
        <f>IF(COUNTA($A631:$L631)=0,"",IF($A631="","Missing: entry ID",IF(COUNTIF($A$2:$A$2001,$A631)&gt;1,"Duplicate entry ID",IF(NOT(ISNUMBER($B631)),"Missing or invalid: date",IF($C631="","Missing: type",IF($D631="","Missing: SKU",IF(NOT(ISNUMBER($E631)),"Missing: qty",IF($F631="","Missing: lot",IF($I631="","Missing: source link",IF(COUNTIF(Config!$A$15:$A$34,$C631)=0,"Unsupported type",IF(COUNTIF(Products!$A$2:$A$101,$D631)=0,"Unknown SKU",IF(COUNTIFS(Batches!$A$2:$A$301,$F631,Batches!$B$2:$B$301,$D631)=0,"Unknown lot for this SKU",IF(AND($C631="Adjustment",$G631=""),"Missing: reason",IF(AND($G631&lt;&gt;"",COUNTIF(Config!$B$15:$B$34,$G631)=0),"Unsupported reason",IF(OR(INT($E631)&lt;&gt;$E631,AND(OR($C631="Receipt",$C631="Shipment"),$E631&lt;=0),AND($C631="Adjustment",$E631=0)),"Invalid qty",IF($B631&gt;Config!$B$4,"Date after the as-of date",IF($B631&lt;Config!$B$5,"Date before the opening balance date","OK")))))))))))))))))</f>
        <v/>
      </c>
    </row>
    <row r="632">
      <c r="A632" s="46" t="n"/>
      <c r="B632" s="54" t="n"/>
      <c r="C632" s="46" t="n"/>
      <c r="D632" s="46" t="n"/>
      <c r="E632" s="55" t="n"/>
      <c r="F632" s="46" t="n"/>
      <c r="G632" s="46" t="n"/>
      <c r="H632" s="46" t="n"/>
      <c r="I632" s="46" t="n"/>
      <c r="J632" s="46" t="n"/>
      <c r="K632" s="46" t="n"/>
      <c r="L632" s="46" t="n"/>
      <c r="M632" s="51" t="str">
        <f>IF(NOT(ISNUMBER($E632)),"",IF($C632="Receipt",$E632,IF($C632="Shipment",-$E632,IF($C632="Adjustment",$E632,0))))</f>
        <v/>
      </c>
      <c r="N632" s="49" t="str">
        <f>IF($D632="","",IFERROR(INDEX(Products!$B$2:$B$101,MATCH($D632,Products!$A$2:$A$101,0))&amp;"","(not found)"))</f>
        <v/>
      </c>
      <c r="O632" s="49" t="str">
        <f>IF($F632="","",IFERROR(INDEX(Batches!$B$2:$B$301,MATCH($F632,Batches!$A$2:$A$301,0))&amp;"","(not found)"))</f>
        <v/>
      </c>
      <c r="P632" s="49" t="str">
        <f>IF(COUNTA($A632:$L632)=0,"",IF($A632="","Missing: entry ID",IF(COUNTIF($A$2:$A$2001,$A632)&gt;1,"Duplicate entry ID",IF(NOT(ISNUMBER($B632)),"Missing or invalid: date",IF($C632="","Missing: type",IF($D632="","Missing: SKU",IF(NOT(ISNUMBER($E632)),"Missing: qty",IF($F632="","Missing: lot",IF($I632="","Missing: source link",IF(COUNTIF(Config!$A$15:$A$34,$C632)=0,"Unsupported type",IF(COUNTIF(Products!$A$2:$A$101,$D632)=0,"Unknown SKU",IF(COUNTIFS(Batches!$A$2:$A$301,$F632,Batches!$B$2:$B$301,$D632)=0,"Unknown lot for this SKU",IF(AND($C632="Adjustment",$G632=""),"Missing: reason",IF(AND($G632&lt;&gt;"",COUNTIF(Config!$B$15:$B$34,$G632)=0),"Unsupported reason",IF(OR(INT($E632)&lt;&gt;$E632,AND(OR($C632="Receipt",$C632="Shipment"),$E632&lt;=0),AND($C632="Adjustment",$E632=0)),"Invalid qty",IF($B632&gt;Config!$B$4,"Date after the as-of date",IF($B632&lt;Config!$B$5,"Date before the opening balance date","OK")))))))))))))))))</f>
        <v/>
      </c>
    </row>
    <row r="633">
      <c r="A633" s="46" t="n"/>
      <c r="B633" s="54" t="n"/>
      <c r="C633" s="46" t="n"/>
      <c r="D633" s="46" t="n"/>
      <c r="E633" s="55" t="n"/>
      <c r="F633" s="46" t="n"/>
      <c r="G633" s="46" t="n"/>
      <c r="H633" s="46" t="n"/>
      <c r="I633" s="46" t="n"/>
      <c r="J633" s="46" t="n"/>
      <c r="K633" s="46" t="n"/>
      <c r="L633" s="46" t="n"/>
      <c r="M633" s="51" t="str">
        <f>IF(NOT(ISNUMBER($E633)),"",IF($C633="Receipt",$E633,IF($C633="Shipment",-$E633,IF($C633="Adjustment",$E633,0))))</f>
        <v/>
      </c>
      <c r="N633" s="49" t="str">
        <f>IF($D633="","",IFERROR(INDEX(Products!$B$2:$B$101,MATCH($D633,Products!$A$2:$A$101,0))&amp;"","(not found)"))</f>
        <v/>
      </c>
      <c r="O633" s="49" t="str">
        <f>IF($F633="","",IFERROR(INDEX(Batches!$B$2:$B$301,MATCH($F633,Batches!$A$2:$A$301,0))&amp;"","(not found)"))</f>
        <v/>
      </c>
      <c r="P633" s="49" t="str">
        <f>IF(COUNTA($A633:$L633)=0,"",IF($A633="","Missing: entry ID",IF(COUNTIF($A$2:$A$2001,$A633)&gt;1,"Duplicate entry ID",IF(NOT(ISNUMBER($B633)),"Missing or invalid: date",IF($C633="","Missing: type",IF($D633="","Missing: SKU",IF(NOT(ISNUMBER($E633)),"Missing: qty",IF($F633="","Missing: lot",IF($I633="","Missing: source link",IF(COUNTIF(Config!$A$15:$A$34,$C633)=0,"Unsupported type",IF(COUNTIF(Products!$A$2:$A$101,$D633)=0,"Unknown SKU",IF(COUNTIFS(Batches!$A$2:$A$301,$F633,Batches!$B$2:$B$301,$D633)=0,"Unknown lot for this SKU",IF(AND($C633="Adjustment",$G633=""),"Missing: reason",IF(AND($G633&lt;&gt;"",COUNTIF(Config!$B$15:$B$34,$G633)=0),"Unsupported reason",IF(OR(INT($E633)&lt;&gt;$E633,AND(OR($C633="Receipt",$C633="Shipment"),$E633&lt;=0),AND($C633="Adjustment",$E633=0)),"Invalid qty",IF($B633&gt;Config!$B$4,"Date after the as-of date",IF($B633&lt;Config!$B$5,"Date before the opening balance date","OK")))))))))))))))))</f>
        <v/>
      </c>
    </row>
    <row r="634">
      <c r="A634" s="46" t="n"/>
      <c r="B634" s="54" t="n"/>
      <c r="C634" s="46" t="n"/>
      <c r="D634" s="46" t="n"/>
      <c r="E634" s="55" t="n"/>
      <c r="F634" s="46" t="n"/>
      <c r="G634" s="46" t="n"/>
      <c r="H634" s="46" t="n"/>
      <c r="I634" s="46" t="n"/>
      <c r="J634" s="46" t="n"/>
      <c r="K634" s="46" t="n"/>
      <c r="L634" s="46" t="n"/>
      <c r="M634" s="51" t="str">
        <f>IF(NOT(ISNUMBER($E634)),"",IF($C634="Receipt",$E634,IF($C634="Shipment",-$E634,IF($C634="Adjustment",$E634,0))))</f>
        <v/>
      </c>
      <c r="N634" s="49" t="str">
        <f>IF($D634="","",IFERROR(INDEX(Products!$B$2:$B$101,MATCH($D634,Products!$A$2:$A$101,0))&amp;"","(not found)"))</f>
        <v/>
      </c>
      <c r="O634" s="49" t="str">
        <f>IF($F634="","",IFERROR(INDEX(Batches!$B$2:$B$301,MATCH($F634,Batches!$A$2:$A$301,0))&amp;"","(not found)"))</f>
        <v/>
      </c>
      <c r="P634" s="49" t="str">
        <f>IF(COUNTA($A634:$L634)=0,"",IF($A634="","Missing: entry ID",IF(COUNTIF($A$2:$A$2001,$A634)&gt;1,"Duplicate entry ID",IF(NOT(ISNUMBER($B634)),"Missing or invalid: date",IF($C634="","Missing: type",IF($D634="","Missing: SKU",IF(NOT(ISNUMBER($E634)),"Missing: qty",IF($F634="","Missing: lot",IF($I634="","Missing: source link",IF(COUNTIF(Config!$A$15:$A$34,$C634)=0,"Unsupported type",IF(COUNTIF(Products!$A$2:$A$101,$D634)=0,"Unknown SKU",IF(COUNTIFS(Batches!$A$2:$A$301,$F634,Batches!$B$2:$B$301,$D634)=0,"Unknown lot for this SKU",IF(AND($C634="Adjustment",$G634=""),"Missing: reason",IF(AND($G634&lt;&gt;"",COUNTIF(Config!$B$15:$B$34,$G634)=0),"Unsupported reason",IF(OR(INT($E634)&lt;&gt;$E634,AND(OR($C634="Receipt",$C634="Shipment"),$E634&lt;=0),AND($C634="Adjustment",$E634=0)),"Invalid qty",IF($B634&gt;Config!$B$4,"Date after the as-of date",IF($B634&lt;Config!$B$5,"Date before the opening balance date","OK")))))))))))))))))</f>
        <v/>
      </c>
    </row>
    <row r="635">
      <c r="A635" s="46" t="n"/>
      <c r="B635" s="54" t="n"/>
      <c r="C635" s="46" t="n"/>
      <c r="D635" s="46" t="n"/>
      <c r="E635" s="55" t="n"/>
      <c r="F635" s="46" t="n"/>
      <c r="G635" s="46" t="n"/>
      <c r="H635" s="46" t="n"/>
      <c r="I635" s="46" t="n"/>
      <c r="J635" s="46" t="n"/>
      <c r="K635" s="46" t="n"/>
      <c r="L635" s="46" t="n"/>
      <c r="M635" s="51" t="str">
        <f>IF(NOT(ISNUMBER($E635)),"",IF($C635="Receipt",$E635,IF($C635="Shipment",-$E635,IF($C635="Adjustment",$E635,0))))</f>
        <v/>
      </c>
      <c r="N635" s="49" t="str">
        <f>IF($D635="","",IFERROR(INDEX(Products!$B$2:$B$101,MATCH($D635,Products!$A$2:$A$101,0))&amp;"","(not found)"))</f>
        <v/>
      </c>
      <c r="O635" s="49" t="str">
        <f>IF($F635="","",IFERROR(INDEX(Batches!$B$2:$B$301,MATCH($F635,Batches!$A$2:$A$301,0))&amp;"","(not found)"))</f>
        <v/>
      </c>
      <c r="P635" s="49" t="str">
        <f>IF(COUNTA($A635:$L635)=0,"",IF($A635="","Missing: entry ID",IF(COUNTIF($A$2:$A$2001,$A635)&gt;1,"Duplicate entry ID",IF(NOT(ISNUMBER($B635)),"Missing or invalid: date",IF($C635="","Missing: type",IF($D635="","Missing: SKU",IF(NOT(ISNUMBER($E635)),"Missing: qty",IF($F635="","Missing: lot",IF($I635="","Missing: source link",IF(COUNTIF(Config!$A$15:$A$34,$C635)=0,"Unsupported type",IF(COUNTIF(Products!$A$2:$A$101,$D635)=0,"Unknown SKU",IF(COUNTIFS(Batches!$A$2:$A$301,$F635,Batches!$B$2:$B$301,$D635)=0,"Unknown lot for this SKU",IF(AND($C635="Adjustment",$G635=""),"Missing: reason",IF(AND($G635&lt;&gt;"",COUNTIF(Config!$B$15:$B$34,$G635)=0),"Unsupported reason",IF(OR(INT($E635)&lt;&gt;$E635,AND(OR($C635="Receipt",$C635="Shipment"),$E635&lt;=0),AND($C635="Adjustment",$E635=0)),"Invalid qty",IF($B635&gt;Config!$B$4,"Date after the as-of date",IF($B635&lt;Config!$B$5,"Date before the opening balance date","OK")))))))))))))))))</f>
        <v/>
      </c>
    </row>
    <row r="636">
      <c r="A636" s="46" t="n"/>
      <c r="B636" s="54" t="n"/>
      <c r="C636" s="46" t="n"/>
      <c r="D636" s="46" t="n"/>
      <c r="E636" s="55" t="n"/>
      <c r="F636" s="46" t="n"/>
      <c r="G636" s="46" t="n"/>
      <c r="H636" s="46" t="n"/>
      <c r="I636" s="46" t="n"/>
      <c r="J636" s="46" t="n"/>
      <c r="K636" s="46" t="n"/>
      <c r="L636" s="46" t="n"/>
      <c r="M636" s="51" t="str">
        <f>IF(NOT(ISNUMBER($E636)),"",IF($C636="Receipt",$E636,IF($C636="Shipment",-$E636,IF($C636="Adjustment",$E636,0))))</f>
        <v/>
      </c>
      <c r="N636" s="49" t="str">
        <f>IF($D636="","",IFERROR(INDEX(Products!$B$2:$B$101,MATCH($D636,Products!$A$2:$A$101,0))&amp;"","(not found)"))</f>
        <v/>
      </c>
      <c r="O636" s="49" t="str">
        <f>IF($F636="","",IFERROR(INDEX(Batches!$B$2:$B$301,MATCH($F636,Batches!$A$2:$A$301,0))&amp;"","(not found)"))</f>
        <v/>
      </c>
      <c r="P636" s="49" t="str">
        <f>IF(COUNTA($A636:$L636)=0,"",IF($A636="","Missing: entry ID",IF(COUNTIF($A$2:$A$2001,$A636)&gt;1,"Duplicate entry ID",IF(NOT(ISNUMBER($B636)),"Missing or invalid: date",IF($C636="","Missing: type",IF($D636="","Missing: SKU",IF(NOT(ISNUMBER($E636)),"Missing: qty",IF($F636="","Missing: lot",IF($I636="","Missing: source link",IF(COUNTIF(Config!$A$15:$A$34,$C636)=0,"Unsupported type",IF(COUNTIF(Products!$A$2:$A$101,$D636)=0,"Unknown SKU",IF(COUNTIFS(Batches!$A$2:$A$301,$F636,Batches!$B$2:$B$301,$D636)=0,"Unknown lot for this SKU",IF(AND($C636="Adjustment",$G636=""),"Missing: reason",IF(AND($G636&lt;&gt;"",COUNTIF(Config!$B$15:$B$34,$G636)=0),"Unsupported reason",IF(OR(INT($E636)&lt;&gt;$E636,AND(OR($C636="Receipt",$C636="Shipment"),$E636&lt;=0),AND($C636="Adjustment",$E636=0)),"Invalid qty",IF($B636&gt;Config!$B$4,"Date after the as-of date",IF($B636&lt;Config!$B$5,"Date before the opening balance date","OK")))))))))))))))))</f>
        <v/>
      </c>
    </row>
    <row r="637">
      <c r="A637" s="46" t="n"/>
      <c r="B637" s="54" t="n"/>
      <c r="C637" s="46" t="n"/>
      <c r="D637" s="46" t="n"/>
      <c r="E637" s="55" t="n"/>
      <c r="F637" s="46" t="n"/>
      <c r="G637" s="46" t="n"/>
      <c r="H637" s="46" t="n"/>
      <c r="I637" s="46" t="n"/>
      <c r="J637" s="46" t="n"/>
      <c r="K637" s="46" t="n"/>
      <c r="L637" s="46" t="n"/>
      <c r="M637" s="51" t="str">
        <f>IF(NOT(ISNUMBER($E637)),"",IF($C637="Receipt",$E637,IF($C637="Shipment",-$E637,IF($C637="Adjustment",$E637,0))))</f>
        <v/>
      </c>
      <c r="N637" s="49" t="str">
        <f>IF($D637="","",IFERROR(INDEX(Products!$B$2:$B$101,MATCH($D637,Products!$A$2:$A$101,0))&amp;"","(not found)"))</f>
        <v/>
      </c>
      <c r="O637" s="49" t="str">
        <f>IF($F637="","",IFERROR(INDEX(Batches!$B$2:$B$301,MATCH($F637,Batches!$A$2:$A$301,0))&amp;"","(not found)"))</f>
        <v/>
      </c>
      <c r="P637" s="49" t="str">
        <f>IF(COUNTA($A637:$L637)=0,"",IF($A637="","Missing: entry ID",IF(COUNTIF($A$2:$A$2001,$A637)&gt;1,"Duplicate entry ID",IF(NOT(ISNUMBER($B637)),"Missing or invalid: date",IF($C637="","Missing: type",IF($D637="","Missing: SKU",IF(NOT(ISNUMBER($E637)),"Missing: qty",IF($F637="","Missing: lot",IF($I637="","Missing: source link",IF(COUNTIF(Config!$A$15:$A$34,$C637)=0,"Unsupported type",IF(COUNTIF(Products!$A$2:$A$101,$D637)=0,"Unknown SKU",IF(COUNTIFS(Batches!$A$2:$A$301,$F637,Batches!$B$2:$B$301,$D637)=0,"Unknown lot for this SKU",IF(AND($C637="Adjustment",$G637=""),"Missing: reason",IF(AND($G637&lt;&gt;"",COUNTIF(Config!$B$15:$B$34,$G637)=0),"Unsupported reason",IF(OR(INT($E637)&lt;&gt;$E637,AND(OR($C637="Receipt",$C637="Shipment"),$E637&lt;=0),AND($C637="Adjustment",$E637=0)),"Invalid qty",IF($B637&gt;Config!$B$4,"Date after the as-of date",IF($B637&lt;Config!$B$5,"Date before the opening balance date","OK")))))))))))))))))</f>
        <v/>
      </c>
    </row>
    <row r="638">
      <c r="A638" s="46" t="n"/>
      <c r="B638" s="54" t="n"/>
      <c r="C638" s="46" t="n"/>
      <c r="D638" s="46" t="n"/>
      <c r="E638" s="55" t="n"/>
      <c r="F638" s="46" t="n"/>
      <c r="G638" s="46" t="n"/>
      <c r="H638" s="46" t="n"/>
      <c r="I638" s="46" t="n"/>
      <c r="J638" s="46" t="n"/>
      <c r="K638" s="46" t="n"/>
      <c r="L638" s="46" t="n"/>
      <c r="M638" s="51" t="str">
        <f>IF(NOT(ISNUMBER($E638)),"",IF($C638="Receipt",$E638,IF($C638="Shipment",-$E638,IF($C638="Adjustment",$E638,0))))</f>
        <v/>
      </c>
      <c r="N638" s="49" t="str">
        <f>IF($D638="","",IFERROR(INDEX(Products!$B$2:$B$101,MATCH($D638,Products!$A$2:$A$101,0))&amp;"","(not found)"))</f>
        <v/>
      </c>
      <c r="O638" s="49" t="str">
        <f>IF($F638="","",IFERROR(INDEX(Batches!$B$2:$B$301,MATCH($F638,Batches!$A$2:$A$301,0))&amp;"","(not found)"))</f>
        <v/>
      </c>
      <c r="P638" s="49" t="str">
        <f>IF(COUNTA($A638:$L638)=0,"",IF($A638="","Missing: entry ID",IF(COUNTIF($A$2:$A$2001,$A638)&gt;1,"Duplicate entry ID",IF(NOT(ISNUMBER($B638)),"Missing or invalid: date",IF($C638="","Missing: type",IF($D638="","Missing: SKU",IF(NOT(ISNUMBER($E638)),"Missing: qty",IF($F638="","Missing: lot",IF($I638="","Missing: source link",IF(COUNTIF(Config!$A$15:$A$34,$C638)=0,"Unsupported type",IF(COUNTIF(Products!$A$2:$A$101,$D638)=0,"Unknown SKU",IF(COUNTIFS(Batches!$A$2:$A$301,$F638,Batches!$B$2:$B$301,$D638)=0,"Unknown lot for this SKU",IF(AND($C638="Adjustment",$G638=""),"Missing: reason",IF(AND($G638&lt;&gt;"",COUNTIF(Config!$B$15:$B$34,$G638)=0),"Unsupported reason",IF(OR(INT($E638)&lt;&gt;$E638,AND(OR($C638="Receipt",$C638="Shipment"),$E638&lt;=0),AND($C638="Adjustment",$E638=0)),"Invalid qty",IF($B638&gt;Config!$B$4,"Date after the as-of date",IF($B638&lt;Config!$B$5,"Date before the opening balance date","OK")))))))))))))))))</f>
        <v/>
      </c>
    </row>
    <row r="639">
      <c r="A639" s="46" t="n"/>
      <c r="B639" s="54" t="n"/>
      <c r="C639" s="46" t="n"/>
      <c r="D639" s="46" t="n"/>
      <c r="E639" s="55" t="n"/>
      <c r="F639" s="46" t="n"/>
      <c r="G639" s="46" t="n"/>
      <c r="H639" s="46" t="n"/>
      <c r="I639" s="46" t="n"/>
      <c r="J639" s="46" t="n"/>
      <c r="K639" s="46" t="n"/>
      <c r="L639" s="46" t="n"/>
      <c r="M639" s="51" t="str">
        <f>IF(NOT(ISNUMBER($E639)),"",IF($C639="Receipt",$E639,IF($C639="Shipment",-$E639,IF($C639="Adjustment",$E639,0))))</f>
        <v/>
      </c>
      <c r="N639" s="49" t="str">
        <f>IF($D639="","",IFERROR(INDEX(Products!$B$2:$B$101,MATCH($D639,Products!$A$2:$A$101,0))&amp;"","(not found)"))</f>
        <v/>
      </c>
      <c r="O639" s="49" t="str">
        <f>IF($F639="","",IFERROR(INDEX(Batches!$B$2:$B$301,MATCH($F639,Batches!$A$2:$A$301,0))&amp;"","(not found)"))</f>
        <v/>
      </c>
      <c r="P639" s="49" t="str">
        <f>IF(COUNTA($A639:$L639)=0,"",IF($A639="","Missing: entry ID",IF(COUNTIF($A$2:$A$2001,$A639)&gt;1,"Duplicate entry ID",IF(NOT(ISNUMBER($B639)),"Missing or invalid: date",IF($C639="","Missing: type",IF($D639="","Missing: SKU",IF(NOT(ISNUMBER($E639)),"Missing: qty",IF($F639="","Missing: lot",IF($I639="","Missing: source link",IF(COUNTIF(Config!$A$15:$A$34,$C639)=0,"Unsupported type",IF(COUNTIF(Products!$A$2:$A$101,$D639)=0,"Unknown SKU",IF(COUNTIFS(Batches!$A$2:$A$301,$F639,Batches!$B$2:$B$301,$D639)=0,"Unknown lot for this SKU",IF(AND($C639="Adjustment",$G639=""),"Missing: reason",IF(AND($G639&lt;&gt;"",COUNTIF(Config!$B$15:$B$34,$G639)=0),"Unsupported reason",IF(OR(INT($E639)&lt;&gt;$E639,AND(OR($C639="Receipt",$C639="Shipment"),$E639&lt;=0),AND($C639="Adjustment",$E639=0)),"Invalid qty",IF($B639&gt;Config!$B$4,"Date after the as-of date",IF($B639&lt;Config!$B$5,"Date before the opening balance date","OK")))))))))))))))))</f>
        <v/>
      </c>
    </row>
    <row r="640">
      <c r="A640" s="46" t="n"/>
      <c r="B640" s="54" t="n"/>
      <c r="C640" s="46" t="n"/>
      <c r="D640" s="46" t="n"/>
      <c r="E640" s="55" t="n"/>
      <c r="F640" s="46" t="n"/>
      <c r="G640" s="46" t="n"/>
      <c r="H640" s="46" t="n"/>
      <c r="I640" s="46" t="n"/>
      <c r="J640" s="46" t="n"/>
      <c r="K640" s="46" t="n"/>
      <c r="L640" s="46" t="n"/>
      <c r="M640" s="51" t="str">
        <f>IF(NOT(ISNUMBER($E640)),"",IF($C640="Receipt",$E640,IF($C640="Shipment",-$E640,IF($C640="Adjustment",$E640,0))))</f>
        <v/>
      </c>
      <c r="N640" s="49" t="str">
        <f>IF($D640="","",IFERROR(INDEX(Products!$B$2:$B$101,MATCH($D640,Products!$A$2:$A$101,0))&amp;"","(not found)"))</f>
        <v/>
      </c>
      <c r="O640" s="49" t="str">
        <f>IF($F640="","",IFERROR(INDEX(Batches!$B$2:$B$301,MATCH($F640,Batches!$A$2:$A$301,0))&amp;"","(not found)"))</f>
        <v/>
      </c>
      <c r="P640" s="49" t="str">
        <f>IF(COUNTA($A640:$L640)=0,"",IF($A640="","Missing: entry ID",IF(COUNTIF($A$2:$A$2001,$A640)&gt;1,"Duplicate entry ID",IF(NOT(ISNUMBER($B640)),"Missing or invalid: date",IF($C640="","Missing: type",IF($D640="","Missing: SKU",IF(NOT(ISNUMBER($E640)),"Missing: qty",IF($F640="","Missing: lot",IF($I640="","Missing: source link",IF(COUNTIF(Config!$A$15:$A$34,$C640)=0,"Unsupported type",IF(COUNTIF(Products!$A$2:$A$101,$D640)=0,"Unknown SKU",IF(COUNTIFS(Batches!$A$2:$A$301,$F640,Batches!$B$2:$B$301,$D640)=0,"Unknown lot for this SKU",IF(AND($C640="Adjustment",$G640=""),"Missing: reason",IF(AND($G640&lt;&gt;"",COUNTIF(Config!$B$15:$B$34,$G640)=0),"Unsupported reason",IF(OR(INT($E640)&lt;&gt;$E640,AND(OR($C640="Receipt",$C640="Shipment"),$E640&lt;=0),AND($C640="Adjustment",$E640=0)),"Invalid qty",IF($B640&gt;Config!$B$4,"Date after the as-of date",IF($B640&lt;Config!$B$5,"Date before the opening balance date","OK")))))))))))))))))</f>
        <v/>
      </c>
    </row>
    <row r="641">
      <c r="A641" s="46" t="n"/>
      <c r="B641" s="54" t="n"/>
      <c r="C641" s="46" t="n"/>
      <c r="D641" s="46" t="n"/>
      <c r="E641" s="55" t="n"/>
      <c r="F641" s="46" t="n"/>
      <c r="G641" s="46" t="n"/>
      <c r="H641" s="46" t="n"/>
      <c r="I641" s="46" t="n"/>
      <c r="J641" s="46" t="n"/>
      <c r="K641" s="46" t="n"/>
      <c r="L641" s="46" t="n"/>
      <c r="M641" s="51" t="str">
        <f>IF(NOT(ISNUMBER($E641)),"",IF($C641="Receipt",$E641,IF($C641="Shipment",-$E641,IF($C641="Adjustment",$E641,0))))</f>
        <v/>
      </c>
      <c r="N641" s="49" t="str">
        <f>IF($D641="","",IFERROR(INDEX(Products!$B$2:$B$101,MATCH($D641,Products!$A$2:$A$101,0))&amp;"","(not found)"))</f>
        <v/>
      </c>
      <c r="O641" s="49" t="str">
        <f>IF($F641="","",IFERROR(INDEX(Batches!$B$2:$B$301,MATCH($F641,Batches!$A$2:$A$301,0))&amp;"","(not found)"))</f>
        <v/>
      </c>
      <c r="P641" s="49" t="str">
        <f>IF(COUNTA($A641:$L641)=0,"",IF($A641="","Missing: entry ID",IF(COUNTIF($A$2:$A$2001,$A641)&gt;1,"Duplicate entry ID",IF(NOT(ISNUMBER($B641)),"Missing or invalid: date",IF($C641="","Missing: type",IF($D641="","Missing: SKU",IF(NOT(ISNUMBER($E641)),"Missing: qty",IF($F641="","Missing: lot",IF($I641="","Missing: source link",IF(COUNTIF(Config!$A$15:$A$34,$C641)=0,"Unsupported type",IF(COUNTIF(Products!$A$2:$A$101,$D641)=0,"Unknown SKU",IF(COUNTIFS(Batches!$A$2:$A$301,$F641,Batches!$B$2:$B$301,$D641)=0,"Unknown lot for this SKU",IF(AND($C641="Adjustment",$G641=""),"Missing: reason",IF(AND($G641&lt;&gt;"",COUNTIF(Config!$B$15:$B$34,$G641)=0),"Unsupported reason",IF(OR(INT($E641)&lt;&gt;$E641,AND(OR($C641="Receipt",$C641="Shipment"),$E641&lt;=0),AND($C641="Adjustment",$E641=0)),"Invalid qty",IF($B641&gt;Config!$B$4,"Date after the as-of date",IF($B641&lt;Config!$B$5,"Date before the opening balance date","OK")))))))))))))))))</f>
        <v/>
      </c>
    </row>
    <row r="642">
      <c r="A642" s="46" t="n"/>
      <c r="B642" s="54" t="n"/>
      <c r="C642" s="46" t="n"/>
      <c r="D642" s="46" t="n"/>
      <c r="E642" s="55" t="n"/>
      <c r="F642" s="46" t="n"/>
      <c r="G642" s="46" t="n"/>
      <c r="H642" s="46" t="n"/>
      <c r="I642" s="46" t="n"/>
      <c r="J642" s="46" t="n"/>
      <c r="K642" s="46" t="n"/>
      <c r="L642" s="46" t="n"/>
      <c r="M642" s="51" t="str">
        <f>IF(NOT(ISNUMBER($E642)),"",IF($C642="Receipt",$E642,IF($C642="Shipment",-$E642,IF($C642="Adjustment",$E642,0))))</f>
        <v/>
      </c>
      <c r="N642" s="49" t="str">
        <f>IF($D642="","",IFERROR(INDEX(Products!$B$2:$B$101,MATCH($D642,Products!$A$2:$A$101,0))&amp;"","(not found)"))</f>
        <v/>
      </c>
      <c r="O642" s="49" t="str">
        <f>IF($F642="","",IFERROR(INDEX(Batches!$B$2:$B$301,MATCH($F642,Batches!$A$2:$A$301,0))&amp;"","(not found)"))</f>
        <v/>
      </c>
      <c r="P642" s="49" t="str">
        <f>IF(COUNTA($A642:$L642)=0,"",IF($A642="","Missing: entry ID",IF(COUNTIF($A$2:$A$2001,$A642)&gt;1,"Duplicate entry ID",IF(NOT(ISNUMBER($B642)),"Missing or invalid: date",IF($C642="","Missing: type",IF($D642="","Missing: SKU",IF(NOT(ISNUMBER($E642)),"Missing: qty",IF($F642="","Missing: lot",IF($I642="","Missing: source link",IF(COUNTIF(Config!$A$15:$A$34,$C642)=0,"Unsupported type",IF(COUNTIF(Products!$A$2:$A$101,$D642)=0,"Unknown SKU",IF(COUNTIFS(Batches!$A$2:$A$301,$F642,Batches!$B$2:$B$301,$D642)=0,"Unknown lot for this SKU",IF(AND($C642="Adjustment",$G642=""),"Missing: reason",IF(AND($G642&lt;&gt;"",COUNTIF(Config!$B$15:$B$34,$G642)=0),"Unsupported reason",IF(OR(INT($E642)&lt;&gt;$E642,AND(OR($C642="Receipt",$C642="Shipment"),$E642&lt;=0),AND($C642="Adjustment",$E642=0)),"Invalid qty",IF($B642&gt;Config!$B$4,"Date after the as-of date",IF($B642&lt;Config!$B$5,"Date before the opening balance date","OK")))))))))))))))))</f>
        <v/>
      </c>
    </row>
    <row r="643">
      <c r="A643" s="46" t="n"/>
      <c r="B643" s="54" t="n"/>
      <c r="C643" s="46" t="n"/>
      <c r="D643" s="46" t="n"/>
      <c r="E643" s="55" t="n"/>
      <c r="F643" s="46" t="n"/>
      <c r="G643" s="46" t="n"/>
      <c r="H643" s="46" t="n"/>
      <c r="I643" s="46" t="n"/>
      <c r="J643" s="46" t="n"/>
      <c r="K643" s="46" t="n"/>
      <c r="L643" s="46" t="n"/>
      <c r="M643" s="51" t="str">
        <f>IF(NOT(ISNUMBER($E643)),"",IF($C643="Receipt",$E643,IF($C643="Shipment",-$E643,IF($C643="Adjustment",$E643,0))))</f>
        <v/>
      </c>
      <c r="N643" s="49" t="str">
        <f>IF($D643="","",IFERROR(INDEX(Products!$B$2:$B$101,MATCH($D643,Products!$A$2:$A$101,0))&amp;"","(not found)"))</f>
        <v/>
      </c>
      <c r="O643" s="49" t="str">
        <f>IF($F643="","",IFERROR(INDEX(Batches!$B$2:$B$301,MATCH($F643,Batches!$A$2:$A$301,0))&amp;"","(not found)"))</f>
        <v/>
      </c>
      <c r="P643" s="49" t="str">
        <f>IF(COUNTA($A643:$L643)=0,"",IF($A643="","Missing: entry ID",IF(COUNTIF($A$2:$A$2001,$A643)&gt;1,"Duplicate entry ID",IF(NOT(ISNUMBER($B643)),"Missing or invalid: date",IF($C643="","Missing: type",IF($D643="","Missing: SKU",IF(NOT(ISNUMBER($E643)),"Missing: qty",IF($F643="","Missing: lot",IF($I643="","Missing: source link",IF(COUNTIF(Config!$A$15:$A$34,$C643)=0,"Unsupported type",IF(COUNTIF(Products!$A$2:$A$101,$D643)=0,"Unknown SKU",IF(COUNTIFS(Batches!$A$2:$A$301,$F643,Batches!$B$2:$B$301,$D643)=0,"Unknown lot for this SKU",IF(AND($C643="Adjustment",$G643=""),"Missing: reason",IF(AND($G643&lt;&gt;"",COUNTIF(Config!$B$15:$B$34,$G643)=0),"Unsupported reason",IF(OR(INT($E643)&lt;&gt;$E643,AND(OR($C643="Receipt",$C643="Shipment"),$E643&lt;=0),AND($C643="Adjustment",$E643=0)),"Invalid qty",IF($B643&gt;Config!$B$4,"Date after the as-of date",IF($B643&lt;Config!$B$5,"Date before the opening balance date","OK")))))))))))))))))</f>
        <v/>
      </c>
    </row>
    <row r="644">
      <c r="A644" s="46" t="n"/>
      <c r="B644" s="54" t="n"/>
      <c r="C644" s="46" t="n"/>
      <c r="D644" s="46" t="n"/>
      <c r="E644" s="55" t="n"/>
      <c r="F644" s="46" t="n"/>
      <c r="G644" s="46" t="n"/>
      <c r="H644" s="46" t="n"/>
      <c r="I644" s="46" t="n"/>
      <c r="J644" s="46" t="n"/>
      <c r="K644" s="46" t="n"/>
      <c r="L644" s="46" t="n"/>
      <c r="M644" s="51" t="str">
        <f>IF(NOT(ISNUMBER($E644)),"",IF($C644="Receipt",$E644,IF($C644="Shipment",-$E644,IF($C644="Adjustment",$E644,0))))</f>
        <v/>
      </c>
      <c r="N644" s="49" t="str">
        <f>IF($D644="","",IFERROR(INDEX(Products!$B$2:$B$101,MATCH($D644,Products!$A$2:$A$101,0))&amp;"","(not found)"))</f>
        <v/>
      </c>
      <c r="O644" s="49" t="str">
        <f>IF($F644="","",IFERROR(INDEX(Batches!$B$2:$B$301,MATCH($F644,Batches!$A$2:$A$301,0))&amp;"","(not found)"))</f>
        <v/>
      </c>
      <c r="P644" s="49" t="str">
        <f>IF(COUNTA($A644:$L644)=0,"",IF($A644="","Missing: entry ID",IF(COUNTIF($A$2:$A$2001,$A644)&gt;1,"Duplicate entry ID",IF(NOT(ISNUMBER($B644)),"Missing or invalid: date",IF($C644="","Missing: type",IF($D644="","Missing: SKU",IF(NOT(ISNUMBER($E644)),"Missing: qty",IF($F644="","Missing: lot",IF($I644="","Missing: source link",IF(COUNTIF(Config!$A$15:$A$34,$C644)=0,"Unsupported type",IF(COUNTIF(Products!$A$2:$A$101,$D644)=0,"Unknown SKU",IF(COUNTIFS(Batches!$A$2:$A$301,$F644,Batches!$B$2:$B$301,$D644)=0,"Unknown lot for this SKU",IF(AND($C644="Adjustment",$G644=""),"Missing: reason",IF(AND($G644&lt;&gt;"",COUNTIF(Config!$B$15:$B$34,$G644)=0),"Unsupported reason",IF(OR(INT($E644)&lt;&gt;$E644,AND(OR($C644="Receipt",$C644="Shipment"),$E644&lt;=0),AND($C644="Adjustment",$E644=0)),"Invalid qty",IF($B644&gt;Config!$B$4,"Date after the as-of date",IF($B644&lt;Config!$B$5,"Date before the opening balance date","OK")))))))))))))))))</f>
        <v/>
      </c>
    </row>
    <row r="645">
      <c r="A645" s="46" t="n"/>
      <c r="B645" s="54" t="n"/>
      <c r="C645" s="46" t="n"/>
      <c r="D645" s="46" t="n"/>
      <c r="E645" s="55" t="n"/>
      <c r="F645" s="46" t="n"/>
      <c r="G645" s="46" t="n"/>
      <c r="H645" s="46" t="n"/>
      <c r="I645" s="46" t="n"/>
      <c r="J645" s="46" t="n"/>
      <c r="K645" s="46" t="n"/>
      <c r="L645" s="46" t="n"/>
      <c r="M645" s="51" t="str">
        <f>IF(NOT(ISNUMBER($E645)),"",IF($C645="Receipt",$E645,IF($C645="Shipment",-$E645,IF($C645="Adjustment",$E645,0))))</f>
        <v/>
      </c>
      <c r="N645" s="49" t="str">
        <f>IF($D645="","",IFERROR(INDEX(Products!$B$2:$B$101,MATCH($D645,Products!$A$2:$A$101,0))&amp;"","(not found)"))</f>
        <v/>
      </c>
      <c r="O645" s="49" t="str">
        <f>IF($F645="","",IFERROR(INDEX(Batches!$B$2:$B$301,MATCH($F645,Batches!$A$2:$A$301,0))&amp;"","(not found)"))</f>
        <v/>
      </c>
      <c r="P645" s="49" t="str">
        <f>IF(COUNTA($A645:$L645)=0,"",IF($A645="","Missing: entry ID",IF(COUNTIF($A$2:$A$2001,$A645)&gt;1,"Duplicate entry ID",IF(NOT(ISNUMBER($B645)),"Missing or invalid: date",IF($C645="","Missing: type",IF($D645="","Missing: SKU",IF(NOT(ISNUMBER($E645)),"Missing: qty",IF($F645="","Missing: lot",IF($I645="","Missing: source link",IF(COUNTIF(Config!$A$15:$A$34,$C645)=0,"Unsupported type",IF(COUNTIF(Products!$A$2:$A$101,$D645)=0,"Unknown SKU",IF(COUNTIFS(Batches!$A$2:$A$301,$F645,Batches!$B$2:$B$301,$D645)=0,"Unknown lot for this SKU",IF(AND($C645="Adjustment",$G645=""),"Missing: reason",IF(AND($G645&lt;&gt;"",COUNTIF(Config!$B$15:$B$34,$G645)=0),"Unsupported reason",IF(OR(INT($E645)&lt;&gt;$E645,AND(OR($C645="Receipt",$C645="Shipment"),$E645&lt;=0),AND($C645="Adjustment",$E645=0)),"Invalid qty",IF($B645&gt;Config!$B$4,"Date after the as-of date",IF($B645&lt;Config!$B$5,"Date before the opening balance date","OK")))))))))))))))))</f>
        <v/>
      </c>
    </row>
    <row r="646">
      <c r="A646" s="46" t="n"/>
      <c r="B646" s="54" t="n"/>
      <c r="C646" s="46" t="n"/>
      <c r="D646" s="46" t="n"/>
      <c r="E646" s="55" t="n"/>
      <c r="F646" s="46" t="n"/>
      <c r="G646" s="46" t="n"/>
      <c r="H646" s="46" t="n"/>
      <c r="I646" s="46" t="n"/>
      <c r="J646" s="46" t="n"/>
      <c r="K646" s="46" t="n"/>
      <c r="L646" s="46" t="n"/>
      <c r="M646" s="51" t="str">
        <f>IF(NOT(ISNUMBER($E646)),"",IF($C646="Receipt",$E646,IF($C646="Shipment",-$E646,IF($C646="Adjustment",$E646,0))))</f>
        <v/>
      </c>
      <c r="N646" s="49" t="str">
        <f>IF($D646="","",IFERROR(INDEX(Products!$B$2:$B$101,MATCH($D646,Products!$A$2:$A$101,0))&amp;"","(not found)"))</f>
        <v/>
      </c>
      <c r="O646" s="49" t="str">
        <f>IF($F646="","",IFERROR(INDEX(Batches!$B$2:$B$301,MATCH($F646,Batches!$A$2:$A$301,0))&amp;"","(not found)"))</f>
        <v/>
      </c>
      <c r="P646" s="49" t="str">
        <f>IF(COUNTA($A646:$L646)=0,"",IF($A646="","Missing: entry ID",IF(COUNTIF($A$2:$A$2001,$A646)&gt;1,"Duplicate entry ID",IF(NOT(ISNUMBER($B646)),"Missing or invalid: date",IF($C646="","Missing: type",IF($D646="","Missing: SKU",IF(NOT(ISNUMBER($E646)),"Missing: qty",IF($F646="","Missing: lot",IF($I646="","Missing: source link",IF(COUNTIF(Config!$A$15:$A$34,$C646)=0,"Unsupported type",IF(COUNTIF(Products!$A$2:$A$101,$D646)=0,"Unknown SKU",IF(COUNTIFS(Batches!$A$2:$A$301,$F646,Batches!$B$2:$B$301,$D646)=0,"Unknown lot for this SKU",IF(AND($C646="Adjustment",$G646=""),"Missing: reason",IF(AND($G646&lt;&gt;"",COUNTIF(Config!$B$15:$B$34,$G646)=0),"Unsupported reason",IF(OR(INT($E646)&lt;&gt;$E646,AND(OR($C646="Receipt",$C646="Shipment"),$E646&lt;=0),AND($C646="Adjustment",$E646=0)),"Invalid qty",IF($B646&gt;Config!$B$4,"Date after the as-of date",IF($B646&lt;Config!$B$5,"Date before the opening balance date","OK")))))))))))))))))</f>
        <v/>
      </c>
    </row>
    <row r="647">
      <c r="A647" s="46" t="n"/>
      <c r="B647" s="54" t="n"/>
      <c r="C647" s="46" t="n"/>
      <c r="D647" s="46" t="n"/>
      <c r="E647" s="55" t="n"/>
      <c r="F647" s="46" t="n"/>
      <c r="G647" s="46" t="n"/>
      <c r="H647" s="46" t="n"/>
      <c r="I647" s="46" t="n"/>
      <c r="J647" s="46" t="n"/>
      <c r="K647" s="46" t="n"/>
      <c r="L647" s="46" t="n"/>
      <c r="M647" s="51" t="str">
        <f>IF(NOT(ISNUMBER($E647)),"",IF($C647="Receipt",$E647,IF($C647="Shipment",-$E647,IF($C647="Adjustment",$E647,0))))</f>
        <v/>
      </c>
      <c r="N647" s="49" t="str">
        <f>IF($D647="","",IFERROR(INDEX(Products!$B$2:$B$101,MATCH($D647,Products!$A$2:$A$101,0))&amp;"","(not found)"))</f>
        <v/>
      </c>
      <c r="O647" s="49" t="str">
        <f>IF($F647="","",IFERROR(INDEX(Batches!$B$2:$B$301,MATCH($F647,Batches!$A$2:$A$301,0))&amp;"","(not found)"))</f>
        <v/>
      </c>
      <c r="P647" s="49" t="str">
        <f>IF(COUNTA($A647:$L647)=0,"",IF($A647="","Missing: entry ID",IF(COUNTIF($A$2:$A$2001,$A647)&gt;1,"Duplicate entry ID",IF(NOT(ISNUMBER($B647)),"Missing or invalid: date",IF($C647="","Missing: type",IF($D647="","Missing: SKU",IF(NOT(ISNUMBER($E647)),"Missing: qty",IF($F647="","Missing: lot",IF($I647="","Missing: source link",IF(COUNTIF(Config!$A$15:$A$34,$C647)=0,"Unsupported type",IF(COUNTIF(Products!$A$2:$A$101,$D647)=0,"Unknown SKU",IF(COUNTIFS(Batches!$A$2:$A$301,$F647,Batches!$B$2:$B$301,$D647)=0,"Unknown lot for this SKU",IF(AND($C647="Adjustment",$G647=""),"Missing: reason",IF(AND($G647&lt;&gt;"",COUNTIF(Config!$B$15:$B$34,$G647)=0),"Unsupported reason",IF(OR(INT($E647)&lt;&gt;$E647,AND(OR($C647="Receipt",$C647="Shipment"),$E647&lt;=0),AND($C647="Adjustment",$E647=0)),"Invalid qty",IF($B647&gt;Config!$B$4,"Date after the as-of date",IF($B647&lt;Config!$B$5,"Date before the opening balance date","OK")))))))))))))))))</f>
        <v/>
      </c>
    </row>
    <row r="648">
      <c r="A648" s="46" t="n"/>
      <c r="B648" s="54" t="n"/>
      <c r="C648" s="46" t="n"/>
      <c r="D648" s="46" t="n"/>
      <c r="E648" s="55" t="n"/>
      <c r="F648" s="46" t="n"/>
      <c r="G648" s="46" t="n"/>
      <c r="H648" s="46" t="n"/>
      <c r="I648" s="46" t="n"/>
      <c r="J648" s="46" t="n"/>
      <c r="K648" s="46" t="n"/>
      <c r="L648" s="46" t="n"/>
      <c r="M648" s="51" t="str">
        <f>IF(NOT(ISNUMBER($E648)),"",IF($C648="Receipt",$E648,IF($C648="Shipment",-$E648,IF($C648="Adjustment",$E648,0))))</f>
        <v/>
      </c>
      <c r="N648" s="49" t="str">
        <f>IF($D648="","",IFERROR(INDEX(Products!$B$2:$B$101,MATCH($D648,Products!$A$2:$A$101,0))&amp;"","(not found)"))</f>
        <v/>
      </c>
      <c r="O648" s="49" t="str">
        <f>IF($F648="","",IFERROR(INDEX(Batches!$B$2:$B$301,MATCH($F648,Batches!$A$2:$A$301,0))&amp;"","(not found)"))</f>
        <v/>
      </c>
      <c r="P648" s="49" t="str">
        <f>IF(COUNTA($A648:$L648)=0,"",IF($A648="","Missing: entry ID",IF(COUNTIF($A$2:$A$2001,$A648)&gt;1,"Duplicate entry ID",IF(NOT(ISNUMBER($B648)),"Missing or invalid: date",IF($C648="","Missing: type",IF($D648="","Missing: SKU",IF(NOT(ISNUMBER($E648)),"Missing: qty",IF($F648="","Missing: lot",IF($I648="","Missing: source link",IF(COUNTIF(Config!$A$15:$A$34,$C648)=0,"Unsupported type",IF(COUNTIF(Products!$A$2:$A$101,$D648)=0,"Unknown SKU",IF(COUNTIFS(Batches!$A$2:$A$301,$F648,Batches!$B$2:$B$301,$D648)=0,"Unknown lot for this SKU",IF(AND($C648="Adjustment",$G648=""),"Missing: reason",IF(AND($G648&lt;&gt;"",COUNTIF(Config!$B$15:$B$34,$G648)=0),"Unsupported reason",IF(OR(INT($E648)&lt;&gt;$E648,AND(OR($C648="Receipt",$C648="Shipment"),$E648&lt;=0),AND($C648="Adjustment",$E648=0)),"Invalid qty",IF($B648&gt;Config!$B$4,"Date after the as-of date",IF($B648&lt;Config!$B$5,"Date before the opening balance date","OK")))))))))))))))))</f>
        <v/>
      </c>
    </row>
    <row r="649">
      <c r="A649" s="46" t="n"/>
      <c r="B649" s="54" t="n"/>
      <c r="C649" s="46" t="n"/>
      <c r="D649" s="46" t="n"/>
      <c r="E649" s="55" t="n"/>
      <c r="F649" s="46" t="n"/>
      <c r="G649" s="46" t="n"/>
      <c r="H649" s="46" t="n"/>
      <c r="I649" s="46" t="n"/>
      <c r="J649" s="46" t="n"/>
      <c r="K649" s="46" t="n"/>
      <c r="L649" s="46" t="n"/>
      <c r="M649" s="51" t="str">
        <f>IF(NOT(ISNUMBER($E649)),"",IF($C649="Receipt",$E649,IF($C649="Shipment",-$E649,IF($C649="Adjustment",$E649,0))))</f>
        <v/>
      </c>
      <c r="N649" s="49" t="str">
        <f>IF($D649="","",IFERROR(INDEX(Products!$B$2:$B$101,MATCH($D649,Products!$A$2:$A$101,0))&amp;"","(not found)"))</f>
        <v/>
      </c>
      <c r="O649" s="49" t="str">
        <f>IF($F649="","",IFERROR(INDEX(Batches!$B$2:$B$301,MATCH($F649,Batches!$A$2:$A$301,0))&amp;"","(not found)"))</f>
        <v/>
      </c>
      <c r="P649" s="49" t="str">
        <f>IF(COUNTA($A649:$L649)=0,"",IF($A649="","Missing: entry ID",IF(COUNTIF($A$2:$A$2001,$A649)&gt;1,"Duplicate entry ID",IF(NOT(ISNUMBER($B649)),"Missing or invalid: date",IF($C649="","Missing: type",IF($D649="","Missing: SKU",IF(NOT(ISNUMBER($E649)),"Missing: qty",IF($F649="","Missing: lot",IF($I649="","Missing: source link",IF(COUNTIF(Config!$A$15:$A$34,$C649)=0,"Unsupported type",IF(COUNTIF(Products!$A$2:$A$101,$D649)=0,"Unknown SKU",IF(COUNTIFS(Batches!$A$2:$A$301,$F649,Batches!$B$2:$B$301,$D649)=0,"Unknown lot for this SKU",IF(AND($C649="Adjustment",$G649=""),"Missing: reason",IF(AND($G649&lt;&gt;"",COUNTIF(Config!$B$15:$B$34,$G649)=0),"Unsupported reason",IF(OR(INT($E649)&lt;&gt;$E649,AND(OR($C649="Receipt",$C649="Shipment"),$E649&lt;=0),AND($C649="Adjustment",$E649=0)),"Invalid qty",IF($B649&gt;Config!$B$4,"Date after the as-of date",IF($B649&lt;Config!$B$5,"Date before the opening balance date","OK")))))))))))))))))</f>
        <v/>
      </c>
    </row>
    <row r="650">
      <c r="A650" s="46" t="n"/>
      <c r="B650" s="54" t="n"/>
      <c r="C650" s="46" t="n"/>
      <c r="D650" s="46" t="n"/>
      <c r="E650" s="55" t="n"/>
      <c r="F650" s="46" t="n"/>
      <c r="G650" s="46" t="n"/>
      <c r="H650" s="46" t="n"/>
      <c r="I650" s="46" t="n"/>
      <c r="J650" s="46" t="n"/>
      <c r="K650" s="46" t="n"/>
      <c r="L650" s="46" t="n"/>
      <c r="M650" s="51" t="str">
        <f>IF(NOT(ISNUMBER($E650)),"",IF($C650="Receipt",$E650,IF($C650="Shipment",-$E650,IF($C650="Adjustment",$E650,0))))</f>
        <v/>
      </c>
      <c r="N650" s="49" t="str">
        <f>IF($D650="","",IFERROR(INDEX(Products!$B$2:$B$101,MATCH($D650,Products!$A$2:$A$101,0))&amp;"","(not found)"))</f>
        <v/>
      </c>
      <c r="O650" s="49" t="str">
        <f>IF($F650="","",IFERROR(INDEX(Batches!$B$2:$B$301,MATCH($F650,Batches!$A$2:$A$301,0))&amp;"","(not found)"))</f>
        <v/>
      </c>
      <c r="P650" s="49" t="str">
        <f>IF(COUNTA($A650:$L650)=0,"",IF($A650="","Missing: entry ID",IF(COUNTIF($A$2:$A$2001,$A650)&gt;1,"Duplicate entry ID",IF(NOT(ISNUMBER($B650)),"Missing or invalid: date",IF($C650="","Missing: type",IF($D650="","Missing: SKU",IF(NOT(ISNUMBER($E650)),"Missing: qty",IF($F650="","Missing: lot",IF($I650="","Missing: source link",IF(COUNTIF(Config!$A$15:$A$34,$C650)=0,"Unsupported type",IF(COUNTIF(Products!$A$2:$A$101,$D650)=0,"Unknown SKU",IF(COUNTIFS(Batches!$A$2:$A$301,$F650,Batches!$B$2:$B$301,$D650)=0,"Unknown lot for this SKU",IF(AND($C650="Adjustment",$G650=""),"Missing: reason",IF(AND($G650&lt;&gt;"",COUNTIF(Config!$B$15:$B$34,$G650)=0),"Unsupported reason",IF(OR(INT($E650)&lt;&gt;$E650,AND(OR($C650="Receipt",$C650="Shipment"),$E650&lt;=0),AND($C650="Adjustment",$E650=0)),"Invalid qty",IF($B650&gt;Config!$B$4,"Date after the as-of date",IF($B650&lt;Config!$B$5,"Date before the opening balance date","OK")))))))))))))))))</f>
        <v/>
      </c>
    </row>
    <row r="651">
      <c r="A651" s="46" t="n"/>
      <c r="B651" s="54" t="n"/>
      <c r="C651" s="46" t="n"/>
      <c r="D651" s="46" t="n"/>
      <c r="E651" s="55" t="n"/>
      <c r="F651" s="46" t="n"/>
      <c r="G651" s="46" t="n"/>
      <c r="H651" s="46" t="n"/>
      <c r="I651" s="46" t="n"/>
      <c r="J651" s="46" t="n"/>
      <c r="K651" s="46" t="n"/>
      <c r="L651" s="46" t="n"/>
      <c r="M651" s="51" t="str">
        <f>IF(NOT(ISNUMBER($E651)),"",IF($C651="Receipt",$E651,IF($C651="Shipment",-$E651,IF($C651="Adjustment",$E651,0))))</f>
        <v/>
      </c>
      <c r="N651" s="49" t="str">
        <f>IF($D651="","",IFERROR(INDEX(Products!$B$2:$B$101,MATCH($D651,Products!$A$2:$A$101,0))&amp;"","(not found)"))</f>
        <v/>
      </c>
      <c r="O651" s="49" t="str">
        <f>IF($F651="","",IFERROR(INDEX(Batches!$B$2:$B$301,MATCH($F651,Batches!$A$2:$A$301,0))&amp;"","(not found)"))</f>
        <v/>
      </c>
      <c r="P651" s="49" t="str">
        <f>IF(COUNTA($A651:$L651)=0,"",IF($A651="","Missing: entry ID",IF(COUNTIF($A$2:$A$2001,$A651)&gt;1,"Duplicate entry ID",IF(NOT(ISNUMBER($B651)),"Missing or invalid: date",IF($C651="","Missing: type",IF($D651="","Missing: SKU",IF(NOT(ISNUMBER($E651)),"Missing: qty",IF($F651="","Missing: lot",IF($I651="","Missing: source link",IF(COUNTIF(Config!$A$15:$A$34,$C651)=0,"Unsupported type",IF(COUNTIF(Products!$A$2:$A$101,$D651)=0,"Unknown SKU",IF(COUNTIFS(Batches!$A$2:$A$301,$F651,Batches!$B$2:$B$301,$D651)=0,"Unknown lot for this SKU",IF(AND($C651="Adjustment",$G651=""),"Missing: reason",IF(AND($G651&lt;&gt;"",COUNTIF(Config!$B$15:$B$34,$G651)=0),"Unsupported reason",IF(OR(INT($E651)&lt;&gt;$E651,AND(OR($C651="Receipt",$C651="Shipment"),$E651&lt;=0),AND($C651="Adjustment",$E651=0)),"Invalid qty",IF($B651&gt;Config!$B$4,"Date after the as-of date",IF($B651&lt;Config!$B$5,"Date before the opening balance date","OK")))))))))))))))))</f>
        <v/>
      </c>
    </row>
    <row r="652">
      <c r="A652" s="46" t="n"/>
      <c r="B652" s="54" t="n"/>
      <c r="C652" s="46" t="n"/>
      <c r="D652" s="46" t="n"/>
      <c r="E652" s="55" t="n"/>
      <c r="F652" s="46" t="n"/>
      <c r="G652" s="46" t="n"/>
      <c r="H652" s="46" t="n"/>
      <c r="I652" s="46" t="n"/>
      <c r="J652" s="46" t="n"/>
      <c r="K652" s="46" t="n"/>
      <c r="L652" s="46" t="n"/>
      <c r="M652" s="51" t="str">
        <f>IF(NOT(ISNUMBER($E652)),"",IF($C652="Receipt",$E652,IF($C652="Shipment",-$E652,IF($C652="Adjustment",$E652,0))))</f>
        <v/>
      </c>
      <c r="N652" s="49" t="str">
        <f>IF($D652="","",IFERROR(INDEX(Products!$B$2:$B$101,MATCH($D652,Products!$A$2:$A$101,0))&amp;"","(not found)"))</f>
        <v/>
      </c>
      <c r="O652" s="49" t="str">
        <f>IF($F652="","",IFERROR(INDEX(Batches!$B$2:$B$301,MATCH($F652,Batches!$A$2:$A$301,0))&amp;"","(not found)"))</f>
        <v/>
      </c>
      <c r="P652" s="49" t="str">
        <f>IF(COUNTA($A652:$L652)=0,"",IF($A652="","Missing: entry ID",IF(COUNTIF($A$2:$A$2001,$A652)&gt;1,"Duplicate entry ID",IF(NOT(ISNUMBER($B652)),"Missing or invalid: date",IF($C652="","Missing: type",IF($D652="","Missing: SKU",IF(NOT(ISNUMBER($E652)),"Missing: qty",IF($F652="","Missing: lot",IF($I652="","Missing: source link",IF(COUNTIF(Config!$A$15:$A$34,$C652)=0,"Unsupported type",IF(COUNTIF(Products!$A$2:$A$101,$D652)=0,"Unknown SKU",IF(COUNTIFS(Batches!$A$2:$A$301,$F652,Batches!$B$2:$B$301,$D652)=0,"Unknown lot for this SKU",IF(AND($C652="Adjustment",$G652=""),"Missing: reason",IF(AND($G652&lt;&gt;"",COUNTIF(Config!$B$15:$B$34,$G652)=0),"Unsupported reason",IF(OR(INT($E652)&lt;&gt;$E652,AND(OR($C652="Receipt",$C652="Shipment"),$E652&lt;=0),AND($C652="Adjustment",$E652=0)),"Invalid qty",IF($B652&gt;Config!$B$4,"Date after the as-of date",IF($B652&lt;Config!$B$5,"Date before the opening balance date","OK")))))))))))))))))</f>
        <v/>
      </c>
    </row>
    <row r="653">
      <c r="A653" s="46" t="n"/>
      <c r="B653" s="54" t="n"/>
      <c r="C653" s="46" t="n"/>
      <c r="D653" s="46" t="n"/>
      <c r="E653" s="55" t="n"/>
      <c r="F653" s="46" t="n"/>
      <c r="G653" s="46" t="n"/>
      <c r="H653" s="46" t="n"/>
      <c r="I653" s="46" t="n"/>
      <c r="J653" s="46" t="n"/>
      <c r="K653" s="46" t="n"/>
      <c r="L653" s="46" t="n"/>
      <c r="M653" s="51" t="str">
        <f>IF(NOT(ISNUMBER($E653)),"",IF($C653="Receipt",$E653,IF($C653="Shipment",-$E653,IF($C653="Adjustment",$E653,0))))</f>
        <v/>
      </c>
      <c r="N653" s="49" t="str">
        <f>IF($D653="","",IFERROR(INDEX(Products!$B$2:$B$101,MATCH($D653,Products!$A$2:$A$101,0))&amp;"","(not found)"))</f>
        <v/>
      </c>
      <c r="O653" s="49" t="str">
        <f>IF($F653="","",IFERROR(INDEX(Batches!$B$2:$B$301,MATCH($F653,Batches!$A$2:$A$301,0))&amp;"","(not found)"))</f>
        <v/>
      </c>
      <c r="P653" s="49" t="str">
        <f>IF(COUNTA($A653:$L653)=0,"",IF($A653="","Missing: entry ID",IF(COUNTIF($A$2:$A$2001,$A653)&gt;1,"Duplicate entry ID",IF(NOT(ISNUMBER($B653)),"Missing or invalid: date",IF($C653="","Missing: type",IF($D653="","Missing: SKU",IF(NOT(ISNUMBER($E653)),"Missing: qty",IF($F653="","Missing: lot",IF($I653="","Missing: source link",IF(COUNTIF(Config!$A$15:$A$34,$C653)=0,"Unsupported type",IF(COUNTIF(Products!$A$2:$A$101,$D653)=0,"Unknown SKU",IF(COUNTIFS(Batches!$A$2:$A$301,$F653,Batches!$B$2:$B$301,$D653)=0,"Unknown lot for this SKU",IF(AND($C653="Adjustment",$G653=""),"Missing: reason",IF(AND($G653&lt;&gt;"",COUNTIF(Config!$B$15:$B$34,$G653)=0),"Unsupported reason",IF(OR(INT($E653)&lt;&gt;$E653,AND(OR($C653="Receipt",$C653="Shipment"),$E653&lt;=0),AND($C653="Adjustment",$E653=0)),"Invalid qty",IF($B653&gt;Config!$B$4,"Date after the as-of date",IF($B653&lt;Config!$B$5,"Date before the opening balance date","OK")))))))))))))))))</f>
        <v/>
      </c>
    </row>
    <row r="654">
      <c r="A654" s="46" t="n"/>
      <c r="B654" s="54" t="n"/>
      <c r="C654" s="46" t="n"/>
      <c r="D654" s="46" t="n"/>
      <c r="E654" s="55" t="n"/>
      <c r="F654" s="46" t="n"/>
      <c r="G654" s="46" t="n"/>
      <c r="H654" s="46" t="n"/>
      <c r="I654" s="46" t="n"/>
      <c r="J654" s="46" t="n"/>
      <c r="K654" s="46" t="n"/>
      <c r="L654" s="46" t="n"/>
      <c r="M654" s="51" t="str">
        <f>IF(NOT(ISNUMBER($E654)),"",IF($C654="Receipt",$E654,IF($C654="Shipment",-$E654,IF($C654="Adjustment",$E654,0))))</f>
        <v/>
      </c>
      <c r="N654" s="49" t="str">
        <f>IF($D654="","",IFERROR(INDEX(Products!$B$2:$B$101,MATCH($D654,Products!$A$2:$A$101,0))&amp;"","(not found)"))</f>
        <v/>
      </c>
      <c r="O654" s="49" t="str">
        <f>IF($F654="","",IFERROR(INDEX(Batches!$B$2:$B$301,MATCH($F654,Batches!$A$2:$A$301,0))&amp;"","(not found)"))</f>
        <v/>
      </c>
      <c r="P654" s="49" t="str">
        <f>IF(COUNTA($A654:$L654)=0,"",IF($A654="","Missing: entry ID",IF(COUNTIF($A$2:$A$2001,$A654)&gt;1,"Duplicate entry ID",IF(NOT(ISNUMBER($B654)),"Missing or invalid: date",IF($C654="","Missing: type",IF($D654="","Missing: SKU",IF(NOT(ISNUMBER($E654)),"Missing: qty",IF($F654="","Missing: lot",IF($I654="","Missing: source link",IF(COUNTIF(Config!$A$15:$A$34,$C654)=0,"Unsupported type",IF(COUNTIF(Products!$A$2:$A$101,$D654)=0,"Unknown SKU",IF(COUNTIFS(Batches!$A$2:$A$301,$F654,Batches!$B$2:$B$301,$D654)=0,"Unknown lot for this SKU",IF(AND($C654="Adjustment",$G654=""),"Missing: reason",IF(AND($G654&lt;&gt;"",COUNTIF(Config!$B$15:$B$34,$G654)=0),"Unsupported reason",IF(OR(INT($E654)&lt;&gt;$E654,AND(OR($C654="Receipt",$C654="Shipment"),$E654&lt;=0),AND($C654="Adjustment",$E654=0)),"Invalid qty",IF($B654&gt;Config!$B$4,"Date after the as-of date",IF($B654&lt;Config!$B$5,"Date before the opening balance date","OK")))))))))))))))))</f>
        <v/>
      </c>
    </row>
    <row r="655">
      <c r="A655" s="46" t="n"/>
      <c r="B655" s="54" t="n"/>
      <c r="C655" s="46" t="n"/>
      <c r="D655" s="46" t="n"/>
      <c r="E655" s="55" t="n"/>
      <c r="F655" s="46" t="n"/>
      <c r="G655" s="46" t="n"/>
      <c r="H655" s="46" t="n"/>
      <c r="I655" s="46" t="n"/>
      <c r="J655" s="46" t="n"/>
      <c r="K655" s="46" t="n"/>
      <c r="L655" s="46" t="n"/>
      <c r="M655" s="51" t="str">
        <f>IF(NOT(ISNUMBER($E655)),"",IF($C655="Receipt",$E655,IF($C655="Shipment",-$E655,IF($C655="Adjustment",$E655,0))))</f>
        <v/>
      </c>
      <c r="N655" s="49" t="str">
        <f>IF($D655="","",IFERROR(INDEX(Products!$B$2:$B$101,MATCH($D655,Products!$A$2:$A$101,0))&amp;"","(not found)"))</f>
        <v/>
      </c>
      <c r="O655" s="49" t="str">
        <f>IF($F655="","",IFERROR(INDEX(Batches!$B$2:$B$301,MATCH($F655,Batches!$A$2:$A$301,0))&amp;"","(not found)"))</f>
        <v/>
      </c>
      <c r="P655" s="49" t="str">
        <f>IF(COUNTA($A655:$L655)=0,"",IF($A655="","Missing: entry ID",IF(COUNTIF($A$2:$A$2001,$A655)&gt;1,"Duplicate entry ID",IF(NOT(ISNUMBER($B655)),"Missing or invalid: date",IF($C655="","Missing: type",IF($D655="","Missing: SKU",IF(NOT(ISNUMBER($E655)),"Missing: qty",IF($F655="","Missing: lot",IF($I655="","Missing: source link",IF(COUNTIF(Config!$A$15:$A$34,$C655)=0,"Unsupported type",IF(COUNTIF(Products!$A$2:$A$101,$D655)=0,"Unknown SKU",IF(COUNTIFS(Batches!$A$2:$A$301,$F655,Batches!$B$2:$B$301,$D655)=0,"Unknown lot for this SKU",IF(AND($C655="Adjustment",$G655=""),"Missing: reason",IF(AND($G655&lt;&gt;"",COUNTIF(Config!$B$15:$B$34,$G655)=0),"Unsupported reason",IF(OR(INT($E655)&lt;&gt;$E655,AND(OR($C655="Receipt",$C655="Shipment"),$E655&lt;=0),AND($C655="Adjustment",$E655=0)),"Invalid qty",IF($B655&gt;Config!$B$4,"Date after the as-of date",IF($B655&lt;Config!$B$5,"Date before the opening balance date","OK")))))))))))))))))</f>
        <v/>
      </c>
    </row>
    <row r="656">
      <c r="A656" s="46" t="n"/>
      <c r="B656" s="54" t="n"/>
      <c r="C656" s="46" t="n"/>
      <c r="D656" s="46" t="n"/>
      <c r="E656" s="55" t="n"/>
      <c r="F656" s="46" t="n"/>
      <c r="G656" s="46" t="n"/>
      <c r="H656" s="46" t="n"/>
      <c r="I656" s="46" t="n"/>
      <c r="J656" s="46" t="n"/>
      <c r="K656" s="46" t="n"/>
      <c r="L656" s="46" t="n"/>
      <c r="M656" s="51" t="str">
        <f>IF(NOT(ISNUMBER($E656)),"",IF($C656="Receipt",$E656,IF($C656="Shipment",-$E656,IF($C656="Adjustment",$E656,0))))</f>
        <v/>
      </c>
      <c r="N656" s="49" t="str">
        <f>IF($D656="","",IFERROR(INDEX(Products!$B$2:$B$101,MATCH($D656,Products!$A$2:$A$101,0))&amp;"","(not found)"))</f>
        <v/>
      </c>
      <c r="O656" s="49" t="str">
        <f>IF($F656="","",IFERROR(INDEX(Batches!$B$2:$B$301,MATCH($F656,Batches!$A$2:$A$301,0))&amp;"","(not found)"))</f>
        <v/>
      </c>
      <c r="P656" s="49" t="str">
        <f>IF(COUNTA($A656:$L656)=0,"",IF($A656="","Missing: entry ID",IF(COUNTIF($A$2:$A$2001,$A656)&gt;1,"Duplicate entry ID",IF(NOT(ISNUMBER($B656)),"Missing or invalid: date",IF($C656="","Missing: type",IF($D656="","Missing: SKU",IF(NOT(ISNUMBER($E656)),"Missing: qty",IF($F656="","Missing: lot",IF($I656="","Missing: source link",IF(COUNTIF(Config!$A$15:$A$34,$C656)=0,"Unsupported type",IF(COUNTIF(Products!$A$2:$A$101,$D656)=0,"Unknown SKU",IF(COUNTIFS(Batches!$A$2:$A$301,$F656,Batches!$B$2:$B$301,$D656)=0,"Unknown lot for this SKU",IF(AND($C656="Adjustment",$G656=""),"Missing: reason",IF(AND($G656&lt;&gt;"",COUNTIF(Config!$B$15:$B$34,$G656)=0),"Unsupported reason",IF(OR(INT($E656)&lt;&gt;$E656,AND(OR($C656="Receipt",$C656="Shipment"),$E656&lt;=0),AND($C656="Adjustment",$E656=0)),"Invalid qty",IF($B656&gt;Config!$B$4,"Date after the as-of date",IF($B656&lt;Config!$B$5,"Date before the opening balance date","OK")))))))))))))))))</f>
        <v/>
      </c>
    </row>
    <row r="657">
      <c r="A657" s="46" t="n"/>
      <c r="B657" s="54" t="n"/>
      <c r="C657" s="46" t="n"/>
      <c r="D657" s="46" t="n"/>
      <c r="E657" s="55" t="n"/>
      <c r="F657" s="46" t="n"/>
      <c r="G657" s="46" t="n"/>
      <c r="H657" s="46" t="n"/>
      <c r="I657" s="46" t="n"/>
      <c r="J657" s="46" t="n"/>
      <c r="K657" s="46" t="n"/>
      <c r="L657" s="46" t="n"/>
      <c r="M657" s="51" t="str">
        <f>IF(NOT(ISNUMBER($E657)),"",IF($C657="Receipt",$E657,IF($C657="Shipment",-$E657,IF($C657="Adjustment",$E657,0))))</f>
        <v/>
      </c>
      <c r="N657" s="49" t="str">
        <f>IF($D657="","",IFERROR(INDEX(Products!$B$2:$B$101,MATCH($D657,Products!$A$2:$A$101,0))&amp;"","(not found)"))</f>
        <v/>
      </c>
      <c r="O657" s="49" t="str">
        <f>IF($F657="","",IFERROR(INDEX(Batches!$B$2:$B$301,MATCH($F657,Batches!$A$2:$A$301,0))&amp;"","(not found)"))</f>
        <v/>
      </c>
      <c r="P657" s="49" t="str">
        <f>IF(COUNTA($A657:$L657)=0,"",IF($A657="","Missing: entry ID",IF(COUNTIF($A$2:$A$2001,$A657)&gt;1,"Duplicate entry ID",IF(NOT(ISNUMBER($B657)),"Missing or invalid: date",IF($C657="","Missing: type",IF($D657="","Missing: SKU",IF(NOT(ISNUMBER($E657)),"Missing: qty",IF($F657="","Missing: lot",IF($I657="","Missing: source link",IF(COUNTIF(Config!$A$15:$A$34,$C657)=0,"Unsupported type",IF(COUNTIF(Products!$A$2:$A$101,$D657)=0,"Unknown SKU",IF(COUNTIFS(Batches!$A$2:$A$301,$F657,Batches!$B$2:$B$301,$D657)=0,"Unknown lot for this SKU",IF(AND($C657="Adjustment",$G657=""),"Missing: reason",IF(AND($G657&lt;&gt;"",COUNTIF(Config!$B$15:$B$34,$G657)=0),"Unsupported reason",IF(OR(INT($E657)&lt;&gt;$E657,AND(OR($C657="Receipt",$C657="Shipment"),$E657&lt;=0),AND($C657="Adjustment",$E657=0)),"Invalid qty",IF($B657&gt;Config!$B$4,"Date after the as-of date",IF($B657&lt;Config!$B$5,"Date before the opening balance date","OK")))))))))))))))))</f>
        <v/>
      </c>
    </row>
    <row r="658">
      <c r="A658" s="46" t="n"/>
      <c r="B658" s="54" t="n"/>
      <c r="C658" s="46" t="n"/>
      <c r="D658" s="46" t="n"/>
      <c r="E658" s="55" t="n"/>
      <c r="F658" s="46" t="n"/>
      <c r="G658" s="46" t="n"/>
      <c r="H658" s="46" t="n"/>
      <c r="I658" s="46" t="n"/>
      <c r="J658" s="46" t="n"/>
      <c r="K658" s="46" t="n"/>
      <c r="L658" s="46" t="n"/>
      <c r="M658" s="51" t="str">
        <f>IF(NOT(ISNUMBER($E658)),"",IF($C658="Receipt",$E658,IF($C658="Shipment",-$E658,IF($C658="Adjustment",$E658,0))))</f>
        <v/>
      </c>
      <c r="N658" s="49" t="str">
        <f>IF($D658="","",IFERROR(INDEX(Products!$B$2:$B$101,MATCH($D658,Products!$A$2:$A$101,0))&amp;"","(not found)"))</f>
        <v/>
      </c>
      <c r="O658" s="49" t="str">
        <f>IF($F658="","",IFERROR(INDEX(Batches!$B$2:$B$301,MATCH($F658,Batches!$A$2:$A$301,0))&amp;"","(not found)"))</f>
        <v/>
      </c>
      <c r="P658" s="49" t="str">
        <f>IF(COUNTA($A658:$L658)=0,"",IF($A658="","Missing: entry ID",IF(COUNTIF($A$2:$A$2001,$A658)&gt;1,"Duplicate entry ID",IF(NOT(ISNUMBER($B658)),"Missing or invalid: date",IF($C658="","Missing: type",IF($D658="","Missing: SKU",IF(NOT(ISNUMBER($E658)),"Missing: qty",IF($F658="","Missing: lot",IF($I658="","Missing: source link",IF(COUNTIF(Config!$A$15:$A$34,$C658)=0,"Unsupported type",IF(COUNTIF(Products!$A$2:$A$101,$D658)=0,"Unknown SKU",IF(COUNTIFS(Batches!$A$2:$A$301,$F658,Batches!$B$2:$B$301,$D658)=0,"Unknown lot for this SKU",IF(AND($C658="Adjustment",$G658=""),"Missing: reason",IF(AND($G658&lt;&gt;"",COUNTIF(Config!$B$15:$B$34,$G658)=0),"Unsupported reason",IF(OR(INT($E658)&lt;&gt;$E658,AND(OR($C658="Receipt",$C658="Shipment"),$E658&lt;=0),AND($C658="Adjustment",$E658=0)),"Invalid qty",IF($B658&gt;Config!$B$4,"Date after the as-of date",IF($B658&lt;Config!$B$5,"Date before the opening balance date","OK")))))))))))))))))</f>
        <v/>
      </c>
    </row>
    <row r="659">
      <c r="A659" s="46" t="n"/>
      <c r="B659" s="54" t="n"/>
      <c r="C659" s="46" t="n"/>
      <c r="D659" s="46" t="n"/>
      <c r="E659" s="55" t="n"/>
      <c r="F659" s="46" t="n"/>
      <c r="G659" s="46" t="n"/>
      <c r="H659" s="46" t="n"/>
      <c r="I659" s="46" t="n"/>
      <c r="J659" s="46" t="n"/>
      <c r="K659" s="46" t="n"/>
      <c r="L659" s="46" t="n"/>
      <c r="M659" s="51" t="str">
        <f>IF(NOT(ISNUMBER($E659)),"",IF($C659="Receipt",$E659,IF($C659="Shipment",-$E659,IF($C659="Adjustment",$E659,0))))</f>
        <v/>
      </c>
      <c r="N659" s="49" t="str">
        <f>IF($D659="","",IFERROR(INDEX(Products!$B$2:$B$101,MATCH($D659,Products!$A$2:$A$101,0))&amp;"","(not found)"))</f>
        <v/>
      </c>
      <c r="O659" s="49" t="str">
        <f>IF($F659="","",IFERROR(INDEX(Batches!$B$2:$B$301,MATCH($F659,Batches!$A$2:$A$301,0))&amp;"","(not found)"))</f>
        <v/>
      </c>
      <c r="P659" s="49" t="str">
        <f>IF(COUNTA($A659:$L659)=0,"",IF($A659="","Missing: entry ID",IF(COUNTIF($A$2:$A$2001,$A659)&gt;1,"Duplicate entry ID",IF(NOT(ISNUMBER($B659)),"Missing or invalid: date",IF($C659="","Missing: type",IF($D659="","Missing: SKU",IF(NOT(ISNUMBER($E659)),"Missing: qty",IF($F659="","Missing: lot",IF($I659="","Missing: source link",IF(COUNTIF(Config!$A$15:$A$34,$C659)=0,"Unsupported type",IF(COUNTIF(Products!$A$2:$A$101,$D659)=0,"Unknown SKU",IF(COUNTIFS(Batches!$A$2:$A$301,$F659,Batches!$B$2:$B$301,$D659)=0,"Unknown lot for this SKU",IF(AND($C659="Adjustment",$G659=""),"Missing: reason",IF(AND($G659&lt;&gt;"",COUNTIF(Config!$B$15:$B$34,$G659)=0),"Unsupported reason",IF(OR(INT($E659)&lt;&gt;$E659,AND(OR($C659="Receipt",$C659="Shipment"),$E659&lt;=0),AND($C659="Adjustment",$E659=0)),"Invalid qty",IF($B659&gt;Config!$B$4,"Date after the as-of date",IF($B659&lt;Config!$B$5,"Date before the opening balance date","OK")))))))))))))))))</f>
        <v/>
      </c>
    </row>
    <row r="660">
      <c r="A660" s="46" t="n"/>
      <c r="B660" s="54" t="n"/>
      <c r="C660" s="46" t="n"/>
      <c r="D660" s="46" t="n"/>
      <c r="E660" s="55" t="n"/>
      <c r="F660" s="46" t="n"/>
      <c r="G660" s="46" t="n"/>
      <c r="H660" s="46" t="n"/>
      <c r="I660" s="46" t="n"/>
      <c r="J660" s="46" t="n"/>
      <c r="K660" s="46" t="n"/>
      <c r="L660" s="46" t="n"/>
      <c r="M660" s="51" t="str">
        <f>IF(NOT(ISNUMBER($E660)),"",IF($C660="Receipt",$E660,IF($C660="Shipment",-$E660,IF($C660="Adjustment",$E660,0))))</f>
        <v/>
      </c>
      <c r="N660" s="49" t="str">
        <f>IF($D660="","",IFERROR(INDEX(Products!$B$2:$B$101,MATCH($D660,Products!$A$2:$A$101,0))&amp;"","(not found)"))</f>
        <v/>
      </c>
      <c r="O660" s="49" t="str">
        <f>IF($F660="","",IFERROR(INDEX(Batches!$B$2:$B$301,MATCH($F660,Batches!$A$2:$A$301,0))&amp;"","(not found)"))</f>
        <v/>
      </c>
      <c r="P660" s="49" t="str">
        <f>IF(COUNTA($A660:$L660)=0,"",IF($A660="","Missing: entry ID",IF(COUNTIF($A$2:$A$2001,$A660)&gt;1,"Duplicate entry ID",IF(NOT(ISNUMBER($B660)),"Missing or invalid: date",IF($C660="","Missing: type",IF($D660="","Missing: SKU",IF(NOT(ISNUMBER($E660)),"Missing: qty",IF($F660="","Missing: lot",IF($I660="","Missing: source link",IF(COUNTIF(Config!$A$15:$A$34,$C660)=0,"Unsupported type",IF(COUNTIF(Products!$A$2:$A$101,$D660)=0,"Unknown SKU",IF(COUNTIFS(Batches!$A$2:$A$301,$F660,Batches!$B$2:$B$301,$D660)=0,"Unknown lot for this SKU",IF(AND($C660="Adjustment",$G660=""),"Missing: reason",IF(AND($G660&lt;&gt;"",COUNTIF(Config!$B$15:$B$34,$G660)=0),"Unsupported reason",IF(OR(INT($E660)&lt;&gt;$E660,AND(OR($C660="Receipt",$C660="Shipment"),$E660&lt;=0),AND($C660="Adjustment",$E660=0)),"Invalid qty",IF($B660&gt;Config!$B$4,"Date after the as-of date",IF($B660&lt;Config!$B$5,"Date before the opening balance date","OK")))))))))))))))))</f>
        <v/>
      </c>
    </row>
    <row r="661">
      <c r="A661" s="46" t="n"/>
      <c r="B661" s="54" t="n"/>
      <c r="C661" s="46" t="n"/>
      <c r="D661" s="46" t="n"/>
      <c r="E661" s="55" t="n"/>
      <c r="F661" s="46" t="n"/>
      <c r="G661" s="46" t="n"/>
      <c r="H661" s="46" t="n"/>
      <c r="I661" s="46" t="n"/>
      <c r="J661" s="46" t="n"/>
      <c r="K661" s="46" t="n"/>
      <c r="L661" s="46" t="n"/>
      <c r="M661" s="51" t="str">
        <f>IF(NOT(ISNUMBER($E661)),"",IF($C661="Receipt",$E661,IF($C661="Shipment",-$E661,IF($C661="Adjustment",$E661,0))))</f>
        <v/>
      </c>
      <c r="N661" s="49" t="str">
        <f>IF($D661="","",IFERROR(INDEX(Products!$B$2:$B$101,MATCH($D661,Products!$A$2:$A$101,0))&amp;"","(not found)"))</f>
        <v/>
      </c>
      <c r="O661" s="49" t="str">
        <f>IF($F661="","",IFERROR(INDEX(Batches!$B$2:$B$301,MATCH($F661,Batches!$A$2:$A$301,0))&amp;"","(not found)"))</f>
        <v/>
      </c>
      <c r="P661" s="49" t="str">
        <f>IF(COUNTA($A661:$L661)=0,"",IF($A661="","Missing: entry ID",IF(COUNTIF($A$2:$A$2001,$A661)&gt;1,"Duplicate entry ID",IF(NOT(ISNUMBER($B661)),"Missing or invalid: date",IF($C661="","Missing: type",IF($D661="","Missing: SKU",IF(NOT(ISNUMBER($E661)),"Missing: qty",IF($F661="","Missing: lot",IF($I661="","Missing: source link",IF(COUNTIF(Config!$A$15:$A$34,$C661)=0,"Unsupported type",IF(COUNTIF(Products!$A$2:$A$101,$D661)=0,"Unknown SKU",IF(COUNTIFS(Batches!$A$2:$A$301,$F661,Batches!$B$2:$B$301,$D661)=0,"Unknown lot for this SKU",IF(AND($C661="Adjustment",$G661=""),"Missing: reason",IF(AND($G661&lt;&gt;"",COUNTIF(Config!$B$15:$B$34,$G661)=0),"Unsupported reason",IF(OR(INT($E661)&lt;&gt;$E661,AND(OR($C661="Receipt",$C661="Shipment"),$E661&lt;=0),AND($C661="Adjustment",$E661=0)),"Invalid qty",IF($B661&gt;Config!$B$4,"Date after the as-of date",IF($B661&lt;Config!$B$5,"Date before the opening balance date","OK")))))))))))))))))</f>
        <v/>
      </c>
    </row>
    <row r="662">
      <c r="A662" s="46" t="n"/>
      <c r="B662" s="54" t="n"/>
      <c r="C662" s="46" t="n"/>
      <c r="D662" s="46" t="n"/>
      <c r="E662" s="55" t="n"/>
      <c r="F662" s="46" t="n"/>
      <c r="G662" s="46" t="n"/>
      <c r="H662" s="46" t="n"/>
      <c r="I662" s="46" t="n"/>
      <c r="J662" s="46" t="n"/>
      <c r="K662" s="46" t="n"/>
      <c r="L662" s="46" t="n"/>
      <c r="M662" s="51" t="str">
        <f>IF(NOT(ISNUMBER($E662)),"",IF($C662="Receipt",$E662,IF($C662="Shipment",-$E662,IF($C662="Adjustment",$E662,0))))</f>
        <v/>
      </c>
      <c r="N662" s="49" t="str">
        <f>IF($D662="","",IFERROR(INDEX(Products!$B$2:$B$101,MATCH($D662,Products!$A$2:$A$101,0))&amp;"","(not found)"))</f>
        <v/>
      </c>
      <c r="O662" s="49" t="str">
        <f>IF($F662="","",IFERROR(INDEX(Batches!$B$2:$B$301,MATCH($F662,Batches!$A$2:$A$301,0))&amp;"","(not found)"))</f>
        <v/>
      </c>
      <c r="P662" s="49" t="str">
        <f>IF(COUNTA($A662:$L662)=0,"",IF($A662="","Missing: entry ID",IF(COUNTIF($A$2:$A$2001,$A662)&gt;1,"Duplicate entry ID",IF(NOT(ISNUMBER($B662)),"Missing or invalid: date",IF($C662="","Missing: type",IF($D662="","Missing: SKU",IF(NOT(ISNUMBER($E662)),"Missing: qty",IF($F662="","Missing: lot",IF($I662="","Missing: source link",IF(COUNTIF(Config!$A$15:$A$34,$C662)=0,"Unsupported type",IF(COUNTIF(Products!$A$2:$A$101,$D662)=0,"Unknown SKU",IF(COUNTIFS(Batches!$A$2:$A$301,$F662,Batches!$B$2:$B$301,$D662)=0,"Unknown lot for this SKU",IF(AND($C662="Adjustment",$G662=""),"Missing: reason",IF(AND($G662&lt;&gt;"",COUNTIF(Config!$B$15:$B$34,$G662)=0),"Unsupported reason",IF(OR(INT($E662)&lt;&gt;$E662,AND(OR($C662="Receipt",$C662="Shipment"),$E662&lt;=0),AND($C662="Adjustment",$E662=0)),"Invalid qty",IF($B662&gt;Config!$B$4,"Date after the as-of date",IF($B662&lt;Config!$B$5,"Date before the opening balance date","OK")))))))))))))))))</f>
        <v/>
      </c>
    </row>
    <row r="663">
      <c r="A663" s="46" t="n"/>
      <c r="B663" s="54" t="n"/>
      <c r="C663" s="46" t="n"/>
      <c r="D663" s="46" t="n"/>
      <c r="E663" s="55" t="n"/>
      <c r="F663" s="46" t="n"/>
      <c r="G663" s="46" t="n"/>
      <c r="H663" s="46" t="n"/>
      <c r="I663" s="46" t="n"/>
      <c r="J663" s="46" t="n"/>
      <c r="K663" s="46" t="n"/>
      <c r="L663" s="46" t="n"/>
      <c r="M663" s="51" t="str">
        <f>IF(NOT(ISNUMBER($E663)),"",IF($C663="Receipt",$E663,IF($C663="Shipment",-$E663,IF($C663="Adjustment",$E663,0))))</f>
        <v/>
      </c>
      <c r="N663" s="49" t="str">
        <f>IF($D663="","",IFERROR(INDEX(Products!$B$2:$B$101,MATCH($D663,Products!$A$2:$A$101,0))&amp;"","(not found)"))</f>
        <v/>
      </c>
      <c r="O663" s="49" t="str">
        <f>IF($F663="","",IFERROR(INDEX(Batches!$B$2:$B$301,MATCH($F663,Batches!$A$2:$A$301,0))&amp;"","(not found)"))</f>
        <v/>
      </c>
      <c r="P663" s="49" t="str">
        <f>IF(COUNTA($A663:$L663)=0,"",IF($A663="","Missing: entry ID",IF(COUNTIF($A$2:$A$2001,$A663)&gt;1,"Duplicate entry ID",IF(NOT(ISNUMBER($B663)),"Missing or invalid: date",IF($C663="","Missing: type",IF($D663="","Missing: SKU",IF(NOT(ISNUMBER($E663)),"Missing: qty",IF($F663="","Missing: lot",IF($I663="","Missing: source link",IF(COUNTIF(Config!$A$15:$A$34,$C663)=0,"Unsupported type",IF(COUNTIF(Products!$A$2:$A$101,$D663)=0,"Unknown SKU",IF(COUNTIFS(Batches!$A$2:$A$301,$F663,Batches!$B$2:$B$301,$D663)=0,"Unknown lot for this SKU",IF(AND($C663="Adjustment",$G663=""),"Missing: reason",IF(AND($G663&lt;&gt;"",COUNTIF(Config!$B$15:$B$34,$G663)=0),"Unsupported reason",IF(OR(INT($E663)&lt;&gt;$E663,AND(OR($C663="Receipt",$C663="Shipment"),$E663&lt;=0),AND($C663="Adjustment",$E663=0)),"Invalid qty",IF($B663&gt;Config!$B$4,"Date after the as-of date",IF($B663&lt;Config!$B$5,"Date before the opening balance date","OK")))))))))))))))))</f>
        <v/>
      </c>
    </row>
    <row r="664">
      <c r="A664" s="46" t="n"/>
      <c r="B664" s="54" t="n"/>
      <c r="C664" s="46" t="n"/>
      <c r="D664" s="46" t="n"/>
      <c r="E664" s="55" t="n"/>
      <c r="F664" s="46" t="n"/>
      <c r="G664" s="46" t="n"/>
      <c r="H664" s="46" t="n"/>
      <c r="I664" s="46" t="n"/>
      <c r="J664" s="46" t="n"/>
      <c r="K664" s="46" t="n"/>
      <c r="L664" s="46" t="n"/>
      <c r="M664" s="51" t="str">
        <f>IF(NOT(ISNUMBER($E664)),"",IF($C664="Receipt",$E664,IF($C664="Shipment",-$E664,IF($C664="Adjustment",$E664,0))))</f>
        <v/>
      </c>
      <c r="N664" s="49" t="str">
        <f>IF($D664="","",IFERROR(INDEX(Products!$B$2:$B$101,MATCH($D664,Products!$A$2:$A$101,0))&amp;"","(not found)"))</f>
        <v/>
      </c>
      <c r="O664" s="49" t="str">
        <f>IF($F664="","",IFERROR(INDEX(Batches!$B$2:$B$301,MATCH($F664,Batches!$A$2:$A$301,0))&amp;"","(not found)"))</f>
        <v/>
      </c>
      <c r="P664" s="49" t="str">
        <f>IF(COUNTA($A664:$L664)=0,"",IF($A664="","Missing: entry ID",IF(COUNTIF($A$2:$A$2001,$A664)&gt;1,"Duplicate entry ID",IF(NOT(ISNUMBER($B664)),"Missing or invalid: date",IF($C664="","Missing: type",IF($D664="","Missing: SKU",IF(NOT(ISNUMBER($E664)),"Missing: qty",IF($F664="","Missing: lot",IF($I664="","Missing: source link",IF(COUNTIF(Config!$A$15:$A$34,$C664)=0,"Unsupported type",IF(COUNTIF(Products!$A$2:$A$101,$D664)=0,"Unknown SKU",IF(COUNTIFS(Batches!$A$2:$A$301,$F664,Batches!$B$2:$B$301,$D664)=0,"Unknown lot for this SKU",IF(AND($C664="Adjustment",$G664=""),"Missing: reason",IF(AND($G664&lt;&gt;"",COUNTIF(Config!$B$15:$B$34,$G664)=0),"Unsupported reason",IF(OR(INT($E664)&lt;&gt;$E664,AND(OR($C664="Receipt",$C664="Shipment"),$E664&lt;=0),AND($C664="Adjustment",$E664=0)),"Invalid qty",IF($B664&gt;Config!$B$4,"Date after the as-of date",IF($B664&lt;Config!$B$5,"Date before the opening balance date","OK")))))))))))))))))</f>
        <v/>
      </c>
    </row>
    <row r="665">
      <c r="A665" s="46" t="n"/>
      <c r="B665" s="54" t="n"/>
      <c r="C665" s="46" t="n"/>
      <c r="D665" s="46" t="n"/>
      <c r="E665" s="55" t="n"/>
      <c r="F665" s="46" t="n"/>
      <c r="G665" s="46" t="n"/>
      <c r="H665" s="46" t="n"/>
      <c r="I665" s="46" t="n"/>
      <c r="J665" s="46" t="n"/>
      <c r="K665" s="46" t="n"/>
      <c r="L665" s="46" t="n"/>
      <c r="M665" s="51" t="str">
        <f>IF(NOT(ISNUMBER($E665)),"",IF($C665="Receipt",$E665,IF($C665="Shipment",-$E665,IF($C665="Adjustment",$E665,0))))</f>
        <v/>
      </c>
      <c r="N665" s="49" t="str">
        <f>IF($D665="","",IFERROR(INDEX(Products!$B$2:$B$101,MATCH($D665,Products!$A$2:$A$101,0))&amp;"","(not found)"))</f>
        <v/>
      </c>
      <c r="O665" s="49" t="str">
        <f>IF($F665="","",IFERROR(INDEX(Batches!$B$2:$B$301,MATCH($F665,Batches!$A$2:$A$301,0))&amp;"","(not found)"))</f>
        <v/>
      </c>
      <c r="P665" s="49" t="str">
        <f>IF(COUNTA($A665:$L665)=0,"",IF($A665="","Missing: entry ID",IF(COUNTIF($A$2:$A$2001,$A665)&gt;1,"Duplicate entry ID",IF(NOT(ISNUMBER($B665)),"Missing or invalid: date",IF($C665="","Missing: type",IF($D665="","Missing: SKU",IF(NOT(ISNUMBER($E665)),"Missing: qty",IF($F665="","Missing: lot",IF($I665="","Missing: source link",IF(COUNTIF(Config!$A$15:$A$34,$C665)=0,"Unsupported type",IF(COUNTIF(Products!$A$2:$A$101,$D665)=0,"Unknown SKU",IF(COUNTIFS(Batches!$A$2:$A$301,$F665,Batches!$B$2:$B$301,$D665)=0,"Unknown lot for this SKU",IF(AND($C665="Adjustment",$G665=""),"Missing: reason",IF(AND($G665&lt;&gt;"",COUNTIF(Config!$B$15:$B$34,$G665)=0),"Unsupported reason",IF(OR(INT($E665)&lt;&gt;$E665,AND(OR($C665="Receipt",$C665="Shipment"),$E665&lt;=0),AND($C665="Adjustment",$E665=0)),"Invalid qty",IF($B665&gt;Config!$B$4,"Date after the as-of date",IF($B665&lt;Config!$B$5,"Date before the opening balance date","OK")))))))))))))))))</f>
        <v/>
      </c>
    </row>
    <row r="666">
      <c r="A666" s="46" t="n"/>
      <c r="B666" s="54" t="n"/>
      <c r="C666" s="46" t="n"/>
      <c r="D666" s="46" t="n"/>
      <c r="E666" s="55" t="n"/>
      <c r="F666" s="46" t="n"/>
      <c r="G666" s="46" t="n"/>
      <c r="H666" s="46" t="n"/>
      <c r="I666" s="46" t="n"/>
      <c r="J666" s="46" t="n"/>
      <c r="K666" s="46" t="n"/>
      <c r="L666" s="46" t="n"/>
      <c r="M666" s="51" t="str">
        <f>IF(NOT(ISNUMBER($E666)),"",IF($C666="Receipt",$E666,IF($C666="Shipment",-$E666,IF($C666="Adjustment",$E666,0))))</f>
        <v/>
      </c>
      <c r="N666" s="49" t="str">
        <f>IF($D666="","",IFERROR(INDEX(Products!$B$2:$B$101,MATCH($D666,Products!$A$2:$A$101,0))&amp;"","(not found)"))</f>
        <v/>
      </c>
      <c r="O666" s="49" t="str">
        <f>IF($F666="","",IFERROR(INDEX(Batches!$B$2:$B$301,MATCH($F666,Batches!$A$2:$A$301,0))&amp;"","(not found)"))</f>
        <v/>
      </c>
      <c r="P666" s="49" t="str">
        <f>IF(COUNTA($A666:$L666)=0,"",IF($A666="","Missing: entry ID",IF(COUNTIF($A$2:$A$2001,$A666)&gt;1,"Duplicate entry ID",IF(NOT(ISNUMBER($B666)),"Missing or invalid: date",IF($C666="","Missing: type",IF($D666="","Missing: SKU",IF(NOT(ISNUMBER($E666)),"Missing: qty",IF($F666="","Missing: lot",IF($I666="","Missing: source link",IF(COUNTIF(Config!$A$15:$A$34,$C666)=0,"Unsupported type",IF(COUNTIF(Products!$A$2:$A$101,$D666)=0,"Unknown SKU",IF(COUNTIFS(Batches!$A$2:$A$301,$F666,Batches!$B$2:$B$301,$D666)=0,"Unknown lot for this SKU",IF(AND($C666="Adjustment",$G666=""),"Missing: reason",IF(AND($G666&lt;&gt;"",COUNTIF(Config!$B$15:$B$34,$G666)=0),"Unsupported reason",IF(OR(INT($E666)&lt;&gt;$E666,AND(OR($C666="Receipt",$C666="Shipment"),$E666&lt;=0),AND($C666="Adjustment",$E666=0)),"Invalid qty",IF($B666&gt;Config!$B$4,"Date after the as-of date",IF($B666&lt;Config!$B$5,"Date before the opening balance date","OK")))))))))))))))))</f>
        <v/>
      </c>
    </row>
    <row r="667">
      <c r="A667" s="46" t="n"/>
      <c r="B667" s="54" t="n"/>
      <c r="C667" s="46" t="n"/>
      <c r="D667" s="46" t="n"/>
      <c r="E667" s="55" t="n"/>
      <c r="F667" s="46" t="n"/>
      <c r="G667" s="46" t="n"/>
      <c r="H667" s="46" t="n"/>
      <c r="I667" s="46" t="n"/>
      <c r="J667" s="46" t="n"/>
      <c r="K667" s="46" t="n"/>
      <c r="L667" s="46" t="n"/>
      <c r="M667" s="51" t="str">
        <f>IF(NOT(ISNUMBER($E667)),"",IF($C667="Receipt",$E667,IF($C667="Shipment",-$E667,IF($C667="Adjustment",$E667,0))))</f>
        <v/>
      </c>
      <c r="N667" s="49" t="str">
        <f>IF($D667="","",IFERROR(INDEX(Products!$B$2:$B$101,MATCH($D667,Products!$A$2:$A$101,0))&amp;"","(not found)"))</f>
        <v/>
      </c>
      <c r="O667" s="49" t="str">
        <f>IF($F667="","",IFERROR(INDEX(Batches!$B$2:$B$301,MATCH($F667,Batches!$A$2:$A$301,0))&amp;"","(not found)"))</f>
        <v/>
      </c>
      <c r="P667" s="49" t="str">
        <f>IF(COUNTA($A667:$L667)=0,"",IF($A667="","Missing: entry ID",IF(COUNTIF($A$2:$A$2001,$A667)&gt;1,"Duplicate entry ID",IF(NOT(ISNUMBER($B667)),"Missing or invalid: date",IF($C667="","Missing: type",IF($D667="","Missing: SKU",IF(NOT(ISNUMBER($E667)),"Missing: qty",IF($F667="","Missing: lot",IF($I667="","Missing: source link",IF(COUNTIF(Config!$A$15:$A$34,$C667)=0,"Unsupported type",IF(COUNTIF(Products!$A$2:$A$101,$D667)=0,"Unknown SKU",IF(COUNTIFS(Batches!$A$2:$A$301,$F667,Batches!$B$2:$B$301,$D667)=0,"Unknown lot for this SKU",IF(AND($C667="Adjustment",$G667=""),"Missing: reason",IF(AND($G667&lt;&gt;"",COUNTIF(Config!$B$15:$B$34,$G667)=0),"Unsupported reason",IF(OR(INT($E667)&lt;&gt;$E667,AND(OR($C667="Receipt",$C667="Shipment"),$E667&lt;=0),AND($C667="Adjustment",$E667=0)),"Invalid qty",IF($B667&gt;Config!$B$4,"Date after the as-of date",IF($B667&lt;Config!$B$5,"Date before the opening balance date","OK")))))))))))))))))</f>
        <v/>
      </c>
    </row>
    <row r="668">
      <c r="A668" s="46" t="n"/>
      <c r="B668" s="54" t="n"/>
      <c r="C668" s="46" t="n"/>
      <c r="D668" s="46" t="n"/>
      <c r="E668" s="55" t="n"/>
      <c r="F668" s="46" t="n"/>
      <c r="G668" s="46" t="n"/>
      <c r="H668" s="46" t="n"/>
      <c r="I668" s="46" t="n"/>
      <c r="J668" s="46" t="n"/>
      <c r="K668" s="46" t="n"/>
      <c r="L668" s="46" t="n"/>
      <c r="M668" s="51" t="str">
        <f>IF(NOT(ISNUMBER($E668)),"",IF($C668="Receipt",$E668,IF($C668="Shipment",-$E668,IF($C668="Adjustment",$E668,0))))</f>
        <v/>
      </c>
      <c r="N668" s="49" t="str">
        <f>IF($D668="","",IFERROR(INDEX(Products!$B$2:$B$101,MATCH($D668,Products!$A$2:$A$101,0))&amp;"","(not found)"))</f>
        <v/>
      </c>
      <c r="O668" s="49" t="str">
        <f>IF($F668="","",IFERROR(INDEX(Batches!$B$2:$B$301,MATCH($F668,Batches!$A$2:$A$301,0))&amp;"","(not found)"))</f>
        <v/>
      </c>
      <c r="P668" s="49" t="str">
        <f>IF(COUNTA($A668:$L668)=0,"",IF($A668="","Missing: entry ID",IF(COUNTIF($A$2:$A$2001,$A668)&gt;1,"Duplicate entry ID",IF(NOT(ISNUMBER($B668)),"Missing or invalid: date",IF($C668="","Missing: type",IF($D668="","Missing: SKU",IF(NOT(ISNUMBER($E668)),"Missing: qty",IF($F668="","Missing: lot",IF($I668="","Missing: source link",IF(COUNTIF(Config!$A$15:$A$34,$C668)=0,"Unsupported type",IF(COUNTIF(Products!$A$2:$A$101,$D668)=0,"Unknown SKU",IF(COUNTIFS(Batches!$A$2:$A$301,$F668,Batches!$B$2:$B$301,$D668)=0,"Unknown lot for this SKU",IF(AND($C668="Adjustment",$G668=""),"Missing: reason",IF(AND($G668&lt;&gt;"",COUNTIF(Config!$B$15:$B$34,$G668)=0),"Unsupported reason",IF(OR(INT($E668)&lt;&gt;$E668,AND(OR($C668="Receipt",$C668="Shipment"),$E668&lt;=0),AND($C668="Adjustment",$E668=0)),"Invalid qty",IF($B668&gt;Config!$B$4,"Date after the as-of date",IF($B668&lt;Config!$B$5,"Date before the opening balance date","OK")))))))))))))))))</f>
        <v/>
      </c>
    </row>
    <row r="669">
      <c r="A669" s="46" t="n"/>
      <c r="B669" s="54" t="n"/>
      <c r="C669" s="46" t="n"/>
      <c r="D669" s="46" t="n"/>
      <c r="E669" s="55" t="n"/>
      <c r="F669" s="46" t="n"/>
      <c r="G669" s="46" t="n"/>
      <c r="H669" s="46" t="n"/>
      <c r="I669" s="46" t="n"/>
      <c r="J669" s="46" t="n"/>
      <c r="K669" s="46" t="n"/>
      <c r="L669" s="46" t="n"/>
      <c r="M669" s="51" t="str">
        <f>IF(NOT(ISNUMBER($E669)),"",IF($C669="Receipt",$E669,IF($C669="Shipment",-$E669,IF($C669="Adjustment",$E669,0))))</f>
        <v/>
      </c>
      <c r="N669" s="49" t="str">
        <f>IF($D669="","",IFERROR(INDEX(Products!$B$2:$B$101,MATCH($D669,Products!$A$2:$A$101,0))&amp;"","(not found)"))</f>
        <v/>
      </c>
      <c r="O669" s="49" t="str">
        <f>IF($F669="","",IFERROR(INDEX(Batches!$B$2:$B$301,MATCH($F669,Batches!$A$2:$A$301,0))&amp;"","(not found)"))</f>
        <v/>
      </c>
      <c r="P669" s="49" t="str">
        <f>IF(COUNTA($A669:$L669)=0,"",IF($A669="","Missing: entry ID",IF(COUNTIF($A$2:$A$2001,$A669)&gt;1,"Duplicate entry ID",IF(NOT(ISNUMBER($B669)),"Missing or invalid: date",IF($C669="","Missing: type",IF($D669="","Missing: SKU",IF(NOT(ISNUMBER($E669)),"Missing: qty",IF($F669="","Missing: lot",IF($I669="","Missing: source link",IF(COUNTIF(Config!$A$15:$A$34,$C669)=0,"Unsupported type",IF(COUNTIF(Products!$A$2:$A$101,$D669)=0,"Unknown SKU",IF(COUNTIFS(Batches!$A$2:$A$301,$F669,Batches!$B$2:$B$301,$D669)=0,"Unknown lot for this SKU",IF(AND($C669="Adjustment",$G669=""),"Missing: reason",IF(AND($G669&lt;&gt;"",COUNTIF(Config!$B$15:$B$34,$G669)=0),"Unsupported reason",IF(OR(INT($E669)&lt;&gt;$E669,AND(OR($C669="Receipt",$C669="Shipment"),$E669&lt;=0),AND($C669="Adjustment",$E669=0)),"Invalid qty",IF($B669&gt;Config!$B$4,"Date after the as-of date",IF($B669&lt;Config!$B$5,"Date before the opening balance date","OK")))))))))))))))))</f>
        <v/>
      </c>
    </row>
    <row r="670">
      <c r="A670" s="46" t="n"/>
      <c r="B670" s="54" t="n"/>
      <c r="C670" s="46" t="n"/>
      <c r="D670" s="46" t="n"/>
      <c r="E670" s="55" t="n"/>
      <c r="F670" s="46" t="n"/>
      <c r="G670" s="46" t="n"/>
      <c r="H670" s="46" t="n"/>
      <c r="I670" s="46" t="n"/>
      <c r="J670" s="46" t="n"/>
      <c r="K670" s="46" t="n"/>
      <c r="L670" s="46" t="n"/>
      <c r="M670" s="51" t="str">
        <f>IF(NOT(ISNUMBER($E670)),"",IF($C670="Receipt",$E670,IF($C670="Shipment",-$E670,IF($C670="Adjustment",$E670,0))))</f>
        <v/>
      </c>
      <c r="N670" s="49" t="str">
        <f>IF($D670="","",IFERROR(INDEX(Products!$B$2:$B$101,MATCH($D670,Products!$A$2:$A$101,0))&amp;"","(not found)"))</f>
        <v/>
      </c>
      <c r="O670" s="49" t="str">
        <f>IF($F670="","",IFERROR(INDEX(Batches!$B$2:$B$301,MATCH($F670,Batches!$A$2:$A$301,0))&amp;"","(not found)"))</f>
        <v/>
      </c>
      <c r="P670" s="49" t="str">
        <f>IF(COUNTA($A670:$L670)=0,"",IF($A670="","Missing: entry ID",IF(COUNTIF($A$2:$A$2001,$A670)&gt;1,"Duplicate entry ID",IF(NOT(ISNUMBER($B670)),"Missing or invalid: date",IF($C670="","Missing: type",IF($D670="","Missing: SKU",IF(NOT(ISNUMBER($E670)),"Missing: qty",IF($F670="","Missing: lot",IF($I670="","Missing: source link",IF(COUNTIF(Config!$A$15:$A$34,$C670)=0,"Unsupported type",IF(COUNTIF(Products!$A$2:$A$101,$D670)=0,"Unknown SKU",IF(COUNTIFS(Batches!$A$2:$A$301,$F670,Batches!$B$2:$B$301,$D670)=0,"Unknown lot for this SKU",IF(AND($C670="Adjustment",$G670=""),"Missing: reason",IF(AND($G670&lt;&gt;"",COUNTIF(Config!$B$15:$B$34,$G670)=0),"Unsupported reason",IF(OR(INT($E670)&lt;&gt;$E670,AND(OR($C670="Receipt",$C670="Shipment"),$E670&lt;=0),AND($C670="Adjustment",$E670=0)),"Invalid qty",IF($B670&gt;Config!$B$4,"Date after the as-of date",IF($B670&lt;Config!$B$5,"Date before the opening balance date","OK")))))))))))))))))</f>
        <v/>
      </c>
    </row>
    <row r="671">
      <c r="A671" s="46" t="n"/>
      <c r="B671" s="54" t="n"/>
      <c r="C671" s="46" t="n"/>
      <c r="D671" s="46" t="n"/>
      <c r="E671" s="55" t="n"/>
      <c r="F671" s="46" t="n"/>
      <c r="G671" s="46" t="n"/>
      <c r="H671" s="46" t="n"/>
      <c r="I671" s="46" t="n"/>
      <c r="J671" s="46" t="n"/>
      <c r="K671" s="46" t="n"/>
      <c r="L671" s="46" t="n"/>
      <c r="M671" s="51" t="str">
        <f>IF(NOT(ISNUMBER($E671)),"",IF($C671="Receipt",$E671,IF($C671="Shipment",-$E671,IF($C671="Adjustment",$E671,0))))</f>
        <v/>
      </c>
      <c r="N671" s="49" t="str">
        <f>IF($D671="","",IFERROR(INDEX(Products!$B$2:$B$101,MATCH($D671,Products!$A$2:$A$101,0))&amp;"","(not found)"))</f>
        <v/>
      </c>
      <c r="O671" s="49" t="str">
        <f>IF($F671="","",IFERROR(INDEX(Batches!$B$2:$B$301,MATCH($F671,Batches!$A$2:$A$301,0))&amp;"","(not found)"))</f>
        <v/>
      </c>
      <c r="P671" s="49" t="str">
        <f>IF(COUNTA($A671:$L671)=0,"",IF($A671="","Missing: entry ID",IF(COUNTIF($A$2:$A$2001,$A671)&gt;1,"Duplicate entry ID",IF(NOT(ISNUMBER($B671)),"Missing or invalid: date",IF($C671="","Missing: type",IF($D671="","Missing: SKU",IF(NOT(ISNUMBER($E671)),"Missing: qty",IF($F671="","Missing: lot",IF($I671="","Missing: source link",IF(COUNTIF(Config!$A$15:$A$34,$C671)=0,"Unsupported type",IF(COUNTIF(Products!$A$2:$A$101,$D671)=0,"Unknown SKU",IF(COUNTIFS(Batches!$A$2:$A$301,$F671,Batches!$B$2:$B$301,$D671)=0,"Unknown lot for this SKU",IF(AND($C671="Adjustment",$G671=""),"Missing: reason",IF(AND($G671&lt;&gt;"",COUNTIF(Config!$B$15:$B$34,$G671)=0),"Unsupported reason",IF(OR(INT($E671)&lt;&gt;$E671,AND(OR($C671="Receipt",$C671="Shipment"),$E671&lt;=0),AND($C671="Adjustment",$E671=0)),"Invalid qty",IF($B671&gt;Config!$B$4,"Date after the as-of date",IF($B671&lt;Config!$B$5,"Date before the opening balance date","OK")))))))))))))))))</f>
        <v/>
      </c>
    </row>
    <row r="672">
      <c r="A672" s="46" t="n"/>
      <c r="B672" s="54" t="n"/>
      <c r="C672" s="46" t="n"/>
      <c r="D672" s="46" t="n"/>
      <c r="E672" s="55" t="n"/>
      <c r="F672" s="46" t="n"/>
      <c r="G672" s="46" t="n"/>
      <c r="H672" s="46" t="n"/>
      <c r="I672" s="46" t="n"/>
      <c r="J672" s="46" t="n"/>
      <c r="K672" s="46" t="n"/>
      <c r="L672" s="46" t="n"/>
      <c r="M672" s="51" t="str">
        <f>IF(NOT(ISNUMBER($E672)),"",IF($C672="Receipt",$E672,IF($C672="Shipment",-$E672,IF($C672="Adjustment",$E672,0))))</f>
        <v/>
      </c>
      <c r="N672" s="49" t="str">
        <f>IF($D672="","",IFERROR(INDEX(Products!$B$2:$B$101,MATCH($D672,Products!$A$2:$A$101,0))&amp;"","(not found)"))</f>
        <v/>
      </c>
      <c r="O672" s="49" t="str">
        <f>IF($F672="","",IFERROR(INDEX(Batches!$B$2:$B$301,MATCH($F672,Batches!$A$2:$A$301,0))&amp;"","(not found)"))</f>
        <v/>
      </c>
      <c r="P672" s="49" t="str">
        <f>IF(COUNTA($A672:$L672)=0,"",IF($A672="","Missing: entry ID",IF(COUNTIF($A$2:$A$2001,$A672)&gt;1,"Duplicate entry ID",IF(NOT(ISNUMBER($B672)),"Missing or invalid: date",IF($C672="","Missing: type",IF($D672="","Missing: SKU",IF(NOT(ISNUMBER($E672)),"Missing: qty",IF($F672="","Missing: lot",IF($I672="","Missing: source link",IF(COUNTIF(Config!$A$15:$A$34,$C672)=0,"Unsupported type",IF(COUNTIF(Products!$A$2:$A$101,$D672)=0,"Unknown SKU",IF(COUNTIFS(Batches!$A$2:$A$301,$F672,Batches!$B$2:$B$301,$D672)=0,"Unknown lot for this SKU",IF(AND($C672="Adjustment",$G672=""),"Missing: reason",IF(AND($G672&lt;&gt;"",COUNTIF(Config!$B$15:$B$34,$G672)=0),"Unsupported reason",IF(OR(INT($E672)&lt;&gt;$E672,AND(OR($C672="Receipt",$C672="Shipment"),$E672&lt;=0),AND($C672="Adjustment",$E672=0)),"Invalid qty",IF($B672&gt;Config!$B$4,"Date after the as-of date",IF($B672&lt;Config!$B$5,"Date before the opening balance date","OK")))))))))))))))))</f>
        <v/>
      </c>
    </row>
    <row r="673">
      <c r="A673" s="46" t="n"/>
      <c r="B673" s="54" t="n"/>
      <c r="C673" s="46" t="n"/>
      <c r="D673" s="46" t="n"/>
      <c r="E673" s="55" t="n"/>
      <c r="F673" s="46" t="n"/>
      <c r="G673" s="46" t="n"/>
      <c r="H673" s="46" t="n"/>
      <c r="I673" s="46" t="n"/>
      <c r="J673" s="46" t="n"/>
      <c r="K673" s="46" t="n"/>
      <c r="L673" s="46" t="n"/>
      <c r="M673" s="51" t="str">
        <f>IF(NOT(ISNUMBER($E673)),"",IF($C673="Receipt",$E673,IF($C673="Shipment",-$E673,IF($C673="Adjustment",$E673,0))))</f>
        <v/>
      </c>
      <c r="N673" s="49" t="str">
        <f>IF($D673="","",IFERROR(INDEX(Products!$B$2:$B$101,MATCH($D673,Products!$A$2:$A$101,0))&amp;"","(not found)"))</f>
        <v/>
      </c>
      <c r="O673" s="49" t="str">
        <f>IF($F673="","",IFERROR(INDEX(Batches!$B$2:$B$301,MATCH($F673,Batches!$A$2:$A$301,0))&amp;"","(not found)"))</f>
        <v/>
      </c>
      <c r="P673" s="49" t="str">
        <f>IF(COUNTA($A673:$L673)=0,"",IF($A673="","Missing: entry ID",IF(COUNTIF($A$2:$A$2001,$A673)&gt;1,"Duplicate entry ID",IF(NOT(ISNUMBER($B673)),"Missing or invalid: date",IF($C673="","Missing: type",IF($D673="","Missing: SKU",IF(NOT(ISNUMBER($E673)),"Missing: qty",IF($F673="","Missing: lot",IF($I673="","Missing: source link",IF(COUNTIF(Config!$A$15:$A$34,$C673)=0,"Unsupported type",IF(COUNTIF(Products!$A$2:$A$101,$D673)=0,"Unknown SKU",IF(COUNTIFS(Batches!$A$2:$A$301,$F673,Batches!$B$2:$B$301,$D673)=0,"Unknown lot for this SKU",IF(AND($C673="Adjustment",$G673=""),"Missing: reason",IF(AND($G673&lt;&gt;"",COUNTIF(Config!$B$15:$B$34,$G673)=0),"Unsupported reason",IF(OR(INT($E673)&lt;&gt;$E673,AND(OR($C673="Receipt",$C673="Shipment"),$E673&lt;=0),AND($C673="Adjustment",$E673=0)),"Invalid qty",IF($B673&gt;Config!$B$4,"Date after the as-of date",IF($B673&lt;Config!$B$5,"Date before the opening balance date","OK")))))))))))))))))</f>
        <v/>
      </c>
    </row>
    <row r="674">
      <c r="A674" s="46" t="n"/>
      <c r="B674" s="54" t="n"/>
      <c r="C674" s="46" t="n"/>
      <c r="D674" s="46" t="n"/>
      <c r="E674" s="55" t="n"/>
      <c r="F674" s="46" t="n"/>
      <c r="G674" s="46" t="n"/>
      <c r="H674" s="46" t="n"/>
      <c r="I674" s="46" t="n"/>
      <c r="J674" s="46" t="n"/>
      <c r="K674" s="46" t="n"/>
      <c r="L674" s="46" t="n"/>
      <c r="M674" s="51" t="str">
        <f>IF(NOT(ISNUMBER($E674)),"",IF($C674="Receipt",$E674,IF($C674="Shipment",-$E674,IF($C674="Adjustment",$E674,0))))</f>
        <v/>
      </c>
      <c r="N674" s="49" t="str">
        <f>IF($D674="","",IFERROR(INDEX(Products!$B$2:$B$101,MATCH($D674,Products!$A$2:$A$101,0))&amp;"","(not found)"))</f>
        <v/>
      </c>
      <c r="O674" s="49" t="str">
        <f>IF($F674="","",IFERROR(INDEX(Batches!$B$2:$B$301,MATCH($F674,Batches!$A$2:$A$301,0))&amp;"","(not found)"))</f>
        <v/>
      </c>
      <c r="P674" s="49" t="str">
        <f>IF(COUNTA($A674:$L674)=0,"",IF($A674="","Missing: entry ID",IF(COUNTIF($A$2:$A$2001,$A674)&gt;1,"Duplicate entry ID",IF(NOT(ISNUMBER($B674)),"Missing or invalid: date",IF($C674="","Missing: type",IF($D674="","Missing: SKU",IF(NOT(ISNUMBER($E674)),"Missing: qty",IF($F674="","Missing: lot",IF($I674="","Missing: source link",IF(COUNTIF(Config!$A$15:$A$34,$C674)=0,"Unsupported type",IF(COUNTIF(Products!$A$2:$A$101,$D674)=0,"Unknown SKU",IF(COUNTIFS(Batches!$A$2:$A$301,$F674,Batches!$B$2:$B$301,$D674)=0,"Unknown lot for this SKU",IF(AND($C674="Adjustment",$G674=""),"Missing: reason",IF(AND($G674&lt;&gt;"",COUNTIF(Config!$B$15:$B$34,$G674)=0),"Unsupported reason",IF(OR(INT($E674)&lt;&gt;$E674,AND(OR($C674="Receipt",$C674="Shipment"),$E674&lt;=0),AND($C674="Adjustment",$E674=0)),"Invalid qty",IF($B674&gt;Config!$B$4,"Date after the as-of date",IF($B674&lt;Config!$B$5,"Date before the opening balance date","OK")))))))))))))))))</f>
        <v/>
      </c>
    </row>
    <row r="675">
      <c r="A675" s="46" t="n"/>
      <c r="B675" s="54" t="n"/>
      <c r="C675" s="46" t="n"/>
      <c r="D675" s="46" t="n"/>
      <c r="E675" s="55" t="n"/>
      <c r="F675" s="46" t="n"/>
      <c r="G675" s="46" t="n"/>
      <c r="H675" s="46" t="n"/>
      <c r="I675" s="46" t="n"/>
      <c r="J675" s="46" t="n"/>
      <c r="K675" s="46" t="n"/>
      <c r="L675" s="46" t="n"/>
      <c r="M675" s="51" t="str">
        <f>IF(NOT(ISNUMBER($E675)),"",IF($C675="Receipt",$E675,IF($C675="Shipment",-$E675,IF($C675="Adjustment",$E675,0))))</f>
        <v/>
      </c>
      <c r="N675" s="49" t="str">
        <f>IF($D675="","",IFERROR(INDEX(Products!$B$2:$B$101,MATCH($D675,Products!$A$2:$A$101,0))&amp;"","(not found)"))</f>
        <v/>
      </c>
      <c r="O675" s="49" t="str">
        <f>IF($F675="","",IFERROR(INDEX(Batches!$B$2:$B$301,MATCH($F675,Batches!$A$2:$A$301,0))&amp;"","(not found)"))</f>
        <v/>
      </c>
      <c r="P675" s="49" t="str">
        <f>IF(COUNTA($A675:$L675)=0,"",IF($A675="","Missing: entry ID",IF(COUNTIF($A$2:$A$2001,$A675)&gt;1,"Duplicate entry ID",IF(NOT(ISNUMBER($B675)),"Missing or invalid: date",IF($C675="","Missing: type",IF($D675="","Missing: SKU",IF(NOT(ISNUMBER($E675)),"Missing: qty",IF($F675="","Missing: lot",IF($I675="","Missing: source link",IF(COUNTIF(Config!$A$15:$A$34,$C675)=0,"Unsupported type",IF(COUNTIF(Products!$A$2:$A$101,$D675)=0,"Unknown SKU",IF(COUNTIFS(Batches!$A$2:$A$301,$F675,Batches!$B$2:$B$301,$D675)=0,"Unknown lot for this SKU",IF(AND($C675="Adjustment",$G675=""),"Missing: reason",IF(AND($G675&lt;&gt;"",COUNTIF(Config!$B$15:$B$34,$G675)=0),"Unsupported reason",IF(OR(INT($E675)&lt;&gt;$E675,AND(OR($C675="Receipt",$C675="Shipment"),$E675&lt;=0),AND($C675="Adjustment",$E675=0)),"Invalid qty",IF($B675&gt;Config!$B$4,"Date after the as-of date",IF($B675&lt;Config!$B$5,"Date before the opening balance date","OK")))))))))))))))))</f>
        <v/>
      </c>
    </row>
    <row r="676">
      <c r="A676" s="46" t="n"/>
      <c r="B676" s="54" t="n"/>
      <c r="C676" s="46" t="n"/>
      <c r="D676" s="46" t="n"/>
      <c r="E676" s="55" t="n"/>
      <c r="F676" s="46" t="n"/>
      <c r="G676" s="46" t="n"/>
      <c r="H676" s="46" t="n"/>
      <c r="I676" s="46" t="n"/>
      <c r="J676" s="46" t="n"/>
      <c r="K676" s="46" t="n"/>
      <c r="L676" s="46" t="n"/>
      <c r="M676" s="51" t="str">
        <f>IF(NOT(ISNUMBER($E676)),"",IF($C676="Receipt",$E676,IF($C676="Shipment",-$E676,IF($C676="Adjustment",$E676,0))))</f>
        <v/>
      </c>
      <c r="N676" s="49" t="str">
        <f>IF($D676="","",IFERROR(INDEX(Products!$B$2:$B$101,MATCH($D676,Products!$A$2:$A$101,0))&amp;"","(not found)"))</f>
        <v/>
      </c>
      <c r="O676" s="49" t="str">
        <f>IF($F676="","",IFERROR(INDEX(Batches!$B$2:$B$301,MATCH($F676,Batches!$A$2:$A$301,0))&amp;"","(not found)"))</f>
        <v/>
      </c>
      <c r="P676" s="49" t="str">
        <f>IF(COUNTA($A676:$L676)=0,"",IF($A676="","Missing: entry ID",IF(COUNTIF($A$2:$A$2001,$A676)&gt;1,"Duplicate entry ID",IF(NOT(ISNUMBER($B676)),"Missing or invalid: date",IF($C676="","Missing: type",IF($D676="","Missing: SKU",IF(NOT(ISNUMBER($E676)),"Missing: qty",IF($F676="","Missing: lot",IF($I676="","Missing: source link",IF(COUNTIF(Config!$A$15:$A$34,$C676)=0,"Unsupported type",IF(COUNTIF(Products!$A$2:$A$101,$D676)=0,"Unknown SKU",IF(COUNTIFS(Batches!$A$2:$A$301,$F676,Batches!$B$2:$B$301,$D676)=0,"Unknown lot for this SKU",IF(AND($C676="Adjustment",$G676=""),"Missing: reason",IF(AND($G676&lt;&gt;"",COUNTIF(Config!$B$15:$B$34,$G676)=0),"Unsupported reason",IF(OR(INT($E676)&lt;&gt;$E676,AND(OR($C676="Receipt",$C676="Shipment"),$E676&lt;=0),AND($C676="Adjustment",$E676=0)),"Invalid qty",IF($B676&gt;Config!$B$4,"Date after the as-of date",IF($B676&lt;Config!$B$5,"Date before the opening balance date","OK")))))))))))))))))</f>
        <v/>
      </c>
    </row>
    <row r="677">
      <c r="A677" s="46" t="n"/>
      <c r="B677" s="54" t="n"/>
      <c r="C677" s="46" t="n"/>
      <c r="D677" s="46" t="n"/>
      <c r="E677" s="55" t="n"/>
      <c r="F677" s="46" t="n"/>
      <c r="G677" s="46" t="n"/>
      <c r="H677" s="46" t="n"/>
      <c r="I677" s="46" t="n"/>
      <c r="J677" s="46" t="n"/>
      <c r="K677" s="46" t="n"/>
      <c r="L677" s="46" t="n"/>
      <c r="M677" s="51" t="str">
        <f>IF(NOT(ISNUMBER($E677)),"",IF($C677="Receipt",$E677,IF($C677="Shipment",-$E677,IF($C677="Adjustment",$E677,0))))</f>
        <v/>
      </c>
      <c r="N677" s="49" t="str">
        <f>IF($D677="","",IFERROR(INDEX(Products!$B$2:$B$101,MATCH($D677,Products!$A$2:$A$101,0))&amp;"","(not found)"))</f>
        <v/>
      </c>
      <c r="O677" s="49" t="str">
        <f>IF($F677="","",IFERROR(INDEX(Batches!$B$2:$B$301,MATCH($F677,Batches!$A$2:$A$301,0))&amp;"","(not found)"))</f>
        <v/>
      </c>
      <c r="P677" s="49" t="str">
        <f>IF(COUNTA($A677:$L677)=0,"",IF($A677="","Missing: entry ID",IF(COUNTIF($A$2:$A$2001,$A677)&gt;1,"Duplicate entry ID",IF(NOT(ISNUMBER($B677)),"Missing or invalid: date",IF($C677="","Missing: type",IF($D677="","Missing: SKU",IF(NOT(ISNUMBER($E677)),"Missing: qty",IF($F677="","Missing: lot",IF($I677="","Missing: source link",IF(COUNTIF(Config!$A$15:$A$34,$C677)=0,"Unsupported type",IF(COUNTIF(Products!$A$2:$A$101,$D677)=0,"Unknown SKU",IF(COUNTIFS(Batches!$A$2:$A$301,$F677,Batches!$B$2:$B$301,$D677)=0,"Unknown lot for this SKU",IF(AND($C677="Adjustment",$G677=""),"Missing: reason",IF(AND($G677&lt;&gt;"",COUNTIF(Config!$B$15:$B$34,$G677)=0),"Unsupported reason",IF(OR(INT($E677)&lt;&gt;$E677,AND(OR($C677="Receipt",$C677="Shipment"),$E677&lt;=0),AND($C677="Adjustment",$E677=0)),"Invalid qty",IF($B677&gt;Config!$B$4,"Date after the as-of date",IF($B677&lt;Config!$B$5,"Date before the opening balance date","OK")))))))))))))))))</f>
        <v/>
      </c>
    </row>
    <row r="678">
      <c r="A678" s="46" t="n"/>
      <c r="B678" s="54" t="n"/>
      <c r="C678" s="46" t="n"/>
      <c r="D678" s="46" t="n"/>
      <c r="E678" s="55" t="n"/>
      <c r="F678" s="46" t="n"/>
      <c r="G678" s="46" t="n"/>
      <c r="H678" s="46" t="n"/>
      <c r="I678" s="46" t="n"/>
      <c r="J678" s="46" t="n"/>
      <c r="K678" s="46" t="n"/>
      <c r="L678" s="46" t="n"/>
      <c r="M678" s="51" t="str">
        <f>IF(NOT(ISNUMBER($E678)),"",IF($C678="Receipt",$E678,IF($C678="Shipment",-$E678,IF($C678="Adjustment",$E678,0))))</f>
        <v/>
      </c>
      <c r="N678" s="49" t="str">
        <f>IF($D678="","",IFERROR(INDEX(Products!$B$2:$B$101,MATCH($D678,Products!$A$2:$A$101,0))&amp;"","(not found)"))</f>
        <v/>
      </c>
      <c r="O678" s="49" t="str">
        <f>IF($F678="","",IFERROR(INDEX(Batches!$B$2:$B$301,MATCH($F678,Batches!$A$2:$A$301,0))&amp;"","(not found)"))</f>
        <v/>
      </c>
      <c r="P678" s="49" t="str">
        <f>IF(COUNTA($A678:$L678)=0,"",IF($A678="","Missing: entry ID",IF(COUNTIF($A$2:$A$2001,$A678)&gt;1,"Duplicate entry ID",IF(NOT(ISNUMBER($B678)),"Missing or invalid: date",IF($C678="","Missing: type",IF($D678="","Missing: SKU",IF(NOT(ISNUMBER($E678)),"Missing: qty",IF($F678="","Missing: lot",IF($I678="","Missing: source link",IF(COUNTIF(Config!$A$15:$A$34,$C678)=0,"Unsupported type",IF(COUNTIF(Products!$A$2:$A$101,$D678)=0,"Unknown SKU",IF(COUNTIFS(Batches!$A$2:$A$301,$F678,Batches!$B$2:$B$301,$D678)=0,"Unknown lot for this SKU",IF(AND($C678="Adjustment",$G678=""),"Missing: reason",IF(AND($G678&lt;&gt;"",COUNTIF(Config!$B$15:$B$34,$G678)=0),"Unsupported reason",IF(OR(INT($E678)&lt;&gt;$E678,AND(OR($C678="Receipt",$C678="Shipment"),$E678&lt;=0),AND($C678="Adjustment",$E678=0)),"Invalid qty",IF($B678&gt;Config!$B$4,"Date after the as-of date",IF($B678&lt;Config!$B$5,"Date before the opening balance date","OK")))))))))))))))))</f>
        <v/>
      </c>
    </row>
    <row r="679">
      <c r="A679" s="46" t="n"/>
      <c r="B679" s="54" t="n"/>
      <c r="C679" s="46" t="n"/>
      <c r="D679" s="46" t="n"/>
      <c r="E679" s="55" t="n"/>
      <c r="F679" s="46" t="n"/>
      <c r="G679" s="46" t="n"/>
      <c r="H679" s="46" t="n"/>
      <c r="I679" s="46" t="n"/>
      <c r="J679" s="46" t="n"/>
      <c r="K679" s="46" t="n"/>
      <c r="L679" s="46" t="n"/>
      <c r="M679" s="51" t="str">
        <f>IF(NOT(ISNUMBER($E679)),"",IF($C679="Receipt",$E679,IF($C679="Shipment",-$E679,IF($C679="Adjustment",$E679,0))))</f>
        <v/>
      </c>
      <c r="N679" s="49" t="str">
        <f>IF($D679="","",IFERROR(INDEX(Products!$B$2:$B$101,MATCH($D679,Products!$A$2:$A$101,0))&amp;"","(not found)"))</f>
        <v/>
      </c>
      <c r="O679" s="49" t="str">
        <f>IF($F679="","",IFERROR(INDEX(Batches!$B$2:$B$301,MATCH($F679,Batches!$A$2:$A$301,0))&amp;"","(not found)"))</f>
        <v/>
      </c>
      <c r="P679" s="49" t="str">
        <f>IF(COUNTA($A679:$L679)=0,"",IF($A679="","Missing: entry ID",IF(COUNTIF($A$2:$A$2001,$A679)&gt;1,"Duplicate entry ID",IF(NOT(ISNUMBER($B679)),"Missing or invalid: date",IF($C679="","Missing: type",IF($D679="","Missing: SKU",IF(NOT(ISNUMBER($E679)),"Missing: qty",IF($F679="","Missing: lot",IF($I679="","Missing: source link",IF(COUNTIF(Config!$A$15:$A$34,$C679)=0,"Unsupported type",IF(COUNTIF(Products!$A$2:$A$101,$D679)=0,"Unknown SKU",IF(COUNTIFS(Batches!$A$2:$A$301,$F679,Batches!$B$2:$B$301,$D679)=0,"Unknown lot for this SKU",IF(AND($C679="Adjustment",$G679=""),"Missing: reason",IF(AND($G679&lt;&gt;"",COUNTIF(Config!$B$15:$B$34,$G679)=0),"Unsupported reason",IF(OR(INT($E679)&lt;&gt;$E679,AND(OR($C679="Receipt",$C679="Shipment"),$E679&lt;=0),AND($C679="Adjustment",$E679=0)),"Invalid qty",IF($B679&gt;Config!$B$4,"Date after the as-of date",IF($B679&lt;Config!$B$5,"Date before the opening balance date","OK")))))))))))))))))</f>
        <v/>
      </c>
    </row>
    <row r="680">
      <c r="A680" s="46" t="n"/>
      <c r="B680" s="54" t="n"/>
      <c r="C680" s="46" t="n"/>
      <c r="D680" s="46" t="n"/>
      <c r="E680" s="55" t="n"/>
      <c r="F680" s="46" t="n"/>
      <c r="G680" s="46" t="n"/>
      <c r="H680" s="46" t="n"/>
      <c r="I680" s="46" t="n"/>
      <c r="J680" s="46" t="n"/>
      <c r="K680" s="46" t="n"/>
      <c r="L680" s="46" t="n"/>
      <c r="M680" s="51" t="str">
        <f>IF(NOT(ISNUMBER($E680)),"",IF($C680="Receipt",$E680,IF($C680="Shipment",-$E680,IF($C680="Adjustment",$E680,0))))</f>
        <v/>
      </c>
      <c r="N680" s="49" t="str">
        <f>IF($D680="","",IFERROR(INDEX(Products!$B$2:$B$101,MATCH($D680,Products!$A$2:$A$101,0))&amp;"","(not found)"))</f>
        <v/>
      </c>
      <c r="O680" s="49" t="str">
        <f>IF($F680="","",IFERROR(INDEX(Batches!$B$2:$B$301,MATCH($F680,Batches!$A$2:$A$301,0))&amp;"","(not found)"))</f>
        <v/>
      </c>
      <c r="P680" s="49" t="str">
        <f>IF(COUNTA($A680:$L680)=0,"",IF($A680="","Missing: entry ID",IF(COUNTIF($A$2:$A$2001,$A680)&gt;1,"Duplicate entry ID",IF(NOT(ISNUMBER($B680)),"Missing or invalid: date",IF($C680="","Missing: type",IF($D680="","Missing: SKU",IF(NOT(ISNUMBER($E680)),"Missing: qty",IF($F680="","Missing: lot",IF($I680="","Missing: source link",IF(COUNTIF(Config!$A$15:$A$34,$C680)=0,"Unsupported type",IF(COUNTIF(Products!$A$2:$A$101,$D680)=0,"Unknown SKU",IF(COUNTIFS(Batches!$A$2:$A$301,$F680,Batches!$B$2:$B$301,$D680)=0,"Unknown lot for this SKU",IF(AND($C680="Adjustment",$G680=""),"Missing: reason",IF(AND($G680&lt;&gt;"",COUNTIF(Config!$B$15:$B$34,$G680)=0),"Unsupported reason",IF(OR(INT($E680)&lt;&gt;$E680,AND(OR($C680="Receipt",$C680="Shipment"),$E680&lt;=0),AND($C680="Adjustment",$E680=0)),"Invalid qty",IF($B680&gt;Config!$B$4,"Date after the as-of date",IF($B680&lt;Config!$B$5,"Date before the opening balance date","OK")))))))))))))))))</f>
        <v/>
      </c>
    </row>
    <row r="681">
      <c r="A681" s="46" t="n"/>
      <c r="B681" s="54" t="n"/>
      <c r="C681" s="46" t="n"/>
      <c r="D681" s="46" t="n"/>
      <c r="E681" s="55" t="n"/>
      <c r="F681" s="46" t="n"/>
      <c r="G681" s="46" t="n"/>
      <c r="H681" s="46" t="n"/>
      <c r="I681" s="46" t="n"/>
      <c r="J681" s="46" t="n"/>
      <c r="K681" s="46" t="n"/>
      <c r="L681" s="46" t="n"/>
      <c r="M681" s="51" t="str">
        <f>IF(NOT(ISNUMBER($E681)),"",IF($C681="Receipt",$E681,IF($C681="Shipment",-$E681,IF($C681="Adjustment",$E681,0))))</f>
        <v/>
      </c>
      <c r="N681" s="49" t="str">
        <f>IF($D681="","",IFERROR(INDEX(Products!$B$2:$B$101,MATCH($D681,Products!$A$2:$A$101,0))&amp;"","(not found)"))</f>
        <v/>
      </c>
      <c r="O681" s="49" t="str">
        <f>IF($F681="","",IFERROR(INDEX(Batches!$B$2:$B$301,MATCH($F681,Batches!$A$2:$A$301,0))&amp;"","(not found)"))</f>
        <v/>
      </c>
      <c r="P681" s="49" t="str">
        <f>IF(COUNTA($A681:$L681)=0,"",IF($A681="","Missing: entry ID",IF(COUNTIF($A$2:$A$2001,$A681)&gt;1,"Duplicate entry ID",IF(NOT(ISNUMBER($B681)),"Missing or invalid: date",IF($C681="","Missing: type",IF($D681="","Missing: SKU",IF(NOT(ISNUMBER($E681)),"Missing: qty",IF($F681="","Missing: lot",IF($I681="","Missing: source link",IF(COUNTIF(Config!$A$15:$A$34,$C681)=0,"Unsupported type",IF(COUNTIF(Products!$A$2:$A$101,$D681)=0,"Unknown SKU",IF(COUNTIFS(Batches!$A$2:$A$301,$F681,Batches!$B$2:$B$301,$D681)=0,"Unknown lot for this SKU",IF(AND($C681="Adjustment",$G681=""),"Missing: reason",IF(AND($G681&lt;&gt;"",COUNTIF(Config!$B$15:$B$34,$G681)=0),"Unsupported reason",IF(OR(INT($E681)&lt;&gt;$E681,AND(OR($C681="Receipt",$C681="Shipment"),$E681&lt;=0),AND($C681="Adjustment",$E681=0)),"Invalid qty",IF($B681&gt;Config!$B$4,"Date after the as-of date",IF($B681&lt;Config!$B$5,"Date before the opening balance date","OK")))))))))))))))))</f>
        <v/>
      </c>
    </row>
    <row r="682">
      <c r="A682" s="46" t="n"/>
      <c r="B682" s="54" t="n"/>
      <c r="C682" s="46" t="n"/>
      <c r="D682" s="46" t="n"/>
      <c r="E682" s="55" t="n"/>
      <c r="F682" s="46" t="n"/>
      <c r="G682" s="46" t="n"/>
      <c r="H682" s="46" t="n"/>
      <c r="I682" s="46" t="n"/>
      <c r="J682" s="46" t="n"/>
      <c r="K682" s="46" t="n"/>
      <c r="L682" s="46" t="n"/>
      <c r="M682" s="51" t="str">
        <f>IF(NOT(ISNUMBER($E682)),"",IF($C682="Receipt",$E682,IF($C682="Shipment",-$E682,IF($C682="Adjustment",$E682,0))))</f>
        <v/>
      </c>
      <c r="N682" s="49" t="str">
        <f>IF($D682="","",IFERROR(INDEX(Products!$B$2:$B$101,MATCH($D682,Products!$A$2:$A$101,0))&amp;"","(not found)"))</f>
        <v/>
      </c>
      <c r="O682" s="49" t="str">
        <f>IF($F682="","",IFERROR(INDEX(Batches!$B$2:$B$301,MATCH($F682,Batches!$A$2:$A$301,0))&amp;"","(not found)"))</f>
        <v/>
      </c>
      <c r="P682" s="49" t="str">
        <f>IF(COUNTA($A682:$L682)=0,"",IF($A682="","Missing: entry ID",IF(COUNTIF($A$2:$A$2001,$A682)&gt;1,"Duplicate entry ID",IF(NOT(ISNUMBER($B682)),"Missing or invalid: date",IF($C682="","Missing: type",IF($D682="","Missing: SKU",IF(NOT(ISNUMBER($E682)),"Missing: qty",IF($F682="","Missing: lot",IF($I682="","Missing: source link",IF(COUNTIF(Config!$A$15:$A$34,$C682)=0,"Unsupported type",IF(COUNTIF(Products!$A$2:$A$101,$D682)=0,"Unknown SKU",IF(COUNTIFS(Batches!$A$2:$A$301,$F682,Batches!$B$2:$B$301,$D682)=0,"Unknown lot for this SKU",IF(AND($C682="Adjustment",$G682=""),"Missing: reason",IF(AND($G682&lt;&gt;"",COUNTIF(Config!$B$15:$B$34,$G682)=0),"Unsupported reason",IF(OR(INT($E682)&lt;&gt;$E682,AND(OR($C682="Receipt",$C682="Shipment"),$E682&lt;=0),AND($C682="Adjustment",$E682=0)),"Invalid qty",IF($B682&gt;Config!$B$4,"Date after the as-of date",IF($B682&lt;Config!$B$5,"Date before the opening balance date","OK")))))))))))))))))</f>
        <v/>
      </c>
    </row>
    <row r="683">
      <c r="A683" s="46" t="n"/>
      <c r="B683" s="54" t="n"/>
      <c r="C683" s="46" t="n"/>
      <c r="D683" s="46" t="n"/>
      <c r="E683" s="55" t="n"/>
      <c r="F683" s="46" t="n"/>
      <c r="G683" s="46" t="n"/>
      <c r="H683" s="46" t="n"/>
      <c r="I683" s="46" t="n"/>
      <c r="J683" s="46" t="n"/>
      <c r="K683" s="46" t="n"/>
      <c r="L683" s="46" t="n"/>
      <c r="M683" s="51" t="str">
        <f>IF(NOT(ISNUMBER($E683)),"",IF($C683="Receipt",$E683,IF($C683="Shipment",-$E683,IF($C683="Adjustment",$E683,0))))</f>
        <v/>
      </c>
      <c r="N683" s="49" t="str">
        <f>IF($D683="","",IFERROR(INDEX(Products!$B$2:$B$101,MATCH($D683,Products!$A$2:$A$101,0))&amp;"","(not found)"))</f>
        <v/>
      </c>
      <c r="O683" s="49" t="str">
        <f>IF($F683="","",IFERROR(INDEX(Batches!$B$2:$B$301,MATCH($F683,Batches!$A$2:$A$301,0))&amp;"","(not found)"))</f>
        <v/>
      </c>
      <c r="P683" s="49" t="str">
        <f>IF(COUNTA($A683:$L683)=0,"",IF($A683="","Missing: entry ID",IF(COUNTIF($A$2:$A$2001,$A683)&gt;1,"Duplicate entry ID",IF(NOT(ISNUMBER($B683)),"Missing or invalid: date",IF($C683="","Missing: type",IF($D683="","Missing: SKU",IF(NOT(ISNUMBER($E683)),"Missing: qty",IF($F683="","Missing: lot",IF($I683="","Missing: source link",IF(COUNTIF(Config!$A$15:$A$34,$C683)=0,"Unsupported type",IF(COUNTIF(Products!$A$2:$A$101,$D683)=0,"Unknown SKU",IF(COUNTIFS(Batches!$A$2:$A$301,$F683,Batches!$B$2:$B$301,$D683)=0,"Unknown lot for this SKU",IF(AND($C683="Adjustment",$G683=""),"Missing: reason",IF(AND($G683&lt;&gt;"",COUNTIF(Config!$B$15:$B$34,$G683)=0),"Unsupported reason",IF(OR(INT($E683)&lt;&gt;$E683,AND(OR($C683="Receipt",$C683="Shipment"),$E683&lt;=0),AND($C683="Adjustment",$E683=0)),"Invalid qty",IF($B683&gt;Config!$B$4,"Date after the as-of date",IF($B683&lt;Config!$B$5,"Date before the opening balance date","OK")))))))))))))))))</f>
        <v/>
      </c>
    </row>
    <row r="684">
      <c r="A684" s="46" t="n"/>
      <c r="B684" s="54" t="n"/>
      <c r="C684" s="46" t="n"/>
      <c r="D684" s="46" t="n"/>
      <c r="E684" s="55" t="n"/>
      <c r="F684" s="46" t="n"/>
      <c r="G684" s="46" t="n"/>
      <c r="H684" s="46" t="n"/>
      <c r="I684" s="46" t="n"/>
      <c r="J684" s="46" t="n"/>
      <c r="K684" s="46" t="n"/>
      <c r="L684" s="46" t="n"/>
      <c r="M684" s="51" t="str">
        <f>IF(NOT(ISNUMBER($E684)),"",IF($C684="Receipt",$E684,IF($C684="Shipment",-$E684,IF($C684="Adjustment",$E684,0))))</f>
        <v/>
      </c>
      <c r="N684" s="49" t="str">
        <f>IF($D684="","",IFERROR(INDEX(Products!$B$2:$B$101,MATCH($D684,Products!$A$2:$A$101,0))&amp;"","(not found)"))</f>
        <v/>
      </c>
      <c r="O684" s="49" t="str">
        <f>IF($F684="","",IFERROR(INDEX(Batches!$B$2:$B$301,MATCH($F684,Batches!$A$2:$A$301,0))&amp;"","(not found)"))</f>
        <v/>
      </c>
      <c r="P684" s="49" t="str">
        <f>IF(COUNTA($A684:$L684)=0,"",IF($A684="","Missing: entry ID",IF(COUNTIF($A$2:$A$2001,$A684)&gt;1,"Duplicate entry ID",IF(NOT(ISNUMBER($B684)),"Missing or invalid: date",IF($C684="","Missing: type",IF($D684="","Missing: SKU",IF(NOT(ISNUMBER($E684)),"Missing: qty",IF($F684="","Missing: lot",IF($I684="","Missing: source link",IF(COUNTIF(Config!$A$15:$A$34,$C684)=0,"Unsupported type",IF(COUNTIF(Products!$A$2:$A$101,$D684)=0,"Unknown SKU",IF(COUNTIFS(Batches!$A$2:$A$301,$F684,Batches!$B$2:$B$301,$D684)=0,"Unknown lot for this SKU",IF(AND($C684="Adjustment",$G684=""),"Missing: reason",IF(AND($G684&lt;&gt;"",COUNTIF(Config!$B$15:$B$34,$G684)=0),"Unsupported reason",IF(OR(INT($E684)&lt;&gt;$E684,AND(OR($C684="Receipt",$C684="Shipment"),$E684&lt;=0),AND($C684="Adjustment",$E684=0)),"Invalid qty",IF($B684&gt;Config!$B$4,"Date after the as-of date",IF($B684&lt;Config!$B$5,"Date before the opening balance date","OK")))))))))))))))))</f>
        <v/>
      </c>
    </row>
    <row r="685">
      <c r="A685" s="46" t="n"/>
      <c r="B685" s="54" t="n"/>
      <c r="C685" s="46" t="n"/>
      <c r="D685" s="46" t="n"/>
      <c r="E685" s="55" t="n"/>
      <c r="F685" s="46" t="n"/>
      <c r="G685" s="46" t="n"/>
      <c r="H685" s="46" t="n"/>
      <c r="I685" s="46" t="n"/>
      <c r="J685" s="46" t="n"/>
      <c r="K685" s="46" t="n"/>
      <c r="L685" s="46" t="n"/>
      <c r="M685" s="51" t="str">
        <f>IF(NOT(ISNUMBER($E685)),"",IF($C685="Receipt",$E685,IF($C685="Shipment",-$E685,IF($C685="Adjustment",$E685,0))))</f>
        <v/>
      </c>
      <c r="N685" s="49" t="str">
        <f>IF($D685="","",IFERROR(INDEX(Products!$B$2:$B$101,MATCH($D685,Products!$A$2:$A$101,0))&amp;"","(not found)"))</f>
        <v/>
      </c>
      <c r="O685" s="49" t="str">
        <f>IF($F685="","",IFERROR(INDEX(Batches!$B$2:$B$301,MATCH($F685,Batches!$A$2:$A$301,0))&amp;"","(not found)"))</f>
        <v/>
      </c>
      <c r="P685" s="49" t="str">
        <f>IF(COUNTA($A685:$L685)=0,"",IF($A685="","Missing: entry ID",IF(COUNTIF($A$2:$A$2001,$A685)&gt;1,"Duplicate entry ID",IF(NOT(ISNUMBER($B685)),"Missing or invalid: date",IF($C685="","Missing: type",IF($D685="","Missing: SKU",IF(NOT(ISNUMBER($E685)),"Missing: qty",IF($F685="","Missing: lot",IF($I685="","Missing: source link",IF(COUNTIF(Config!$A$15:$A$34,$C685)=0,"Unsupported type",IF(COUNTIF(Products!$A$2:$A$101,$D685)=0,"Unknown SKU",IF(COUNTIFS(Batches!$A$2:$A$301,$F685,Batches!$B$2:$B$301,$D685)=0,"Unknown lot for this SKU",IF(AND($C685="Adjustment",$G685=""),"Missing: reason",IF(AND($G685&lt;&gt;"",COUNTIF(Config!$B$15:$B$34,$G685)=0),"Unsupported reason",IF(OR(INT($E685)&lt;&gt;$E685,AND(OR($C685="Receipt",$C685="Shipment"),$E685&lt;=0),AND($C685="Adjustment",$E685=0)),"Invalid qty",IF($B685&gt;Config!$B$4,"Date after the as-of date",IF($B685&lt;Config!$B$5,"Date before the opening balance date","OK")))))))))))))))))</f>
        <v/>
      </c>
    </row>
    <row r="686">
      <c r="A686" s="46" t="n"/>
      <c r="B686" s="54" t="n"/>
      <c r="C686" s="46" t="n"/>
      <c r="D686" s="46" t="n"/>
      <c r="E686" s="55" t="n"/>
      <c r="F686" s="46" t="n"/>
      <c r="G686" s="46" t="n"/>
      <c r="H686" s="46" t="n"/>
      <c r="I686" s="46" t="n"/>
      <c r="J686" s="46" t="n"/>
      <c r="K686" s="46" t="n"/>
      <c r="L686" s="46" t="n"/>
      <c r="M686" s="51" t="str">
        <f>IF(NOT(ISNUMBER($E686)),"",IF($C686="Receipt",$E686,IF($C686="Shipment",-$E686,IF($C686="Adjustment",$E686,0))))</f>
        <v/>
      </c>
      <c r="N686" s="49" t="str">
        <f>IF($D686="","",IFERROR(INDEX(Products!$B$2:$B$101,MATCH($D686,Products!$A$2:$A$101,0))&amp;"","(not found)"))</f>
        <v/>
      </c>
      <c r="O686" s="49" t="str">
        <f>IF($F686="","",IFERROR(INDEX(Batches!$B$2:$B$301,MATCH($F686,Batches!$A$2:$A$301,0))&amp;"","(not found)"))</f>
        <v/>
      </c>
      <c r="P686" s="49" t="str">
        <f>IF(COUNTA($A686:$L686)=0,"",IF($A686="","Missing: entry ID",IF(COUNTIF($A$2:$A$2001,$A686)&gt;1,"Duplicate entry ID",IF(NOT(ISNUMBER($B686)),"Missing or invalid: date",IF($C686="","Missing: type",IF($D686="","Missing: SKU",IF(NOT(ISNUMBER($E686)),"Missing: qty",IF($F686="","Missing: lot",IF($I686="","Missing: source link",IF(COUNTIF(Config!$A$15:$A$34,$C686)=0,"Unsupported type",IF(COUNTIF(Products!$A$2:$A$101,$D686)=0,"Unknown SKU",IF(COUNTIFS(Batches!$A$2:$A$301,$F686,Batches!$B$2:$B$301,$D686)=0,"Unknown lot for this SKU",IF(AND($C686="Adjustment",$G686=""),"Missing: reason",IF(AND($G686&lt;&gt;"",COUNTIF(Config!$B$15:$B$34,$G686)=0),"Unsupported reason",IF(OR(INT($E686)&lt;&gt;$E686,AND(OR($C686="Receipt",$C686="Shipment"),$E686&lt;=0),AND($C686="Adjustment",$E686=0)),"Invalid qty",IF($B686&gt;Config!$B$4,"Date after the as-of date",IF($B686&lt;Config!$B$5,"Date before the opening balance date","OK")))))))))))))))))</f>
        <v/>
      </c>
    </row>
    <row r="687">
      <c r="A687" s="46" t="n"/>
      <c r="B687" s="54" t="n"/>
      <c r="C687" s="46" t="n"/>
      <c r="D687" s="46" t="n"/>
      <c r="E687" s="55" t="n"/>
      <c r="F687" s="46" t="n"/>
      <c r="G687" s="46" t="n"/>
      <c r="H687" s="46" t="n"/>
      <c r="I687" s="46" t="n"/>
      <c r="J687" s="46" t="n"/>
      <c r="K687" s="46" t="n"/>
      <c r="L687" s="46" t="n"/>
      <c r="M687" s="51" t="str">
        <f>IF(NOT(ISNUMBER($E687)),"",IF($C687="Receipt",$E687,IF($C687="Shipment",-$E687,IF($C687="Adjustment",$E687,0))))</f>
        <v/>
      </c>
      <c r="N687" s="49" t="str">
        <f>IF($D687="","",IFERROR(INDEX(Products!$B$2:$B$101,MATCH($D687,Products!$A$2:$A$101,0))&amp;"","(not found)"))</f>
        <v/>
      </c>
      <c r="O687" s="49" t="str">
        <f>IF($F687="","",IFERROR(INDEX(Batches!$B$2:$B$301,MATCH($F687,Batches!$A$2:$A$301,0))&amp;"","(not found)"))</f>
        <v/>
      </c>
      <c r="P687" s="49" t="str">
        <f>IF(COUNTA($A687:$L687)=0,"",IF($A687="","Missing: entry ID",IF(COUNTIF($A$2:$A$2001,$A687)&gt;1,"Duplicate entry ID",IF(NOT(ISNUMBER($B687)),"Missing or invalid: date",IF($C687="","Missing: type",IF($D687="","Missing: SKU",IF(NOT(ISNUMBER($E687)),"Missing: qty",IF($F687="","Missing: lot",IF($I687="","Missing: source link",IF(COUNTIF(Config!$A$15:$A$34,$C687)=0,"Unsupported type",IF(COUNTIF(Products!$A$2:$A$101,$D687)=0,"Unknown SKU",IF(COUNTIFS(Batches!$A$2:$A$301,$F687,Batches!$B$2:$B$301,$D687)=0,"Unknown lot for this SKU",IF(AND($C687="Adjustment",$G687=""),"Missing: reason",IF(AND($G687&lt;&gt;"",COUNTIF(Config!$B$15:$B$34,$G687)=0),"Unsupported reason",IF(OR(INT($E687)&lt;&gt;$E687,AND(OR($C687="Receipt",$C687="Shipment"),$E687&lt;=0),AND($C687="Adjustment",$E687=0)),"Invalid qty",IF($B687&gt;Config!$B$4,"Date after the as-of date",IF($B687&lt;Config!$B$5,"Date before the opening balance date","OK")))))))))))))))))</f>
        <v/>
      </c>
    </row>
    <row r="688">
      <c r="A688" s="46" t="n"/>
      <c r="B688" s="54" t="n"/>
      <c r="C688" s="46" t="n"/>
      <c r="D688" s="46" t="n"/>
      <c r="E688" s="55" t="n"/>
      <c r="F688" s="46" t="n"/>
      <c r="G688" s="46" t="n"/>
      <c r="H688" s="46" t="n"/>
      <c r="I688" s="46" t="n"/>
      <c r="J688" s="46" t="n"/>
      <c r="K688" s="46" t="n"/>
      <c r="L688" s="46" t="n"/>
      <c r="M688" s="51" t="str">
        <f>IF(NOT(ISNUMBER($E688)),"",IF($C688="Receipt",$E688,IF($C688="Shipment",-$E688,IF($C688="Adjustment",$E688,0))))</f>
        <v/>
      </c>
      <c r="N688" s="49" t="str">
        <f>IF($D688="","",IFERROR(INDEX(Products!$B$2:$B$101,MATCH($D688,Products!$A$2:$A$101,0))&amp;"","(not found)"))</f>
        <v/>
      </c>
      <c r="O688" s="49" t="str">
        <f>IF($F688="","",IFERROR(INDEX(Batches!$B$2:$B$301,MATCH($F688,Batches!$A$2:$A$301,0))&amp;"","(not found)"))</f>
        <v/>
      </c>
      <c r="P688" s="49" t="str">
        <f>IF(COUNTA($A688:$L688)=0,"",IF($A688="","Missing: entry ID",IF(COUNTIF($A$2:$A$2001,$A688)&gt;1,"Duplicate entry ID",IF(NOT(ISNUMBER($B688)),"Missing or invalid: date",IF($C688="","Missing: type",IF($D688="","Missing: SKU",IF(NOT(ISNUMBER($E688)),"Missing: qty",IF($F688="","Missing: lot",IF($I688="","Missing: source link",IF(COUNTIF(Config!$A$15:$A$34,$C688)=0,"Unsupported type",IF(COUNTIF(Products!$A$2:$A$101,$D688)=0,"Unknown SKU",IF(COUNTIFS(Batches!$A$2:$A$301,$F688,Batches!$B$2:$B$301,$D688)=0,"Unknown lot for this SKU",IF(AND($C688="Adjustment",$G688=""),"Missing: reason",IF(AND($G688&lt;&gt;"",COUNTIF(Config!$B$15:$B$34,$G688)=0),"Unsupported reason",IF(OR(INT($E688)&lt;&gt;$E688,AND(OR($C688="Receipt",$C688="Shipment"),$E688&lt;=0),AND($C688="Adjustment",$E688=0)),"Invalid qty",IF($B688&gt;Config!$B$4,"Date after the as-of date",IF($B688&lt;Config!$B$5,"Date before the opening balance date","OK")))))))))))))))))</f>
        <v/>
      </c>
    </row>
    <row r="689">
      <c r="A689" s="46" t="n"/>
      <c r="B689" s="54" t="n"/>
      <c r="C689" s="46" t="n"/>
      <c r="D689" s="46" t="n"/>
      <c r="E689" s="55" t="n"/>
      <c r="F689" s="46" t="n"/>
      <c r="G689" s="46" t="n"/>
      <c r="H689" s="46" t="n"/>
      <c r="I689" s="46" t="n"/>
      <c r="J689" s="46" t="n"/>
      <c r="K689" s="46" t="n"/>
      <c r="L689" s="46" t="n"/>
      <c r="M689" s="51" t="str">
        <f>IF(NOT(ISNUMBER($E689)),"",IF($C689="Receipt",$E689,IF($C689="Shipment",-$E689,IF($C689="Adjustment",$E689,0))))</f>
        <v/>
      </c>
      <c r="N689" s="49" t="str">
        <f>IF($D689="","",IFERROR(INDEX(Products!$B$2:$B$101,MATCH($D689,Products!$A$2:$A$101,0))&amp;"","(not found)"))</f>
        <v/>
      </c>
      <c r="O689" s="49" t="str">
        <f>IF($F689="","",IFERROR(INDEX(Batches!$B$2:$B$301,MATCH($F689,Batches!$A$2:$A$301,0))&amp;"","(not found)"))</f>
        <v/>
      </c>
      <c r="P689" s="49" t="str">
        <f>IF(COUNTA($A689:$L689)=0,"",IF($A689="","Missing: entry ID",IF(COUNTIF($A$2:$A$2001,$A689)&gt;1,"Duplicate entry ID",IF(NOT(ISNUMBER($B689)),"Missing or invalid: date",IF($C689="","Missing: type",IF($D689="","Missing: SKU",IF(NOT(ISNUMBER($E689)),"Missing: qty",IF($F689="","Missing: lot",IF($I689="","Missing: source link",IF(COUNTIF(Config!$A$15:$A$34,$C689)=0,"Unsupported type",IF(COUNTIF(Products!$A$2:$A$101,$D689)=0,"Unknown SKU",IF(COUNTIFS(Batches!$A$2:$A$301,$F689,Batches!$B$2:$B$301,$D689)=0,"Unknown lot for this SKU",IF(AND($C689="Adjustment",$G689=""),"Missing: reason",IF(AND($G689&lt;&gt;"",COUNTIF(Config!$B$15:$B$34,$G689)=0),"Unsupported reason",IF(OR(INT($E689)&lt;&gt;$E689,AND(OR($C689="Receipt",$C689="Shipment"),$E689&lt;=0),AND($C689="Adjustment",$E689=0)),"Invalid qty",IF($B689&gt;Config!$B$4,"Date after the as-of date",IF($B689&lt;Config!$B$5,"Date before the opening balance date","OK")))))))))))))))))</f>
        <v/>
      </c>
    </row>
    <row r="690">
      <c r="A690" s="46" t="n"/>
      <c r="B690" s="54" t="n"/>
      <c r="C690" s="46" t="n"/>
      <c r="D690" s="46" t="n"/>
      <c r="E690" s="55" t="n"/>
      <c r="F690" s="46" t="n"/>
      <c r="G690" s="46" t="n"/>
      <c r="H690" s="46" t="n"/>
      <c r="I690" s="46" t="n"/>
      <c r="J690" s="46" t="n"/>
      <c r="K690" s="46" t="n"/>
      <c r="L690" s="46" t="n"/>
      <c r="M690" s="51" t="str">
        <f>IF(NOT(ISNUMBER($E690)),"",IF($C690="Receipt",$E690,IF($C690="Shipment",-$E690,IF($C690="Adjustment",$E690,0))))</f>
        <v/>
      </c>
      <c r="N690" s="49" t="str">
        <f>IF($D690="","",IFERROR(INDEX(Products!$B$2:$B$101,MATCH($D690,Products!$A$2:$A$101,0))&amp;"","(not found)"))</f>
        <v/>
      </c>
      <c r="O690" s="49" t="str">
        <f>IF($F690="","",IFERROR(INDEX(Batches!$B$2:$B$301,MATCH($F690,Batches!$A$2:$A$301,0))&amp;"","(not found)"))</f>
        <v/>
      </c>
      <c r="P690" s="49" t="str">
        <f>IF(COUNTA($A690:$L690)=0,"",IF($A690="","Missing: entry ID",IF(COUNTIF($A$2:$A$2001,$A690)&gt;1,"Duplicate entry ID",IF(NOT(ISNUMBER($B690)),"Missing or invalid: date",IF($C690="","Missing: type",IF($D690="","Missing: SKU",IF(NOT(ISNUMBER($E690)),"Missing: qty",IF($F690="","Missing: lot",IF($I690="","Missing: source link",IF(COUNTIF(Config!$A$15:$A$34,$C690)=0,"Unsupported type",IF(COUNTIF(Products!$A$2:$A$101,$D690)=0,"Unknown SKU",IF(COUNTIFS(Batches!$A$2:$A$301,$F690,Batches!$B$2:$B$301,$D690)=0,"Unknown lot for this SKU",IF(AND($C690="Adjustment",$G690=""),"Missing: reason",IF(AND($G690&lt;&gt;"",COUNTIF(Config!$B$15:$B$34,$G690)=0),"Unsupported reason",IF(OR(INT($E690)&lt;&gt;$E690,AND(OR($C690="Receipt",$C690="Shipment"),$E690&lt;=0),AND($C690="Adjustment",$E690=0)),"Invalid qty",IF($B690&gt;Config!$B$4,"Date after the as-of date",IF($B690&lt;Config!$B$5,"Date before the opening balance date","OK")))))))))))))))))</f>
        <v/>
      </c>
    </row>
    <row r="691">
      <c r="A691" s="46" t="n"/>
      <c r="B691" s="54" t="n"/>
      <c r="C691" s="46" t="n"/>
      <c r="D691" s="46" t="n"/>
      <c r="E691" s="55" t="n"/>
      <c r="F691" s="46" t="n"/>
      <c r="G691" s="46" t="n"/>
      <c r="H691" s="46" t="n"/>
      <c r="I691" s="46" t="n"/>
      <c r="J691" s="46" t="n"/>
      <c r="K691" s="46" t="n"/>
      <c r="L691" s="46" t="n"/>
      <c r="M691" s="51" t="str">
        <f>IF(NOT(ISNUMBER($E691)),"",IF($C691="Receipt",$E691,IF($C691="Shipment",-$E691,IF($C691="Adjustment",$E691,0))))</f>
        <v/>
      </c>
      <c r="N691" s="49" t="str">
        <f>IF($D691="","",IFERROR(INDEX(Products!$B$2:$B$101,MATCH($D691,Products!$A$2:$A$101,0))&amp;"","(not found)"))</f>
        <v/>
      </c>
      <c r="O691" s="49" t="str">
        <f>IF($F691="","",IFERROR(INDEX(Batches!$B$2:$B$301,MATCH($F691,Batches!$A$2:$A$301,0))&amp;"","(not found)"))</f>
        <v/>
      </c>
      <c r="P691" s="49" t="str">
        <f>IF(COUNTA($A691:$L691)=0,"",IF($A691="","Missing: entry ID",IF(COUNTIF($A$2:$A$2001,$A691)&gt;1,"Duplicate entry ID",IF(NOT(ISNUMBER($B691)),"Missing or invalid: date",IF($C691="","Missing: type",IF($D691="","Missing: SKU",IF(NOT(ISNUMBER($E691)),"Missing: qty",IF($F691="","Missing: lot",IF($I691="","Missing: source link",IF(COUNTIF(Config!$A$15:$A$34,$C691)=0,"Unsupported type",IF(COUNTIF(Products!$A$2:$A$101,$D691)=0,"Unknown SKU",IF(COUNTIFS(Batches!$A$2:$A$301,$F691,Batches!$B$2:$B$301,$D691)=0,"Unknown lot for this SKU",IF(AND($C691="Adjustment",$G691=""),"Missing: reason",IF(AND($G691&lt;&gt;"",COUNTIF(Config!$B$15:$B$34,$G691)=0),"Unsupported reason",IF(OR(INT($E691)&lt;&gt;$E691,AND(OR($C691="Receipt",$C691="Shipment"),$E691&lt;=0),AND($C691="Adjustment",$E691=0)),"Invalid qty",IF($B691&gt;Config!$B$4,"Date after the as-of date",IF($B691&lt;Config!$B$5,"Date before the opening balance date","OK")))))))))))))))))</f>
        <v/>
      </c>
    </row>
    <row r="692">
      <c r="A692" s="46" t="n"/>
      <c r="B692" s="54" t="n"/>
      <c r="C692" s="46" t="n"/>
      <c r="D692" s="46" t="n"/>
      <c r="E692" s="55" t="n"/>
      <c r="F692" s="46" t="n"/>
      <c r="G692" s="46" t="n"/>
      <c r="H692" s="46" t="n"/>
      <c r="I692" s="46" t="n"/>
      <c r="J692" s="46" t="n"/>
      <c r="K692" s="46" t="n"/>
      <c r="L692" s="46" t="n"/>
      <c r="M692" s="51" t="str">
        <f>IF(NOT(ISNUMBER($E692)),"",IF($C692="Receipt",$E692,IF($C692="Shipment",-$E692,IF($C692="Adjustment",$E692,0))))</f>
        <v/>
      </c>
      <c r="N692" s="49" t="str">
        <f>IF($D692="","",IFERROR(INDEX(Products!$B$2:$B$101,MATCH($D692,Products!$A$2:$A$101,0))&amp;"","(not found)"))</f>
        <v/>
      </c>
      <c r="O692" s="49" t="str">
        <f>IF($F692="","",IFERROR(INDEX(Batches!$B$2:$B$301,MATCH($F692,Batches!$A$2:$A$301,0))&amp;"","(not found)"))</f>
        <v/>
      </c>
      <c r="P692" s="49" t="str">
        <f>IF(COUNTA($A692:$L692)=0,"",IF($A692="","Missing: entry ID",IF(COUNTIF($A$2:$A$2001,$A692)&gt;1,"Duplicate entry ID",IF(NOT(ISNUMBER($B692)),"Missing or invalid: date",IF($C692="","Missing: type",IF($D692="","Missing: SKU",IF(NOT(ISNUMBER($E692)),"Missing: qty",IF($F692="","Missing: lot",IF($I692="","Missing: source link",IF(COUNTIF(Config!$A$15:$A$34,$C692)=0,"Unsupported type",IF(COUNTIF(Products!$A$2:$A$101,$D692)=0,"Unknown SKU",IF(COUNTIFS(Batches!$A$2:$A$301,$F692,Batches!$B$2:$B$301,$D692)=0,"Unknown lot for this SKU",IF(AND($C692="Adjustment",$G692=""),"Missing: reason",IF(AND($G692&lt;&gt;"",COUNTIF(Config!$B$15:$B$34,$G692)=0),"Unsupported reason",IF(OR(INT($E692)&lt;&gt;$E692,AND(OR($C692="Receipt",$C692="Shipment"),$E692&lt;=0),AND($C692="Adjustment",$E692=0)),"Invalid qty",IF($B692&gt;Config!$B$4,"Date after the as-of date",IF($B692&lt;Config!$B$5,"Date before the opening balance date","OK")))))))))))))))))</f>
        <v/>
      </c>
    </row>
    <row r="693">
      <c r="A693" s="46" t="n"/>
      <c r="B693" s="54" t="n"/>
      <c r="C693" s="46" t="n"/>
      <c r="D693" s="46" t="n"/>
      <c r="E693" s="55" t="n"/>
      <c r="F693" s="46" t="n"/>
      <c r="G693" s="46" t="n"/>
      <c r="H693" s="46" t="n"/>
      <c r="I693" s="46" t="n"/>
      <c r="J693" s="46" t="n"/>
      <c r="K693" s="46" t="n"/>
      <c r="L693" s="46" t="n"/>
      <c r="M693" s="51" t="str">
        <f>IF(NOT(ISNUMBER($E693)),"",IF($C693="Receipt",$E693,IF($C693="Shipment",-$E693,IF($C693="Adjustment",$E693,0))))</f>
        <v/>
      </c>
      <c r="N693" s="49" t="str">
        <f>IF($D693="","",IFERROR(INDEX(Products!$B$2:$B$101,MATCH($D693,Products!$A$2:$A$101,0))&amp;"","(not found)"))</f>
        <v/>
      </c>
      <c r="O693" s="49" t="str">
        <f>IF($F693="","",IFERROR(INDEX(Batches!$B$2:$B$301,MATCH($F693,Batches!$A$2:$A$301,0))&amp;"","(not found)"))</f>
        <v/>
      </c>
      <c r="P693" s="49" t="str">
        <f>IF(COUNTA($A693:$L693)=0,"",IF($A693="","Missing: entry ID",IF(COUNTIF($A$2:$A$2001,$A693)&gt;1,"Duplicate entry ID",IF(NOT(ISNUMBER($B693)),"Missing or invalid: date",IF($C693="","Missing: type",IF($D693="","Missing: SKU",IF(NOT(ISNUMBER($E693)),"Missing: qty",IF($F693="","Missing: lot",IF($I693="","Missing: source link",IF(COUNTIF(Config!$A$15:$A$34,$C693)=0,"Unsupported type",IF(COUNTIF(Products!$A$2:$A$101,$D693)=0,"Unknown SKU",IF(COUNTIFS(Batches!$A$2:$A$301,$F693,Batches!$B$2:$B$301,$D693)=0,"Unknown lot for this SKU",IF(AND($C693="Adjustment",$G693=""),"Missing: reason",IF(AND($G693&lt;&gt;"",COUNTIF(Config!$B$15:$B$34,$G693)=0),"Unsupported reason",IF(OR(INT($E693)&lt;&gt;$E693,AND(OR($C693="Receipt",$C693="Shipment"),$E693&lt;=0),AND($C693="Adjustment",$E693=0)),"Invalid qty",IF($B693&gt;Config!$B$4,"Date after the as-of date",IF($B693&lt;Config!$B$5,"Date before the opening balance date","OK")))))))))))))))))</f>
        <v/>
      </c>
    </row>
    <row r="694">
      <c r="A694" s="46" t="n"/>
      <c r="B694" s="54" t="n"/>
      <c r="C694" s="46" t="n"/>
      <c r="D694" s="46" t="n"/>
      <c r="E694" s="55" t="n"/>
      <c r="F694" s="46" t="n"/>
      <c r="G694" s="46" t="n"/>
      <c r="H694" s="46" t="n"/>
      <c r="I694" s="46" t="n"/>
      <c r="J694" s="46" t="n"/>
      <c r="K694" s="46" t="n"/>
      <c r="L694" s="46" t="n"/>
      <c r="M694" s="51" t="str">
        <f>IF(NOT(ISNUMBER($E694)),"",IF($C694="Receipt",$E694,IF($C694="Shipment",-$E694,IF($C694="Adjustment",$E694,0))))</f>
        <v/>
      </c>
      <c r="N694" s="49" t="str">
        <f>IF($D694="","",IFERROR(INDEX(Products!$B$2:$B$101,MATCH($D694,Products!$A$2:$A$101,0))&amp;"","(not found)"))</f>
        <v/>
      </c>
      <c r="O694" s="49" t="str">
        <f>IF($F694="","",IFERROR(INDEX(Batches!$B$2:$B$301,MATCH($F694,Batches!$A$2:$A$301,0))&amp;"","(not found)"))</f>
        <v/>
      </c>
      <c r="P694" s="49" t="str">
        <f>IF(COUNTA($A694:$L694)=0,"",IF($A694="","Missing: entry ID",IF(COUNTIF($A$2:$A$2001,$A694)&gt;1,"Duplicate entry ID",IF(NOT(ISNUMBER($B694)),"Missing or invalid: date",IF($C694="","Missing: type",IF($D694="","Missing: SKU",IF(NOT(ISNUMBER($E694)),"Missing: qty",IF($F694="","Missing: lot",IF($I694="","Missing: source link",IF(COUNTIF(Config!$A$15:$A$34,$C694)=0,"Unsupported type",IF(COUNTIF(Products!$A$2:$A$101,$D694)=0,"Unknown SKU",IF(COUNTIFS(Batches!$A$2:$A$301,$F694,Batches!$B$2:$B$301,$D694)=0,"Unknown lot for this SKU",IF(AND($C694="Adjustment",$G694=""),"Missing: reason",IF(AND($G694&lt;&gt;"",COUNTIF(Config!$B$15:$B$34,$G694)=0),"Unsupported reason",IF(OR(INT($E694)&lt;&gt;$E694,AND(OR($C694="Receipt",$C694="Shipment"),$E694&lt;=0),AND($C694="Adjustment",$E694=0)),"Invalid qty",IF($B694&gt;Config!$B$4,"Date after the as-of date",IF($B694&lt;Config!$B$5,"Date before the opening balance date","OK")))))))))))))))))</f>
        <v/>
      </c>
    </row>
    <row r="695">
      <c r="A695" s="46" t="n"/>
      <c r="B695" s="54" t="n"/>
      <c r="C695" s="46" t="n"/>
      <c r="D695" s="46" t="n"/>
      <c r="E695" s="55" t="n"/>
      <c r="F695" s="46" t="n"/>
      <c r="G695" s="46" t="n"/>
      <c r="H695" s="46" t="n"/>
      <c r="I695" s="46" t="n"/>
      <c r="J695" s="46" t="n"/>
      <c r="K695" s="46" t="n"/>
      <c r="L695" s="46" t="n"/>
      <c r="M695" s="51" t="str">
        <f>IF(NOT(ISNUMBER($E695)),"",IF($C695="Receipt",$E695,IF($C695="Shipment",-$E695,IF($C695="Adjustment",$E695,0))))</f>
        <v/>
      </c>
      <c r="N695" s="49" t="str">
        <f>IF($D695="","",IFERROR(INDEX(Products!$B$2:$B$101,MATCH($D695,Products!$A$2:$A$101,0))&amp;"","(not found)"))</f>
        <v/>
      </c>
      <c r="O695" s="49" t="str">
        <f>IF($F695="","",IFERROR(INDEX(Batches!$B$2:$B$301,MATCH($F695,Batches!$A$2:$A$301,0))&amp;"","(not found)"))</f>
        <v/>
      </c>
      <c r="P695" s="49" t="str">
        <f>IF(COUNTA($A695:$L695)=0,"",IF($A695="","Missing: entry ID",IF(COUNTIF($A$2:$A$2001,$A695)&gt;1,"Duplicate entry ID",IF(NOT(ISNUMBER($B695)),"Missing or invalid: date",IF($C695="","Missing: type",IF($D695="","Missing: SKU",IF(NOT(ISNUMBER($E695)),"Missing: qty",IF($F695="","Missing: lot",IF($I695="","Missing: source link",IF(COUNTIF(Config!$A$15:$A$34,$C695)=0,"Unsupported type",IF(COUNTIF(Products!$A$2:$A$101,$D695)=0,"Unknown SKU",IF(COUNTIFS(Batches!$A$2:$A$301,$F695,Batches!$B$2:$B$301,$D695)=0,"Unknown lot for this SKU",IF(AND($C695="Adjustment",$G695=""),"Missing: reason",IF(AND($G695&lt;&gt;"",COUNTIF(Config!$B$15:$B$34,$G695)=0),"Unsupported reason",IF(OR(INT($E695)&lt;&gt;$E695,AND(OR($C695="Receipt",$C695="Shipment"),$E695&lt;=0),AND($C695="Adjustment",$E695=0)),"Invalid qty",IF($B695&gt;Config!$B$4,"Date after the as-of date",IF($B695&lt;Config!$B$5,"Date before the opening balance date","OK")))))))))))))))))</f>
        <v/>
      </c>
    </row>
    <row r="696">
      <c r="A696" s="46" t="n"/>
      <c r="B696" s="54" t="n"/>
      <c r="C696" s="46" t="n"/>
      <c r="D696" s="46" t="n"/>
      <c r="E696" s="55" t="n"/>
      <c r="F696" s="46" t="n"/>
      <c r="G696" s="46" t="n"/>
      <c r="H696" s="46" t="n"/>
      <c r="I696" s="46" t="n"/>
      <c r="J696" s="46" t="n"/>
      <c r="K696" s="46" t="n"/>
      <c r="L696" s="46" t="n"/>
      <c r="M696" s="51" t="str">
        <f>IF(NOT(ISNUMBER($E696)),"",IF($C696="Receipt",$E696,IF($C696="Shipment",-$E696,IF($C696="Adjustment",$E696,0))))</f>
        <v/>
      </c>
      <c r="N696" s="49" t="str">
        <f>IF($D696="","",IFERROR(INDEX(Products!$B$2:$B$101,MATCH($D696,Products!$A$2:$A$101,0))&amp;"","(not found)"))</f>
        <v/>
      </c>
      <c r="O696" s="49" t="str">
        <f>IF($F696="","",IFERROR(INDEX(Batches!$B$2:$B$301,MATCH($F696,Batches!$A$2:$A$301,0))&amp;"","(not found)"))</f>
        <v/>
      </c>
      <c r="P696" s="49" t="str">
        <f>IF(COUNTA($A696:$L696)=0,"",IF($A696="","Missing: entry ID",IF(COUNTIF($A$2:$A$2001,$A696)&gt;1,"Duplicate entry ID",IF(NOT(ISNUMBER($B696)),"Missing or invalid: date",IF($C696="","Missing: type",IF($D696="","Missing: SKU",IF(NOT(ISNUMBER($E696)),"Missing: qty",IF($F696="","Missing: lot",IF($I696="","Missing: source link",IF(COUNTIF(Config!$A$15:$A$34,$C696)=0,"Unsupported type",IF(COUNTIF(Products!$A$2:$A$101,$D696)=0,"Unknown SKU",IF(COUNTIFS(Batches!$A$2:$A$301,$F696,Batches!$B$2:$B$301,$D696)=0,"Unknown lot for this SKU",IF(AND($C696="Adjustment",$G696=""),"Missing: reason",IF(AND($G696&lt;&gt;"",COUNTIF(Config!$B$15:$B$34,$G696)=0),"Unsupported reason",IF(OR(INT($E696)&lt;&gt;$E696,AND(OR($C696="Receipt",$C696="Shipment"),$E696&lt;=0),AND($C696="Adjustment",$E696=0)),"Invalid qty",IF($B696&gt;Config!$B$4,"Date after the as-of date",IF($B696&lt;Config!$B$5,"Date before the opening balance date","OK")))))))))))))))))</f>
        <v/>
      </c>
    </row>
    <row r="697">
      <c r="A697" s="46" t="n"/>
      <c r="B697" s="54" t="n"/>
      <c r="C697" s="46" t="n"/>
      <c r="D697" s="46" t="n"/>
      <c r="E697" s="55" t="n"/>
      <c r="F697" s="46" t="n"/>
      <c r="G697" s="46" t="n"/>
      <c r="H697" s="46" t="n"/>
      <c r="I697" s="46" t="n"/>
      <c r="J697" s="46" t="n"/>
      <c r="K697" s="46" t="n"/>
      <c r="L697" s="46" t="n"/>
      <c r="M697" s="51" t="str">
        <f>IF(NOT(ISNUMBER($E697)),"",IF($C697="Receipt",$E697,IF($C697="Shipment",-$E697,IF($C697="Adjustment",$E697,0))))</f>
        <v/>
      </c>
      <c r="N697" s="49" t="str">
        <f>IF($D697="","",IFERROR(INDEX(Products!$B$2:$B$101,MATCH($D697,Products!$A$2:$A$101,0))&amp;"","(not found)"))</f>
        <v/>
      </c>
      <c r="O697" s="49" t="str">
        <f>IF($F697="","",IFERROR(INDEX(Batches!$B$2:$B$301,MATCH($F697,Batches!$A$2:$A$301,0))&amp;"","(not found)"))</f>
        <v/>
      </c>
      <c r="P697" s="49" t="str">
        <f>IF(COUNTA($A697:$L697)=0,"",IF($A697="","Missing: entry ID",IF(COUNTIF($A$2:$A$2001,$A697)&gt;1,"Duplicate entry ID",IF(NOT(ISNUMBER($B697)),"Missing or invalid: date",IF($C697="","Missing: type",IF($D697="","Missing: SKU",IF(NOT(ISNUMBER($E697)),"Missing: qty",IF($F697="","Missing: lot",IF($I697="","Missing: source link",IF(COUNTIF(Config!$A$15:$A$34,$C697)=0,"Unsupported type",IF(COUNTIF(Products!$A$2:$A$101,$D697)=0,"Unknown SKU",IF(COUNTIFS(Batches!$A$2:$A$301,$F697,Batches!$B$2:$B$301,$D697)=0,"Unknown lot for this SKU",IF(AND($C697="Adjustment",$G697=""),"Missing: reason",IF(AND($G697&lt;&gt;"",COUNTIF(Config!$B$15:$B$34,$G697)=0),"Unsupported reason",IF(OR(INT($E697)&lt;&gt;$E697,AND(OR($C697="Receipt",$C697="Shipment"),$E697&lt;=0),AND($C697="Adjustment",$E697=0)),"Invalid qty",IF($B697&gt;Config!$B$4,"Date after the as-of date",IF($B697&lt;Config!$B$5,"Date before the opening balance date","OK")))))))))))))))))</f>
        <v/>
      </c>
    </row>
    <row r="698">
      <c r="A698" s="46" t="n"/>
      <c r="B698" s="54" t="n"/>
      <c r="C698" s="46" t="n"/>
      <c r="D698" s="46" t="n"/>
      <c r="E698" s="55" t="n"/>
      <c r="F698" s="46" t="n"/>
      <c r="G698" s="46" t="n"/>
      <c r="H698" s="46" t="n"/>
      <c r="I698" s="46" t="n"/>
      <c r="J698" s="46" t="n"/>
      <c r="K698" s="46" t="n"/>
      <c r="L698" s="46" t="n"/>
      <c r="M698" s="51" t="str">
        <f>IF(NOT(ISNUMBER($E698)),"",IF($C698="Receipt",$E698,IF($C698="Shipment",-$E698,IF($C698="Adjustment",$E698,0))))</f>
        <v/>
      </c>
      <c r="N698" s="49" t="str">
        <f>IF($D698="","",IFERROR(INDEX(Products!$B$2:$B$101,MATCH($D698,Products!$A$2:$A$101,0))&amp;"","(not found)"))</f>
        <v/>
      </c>
      <c r="O698" s="49" t="str">
        <f>IF($F698="","",IFERROR(INDEX(Batches!$B$2:$B$301,MATCH($F698,Batches!$A$2:$A$301,0))&amp;"","(not found)"))</f>
        <v/>
      </c>
      <c r="P698" s="49" t="str">
        <f>IF(COUNTA($A698:$L698)=0,"",IF($A698="","Missing: entry ID",IF(COUNTIF($A$2:$A$2001,$A698)&gt;1,"Duplicate entry ID",IF(NOT(ISNUMBER($B698)),"Missing or invalid: date",IF($C698="","Missing: type",IF($D698="","Missing: SKU",IF(NOT(ISNUMBER($E698)),"Missing: qty",IF($F698="","Missing: lot",IF($I698="","Missing: source link",IF(COUNTIF(Config!$A$15:$A$34,$C698)=0,"Unsupported type",IF(COUNTIF(Products!$A$2:$A$101,$D698)=0,"Unknown SKU",IF(COUNTIFS(Batches!$A$2:$A$301,$F698,Batches!$B$2:$B$301,$D698)=0,"Unknown lot for this SKU",IF(AND($C698="Adjustment",$G698=""),"Missing: reason",IF(AND($G698&lt;&gt;"",COUNTIF(Config!$B$15:$B$34,$G698)=0),"Unsupported reason",IF(OR(INT($E698)&lt;&gt;$E698,AND(OR($C698="Receipt",$C698="Shipment"),$E698&lt;=0),AND($C698="Adjustment",$E698=0)),"Invalid qty",IF($B698&gt;Config!$B$4,"Date after the as-of date",IF($B698&lt;Config!$B$5,"Date before the opening balance date","OK")))))))))))))))))</f>
        <v/>
      </c>
    </row>
    <row r="699">
      <c r="A699" s="46" t="n"/>
      <c r="B699" s="54" t="n"/>
      <c r="C699" s="46" t="n"/>
      <c r="D699" s="46" t="n"/>
      <c r="E699" s="55" t="n"/>
      <c r="F699" s="46" t="n"/>
      <c r="G699" s="46" t="n"/>
      <c r="H699" s="46" t="n"/>
      <c r="I699" s="46" t="n"/>
      <c r="J699" s="46" t="n"/>
      <c r="K699" s="46" t="n"/>
      <c r="L699" s="46" t="n"/>
      <c r="M699" s="51" t="str">
        <f>IF(NOT(ISNUMBER($E699)),"",IF($C699="Receipt",$E699,IF($C699="Shipment",-$E699,IF($C699="Adjustment",$E699,0))))</f>
        <v/>
      </c>
      <c r="N699" s="49" t="str">
        <f>IF($D699="","",IFERROR(INDEX(Products!$B$2:$B$101,MATCH($D699,Products!$A$2:$A$101,0))&amp;"","(not found)"))</f>
        <v/>
      </c>
      <c r="O699" s="49" t="str">
        <f>IF($F699="","",IFERROR(INDEX(Batches!$B$2:$B$301,MATCH($F699,Batches!$A$2:$A$301,0))&amp;"","(not found)"))</f>
        <v/>
      </c>
      <c r="P699" s="49" t="str">
        <f>IF(COUNTA($A699:$L699)=0,"",IF($A699="","Missing: entry ID",IF(COUNTIF($A$2:$A$2001,$A699)&gt;1,"Duplicate entry ID",IF(NOT(ISNUMBER($B699)),"Missing or invalid: date",IF($C699="","Missing: type",IF($D699="","Missing: SKU",IF(NOT(ISNUMBER($E699)),"Missing: qty",IF($F699="","Missing: lot",IF($I699="","Missing: source link",IF(COUNTIF(Config!$A$15:$A$34,$C699)=0,"Unsupported type",IF(COUNTIF(Products!$A$2:$A$101,$D699)=0,"Unknown SKU",IF(COUNTIFS(Batches!$A$2:$A$301,$F699,Batches!$B$2:$B$301,$D699)=0,"Unknown lot for this SKU",IF(AND($C699="Adjustment",$G699=""),"Missing: reason",IF(AND($G699&lt;&gt;"",COUNTIF(Config!$B$15:$B$34,$G699)=0),"Unsupported reason",IF(OR(INT($E699)&lt;&gt;$E699,AND(OR($C699="Receipt",$C699="Shipment"),$E699&lt;=0),AND($C699="Adjustment",$E699=0)),"Invalid qty",IF($B699&gt;Config!$B$4,"Date after the as-of date",IF($B699&lt;Config!$B$5,"Date before the opening balance date","OK")))))))))))))))))</f>
        <v/>
      </c>
    </row>
    <row r="700">
      <c r="A700" s="46" t="n"/>
      <c r="B700" s="54" t="n"/>
      <c r="C700" s="46" t="n"/>
      <c r="D700" s="46" t="n"/>
      <c r="E700" s="55" t="n"/>
      <c r="F700" s="46" t="n"/>
      <c r="G700" s="46" t="n"/>
      <c r="H700" s="46" t="n"/>
      <c r="I700" s="46" t="n"/>
      <c r="J700" s="46" t="n"/>
      <c r="K700" s="46" t="n"/>
      <c r="L700" s="46" t="n"/>
      <c r="M700" s="51" t="str">
        <f>IF(NOT(ISNUMBER($E700)),"",IF($C700="Receipt",$E700,IF($C700="Shipment",-$E700,IF($C700="Adjustment",$E700,0))))</f>
        <v/>
      </c>
      <c r="N700" s="49" t="str">
        <f>IF($D700="","",IFERROR(INDEX(Products!$B$2:$B$101,MATCH($D700,Products!$A$2:$A$101,0))&amp;"","(not found)"))</f>
        <v/>
      </c>
      <c r="O700" s="49" t="str">
        <f>IF($F700="","",IFERROR(INDEX(Batches!$B$2:$B$301,MATCH($F700,Batches!$A$2:$A$301,0))&amp;"","(not found)"))</f>
        <v/>
      </c>
      <c r="P700" s="49" t="str">
        <f>IF(COUNTA($A700:$L700)=0,"",IF($A700="","Missing: entry ID",IF(COUNTIF($A$2:$A$2001,$A700)&gt;1,"Duplicate entry ID",IF(NOT(ISNUMBER($B700)),"Missing or invalid: date",IF($C700="","Missing: type",IF($D700="","Missing: SKU",IF(NOT(ISNUMBER($E700)),"Missing: qty",IF($F700="","Missing: lot",IF($I700="","Missing: source link",IF(COUNTIF(Config!$A$15:$A$34,$C700)=0,"Unsupported type",IF(COUNTIF(Products!$A$2:$A$101,$D700)=0,"Unknown SKU",IF(COUNTIFS(Batches!$A$2:$A$301,$F700,Batches!$B$2:$B$301,$D700)=0,"Unknown lot for this SKU",IF(AND($C700="Adjustment",$G700=""),"Missing: reason",IF(AND($G700&lt;&gt;"",COUNTIF(Config!$B$15:$B$34,$G700)=0),"Unsupported reason",IF(OR(INT($E700)&lt;&gt;$E700,AND(OR($C700="Receipt",$C700="Shipment"),$E700&lt;=0),AND($C700="Adjustment",$E700=0)),"Invalid qty",IF($B700&gt;Config!$B$4,"Date after the as-of date",IF($B700&lt;Config!$B$5,"Date before the opening balance date","OK")))))))))))))))))</f>
        <v/>
      </c>
    </row>
    <row r="701">
      <c r="A701" s="46" t="n"/>
      <c r="B701" s="54" t="n"/>
      <c r="C701" s="46" t="n"/>
      <c r="D701" s="46" t="n"/>
      <c r="E701" s="55" t="n"/>
      <c r="F701" s="46" t="n"/>
      <c r="G701" s="46" t="n"/>
      <c r="H701" s="46" t="n"/>
      <c r="I701" s="46" t="n"/>
      <c r="J701" s="46" t="n"/>
      <c r="K701" s="46" t="n"/>
      <c r="L701" s="46" t="n"/>
      <c r="M701" s="51" t="str">
        <f>IF(NOT(ISNUMBER($E701)),"",IF($C701="Receipt",$E701,IF($C701="Shipment",-$E701,IF($C701="Adjustment",$E701,0))))</f>
        <v/>
      </c>
      <c r="N701" s="49" t="str">
        <f>IF($D701="","",IFERROR(INDEX(Products!$B$2:$B$101,MATCH($D701,Products!$A$2:$A$101,0))&amp;"","(not found)"))</f>
        <v/>
      </c>
      <c r="O701" s="49" t="str">
        <f>IF($F701="","",IFERROR(INDEX(Batches!$B$2:$B$301,MATCH($F701,Batches!$A$2:$A$301,0))&amp;"","(not found)"))</f>
        <v/>
      </c>
      <c r="P701" s="49" t="str">
        <f>IF(COUNTA($A701:$L701)=0,"",IF($A701="","Missing: entry ID",IF(COUNTIF($A$2:$A$2001,$A701)&gt;1,"Duplicate entry ID",IF(NOT(ISNUMBER($B701)),"Missing or invalid: date",IF($C701="","Missing: type",IF($D701="","Missing: SKU",IF(NOT(ISNUMBER($E701)),"Missing: qty",IF($F701="","Missing: lot",IF($I701="","Missing: source link",IF(COUNTIF(Config!$A$15:$A$34,$C701)=0,"Unsupported type",IF(COUNTIF(Products!$A$2:$A$101,$D701)=0,"Unknown SKU",IF(COUNTIFS(Batches!$A$2:$A$301,$F701,Batches!$B$2:$B$301,$D701)=0,"Unknown lot for this SKU",IF(AND($C701="Adjustment",$G701=""),"Missing: reason",IF(AND($G701&lt;&gt;"",COUNTIF(Config!$B$15:$B$34,$G701)=0),"Unsupported reason",IF(OR(INT($E701)&lt;&gt;$E701,AND(OR($C701="Receipt",$C701="Shipment"),$E701&lt;=0),AND($C701="Adjustment",$E701=0)),"Invalid qty",IF($B701&gt;Config!$B$4,"Date after the as-of date",IF($B701&lt;Config!$B$5,"Date before the opening balance date","OK")))))))))))))))))</f>
        <v/>
      </c>
    </row>
    <row r="702">
      <c r="A702" s="46" t="n"/>
      <c r="B702" s="54" t="n"/>
      <c r="C702" s="46" t="n"/>
      <c r="D702" s="46" t="n"/>
      <c r="E702" s="55" t="n"/>
      <c r="F702" s="46" t="n"/>
      <c r="G702" s="46" t="n"/>
      <c r="H702" s="46" t="n"/>
      <c r="I702" s="46" t="n"/>
      <c r="J702" s="46" t="n"/>
      <c r="K702" s="46" t="n"/>
      <c r="L702" s="46" t="n"/>
      <c r="M702" s="51" t="str">
        <f>IF(NOT(ISNUMBER($E702)),"",IF($C702="Receipt",$E702,IF($C702="Shipment",-$E702,IF($C702="Adjustment",$E702,0))))</f>
        <v/>
      </c>
      <c r="N702" s="49" t="str">
        <f>IF($D702="","",IFERROR(INDEX(Products!$B$2:$B$101,MATCH($D702,Products!$A$2:$A$101,0))&amp;"","(not found)"))</f>
        <v/>
      </c>
      <c r="O702" s="49" t="str">
        <f>IF($F702="","",IFERROR(INDEX(Batches!$B$2:$B$301,MATCH($F702,Batches!$A$2:$A$301,0))&amp;"","(not found)"))</f>
        <v/>
      </c>
      <c r="P702" s="49" t="str">
        <f>IF(COUNTA($A702:$L702)=0,"",IF($A702="","Missing: entry ID",IF(COUNTIF($A$2:$A$2001,$A702)&gt;1,"Duplicate entry ID",IF(NOT(ISNUMBER($B702)),"Missing or invalid: date",IF($C702="","Missing: type",IF($D702="","Missing: SKU",IF(NOT(ISNUMBER($E702)),"Missing: qty",IF($F702="","Missing: lot",IF($I702="","Missing: source link",IF(COUNTIF(Config!$A$15:$A$34,$C702)=0,"Unsupported type",IF(COUNTIF(Products!$A$2:$A$101,$D702)=0,"Unknown SKU",IF(COUNTIFS(Batches!$A$2:$A$301,$F702,Batches!$B$2:$B$301,$D702)=0,"Unknown lot for this SKU",IF(AND($C702="Adjustment",$G702=""),"Missing: reason",IF(AND($G702&lt;&gt;"",COUNTIF(Config!$B$15:$B$34,$G702)=0),"Unsupported reason",IF(OR(INT($E702)&lt;&gt;$E702,AND(OR($C702="Receipt",$C702="Shipment"),$E702&lt;=0),AND($C702="Adjustment",$E702=0)),"Invalid qty",IF($B702&gt;Config!$B$4,"Date after the as-of date",IF($B702&lt;Config!$B$5,"Date before the opening balance date","OK")))))))))))))))))</f>
        <v/>
      </c>
    </row>
    <row r="703">
      <c r="A703" s="46" t="n"/>
      <c r="B703" s="54" t="n"/>
      <c r="C703" s="46" t="n"/>
      <c r="D703" s="46" t="n"/>
      <c r="E703" s="55" t="n"/>
      <c r="F703" s="46" t="n"/>
      <c r="G703" s="46" t="n"/>
      <c r="H703" s="46" t="n"/>
      <c r="I703" s="46" t="n"/>
      <c r="J703" s="46" t="n"/>
      <c r="K703" s="46" t="n"/>
      <c r="L703" s="46" t="n"/>
      <c r="M703" s="51" t="str">
        <f>IF(NOT(ISNUMBER($E703)),"",IF($C703="Receipt",$E703,IF($C703="Shipment",-$E703,IF($C703="Adjustment",$E703,0))))</f>
        <v/>
      </c>
      <c r="N703" s="49" t="str">
        <f>IF($D703="","",IFERROR(INDEX(Products!$B$2:$B$101,MATCH($D703,Products!$A$2:$A$101,0))&amp;"","(not found)"))</f>
        <v/>
      </c>
      <c r="O703" s="49" t="str">
        <f>IF($F703="","",IFERROR(INDEX(Batches!$B$2:$B$301,MATCH($F703,Batches!$A$2:$A$301,0))&amp;"","(not found)"))</f>
        <v/>
      </c>
      <c r="P703" s="49" t="str">
        <f>IF(COUNTA($A703:$L703)=0,"",IF($A703="","Missing: entry ID",IF(COUNTIF($A$2:$A$2001,$A703)&gt;1,"Duplicate entry ID",IF(NOT(ISNUMBER($B703)),"Missing or invalid: date",IF($C703="","Missing: type",IF($D703="","Missing: SKU",IF(NOT(ISNUMBER($E703)),"Missing: qty",IF($F703="","Missing: lot",IF($I703="","Missing: source link",IF(COUNTIF(Config!$A$15:$A$34,$C703)=0,"Unsupported type",IF(COUNTIF(Products!$A$2:$A$101,$D703)=0,"Unknown SKU",IF(COUNTIFS(Batches!$A$2:$A$301,$F703,Batches!$B$2:$B$301,$D703)=0,"Unknown lot for this SKU",IF(AND($C703="Adjustment",$G703=""),"Missing: reason",IF(AND($G703&lt;&gt;"",COUNTIF(Config!$B$15:$B$34,$G703)=0),"Unsupported reason",IF(OR(INT($E703)&lt;&gt;$E703,AND(OR($C703="Receipt",$C703="Shipment"),$E703&lt;=0),AND($C703="Adjustment",$E703=0)),"Invalid qty",IF($B703&gt;Config!$B$4,"Date after the as-of date",IF($B703&lt;Config!$B$5,"Date before the opening balance date","OK")))))))))))))))))</f>
        <v/>
      </c>
    </row>
    <row r="704">
      <c r="A704" s="46" t="n"/>
      <c r="B704" s="54" t="n"/>
      <c r="C704" s="46" t="n"/>
      <c r="D704" s="46" t="n"/>
      <c r="E704" s="55" t="n"/>
      <c r="F704" s="46" t="n"/>
      <c r="G704" s="46" t="n"/>
      <c r="H704" s="46" t="n"/>
      <c r="I704" s="46" t="n"/>
      <c r="J704" s="46" t="n"/>
      <c r="K704" s="46" t="n"/>
      <c r="L704" s="46" t="n"/>
      <c r="M704" s="51" t="str">
        <f>IF(NOT(ISNUMBER($E704)),"",IF($C704="Receipt",$E704,IF($C704="Shipment",-$E704,IF($C704="Adjustment",$E704,0))))</f>
        <v/>
      </c>
      <c r="N704" s="49" t="str">
        <f>IF($D704="","",IFERROR(INDEX(Products!$B$2:$B$101,MATCH($D704,Products!$A$2:$A$101,0))&amp;"","(not found)"))</f>
        <v/>
      </c>
      <c r="O704" s="49" t="str">
        <f>IF($F704="","",IFERROR(INDEX(Batches!$B$2:$B$301,MATCH($F704,Batches!$A$2:$A$301,0))&amp;"","(not found)"))</f>
        <v/>
      </c>
      <c r="P704" s="49" t="str">
        <f>IF(COUNTA($A704:$L704)=0,"",IF($A704="","Missing: entry ID",IF(COUNTIF($A$2:$A$2001,$A704)&gt;1,"Duplicate entry ID",IF(NOT(ISNUMBER($B704)),"Missing or invalid: date",IF($C704="","Missing: type",IF($D704="","Missing: SKU",IF(NOT(ISNUMBER($E704)),"Missing: qty",IF($F704="","Missing: lot",IF($I704="","Missing: source link",IF(COUNTIF(Config!$A$15:$A$34,$C704)=0,"Unsupported type",IF(COUNTIF(Products!$A$2:$A$101,$D704)=0,"Unknown SKU",IF(COUNTIFS(Batches!$A$2:$A$301,$F704,Batches!$B$2:$B$301,$D704)=0,"Unknown lot for this SKU",IF(AND($C704="Adjustment",$G704=""),"Missing: reason",IF(AND($G704&lt;&gt;"",COUNTIF(Config!$B$15:$B$34,$G704)=0),"Unsupported reason",IF(OR(INT($E704)&lt;&gt;$E704,AND(OR($C704="Receipt",$C704="Shipment"),$E704&lt;=0),AND($C704="Adjustment",$E704=0)),"Invalid qty",IF($B704&gt;Config!$B$4,"Date after the as-of date",IF($B704&lt;Config!$B$5,"Date before the opening balance date","OK")))))))))))))))))</f>
        <v/>
      </c>
    </row>
    <row r="705">
      <c r="A705" s="46" t="n"/>
      <c r="B705" s="54" t="n"/>
      <c r="C705" s="46" t="n"/>
      <c r="D705" s="46" t="n"/>
      <c r="E705" s="55" t="n"/>
      <c r="F705" s="46" t="n"/>
      <c r="G705" s="46" t="n"/>
      <c r="H705" s="46" t="n"/>
      <c r="I705" s="46" t="n"/>
      <c r="J705" s="46" t="n"/>
      <c r="K705" s="46" t="n"/>
      <c r="L705" s="46" t="n"/>
      <c r="M705" s="51" t="str">
        <f>IF(NOT(ISNUMBER($E705)),"",IF($C705="Receipt",$E705,IF($C705="Shipment",-$E705,IF($C705="Adjustment",$E705,0))))</f>
        <v/>
      </c>
      <c r="N705" s="49" t="str">
        <f>IF($D705="","",IFERROR(INDEX(Products!$B$2:$B$101,MATCH($D705,Products!$A$2:$A$101,0))&amp;"","(not found)"))</f>
        <v/>
      </c>
      <c r="O705" s="49" t="str">
        <f>IF($F705="","",IFERROR(INDEX(Batches!$B$2:$B$301,MATCH($F705,Batches!$A$2:$A$301,0))&amp;"","(not found)"))</f>
        <v/>
      </c>
      <c r="P705" s="49" t="str">
        <f>IF(COUNTA($A705:$L705)=0,"",IF($A705="","Missing: entry ID",IF(COUNTIF($A$2:$A$2001,$A705)&gt;1,"Duplicate entry ID",IF(NOT(ISNUMBER($B705)),"Missing or invalid: date",IF($C705="","Missing: type",IF($D705="","Missing: SKU",IF(NOT(ISNUMBER($E705)),"Missing: qty",IF($F705="","Missing: lot",IF($I705="","Missing: source link",IF(COUNTIF(Config!$A$15:$A$34,$C705)=0,"Unsupported type",IF(COUNTIF(Products!$A$2:$A$101,$D705)=0,"Unknown SKU",IF(COUNTIFS(Batches!$A$2:$A$301,$F705,Batches!$B$2:$B$301,$D705)=0,"Unknown lot for this SKU",IF(AND($C705="Adjustment",$G705=""),"Missing: reason",IF(AND($G705&lt;&gt;"",COUNTIF(Config!$B$15:$B$34,$G705)=0),"Unsupported reason",IF(OR(INT($E705)&lt;&gt;$E705,AND(OR($C705="Receipt",$C705="Shipment"),$E705&lt;=0),AND($C705="Adjustment",$E705=0)),"Invalid qty",IF($B705&gt;Config!$B$4,"Date after the as-of date",IF($B705&lt;Config!$B$5,"Date before the opening balance date","OK")))))))))))))))))</f>
        <v/>
      </c>
    </row>
    <row r="706">
      <c r="A706" s="46" t="n"/>
      <c r="B706" s="54" t="n"/>
      <c r="C706" s="46" t="n"/>
      <c r="D706" s="46" t="n"/>
      <c r="E706" s="55" t="n"/>
      <c r="F706" s="46" t="n"/>
      <c r="G706" s="46" t="n"/>
      <c r="H706" s="46" t="n"/>
      <c r="I706" s="46" t="n"/>
      <c r="J706" s="46" t="n"/>
      <c r="K706" s="46" t="n"/>
      <c r="L706" s="46" t="n"/>
      <c r="M706" s="51" t="str">
        <f>IF(NOT(ISNUMBER($E706)),"",IF($C706="Receipt",$E706,IF($C706="Shipment",-$E706,IF($C706="Adjustment",$E706,0))))</f>
        <v/>
      </c>
      <c r="N706" s="49" t="str">
        <f>IF($D706="","",IFERROR(INDEX(Products!$B$2:$B$101,MATCH($D706,Products!$A$2:$A$101,0))&amp;"","(not found)"))</f>
        <v/>
      </c>
      <c r="O706" s="49" t="str">
        <f>IF($F706="","",IFERROR(INDEX(Batches!$B$2:$B$301,MATCH($F706,Batches!$A$2:$A$301,0))&amp;"","(not found)"))</f>
        <v/>
      </c>
      <c r="P706" s="49" t="str">
        <f>IF(COUNTA($A706:$L706)=0,"",IF($A706="","Missing: entry ID",IF(COUNTIF($A$2:$A$2001,$A706)&gt;1,"Duplicate entry ID",IF(NOT(ISNUMBER($B706)),"Missing or invalid: date",IF($C706="","Missing: type",IF($D706="","Missing: SKU",IF(NOT(ISNUMBER($E706)),"Missing: qty",IF($F706="","Missing: lot",IF($I706="","Missing: source link",IF(COUNTIF(Config!$A$15:$A$34,$C706)=0,"Unsupported type",IF(COUNTIF(Products!$A$2:$A$101,$D706)=0,"Unknown SKU",IF(COUNTIFS(Batches!$A$2:$A$301,$F706,Batches!$B$2:$B$301,$D706)=0,"Unknown lot for this SKU",IF(AND($C706="Adjustment",$G706=""),"Missing: reason",IF(AND($G706&lt;&gt;"",COUNTIF(Config!$B$15:$B$34,$G706)=0),"Unsupported reason",IF(OR(INT($E706)&lt;&gt;$E706,AND(OR($C706="Receipt",$C706="Shipment"),$E706&lt;=0),AND($C706="Adjustment",$E706=0)),"Invalid qty",IF($B706&gt;Config!$B$4,"Date after the as-of date",IF($B706&lt;Config!$B$5,"Date before the opening balance date","OK")))))))))))))))))</f>
        <v/>
      </c>
    </row>
    <row r="707">
      <c r="A707" s="46" t="n"/>
      <c r="B707" s="54" t="n"/>
      <c r="C707" s="46" t="n"/>
      <c r="D707" s="46" t="n"/>
      <c r="E707" s="55" t="n"/>
      <c r="F707" s="46" t="n"/>
      <c r="G707" s="46" t="n"/>
      <c r="H707" s="46" t="n"/>
      <c r="I707" s="46" t="n"/>
      <c r="J707" s="46" t="n"/>
      <c r="K707" s="46" t="n"/>
      <c r="L707" s="46" t="n"/>
      <c r="M707" s="51" t="str">
        <f>IF(NOT(ISNUMBER($E707)),"",IF($C707="Receipt",$E707,IF($C707="Shipment",-$E707,IF($C707="Adjustment",$E707,0))))</f>
        <v/>
      </c>
      <c r="N707" s="49" t="str">
        <f>IF($D707="","",IFERROR(INDEX(Products!$B$2:$B$101,MATCH($D707,Products!$A$2:$A$101,0))&amp;"","(not found)"))</f>
        <v/>
      </c>
      <c r="O707" s="49" t="str">
        <f>IF($F707="","",IFERROR(INDEX(Batches!$B$2:$B$301,MATCH($F707,Batches!$A$2:$A$301,0))&amp;"","(not found)"))</f>
        <v/>
      </c>
      <c r="P707" s="49" t="str">
        <f>IF(COUNTA($A707:$L707)=0,"",IF($A707="","Missing: entry ID",IF(COUNTIF($A$2:$A$2001,$A707)&gt;1,"Duplicate entry ID",IF(NOT(ISNUMBER($B707)),"Missing or invalid: date",IF($C707="","Missing: type",IF($D707="","Missing: SKU",IF(NOT(ISNUMBER($E707)),"Missing: qty",IF($F707="","Missing: lot",IF($I707="","Missing: source link",IF(COUNTIF(Config!$A$15:$A$34,$C707)=0,"Unsupported type",IF(COUNTIF(Products!$A$2:$A$101,$D707)=0,"Unknown SKU",IF(COUNTIFS(Batches!$A$2:$A$301,$F707,Batches!$B$2:$B$301,$D707)=0,"Unknown lot for this SKU",IF(AND($C707="Adjustment",$G707=""),"Missing: reason",IF(AND($G707&lt;&gt;"",COUNTIF(Config!$B$15:$B$34,$G707)=0),"Unsupported reason",IF(OR(INT($E707)&lt;&gt;$E707,AND(OR($C707="Receipt",$C707="Shipment"),$E707&lt;=0),AND($C707="Adjustment",$E707=0)),"Invalid qty",IF($B707&gt;Config!$B$4,"Date after the as-of date",IF($B707&lt;Config!$B$5,"Date before the opening balance date","OK")))))))))))))))))</f>
        <v/>
      </c>
    </row>
    <row r="708">
      <c r="A708" s="46" t="n"/>
      <c r="B708" s="54" t="n"/>
      <c r="C708" s="46" t="n"/>
      <c r="D708" s="46" t="n"/>
      <c r="E708" s="55" t="n"/>
      <c r="F708" s="46" t="n"/>
      <c r="G708" s="46" t="n"/>
      <c r="H708" s="46" t="n"/>
      <c r="I708" s="46" t="n"/>
      <c r="J708" s="46" t="n"/>
      <c r="K708" s="46" t="n"/>
      <c r="L708" s="46" t="n"/>
      <c r="M708" s="51" t="str">
        <f>IF(NOT(ISNUMBER($E708)),"",IF($C708="Receipt",$E708,IF($C708="Shipment",-$E708,IF($C708="Adjustment",$E708,0))))</f>
        <v/>
      </c>
      <c r="N708" s="49" t="str">
        <f>IF($D708="","",IFERROR(INDEX(Products!$B$2:$B$101,MATCH($D708,Products!$A$2:$A$101,0))&amp;"","(not found)"))</f>
        <v/>
      </c>
      <c r="O708" s="49" t="str">
        <f>IF($F708="","",IFERROR(INDEX(Batches!$B$2:$B$301,MATCH($F708,Batches!$A$2:$A$301,0))&amp;"","(not found)"))</f>
        <v/>
      </c>
      <c r="P708" s="49" t="str">
        <f>IF(COUNTA($A708:$L708)=0,"",IF($A708="","Missing: entry ID",IF(COUNTIF($A$2:$A$2001,$A708)&gt;1,"Duplicate entry ID",IF(NOT(ISNUMBER($B708)),"Missing or invalid: date",IF($C708="","Missing: type",IF($D708="","Missing: SKU",IF(NOT(ISNUMBER($E708)),"Missing: qty",IF($F708="","Missing: lot",IF($I708="","Missing: source link",IF(COUNTIF(Config!$A$15:$A$34,$C708)=0,"Unsupported type",IF(COUNTIF(Products!$A$2:$A$101,$D708)=0,"Unknown SKU",IF(COUNTIFS(Batches!$A$2:$A$301,$F708,Batches!$B$2:$B$301,$D708)=0,"Unknown lot for this SKU",IF(AND($C708="Adjustment",$G708=""),"Missing: reason",IF(AND($G708&lt;&gt;"",COUNTIF(Config!$B$15:$B$34,$G708)=0),"Unsupported reason",IF(OR(INT($E708)&lt;&gt;$E708,AND(OR($C708="Receipt",$C708="Shipment"),$E708&lt;=0),AND($C708="Adjustment",$E708=0)),"Invalid qty",IF($B708&gt;Config!$B$4,"Date after the as-of date",IF($B708&lt;Config!$B$5,"Date before the opening balance date","OK")))))))))))))))))</f>
        <v/>
      </c>
    </row>
    <row r="709">
      <c r="A709" s="46" t="n"/>
      <c r="B709" s="54" t="n"/>
      <c r="C709" s="46" t="n"/>
      <c r="D709" s="46" t="n"/>
      <c r="E709" s="55" t="n"/>
      <c r="F709" s="46" t="n"/>
      <c r="G709" s="46" t="n"/>
      <c r="H709" s="46" t="n"/>
      <c r="I709" s="46" t="n"/>
      <c r="J709" s="46" t="n"/>
      <c r="K709" s="46" t="n"/>
      <c r="L709" s="46" t="n"/>
      <c r="M709" s="51" t="str">
        <f>IF(NOT(ISNUMBER($E709)),"",IF($C709="Receipt",$E709,IF($C709="Shipment",-$E709,IF($C709="Adjustment",$E709,0))))</f>
        <v/>
      </c>
      <c r="N709" s="49" t="str">
        <f>IF($D709="","",IFERROR(INDEX(Products!$B$2:$B$101,MATCH($D709,Products!$A$2:$A$101,0))&amp;"","(not found)"))</f>
        <v/>
      </c>
      <c r="O709" s="49" t="str">
        <f>IF($F709="","",IFERROR(INDEX(Batches!$B$2:$B$301,MATCH($F709,Batches!$A$2:$A$301,0))&amp;"","(not found)"))</f>
        <v/>
      </c>
      <c r="P709" s="49" t="str">
        <f>IF(COUNTA($A709:$L709)=0,"",IF($A709="","Missing: entry ID",IF(COUNTIF($A$2:$A$2001,$A709)&gt;1,"Duplicate entry ID",IF(NOT(ISNUMBER($B709)),"Missing or invalid: date",IF($C709="","Missing: type",IF($D709="","Missing: SKU",IF(NOT(ISNUMBER($E709)),"Missing: qty",IF($F709="","Missing: lot",IF($I709="","Missing: source link",IF(COUNTIF(Config!$A$15:$A$34,$C709)=0,"Unsupported type",IF(COUNTIF(Products!$A$2:$A$101,$D709)=0,"Unknown SKU",IF(COUNTIFS(Batches!$A$2:$A$301,$F709,Batches!$B$2:$B$301,$D709)=0,"Unknown lot for this SKU",IF(AND($C709="Adjustment",$G709=""),"Missing: reason",IF(AND($G709&lt;&gt;"",COUNTIF(Config!$B$15:$B$34,$G709)=0),"Unsupported reason",IF(OR(INT($E709)&lt;&gt;$E709,AND(OR($C709="Receipt",$C709="Shipment"),$E709&lt;=0),AND($C709="Adjustment",$E709=0)),"Invalid qty",IF($B709&gt;Config!$B$4,"Date after the as-of date",IF($B709&lt;Config!$B$5,"Date before the opening balance date","OK")))))))))))))))))</f>
        <v/>
      </c>
    </row>
    <row r="710">
      <c r="A710" s="46" t="n"/>
      <c r="B710" s="54" t="n"/>
      <c r="C710" s="46" t="n"/>
      <c r="D710" s="46" t="n"/>
      <c r="E710" s="55" t="n"/>
      <c r="F710" s="46" t="n"/>
      <c r="G710" s="46" t="n"/>
      <c r="H710" s="46" t="n"/>
      <c r="I710" s="46" t="n"/>
      <c r="J710" s="46" t="n"/>
      <c r="K710" s="46" t="n"/>
      <c r="L710" s="46" t="n"/>
      <c r="M710" s="51" t="str">
        <f>IF(NOT(ISNUMBER($E710)),"",IF($C710="Receipt",$E710,IF($C710="Shipment",-$E710,IF($C710="Adjustment",$E710,0))))</f>
        <v/>
      </c>
      <c r="N710" s="49" t="str">
        <f>IF($D710="","",IFERROR(INDEX(Products!$B$2:$B$101,MATCH($D710,Products!$A$2:$A$101,0))&amp;"","(not found)"))</f>
        <v/>
      </c>
      <c r="O710" s="49" t="str">
        <f>IF($F710="","",IFERROR(INDEX(Batches!$B$2:$B$301,MATCH($F710,Batches!$A$2:$A$301,0))&amp;"","(not found)"))</f>
        <v/>
      </c>
      <c r="P710" s="49" t="str">
        <f>IF(COUNTA($A710:$L710)=0,"",IF($A710="","Missing: entry ID",IF(COUNTIF($A$2:$A$2001,$A710)&gt;1,"Duplicate entry ID",IF(NOT(ISNUMBER($B710)),"Missing or invalid: date",IF($C710="","Missing: type",IF($D710="","Missing: SKU",IF(NOT(ISNUMBER($E710)),"Missing: qty",IF($F710="","Missing: lot",IF($I710="","Missing: source link",IF(COUNTIF(Config!$A$15:$A$34,$C710)=0,"Unsupported type",IF(COUNTIF(Products!$A$2:$A$101,$D710)=0,"Unknown SKU",IF(COUNTIFS(Batches!$A$2:$A$301,$F710,Batches!$B$2:$B$301,$D710)=0,"Unknown lot for this SKU",IF(AND($C710="Adjustment",$G710=""),"Missing: reason",IF(AND($G710&lt;&gt;"",COUNTIF(Config!$B$15:$B$34,$G710)=0),"Unsupported reason",IF(OR(INT($E710)&lt;&gt;$E710,AND(OR($C710="Receipt",$C710="Shipment"),$E710&lt;=0),AND($C710="Adjustment",$E710=0)),"Invalid qty",IF($B710&gt;Config!$B$4,"Date after the as-of date",IF($B710&lt;Config!$B$5,"Date before the opening balance date","OK")))))))))))))))))</f>
        <v/>
      </c>
    </row>
    <row r="711">
      <c r="A711" s="46" t="n"/>
      <c r="B711" s="54" t="n"/>
      <c r="C711" s="46" t="n"/>
      <c r="D711" s="46" t="n"/>
      <c r="E711" s="55" t="n"/>
      <c r="F711" s="46" t="n"/>
      <c r="G711" s="46" t="n"/>
      <c r="H711" s="46" t="n"/>
      <c r="I711" s="46" t="n"/>
      <c r="J711" s="46" t="n"/>
      <c r="K711" s="46" t="n"/>
      <c r="L711" s="46" t="n"/>
      <c r="M711" s="51" t="str">
        <f>IF(NOT(ISNUMBER($E711)),"",IF($C711="Receipt",$E711,IF($C711="Shipment",-$E711,IF($C711="Adjustment",$E711,0))))</f>
        <v/>
      </c>
      <c r="N711" s="49" t="str">
        <f>IF($D711="","",IFERROR(INDEX(Products!$B$2:$B$101,MATCH($D711,Products!$A$2:$A$101,0))&amp;"","(not found)"))</f>
        <v/>
      </c>
      <c r="O711" s="49" t="str">
        <f>IF($F711="","",IFERROR(INDEX(Batches!$B$2:$B$301,MATCH($F711,Batches!$A$2:$A$301,0))&amp;"","(not found)"))</f>
        <v/>
      </c>
      <c r="P711" s="49" t="str">
        <f>IF(COUNTA($A711:$L711)=0,"",IF($A711="","Missing: entry ID",IF(COUNTIF($A$2:$A$2001,$A711)&gt;1,"Duplicate entry ID",IF(NOT(ISNUMBER($B711)),"Missing or invalid: date",IF($C711="","Missing: type",IF($D711="","Missing: SKU",IF(NOT(ISNUMBER($E711)),"Missing: qty",IF($F711="","Missing: lot",IF($I711="","Missing: source link",IF(COUNTIF(Config!$A$15:$A$34,$C711)=0,"Unsupported type",IF(COUNTIF(Products!$A$2:$A$101,$D711)=0,"Unknown SKU",IF(COUNTIFS(Batches!$A$2:$A$301,$F711,Batches!$B$2:$B$301,$D711)=0,"Unknown lot for this SKU",IF(AND($C711="Adjustment",$G711=""),"Missing: reason",IF(AND($G711&lt;&gt;"",COUNTIF(Config!$B$15:$B$34,$G711)=0),"Unsupported reason",IF(OR(INT($E711)&lt;&gt;$E711,AND(OR($C711="Receipt",$C711="Shipment"),$E711&lt;=0),AND($C711="Adjustment",$E711=0)),"Invalid qty",IF($B711&gt;Config!$B$4,"Date after the as-of date",IF($B711&lt;Config!$B$5,"Date before the opening balance date","OK")))))))))))))))))</f>
        <v/>
      </c>
    </row>
    <row r="712">
      <c r="A712" s="46" t="n"/>
      <c r="B712" s="54" t="n"/>
      <c r="C712" s="46" t="n"/>
      <c r="D712" s="46" t="n"/>
      <c r="E712" s="55" t="n"/>
      <c r="F712" s="46" t="n"/>
      <c r="G712" s="46" t="n"/>
      <c r="H712" s="46" t="n"/>
      <c r="I712" s="46" t="n"/>
      <c r="J712" s="46" t="n"/>
      <c r="K712" s="46" t="n"/>
      <c r="L712" s="46" t="n"/>
      <c r="M712" s="51" t="str">
        <f>IF(NOT(ISNUMBER($E712)),"",IF($C712="Receipt",$E712,IF($C712="Shipment",-$E712,IF($C712="Adjustment",$E712,0))))</f>
        <v/>
      </c>
      <c r="N712" s="49" t="str">
        <f>IF($D712="","",IFERROR(INDEX(Products!$B$2:$B$101,MATCH($D712,Products!$A$2:$A$101,0))&amp;"","(not found)"))</f>
        <v/>
      </c>
      <c r="O712" s="49" t="str">
        <f>IF($F712="","",IFERROR(INDEX(Batches!$B$2:$B$301,MATCH($F712,Batches!$A$2:$A$301,0))&amp;"","(not found)"))</f>
        <v/>
      </c>
      <c r="P712" s="49" t="str">
        <f>IF(COUNTA($A712:$L712)=0,"",IF($A712="","Missing: entry ID",IF(COUNTIF($A$2:$A$2001,$A712)&gt;1,"Duplicate entry ID",IF(NOT(ISNUMBER($B712)),"Missing or invalid: date",IF($C712="","Missing: type",IF($D712="","Missing: SKU",IF(NOT(ISNUMBER($E712)),"Missing: qty",IF($F712="","Missing: lot",IF($I712="","Missing: source link",IF(COUNTIF(Config!$A$15:$A$34,$C712)=0,"Unsupported type",IF(COUNTIF(Products!$A$2:$A$101,$D712)=0,"Unknown SKU",IF(COUNTIFS(Batches!$A$2:$A$301,$F712,Batches!$B$2:$B$301,$D712)=0,"Unknown lot for this SKU",IF(AND($C712="Adjustment",$G712=""),"Missing: reason",IF(AND($G712&lt;&gt;"",COUNTIF(Config!$B$15:$B$34,$G712)=0),"Unsupported reason",IF(OR(INT($E712)&lt;&gt;$E712,AND(OR($C712="Receipt",$C712="Shipment"),$E712&lt;=0),AND($C712="Adjustment",$E712=0)),"Invalid qty",IF($B712&gt;Config!$B$4,"Date after the as-of date",IF($B712&lt;Config!$B$5,"Date before the opening balance date","OK")))))))))))))))))</f>
        <v/>
      </c>
    </row>
    <row r="713">
      <c r="A713" s="46" t="n"/>
      <c r="B713" s="54" t="n"/>
      <c r="C713" s="46" t="n"/>
      <c r="D713" s="46" t="n"/>
      <c r="E713" s="55" t="n"/>
      <c r="F713" s="46" t="n"/>
      <c r="G713" s="46" t="n"/>
      <c r="H713" s="46" t="n"/>
      <c r="I713" s="46" t="n"/>
      <c r="J713" s="46" t="n"/>
      <c r="K713" s="46" t="n"/>
      <c r="L713" s="46" t="n"/>
      <c r="M713" s="51" t="str">
        <f>IF(NOT(ISNUMBER($E713)),"",IF($C713="Receipt",$E713,IF($C713="Shipment",-$E713,IF($C713="Adjustment",$E713,0))))</f>
        <v/>
      </c>
      <c r="N713" s="49" t="str">
        <f>IF($D713="","",IFERROR(INDEX(Products!$B$2:$B$101,MATCH($D713,Products!$A$2:$A$101,0))&amp;"","(not found)"))</f>
        <v/>
      </c>
      <c r="O713" s="49" t="str">
        <f>IF($F713="","",IFERROR(INDEX(Batches!$B$2:$B$301,MATCH($F713,Batches!$A$2:$A$301,0))&amp;"","(not found)"))</f>
        <v/>
      </c>
      <c r="P713" s="49" t="str">
        <f>IF(COUNTA($A713:$L713)=0,"",IF($A713="","Missing: entry ID",IF(COUNTIF($A$2:$A$2001,$A713)&gt;1,"Duplicate entry ID",IF(NOT(ISNUMBER($B713)),"Missing or invalid: date",IF($C713="","Missing: type",IF($D713="","Missing: SKU",IF(NOT(ISNUMBER($E713)),"Missing: qty",IF($F713="","Missing: lot",IF($I713="","Missing: source link",IF(COUNTIF(Config!$A$15:$A$34,$C713)=0,"Unsupported type",IF(COUNTIF(Products!$A$2:$A$101,$D713)=0,"Unknown SKU",IF(COUNTIFS(Batches!$A$2:$A$301,$F713,Batches!$B$2:$B$301,$D713)=0,"Unknown lot for this SKU",IF(AND($C713="Adjustment",$G713=""),"Missing: reason",IF(AND($G713&lt;&gt;"",COUNTIF(Config!$B$15:$B$34,$G713)=0),"Unsupported reason",IF(OR(INT($E713)&lt;&gt;$E713,AND(OR($C713="Receipt",$C713="Shipment"),$E713&lt;=0),AND($C713="Adjustment",$E713=0)),"Invalid qty",IF($B713&gt;Config!$B$4,"Date after the as-of date",IF($B713&lt;Config!$B$5,"Date before the opening balance date","OK")))))))))))))))))</f>
        <v/>
      </c>
    </row>
    <row r="714">
      <c r="A714" s="46" t="n"/>
      <c r="B714" s="54" t="n"/>
      <c r="C714" s="46" t="n"/>
      <c r="D714" s="46" t="n"/>
      <c r="E714" s="55" t="n"/>
      <c r="F714" s="46" t="n"/>
      <c r="G714" s="46" t="n"/>
      <c r="H714" s="46" t="n"/>
      <c r="I714" s="46" t="n"/>
      <c r="J714" s="46" t="n"/>
      <c r="K714" s="46" t="n"/>
      <c r="L714" s="46" t="n"/>
      <c r="M714" s="51" t="str">
        <f>IF(NOT(ISNUMBER($E714)),"",IF($C714="Receipt",$E714,IF($C714="Shipment",-$E714,IF($C714="Adjustment",$E714,0))))</f>
        <v/>
      </c>
      <c r="N714" s="49" t="str">
        <f>IF($D714="","",IFERROR(INDEX(Products!$B$2:$B$101,MATCH($D714,Products!$A$2:$A$101,0))&amp;"","(not found)"))</f>
        <v/>
      </c>
      <c r="O714" s="49" t="str">
        <f>IF($F714="","",IFERROR(INDEX(Batches!$B$2:$B$301,MATCH($F714,Batches!$A$2:$A$301,0))&amp;"","(not found)"))</f>
        <v/>
      </c>
      <c r="P714" s="49" t="str">
        <f>IF(COUNTA($A714:$L714)=0,"",IF($A714="","Missing: entry ID",IF(COUNTIF($A$2:$A$2001,$A714)&gt;1,"Duplicate entry ID",IF(NOT(ISNUMBER($B714)),"Missing or invalid: date",IF($C714="","Missing: type",IF($D714="","Missing: SKU",IF(NOT(ISNUMBER($E714)),"Missing: qty",IF($F714="","Missing: lot",IF($I714="","Missing: source link",IF(COUNTIF(Config!$A$15:$A$34,$C714)=0,"Unsupported type",IF(COUNTIF(Products!$A$2:$A$101,$D714)=0,"Unknown SKU",IF(COUNTIFS(Batches!$A$2:$A$301,$F714,Batches!$B$2:$B$301,$D714)=0,"Unknown lot for this SKU",IF(AND($C714="Adjustment",$G714=""),"Missing: reason",IF(AND($G714&lt;&gt;"",COUNTIF(Config!$B$15:$B$34,$G714)=0),"Unsupported reason",IF(OR(INT($E714)&lt;&gt;$E714,AND(OR($C714="Receipt",$C714="Shipment"),$E714&lt;=0),AND($C714="Adjustment",$E714=0)),"Invalid qty",IF($B714&gt;Config!$B$4,"Date after the as-of date",IF($B714&lt;Config!$B$5,"Date before the opening balance date","OK")))))))))))))))))</f>
        <v/>
      </c>
    </row>
    <row r="715">
      <c r="A715" s="46" t="n"/>
      <c r="B715" s="54" t="n"/>
      <c r="C715" s="46" t="n"/>
      <c r="D715" s="46" t="n"/>
      <c r="E715" s="55" t="n"/>
      <c r="F715" s="46" t="n"/>
      <c r="G715" s="46" t="n"/>
      <c r="H715" s="46" t="n"/>
      <c r="I715" s="46" t="n"/>
      <c r="J715" s="46" t="n"/>
      <c r="K715" s="46" t="n"/>
      <c r="L715" s="46" t="n"/>
      <c r="M715" s="51" t="str">
        <f>IF(NOT(ISNUMBER($E715)),"",IF($C715="Receipt",$E715,IF($C715="Shipment",-$E715,IF($C715="Adjustment",$E715,0))))</f>
        <v/>
      </c>
      <c r="N715" s="49" t="str">
        <f>IF($D715="","",IFERROR(INDEX(Products!$B$2:$B$101,MATCH($D715,Products!$A$2:$A$101,0))&amp;"","(not found)"))</f>
        <v/>
      </c>
      <c r="O715" s="49" t="str">
        <f>IF($F715="","",IFERROR(INDEX(Batches!$B$2:$B$301,MATCH($F715,Batches!$A$2:$A$301,0))&amp;"","(not found)"))</f>
        <v/>
      </c>
      <c r="P715" s="49" t="str">
        <f>IF(COUNTA($A715:$L715)=0,"",IF($A715="","Missing: entry ID",IF(COUNTIF($A$2:$A$2001,$A715)&gt;1,"Duplicate entry ID",IF(NOT(ISNUMBER($B715)),"Missing or invalid: date",IF($C715="","Missing: type",IF($D715="","Missing: SKU",IF(NOT(ISNUMBER($E715)),"Missing: qty",IF($F715="","Missing: lot",IF($I715="","Missing: source link",IF(COUNTIF(Config!$A$15:$A$34,$C715)=0,"Unsupported type",IF(COUNTIF(Products!$A$2:$A$101,$D715)=0,"Unknown SKU",IF(COUNTIFS(Batches!$A$2:$A$301,$F715,Batches!$B$2:$B$301,$D715)=0,"Unknown lot for this SKU",IF(AND($C715="Adjustment",$G715=""),"Missing: reason",IF(AND($G715&lt;&gt;"",COUNTIF(Config!$B$15:$B$34,$G715)=0),"Unsupported reason",IF(OR(INT($E715)&lt;&gt;$E715,AND(OR($C715="Receipt",$C715="Shipment"),$E715&lt;=0),AND($C715="Adjustment",$E715=0)),"Invalid qty",IF($B715&gt;Config!$B$4,"Date after the as-of date",IF($B715&lt;Config!$B$5,"Date before the opening balance date","OK")))))))))))))))))</f>
        <v/>
      </c>
    </row>
    <row r="716">
      <c r="A716" s="46" t="n"/>
      <c r="B716" s="54" t="n"/>
      <c r="C716" s="46" t="n"/>
      <c r="D716" s="46" t="n"/>
      <c r="E716" s="55" t="n"/>
      <c r="F716" s="46" t="n"/>
      <c r="G716" s="46" t="n"/>
      <c r="H716" s="46" t="n"/>
      <c r="I716" s="46" t="n"/>
      <c r="J716" s="46" t="n"/>
      <c r="K716" s="46" t="n"/>
      <c r="L716" s="46" t="n"/>
      <c r="M716" s="51" t="str">
        <f>IF(NOT(ISNUMBER($E716)),"",IF($C716="Receipt",$E716,IF($C716="Shipment",-$E716,IF($C716="Adjustment",$E716,0))))</f>
        <v/>
      </c>
      <c r="N716" s="49" t="str">
        <f>IF($D716="","",IFERROR(INDEX(Products!$B$2:$B$101,MATCH($D716,Products!$A$2:$A$101,0))&amp;"","(not found)"))</f>
        <v/>
      </c>
      <c r="O716" s="49" t="str">
        <f>IF($F716="","",IFERROR(INDEX(Batches!$B$2:$B$301,MATCH($F716,Batches!$A$2:$A$301,0))&amp;"","(not found)"))</f>
        <v/>
      </c>
      <c r="P716" s="49" t="str">
        <f>IF(COUNTA($A716:$L716)=0,"",IF($A716="","Missing: entry ID",IF(COUNTIF($A$2:$A$2001,$A716)&gt;1,"Duplicate entry ID",IF(NOT(ISNUMBER($B716)),"Missing or invalid: date",IF($C716="","Missing: type",IF($D716="","Missing: SKU",IF(NOT(ISNUMBER($E716)),"Missing: qty",IF($F716="","Missing: lot",IF($I716="","Missing: source link",IF(COUNTIF(Config!$A$15:$A$34,$C716)=0,"Unsupported type",IF(COUNTIF(Products!$A$2:$A$101,$D716)=0,"Unknown SKU",IF(COUNTIFS(Batches!$A$2:$A$301,$F716,Batches!$B$2:$B$301,$D716)=0,"Unknown lot for this SKU",IF(AND($C716="Adjustment",$G716=""),"Missing: reason",IF(AND($G716&lt;&gt;"",COUNTIF(Config!$B$15:$B$34,$G716)=0),"Unsupported reason",IF(OR(INT($E716)&lt;&gt;$E716,AND(OR($C716="Receipt",$C716="Shipment"),$E716&lt;=0),AND($C716="Adjustment",$E716=0)),"Invalid qty",IF($B716&gt;Config!$B$4,"Date after the as-of date",IF($B716&lt;Config!$B$5,"Date before the opening balance date","OK")))))))))))))))))</f>
        <v/>
      </c>
    </row>
    <row r="717">
      <c r="A717" s="46" t="n"/>
      <c r="B717" s="54" t="n"/>
      <c r="C717" s="46" t="n"/>
      <c r="D717" s="46" t="n"/>
      <c r="E717" s="55" t="n"/>
      <c r="F717" s="46" t="n"/>
      <c r="G717" s="46" t="n"/>
      <c r="H717" s="46" t="n"/>
      <c r="I717" s="46" t="n"/>
      <c r="J717" s="46" t="n"/>
      <c r="K717" s="46" t="n"/>
      <c r="L717" s="46" t="n"/>
      <c r="M717" s="51" t="str">
        <f>IF(NOT(ISNUMBER($E717)),"",IF($C717="Receipt",$E717,IF($C717="Shipment",-$E717,IF($C717="Adjustment",$E717,0))))</f>
        <v/>
      </c>
      <c r="N717" s="49" t="str">
        <f>IF($D717="","",IFERROR(INDEX(Products!$B$2:$B$101,MATCH($D717,Products!$A$2:$A$101,0))&amp;"","(not found)"))</f>
        <v/>
      </c>
      <c r="O717" s="49" t="str">
        <f>IF($F717="","",IFERROR(INDEX(Batches!$B$2:$B$301,MATCH($F717,Batches!$A$2:$A$301,0))&amp;"","(not found)"))</f>
        <v/>
      </c>
      <c r="P717" s="49" t="str">
        <f>IF(COUNTA($A717:$L717)=0,"",IF($A717="","Missing: entry ID",IF(COUNTIF($A$2:$A$2001,$A717)&gt;1,"Duplicate entry ID",IF(NOT(ISNUMBER($B717)),"Missing or invalid: date",IF($C717="","Missing: type",IF($D717="","Missing: SKU",IF(NOT(ISNUMBER($E717)),"Missing: qty",IF($F717="","Missing: lot",IF($I717="","Missing: source link",IF(COUNTIF(Config!$A$15:$A$34,$C717)=0,"Unsupported type",IF(COUNTIF(Products!$A$2:$A$101,$D717)=0,"Unknown SKU",IF(COUNTIFS(Batches!$A$2:$A$301,$F717,Batches!$B$2:$B$301,$D717)=0,"Unknown lot for this SKU",IF(AND($C717="Adjustment",$G717=""),"Missing: reason",IF(AND($G717&lt;&gt;"",COUNTIF(Config!$B$15:$B$34,$G717)=0),"Unsupported reason",IF(OR(INT($E717)&lt;&gt;$E717,AND(OR($C717="Receipt",$C717="Shipment"),$E717&lt;=0),AND($C717="Adjustment",$E717=0)),"Invalid qty",IF($B717&gt;Config!$B$4,"Date after the as-of date",IF($B717&lt;Config!$B$5,"Date before the opening balance date","OK")))))))))))))))))</f>
        <v/>
      </c>
    </row>
    <row r="718">
      <c r="A718" s="46" t="n"/>
      <c r="B718" s="54" t="n"/>
      <c r="C718" s="46" t="n"/>
      <c r="D718" s="46" t="n"/>
      <c r="E718" s="55" t="n"/>
      <c r="F718" s="46" t="n"/>
      <c r="G718" s="46" t="n"/>
      <c r="H718" s="46" t="n"/>
      <c r="I718" s="46" t="n"/>
      <c r="J718" s="46" t="n"/>
      <c r="K718" s="46" t="n"/>
      <c r="L718" s="46" t="n"/>
      <c r="M718" s="51" t="str">
        <f>IF(NOT(ISNUMBER($E718)),"",IF($C718="Receipt",$E718,IF($C718="Shipment",-$E718,IF($C718="Adjustment",$E718,0))))</f>
        <v/>
      </c>
      <c r="N718" s="49" t="str">
        <f>IF($D718="","",IFERROR(INDEX(Products!$B$2:$B$101,MATCH($D718,Products!$A$2:$A$101,0))&amp;"","(not found)"))</f>
        <v/>
      </c>
      <c r="O718" s="49" t="str">
        <f>IF($F718="","",IFERROR(INDEX(Batches!$B$2:$B$301,MATCH($F718,Batches!$A$2:$A$301,0))&amp;"","(not found)"))</f>
        <v/>
      </c>
      <c r="P718" s="49" t="str">
        <f>IF(COUNTA($A718:$L718)=0,"",IF($A718="","Missing: entry ID",IF(COUNTIF($A$2:$A$2001,$A718)&gt;1,"Duplicate entry ID",IF(NOT(ISNUMBER($B718)),"Missing or invalid: date",IF($C718="","Missing: type",IF($D718="","Missing: SKU",IF(NOT(ISNUMBER($E718)),"Missing: qty",IF($F718="","Missing: lot",IF($I718="","Missing: source link",IF(COUNTIF(Config!$A$15:$A$34,$C718)=0,"Unsupported type",IF(COUNTIF(Products!$A$2:$A$101,$D718)=0,"Unknown SKU",IF(COUNTIFS(Batches!$A$2:$A$301,$F718,Batches!$B$2:$B$301,$D718)=0,"Unknown lot for this SKU",IF(AND($C718="Adjustment",$G718=""),"Missing: reason",IF(AND($G718&lt;&gt;"",COUNTIF(Config!$B$15:$B$34,$G718)=0),"Unsupported reason",IF(OR(INT($E718)&lt;&gt;$E718,AND(OR($C718="Receipt",$C718="Shipment"),$E718&lt;=0),AND($C718="Adjustment",$E718=0)),"Invalid qty",IF($B718&gt;Config!$B$4,"Date after the as-of date",IF($B718&lt;Config!$B$5,"Date before the opening balance date","OK")))))))))))))))))</f>
        <v/>
      </c>
    </row>
    <row r="719">
      <c r="A719" s="46" t="n"/>
      <c r="B719" s="54" t="n"/>
      <c r="C719" s="46" t="n"/>
      <c r="D719" s="46" t="n"/>
      <c r="E719" s="55" t="n"/>
      <c r="F719" s="46" t="n"/>
      <c r="G719" s="46" t="n"/>
      <c r="H719" s="46" t="n"/>
      <c r="I719" s="46" t="n"/>
      <c r="J719" s="46" t="n"/>
      <c r="K719" s="46" t="n"/>
      <c r="L719" s="46" t="n"/>
      <c r="M719" s="51" t="str">
        <f>IF(NOT(ISNUMBER($E719)),"",IF($C719="Receipt",$E719,IF($C719="Shipment",-$E719,IF($C719="Adjustment",$E719,0))))</f>
        <v/>
      </c>
      <c r="N719" s="49" t="str">
        <f>IF($D719="","",IFERROR(INDEX(Products!$B$2:$B$101,MATCH($D719,Products!$A$2:$A$101,0))&amp;"","(not found)"))</f>
        <v/>
      </c>
      <c r="O719" s="49" t="str">
        <f>IF($F719="","",IFERROR(INDEX(Batches!$B$2:$B$301,MATCH($F719,Batches!$A$2:$A$301,0))&amp;"","(not found)"))</f>
        <v/>
      </c>
      <c r="P719" s="49" t="str">
        <f>IF(COUNTA($A719:$L719)=0,"",IF($A719="","Missing: entry ID",IF(COUNTIF($A$2:$A$2001,$A719)&gt;1,"Duplicate entry ID",IF(NOT(ISNUMBER($B719)),"Missing or invalid: date",IF($C719="","Missing: type",IF($D719="","Missing: SKU",IF(NOT(ISNUMBER($E719)),"Missing: qty",IF($F719="","Missing: lot",IF($I719="","Missing: source link",IF(COUNTIF(Config!$A$15:$A$34,$C719)=0,"Unsupported type",IF(COUNTIF(Products!$A$2:$A$101,$D719)=0,"Unknown SKU",IF(COUNTIFS(Batches!$A$2:$A$301,$F719,Batches!$B$2:$B$301,$D719)=0,"Unknown lot for this SKU",IF(AND($C719="Adjustment",$G719=""),"Missing: reason",IF(AND($G719&lt;&gt;"",COUNTIF(Config!$B$15:$B$34,$G719)=0),"Unsupported reason",IF(OR(INT($E719)&lt;&gt;$E719,AND(OR($C719="Receipt",$C719="Shipment"),$E719&lt;=0),AND($C719="Adjustment",$E719=0)),"Invalid qty",IF($B719&gt;Config!$B$4,"Date after the as-of date",IF($B719&lt;Config!$B$5,"Date before the opening balance date","OK")))))))))))))))))</f>
        <v/>
      </c>
    </row>
    <row r="720">
      <c r="A720" s="46" t="n"/>
      <c r="B720" s="54" t="n"/>
      <c r="C720" s="46" t="n"/>
      <c r="D720" s="46" t="n"/>
      <c r="E720" s="55" t="n"/>
      <c r="F720" s="46" t="n"/>
      <c r="G720" s="46" t="n"/>
      <c r="H720" s="46" t="n"/>
      <c r="I720" s="46" t="n"/>
      <c r="J720" s="46" t="n"/>
      <c r="K720" s="46" t="n"/>
      <c r="L720" s="46" t="n"/>
      <c r="M720" s="51" t="str">
        <f>IF(NOT(ISNUMBER($E720)),"",IF($C720="Receipt",$E720,IF($C720="Shipment",-$E720,IF($C720="Adjustment",$E720,0))))</f>
        <v/>
      </c>
      <c r="N720" s="49" t="str">
        <f>IF($D720="","",IFERROR(INDEX(Products!$B$2:$B$101,MATCH($D720,Products!$A$2:$A$101,0))&amp;"","(not found)"))</f>
        <v/>
      </c>
      <c r="O720" s="49" t="str">
        <f>IF($F720="","",IFERROR(INDEX(Batches!$B$2:$B$301,MATCH($F720,Batches!$A$2:$A$301,0))&amp;"","(not found)"))</f>
        <v/>
      </c>
      <c r="P720" s="49" t="str">
        <f>IF(COUNTA($A720:$L720)=0,"",IF($A720="","Missing: entry ID",IF(COUNTIF($A$2:$A$2001,$A720)&gt;1,"Duplicate entry ID",IF(NOT(ISNUMBER($B720)),"Missing or invalid: date",IF($C720="","Missing: type",IF($D720="","Missing: SKU",IF(NOT(ISNUMBER($E720)),"Missing: qty",IF($F720="","Missing: lot",IF($I720="","Missing: source link",IF(COUNTIF(Config!$A$15:$A$34,$C720)=0,"Unsupported type",IF(COUNTIF(Products!$A$2:$A$101,$D720)=0,"Unknown SKU",IF(COUNTIFS(Batches!$A$2:$A$301,$F720,Batches!$B$2:$B$301,$D720)=0,"Unknown lot for this SKU",IF(AND($C720="Adjustment",$G720=""),"Missing: reason",IF(AND($G720&lt;&gt;"",COUNTIF(Config!$B$15:$B$34,$G720)=0),"Unsupported reason",IF(OR(INT($E720)&lt;&gt;$E720,AND(OR($C720="Receipt",$C720="Shipment"),$E720&lt;=0),AND($C720="Adjustment",$E720=0)),"Invalid qty",IF($B720&gt;Config!$B$4,"Date after the as-of date",IF($B720&lt;Config!$B$5,"Date before the opening balance date","OK")))))))))))))))))</f>
        <v/>
      </c>
    </row>
    <row r="721">
      <c r="A721" s="46" t="n"/>
      <c r="B721" s="54" t="n"/>
      <c r="C721" s="46" t="n"/>
      <c r="D721" s="46" t="n"/>
      <c r="E721" s="55" t="n"/>
      <c r="F721" s="46" t="n"/>
      <c r="G721" s="46" t="n"/>
      <c r="H721" s="46" t="n"/>
      <c r="I721" s="46" t="n"/>
      <c r="J721" s="46" t="n"/>
      <c r="K721" s="46" t="n"/>
      <c r="L721" s="46" t="n"/>
      <c r="M721" s="51" t="str">
        <f>IF(NOT(ISNUMBER($E721)),"",IF($C721="Receipt",$E721,IF($C721="Shipment",-$E721,IF($C721="Adjustment",$E721,0))))</f>
        <v/>
      </c>
      <c r="N721" s="49" t="str">
        <f>IF($D721="","",IFERROR(INDEX(Products!$B$2:$B$101,MATCH($D721,Products!$A$2:$A$101,0))&amp;"","(not found)"))</f>
        <v/>
      </c>
      <c r="O721" s="49" t="str">
        <f>IF($F721="","",IFERROR(INDEX(Batches!$B$2:$B$301,MATCH($F721,Batches!$A$2:$A$301,0))&amp;"","(not found)"))</f>
        <v/>
      </c>
      <c r="P721" s="49" t="str">
        <f>IF(COUNTA($A721:$L721)=0,"",IF($A721="","Missing: entry ID",IF(COUNTIF($A$2:$A$2001,$A721)&gt;1,"Duplicate entry ID",IF(NOT(ISNUMBER($B721)),"Missing or invalid: date",IF($C721="","Missing: type",IF($D721="","Missing: SKU",IF(NOT(ISNUMBER($E721)),"Missing: qty",IF($F721="","Missing: lot",IF($I721="","Missing: source link",IF(COUNTIF(Config!$A$15:$A$34,$C721)=0,"Unsupported type",IF(COUNTIF(Products!$A$2:$A$101,$D721)=0,"Unknown SKU",IF(COUNTIFS(Batches!$A$2:$A$301,$F721,Batches!$B$2:$B$301,$D721)=0,"Unknown lot for this SKU",IF(AND($C721="Adjustment",$G721=""),"Missing: reason",IF(AND($G721&lt;&gt;"",COUNTIF(Config!$B$15:$B$34,$G721)=0),"Unsupported reason",IF(OR(INT($E721)&lt;&gt;$E721,AND(OR($C721="Receipt",$C721="Shipment"),$E721&lt;=0),AND($C721="Adjustment",$E721=0)),"Invalid qty",IF($B721&gt;Config!$B$4,"Date after the as-of date",IF($B721&lt;Config!$B$5,"Date before the opening balance date","OK")))))))))))))))))</f>
        <v/>
      </c>
    </row>
    <row r="722">
      <c r="A722" s="46" t="n"/>
      <c r="B722" s="54" t="n"/>
      <c r="C722" s="46" t="n"/>
      <c r="D722" s="46" t="n"/>
      <c r="E722" s="55" t="n"/>
      <c r="F722" s="46" t="n"/>
      <c r="G722" s="46" t="n"/>
      <c r="H722" s="46" t="n"/>
      <c r="I722" s="46" t="n"/>
      <c r="J722" s="46" t="n"/>
      <c r="K722" s="46" t="n"/>
      <c r="L722" s="46" t="n"/>
      <c r="M722" s="51" t="str">
        <f>IF(NOT(ISNUMBER($E722)),"",IF($C722="Receipt",$E722,IF($C722="Shipment",-$E722,IF($C722="Adjustment",$E722,0))))</f>
        <v/>
      </c>
      <c r="N722" s="49" t="str">
        <f>IF($D722="","",IFERROR(INDEX(Products!$B$2:$B$101,MATCH($D722,Products!$A$2:$A$101,0))&amp;"","(not found)"))</f>
        <v/>
      </c>
      <c r="O722" s="49" t="str">
        <f>IF($F722="","",IFERROR(INDEX(Batches!$B$2:$B$301,MATCH($F722,Batches!$A$2:$A$301,0))&amp;"","(not found)"))</f>
        <v/>
      </c>
      <c r="P722" s="49" t="str">
        <f>IF(COUNTA($A722:$L722)=0,"",IF($A722="","Missing: entry ID",IF(COUNTIF($A$2:$A$2001,$A722)&gt;1,"Duplicate entry ID",IF(NOT(ISNUMBER($B722)),"Missing or invalid: date",IF($C722="","Missing: type",IF($D722="","Missing: SKU",IF(NOT(ISNUMBER($E722)),"Missing: qty",IF($F722="","Missing: lot",IF($I722="","Missing: source link",IF(COUNTIF(Config!$A$15:$A$34,$C722)=0,"Unsupported type",IF(COUNTIF(Products!$A$2:$A$101,$D722)=0,"Unknown SKU",IF(COUNTIFS(Batches!$A$2:$A$301,$F722,Batches!$B$2:$B$301,$D722)=0,"Unknown lot for this SKU",IF(AND($C722="Adjustment",$G722=""),"Missing: reason",IF(AND($G722&lt;&gt;"",COUNTIF(Config!$B$15:$B$34,$G722)=0),"Unsupported reason",IF(OR(INT($E722)&lt;&gt;$E722,AND(OR($C722="Receipt",$C722="Shipment"),$E722&lt;=0),AND($C722="Adjustment",$E722=0)),"Invalid qty",IF($B722&gt;Config!$B$4,"Date after the as-of date",IF($B722&lt;Config!$B$5,"Date before the opening balance date","OK")))))))))))))))))</f>
        <v/>
      </c>
    </row>
    <row r="723">
      <c r="A723" s="46" t="n"/>
      <c r="B723" s="54" t="n"/>
      <c r="C723" s="46" t="n"/>
      <c r="D723" s="46" t="n"/>
      <c r="E723" s="55" t="n"/>
      <c r="F723" s="46" t="n"/>
      <c r="G723" s="46" t="n"/>
      <c r="H723" s="46" t="n"/>
      <c r="I723" s="46" t="n"/>
      <c r="J723" s="46" t="n"/>
      <c r="K723" s="46" t="n"/>
      <c r="L723" s="46" t="n"/>
      <c r="M723" s="51" t="str">
        <f>IF(NOT(ISNUMBER($E723)),"",IF($C723="Receipt",$E723,IF($C723="Shipment",-$E723,IF($C723="Adjustment",$E723,0))))</f>
        <v/>
      </c>
      <c r="N723" s="49" t="str">
        <f>IF($D723="","",IFERROR(INDEX(Products!$B$2:$B$101,MATCH($D723,Products!$A$2:$A$101,0))&amp;"","(not found)"))</f>
        <v/>
      </c>
      <c r="O723" s="49" t="str">
        <f>IF($F723="","",IFERROR(INDEX(Batches!$B$2:$B$301,MATCH($F723,Batches!$A$2:$A$301,0))&amp;"","(not found)"))</f>
        <v/>
      </c>
      <c r="P723" s="49" t="str">
        <f>IF(COUNTA($A723:$L723)=0,"",IF($A723="","Missing: entry ID",IF(COUNTIF($A$2:$A$2001,$A723)&gt;1,"Duplicate entry ID",IF(NOT(ISNUMBER($B723)),"Missing or invalid: date",IF($C723="","Missing: type",IF($D723="","Missing: SKU",IF(NOT(ISNUMBER($E723)),"Missing: qty",IF($F723="","Missing: lot",IF($I723="","Missing: source link",IF(COUNTIF(Config!$A$15:$A$34,$C723)=0,"Unsupported type",IF(COUNTIF(Products!$A$2:$A$101,$D723)=0,"Unknown SKU",IF(COUNTIFS(Batches!$A$2:$A$301,$F723,Batches!$B$2:$B$301,$D723)=0,"Unknown lot for this SKU",IF(AND($C723="Adjustment",$G723=""),"Missing: reason",IF(AND($G723&lt;&gt;"",COUNTIF(Config!$B$15:$B$34,$G723)=0),"Unsupported reason",IF(OR(INT($E723)&lt;&gt;$E723,AND(OR($C723="Receipt",$C723="Shipment"),$E723&lt;=0),AND($C723="Adjustment",$E723=0)),"Invalid qty",IF($B723&gt;Config!$B$4,"Date after the as-of date",IF($B723&lt;Config!$B$5,"Date before the opening balance date","OK")))))))))))))))))</f>
        <v/>
      </c>
    </row>
    <row r="724">
      <c r="A724" s="46" t="n"/>
      <c r="B724" s="54" t="n"/>
      <c r="C724" s="46" t="n"/>
      <c r="D724" s="46" t="n"/>
      <c r="E724" s="55" t="n"/>
      <c r="F724" s="46" t="n"/>
      <c r="G724" s="46" t="n"/>
      <c r="H724" s="46" t="n"/>
      <c r="I724" s="46" t="n"/>
      <c r="J724" s="46" t="n"/>
      <c r="K724" s="46" t="n"/>
      <c r="L724" s="46" t="n"/>
      <c r="M724" s="51" t="str">
        <f>IF(NOT(ISNUMBER($E724)),"",IF($C724="Receipt",$E724,IF($C724="Shipment",-$E724,IF($C724="Adjustment",$E724,0))))</f>
        <v/>
      </c>
      <c r="N724" s="49" t="str">
        <f>IF($D724="","",IFERROR(INDEX(Products!$B$2:$B$101,MATCH($D724,Products!$A$2:$A$101,0))&amp;"","(not found)"))</f>
        <v/>
      </c>
      <c r="O724" s="49" t="str">
        <f>IF($F724="","",IFERROR(INDEX(Batches!$B$2:$B$301,MATCH($F724,Batches!$A$2:$A$301,0))&amp;"","(not found)"))</f>
        <v/>
      </c>
      <c r="P724" s="49" t="str">
        <f>IF(COUNTA($A724:$L724)=0,"",IF($A724="","Missing: entry ID",IF(COUNTIF($A$2:$A$2001,$A724)&gt;1,"Duplicate entry ID",IF(NOT(ISNUMBER($B724)),"Missing or invalid: date",IF($C724="","Missing: type",IF($D724="","Missing: SKU",IF(NOT(ISNUMBER($E724)),"Missing: qty",IF($F724="","Missing: lot",IF($I724="","Missing: source link",IF(COUNTIF(Config!$A$15:$A$34,$C724)=0,"Unsupported type",IF(COUNTIF(Products!$A$2:$A$101,$D724)=0,"Unknown SKU",IF(COUNTIFS(Batches!$A$2:$A$301,$F724,Batches!$B$2:$B$301,$D724)=0,"Unknown lot for this SKU",IF(AND($C724="Adjustment",$G724=""),"Missing: reason",IF(AND($G724&lt;&gt;"",COUNTIF(Config!$B$15:$B$34,$G724)=0),"Unsupported reason",IF(OR(INT($E724)&lt;&gt;$E724,AND(OR($C724="Receipt",$C724="Shipment"),$E724&lt;=0),AND($C724="Adjustment",$E724=0)),"Invalid qty",IF($B724&gt;Config!$B$4,"Date after the as-of date",IF($B724&lt;Config!$B$5,"Date before the opening balance date","OK")))))))))))))))))</f>
        <v/>
      </c>
    </row>
    <row r="725">
      <c r="A725" s="46" t="n"/>
      <c r="B725" s="54" t="n"/>
      <c r="C725" s="46" t="n"/>
      <c r="D725" s="46" t="n"/>
      <c r="E725" s="55" t="n"/>
      <c r="F725" s="46" t="n"/>
      <c r="G725" s="46" t="n"/>
      <c r="H725" s="46" t="n"/>
      <c r="I725" s="46" t="n"/>
      <c r="J725" s="46" t="n"/>
      <c r="K725" s="46" t="n"/>
      <c r="L725" s="46" t="n"/>
      <c r="M725" s="51" t="str">
        <f>IF(NOT(ISNUMBER($E725)),"",IF($C725="Receipt",$E725,IF($C725="Shipment",-$E725,IF($C725="Adjustment",$E725,0))))</f>
        <v/>
      </c>
      <c r="N725" s="49" t="str">
        <f>IF($D725="","",IFERROR(INDEX(Products!$B$2:$B$101,MATCH($D725,Products!$A$2:$A$101,0))&amp;"","(not found)"))</f>
        <v/>
      </c>
      <c r="O725" s="49" t="str">
        <f>IF($F725="","",IFERROR(INDEX(Batches!$B$2:$B$301,MATCH($F725,Batches!$A$2:$A$301,0))&amp;"","(not found)"))</f>
        <v/>
      </c>
      <c r="P725" s="49" t="str">
        <f>IF(COUNTA($A725:$L725)=0,"",IF($A725="","Missing: entry ID",IF(COUNTIF($A$2:$A$2001,$A725)&gt;1,"Duplicate entry ID",IF(NOT(ISNUMBER($B725)),"Missing or invalid: date",IF($C725="","Missing: type",IF($D725="","Missing: SKU",IF(NOT(ISNUMBER($E725)),"Missing: qty",IF($F725="","Missing: lot",IF($I725="","Missing: source link",IF(COUNTIF(Config!$A$15:$A$34,$C725)=0,"Unsupported type",IF(COUNTIF(Products!$A$2:$A$101,$D725)=0,"Unknown SKU",IF(COUNTIFS(Batches!$A$2:$A$301,$F725,Batches!$B$2:$B$301,$D725)=0,"Unknown lot for this SKU",IF(AND($C725="Adjustment",$G725=""),"Missing: reason",IF(AND($G725&lt;&gt;"",COUNTIF(Config!$B$15:$B$34,$G725)=0),"Unsupported reason",IF(OR(INT($E725)&lt;&gt;$E725,AND(OR($C725="Receipt",$C725="Shipment"),$E725&lt;=0),AND($C725="Adjustment",$E725=0)),"Invalid qty",IF($B725&gt;Config!$B$4,"Date after the as-of date",IF($B725&lt;Config!$B$5,"Date before the opening balance date","OK")))))))))))))))))</f>
        <v/>
      </c>
    </row>
    <row r="726">
      <c r="A726" s="46" t="n"/>
      <c r="B726" s="54" t="n"/>
      <c r="C726" s="46" t="n"/>
      <c r="D726" s="46" t="n"/>
      <c r="E726" s="55" t="n"/>
      <c r="F726" s="46" t="n"/>
      <c r="G726" s="46" t="n"/>
      <c r="H726" s="46" t="n"/>
      <c r="I726" s="46" t="n"/>
      <c r="J726" s="46" t="n"/>
      <c r="K726" s="46" t="n"/>
      <c r="L726" s="46" t="n"/>
      <c r="M726" s="51" t="str">
        <f>IF(NOT(ISNUMBER($E726)),"",IF($C726="Receipt",$E726,IF($C726="Shipment",-$E726,IF($C726="Adjustment",$E726,0))))</f>
        <v/>
      </c>
      <c r="N726" s="49" t="str">
        <f>IF($D726="","",IFERROR(INDEX(Products!$B$2:$B$101,MATCH($D726,Products!$A$2:$A$101,0))&amp;"","(not found)"))</f>
        <v/>
      </c>
      <c r="O726" s="49" t="str">
        <f>IF($F726="","",IFERROR(INDEX(Batches!$B$2:$B$301,MATCH($F726,Batches!$A$2:$A$301,0))&amp;"","(not found)"))</f>
        <v/>
      </c>
      <c r="P726" s="49" t="str">
        <f>IF(COUNTA($A726:$L726)=0,"",IF($A726="","Missing: entry ID",IF(COUNTIF($A$2:$A$2001,$A726)&gt;1,"Duplicate entry ID",IF(NOT(ISNUMBER($B726)),"Missing or invalid: date",IF($C726="","Missing: type",IF($D726="","Missing: SKU",IF(NOT(ISNUMBER($E726)),"Missing: qty",IF($F726="","Missing: lot",IF($I726="","Missing: source link",IF(COUNTIF(Config!$A$15:$A$34,$C726)=0,"Unsupported type",IF(COUNTIF(Products!$A$2:$A$101,$D726)=0,"Unknown SKU",IF(COUNTIFS(Batches!$A$2:$A$301,$F726,Batches!$B$2:$B$301,$D726)=0,"Unknown lot for this SKU",IF(AND($C726="Adjustment",$G726=""),"Missing: reason",IF(AND($G726&lt;&gt;"",COUNTIF(Config!$B$15:$B$34,$G726)=0),"Unsupported reason",IF(OR(INT($E726)&lt;&gt;$E726,AND(OR($C726="Receipt",$C726="Shipment"),$E726&lt;=0),AND($C726="Adjustment",$E726=0)),"Invalid qty",IF($B726&gt;Config!$B$4,"Date after the as-of date",IF($B726&lt;Config!$B$5,"Date before the opening balance date","OK")))))))))))))))))</f>
        <v/>
      </c>
    </row>
    <row r="727">
      <c r="A727" s="46" t="n"/>
      <c r="B727" s="54" t="n"/>
      <c r="C727" s="46" t="n"/>
      <c r="D727" s="46" t="n"/>
      <c r="E727" s="55" t="n"/>
      <c r="F727" s="46" t="n"/>
      <c r="G727" s="46" t="n"/>
      <c r="H727" s="46" t="n"/>
      <c r="I727" s="46" t="n"/>
      <c r="J727" s="46" t="n"/>
      <c r="K727" s="46" t="n"/>
      <c r="L727" s="46" t="n"/>
      <c r="M727" s="51" t="str">
        <f>IF(NOT(ISNUMBER($E727)),"",IF($C727="Receipt",$E727,IF($C727="Shipment",-$E727,IF($C727="Adjustment",$E727,0))))</f>
        <v/>
      </c>
      <c r="N727" s="49" t="str">
        <f>IF($D727="","",IFERROR(INDEX(Products!$B$2:$B$101,MATCH($D727,Products!$A$2:$A$101,0))&amp;"","(not found)"))</f>
        <v/>
      </c>
      <c r="O727" s="49" t="str">
        <f>IF($F727="","",IFERROR(INDEX(Batches!$B$2:$B$301,MATCH($F727,Batches!$A$2:$A$301,0))&amp;"","(not found)"))</f>
        <v/>
      </c>
      <c r="P727" s="49" t="str">
        <f>IF(COUNTA($A727:$L727)=0,"",IF($A727="","Missing: entry ID",IF(COUNTIF($A$2:$A$2001,$A727)&gt;1,"Duplicate entry ID",IF(NOT(ISNUMBER($B727)),"Missing or invalid: date",IF($C727="","Missing: type",IF($D727="","Missing: SKU",IF(NOT(ISNUMBER($E727)),"Missing: qty",IF($F727="","Missing: lot",IF($I727="","Missing: source link",IF(COUNTIF(Config!$A$15:$A$34,$C727)=0,"Unsupported type",IF(COUNTIF(Products!$A$2:$A$101,$D727)=0,"Unknown SKU",IF(COUNTIFS(Batches!$A$2:$A$301,$F727,Batches!$B$2:$B$301,$D727)=0,"Unknown lot for this SKU",IF(AND($C727="Adjustment",$G727=""),"Missing: reason",IF(AND($G727&lt;&gt;"",COUNTIF(Config!$B$15:$B$34,$G727)=0),"Unsupported reason",IF(OR(INT($E727)&lt;&gt;$E727,AND(OR($C727="Receipt",$C727="Shipment"),$E727&lt;=0),AND($C727="Adjustment",$E727=0)),"Invalid qty",IF($B727&gt;Config!$B$4,"Date after the as-of date",IF($B727&lt;Config!$B$5,"Date before the opening balance date","OK")))))))))))))))))</f>
        <v/>
      </c>
    </row>
    <row r="728">
      <c r="A728" s="46" t="n"/>
      <c r="B728" s="54" t="n"/>
      <c r="C728" s="46" t="n"/>
      <c r="D728" s="46" t="n"/>
      <c r="E728" s="55" t="n"/>
      <c r="F728" s="46" t="n"/>
      <c r="G728" s="46" t="n"/>
      <c r="H728" s="46" t="n"/>
      <c r="I728" s="46" t="n"/>
      <c r="J728" s="46" t="n"/>
      <c r="K728" s="46" t="n"/>
      <c r="L728" s="46" t="n"/>
      <c r="M728" s="51" t="str">
        <f>IF(NOT(ISNUMBER($E728)),"",IF($C728="Receipt",$E728,IF($C728="Shipment",-$E728,IF($C728="Adjustment",$E728,0))))</f>
        <v/>
      </c>
      <c r="N728" s="49" t="str">
        <f>IF($D728="","",IFERROR(INDEX(Products!$B$2:$B$101,MATCH($D728,Products!$A$2:$A$101,0))&amp;"","(not found)"))</f>
        <v/>
      </c>
      <c r="O728" s="49" t="str">
        <f>IF($F728="","",IFERROR(INDEX(Batches!$B$2:$B$301,MATCH($F728,Batches!$A$2:$A$301,0))&amp;"","(not found)"))</f>
        <v/>
      </c>
      <c r="P728" s="49" t="str">
        <f>IF(COUNTA($A728:$L728)=0,"",IF($A728="","Missing: entry ID",IF(COUNTIF($A$2:$A$2001,$A728)&gt;1,"Duplicate entry ID",IF(NOT(ISNUMBER($B728)),"Missing or invalid: date",IF($C728="","Missing: type",IF($D728="","Missing: SKU",IF(NOT(ISNUMBER($E728)),"Missing: qty",IF($F728="","Missing: lot",IF($I728="","Missing: source link",IF(COUNTIF(Config!$A$15:$A$34,$C728)=0,"Unsupported type",IF(COUNTIF(Products!$A$2:$A$101,$D728)=0,"Unknown SKU",IF(COUNTIFS(Batches!$A$2:$A$301,$F728,Batches!$B$2:$B$301,$D728)=0,"Unknown lot for this SKU",IF(AND($C728="Adjustment",$G728=""),"Missing: reason",IF(AND($G728&lt;&gt;"",COUNTIF(Config!$B$15:$B$34,$G728)=0),"Unsupported reason",IF(OR(INT($E728)&lt;&gt;$E728,AND(OR($C728="Receipt",$C728="Shipment"),$E728&lt;=0),AND($C728="Adjustment",$E728=0)),"Invalid qty",IF($B728&gt;Config!$B$4,"Date after the as-of date",IF($B728&lt;Config!$B$5,"Date before the opening balance date","OK")))))))))))))))))</f>
        <v/>
      </c>
    </row>
    <row r="729">
      <c r="A729" s="46" t="n"/>
      <c r="B729" s="54" t="n"/>
      <c r="C729" s="46" t="n"/>
      <c r="D729" s="46" t="n"/>
      <c r="E729" s="55" t="n"/>
      <c r="F729" s="46" t="n"/>
      <c r="G729" s="46" t="n"/>
      <c r="H729" s="46" t="n"/>
      <c r="I729" s="46" t="n"/>
      <c r="J729" s="46" t="n"/>
      <c r="K729" s="46" t="n"/>
      <c r="L729" s="46" t="n"/>
      <c r="M729" s="51" t="str">
        <f>IF(NOT(ISNUMBER($E729)),"",IF($C729="Receipt",$E729,IF($C729="Shipment",-$E729,IF($C729="Adjustment",$E729,0))))</f>
        <v/>
      </c>
      <c r="N729" s="49" t="str">
        <f>IF($D729="","",IFERROR(INDEX(Products!$B$2:$B$101,MATCH($D729,Products!$A$2:$A$101,0))&amp;"","(not found)"))</f>
        <v/>
      </c>
      <c r="O729" s="49" t="str">
        <f>IF($F729="","",IFERROR(INDEX(Batches!$B$2:$B$301,MATCH($F729,Batches!$A$2:$A$301,0))&amp;"","(not found)"))</f>
        <v/>
      </c>
      <c r="P729" s="49" t="str">
        <f>IF(COUNTA($A729:$L729)=0,"",IF($A729="","Missing: entry ID",IF(COUNTIF($A$2:$A$2001,$A729)&gt;1,"Duplicate entry ID",IF(NOT(ISNUMBER($B729)),"Missing or invalid: date",IF($C729="","Missing: type",IF($D729="","Missing: SKU",IF(NOT(ISNUMBER($E729)),"Missing: qty",IF($F729="","Missing: lot",IF($I729="","Missing: source link",IF(COUNTIF(Config!$A$15:$A$34,$C729)=0,"Unsupported type",IF(COUNTIF(Products!$A$2:$A$101,$D729)=0,"Unknown SKU",IF(COUNTIFS(Batches!$A$2:$A$301,$F729,Batches!$B$2:$B$301,$D729)=0,"Unknown lot for this SKU",IF(AND($C729="Adjustment",$G729=""),"Missing: reason",IF(AND($G729&lt;&gt;"",COUNTIF(Config!$B$15:$B$34,$G729)=0),"Unsupported reason",IF(OR(INT($E729)&lt;&gt;$E729,AND(OR($C729="Receipt",$C729="Shipment"),$E729&lt;=0),AND($C729="Adjustment",$E729=0)),"Invalid qty",IF($B729&gt;Config!$B$4,"Date after the as-of date",IF($B729&lt;Config!$B$5,"Date before the opening balance date","OK")))))))))))))))))</f>
        <v/>
      </c>
    </row>
    <row r="730">
      <c r="A730" s="46" t="n"/>
      <c r="B730" s="54" t="n"/>
      <c r="C730" s="46" t="n"/>
      <c r="D730" s="46" t="n"/>
      <c r="E730" s="55" t="n"/>
      <c r="F730" s="46" t="n"/>
      <c r="G730" s="46" t="n"/>
      <c r="H730" s="46" t="n"/>
      <c r="I730" s="46" t="n"/>
      <c r="J730" s="46" t="n"/>
      <c r="K730" s="46" t="n"/>
      <c r="L730" s="46" t="n"/>
      <c r="M730" s="51" t="str">
        <f>IF(NOT(ISNUMBER($E730)),"",IF($C730="Receipt",$E730,IF($C730="Shipment",-$E730,IF($C730="Adjustment",$E730,0))))</f>
        <v/>
      </c>
      <c r="N730" s="49" t="str">
        <f>IF($D730="","",IFERROR(INDEX(Products!$B$2:$B$101,MATCH($D730,Products!$A$2:$A$101,0))&amp;"","(not found)"))</f>
        <v/>
      </c>
      <c r="O730" s="49" t="str">
        <f>IF($F730="","",IFERROR(INDEX(Batches!$B$2:$B$301,MATCH($F730,Batches!$A$2:$A$301,0))&amp;"","(not found)"))</f>
        <v/>
      </c>
      <c r="P730" s="49" t="str">
        <f>IF(COUNTA($A730:$L730)=0,"",IF($A730="","Missing: entry ID",IF(COUNTIF($A$2:$A$2001,$A730)&gt;1,"Duplicate entry ID",IF(NOT(ISNUMBER($B730)),"Missing or invalid: date",IF($C730="","Missing: type",IF($D730="","Missing: SKU",IF(NOT(ISNUMBER($E730)),"Missing: qty",IF($F730="","Missing: lot",IF($I730="","Missing: source link",IF(COUNTIF(Config!$A$15:$A$34,$C730)=0,"Unsupported type",IF(COUNTIF(Products!$A$2:$A$101,$D730)=0,"Unknown SKU",IF(COUNTIFS(Batches!$A$2:$A$301,$F730,Batches!$B$2:$B$301,$D730)=0,"Unknown lot for this SKU",IF(AND($C730="Adjustment",$G730=""),"Missing: reason",IF(AND($G730&lt;&gt;"",COUNTIF(Config!$B$15:$B$34,$G730)=0),"Unsupported reason",IF(OR(INT($E730)&lt;&gt;$E730,AND(OR($C730="Receipt",$C730="Shipment"),$E730&lt;=0),AND($C730="Adjustment",$E730=0)),"Invalid qty",IF($B730&gt;Config!$B$4,"Date after the as-of date",IF($B730&lt;Config!$B$5,"Date before the opening balance date","OK")))))))))))))))))</f>
        <v/>
      </c>
    </row>
    <row r="731">
      <c r="A731" s="46" t="n"/>
      <c r="B731" s="54" t="n"/>
      <c r="C731" s="46" t="n"/>
      <c r="D731" s="46" t="n"/>
      <c r="E731" s="55" t="n"/>
      <c r="F731" s="46" t="n"/>
      <c r="G731" s="46" t="n"/>
      <c r="H731" s="46" t="n"/>
      <c r="I731" s="46" t="n"/>
      <c r="J731" s="46" t="n"/>
      <c r="K731" s="46" t="n"/>
      <c r="L731" s="46" t="n"/>
      <c r="M731" s="51" t="str">
        <f>IF(NOT(ISNUMBER($E731)),"",IF($C731="Receipt",$E731,IF($C731="Shipment",-$E731,IF($C731="Adjustment",$E731,0))))</f>
        <v/>
      </c>
      <c r="N731" s="49" t="str">
        <f>IF($D731="","",IFERROR(INDEX(Products!$B$2:$B$101,MATCH($D731,Products!$A$2:$A$101,0))&amp;"","(not found)"))</f>
        <v/>
      </c>
      <c r="O731" s="49" t="str">
        <f>IF($F731="","",IFERROR(INDEX(Batches!$B$2:$B$301,MATCH($F731,Batches!$A$2:$A$301,0))&amp;"","(not found)"))</f>
        <v/>
      </c>
      <c r="P731" s="49" t="str">
        <f>IF(COUNTA($A731:$L731)=0,"",IF($A731="","Missing: entry ID",IF(COUNTIF($A$2:$A$2001,$A731)&gt;1,"Duplicate entry ID",IF(NOT(ISNUMBER($B731)),"Missing or invalid: date",IF($C731="","Missing: type",IF($D731="","Missing: SKU",IF(NOT(ISNUMBER($E731)),"Missing: qty",IF($F731="","Missing: lot",IF($I731="","Missing: source link",IF(COUNTIF(Config!$A$15:$A$34,$C731)=0,"Unsupported type",IF(COUNTIF(Products!$A$2:$A$101,$D731)=0,"Unknown SKU",IF(COUNTIFS(Batches!$A$2:$A$301,$F731,Batches!$B$2:$B$301,$D731)=0,"Unknown lot for this SKU",IF(AND($C731="Adjustment",$G731=""),"Missing: reason",IF(AND($G731&lt;&gt;"",COUNTIF(Config!$B$15:$B$34,$G731)=0),"Unsupported reason",IF(OR(INT($E731)&lt;&gt;$E731,AND(OR($C731="Receipt",$C731="Shipment"),$E731&lt;=0),AND($C731="Adjustment",$E731=0)),"Invalid qty",IF($B731&gt;Config!$B$4,"Date after the as-of date",IF($B731&lt;Config!$B$5,"Date before the opening balance date","OK")))))))))))))))))</f>
        <v/>
      </c>
    </row>
    <row r="732">
      <c r="A732" s="46" t="n"/>
      <c r="B732" s="54" t="n"/>
      <c r="C732" s="46" t="n"/>
      <c r="D732" s="46" t="n"/>
      <c r="E732" s="55" t="n"/>
      <c r="F732" s="46" t="n"/>
      <c r="G732" s="46" t="n"/>
      <c r="H732" s="46" t="n"/>
      <c r="I732" s="46" t="n"/>
      <c r="J732" s="46" t="n"/>
      <c r="K732" s="46" t="n"/>
      <c r="L732" s="46" t="n"/>
      <c r="M732" s="51" t="str">
        <f>IF(NOT(ISNUMBER($E732)),"",IF($C732="Receipt",$E732,IF($C732="Shipment",-$E732,IF($C732="Adjustment",$E732,0))))</f>
        <v/>
      </c>
      <c r="N732" s="49" t="str">
        <f>IF($D732="","",IFERROR(INDEX(Products!$B$2:$B$101,MATCH($D732,Products!$A$2:$A$101,0))&amp;"","(not found)"))</f>
        <v/>
      </c>
      <c r="O732" s="49" t="str">
        <f>IF($F732="","",IFERROR(INDEX(Batches!$B$2:$B$301,MATCH($F732,Batches!$A$2:$A$301,0))&amp;"","(not found)"))</f>
        <v/>
      </c>
      <c r="P732" s="49" t="str">
        <f>IF(COUNTA($A732:$L732)=0,"",IF($A732="","Missing: entry ID",IF(COUNTIF($A$2:$A$2001,$A732)&gt;1,"Duplicate entry ID",IF(NOT(ISNUMBER($B732)),"Missing or invalid: date",IF($C732="","Missing: type",IF($D732="","Missing: SKU",IF(NOT(ISNUMBER($E732)),"Missing: qty",IF($F732="","Missing: lot",IF($I732="","Missing: source link",IF(COUNTIF(Config!$A$15:$A$34,$C732)=0,"Unsupported type",IF(COUNTIF(Products!$A$2:$A$101,$D732)=0,"Unknown SKU",IF(COUNTIFS(Batches!$A$2:$A$301,$F732,Batches!$B$2:$B$301,$D732)=0,"Unknown lot for this SKU",IF(AND($C732="Adjustment",$G732=""),"Missing: reason",IF(AND($G732&lt;&gt;"",COUNTIF(Config!$B$15:$B$34,$G732)=0),"Unsupported reason",IF(OR(INT($E732)&lt;&gt;$E732,AND(OR($C732="Receipt",$C732="Shipment"),$E732&lt;=0),AND($C732="Adjustment",$E732=0)),"Invalid qty",IF($B732&gt;Config!$B$4,"Date after the as-of date",IF($B732&lt;Config!$B$5,"Date before the opening balance date","OK")))))))))))))))))</f>
        <v/>
      </c>
    </row>
    <row r="733">
      <c r="A733" s="46" t="n"/>
      <c r="B733" s="54" t="n"/>
      <c r="C733" s="46" t="n"/>
      <c r="D733" s="46" t="n"/>
      <c r="E733" s="55" t="n"/>
      <c r="F733" s="46" t="n"/>
      <c r="G733" s="46" t="n"/>
      <c r="H733" s="46" t="n"/>
      <c r="I733" s="46" t="n"/>
      <c r="J733" s="46" t="n"/>
      <c r="K733" s="46" t="n"/>
      <c r="L733" s="46" t="n"/>
      <c r="M733" s="51" t="str">
        <f>IF(NOT(ISNUMBER($E733)),"",IF($C733="Receipt",$E733,IF($C733="Shipment",-$E733,IF($C733="Adjustment",$E733,0))))</f>
        <v/>
      </c>
      <c r="N733" s="49" t="str">
        <f>IF($D733="","",IFERROR(INDEX(Products!$B$2:$B$101,MATCH($D733,Products!$A$2:$A$101,0))&amp;"","(not found)"))</f>
        <v/>
      </c>
      <c r="O733" s="49" t="str">
        <f>IF($F733="","",IFERROR(INDEX(Batches!$B$2:$B$301,MATCH($F733,Batches!$A$2:$A$301,0))&amp;"","(not found)"))</f>
        <v/>
      </c>
      <c r="P733" s="49" t="str">
        <f>IF(COUNTA($A733:$L733)=0,"",IF($A733="","Missing: entry ID",IF(COUNTIF($A$2:$A$2001,$A733)&gt;1,"Duplicate entry ID",IF(NOT(ISNUMBER($B733)),"Missing or invalid: date",IF($C733="","Missing: type",IF($D733="","Missing: SKU",IF(NOT(ISNUMBER($E733)),"Missing: qty",IF($F733="","Missing: lot",IF($I733="","Missing: source link",IF(COUNTIF(Config!$A$15:$A$34,$C733)=0,"Unsupported type",IF(COUNTIF(Products!$A$2:$A$101,$D733)=0,"Unknown SKU",IF(COUNTIFS(Batches!$A$2:$A$301,$F733,Batches!$B$2:$B$301,$D733)=0,"Unknown lot for this SKU",IF(AND($C733="Adjustment",$G733=""),"Missing: reason",IF(AND($G733&lt;&gt;"",COUNTIF(Config!$B$15:$B$34,$G733)=0),"Unsupported reason",IF(OR(INT($E733)&lt;&gt;$E733,AND(OR($C733="Receipt",$C733="Shipment"),$E733&lt;=0),AND($C733="Adjustment",$E733=0)),"Invalid qty",IF($B733&gt;Config!$B$4,"Date after the as-of date",IF($B733&lt;Config!$B$5,"Date before the opening balance date","OK")))))))))))))))))</f>
        <v/>
      </c>
    </row>
    <row r="734">
      <c r="A734" s="46" t="n"/>
      <c r="B734" s="54" t="n"/>
      <c r="C734" s="46" t="n"/>
      <c r="D734" s="46" t="n"/>
      <c r="E734" s="55" t="n"/>
      <c r="F734" s="46" t="n"/>
      <c r="G734" s="46" t="n"/>
      <c r="H734" s="46" t="n"/>
      <c r="I734" s="46" t="n"/>
      <c r="J734" s="46" t="n"/>
      <c r="K734" s="46" t="n"/>
      <c r="L734" s="46" t="n"/>
      <c r="M734" s="51" t="str">
        <f>IF(NOT(ISNUMBER($E734)),"",IF($C734="Receipt",$E734,IF($C734="Shipment",-$E734,IF($C734="Adjustment",$E734,0))))</f>
        <v/>
      </c>
      <c r="N734" s="49" t="str">
        <f>IF($D734="","",IFERROR(INDEX(Products!$B$2:$B$101,MATCH($D734,Products!$A$2:$A$101,0))&amp;"","(not found)"))</f>
        <v/>
      </c>
      <c r="O734" s="49" t="str">
        <f>IF($F734="","",IFERROR(INDEX(Batches!$B$2:$B$301,MATCH($F734,Batches!$A$2:$A$301,0))&amp;"","(not found)"))</f>
        <v/>
      </c>
      <c r="P734" s="49" t="str">
        <f>IF(COUNTA($A734:$L734)=0,"",IF($A734="","Missing: entry ID",IF(COUNTIF($A$2:$A$2001,$A734)&gt;1,"Duplicate entry ID",IF(NOT(ISNUMBER($B734)),"Missing or invalid: date",IF($C734="","Missing: type",IF($D734="","Missing: SKU",IF(NOT(ISNUMBER($E734)),"Missing: qty",IF($F734="","Missing: lot",IF($I734="","Missing: source link",IF(COUNTIF(Config!$A$15:$A$34,$C734)=0,"Unsupported type",IF(COUNTIF(Products!$A$2:$A$101,$D734)=0,"Unknown SKU",IF(COUNTIFS(Batches!$A$2:$A$301,$F734,Batches!$B$2:$B$301,$D734)=0,"Unknown lot for this SKU",IF(AND($C734="Adjustment",$G734=""),"Missing: reason",IF(AND($G734&lt;&gt;"",COUNTIF(Config!$B$15:$B$34,$G734)=0),"Unsupported reason",IF(OR(INT($E734)&lt;&gt;$E734,AND(OR($C734="Receipt",$C734="Shipment"),$E734&lt;=0),AND($C734="Adjustment",$E734=0)),"Invalid qty",IF($B734&gt;Config!$B$4,"Date after the as-of date",IF($B734&lt;Config!$B$5,"Date before the opening balance date","OK")))))))))))))))))</f>
        <v/>
      </c>
    </row>
    <row r="735">
      <c r="A735" s="46" t="n"/>
      <c r="B735" s="54" t="n"/>
      <c r="C735" s="46" t="n"/>
      <c r="D735" s="46" t="n"/>
      <c r="E735" s="55" t="n"/>
      <c r="F735" s="46" t="n"/>
      <c r="G735" s="46" t="n"/>
      <c r="H735" s="46" t="n"/>
      <c r="I735" s="46" t="n"/>
      <c r="J735" s="46" t="n"/>
      <c r="K735" s="46" t="n"/>
      <c r="L735" s="46" t="n"/>
      <c r="M735" s="51" t="str">
        <f>IF(NOT(ISNUMBER($E735)),"",IF($C735="Receipt",$E735,IF($C735="Shipment",-$E735,IF($C735="Adjustment",$E735,0))))</f>
        <v/>
      </c>
      <c r="N735" s="49" t="str">
        <f>IF($D735="","",IFERROR(INDEX(Products!$B$2:$B$101,MATCH($D735,Products!$A$2:$A$101,0))&amp;"","(not found)"))</f>
        <v/>
      </c>
      <c r="O735" s="49" t="str">
        <f>IF($F735="","",IFERROR(INDEX(Batches!$B$2:$B$301,MATCH($F735,Batches!$A$2:$A$301,0))&amp;"","(not found)"))</f>
        <v/>
      </c>
      <c r="P735" s="49" t="str">
        <f>IF(COUNTA($A735:$L735)=0,"",IF($A735="","Missing: entry ID",IF(COUNTIF($A$2:$A$2001,$A735)&gt;1,"Duplicate entry ID",IF(NOT(ISNUMBER($B735)),"Missing or invalid: date",IF($C735="","Missing: type",IF($D735="","Missing: SKU",IF(NOT(ISNUMBER($E735)),"Missing: qty",IF($F735="","Missing: lot",IF($I735="","Missing: source link",IF(COUNTIF(Config!$A$15:$A$34,$C735)=0,"Unsupported type",IF(COUNTIF(Products!$A$2:$A$101,$D735)=0,"Unknown SKU",IF(COUNTIFS(Batches!$A$2:$A$301,$F735,Batches!$B$2:$B$301,$D735)=0,"Unknown lot for this SKU",IF(AND($C735="Adjustment",$G735=""),"Missing: reason",IF(AND($G735&lt;&gt;"",COUNTIF(Config!$B$15:$B$34,$G735)=0),"Unsupported reason",IF(OR(INT($E735)&lt;&gt;$E735,AND(OR($C735="Receipt",$C735="Shipment"),$E735&lt;=0),AND($C735="Adjustment",$E735=0)),"Invalid qty",IF($B735&gt;Config!$B$4,"Date after the as-of date",IF($B735&lt;Config!$B$5,"Date before the opening balance date","OK")))))))))))))))))</f>
        <v/>
      </c>
    </row>
    <row r="736">
      <c r="A736" s="46" t="n"/>
      <c r="B736" s="54" t="n"/>
      <c r="C736" s="46" t="n"/>
      <c r="D736" s="46" t="n"/>
      <c r="E736" s="55" t="n"/>
      <c r="F736" s="46" t="n"/>
      <c r="G736" s="46" t="n"/>
      <c r="H736" s="46" t="n"/>
      <c r="I736" s="46" t="n"/>
      <c r="J736" s="46" t="n"/>
      <c r="K736" s="46" t="n"/>
      <c r="L736" s="46" t="n"/>
      <c r="M736" s="51" t="str">
        <f>IF(NOT(ISNUMBER($E736)),"",IF($C736="Receipt",$E736,IF($C736="Shipment",-$E736,IF($C736="Adjustment",$E736,0))))</f>
        <v/>
      </c>
      <c r="N736" s="49" t="str">
        <f>IF($D736="","",IFERROR(INDEX(Products!$B$2:$B$101,MATCH($D736,Products!$A$2:$A$101,0))&amp;"","(not found)"))</f>
        <v/>
      </c>
      <c r="O736" s="49" t="str">
        <f>IF($F736="","",IFERROR(INDEX(Batches!$B$2:$B$301,MATCH($F736,Batches!$A$2:$A$301,0))&amp;"","(not found)"))</f>
        <v/>
      </c>
      <c r="P736" s="49" t="str">
        <f>IF(COUNTA($A736:$L736)=0,"",IF($A736="","Missing: entry ID",IF(COUNTIF($A$2:$A$2001,$A736)&gt;1,"Duplicate entry ID",IF(NOT(ISNUMBER($B736)),"Missing or invalid: date",IF($C736="","Missing: type",IF($D736="","Missing: SKU",IF(NOT(ISNUMBER($E736)),"Missing: qty",IF($F736="","Missing: lot",IF($I736="","Missing: source link",IF(COUNTIF(Config!$A$15:$A$34,$C736)=0,"Unsupported type",IF(COUNTIF(Products!$A$2:$A$101,$D736)=0,"Unknown SKU",IF(COUNTIFS(Batches!$A$2:$A$301,$F736,Batches!$B$2:$B$301,$D736)=0,"Unknown lot for this SKU",IF(AND($C736="Adjustment",$G736=""),"Missing: reason",IF(AND($G736&lt;&gt;"",COUNTIF(Config!$B$15:$B$34,$G736)=0),"Unsupported reason",IF(OR(INT($E736)&lt;&gt;$E736,AND(OR($C736="Receipt",$C736="Shipment"),$E736&lt;=0),AND($C736="Adjustment",$E736=0)),"Invalid qty",IF($B736&gt;Config!$B$4,"Date after the as-of date",IF($B736&lt;Config!$B$5,"Date before the opening balance date","OK")))))))))))))))))</f>
        <v/>
      </c>
    </row>
    <row r="737">
      <c r="A737" s="46" t="n"/>
      <c r="B737" s="54" t="n"/>
      <c r="C737" s="46" t="n"/>
      <c r="D737" s="46" t="n"/>
      <c r="E737" s="55" t="n"/>
      <c r="F737" s="46" t="n"/>
      <c r="G737" s="46" t="n"/>
      <c r="H737" s="46" t="n"/>
      <c r="I737" s="46" t="n"/>
      <c r="J737" s="46" t="n"/>
      <c r="K737" s="46" t="n"/>
      <c r="L737" s="46" t="n"/>
      <c r="M737" s="51" t="str">
        <f>IF(NOT(ISNUMBER($E737)),"",IF($C737="Receipt",$E737,IF($C737="Shipment",-$E737,IF($C737="Adjustment",$E737,0))))</f>
        <v/>
      </c>
      <c r="N737" s="49" t="str">
        <f>IF($D737="","",IFERROR(INDEX(Products!$B$2:$B$101,MATCH($D737,Products!$A$2:$A$101,0))&amp;"","(not found)"))</f>
        <v/>
      </c>
      <c r="O737" s="49" t="str">
        <f>IF($F737="","",IFERROR(INDEX(Batches!$B$2:$B$301,MATCH($F737,Batches!$A$2:$A$301,0))&amp;"","(not found)"))</f>
        <v/>
      </c>
      <c r="P737" s="49" t="str">
        <f>IF(COUNTA($A737:$L737)=0,"",IF($A737="","Missing: entry ID",IF(COUNTIF($A$2:$A$2001,$A737)&gt;1,"Duplicate entry ID",IF(NOT(ISNUMBER($B737)),"Missing or invalid: date",IF($C737="","Missing: type",IF($D737="","Missing: SKU",IF(NOT(ISNUMBER($E737)),"Missing: qty",IF($F737="","Missing: lot",IF($I737="","Missing: source link",IF(COUNTIF(Config!$A$15:$A$34,$C737)=0,"Unsupported type",IF(COUNTIF(Products!$A$2:$A$101,$D737)=0,"Unknown SKU",IF(COUNTIFS(Batches!$A$2:$A$301,$F737,Batches!$B$2:$B$301,$D737)=0,"Unknown lot for this SKU",IF(AND($C737="Adjustment",$G737=""),"Missing: reason",IF(AND($G737&lt;&gt;"",COUNTIF(Config!$B$15:$B$34,$G737)=0),"Unsupported reason",IF(OR(INT($E737)&lt;&gt;$E737,AND(OR($C737="Receipt",$C737="Shipment"),$E737&lt;=0),AND($C737="Adjustment",$E737=0)),"Invalid qty",IF($B737&gt;Config!$B$4,"Date after the as-of date",IF($B737&lt;Config!$B$5,"Date before the opening balance date","OK")))))))))))))))))</f>
        <v/>
      </c>
    </row>
    <row r="738">
      <c r="A738" s="46" t="n"/>
      <c r="B738" s="54" t="n"/>
      <c r="C738" s="46" t="n"/>
      <c r="D738" s="46" t="n"/>
      <c r="E738" s="55" t="n"/>
      <c r="F738" s="46" t="n"/>
      <c r="G738" s="46" t="n"/>
      <c r="H738" s="46" t="n"/>
      <c r="I738" s="46" t="n"/>
      <c r="J738" s="46" t="n"/>
      <c r="K738" s="46" t="n"/>
      <c r="L738" s="46" t="n"/>
      <c r="M738" s="51" t="str">
        <f>IF(NOT(ISNUMBER($E738)),"",IF($C738="Receipt",$E738,IF($C738="Shipment",-$E738,IF($C738="Adjustment",$E738,0))))</f>
        <v/>
      </c>
      <c r="N738" s="49" t="str">
        <f>IF($D738="","",IFERROR(INDEX(Products!$B$2:$B$101,MATCH($D738,Products!$A$2:$A$101,0))&amp;"","(not found)"))</f>
        <v/>
      </c>
      <c r="O738" s="49" t="str">
        <f>IF($F738="","",IFERROR(INDEX(Batches!$B$2:$B$301,MATCH($F738,Batches!$A$2:$A$301,0))&amp;"","(not found)"))</f>
        <v/>
      </c>
      <c r="P738" s="49" t="str">
        <f>IF(COUNTA($A738:$L738)=0,"",IF($A738="","Missing: entry ID",IF(COUNTIF($A$2:$A$2001,$A738)&gt;1,"Duplicate entry ID",IF(NOT(ISNUMBER($B738)),"Missing or invalid: date",IF($C738="","Missing: type",IF($D738="","Missing: SKU",IF(NOT(ISNUMBER($E738)),"Missing: qty",IF($F738="","Missing: lot",IF($I738="","Missing: source link",IF(COUNTIF(Config!$A$15:$A$34,$C738)=0,"Unsupported type",IF(COUNTIF(Products!$A$2:$A$101,$D738)=0,"Unknown SKU",IF(COUNTIFS(Batches!$A$2:$A$301,$F738,Batches!$B$2:$B$301,$D738)=0,"Unknown lot for this SKU",IF(AND($C738="Adjustment",$G738=""),"Missing: reason",IF(AND($G738&lt;&gt;"",COUNTIF(Config!$B$15:$B$34,$G738)=0),"Unsupported reason",IF(OR(INT($E738)&lt;&gt;$E738,AND(OR($C738="Receipt",$C738="Shipment"),$E738&lt;=0),AND($C738="Adjustment",$E738=0)),"Invalid qty",IF($B738&gt;Config!$B$4,"Date after the as-of date",IF($B738&lt;Config!$B$5,"Date before the opening balance date","OK")))))))))))))))))</f>
        <v/>
      </c>
    </row>
    <row r="739">
      <c r="A739" s="46" t="n"/>
      <c r="B739" s="54" t="n"/>
      <c r="C739" s="46" t="n"/>
      <c r="D739" s="46" t="n"/>
      <c r="E739" s="55" t="n"/>
      <c r="F739" s="46" t="n"/>
      <c r="G739" s="46" t="n"/>
      <c r="H739" s="46" t="n"/>
      <c r="I739" s="46" t="n"/>
      <c r="J739" s="46" t="n"/>
      <c r="K739" s="46" t="n"/>
      <c r="L739" s="46" t="n"/>
      <c r="M739" s="51" t="str">
        <f>IF(NOT(ISNUMBER($E739)),"",IF($C739="Receipt",$E739,IF($C739="Shipment",-$E739,IF($C739="Adjustment",$E739,0))))</f>
        <v/>
      </c>
      <c r="N739" s="49" t="str">
        <f>IF($D739="","",IFERROR(INDEX(Products!$B$2:$B$101,MATCH($D739,Products!$A$2:$A$101,0))&amp;"","(not found)"))</f>
        <v/>
      </c>
      <c r="O739" s="49" t="str">
        <f>IF($F739="","",IFERROR(INDEX(Batches!$B$2:$B$301,MATCH($F739,Batches!$A$2:$A$301,0))&amp;"","(not found)"))</f>
        <v/>
      </c>
      <c r="P739" s="49" t="str">
        <f>IF(COUNTA($A739:$L739)=0,"",IF($A739="","Missing: entry ID",IF(COUNTIF($A$2:$A$2001,$A739)&gt;1,"Duplicate entry ID",IF(NOT(ISNUMBER($B739)),"Missing or invalid: date",IF($C739="","Missing: type",IF($D739="","Missing: SKU",IF(NOT(ISNUMBER($E739)),"Missing: qty",IF($F739="","Missing: lot",IF($I739="","Missing: source link",IF(COUNTIF(Config!$A$15:$A$34,$C739)=0,"Unsupported type",IF(COUNTIF(Products!$A$2:$A$101,$D739)=0,"Unknown SKU",IF(COUNTIFS(Batches!$A$2:$A$301,$F739,Batches!$B$2:$B$301,$D739)=0,"Unknown lot for this SKU",IF(AND($C739="Adjustment",$G739=""),"Missing: reason",IF(AND($G739&lt;&gt;"",COUNTIF(Config!$B$15:$B$34,$G739)=0),"Unsupported reason",IF(OR(INT($E739)&lt;&gt;$E739,AND(OR($C739="Receipt",$C739="Shipment"),$E739&lt;=0),AND($C739="Adjustment",$E739=0)),"Invalid qty",IF($B739&gt;Config!$B$4,"Date after the as-of date",IF($B739&lt;Config!$B$5,"Date before the opening balance date","OK")))))))))))))))))</f>
        <v/>
      </c>
    </row>
    <row r="740">
      <c r="A740" s="46" t="n"/>
      <c r="B740" s="54" t="n"/>
      <c r="C740" s="46" t="n"/>
      <c r="D740" s="46" t="n"/>
      <c r="E740" s="55" t="n"/>
      <c r="F740" s="46" t="n"/>
      <c r="G740" s="46" t="n"/>
      <c r="H740" s="46" t="n"/>
      <c r="I740" s="46" t="n"/>
      <c r="J740" s="46" t="n"/>
      <c r="K740" s="46" t="n"/>
      <c r="L740" s="46" t="n"/>
      <c r="M740" s="51" t="str">
        <f>IF(NOT(ISNUMBER($E740)),"",IF($C740="Receipt",$E740,IF($C740="Shipment",-$E740,IF($C740="Adjustment",$E740,0))))</f>
        <v/>
      </c>
      <c r="N740" s="49" t="str">
        <f>IF($D740="","",IFERROR(INDEX(Products!$B$2:$B$101,MATCH($D740,Products!$A$2:$A$101,0))&amp;"","(not found)"))</f>
        <v/>
      </c>
      <c r="O740" s="49" t="str">
        <f>IF($F740="","",IFERROR(INDEX(Batches!$B$2:$B$301,MATCH($F740,Batches!$A$2:$A$301,0))&amp;"","(not found)"))</f>
        <v/>
      </c>
      <c r="P740" s="49" t="str">
        <f>IF(COUNTA($A740:$L740)=0,"",IF($A740="","Missing: entry ID",IF(COUNTIF($A$2:$A$2001,$A740)&gt;1,"Duplicate entry ID",IF(NOT(ISNUMBER($B740)),"Missing or invalid: date",IF($C740="","Missing: type",IF($D740="","Missing: SKU",IF(NOT(ISNUMBER($E740)),"Missing: qty",IF($F740="","Missing: lot",IF($I740="","Missing: source link",IF(COUNTIF(Config!$A$15:$A$34,$C740)=0,"Unsupported type",IF(COUNTIF(Products!$A$2:$A$101,$D740)=0,"Unknown SKU",IF(COUNTIFS(Batches!$A$2:$A$301,$F740,Batches!$B$2:$B$301,$D740)=0,"Unknown lot for this SKU",IF(AND($C740="Adjustment",$G740=""),"Missing: reason",IF(AND($G740&lt;&gt;"",COUNTIF(Config!$B$15:$B$34,$G740)=0),"Unsupported reason",IF(OR(INT($E740)&lt;&gt;$E740,AND(OR($C740="Receipt",$C740="Shipment"),$E740&lt;=0),AND($C740="Adjustment",$E740=0)),"Invalid qty",IF($B740&gt;Config!$B$4,"Date after the as-of date",IF($B740&lt;Config!$B$5,"Date before the opening balance date","OK")))))))))))))))))</f>
        <v/>
      </c>
    </row>
    <row r="741">
      <c r="A741" s="46" t="n"/>
      <c r="B741" s="54" t="n"/>
      <c r="C741" s="46" t="n"/>
      <c r="D741" s="46" t="n"/>
      <c r="E741" s="55" t="n"/>
      <c r="F741" s="46" t="n"/>
      <c r="G741" s="46" t="n"/>
      <c r="H741" s="46" t="n"/>
      <c r="I741" s="46" t="n"/>
      <c r="J741" s="46" t="n"/>
      <c r="K741" s="46" t="n"/>
      <c r="L741" s="46" t="n"/>
      <c r="M741" s="51" t="str">
        <f>IF(NOT(ISNUMBER($E741)),"",IF($C741="Receipt",$E741,IF($C741="Shipment",-$E741,IF($C741="Adjustment",$E741,0))))</f>
        <v/>
      </c>
      <c r="N741" s="49" t="str">
        <f>IF($D741="","",IFERROR(INDEX(Products!$B$2:$B$101,MATCH($D741,Products!$A$2:$A$101,0))&amp;"","(not found)"))</f>
        <v/>
      </c>
      <c r="O741" s="49" t="str">
        <f>IF($F741="","",IFERROR(INDEX(Batches!$B$2:$B$301,MATCH($F741,Batches!$A$2:$A$301,0))&amp;"","(not found)"))</f>
        <v/>
      </c>
      <c r="P741" s="49" t="str">
        <f>IF(COUNTA($A741:$L741)=0,"",IF($A741="","Missing: entry ID",IF(COUNTIF($A$2:$A$2001,$A741)&gt;1,"Duplicate entry ID",IF(NOT(ISNUMBER($B741)),"Missing or invalid: date",IF($C741="","Missing: type",IF($D741="","Missing: SKU",IF(NOT(ISNUMBER($E741)),"Missing: qty",IF($F741="","Missing: lot",IF($I741="","Missing: source link",IF(COUNTIF(Config!$A$15:$A$34,$C741)=0,"Unsupported type",IF(COUNTIF(Products!$A$2:$A$101,$D741)=0,"Unknown SKU",IF(COUNTIFS(Batches!$A$2:$A$301,$F741,Batches!$B$2:$B$301,$D741)=0,"Unknown lot for this SKU",IF(AND($C741="Adjustment",$G741=""),"Missing: reason",IF(AND($G741&lt;&gt;"",COUNTIF(Config!$B$15:$B$34,$G741)=0),"Unsupported reason",IF(OR(INT($E741)&lt;&gt;$E741,AND(OR($C741="Receipt",$C741="Shipment"),$E741&lt;=0),AND($C741="Adjustment",$E741=0)),"Invalid qty",IF($B741&gt;Config!$B$4,"Date after the as-of date",IF($B741&lt;Config!$B$5,"Date before the opening balance date","OK")))))))))))))))))</f>
        <v/>
      </c>
    </row>
    <row r="742">
      <c r="A742" s="46" t="n"/>
      <c r="B742" s="54" t="n"/>
      <c r="C742" s="46" t="n"/>
      <c r="D742" s="46" t="n"/>
      <c r="E742" s="55" t="n"/>
      <c r="F742" s="46" t="n"/>
      <c r="G742" s="46" t="n"/>
      <c r="H742" s="46" t="n"/>
      <c r="I742" s="46" t="n"/>
      <c r="J742" s="46" t="n"/>
      <c r="K742" s="46" t="n"/>
      <c r="L742" s="46" t="n"/>
      <c r="M742" s="51" t="str">
        <f>IF(NOT(ISNUMBER($E742)),"",IF($C742="Receipt",$E742,IF($C742="Shipment",-$E742,IF($C742="Adjustment",$E742,0))))</f>
        <v/>
      </c>
      <c r="N742" s="49" t="str">
        <f>IF($D742="","",IFERROR(INDEX(Products!$B$2:$B$101,MATCH($D742,Products!$A$2:$A$101,0))&amp;"","(not found)"))</f>
        <v/>
      </c>
      <c r="O742" s="49" t="str">
        <f>IF($F742="","",IFERROR(INDEX(Batches!$B$2:$B$301,MATCH($F742,Batches!$A$2:$A$301,0))&amp;"","(not found)"))</f>
        <v/>
      </c>
      <c r="P742" s="49" t="str">
        <f>IF(COUNTA($A742:$L742)=0,"",IF($A742="","Missing: entry ID",IF(COUNTIF($A$2:$A$2001,$A742)&gt;1,"Duplicate entry ID",IF(NOT(ISNUMBER($B742)),"Missing or invalid: date",IF($C742="","Missing: type",IF($D742="","Missing: SKU",IF(NOT(ISNUMBER($E742)),"Missing: qty",IF($F742="","Missing: lot",IF($I742="","Missing: source link",IF(COUNTIF(Config!$A$15:$A$34,$C742)=0,"Unsupported type",IF(COUNTIF(Products!$A$2:$A$101,$D742)=0,"Unknown SKU",IF(COUNTIFS(Batches!$A$2:$A$301,$F742,Batches!$B$2:$B$301,$D742)=0,"Unknown lot for this SKU",IF(AND($C742="Adjustment",$G742=""),"Missing: reason",IF(AND($G742&lt;&gt;"",COUNTIF(Config!$B$15:$B$34,$G742)=0),"Unsupported reason",IF(OR(INT($E742)&lt;&gt;$E742,AND(OR($C742="Receipt",$C742="Shipment"),$E742&lt;=0),AND($C742="Adjustment",$E742=0)),"Invalid qty",IF($B742&gt;Config!$B$4,"Date after the as-of date",IF($B742&lt;Config!$B$5,"Date before the opening balance date","OK")))))))))))))))))</f>
        <v/>
      </c>
    </row>
    <row r="743">
      <c r="A743" s="46" t="n"/>
      <c r="B743" s="54" t="n"/>
      <c r="C743" s="46" t="n"/>
      <c r="D743" s="46" t="n"/>
      <c r="E743" s="55" t="n"/>
      <c r="F743" s="46" t="n"/>
      <c r="G743" s="46" t="n"/>
      <c r="H743" s="46" t="n"/>
      <c r="I743" s="46" t="n"/>
      <c r="J743" s="46" t="n"/>
      <c r="K743" s="46" t="n"/>
      <c r="L743" s="46" t="n"/>
      <c r="M743" s="51" t="str">
        <f>IF(NOT(ISNUMBER($E743)),"",IF($C743="Receipt",$E743,IF($C743="Shipment",-$E743,IF($C743="Adjustment",$E743,0))))</f>
        <v/>
      </c>
      <c r="N743" s="49" t="str">
        <f>IF($D743="","",IFERROR(INDEX(Products!$B$2:$B$101,MATCH($D743,Products!$A$2:$A$101,0))&amp;"","(not found)"))</f>
        <v/>
      </c>
      <c r="O743" s="49" t="str">
        <f>IF($F743="","",IFERROR(INDEX(Batches!$B$2:$B$301,MATCH($F743,Batches!$A$2:$A$301,0))&amp;"","(not found)"))</f>
        <v/>
      </c>
      <c r="P743" s="49" t="str">
        <f>IF(COUNTA($A743:$L743)=0,"",IF($A743="","Missing: entry ID",IF(COUNTIF($A$2:$A$2001,$A743)&gt;1,"Duplicate entry ID",IF(NOT(ISNUMBER($B743)),"Missing or invalid: date",IF($C743="","Missing: type",IF($D743="","Missing: SKU",IF(NOT(ISNUMBER($E743)),"Missing: qty",IF($F743="","Missing: lot",IF($I743="","Missing: source link",IF(COUNTIF(Config!$A$15:$A$34,$C743)=0,"Unsupported type",IF(COUNTIF(Products!$A$2:$A$101,$D743)=0,"Unknown SKU",IF(COUNTIFS(Batches!$A$2:$A$301,$F743,Batches!$B$2:$B$301,$D743)=0,"Unknown lot for this SKU",IF(AND($C743="Adjustment",$G743=""),"Missing: reason",IF(AND($G743&lt;&gt;"",COUNTIF(Config!$B$15:$B$34,$G743)=0),"Unsupported reason",IF(OR(INT($E743)&lt;&gt;$E743,AND(OR($C743="Receipt",$C743="Shipment"),$E743&lt;=0),AND($C743="Adjustment",$E743=0)),"Invalid qty",IF($B743&gt;Config!$B$4,"Date after the as-of date",IF($B743&lt;Config!$B$5,"Date before the opening balance date","OK")))))))))))))))))</f>
        <v/>
      </c>
    </row>
    <row r="744">
      <c r="A744" s="46" t="n"/>
      <c r="B744" s="54" t="n"/>
      <c r="C744" s="46" t="n"/>
      <c r="D744" s="46" t="n"/>
      <c r="E744" s="55" t="n"/>
      <c r="F744" s="46" t="n"/>
      <c r="G744" s="46" t="n"/>
      <c r="H744" s="46" t="n"/>
      <c r="I744" s="46" t="n"/>
      <c r="J744" s="46" t="n"/>
      <c r="K744" s="46" t="n"/>
      <c r="L744" s="46" t="n"/>
      <c r="M744" s="51" t="str">
        <f>IF(NOT(ISNUMBER($E744)),"",IF($C744="Receipt",$E744,IF($C744="Shipment",-$E744,IF($C744="Adjustment",$E744,0))))</f>
        <v/>
      </c>
      <c r="N744" s="49" t="str">
        <f>IF($D744="","",IFERROR(INDEX(Products!$B$2:$B$101,MATCH($D744,Products!$A$2:$A$101,0))&amp;"","(not found)"))</f>
        <v/>
      </c>
      <c r="O744" s="49" t="str">
        <f>IF($F744="","",IFERROR(INDEX(Batches!$B$2:$B$301,MATCH($F744,Batches!$A$2:$A$301,0))&amp;"","(not found)"))</f>
        <v/>
      </c>
      <c r="P744" s="49" t="str">
        <f>IF(COUNTA($A744:$L744)=0,"",IF($A744="","Missing: entry ID",IF(COUNTIF($A$2:$A$2001,$A744)&gt;1,"Duplicate entry ID",IF(NOT(ISNUMBER($B744)),"Missing or invalid: date",IF($C744="","Missing: type",IF($D744="","Missing: SKU",IF(NOT(ISNUMBER($E744)),"Missing: qty",IF($F744="","Missing: lot",IF($I744="","Missing: source link",IF(COUNTIF(Config!$A$15:$A$34,$C744)=0,"Unsupported type",IF(COUNTIF(Products!$A$2:$A$101,$D744)=0,"Unknown SKU",IF(COUNTIFS(Batches!$A$2:$A$301,$F744,Batches!$B$2:$B$301,$D744)=0,"Unknown lot for this SKU",IF(AND($C744="Adjustment",$G744=""),"Missing: reason",IF(AND($G744&lt;&gt;"",COUNTIF(Config!$B$15:$B$34,$G744)=0),"Unsupported reason",IF(OR(INT($E744)&lt;&gt;$E744,AND(OR($C744="Receipt",$C744="Shipment"),$E744&lt;=0),AND($C744="Adjustment",$E744=0)),"Invalid qty",IF($B744&gt;Config!$B$4,"Date after the as-of date",IF($B744&lt;Config!$B$5,"Date before the opening balance date","OK")))))))))))))))))</f>
        <v/>
      </c>
    </row>
    <row r="745">
      <c r="A745" s="46" t="n"/>
      <c r="B745" s="54" t="n"/>
      <c r="C745" s="46" t="n"/>
      <c r="D745" s="46" t="n"/>
      <c r="E745" s="55" t="n"/>
      <c r="F745" s="46" t="n"/>
      <c r="G745" s="46" t="n"/>
      <c r="H745" s="46" t="n"/>
      <c r="I745" s="46" t="n"/>
      <c r="J745" s="46" t="n"/>
      <c r="K745" s="46" t="n"/>
      <c r="L745" s="46" t="n"/>
      <c r="M745" s="51" t="str">
        <f>IF(NOT(ISNUMBER($E745)),"",IF($C745="Receipt",$E745,IF($C745="Shipment",-$E745,IF($C745="Adjustment",$E745,0))))</f>
        <v/>
      </c>
      <c r="N745" s="49" t="str">
        <f>IF($D745="","",IFERROR(INDEX(Products!$B$2:$B$101,MATCH($D745,Products!$A$2:$A$101,0))&amp;"","(not found)"))</f>
        <v/>
      </c>
      <c r="O745" s="49" t="str">
        <f>IF($F745="","",IFERROR(INDEX(Batches!$B$2:$B$301,MATCH($F745,Batches!$A$2:$A$301,0))&amp;"","(not found)"))</f>
        <v/>
      </c>
      <c r="P745" s="49" t="str">
        <f>IF(COUNTA($A745:$L745)=0,"",IF($A745="","Missing: entry ID",IF(COUNTIF($A$2:$A$2001,$A745)&gt;1,"Duplicate entry ID",IF(NOT(ISNUMBER($B745)),"Missing or invalid: date",IF($C745="","Missing: type",IF($D745="","Missing: SKU",IF(NOT(ISNUMBER($E745)),"Missing: qty",IF($F745="","Missing: lot",IF($I745="","Missing: source link",IF(COUNTIF(Config!$A$15:$A$34,$C745)=0,"Unsupported type",IF(COUNTIF(Products!$A$2:$A$101,$D745)=0,"Unknown SKU",IF(COUNTIFS(Batches!$A$2:$A$301,$F745,Batches!$B$2:$B$301,$D745)=0,"Unknown lot for this SKU",IF(AND($C745="Adjustment",$G745=""),"Missing: reason",IF(AND($G745&lt;&gt;"",COUNTIF(Config!$B$15:$B$34,$G745)=0),"Unsupported reason",IF(OR(INT($E745)&lt;&gt;$E745,AND(OR($C745="Receipt",$C745="Shipment"),$E745&lt;=0),AND($C745="Adjustment",$E745=0)),"Invalid qty",IF($B745&gt;Config!$B$4,"Date after the as-of date",IF($B745&lt;Config!$B$5,"Date before the opening balance date","OK")))))))))))))))))</f>
        <v/>
      </c>
    </row>
    <row r="746">
      <c r="A746" s="46" t="n"/>
      <c r="B746" s="54" t="n"/>
      <c r="C746" s="46" t="n"/>
      <c r="D746" s="46" t="n"/>
      <c r="E746" s="55" t="n"/>
      <c r="F746" s="46" t="n"/>
      <c r="G746" s="46" t="n"/>
      <c r="H746" s="46" t="n"/>
      <c r="I746" s="46" t="n"/>
      <c r="J746" s="46" t="n"/>
      <c r="K746" s="46" t="n"/>
      <c r="L746" s="46" t="n"/>
      <c r="M746" s="51" t="str">
        <f>IF(NOT(ISNUMBER($E746)),"",IF($C746="Receipt",$E746,IF($C746="Shipment",-$E746,IF($C746="Adjustment",$E746,0))))</f>
        <v/>
      </c>
      <c r="N746" s="49" t="str">
        <f>IF($D746="","",IFERROR(INDEX(Products!$B$2:$B$101,MATCH($D746,Products!$A$2:$A$101,0))&amp;"","(not found)"))</f>
        <v/>
      </c>
      <c r="O746" s="49" t="str">
        <f>IF($F746="","",IFERROR(INDEX(Batches!$B$2:$B$301,MATCH($F746,Batches!$A$2:$A$301,0))&amp;"","(not found)"))</f>
        <v/>
      </c>
      <c r="P746" s="49" t="str">
        <f>IF(COUNTA($A746:$L746)=0,"",IF($A746="","Missing: entry ID",IF(COUNTIF($A$2:$A$2001,$A746)&gt;1,"Duplicate entry ID",IF(NOT(ISNUMBER($B746)),"Missing or invalid: date",IF($C746="","Missing: type",IF($D746="","Missing: SKU",IF(NOT(ISNUMBER($E746)),"Missing: qty",IF($F746="","Missing: lot",IF($I746="","Missing: source link",IF(COUNTIF(Config!$A$15:$A$34,$C746)=0,"Unsupported type",IF(COUNTIF(Products!$A$2:$A$101,$D746)=0,"Unknown SKU",IF(COUNTIFS(Batches!$A$2:$A$301,$F746,Batches!$B$2:$B$301,$D746)=0,"Unknown lot for this SKU",IF(AND($C746="Adjustment",$G746=""),"Missing: reason",IF(AND($G746&lt;&gt;"",COUNTIF(Config!$B$15:$B$34,$G746)=0),"Unsupported reason",IF(OR(INT($E746)&lt;&gt;$E746,AND(OR($C746="Receipt",$C746="Shipment"),$E746&lt;=0),AND($C746="Adjustment",$E746=0)),"Invalid qty",IF($B746&gt;Config!$B$4,"Date after the as-of date",IF($B746&lt;Config!$B$5,"Date before the opening balance date","OK")))))))))))))))))</f>
        <v/>
      </c>
    </row>
    <row r="747">
      <c r="A747" s="46" t="n"/>
      <c r="B747" s="54" t="n"/>
      <c r="C747" s="46" t="n"/>
      <c r="D747" s="46" t="n"/>
      <c r="E747" s="55" t="n"/>
      <c r="F747" s="46" t="n"/>
      <c r="G747" s="46" t="n"/>
      <c r="H747" s="46" t="n"/>
      <c r="I747" s="46" t="n"/>
      <c r="J747" s="46" t="n"/>
      <c r="K747" s="46" t="n"/>
      <c r="L747" s="46" t="n"/>
      <c r="M747" s="51" t="str">
        <f>IF(NOT(ISNUMBER($E747)),"",IF($C747="Receipt",$E747,IF($C747="Shipment",-$E747,IF($C747="Adjustment",$E747,0))))</f>
        <v/>
      </c>
      <c r="N747" s="49" t="str">
        <f>IF($D747="","",IFERROR(INDEX(Products!$B$2:$B$101,MATCH($D747,Products!$A$2:$A$101,0))&amp;"","(not found)"))</f>
        <v/>
      </c>
      <c r="O747" s="49" t="str">
        <f>IF($F747="","",IFERROR(INDEX(Batches!$B$2:$B$301,MATCH($F747,Batches!$A$2:$A$301,0))&amp;"","(not found)"))</f>
        <v/>
      </c>
      <c r="P747" s="49" t="str">
        <f>IF(COUNTA($A747:$L747)=0,"",IF($A747="","Missing: entry ID",IF(COUNTIF($A$2:$A$2001,$A747)&gt;1,"Duplicate entry ID",IF(NOT(ISNUMBER($B747)),"Missing or invalid: date",IF($C747="","Missing: type",IF($D747="","Missing: SKU",IF(NOT(ISNUMBER($E747)),"Missing: qty",IF($F747="","Missing: lot",IF($I747="","Missing: source link",IF(COUNTIF(Config!$A$15:$A$34,$C747)=0,"Unsupported type",IF(COUNTIF(Products!$A$2:$A$101,$D747)=0,"Unknown SKU",IF(COUNTIFS(Batches!$A$2:$A$301,$F747,Batches!$B$2:$B$301,$D747)=0,"Unknown lot for this SKU",IF(AND($C747="Adjustment",$G747=""),"Missing: reason",IF(AND($G747&lt;&gt;"",COUNTIF(Config!$B$15:$B$34,$G747)=0),"Unsupported reason",IF(OR(INT($E747)&lt;&gt;$E747,AND(OR($C747="Receipt",$C747="Shipment"),$E747&lt;=0),AND($C747="Adjustment",$E747=0)),"Invalid qty",IF($B747&gt;Config!$B$4,"Date after the as-of date",IF($B747&lt;Config!$B$5,"Date before the opening balance date","OK")))))))))))))))))</f>
        <v/>
      </c>
    </row>
    <row r="748">
      <c r="A748" s="46" t="n"/>
      <c r="B748" s="54" t="n"/>
      <c r="C748" s="46" t="n"/>
      <c r="D748" s="46" t="n"/>
      <c r="E748" s="55" t="n"/>
      <c r="F748" s="46" t="n"/>
      <c r="G748" s="46" t="n"/>
      <c r="H748" s="46" t="n"/>
      <c r="I748" s="46" t="n"/>
      <c r="J748" s="46" t="n"/>
      <c r="K748" s="46" t="n"/>
      <c r="L748" s="46" t="n"/>
      <c r="M748" s="51" t="str">
        <f>IF(NOT(ISNUMBER($E748)),"",IF($C748="Receipt",$E748,IF($C748="Shipment",-$E748,IF($C748="Adjustment",$E748,0))))</f>
        <v/>
      </c>
      <c r="N748" s="49" t="str">
        <f>IF($D748="","",IFERROR(INDEX(Products!$B$2:$B$101,MATCH($D748,Products!$A$2:$A$101,0))&amp;"","(not found)"))</f>
        <v/>
      </c>
      <c r="O748" s="49" t="str">
        <f>IF($F748="","",IFERROR(INDEX(Batches!$B$2:$B$301,MATCH($F748,Batches!$A$2:$A$301,0))&amp;"","(not found)"))</f>
        <v/>
      </c>
      <c r="P748" s="49" t="str">
        <f>IF(COUNTA($A748:$L748)=0,"",IF($A748="","Missing: entry ID",IF(COUNTIF($A$2:$A$2001,$A748)&gt;1,"Duplicate entry ID",IF(NOT(ISNUMBER($B748)),"Missing or invalid: date",IF($C748="","Missing: type",IF($D748="","Missing: SKU",IF(NOT(ISNUMBER($E748)),"Missing: qty",IF($F748="","Missing: lot",IF($I748="","Missing: source link",IF(COUNTIF(Config!$A$15:$A$34,$C748)=0,"Unsupported type",IF(COUNTIF(Products!$A$2:$A$101,$D748)=0,"Unknown SKU",IF(COUNTIFS(Batches!$A$2:$A$301,$F748,Batches!$B$2:$B$301,$D748)=0,"Unknown lot for this SKU",IF(AND($C748="Adjustment",$G748=""),"Missing: reason",IF(AND($G748&lt;&gt;"",COUNTIF(Config!$B$15:$B$34,$G748)=0),"Unsupported reason",IF(OR(INT($E748)&lt;&gt;$E748,AND(OR($C748="Receipt",$C748="Shipment"),$E748&lt;=0),AND($C748="Adjustment",$E748=0)),"Invalid qty",IF($B748&gt;Config!$B$4,"Date after the as-of date",IF($B748&lt;Config!$B$5,"Date before the opening balance date","OK")))))))))))))))))</f>
        <v/>
      </c>
    </row>
    <row r="749">
      <c r="A749" s="46" t="n"/>
      <c r="B749" s="54" t="n"/>
      <c r="C749" s="46" t="n"/>
      <c r="D749" s="46" t="n"/>
      <c r="E749" s="55" t="n"/>
      <c r="F749" s="46" t="n"/>
      <c r="G749" s="46" t="n"/>
      <c r="H749" s="46" t="n"/>
      <c r="I749" s="46" t="n"/>
      <c r="J749" s="46" t="n"/>
      <c r="K749" s="46" t="n"/>
      <c r="L749" s="46" t="n"/>
      <c r="M749" s="51" t="str">
        <f>IF(NOT(ISNUMBER($E749)),"",IF($C749="Receipt",$E749,IF($C749="Shipment",-$E749,IF($C749="Adjustment",$E749,0))))</f>
        <v/>
      </c>
      <c r="N749" s="49" t="str">
        <f>IF($D749="","",IFERROR(INDEX(Products!$B$2:$B$101,MATCH($D749,Products!$A$2:$A$101,0))&amp;"","(not found)"))</f>
        <v/>
      </c>
      <c r="O749" s="49" t="str">
        <f>IF($F749="","",IFERROR(INDEX(Batches!$B$2:$B$301,MATCH($F749,Batches!$A$2:$A$301,0))&amp;"","(not found)"))</f>
        <v/>
      </c>
      <c r="P749" s="49" t="str">
        <f>IF(COUNTA($A749:$L749)=0,"",IF($A749="","Missing: entry ID",IF(COUNTIF($A$2:$A$2001,$A749)&gt;1,"Duplicate entry ID",IF(NOT(ISNUMBER($B749)),"Missing or invalid: date",IF($C749="","Missing: type",IF($D749="","Missing: SKU",IF(NOT(ISNUMBER($E749)),"Missing: qty",IF($F749="","Missing: lot",IF($I749="","Missing: source link",IF(COUNTIF(Config!$A$15:$A$34,$C749)=0,"Unsupported type",IF(COUNTIF(Products!$A$2:$A$101,$D749)=0,"Unknown SKU",IF(COUNTIFS(Batches!$A$2:$A$301,$F749,Batches!$B$2:$B$301,$D749)=0,"Unknown lot for this SKU",IF(AND($C749="Adjustment",$G749=""),"Missing: reason",IF(AND($G749&lt;&gt;"",COUNTIF(Config!$B$15:$B$34,$G749)=0),"Unsupported reason",IF(OR(INT($E749)&lt;&gt;$E749,AND(OR($C749="Receipt",$C749="Shipment"),$E749&lt;=0),AND($C749="Adjustment",$E749=0)),"Invalid qty",IF($B749&gt;Config!$B$4,"Date after the as-of date",IF($B749&lt;Config!$B$5,"Date before the opening balance date","OK")))))))))))))))))</f>
        <v/>
      </c>
    </row>
    <row r="750">
      <c r="A750" s="46" t="n"/>
      <c r="B750" s="54" t="n"/>
      <c r="C750" s="46" t="n"/>
      <c r="D750" s="46" t="n"/>
      <c r="E750" s="55" t="n"/>
      <c r="F750" s="46" t="n"/>
      <c r="G750" s="46" t="n"/>
      <c r="H750" s="46" t="n"/>
      <c r="I750" s="46" t="n"/>
      <c r="J750" s="46" t="n"/>
      <c r="K750" s="46" t="n"/>
      <c r="L750" s="46" t="n"/>
      <c r="M750" s="51" t="str">
        <f>IF(NOT(ISNUMBER($E750)),"",IF($C750="Receipt",$E750,IF($C750="Shipment",-$E750,IF($C750="Adjustment",$E750,0))))</f>
        <v/>
      </c>
      <c r="N750" s="49" t="str">
        <f>IF($D750="","",IFERROR(INDEX(Products!$B$2:$B$101,MATCH($D750,Products!$A$2:$A$101,0))&amp;"","(not found)"))</f>
        <v/>
      </c>
      <c r="O750" s="49" t="str">
        <f>IF($F750="","",IFERROR(INDEX(Batches!$B$2:$B$301,MATCH($F750,Batches!$A$2:$A$301,0))&amp;"","(not found)"))</f>
        <v/>
      </c>
      <c r="P750" s="49" t="str">
        <f>IF(COUNTA($A750:$L750)=0,"",IF($A750="","Missing: entry ID",IF(COUNTIF($A$2:$A$2001,$A750)&gt;1,"Duplicate entry ID",IF(NOT(ISNUMBER($B750)),"Missing or invalid: date",IF($C750="","Missing: type",IF($D750="","Missing: SKU",IF(NOT(ISNUMBER($E750)),"Missing: qty",IF($F750="","Missing: lot",IF($I750="","Missing: source link",IF(COUNTIF(Config!$A$15:$A$34,$C750)=0,"Unsupported type",IF(COUNTIF(Products!$A$2:$A$101,$D750)=0,"Unknown SKU",IF(COUNTIFS(Batches!$A$2:$A$301,$F750,Batches!$B$2:$B$301,$D750)=0,"Unknown lot for this SKU",IF(AND($C750="Adjustment",$G750=""),"Missing: reason",IF(AND($G750&lt;&gt;"",COUNTIF(Config!$B$15:$B$34,$G750)=0),"Unsupported reason",IF(OR(INT($E750)&lt;&gt;$E750,AND(OR($C750="Receipt",$C750="Shipment"),$E750&lt;=0),AND($C750="Adjustment",$E750=0)),"Invalid qty",IF($B750&gt;Config!$B$4,"Date after the as-of date",IF($B750&lt;Config!$B$5,"Date before the opening balance date","OK")))))))))))))))))</f>
        <v/>
      </c>
    </row>
    <row r="751">
      <c r="A751" s="46" t="n"/>
      <c r="B751" s="54" t="n"/>
      <c r="C751" s="46" t="n"/>
      <c r="D751" s="46" t="n"/>
      <c r="E751" s="55" t="n"/>
      <c r="F751" s="46" t="n"/>
      <c r="G751" s="46" t="n"/>
      <c r="H751" s="46" t="n"/>
      <c r="I751" s="46" t="n"/>
      <c r="J751" s="46" t="n"/>
      <c r="K751" s="46" t="n"/>
      <c r="L751" s="46" t="n"/>
      <c r="M751" s="51" t="str">
        <f>IF(NOT(ISNUMBER($E751)),"",IF($C751="Receipt",$E751,IF($C751="Shipment",-$E751,IF($C751="Adjustment",$E751,0))))</f>
        <v/>
      </c>
      <c r="N751" s="49" t="str">
        <f>IF($D751="","",IFERROR(INDEX(Products!$B$2:$B$101,MATCH($D751,Products!$A$2:$A$101,0))&amp;"","(not found)"))</f>
        <v/>
      </c>
      <c r="O751" s="49" t="str">
        <f>IF($F751="","",IFERROR(INDEX(Batches!$B$2:$B$301,MATCH($F751,Batches!$A$2:$A$301,0))&amp;"","(not found)"))</f>
        <v/>
      </c>
      <c r="P751" s="49" t="str">
        <f>IF(COUNTA($A751:$L751)=0,"",IF($A751="","Missing: entry ID",IF(COUNTIF($A$2:$A$2001,$A751)&gt;1,"Duplicate entry ID",IF(NOT(ISNUMBER($B751)),"Missing or invalid: date",IF($C751="","Missing: type",IF($D751="","Missing: SKU",IF(NOT(ISNUMBER($E751)),"Missing: qty",IF($F751="","Missing: lot",IF($I751="","Missing: source link",IF(COUNTIF(Config!$A$15:$A$34,$C751)=0,"Unsupported type",IF(COUNTIF(Products!$A$2:$A$101,$D751)=0,"Unknown SKU",IF(COUNTIFS(Batches!$A$2:$A$301,$F751,Batches!$B$2:$B$301,$D751)=0,"Unknown lot for this SKU",IF(AND($C751="Adjustment",$G751=""),"Missing: reason",IF(AND($G751&lt;&gt;"",COUNTIF(Config!$B$15:$B$34,$G751)=0),"Unsupported reason",IF(OR(INT($E751)&lt;&gt;$E751,AND(OR($C751="Receipt",$C751="Shipment"),$E751&lt;=0),AND($C751="Adjustment",$E751=0)),"Invalid qty",IF($B751&gt;Config!$B$4,"Date after the as-of date",IF($B751&lt;Config!$B$5,"Date before the opening balance date","OK")))))))))))))))))</f>
        <v/>
      </c>
    </row>
    <row r="752">
      <c r="A752" s="46" t="n"/>
      <c r="B752" s="54" t="n"/>
      <c r="C752" s="46" t="n"/>
      <c r="D752" s="46" t="n"/>
      <c r="E752" s="55" t="n"/>
      <c r="F752" s="46" t="n"/>
      <c r="G752" s="46" t="n"/>
      <c r="H752" s="46" t="n"/>
      <c r="I752" s="46" t="n"/>
      <c r="J752" s="46" t="n"/>
      <c r="K752" s="46" t="n"/>
      <c r="L752" s="46" t="n"/>
      <c r="M752" s="51" t="str">
        <f>IF(NOT(ISNUMBER($E752)),"",IF($C752="Receipt",$E752,IF($C752="Shipment",-$E752,IF($C752="Adjustment",$E752,0))))</f>
        <v/>
      </c>
      <c r="N752" s="49" t="str">
        <f>IF($D752="","",IFERROR(INDEX(Products!$B$2:$B$101,MATCH($D752,Products!$A$2:$A$101,0))&amp;"","(not found)"))</f>
        <v/>
      </c>
      <c r="O752" s="49" t="str">
        <f>IF($F752="","",IFERROR(INDEX(Batches!$B$2:$B$301,MATCH($F752,Batches!$A$2:$A$301,0))&amp;"","(not found)"))</f>
        <v/>
      </c>
      <c r="P752" s="49" t="str">
        <f>IF(COUNTA($A752:$L752)=0,"",IF($A752="","Missing: entry ID",IF(COUNTIF($A$2:$A$2001,$A752)&gt;1,"Duplicate entry ID",IF(NOT(ISNUMBER($B752)),"Missing or invalid: date",IF($C752="","Missing: type",IF($D752="","Missing: SKU",IF(NOT(ISNUMBER($E752)),"Missing: qty",IF($F752="","Missing: lot",IF($I752="","Missing: source link",IF(COUNTIF(Config!$A$15:$A$34,$C752)=0,"Unsupported type",IF(COUNTIF(Products!$A$2:$A$101,$D752)=0,"Unknown SKU",IF(COUNTIFS(Batches!$A$2:$A$301,$F752,Batches!$B$2:$B$301,$D752)=0,"Unknown lot for this SKU",IF(AND($C752="Adjustment",$G752=""),"Missing: reason",IF(AND($G752&lt;&gt;"",COUNTIF(Config!$B$15:$B$34,$G752)=0),"Unsupported reason",IF(OR(INT($E752)&lt;&gt;$E752,AND(OR($C752="Receipt",$C752="Shipment"),$E752&lt;=0),AND($C752="Adjustment",$E752=0)),"Invalid qty",IF($B752&gt;Config!$B$4,"Date after the as-of date",IF($B752&lt;Config!$B$5,"Date before the opening balance date","OK")))))))))))))))))</f>
        <v/>
      </c>
    </row>
    <row r="753">
      <c r="A753" s="46" t="n"/>
      <c r="B753" s="54" t="n"/>
      <c r="C753" s="46" t="n"/>
      <c r="D753" s="46" t="n"/>
      <c r="E753" s="55" t="n"/>
      <c r="F753" s="46" t="n"/>
      <c r="G753" s="46" t="n"/>
      <c r="H753" s="46" t="n"/>
      <c r="I753" s="46" t="n"/>
      <c r="J753" s="46" t="n"/>
      <c r="K753" s="46" t="n"/>
      <c r="L753" s="46" t="n"/>
      <c r="M753" s="51" t="str">
        <f>IF(NOT(ISNUMBER($E753)),"",IF($C753="Receipt",$E753,IF($C753="Shipment",-$E753,IF($C753="Adjustment",$E753,0))))</f>
        <v/>
      </c>
      <c r="N753" s="49" t="str">
        <f>IF($D753="","",IFERROR(INDEX(Products!$B$2:$B$101,MATCH($D753,Products!$A$2:$A$101,0))&amp;"","(not found)"))</f>
        <v/>
      </c>
      <c r="O753" s="49" t="str">
        <f>IF($F753="","",IFERROR(INDEX(Batches!$B$2:$B$301,MATCH($F753,Batches!$A$2:$A$301,0))&amp;"","(not found)"))</f>
        <v/>
      </c>
      <c r="P753" s="49" t="str">
        <f>IF(COUNTA($A753:$L753)=0,"",IF($A753="","Missing: entry ID",IF(COUNTIF($A$2:$A$2001,$A753)&gt;1,"Duplicate entry ID",IF(NOT(ISNUMBER($B753)),"Missing or invalid: date",IF($C753="","Missing: type",IF($D753="","Missing: SKU",IF(NOT(ISNUMBER($E753)),"Missing: qty",IF($F753="","Missing: lot",IF($I753="","Missing: source link",IF(COUNTIF(Config!$A$15:$A$34,$C753)=0,"Unsupported type",IF(COUNTIF(Products!$A$2:$A$101,$D753)=0,"Unknown SKU",IF(COUNTIFS(Batches!$A$2:$A$301,$F753,Batches!$B$2:$B$301,$D753)=0,"Unknown lot for this SKU",IF(AND($C753="Adjustment",$G753=""),"Missing: reason",IF(AND($G753&lt;&gt;"",COUNTIF(Config!$B$15:$B$34,$G753)=0),"Unsupported reason",IF(OR(INT($E753)&lt;&gt;$E753,AND(OR($C753="Receipt",$C753="Shipment"),$E753&lt;=0),AND($C753="Adjustment",$E753=0)),"Invalid qty",IF($B753&gt;Config!$B$4,"Date after the as-of date",IF($B753&lt;Config!$B$5,"Date before the opening balance date","OK")))))))))))))))))</f>
        <v/>
      </c>
    </row>
    <row r="754">
      <c r="A754" s="46" t="n"/>
      <c r="B754" s="54" t="n"/>
      <c r="C754" s="46" t="n"/>
      <c r="D754" s="46" t="n"/>
      <c r="E754" s="55" t="n"/>
      <c r="F754" s="46" t="n"/>
      <c r="G754" s="46" t="n"/>
      <c r="H754" s="46" t="n"/>
      <c r="I754" s="46" t="n"/>
      <c r="J754" s="46" t="n"/>
      <c r="K754" s="46" t="n"/>
      <c r="L754" s="46" t="n"/>
      <c r="M754" s="51" t="str">
        <f>IF(NOT(ISNUMBER($E754)),"",IF($C754="Receipt",$E754,IF($C754="Shipment",-$E754,IF($C754="Adjustment",$E754,0))))</f>
        <v/>
      </c>
      <c r="N754" s="49" t="str">
        <f>IF($D754="","",IFERROR(INDEX(Products!$B$2:$B$101,MATCH($D754,Products!$A$2:$A$101,0))&amp;"","(not found)"))</f>
        <v/>
      </c>
      <c r="O754" s="49" t="str">
        <f>IF($F754="","",IFERROR(INDEX(Batches!$B$2:$B$301,MATCH($F754,Batches!$A$2:$A$301,0))&amp;"","(not found)"))</f>
        <v/>
      </c>
      <c r="P754" s="49" t="str">
        <f>IF(COUNTA($A754:$L754)=0,"",IF($A754="","Missing: entry ID",IF(COUNTIF($A$2:$A$2001,$A754)&gt;1,"Duplicate entry ID",IF(NOT(ISNUMBER($B754)),"Missing or invalid: date",IF($C754="","Missing: type",IF($D754="","Missing: SKU",IF(NOT(ISNUMBER($E754)),"Missing: qty",IF($F754="","Missing: lot",IF($I754="","Missing: source link",IF(COUNTIF(Config!$A$15:$A$34,$C754)=0,"Unsupported type",IF(COUNTIF(Products!$A$2:$A$101,$D754)=0,"Unknown SKU",IF(COUNTIFS(Batches!$A$2:$A$301,$F754,Batches!$B$2:$B$301,$D754)=0,"Unknown lot for this SKU",IF(AND($C754="Adjustment",$G754=""),"Missing: reason",IF(AND($G754&lt;&gt;"",COUNTIF(Config!$B$15:$B$34,$G754)=0),"Unsupported reason",IF(OR(INT($E754)&lt;&gt;$E754,AND(OR($C754="Receipt",$C754="Shipment"),$E754&lt;=0),AND($C754="Adjustment",$E754=0)),"Invalid qty",IF($B754&gt;Config!$B$4,"Date after the as-of date",IF($B754&lt;Config!$B$5,"Date before the opening balance date","OK")))))))))))))))))</f>
        <v/>
      </c>
    </row>
    <row r="755">
      <c r="A755" s="46" t="n"/>
      <c r="B755" s="54" t="n"/>
      <c r="C755" s="46" t="n"/>
      <c r="D755" s="46" t="n"/>
      <c r="E755" s="55" t="n"/>
      <c r="F755" s="46" t="n"/>
      <c r="G755" s="46" t="n"/>
      <c r="H755" s="46" t="n"/>
      <c r="I755" s="46" t="n"/>
      <c r="J755" s="46" t="n"/>
      <c r="K755" s="46" t="n"/>
      <c r="L755" s="46" t="n"/>
      <c r="M755" s="51" t="str">
        <f>IF(NOT(ISNUMBER($E755)),"",IF($C755="Receipt",$E755,IF($C755="Shipment",-$E755,IF($C755="Adjustment",$E755,0))))</f>
        <v/>
      </c>
      <c r="N755" s="49" t="str">
        <f>IF($D755="","",IFERROR(INDEX(Products!$B$2:$B$101,MATCH($D755,Products!$A$2:$A$101,0))&amp;"","(not found)"))</f>
        <v/>
      </c>
      <c r="O755" s="49" t="str">
        <f>IF($F755="","",IFERROR(INDEX(Batches!$B$2:$B$301,MATCH($F755,Batches!$A$2:$A$301,0))&amp;"","(not found)"))</f>
        <v/>
      </c>
      <c r="P755" s="49" t="str">
        <f>IF(COUNTA($A755:$L755)=0,"",IF($A755="","Missing: entry ID",IF(COUNTIF($A$2:$A$2001,$A755)&gt;1,"Duplicate entry ID",IF(NOT(ISNUMBER($B755)),"Missing or invalid: date",IF($C755="","Missing: type",IF($D755="","Missing: SKU",IF(NOT(ISNUMBER($E755)),"Missing: qty",IF($F755="","Missing: lot",IF($I755="","Missing: source link",IF(COUNTIF(Config!$A$15:$A$34,$C755)=0,"Unsupported type",IF(COUNTIF(Products!$A$2:$A$101,$D755)=0,"Unknown SKU",IF(COUNTIFS(Batches!$A$2:$A$301,$F755,Batches!$B$2:$B$301,$D755)=0,"Unknown lot for this SKU",IF(AND($C755="Adjustment",$G755=""),"Missing: reason",IF(AND($G755&lt;&gt;"",COUNTIF(Config!$B$15:$B$34,$G755)=0),"Unsupported reason",IF(OR(INT($E755)&lt;&gt;$E755,AND(OR($C755="Receipt",$C755="Shipment"),$E755&lt;=0),AND($C755="Adjustment",$E755=0)),"Invalid qty",IF($B755&gt;Config!$B$4,"Date after the as-of date",IF($B755&lt;Config!$B$5,"Date before the opening balance date","OK")))))))))))))))))</f>
        <v/>
      </c>
    </row>
    <row r="756">
      <c r="A756" s="46" t="n"/>
      <c r="B756" s="54" t="n"/>
      <c r="C756" s="46" t="n"/>
      <c r="D756" s="46" t="n"/>
      <c r="E756" s="55" t="n"/>
      <c r="F756" s="46" t="n"/>
      <c r="G756" s="46" t="n"/>
      <c r="H756" s="46" t="n"/>
      <c r="I756" s="46" t="n"/>
      <c r="J756" s="46" t="n"/>
      <c r="K756" s="46" t="n"/>
      <c r="L756" s="46" t="n"/>
      <c r="M756" s="51" t="str">
        <f>IF(NOT(ISNUMBER($E756)),"",IF($C756="Receipt",$E756,IF($C756="Shipment",-$E756,IF($C756="Adjustment",$E756,0))))</f>
        <v/>
      </c>
      <c r="N756" s="49" t="str">
        <f>IF($D756="","",IFERROR(INDEX(Products!$B$2:$B$101,MATCH($D756,Products!$A$2:$A$101,0))&amp;"","(not found)"))</f>
        <v/>
      </c>
      <c r="O756" s="49" t="str">
        <f>IF($F756="","",IFERROR(INDEX(Batches!$B$2:$B$301,MATCH($F756,Batches!$A$2:$A$301,0))&amp;"","(not found)"))</f>
        <v/>
      </c>
      <c r="P756" s="49" t="str">
        <f>IF(COUNTA($A756:$L756)=0,"",IF($A756="","Missing: entry ID",IF(COUNTIF($A$2:$A$2001,$A756)&gt;1,"Duplicate entry ID",IF(NOT(ISNUMBER($B756)),"Missing or invalid: date",IF($C756="","Missing: type",IF($D756="","Missing: SKU",IF(NOT(ISNUMBER($E756)),"Missing: qty",IF($F756="","Missing: lot",IF($I756="","Missing: source link",IF(COUNTIF(Config!$A$15:$A$34,$C756)=0,"Unsupported type",IF(COUNTIF(Products!$A$2:$A$101,$D756)=0,"Unknown SKU",IF(COUNTIFS(Batches!$A$2:$A$301,$F756,Batches!$B$2:$B$301,$D756)=0,"Unknown lot for this SKU",IF(AND($C756="Adjustment",$G756=""),"Missing: reason",IF(AND($G756&lt;&gt;"",COUNTIF(Config!$B$15:$B$34,$G756)=0),"Unsupported reason",IF(OR(INT($E756)&lt;&gt;$E756,AND(OR($C756="Receipt",$C756="Shipment"),$E756&lt;=0),AND($C756="Adjustment",$E756=0)),"Invalid qty",IF($B756&gt;Config!$B$4,"Date after the as-of date",IF($B756&lt;Config!$B$5,"Date before the opening balance date","OK")))))))))))))))))</f>
        <v/>
      </c>
    </row>
    <row r="757">
      <c r="A757" s="46" t="n"/>
      <c r="B757" s="54" t="n"/>
      <c r="C757" s="46" t="n"/>
      <c r="D757" s="46" t="n"/>
      <c r="E757" s="55" t="n"/>
      <c r="F757" s="46" t="n"/>
      <c r="G757" s="46" t="n"/>
      <c r="H757" s="46" t="n"/>
      <c r="I757" s="46" t="n"/>
      <c r="J757" s="46" t="n"/>
      <c r="K757" s="46" t="n"/>
      <c r="L757" s="46" t="n"/>
      <c r="M757" s="51" t="str">
        <f>IF(NOT(ISNUMBER($E757)),"",IF($C757="Receipt",$E757,IF($C757="Shipment",-$E757,IF($C757="Adjustment",$E757,0))))</f>
        <v/>
      </c>
      <c r="N757" s="49" t="str">
        <f>IF($D757="","",IFERROR(INDEX(Products!$B$2:$B$101,MATCH($D757,Products!$A$2:$A$101,0))&amp;"","(not found)"))</f>
        <v/>
      </c>
      <c r="O757" s="49" t="str">
        <f>IF($F757="","",IFERROR(INDEX(Batches!$B$2:$B$301,MATCH($F757,Batches!$A$2:$A$301,0))&amp;"","(not found)"))</f>
        <v/>
      </c>
      <c r="P757" s="49" t="str">
        <f>IF(COUNTA($A757:$L757)=0,"",IF($A757="","Missing: entry ID",IF(COUNTIF($A$2:$A$2001,$A757)&gt;1,"Duplicate entry ID",IF(NOT(ISNUMBER($B757)),"Missing or invalid: date",IF($C757="","Missing: type",IF($D757="","Missing: SKU",IF(NOT(ISNUMBER($E757)),"Missing: qty",IF($F757="","Missing: lot",IF($I757="","Missing: source link",IF(COUNTIF(Config!$A$15:$A$34,$C757)=0,"Unsupported type",IF(COUNTIF(Products!$A$2:$A$101,$D757)=0,"Unknown SKU",IF(COUNTIFS(Batches!$A$2:$A$301,$F757,Batches!$B$2:$B$301,$D757)=0,"Unknown lot for this SKU",IF(AND($C757="Adjustment",$G757=""),"Missing: reason",IF(AND($G757&lt;&gt;"",COUNTIF(Config!$B$15:$B$34,$G757)=0),"Unsupported reason",IF(OR(INT($E757)&lt;&gt;$E757,AND(OR($C757="Receipt",$C757="Shipment"),$E757&lt;=0),AND($C757="Adjustment",$E757=0)),"Invalid qty",IF($B757&gt;Config!$B$4,"Date after the as-of date",IF($B757&lt;Config!$B$5,"Date before the opening balance date","OK")))))))))))))))))</f>
        <v/>
      </c>
    </row>
    <row r="758">
      <c r="A758" s="46" t="n"/>
      <c r="B758" s="54" t="n"/>
      <c r="C758" s="46" t="n"/>
      <c r="D758" s="46" t="n"/>
      <c r="E758" s="55" t="n"/>
      <c r="F758" s="46" t="n"/>
      <c r="G758" s="46" t="n"/>
      <c r="H758" s="46" t="n"/>
      <c r="I758" s="46" t="n"/>
      <c r="J758" s="46" t="n"/>
      <c r="K758" s="46" t="n"/>
      <c r="L758" s="46" t="n"/>
      <c r="M758" s="51" t="str">
        <f>IF(NOT(ISNUMBER($E758)),"",IF($C758="Receipt",$E758,IF($C758="Shipment",-$E758,IF($C758="Adjustment",$E758,0))))</f>
        <v/>
      </c>
      <c r="N758" s="49" t="str">
        <f>IF($D758="","",IFERROR(INDEX(Products!$B$2:$B$101,MATCH($D758,Products!$A$2:$A$101,0))&amp;"","(not found)"))</f>
        <v/>
      </c>
      <c r="O758" s="49" t="str">
        <f>IF($F758="","",IFERROR(INDEX(Batches!$B$2:$B$301,MATCH($F758,Batches!$A$2:$A$301,0))&amp;"","(not found)"))</f>
        <v/>
      </c>
      <c r="P758" s="49" t="str">
        <f>IF(COUNTA($A758:$L758)=0,"",IF($A758="","Missing: entry ID",IF(COUNTIF($A$2:$A$2001,$A758)&gt;1,"Duplicate entry ID",IF(NOT(ISNUMBER($B758)),"Missing or invalid: date",IF($C758="","Missing: type",IF($D758="","Missing: SKU",IF(NOT(ISNUMBER($E758)),"Missing: qty",IF($F758="","Missing: lot",IF($I758="","Missing: source link",IF(COUNTIF(Config!$A$15:$A$34,$C758)=0,"Unsupported type",IF(COUNTIF(Products!$A$2:$A$101,$D758)=0,"Unknown SKU",IF(COUNTIFS(Batches!$A$2:$A$301,$F758,Batches!$B$2:$B$301,$D758)=0,"Unknown lot for this SKU",IF(AND($C758="Adjustment",$G758=""),"Missing: reason",IF(AND($G758&lt;&gt;"",COUNTIF(Config!$B$15:$B$34,$G758)=0),"Unsupported reason",IF(OR(INT($E758)&lt;&gt;$E758,AND(OR($C758="Receipt",$C758="Shipment"),$E758&lt;=0),AND($C758="Adjustment",$E758=0)),"Invalid qty",IF($B758&gt;Config!$B$4,"Date after the as-of date",IF($B758&lt;Config!$B$5,"Date before the opening balance date","OK")))))))))))))))))</f>
        <v/>
      </c>
    </row>
    <row r="759">
      <c r="A759" s="46" t="n"/>
      <c r="B759" s="54" t="n"/>
      <c r="C759" s="46" t="n"/>
      <c r="D759" s="46" t="n"/>
      <c r="E759" s="55" t="n"/>
      <c r="F759" s="46" t="n"/>
      <c r="G759" s="46" t="n"/>
      <c r="H759" s="46" t="n"/>
      <c r="I759" s="46" t="n"/>
      <c r="J759" s="46" t="n"/>
      <c r="K759" s="46" t="n"/>
      <c r="L759" s="46" t="n"/>
      <c r="M759" s="51" t="str">
        <f>IF(NOT(ISNUMBER($E759)),"",IF($C759="Receipt",$E759,IF($C759="Shipment",-$E759,IF($C759="Adjustment",$E759,0))))</f>
        <v/>
      </c>
      <c r="N759" s="49" t="str">
        <f>IF($D759="","",IFERROR(INDEX(Products!$B$2:$B$101,MATCH($D759,Products!$A$2:$A$101,0))&amp;"","(not found)"))</f>
        <v/>
      </c>
      <c r="O759" s="49" t="str">
        <f>IF($F759="","",IFERROR(INDEX(Batches!$B$2:$B$301,MATCH($F759,Batches!$A$2:$A$301,0))&amp;"","(not found)"))</f>
        <v/>
      </c>
      <c r="P759" s="49" t="str">
        <f>IF(COUNTA($A759:$L759)=0,"",IF($A759="","Missing: entry ID",IF(COUNTIF($A$2:$A$2001,$A759)&gt;1,"Duplicate entry ID",IF(NOT(ISNUMBER($B759)),"Missing or invalid: date",IF($C759="","Missing: type",IF($D759="","Missing: SKU",IF(NOT(ISNUMBER($E759)),"Missing: qty",IF($F759="","Missing: lot",IF($I759="","Missing: source link",IF(COUNTIF(Config!$A$15:$A$34,$C759)=0,"Unsupported type",IF(COUNTIF(Products!$A$2:$A$101,$D759)=0,"Unknown SKU",IF(COUNTIFS(Batches!$A$2:$A$301,$F759,Batches!$B$2:$B$301,$D759)=0,"Unknown lot for this SKU",IF(AND($C759="Adjustment",$G759=""),"Missing: reason",IF(AND($G759&lt;&gt;"",COUNTIF(Config!$B$15:$B$34,$G759)=0),"Unsupported reason",IF(OR(INT($E759)&lt;&gt;$E759,AND(OR($C759="Receipt",$C759="Shipment"),$E759&lt;=0),AND($C759="Adjustment",$E759=0)),"Invalid qty",IF($B759&gt;Config!$B$4,"Date after the as-of date",IF($B759&lt;Config!$B$5,"Date before the opening balance date","OK")))))))))))))))))</f>
        <v/>
      </c>
    </row>
    <row r="760">
      <c r="A760" s="46" t="n"/>
      <c r="B760" s="54" t="n"/>
      <c r="C760" s="46" t="n"/>
      <c r="D760" s="46" t="n"/>
      <c r="E760" s="55" t="n"/>
      <c r="F760" s="46" t="n"/>
      <c r="G760" s="46" t="n"/>
      <c r="H760" s="46" t="n"/>
      <c r="I760" s="46" t="n"/>
      <c r="J760" s="46" t="n"/>
      <c r="K760" s="46" t="n"/>
      <c r="L760" s="46" t="n"/>
      <c r="M760" s="51" t="str">
        <f>IF(NOT(ISNUMBER($E760)),"",IF($C760="Receipt",$E760,IF($C760="Shipment",-$E760,IF($C760="Adjustment",$E760,0))))</f>
        <v/>
      </c>
      <c r="N760" s="49" t="str">
        <f>IF($D760="","",IFERROR(INDEX(Products!$B$2:$B$101,MATCH($D760,Products!$A$2:$A$101,0))&amp;"","(not found)"))</f>
        <v/>
      </c>
      <c r="O760" s="49" t="str">
        <f>IF($F760="","",IFERROR(INDEX(Batches!$B$2:$B$301,MATCH($F760,Batches!$A$2:$A$301,0))&amp;"","(not found)"))</f>
        <v/>
      </c>
      <c r="P760" s="49" t="str">
        <f>IF(COUNTA($A760:$L760)=0,"",IF($A760="","Missing: entry ID",IF(COUNTIF($A$2:$A$2001,$A760)&gt;1,"Duplicate entry ID",IF(NOT(ISNUMBER($B760)),"Missing or invalid: date",IF($C760="","Missing: type",IF($D760="","Missing: SKU",IF(NOT(ISNUMBER($E760)),"Missing: qty",IF($F760="","Missing: lot",IF($I760="","Missing: source link",IF(COUNTIF(Config!$A$15:$A$34,$C760)=0,"Unsupported type",IF(COUNTIF(Products!$A$2:$A$101,$D760)=0,"Unknown SKU",IF(COUNTIFS(Batches!$A$2:$A$301,$F760,Batches!$B$2:$B$301,$D760)=0,"Unknown lot for this SKU",IF(AND($C760="Adjustment",$G760=""),"Missing: reason",IF(AND($G760&lt;&gt;"",COUNTIF(Config!$B$15:$B$34,$G760)=0),"Unsupported reason",IF(OR(INT($E760)&lt;&gt;$E760,AND(OR($C760="Receipt",$C760="Shipment"),$E760&lt;=0),AND($C760="Adjustment",$E760=0)),"Invalid qty",IF($B760&gt;Config!$B$4,"Date after the as-of date",IF($B760&lt;Config!$B$5,"Date before the opening balance date","OK")))))))))))))))))</f>
        <v/>
      </c>
    </row>
    <row r="761">
      <c r="A761" s="46" t="n"/>
      <c r="B761" s="54" t="n"/>
      <c r="C761" s="46" t="n"/>
      <c r="D761" s="46" t="n"/>
      <c r="E761" s="55" t="n"/>
      <c r="F761" s="46" t="n"/>
      <c r="G761" s="46" t="n"/>
      <c r="H761" s="46" t="n"/>
      <c r="I761" s="46" t="n"/>
      <c r="J761" s="46" t="n"/>
      <c r="K761" s="46" t="n"/>
      <c r="L761" s="46" t="n"/>
      <c r="M761" s="51" t="str">
        <f>IF(NOT(ISNUMBER($E761)),"",IF($C761="Receipt",$E761,IF($C761="Shipment",-$E761,IF($C761="Adjustment",$E761,0))))</f>
        <v/>
      </c>
      <c r="N761" s="49" t="str">
        <f>IF($D761="","",IFERROR(INDEX(Products!$B$2:$B$101,MATCH($D761,Products!$A$2:$A$101,0))&amp;"","(not found)"))</f>
        <v/>
      </c>
      <c r="O761" s="49" t="str">
        <f>IF($F761="","",IFERROR(INDEX(Batches!$B$2:$B$301,MATCH($F761,Batches!$A$2:$A$301,0))&amp;"","(not found)"))</f>
        <v/>
      </c>
      <c r="P761" s="49" t="str">
        <f>IF(COUNTA($A761:$L761)=0,"",IF($A761="","Missing: entry ID",IF(COUNTIF($A$2:$A$2001,$A761)&gt;1,"Duplicate entry ID",IF(NOT(ISNUMBER($B761)),"Missing or invalid: date",IF($C761="","Missing: type",IF($D761="","Missing: SKU",IF(NOT(ISNUMBER($E761)),"Missing: qty",IF($F761="","Missing: lot",IF($I761="","Missing: source link",IF(COUNTIF(Config!$A$15:$A$34,$C761)=0,"Unsupported type",IF(COUNTIF(Products!$A$2:$A$101,$D761)=0,"Unknown SKU",IF(COUNTIFS(Batches!$A$2:$A$301,$F761,Batches!$B$2:$B$301,$D761)=0,"Unknown lot for this SKU",IF(AND($C761="Adjustment",$G761=""),"Missing: reason",IF(AND($G761&lt;&gt;"",COUNTIF(Config!$B$15:$B$34,$G761)=0),"Unsupported reason",IF(OR(INT($E761)&lt;&gt;$E761,AND(OR($C761="Receipt",$C761="Shipment"),$E761&lt;=0),AND($C761="Adjustment",$E761=0)),"Invalid qty",IF($B761&gt;Config!$B$4,"Date after the as-of date",IF($B761&lt;Config!$B$5,"Date before the opening balance date","OK")))))))))))))))))</f>
        <v/>
      </c>
    </row>
    <row r="762">
      <c r="A762" s="46" t="n"/>
      <c r="B762" s="54" t="n"/>
      <c r="C762" s="46" t="n"/>
      <c r="D762" s="46" t="n"/>
      <c r="E762" s="55" t="n"/>
      <c r="F762" s="46" t="n"/>
      <c r="G762" s="46" t="n"/>
      <c r="H762" s="46" t="n"/>
      <c r="I762" s="46" t="n"/>
      <c r="J762" s="46" t="n"/>
      <c r="K762" s="46" t="n"/>
      <c r="L762" s="46" t="n"/>
      <c r="M762" s="51" t="str">
        <f>IF(NOT(ISNUMBER($E762)),"",IF($C762="Receipt",$E762,IF($C762="Shipment",-$E762,IF($C762="Adjustment",$E762,0))))</f>
        <v/>
      </c>
      <c r="N762" s="49" t="str">
        <f>IF($D762="","",IFERROR(INDEX(Products!$B$2:$B$101,MATCH($D762,Products!$A$2:$A$101,0))&amp;"","(not found)"))</f>
        <v/>
      </c>
      <c r="O762" s="49" t="str">
        <f>IF($F762="","",IFERROR(INDEX(Batches!$B$2:$B$301,MATCH($F762,Batches!$A$2:$A$301,0))&amp;"","(not found)"))</f>
        <v/>
      </c>
      <c r="P762" s="49" t="str">
        <f>IF(COUNTA($A762:$L762)=0,"",IF($A762="","Missing: entry ID",IF(COUNTIF($A$2:$A$2001,$A762)&gt;1,"Duplicate entry ID",IF(NOT(ISNUMBER($B762)),"Missing or invalid: date",IF($C762="","Missing: type",IF($D762="","Missing: SKU",IF(NOT(ISNUMBER($E762)),"Missing: qty",IF($F762="","Missing: lot",IF($I762="","Missing: source link",IF(COUNTIF(Config!$A$15:$A$34,$C762)=0,"Unsupported type",IF(COUNTIF(Products!$A$2:$A$101,$D762)=0,"Unknown SKU",IF(COUNTIFS(Batches!$A$2:$A$301,$F762,Batches!$B$2:$B$301,$D762)=0,"Unknown lot for this SKU",IF(AND($C762="Adjustment",$G762=""),"Missing: reason",IF(AND($G762&lt;&gt;"",COUNTIF(Config!$B$15:$B$34,$G762)=0),"Unsupported reason",IF(OR(INT($E762)&lt;&gt;$E762,AND(OR($C762="Receipt",$C762="Shipment"),$E762&lt;=0),AND($C762="Adjustment",$E762=0)),"Invalid qty",IF($B762&gt;Config!$B$4,"Date after the as-of date",IF($B762&lt;Config!$B$5,"Date before the opening balance date","OK")))))))))))))))))</f>
        <v/>
      </c>
    </row>
    <row r="763">
      <c r="A763" s="46" t="n"/>
      <c r="B763" s="54" t="n"/>
      <c r="C763" s="46" t="n"/>
      <c r="D763" s="46" t="n"/>
      <c r="E763" s="55" t="n"/>
      <c r="F763" s="46" t="n"/>
      <c r="G763" s="46" t="n"/>
      <c r="H763" s="46" t="n"/>
      <c r="I763" s="46" t="n"/>
      <c r="J763" s="46" t="n"/>
      <c r="K763" s="46" t="n"/>
      <c r="L763" s="46" t="n"/>
      <c r="M763" s="51" t="str">
        <f>IF(NOT(ISNUMBER($E763)),"",IF($C763="Receipt",$E763,IF($C763="Shipment",-$E763,IF($C763="Adjustment",$E763,0))))</f>
        <v/>
      </c>
      <c r="N763" s="49" t="str">
        <f>IF($D763="","",IFERROR(INDEX(Products!$B$2:$B$101,MATCH($D763,Products!$A$2:$A$101,0))&amp;"","(not found)"))</f>
        <v/>
      </c>
      <c r="O763" s="49" t="str">
        <f>IF($F763="","",IFERROR(INDEX(Batches!$B$2:$B$301,MATCH($F763,Batches!$A$2:$A$301,0))&amp;"","(not found)"))</f>
        <v/>
      </c>
      <c r="P763" s="49" t="str">
        <f>IF(COUNTA($A763:$L763)=0,"",IF($A763="","Missing: entry ID",IF(COUNTIF($A$2:$A$2001,$A763)&gt;1,"Duplicate entry ID",IF(NOT(ISNUMBER($B763)),"Missing or invalid: date",IF($C763="","Missing: type",IF($D763="","Missing: SKU",IF(NOT(ISNUMBER($E763)),"Missing: qty",IF($F763="","Missing: lot",IF($I763="","Missing: source link",IF(COUNTIF(Config!$A$15:$A$34,$C763)=0,"Unsupported type",IF(COUNTIF(Products!$A$2:$A$101,$D763)=0,"Unknown SKU",IF(COUNTIFS(Batches!$A$2:$A$301,$F763,Batches!$B$2:$B$301,$D763)=0,"Unknown lot for this SKU",IF(AND($C763="Adjustment",$G763=""),"Missing: reason",IF(AND($G763&lt;&gt;"",COUNTIF(Config!$B$15:$B$34,$G763)=0),"Unsupported reason",IF(OR(INT($E763)&lt;&gt;$E763,AND(OR($C763="Receipt",$C763="Shipment"),$E763&lt;=0),AND($C763="Adjustment",$E763=0)),"Invalid qty",IF($B763&gt;Config!$B$4,"Date after the as-of date",IF($B763&lt;Config!$B$5,"Date before the opening balance date","OK")))))))))))))))))</f>
        <v/>
      </c>
    </row>
    <row r="764">
      <c r="A764" s="46" t="n"/>
      <c r="B764" s="54" t="n"/>
      <c r="C764" s="46" t="n"/>
      <c r="D764" s="46" t="n"/>
      <c r="E764" s="55" t="n"/>
      <c r="F764" s="46" t="n"/>
      <c r="G764" s="46" t="n"/>
      <c r="H764" s="46" t="n"/>
      <c r="I764" s="46" t="n"/>
      <c r="J764" s="46" t="n"/>
      <c r="K764" s="46" t="n"/>
      <c r="L764" s="46" t="n"/>
      <c r="M764" s="51" t="str">
        <f>IF(NOT(ISNUMBER($E764)),"",IF($C764="Receipt",$E764,IF($C764="Shipment",-$E764,IF($C764="Adjustment",$E764,0))))</f>
        <v/>
      </c>
      <c r="N764" s="49" t="str">
        <f>IF($D764="","",IFERROR(INDEX(Products!$B$2:$B$101,MATCH($D764,Products!$A$2:$A$101,0))&amp;"","(not found)"))</f>
        <v/>
      </c>
      <c r="O764" s="49" t="str">
        <f>IF($F764="","",IFERROR(INDEX(Batches!$B$2:$B$301,MATCH($F764,Batches!$A$2:$A$301,0))&amp;"","(not found)"))</f>
        <v/>
      </c>
      <c r="P764" s="49" t="str">
        <f>IF(COUNTA($A764:$L764)=0,"",IF($A764="","Missing: entry ID",IF(COUNTIF($A$2:$A$2001,$A764)&gt;1,"Duplicate entry ID",IF(NOT(ISNUMBER($B764)),"Missing or invalid: date",IF($C764="","Missing: type",IF($D764="","Missing: SKU",IF(NOT(ISNUMBER($E764)),"Missing: qty",IF($F764="","Missing: lot",IF($I764="","Missing: source link",IF(COUNTIF(Config!$A$15:$A$34,$C764)=0,"Unsupported type",IF(COUNTIF(Products!$A$2:$A$101,$D764)=0,"Unknown SKU",IF(COUNTIFS(Batches!$A$2:$A$301,$F764,Batches!$B$2:$B$301,$D764)=0,"Unknown lot for this SKU",IF(AND($C764="Adjustment",$G764=""),"Missing: reason",IF(AND($G764&lt;&gt;"",COUNTIF(Config!$B$15:$B$34,$G764)=0),"Unsupported reason",IF(OR(INT($E764)&lt;&gt;$E764,AND(OR($C764="Receipt",$C764="Shipment"),$E764&lt;=0),AND($C764="Adjustment",$E764=0)),"Invalid qty",IF($B764&gt;Config!$B$4,"Date after the as-of date",IF($B764&lt;Config!$B$5,"Date before the opening balance date","OK")))))))))))))))))</f>
        <v/>
      </c>
    </row>
    <row r="765">
      <c r="A765" s="46" t="n"/>
      <c r="B765" s="54" t="n"/>
      <c r="C765" s="46" t="n"/>
      <c r="D765" s="46" t="n"/>
      <c r="E765" s="55" t="n"/>
      <c r="F765" s="46" t="n"/>
      <c r="G765" s="46" t="n"/>
      <c r="H765" s="46" t="n"/>
      <c r="I765" s="46" t="n"/>
      <c r="J765" s="46" t="n"/>
      <c r="K765" s="46" t="n"/>
      <c r="L765" s="46" t="n"/>
      <c r="M765" s="51" t="str">
        <f>IF(NOT(ISNUMBER($E765)),"",IF($C765="Receipt",$E765,IF($C765="Shipment",-$E765,IF($C765="Adjustment",$E765,0))))</f>
        <v/>
      </c>
      <c r="N765" s="49" t="str">
        <f>IF($D765="","",IFERROR(INDEX(Products!$B$2:$B$101,MATCH($D765,Products!$A$2:$A$101,0))&amp;"","(not found)"))</f>
        <v/>
      </c>
      <c r="O765" s="49" t="str">
        <f>IF($F765="","",IFERROR(INDEX(Batches!$B$2:$B$301,MATCH($F765,Batches!$A$2:$A$301,0))&amp;"","(not found)"))</f>
        <v/>
      </c>
      <c r="P765" s="49" t="str">
        <f>IF(COUNTA($A765:$L765)=0,"",IF($A765="","Missing: entry ID",IF(COUNTIF($A$2:$A$2001,$A765)&gt;1,"Duplicate entry ID",IF(NOT(ISNUMBER($B765)),"Missing or invalid: date",IF($C765="","Missing: type",IF($D765="","Missing: SKU",IF(NOT(ISNUMBER($E765)),"Missing: qty",IF($F765="","Missing: lot",IF($I765="","Missing: source link",IF(COUNTIF(Config!$A$15:$A$34,$C765)=0,"Unsupported type",IF(COUNTIF(Products!$A$2:$A$101,$D765)=0,"Unknown SKU",IF(COUNTIFS(Batches!$A$2:$A$301,$F765,Batches!$B$2:$B$301,$D765)=0,"Unknown lot for this SKU",IF(AND($C765="Adjustment",$G765=""),"Missing: reason",IF(AND($G765&lt;&gt;"",COUNTIF(Config!$B$15:$B$34,$G765)=0),"Unsupported reason",IF(OR(INT($E765)&lt;&gt;$E765,AND(OR($C765="Receipt",$C765="Shipment"),$E765&lt;=0),AND($C765="Adjustment",$E765=0)),"Invalid qty",IF($B765&gt;Config!$B$4,"Date after the as-of date",IF($B765&lt;Config!$B$5,"Date before the opening balance date","OK")))))))))))))))))</f>
        <v/>
      </c>
    </row>
    <row r="766">
      <c r="A766" s="46" t="n"/>
      <c r="B766" s="54" t="n"/>
      <c r="C766" s="46" t="n"/>
      <c r="D766" s="46" t="n"/>
      <c r="E766" s="55" t="n"/>
      <c r="F766" s="46" t="n"/>
      <c r="G766" s="46" t="n"/>
      <c r="H766" s="46" t="n"/>
      <c r="I766" s="46" t="n"/>
      <c r="J766" s="46" t="n"/>
      <c r="K766" s="46" t="n"/>
      <c r="L766" s="46" t="n"/>
      <c r="M766" s="51" t="str">
        <f>IF(NOT(ISNUMBER($E766)),"",IF($C766="Receipt",$E766,IF($C766="Shipment",-$E766,IF($C766="Adjustment",$E766,0))))</f>
        <v/>
      </c>
      <c r="N766" s="49" t="str">
        <f>IF($D766="","",IFERROR(INDEX(Products!$B$2:$B$101,MATCH($D766,Products!$A$2:$A$101,0))&amp;"","(not found)"))</f>
        <v/>
      </c>
      <c r="O766" s="49" t="str">
        <f>IF($F766="","",IFERROR(INDEX(Batches!$B$2:$B$301,MATCH($F766,Batches!$A$2:$A$301,0))&amp;"","(not found)"))</f>
        <v/>
      </c>
      <c r="P766" s="49" t="str">
        <f>IF(COUNTA($A766:$L766)=0,"",IF($A766="","Missing: entry ID",IF(COUNTIF($A$2:$A$2001,$A766)&gt;1,"Duplicate entry ID",IF(NOT(ISNUMBER($B766)),"Missing or invalid: date",IF($C766="","Missing: type",IF($D766="","Missing: SKU",IF(NOT(ISNUMBER($E766)),"Missing: qty",IF($F766="","Missing: lot",IF($I766="","Missing: source link",IF(COUNTIF(Config!$A$15:$A$34,$C766)=0,"Unsupported type",IF(COUNTIF(Products!$A$2:$A$101,$D766)=0,"Unknown SKU",IF(COUNTIFS(Batches!$A$2:$A$301,$F766,Batches!$B$2:$B$301,$D766)=0,"Unknown lot for this SKU",IF(AND($C766="Adjustment",$G766=""),"Missing: reason",IF(AND($G766&lt;&gt;"",COUNTIF(Config!$B$15:$B$34,$G766)=0),"Unsupported reason",IF(OR(INT($E766)&lt;&gt;$E766,AND(OR($C766="Receipt",$C766="Shipment"),$E766&lt;=0),AND($C766="Adjustment",$E766=0)),"Invalid qty",IF($B766&gt;Config!$B$4,"Date after the as-of date",IF($B766&lt;Config!$B$5,"Date before the opening balance date","OK")))))))))))))))))</f>
        <v/>
      </c>
    </row>
    <row r="767">
      <c r="A767" s="46" t="n"/>
      <c r="B767" s="54" t="n"/>
      <c r="C767" s="46" t="n"/>
      <c r="D767" s="46" t="n"/>
      <c r="E767" s="55" t="n"/>
      <c r="F767" s="46" t="n"/>
      <c r="G767" s="46" t="n"/>
      <c r="H767" s="46" t="n"/>
      <c r="I767" s="46" t="n"/>
      <c r="J767" s="46" t="n"/>
      <c r="K767" s="46" t="n"/>
      <c r="L767" s="46" t="n"/>
      <c r="M767" s="51" t="str">
        <f>IF(NOT(ISNUMBER($E767)),"",IF($C767="Receipt",$E767,IF($C767="Shipment",-$E767,IF($C767="Adjustment",$E767,0))))</f>
        <v/>
      </c>
      <c r="N767" s="49" t="str">
        <f>IF($D767="","",IFERROR(INDEX(Products!$B$2:$B$101,MATCH($D767,Products!$A$2:$A$101,0))&amp;"","(not found)"))</f>
        <v/>
      </c>
      <c r="O767" s="49" t="str">
        <f>IF($F767="","",IFERROR(INDEX(Batches!$B$2:$B$301,MATCH($F767,Batches!$A$2:$A$301,0))&amp;"","(not found)"))</f>
        <v/>
      </c>
      <c r="P767" s="49" t="str">
        <f>IF(COUNTA($A767:$L767)=0,"",IF($A767="","Missing: entry ID",IF(COUNTIF($A$2:$A$2001,$A767)&gt;1,"Duplicate entry ID",IF(NOT(ISNUMBER($B767)),"Missing or invalid: date",IF($C767="","Missing: type",IF($D767="","Missing: SKU",IF(NOT(ISNUMBER($E767)),"Missing: qty",IF($F767="","Missing: lot",IF($I767="","Missing: source link",IF(COUNTIF(Config!$A$15:$A$34,$C767)=0,"Unsupported type",IF(COUNTIF(Products!$A$2:$A$101,$D767)=0,"Unknown SKU",IF(COUNTIFS(Batches!$A$2:$A$301,$F767,Batches!$B$2:$B$301,$D767)=0,"Unknown lot for this SKU",IF(AND($C767="Adjustment",$G767=""),"Missing: reason",IF(AND($G767&lt;&gt;"",COUNTIF(Config!$B$15:$B$34,$G767)=0),"Unsupported reason",IF(OR(INT($E767)&lt;&gt;$E767,AND(OR($C767="Receipt",$C767="Shipment"),$E767&lt;=0),AND($C767="Adjustment",$E767=0)),"Invalid qty",IF($B767&gt;Config!$B$4,"Date after the as-of date",IF($B767&lt;Config!$B$5,"Date before the opening balance date","OK")))))))))))))))))</f>
        <v/>
      </c>
    </row>
    <row r="768">
      <c r="A768" s="46" t="n"/>
      <c r="B768" s="54" t="n"/>
      <c r="C768" s="46" t="n"/>
      <c r="D768" s="46" t="n"/>
      <c r="E768" s="55" t="n"/>
      <c r="F768" s="46" t="n"/>
      <c r="G768" s="46" t="n"/>
      <c r="H768" s="46" t="n"/>
      <c r="I768" s="46" t="n"/>
      <c r="J768" s="46" t="n"/>
      <c r="K768" s="46" t="n"/>
      <c r="L768" s="46" t="n"/>
      <c r="M768" s="51" t="str">
        <f>IF(NOT(ISNUMBER($E768)),"",IF($C768="Receipt",$E768,IF($C768="Shipment",-$E768,IF($C768="Adjustment",$E768,0))))</f>
        <v/>
      </c>
      <c r="N768" s="49" t="str">
        <f>IF($D768="","",IFERROR(INDEX(Products!$B$2:$B$101,MATCH($D768,Products!$A$2:$A$101,0))&amp;"","(not found)"))</f>
        <v/>
      </c>
      <c r="O768" s="49" t="str">
        <f>IF($F768="","",IFERROR(INDEX(Batches!$B$2:$B$301,MATCH($F768,Batches!$A$2:$A$301,0))&amp;"","(not found)"))</f>
        <v/>
      </c>
      <c r="P768" s="49" t="str">
        <f>IF(COUNTA($A768:$L768)=0,"",IF($A768="","Missing: entry ID",IF(COUNTIF($A$2:$A$2001,$A768)&gt;1,"Duplicate entry ID",IF(NOT(ISNUMBER($B768)),"Missing or invalid: date",IF($C768="","Missing: type",IF($D768="","Missing: SKU",IF(NOT(ISNUMBER($E768)),"Missing: qty",IF($F768="","Missing: lot",IF($I768="","Missing: source link",IF(COUNTIF(Config!$A$15:$A$34,$C768)=0,"Unsupported type",IF(COUNTIF(Products!$A$2:$A$101,$D768)=0,"Unknown SKU",IF(COUNTIFS(Batches!$A$2:$A$301,$F768,Batches!$B$2:$B$301,$D768)=0,"Unknown lot for this SKU",IF(AND($C768="Adjustment",$G768=""),"Missing: reason",IF(AND($G768&lt;&gt;"",COUNTIF(Config!$B$15:$B$34,$G768)=0),"Unsupported reason",IF(OR(INT($E768)&lt;&gt;$E768,AND(OR($C768="Receipt",$C768="Shipment"),$E768&lt;=0),AND($C768="Adjustment",$E768=0)),"Invalid qty",IF($B768&gt;Config!$B$4,"Date after the as-of date",IF($B768&lt;Config!$B$5,"Date before the opening balance date","OK")))))))))))))))))</f>
        <v/>
      </c>
    </row>
    <row r="769">
      <c r="A769" s="46" t="n"/>
      <c r="B769" s="54" t="n"/>
      <c r="C769" s="46" t="n"/>
      <c r="D769" s="46" t="n"/>
      <c r="E769" s="55" t="n"/>
      <c r="F769" s="46" t="n"/>
      <c r="G769" s="46" t="n"/>
      <c r="H769" s="46" t="n"/>
      <c r="I769" s="46" t="n"/>
      <c r="J769" s="46" t="n"/>
      <c r="K769" s="46" t="n"/>
      <c r="L769" s="46" t="n"/>
      <c r="M769" s="51" t="str">
        <f>IF(NOT(ISNUMBER($E769)),"",IF($C769="Receipt",$E769,IF($C769="Shipment",-$E769,IF($C769="Adjustment",$E769,0))))</f>
        <v/>
      </c>
      <c r="N769" s="49" t="str">
        <f>IF($D769="","",IFERROR(INDEX(Products!$B$2:$B$101,MATCH($D769,Products!$A$2:$A$101,0))&amp;"","(not found)"))</f>
        <v/>
      </c>
      <c r="O769" s="49" t="str">
        <f>IF($F769="","",IFERROR(INDEX(Batches!$B$2:$B$301,MATCH($F769,Batches!$A$2:$A$301,0))&amp;"","(not found)"))</f>
        <v/>
      </c>
      <c r="P769" s="49" t="str">
        <f>IF(COUNTA($A769:$L769)=0,"",IF($A769="","Missing: entry ID",IF(COUNTIF($A$2:$A$2001,$A769)&gt;1,"Duplicate entry ID",IF(NOT(ISNUMBER($B769)),"Missing or invalid: date",IF($C769="","Missing: type",IF($D769="","Missing: SKU",IF(NOT(ISNUMBER($E769)),"Missing: qty",IF($F769="","Missing: lot",IF($I769="","Missing: source link",IF(COUNTIF(Config!$A$15:$A$34,$C769)=0,"Unsupported type",IF(COUNTIF(Products!$A$2:$A$101,$D769)=0,"Unknown SKU",IF(COUNTIFS(Batches!$A$2:$A$301,$F769,Batches!$B$2:$B$301,$D769)=0,"Unknown lot for this SKU",IF(AND($C769="Adjustment",$G769=""),"Missing: reason",IF(AND($G769&lt;&gt;"",COUNTIF(Config!$B$15:$B$34,$G769)=0),"Unsupported reason",IF(OR(INT($E769)&lt;&gt;$E769,AND(OR($C769="Receipt",$C769="Shipment"),$E769&lt;=0),AND($C769="Adjustment",$E769=0)),"Invalid qty",IF($B769&gt;Config!$B$4,"Date after the as-of date",IF($B769&lt;Config!$B$5,"Date before the opening balance date","OK")))))))))))))))))</f>
        <v/>
      </c>
    </row>
    <row r="770">
      <c r="A770" s="46" t="n"/>
      <c r="B770" s="54" t="n"/>
      <c r="C770" s="46" t="n"/>
      <c r="D770" s="46" t="n"/>
      <c r="E770" s="55" t="n"/>
      <c r="F770" s="46" t="n"/>
      <c r="G770" s="46" t="n"/>
      <c r="H770" s="46" t="n"/>
      <c r="I770" s="46" t="n"/>
      <c r="J770" s="46" t="n"/>
      <c r="K770" s="46" t="n"/>
      <c r="L770" s="46" t="n"/>
      <c r="M770" s="51" t="str">
        <f>IF(NOT(ISNUMBER($E770)),"",IF($C770="Receipt",$E770,IF($C770="Shipment",-$E770,IF($C770="Adjustment",$E770,0))))</f>
        <v/>
      </c>
      <c r="N770" s="49" t="str">
        <f>IF($D770="","",IFERROR(INDEX(Products!$B$2:$B$101,MATCH($D770,Products!$A$2:$A$101,0))&amp;"","(not found)"))</f>
        <v/>
      </c>
      <c r="O770" s="49" t="str">
        <f>IF($F770="","",IFERROR(INDEX(Batches!$B$2:$B$301,MATCH($F770,Batches!$A$2:$A$301,0))&amp;"","(not found)"))</f>
        <v/>
      </c>
      <c r="P770" s="49" t="str">
        <f>IF(COUNTA($A770:$L770)=0,"",IF($A770="","Missing: entry ID",IF(COUNTIF($A$2:$A$2001,$A770)&gt;1,"Duplicate entry ID",IF(NOT(ISNUMBER($B770)),"Missing or invalid: date",IF($C770="","Missing: type",IF($D770="","Missing: SKU",IF(NOT(ISNUMBER($E770)),"Missing: qty",IF($F770="","Missing: lot",IF($I770="","Missing: source link",IF(COUNTIF(Config!$A$15:$A$34,$C770)=0,"Unsupported type",IF(COUNTIF(Products!$A$2:$A$101,$D770)=0,"Unknown SKU",IF(COUNTIFS(Batches!$A$2:$A$301,$F770,Batches!$B$2:$B$301,$D770)=0,"Unknown lot for this SKU",IF(AND($C770="Adjustment",$G770=""),"Missing: reason",IF(AND($G770&lt;&gt;"",COUNTIF(Config!$B$15:$B$34,$G770)=0),"Unsupported reason",IF(OR(INT($E770)&lt;&gt;$E770,AND(OR($C770="Receipt",$C770="Shipment"),$E770&lt;=0),AND($C770="Adjustment",$E770=0)),"Invalid qty",IF($B770&gt;Config!$B$4,"Date after the as-of date",IF($B770&lt;Config!$B$5,"Date before the opening balance date","OK")))))))))))))))))</f>
        <v/>
      </c>
    </row>
    <row r="771">
      <c r="A771" s="46" t="n"/>
      <c r="B771" s="54" t="n"/>
      <c r="C771" s="46" t="n"/>
      <c r="D771" s="46" t="n"/>
      <c r="E771" s="55" t="n"/>
      <c r="F771" s="46" t="n"/>
      <c r="G771" s="46" t="n"/>
      <c r="H771" s="46" t="n"/>
      <c r="I771" s="46" t="n"/>
      <c r="J771" s="46" t="n"/>
      <c r="K771" s="46" t="n"/>
      <c r="L771" s="46" t="n"/>
      <c r="M771" s="51" t="str">
        <f>IF(NOT(ISNUMBER($E771)),"",IF($C771="Receipt",$E771,IF($C771="Shipment",-$E771,IF($C771="Adjustment",$E771,0))))</f>
        <v/>
      </c>
      <c r="N771" s="49" t="str">
        <f>IF($D771="","",IFERROR(INDEX(Products!$B$2:$B$101,MATCH($D771,Products!$A$2:$A$101,0))&amp;"","(not found)"))</f>
        <v/>
      </c>
      <c r="O771" s="49" t="str">
        <f>IF($F771="","",IFERROR(INDEX(Batches!$B$2:$B$301,MATCH($F771,Batches!$A$2:$A$301,0))&amp;"","(not found)"))</f>
        <v/>
      </c>
      <c r="P771" s="49" t="str">
        <f>IF(COUNTA($A771:$L771)=0,"",IF($A771="","Missing: entry ID",IF(COUNTIF($A$2:$A$2001,$A771)&gt;1,"Duplicate entry ID",IF(NOT(ISNUMBER($B771)),"Missing or invalid: date",IF($C771="","Missing: type",IF($D771="","Missing: SKU",IF(NOT(ISNUMBER($E771)),"Missing: qty",IF($F771="","Missing: lot",IF($I771="","Missing: source link",IF(COUNTIF(Config!$A$15:$A$34,$C771)=0,"Unsupported type",IF(COUNTIF(Products!$A$2:$A$101,$D771)=0,"Unknown SKU",IF(COUNTIFS(Batches!$A$2:$A$301,$F771,Batches!$B$2:$B$301,$D771)=0,"Unknown lot for this SKU",IF(AND($C771="Adjustment",$G771=""),"Missing: reason",IF(AND($G771&lt;&gt;"",COUNTIF(Config!$B$15:$B$34,$G771)=0),"Unsupported reason",IF(OR(INT($E771)&lt;&gt;$E771,AND(OR($C771="Receipt",$C771="Shipment"),$E771&lt;=0),AND($C771="Adjustment",$E771=0)),"Invalid qty",IF($B771&gt;Config!$B$4,"Date after the as-of date",IF($B771&lt;Config!$B$5,"Date before the opening balance date","OK")))))))))))))))))</f>
        <v/>
      </c>
    </row>
    <row r="772">
      <c r="A772" s="46" t="n"/>
      <c r="B772" s="54" t="n"/>
      <c r="C772" s="46" t="n"/>
      <c r="D772" s="46" t="n"/>
      <c r="E772" s="55" t="n"/>
      <c r="F772" s="46" t="n"/>
      <c r="G772" s="46" t="n"/>
      <c r="H772" s="46" t="n"/>
      <c r="I772" s="46" t="n"/>
      <c r="J772" s="46" t="n"/>
      <c r="K772" s="46" t="n"/>
      <c r="L772" s="46" t="n"/>
      <c r="M772" s="51" t="str">
        <f>IF(NOT(ISNUMBER($E772)),"",IF($C772="Receipt",$E772,IF($C772="Shipment",-$E772,IF($C772="Adjustment",$E772,0))))</f>
        <v/>
      </c>
      <c r="N772" s="49" t="str">
        <f>IF($D772="","",IFERROR(INDEX(Products!$B$2:$B$101,MATCH($D772,Products!$A$2:$A$101,0))&amp;"","(not found)"))</f>
        <v/>
      </c>
      <c r="O772" s="49" t="str">
        <f>IF($F772="","",IFERROR(INDEX(Batches!$B$2:$B$301,MATCH($F772,Batches!$A$2:$A$301,0))&amp;"","(not found)"))</f>
        <v/>
      </c>
      <c r="P772" s="49" t="str">
        <f>IF(COUNTA($A772:$L772)=0,"",IF($A772="","Missing: entry ID",IF(COUNTIF($A$2:$A$2001,$A772)&gt;1,"Duplicate entry ID",IF(NOT(ISNUMBER($B772)),"Missing or invalid: date",IF($C772="","Missing: type",IF($D772="","Missing: SKU",IF(NOT(ISNUMBER($E772)),"Missing: qty",IF($F772="","Missing: lot",IF($I772="","Missing: source link",IF(COUNTIF(Config!$A$15:$A$34,$C772)=0,"Unsupported type",IF(COUNTIF(Products!$A$2:$A$101,$D772)=0,"Unknown SKU",IF(COUNTIFS(Batches!$A$2:$A$301,$F772,Batches!$B$2:$B$301,$D772)=0,"Unknown lot for this SKU",IF(AND($C772="Adjustment",$G772=""),"Missing: reason",IF(AND($G772&lt;&gt;"",COUNTIF(Config!$B$15:$B$34,$G772)=0),"Unsupported reason",IF(OR(INT($E772)&lt;&gt;$E772,AND(OR($C772="Receipt",$C772="Shipment"),$E772&lt;=0),AND($C772="Adjustment",$E772=0)),"Invalid qty",IF($B772&gt;Config!$B$4,"Date after the as-of date",IF($B772&lt;Config!$B$5,"Date before the opening balance date","OK")))))))))))))))))</f>
        <v/>
      </c>
    </row>
    <row r="773">
      <c r="A773" s="46" t="n"/>
      <c r="B773" s="54" t="n"/>
      <c r="C773" s="46" t="n"/>
      <c r="D773" s="46" t="n"/>
      <c r="E773" s="55" t="n"/>
      <c r="F773" s="46" t="n"/>
      <c r="G773" s="46" t="n"/>
      <c r="H773" s="46" t="n"/>
      <c r="I773" s="46" t="n"/>
      <c r="J773" s="46" t="n"/>
      <c r="K773" s="46" t="n"/>
      <c r="L773" s="46" t="n"/>
      <c r="M773" s="51" t="str">
        <f>IF(NOT(ISNUMBER($E773)),"",IF($C773="Receipt",$E773,IF($C773="Shipment",-$E773,IF($C773="Adjustment",$E773,0))))</f>
        <v/>
      </c>
      <c r="N773" s="49" t="str">
        <f>IF($D773="","",IFERROR(INDEX(Products!$B$2:$B$101,MATCH($D773,Products!$A$2:$A$101,0))&amp;"","(not found)"))</f>
        <v/>
      </c>
      <c r="O773" s="49" t="str">
        <f>IF($F773="","",IFERROR(INDEX(Batches!$B$2:$B$301,MATCH($F773,Batches!$A$2:$A$301,0))&amp;"","(not found)"))</f>
        <v/>
      </c>
      <c r="P773" s="49" t="str">
        <f>IF(COUNTA($A773:$L773)=0,"",IF($A773="","Missing: entry ID",IF(COUNTIF($A$2:$A$2001,$A773)&gt;1,"Duplicate entry ID",IF(NOT(ISNUMBER($B773)),"Missing or invalid: date",IF($C773="","Missing: type",IF($D773="","Missing: SKU",IF(NOT(ISNUMBER($E773)),"Missing: qty",IF($F773="","Missing: lot",IF($I773="","Missing: source link",IF(COUNTIF(Config!$A$15:$A$34,$C773)=0,"Unsupported type",IF(COUNTIF(Products!$A$2:$A$101,$D773)=0,"Unknown SKU",IF(COUNTIFS(Batches!$A$2:$A$301,$F773,Batches!$B$2:$B$301,$D773)=0,"Unknown lot for this SKU",IF(AND($C773="Adjustment",$G773=""),"Missing: reason",IF(AND($G773&lt;&gt;"",COUNTIF(Config!$B$15:$B$34,$G773)=0),"Unsupported reason",IF(OR(INT($E773)&lt;&gt;$E773,AND(OR($C773="Receipt",$C773="Shipment"),$E773&lt;=0),AND($C773="Adjustment",$E773=0)),"Invalid qty",IF($B773&gt;Config!$B$4,"Date after the as-of date",IF($B773&lt;Config!$B$5,"Date before the opening balance date","OK")))))))))))))))))</f>
        <v/>
      </c>
    </row>
    <row r="774">
      <c r="A774" s="46" t="n"/>
      <c r="B774" s="54" t="n"/>
      <c r="C774" s="46" t="n"/>
      <c r="D774" s="46" t="n"/>
      <c r="E774" s="55" t="n"/>
      <c r="F774" s="46" t="n"/>
      <c r="G774" s="46" t="n"/>
      <c r="H774" s="46" t="n"/>
      <c r="I774" s="46" t="n"/>
      <c r="J774" s="46" t="n"/>
      <c r="K774" s="46" t="n"/>
      <c r="L774" s="46" t="n"/>
      <c r="M774" s="51" t="str">
        <f>IF(NOT(ISNUMBER($E774)),"",IF($C774="Receipt",$E774,IF($C774="Shipment",-$E774,IF($C774="Adjustment",$E774,0))))</f>
        <v/>
      </c>
      <c r="N774" s="49" t="str">
        <f>IF($D774="","",IFERROR(INDEX(Products!$B$2:$B$101,MATCH($D774,Products!$A$2:$A$101,0))&amp;"","(not found)"))</f>
        <v/>
      </c>
      <c r="O774" s="49" t="str">
        <f>IF($F774="","",IFERROR(INDEX(Batches!$B$2:$B$301,MATCH($F774,Batches!$A$2:$A$301,0))&amp;"","(not found)"))</f>
        <v/>
      </c>
      <c r="P774" s="49" t="str">
        <f>IF(COUNTA($A774:$L774)=0,"",IF($A774="","Missing: entry ID",IF(COUNTIF($A$2:$A$2001,$A774)&gt;1,"Duplicate entry ID",IF(NOT(ISNUMBER($B774)),"Missing or invalid: date",IF($C774="","Missing: type",IF($D774="","Missing: SKU",IF(NOT(ISNUMBER($E774)),"Missing: qty",IF($F774="","Missing: lot",IF($I774="","Missing: source link",IF(COUNTIF(Config!$A$15:$A$34,$C774)=0,"Unsupported type",IF(COUNTIF(Products!$A$2:$A$101,$D774)=0,"Unknown SKU",IF(COUNTIFS(Batches!$A$2:$A$301,$F774,Batches!$B$2:$B$301,$D774)=0,"Unknown lot for this SKU",IF(AND($C774="Adjustment",$G774=""),"Missing: reason",IF(AND($G774&lt;&gt;"",COUNTIF(Config!$B$15:$B$34,$G774)=0),"Unsupported reason",IF(OR(INT($E774)&lt;&gt;$E774,AND(OR($C774="Receipt",$C774="Shipment"),$E774&lt;=0),AND($C774="Adjustment",$E774=0)),"Invalid qty",IF($B774&gt;Config!$B$4,"Date after the as-of date",IF($B774&lt;Config!$B$5,"Date before the opening balance date","OK")))))))))))))))))</f>
        <v/>
      </c>
    </row>
    <row r="775">
      <c r="A775" s="46" t="n"/>
      <c r="B775" s="54" t="n"/>
      <c r="C775" s="46" t="n"/>
      <c r="D775" s="46" t="n"/>
      <c r="E775" s="55" t="n"/>
      <c r="F775" s="46" t="n"/>
      <c r="G775" s="46" t="n"/>
      <c r="H775" s="46" t="n"/>
      <c r="I775" s="46" t="n"/>
      <c r="J775" s="46" t="n"/>
      <c r="K775" s="46" t="n"/>
      <c r="L775" s="46" t="n"/>
      <c r="M775" s="51" t="str">
        <f>IF(NOT(ISNUMBER($E775)),"",IF($C775="Receipt",$E775,IF($C775="Shipment",-$E775,IF($C775="Adjustment",$E775,0))))</f>
        <v/>
      </c>
      <c r="N775" s="49" t="str">
        <f>IF($D775="","",IFERROR(INDEX(Products!$B$2:$B$101,MATCH($D775,Products!$A$2:$A$101,0))&amp;"","(not found)"))</f>
        <v/>
      </c>
      <c r="O775" s="49" t="str">
        <f>IF($F775="","",IFERROR(INDEX(Batches!$B$2:$B$301,MATCH($F775,Batches!$A$2:$A$301,0))&amp;"","(not found)"))</f>
        <v/>
      </c>
      <c r="P775" s="49" t="str">
        <f>IF(COUNTA($A775:$L775)=0,"",IF($A775="","Missing: entry ID",IF(COUNTIF($A$2:$A$2001,$A775)&gt;1,"Duplicate entry ID",IF(NOT(ISNUMBER($B775)),"Missing or invalid: date",IF($C775="","Missing: type",IF($D775="","Missing: SKU",IF(NOT(ISNUMBER($E775)),"Missing: qty",IF($F775="","Missing: lot",IF($I775="","Missing: source link",IF(COUNTIF(Config!$A$15:$A$34,$C775)=0,"Unsupported type",IF(COUNTIF(Products!$A$2:$A$101,$D775)=0,"Unknown SKU",IF(COUNTIFS(Batches!$A$2:$A$301,$F775,Batches!$B$2:$B$301,$D775)=0,"Unknown lot for this SKU",IF(AND($C775="Adjustment",$G775=""),"Missing: reason",IF(AND($G775&lt;&gt;"",COUNTIF(Config!$B$15:$B$34,$G775)=0),"Unsupported reason",IF(OR(INT($E775)&lt;&gt;$E775,AND(OR($C775="Receipt",$C775="Shipment"),$E775&lt;=0),AND($C775="Adjustment",$E775=0)),"Invalid qty",IF($B775&gt;Config!$B$4,"Date after the as-of date",IF($B775&lt;Config!$B$5,"Date before the opening balance date","OK")))))))))))))))))</f>
        <v/>
      </c>
    </row>
    <row r="776">
      <c r="A776" s="46" t="n"/>
      <c r="B776" s="54" t="n"/>
      <c r="C776" s="46" t="n"/>
      <c r="D776" s="46" t="n"/>
      <c r="E776" s="55" t="n"/>
      <c r="F776" s="46" t="n"/>
      <c r="G776" s="46" t="n"/>
      <c r="H776" s="46" t="n"/>
      <c r="I776" s="46" t="n"/>
      <c r="J776" s="46" t="n"/>
      <c r="K776" s="46" t="n"/>
      <c r="L776" s="46" t="n"/>
      <c r="M776" s="51" t="str">
        <f>IF(NOT(ISNUMBER($E776)),"",IF($C776="Receipt",$E776,IF($C776="Shipment",-$E776,IF($C776="Adjustment",$E776,0))))</f>
        <v/>
      </c>
      <c r="N776" s="49" t="str">
        <f>IF($D776="","",IFERROR(INDEX(Products!$B$2:$B$101,MATCH($D776,Products!$A$2:$A$101,0))&amp;"","(not found)"))</f>
        <v/>
      </c>
      <c r="O776" s="49" t="str">
        <f>IF($F776="","",IFERROR(INDEX(Batches!$B$2:$B$301,MATCH($F776,Batches!$A$2:$A$301,0))&amp;"","(not found)"))</f>
        <v/>
      </c>
      <c r="P776" s="49" t="str">
        <f>IF(COUNTA($A776:$L776)=0,"",IF($A776="","Missing: entry ID",IF(COUNTIF($A$2:$A$2001,$A776)&gt;1,"Duplicate entry ID",IF(NOT(ISNUMBER($B776)),"Missing or invalid: date",IF($C776="","Missing: type",IF($D776="","Missing: SKU",IF(NOT(ISNUMBER($E776)),"Missing: qty",IF($F776="","Missing: lot",IF($I776="","Missing: source link",IF(COUNTIF(Config!$A$15:$A$34,$C776)=0,"Unsupported type",IF(COUNTIF(Products!$A$2:$A$101,$D776)=0,"Unknown SKU",IF(COUNTIFS(Batches!$A$2:$A$301,$F776,Batches!$B$2:$B$301,$D776)=0,"Unknown lot for this SKU",IF(AND($C776="Adjustment",$G776=""),"Missing: reason",IF(AND($G776&lt;&gt;"",COUNTIF(Config!$B$15:$B$34,$G776)=0),"Unsupported reason",IF(OR(INT($E776)&lt;&gt;$E776,AND(OR($C776="Receipt",$C776="Shipment"),$E776&lt;=0),AND($C776="Adjustment",$E776=0)),"Invalid qty",IF($B776&gt;Config!$B$4,"Date after the as-of date",IF($B776&lt;Config!$B$5,"Date before the opening balance date","OK")))))))))))))))))</f>
        <v/>
      </c>
    </row>
    <row r="777">
      <c r="A777" s="46" t="n"/>
      <c r="B777" s="54" t="n"/>
      <c r="C777" s="46" t="n"/>
      <c r="D777" s="46" t="n"/>
      <c r="E777" s="55" t="n"/>
      <c r="F777" s="46" t="n"/>
      <c r="G777" s="46" t="n"/>
      <c r="H777" s="46" t="n"/>
      <c r="I777" s="46" t="n"/>
      <c r="J777" s="46" t="n"/>
      <c r="K777" s="46" t="n"/>
      <c r="L777" s="46" t="n"/>
      <c r="M777" s="51" t="str">
        <f>IF(NOT(ISNUMBER($E777)),"",IF($C777="Receipt",$E777,IF($C777="Shipment",-$E777,IF($C777="Adjustment",$E777,0))))</f>
        <v/>
      </c>
      <c r="N777" s="49" t="str">
        <f>IF($D777="","",IFERROR(INDEX(Products!$B$2:$B$101,MATCH($D777,Products!$A$2:$A$101,0))&amp;"","(not found)"))</f>
        <v/>
      </c>
      <c r="O777" s="49" t="str">
        <f>IF($F777="","",IFERROR(INDEX(Batches!$B$2:$B$301,MATCH($F777,Batches!$A$2:$A$301,0))&amp;"","(not found)"))</f>
        <v/>
      </c>
      <c r="P777" s="49" t="str">
        <f>IF(COUNTA($A777:$L777)=0,"",IF($A777="","Missing: entry ID",IF(COUNTIF($A$2:$A$2001,$A777)&gt;1,"Duplicate entry ID",IF(NOT(ISNUMBER($B777)),"Missing or invalid: date",IF($C777="","Missing: type",IF($D777="","Missing: SKU",IF(NOT(ISNUMBER($E777)),"Missing: qty",IF($F777="","Missing: lot",IF($I777="","Missing: source link",IF(COUNTIF(Config!$A$15:$A$34,$C777)=0,"Unsupported type",IF(COUNTIF(Products!$A$2:$A$101,$D777)=0,"Unknown SKU",IF(COUNTIFS(Batches!$A$2:$A$301,$F777,Batches!$B$2:$B$301,$D777)=0,"Unknown lot for this SKU",IF(AND($C777="Adjustment",$G777=""),"Missing: reason",IF(AND($G777&lt;&gt;"",COUNTIF(Config!$B$15:$B$34,$G777)=0),"Unsupported reason",IF(OR(INT($E777)&lt;&gt;$E777,AND(OR($C777="Receipt",$C777="Shipment"),$E777&lt;=0),AND($C777="Adjustment",$E777=0)),"Invalid qty",IF($B777&gt;Config!$B$4,"Date after the as-of date",IF($B777&lt;Config!$B$5,"Date before the opening balance date","OK")))))))))))))))))</f>
        <v/>
      </c>
    </row>
    <row r="778">
      <c r="A778" s="46" t="n"/>
      <c r="B778" s="54" t="n"/>
      <c r="C778" s="46" t="n"/>
      <c r="D778" s="46" t="n"/>
      <c r="E778" s="55" t="n"/>
      <c r="F778" s="46" t="n"/>
      <c r="G778" s="46" t="n"/>
      <c r="H778" s="46" t="n"/>
      <c r="I778" s="46" t="n"/>
      <c r="J778" s="46" t="n"/>
      <c r="K778" s="46" t="n"/>
      <c r="L778" s="46" t="n"/>
      <c r="M778" s="51" t="str">
        <f>IF(NOT(ISNUMBER($E778)),"",IF($C778="Receipt",$E778,IF($C778="Shipment",-$E778,IF($C778="Adjustment",$E778,0))))</f>
        <v/>
      </c>
      <c r="N778" s="49" t="str">
        <f>IF($D778="","",IFERROR(INDEX(Products!$B$2:$B$101,MATCH($D778,Products!$A$2:$A$101,0))&amp;"","(not found)"))</f>
        <v/>
      </c>
      <c r="O778" s="49" t="str">
        <f>IF($F778="","",IFERROR(INDEX(Batches!$B$2:$B$301,MATCH($F778,Batches!$A$2:$A$301,0))&amp;"","(not found)"))</f>
        <v/>
      </c>
      <c r="P778" s="49" t="str">
        <f>IF(COUNTA($A778:$L778)=0,"",IF($A778="","Missing: entry ID",IF(COUNTIF($A$2:$A$2001,$A778)&gt;1,"Duplicate entry ID",IF(NOT(ISNUMBER($B778)),"Missing or invalid: date",IF($C778="","Missing: type",IF($D778="","Missing: SKU",IF(NOT(ISNUMBER($E778)),"Missing: qty",IF($F778="","Missing: lot",IF($I778="","Missing: source link",IF(COUNTIF(Config!$A$15:$A$34,$C778)=0,"Unsupported type",IF(COUNTIF(Products!$A$2:$A$101,$D778)=0,"Unknown SKU",IF(COUNTIFS(Batches!$A$2:$A$301,$F778,Batches!$B$2:$B$301,$D778)=0,"Unknown lot for this SKU",IF(AND($C778="Adjustment",$G778=""),"Missing: reason",IF(AND($G778&lt;&gt;"",COUNTIF(Config!$B$15:$B$34,$G778)=0),"Unsupported reason",IF(OR(INT($E778)&lt;&gt;$E778,AND(OR($C778="Receipt",$C778="Shipment"),$E778&lt;=0),AND($C778="Adjustment",$E778=0)),"Invalid qty",IF($B778&gt;Config!$B$4,"Date after the as-of date",IF($B778&lt;Config!$B$5,"Date before the opening balance date","OK")))))))))))))))))</f>
        <v/>
      </c>
    </row>
    <row r="779">
      <c r="A779" s="46" t="n"/>
      <c r="B779" s="54" t="n"/>
      <c r="C779" s="46" t="n"/>
      <c r="D779" s="46" t="n"/>
      <c r="E779" s="55" t="n"/>
      <c r="F779" s="46" t="n"/>
      <c r="G779" s="46" t="n"/>
      <c r="H779" s="46" t="n"/>
      <c r="I779" s="46" t="n"/>
      <c r="J779" s="46" t="n"/>
      <c r="K779" s="46" t="n"/>
      <c r="L779" s="46" t="n"/>
      <c r="M779" s="51" t="str">
        <f>IF(NOT(ISNUMBER($E779)),"",IF($C779="Receipt",$E779,IF($C779="Shipment",-$E779,IF($C779="Adjustment",$E779,0))))</f>
        <v/>
      </c>
      <c r="N779" s="49" t="str">
        <f>IF($D779="","",IFERROR(INDEX(Products!$B$2:$B$101,MATCH($D779,Products!$A$2:$A$101,0))&amp;"","(not found)"))</f>
        <v/>
      </c>
      <c r="O779" s="49" t="str">
        <f>IF($F779="","",IFERROR(INDEX(Batches!$B$2:$B$301,MATCH($F779,Batches!$A$2:$A$301,0))&amp;"","(not found)"))</f>
        <v/>
      </c>
      <c r="P779" s="49" t="str">
        <f>IF(COUNTA($A779:$L779)=0,"",IF($A779="","Missing: entry ID",IF(COUNTIF($A$2:$A$2001,$A779)&gt;1,"Duplicate entry ID",IF(NOT(ISNUMBER($B779)),"Missing or invalid: date",IF($C779="","Missing: type",IF($D779="","Missing: SKU",IF(NOT(ISNUMBER($E779)),"Missing: qty",IF($F779="","Missing: lot",IF($I779="","Missing: source link",IF(COUNTIF(Config!$A$15:$A$34,$C779)=0,"Unsupported type",IF(COUNTIF(Products!$A$2:$A$101,$D779)=0,"Unknown SKU",IF(COUNTIFS(Batches!$A$2:$A$301,$F779,Batches!$B$2:$B$301,$D779)=0,"Unknown lot for this SKU",IF(AND($C779="Adjustment",$G779=""),"Missing: reason",IF(AND($G779&lt;&gt;"",COUNTIF(Config!$B$15:$B$34,$G779)=0),"Unsupported reason",IF(OR(INT($E779)&lt;&gt;$E779,AND(OR($C779="Receipt",$C779="Shipment"),$E779&lt;=0),AND($C779="Adjustment",$E779=0)),"Invalid qty",IF($B779&gt;Config!$B$4,"Date after the as-of date",IF($B779&lt;Config!$B$5,"Date before the opening balance date","OK")))))))))))))))))</f>
        <v/>
      </c>
    </row>
    <row r="780">
      <c r="A780" s="46" t="n"/>
      <c r="B780" s="54" t="n"/>
      <c r="C780" s="46" t="n"/>
      <c r="D780" s="46" t="n"/>
      <c r="E780" s="55" t="n"/>
      <c r="F780" s="46" t="n"/>
      <c r="G780" s="46" t="n"/>
      <c r="H780" s="46" t="n"/>
      <c r="I780" s="46" t="n"/>
      <c r="J780" s="46" t="n"/>
      <c r="K780" s="46" t="n"/>
      <c r="L780" s="46" t="n"/>
      <c r="M780" s="51" t="str">
        <f>IF(NOT(ISNUMBER($E780)),"",IF($C780="Receipt",$E780,IF($C780="Shipment",-$E780,IF($C780="Adjustment",$E780,0))))</f>
        <v/>
      </c>
      <c r="N780" s="49" t="str">
        <f>IF($D780="","",IFERROR(INDEX(Products!$B$2:$B$101,MATCH($D780,Products!$A$2:$A$101,0))&amp;"","(not found)"))</f>
        <v/>
      </c>
      <c r="O780" s="49" t="str">
        <f>IF($F780="","",IFERROR(INDEX(Batches!$B$2:$B$301,MATCH($F780,Batches!$A$2:$A$301,0))&amp;"","(not found)"))</f>
        <v/>
      </c>
      <c r="P780" s="49" t="str">
        <f>IF(COUNTA($A780:$L780)=0,"",IF($A780="","Missing: entry ID",IF(COUNTIF($A$2:$A$2001,$A780)&gt;1,"Duplicate entry ID",IF(NOT(ISNUMBER($B780)),"Missing or invalid: date",IF($C780="","Missing: type",IF($D780="","Missing: SKU",IF(NOT(ISNUMBER($E780)),"Missing: qty",IF($F780="","Missing: lot",IF($I780="","Missing: source link",IF(COUNTIF(Config!$A$15:$A$34,$C780)=0,"Unsupported type",IF(COUNTIF(Products!$A$2:$A$101,$D780)=0,"Unknown SKU",IF(COUNTIFS(Batches!$A$2:$A$301,$F780,Batches!$B$2:$B$301,$D780)=0,"Unknown lot for this SKU",IF(AND($C780="Adjustment",$G780=""),"Missing: reason",IF(AND($G780&lt;&gt;"",COUNTIF(Config!$B$15:$B$34,$G780)=0),"Unsupported reason",IF(OR(INT($E780)&lt;&gt;$E780,AND(OR($C780="Receipt",$C780="Shipment"),$E780&lt;=0),AND($C780="Adjustment",$E780=0)),"Invalid qty",IF($B780&gt;Config!$B$4,"Date after the as-of date",IF($B780&lt;Config!$B$5,"Date before the opening balance date","OK")))))))))))))))))</f>
        <v/>
      </c>
    </row>
    <row r="781">
      <c r="A781" s="46" t="n"/>
      <c r="B781" s="54" t="n"/>
      <c r="C781" s="46" t="n"/>
      <c r="D781" s="46" t="n"/>
      <c r="E781" s="55" t="n"/>
      <c r="F781" s="46" t="n"/>
      <c r="G781" s="46" t="n"/>
      <c r="H781" s="46" t="n"/>
      <c r="I781" s="46" t="n"/>
      <c r="J781" s="46" t="n"/>
      <c r="K781" s="46" t="n"/>
      <c r="L781" s="46" t="n"/>
      <c r="M781" s="51" t="str">
        <f>IF(NOT(ISNUMBER($E781)),"",IF($C781="Receipt",$E781,IF($C781="Shipment",-$E781,IF($C781="Adjustment",$E781,0))))</f>
        <v/>
      </c>
      <c r="N781" s="49" t="str">
        <f>IF($D781="","",IFERROR(INDEX(Products!$B$2:$B$101,MATCH($D781,Products!$A$2:$A$101,0))&amp;"","(not found)"))</f>
        <v/>
      </c>
      <c r="O781" s="49" t="str">
        <f>IF($F781="","",IFERROR(INDEX(Batches!$B$2:$B$301,MATCH($F781,Batches!$A$2:$A$301,0))&amp;"","(not found)"))</f>
        <v/>
      </c>
      <c r="P781" s="49" t="str">
        <f>IF(COUNTA($A781:$L781)=0,"",IF($A781="","Missing: entry ID",IF(COUNTIF($A$2:$A$2001,$A781)&gt;1,"Duplicate entry ID",IF(NOT(ISNUMBER($B781)),"Missing or invalid: date",IF($C781="","Missing: type",IF($D781="","Missing: SKU",IF(NOT(ISNUMBER($E781)),"Missing: qty",IF($F781="","Missing: lot",IF($I781="","Missing: source link",IF(COUNTIF(Config!$A$15:$A$34,$C781)=0,"Unsupported type",IF(COUNTIF(Products!$A$2:$A$101,$D781)=0,"Unknown SKU",IF(COUNTIFS(Batches!$A$2:$A$301,$F781,Batches!$B$2:$B$301,$D781)=0,"Unknown lot for this SKU",IF(AND($C781="Adjustment",$G781=""),"Missing: reason",IF(AND($G781&lt;&gt;"",COUNTIF(Config!$B$15:$B$34,$G781)=0),"Unsupported reason",IF(OR(INT($E781)&lt;&gt;$E781,AND(OR($C781="Receipt",$C781="Shipment"),$E781&lt;=0),AND($C781="Adjustment",$E781=0)),"Invalid qty",IF($B781&gt;Config!$B$4,"Date after the as-of date",IF($B781&lt;Config!$B$5,"Date before the opening balance date","OK")))))))))))))))))</f>
        <v/>
      </c>
    </row>
    <row r="782">
      <c r="A782" s="46" t="n"/>
      <c r="B782" s="54" t="n"/>
      <c r="C782" s="46" t="n"/>
      <c r="D782" s="46" t="n"/>
      <c r="E782" s="55" t="n"/>
      <c r="F782" s="46" t="n"/>
      <c r="G782" s="46" t="n"/>
      <c r="H782" s="46" t="n"/>
      <c r="I782" s="46" t="n"/>
      <c r="J782" s="46" t="n"/>
      <c r="K782" s="46" t="n"/>
      <c r="L782" s="46" t="n"/>
      <c r="M782" s="51" t="str">
        <f>IF(NOT(ISNUMBER($E782)),"",IF($C782="Receipt",$E782,IF($C782="Shipment",-$E782,IF($C782="Adjustment",$E782,0))))</f>
        <v/>
      </c>
      <c r="N782" s="49" t="str">
        <f>IF($D782="","",IFERROR(INDEX(Products!$B$2:$B$101,MATCH($D782,Products!$A$2:$A$101,0))&amp;"","(not found)"))</f>
        <v/>
      </c>
      <c r="O782" s="49" t="str">
        <f>IF($F782="","",IFERROR(INDEX(Batches!$B$2:$B$301,MATCH($F782,Batches!$A$2:$A$301,0))&amp;"","(not found)"))</f>
        <v/>
      </c>
      <c r="P782" s="49" t="str">
        <f>IF(COUNTA($A782:$L782)=0,"",IF($A782="","Missing: entry ID",IF(COUNTIF($A$2:$A$2001,$A782)&gt;1,"Duplicate entry ID",IF(NOT(ISNUMBER($B782)),"Missing or invalid: date",IF($C782="","Missing: type",IF($D782="","Missing: SKU",IF(NOT(ISNUMBER($E782)),"Missing: qty",IF($F782="","Missing: lot",IF($I782="","Missing: source link",IF(COUNTIF(Config!$A$15:$A$34,$C782)=0,"Unsupported type",IF(COUNTIF(Products!$A$2:$A$101,$D782)=0,"Unknown SKU",IF(COUNTIFS(Batches!$A$2:$A$301,$F782,Batches!$B$2:$B$301,$D782)=0,"Unknown lot for this SKU",IF(AND($C782="Adjustment",$G782=""),"Missing: reason",IF(AND($G782&lt;&gt;"",COUNTIF(Config!$B$15:$B$34,$G782)=0),"Unsupported reason",IF(OR(INT($E782)&lt;&gt;$E782,AND(OR($C782="Receipt",$C782="Shipment"),$E782&lt;=0),AND($C782="Adjustment",$E782=0)),"Invalid qty",IF($B782&gt;Config!$B$4,"Date after the as-of date",IF($B782&lt;Config!$B$5,"Date before the opening balance date","OK")))))))))))))))))</f>
        <v/>
      </c>
    </row>
    <row r="783">
      <c r="A783" s="46" t="n"/>
      <c r="B783" s="54" t="n"/>
      <c r="C783" s="46" t="n"/>
      <c r="D783" s="46" t="n"/>
      <c r="E783" s="55" t="n"/>
      <c r="F783" s="46" t="n"/>
      <c r="G783" s="46" t="n"/>
      <c r="H783" s="46" t="n"/>
      <c r="I783" s="46" t="n"/>
      <c r="J783" s="46" t="n"/>
      <c r="K783" s="46" t="n"/>
      <c r="L783" s="46" t="n"/>
      <c r="M783" s="51" t="str">
        <f>IF(NOT(ISNUMBER($E783)),"",IF($C783="Receipt",$E783,IF($C783="Shipment",-$E783,IF($C783="Adjustment",$E783,0))))</f>
        <v/>
      </c>
      <c r="N783" s="49" t="str">
        <f>IF($D783="","",IFERROR(INDEX(Products!$B$2:$B$101,MATCH($D783,Products!$A$2:$A$101,0))&amp;"","(not found)"))</f>
        <v/>
      </c>
      <c r="O783" s="49" t="str">
        <f>IF($F783="","",IFERROR(INDEX(Batches!$B$2:$B$301,MATCH($F783,Batches!$A$2:$A$301,0))&amp;"","(not found)"))</f>
        <v/>
      </c>
      <c r="P783" s="49" t="str">
        <f>IF(COUNTA($A783:$L783)=0,"",IF($A783="","Missing: entry ID",IF(COUNTIF($A$2:$A$2001,$A783)&gt;1,"Duplicate entry ID",IF(NOT(ISNUMBER($B783)),"Missing or invalid: date",IF($C783="","Missing: type",IF($D783="","Missing: SKU",IF(NOT(ISNUMBER($E783)),"Missing: qty",IF($F783="","Missing: lot",IF($I783="","Missing: source link",IF(COUNTIF(Config!$A$15:$A$34,$C783)=0,"Unsupported type",IF(COUNTIF(Products!$A$2:$A$101,$D783)=0,"Unknown SKU",IF(COUNTIFS(Batches!$A$2:$A$301,$F783,Batches!$B$2:$B$301,$D783)=0,"Unknown lot for this SKU",IF(AND($C783="Adjustment",$G783=""),"Missing: reason",IF(AND($G783&lt;&gt;"",COUNTIF(Config!$B$15:$B$34,$G783)=0),"Unsupported reason",IF(OR(INT($E783)&lt;&gt;$E783,AND(OR($C783="Receipt",$C783="Shipment"),$E783&lt;=0),AND($C783="Adjustment",$E783=0)),"Invalid qty",IF($B783&gt;Config!$B$4,"Date after the as-of date",IF($B783&lt;Config!$B$5,"Date before the opening balance date","OK")))))))))))))))))</f>
        <v/>
      </c>
    </row>
    <row r="784">
      <c r="A784" s="46" t="n"/>
      <c r="B784" s="54" t="n"/>
      <c r="C784" s="46" t="n"/>
      <c r="D784" s="46" t="n"/>
      <c r="E784" s="55" t="n"/>
      <c r="F784" s="46" t="n"/>
      <c r="G784" s="46" t="n"/>
      <c r="H784" s="46" t="n"/>
      <c r="I784" s="46" t="n"/>
      <c r="J784" s="46" t="n"/>
      <c r="K784" s="46" t="n"/>
      <c r="L784" s="46" t="n"/>
      <c r="M784" s="51" t="str">
        <f>IF(NOT(ISNUMBER($E784)),"",IF($C784="Receipt",$E784,IF($C784="Shipment",-$E784,IF($C784="Adjustment",$E784,0))))</f>
        <v/>
      </c>
      <c r="N784" s="49" t="str">
        <f>IF($D784="","",IFERROR(INDEX(Products!$B$2:$B$101,MATCH($D784,Products!$A$2:$A$101,0))&amp;"","(not found)"))</f>
        <v/>
      </c>
      <c r="O784" s="49" t="str">
        <f>IF($F784="","",IFERROR(INDEX(Batches!$B$2:$B$301,MATCH($F784,Batches!$A$2:$A$301,0))&amp;"","(not found)"))</f>
        <v/>
      </c>
      <c r="P784" s="49" t="str">
        <f>IF(COUNTA($A784:$L784)=0,"",IF($A784="","Missing: entry ID",IF(COUNTIF($A$2:$A$2001,$A784)&gt;1,"Duplicate entry ID",IF(NOT(ISNUMBER($B784)),"Missing or invalid: date",IF($C784="","Missing: type",IF($D784="","Missing: SKU",IF(NOT(ISNUMBER($E784)),"Missing: qty",IF($F784="","Missing: lot",IF($I784="","Missing: source link",IF(COUNTIF(Config!$A$15:$A$34,$C784)=0,"Unsupported type",IF(COUNTIF(Products!$A$2:$A$101,$D784)=0,"Unknown SKU",IF(COUNTIFS(Batches!$A$2:$A$301,$F784,Batches!$B$2:$B$301,$D784)=0,"Unknown lot for this SKU",IF(AND($C784="Adjustment",$G784=""),"Missing: reason",IF(AND($G784&lt;&gt;"",COUNTIF(Config!$B$15:$B$34,$G784)=0),"Unsupported reason",IF(OR(INT($E784)&lt;&gt;$E784,AND(OR($C784="Receipt",$C784="Shipment"),$E784&lt;=0),AND($C784="Adjustment",$E784=0)),"Invalid qty",IF($B784&gt;Config!$B$4,"Date after the as-of date",IF($B784&lt;Config!$B$5,"Date before the opening balance date","OK")))))))))))))))))</f>
        <v/>
      </c>
    </row>
    <row r="785">
      <c r="A785" s="46" t="n"/>
      <c r="B785" s="54" t="n"/>
      <c r="C785" s="46" t="n"/>
      <c r="D785" s="46" t="n"/>
      <c r="E785" s="55" t="n"/>
      <c r="F785" s="46" t="n"/>
      <c r="G785" s="46" t="n"/>
      <c r="H785" s="46" t="n"/>
      <c r="I785" s="46" t="n"/>
      <c r="J785" s="46" t="n"/>
      <c r="K785" s="46" t="n"/>
      <c r="L785" s="46" t="n"/>
      <c r="M785" s="51" t="str">
        <f>IF(NOT(ISNUMBER($E785)),"",IF($C785="Receipt",$E785,IF($C785="Shipment",-$E785,IF($C785="Adjustment",$E785,0))))</f>
        <v/>
      </c>
      <c r="N785" s="49" t="str">
        <f>IF($D785="","",IFERROR(INDEX(Products!$B$2:$B$101,MATCH($D785,Products!$A$2:$A$101,0))&amp;"","(not found)"))</f>
        <v/>
      </c>
      <c r="O785" s="49" t="str">
        <f>IF($F785="","",IFERROR(INDEX(Batches!$B$2:$B$301,MATCH($F785,Batches!$A$2:$A$301,0))&amp;"","(not found)"))</f>
        <v/>
      </c>
      <c r="P785" s="49" t="str">
        <f>IF(COUNTA($A785:$L785)=0,"",IF($A785="","Missing: entry ID",IF(COUNTIF($A$2:$A$2001,$A785)&gt;1,"Duplicate entry ID",IF(NOT(ISNUMBER($B785)),"Missing or invalid: date",IF($C785="","Missing: type",IF($D785="","Missing: SKU",IF(NOT(ISNUMBER($E785)),"Missing: qty",IF($F785="","Missing: lot",IF($I785="","Missing: source link",IF(COUNTIF(Config!$A$15:$A$34,$C785)=0,"Unsupported type",IF(COUNTIF(Products!$A$2:$A$101,$D785)=0,"Unknown SKU",IF(COUNTIFS(Batches!$A$2:$A$301,$F785,Batches!$B$2:$B$301,$D785)=0,"Unknown lot for this SKU",IF(AND($C785="Adjustment",$G785=""),"Missing: reason",IF(AND($G785&lt;&gt;"",COUNTIF(Config!$B$15:$B$34,$G785)=0),"Unsupported reason",IF(OR(INT($E785)&lt;&gt;$E785,AND(OR($C785="Receipt",$C785="Shipment"),$E785&lt;=0),AND($C785="Adjustment",$E785=0)),"Invalid qty",IF($B785&gt;Config!$B$4,"Date after the as-of date",IF($B785&lt;Config!$B$5,"Date before the opening balance date","OK")))))))))))))))))</f>
        <v/>
      </c>
    </row>
    <row r="786">
      <c r="A786" s="46" t="n"/>
      <c r="B786" s="54" t="n"/>
      <c r="C786" s="46" t="n"/>
      <c r="D786" s="46" t="n"/>
      <c r="E786" s="55" t="n"/>
      <c r="F786" s="46" t="n"/>
      <c r="G786" s="46" t="n"/>
      <c r="H786" s="46" t="n"/>
      <c r="I786" s="46" t="n"/>
      <c r="J786" s="46" t="n"/>
      <c r="K786" s="46" t="n"/>
      <c r="L786" s="46" t="n"/>
      <c r="M786" s="51" t="str">
        <f>IF(NOT(ISNUMBER($E786)),"",IF($C786="Receipt",$E786,IF($C786="Shipment",-$E786,IF($C786="Adjustment",$E786,0))))</f>
        <v/>
      </c>
      <c r="N786" s="49" t="str">
        <f>IF($D786="","",IFERROR(INDEX(Products!$B$2:$B$101,MATCH($D786,Products!$A$2:$A$101,0))&amp;"","(not found)"))</f>
        <v/>
      </c>
      <c r="O786" s="49" t="str">
        <f>IF($F786="","",IFERROR(INDEX(Batches!$B$2:$B$301,MATCH($F786,Batches!$A$2:$A$301,0))&amp;"","(not found)"))</f>
        <v/>
      </c>
      <c r="P786" s="49" t="str">
        <f>IF(COUNTA($A786:$L786)=0,"",IF($A786="","Missing: entry ID",IF(COUNTIF($A$2:$A$2001,$A786)&gt;1,"Duplicate entry ID",IF(NOT(ISNUMBER($B786)),"Missing or invalid: date",IF($C786="","Missing: type",IF($D786="","Missing: SKU",IF(NOT(ISNUMBER($E786)),"Missing: qty",IF($F786="","Missing: lot",IF($I786="","Missing: source link",IF(COUNTIF(Config!$A$15:$A$34,$C786)=0,"Unsupported type",IF(COUNTIF(Products!$A$2:$A$101,$D786)=0,"Unknown SKU",IF(COUNTIFS(Batches!$A$2:$A$301,$F786,Batches!$B$2:$B$301,$D786)=0,"Unknown lot for this SKU",IF(AND($C786="Adjustment",$G786=""),"Missing: reason",IF(AND($G786&lt;&gt;"",COUNTIF(Config!$B$15:$B$34,$G786)=0),"Unsupported reason",IF(OR(INT($E786)&lt;&gt;$E786,AND(OR($C786="Receipt",$C786="Shipment"),$E786&lt;=0),AND($C786="Adjustment",$E786=0)),"Invalid qty",IF($B786&gt;Config!$B$4,"Date after the as-of date",IF($B786&lt;Config!$B$5,"Date before the opening balance date","OK")))))))))))))))))</f>
        <v/>
      </c>
    </row>
    <row r="787">
      <c r="A787" s="46" t="n"/>
      <c r="B787" s="54" t="n"/>
      <c r="C787" s="46" t="n"/>
      <c r="D787" s="46" t="n"/>
      <c r="E787" s="55" t="n"/>
      <c r="F787" s="46" t="n"/>
      <c r="G787" s="46" t="n"/>
      <c r="H787" s="46" t="n"/>
      <c r="I787" s="46" t="n"/>
      <c r="J787" s="46" t="n"/>
      <c r="K787" s="46" t="n"/>
      <c r="L787" s="46" t="n"/>
      <c r="M787" s="51" t="str">
        <f>IF(NOT(ISNUMBER($E787)),"",IF($C787="Receipt",$E787,IF($C787="Shipment",-$E787,IF($C787="Adjustment",$E787,0))))</f>
        <v/>
      </c>
      <c r="N787" s="49" t="str">
        <f>IF($D787="","",IFERROR(INDEX(Products!$B$2:$B$101,MATCH($D787,Products!$A$2:$A$101,0))&amp;"","(not found)"))</f>
        <v/>
      </c>
      <c r="O787" s="49" t="str">
        <f>IF($F787="","",IFERROR(INDEX(Batches!$B$2:$B$301,MATCH($F787,Batches!$A$2:$A$301,0))&amp;"","(not found)"))</f>
        <v/>
      </c>
      <c r="P787" s="49" t="str">
        <f>IF(COUNTA($A787:$L787)=0,"",IF($A787="","Missing: entry ID",IF(COUNTIF($A$2:$A$2001,$A787)&gt;1,"Duplicate entry ID",IF(NOT(ISNUMBER($B787)),"Missing or invalid: date",IF($C787="","Missing: type",IF($D787="","Missing: SKU",IF(NOT(ISNUMBER($E787)),"Missing: qty",IF($F787="","Missing: lot",IF($I787="","Missing: source link",IF(COUNTIF(Config!$A$15:$A$34,$C787)=0,"Unsupported type",IF(COUNTIF(Products!$A$2:$A$101,$D787)=0,"Unknown SKU",IF(COUNTIFS(Batches!$A$2:$A$301,$F787,Batches!$B$2:$B$301,$D787)=0,"Unknown lot for this SKU",IF(AND($C787="Adjustment",$G787=""),"Missing: reason",IF(AND($G787&lt;&gt;"",COUNTIF(Config!$B$15:$B$34,$G787)=0),"Unsupported reason",IF(OR(INT($E787)&lt;&gt;$E787,AND(OR($C787="Receipt",$C787="Shipment"),$E787&lt;=0),AND($C787="Adjustment",$E787=0)),"Invalid qty",IF($B787&gt;Config!$B$4,"Date after the as-of date",IF($B787&lt;Config!$B$5,"Date before the opening balance date","OK")))))))))))))))))</f>
        <v/>
      </c>
    </row>
    <row r="788">
      <c r="A788" s="46" t="n"/>
      <c r="B788" s="54" t="n"/>
      <c r="C788" s="46" t="n"/>
      <c r="D788" s="46" t="n"/>
      <c r="E788" s="55" t="n"/>
      <c r="F788" s="46" t="n"/>
      <c r="G788" s="46" t="n"/>
      <c r="H788" s="46" t="n"/>
      <c r="I788" s="46" t="n"/>
      <c r="J788" s="46" t="n"/>
      <c r="K788" s="46" t="n"/>
      <c r="L788" s="46" t="n"/>
      <c r="M788" s="51" t="str">
        <f>IF(NOT(ISNUMBER($E788)),"",IF($C788="Receipt",$E788,IF($C788="Shipment",-$E788,IF($C788="Adjustment",$E788,0))))</f>
        <v/>
      </c>
      <c r="N788" s="49" t="str">
        <f>IF($D788="","",IFERROR(INDEX(Products!$B$2:$B$101,MATCH($D788,Products!$A$2:$A$101,0))&amp;"","(not found)"))</f>
        <v/>
      </c>
      <c r="O788" s="49" t="str">
        <f>IF($F788="","",IFERROR(INDEX(Batches!$B$2:$B$301,MATCH($F788,Batches!$A$2:$A$301,0))&amp;"","(not found)"))</f>
        <v/>
      </c>
      <c r="P788" s="49" t="str">
        <f>IF(COUNTA($A788:$L788)=0,"",IF($A788="","Missing: entry ID",IF(COUNTIF($A$2:$A$2001,$A788)&gt;1,"Duplicate entry ID",IF(NOT(ISNUMBER($B788)),"Missing or invalid: date",IF($C788="","Missing: type",IF($D788="","Missing: SKU",IF(NOT(ISNUMBER($E788)),"Missing: qty",IF($F788="","Missing: lot",IF($I788="","Missing: source link",IF(COUNTIF(Config!$A$15:$A$34,$C788)=0,"Unsupported type",IF(COUNTIF(Products!$A$2:$A$101,$D788)=0,"Unknown SKU",IF(COUNTIFS(Batches!$A$2:$A$301,$F788,Batches!$B$2:$B$301,$D788)=0,"Unknown lot for this SKU",IF(AND($C788="Adjustment",$G788=""),"Missing: reason",IF(AND($G788&lt;&gt;"",COUNTIF(Config!$B$15:$B$34,$G788)=0),"Unsupported reason",IF(OR(INT($E788)&lt;&gt;$E788,AND(OR($C788="Receipt",$C788="Shipment"),$E788&lt;=0),AND($C788="Adjustment",$E788=0)),"Invalid qty",IF($B788&gt;Config!$B$4,"Date after the as-of date",IF($B788&lt;Config!$B$5,"Date before the opening balance date","OK")))))))))))))))))</f>
        <v/>
      </c>
    </row>
    <row r="789">
      <c r="A789" s="46" t="n"/>
      <c r="B789" s="54" t="n"/>
      <c r="C789" s="46" t="n"/>
      <c r="D789" s="46" t="n"/>
      <c r="E789" s="55" t="n"/>
      <c r="F789" s="46" t="n"/>
      <c r="G789" s="46" t="n"/>
      <c r="H789" s="46" t="n"/>
      <c r="I789" s="46" t="n"/>
      <c r="J789" s="46" t="n"/>
      <c r="K789" s="46" t="n"/>
      <c r="L789" s="46" t="n"/>
      <c r="M789" s="51" t="str">
        <f>IF(NOT(ISNUMBER($E789)),"",IF($C789="Receipt",$E789,IF($C789="Shipment",-$E789,IF($C789="Adjustment",$E789,0))))</f>
        <v/>
      </c>
      <c r="N789" s="49" t="str">
        <f>IF($D789="","",IFERROR(INDEX(Products!$B$2:$B$101,MATCH($D789,Products!$A$2:$A$101,0))&amp;"","(not found)"))</f>
        <v/>
      </c>
      <c r="O789" s="49" t="str">
        <f>IF($F789="","",IFERROR(INDEX(Batches!$B$2:$B$301,MATCH($F789,Batches!$A$2:$A$301,0))&amp;"","(not found)"))</f>
        <v/>
      </c>
      <c r="P789" s="49" t="str">
        <f>IF(COUNTA($A789:$L789)=0,"",IF($A789="","Missing: entry ID",IF(COUNTIF($A$2:$A$2001,$A789)&gt;1,"Duplicate entry ID",IF(NOT(ISNUMBER($B789)),"Missing or invalid: date",IF($C789="","Missing: type",IF($D789="","Missing: SKU",IF(NOT(ISNUMBER($E789)),"Missing: qty",IF($F789="","Missing: lot",IF($I789="","Missing: source link",IF(COUNTIF(Config!$A$15:$A$34,$C789)=0,"Unsupported type",IF(COUNTIF(Products!$A$2:$A$101,$D789)=0,"Unknown SKU",IF(COUNTIFS(Batches!$A$2:$A$301,$F789,Batches!$B$2:$B$301,$D789)=0,"Unknown lot for this SKU",IF(AND($C789="Adjustment",$G789=""),"Missing: reason",IF(AND($G789&lt;&gt;"",COUNTIF(Config!$B$15:$B$34,$G789)=0),"Unsupported reason",IF(OR(INT($E789)&lt;&gt;$E789,AND(OR($C789="Receipt",$C789="Shipment"),$E789&lt;=0),AND($C789="Adjustment",$E789=0)),"Invalid qty",IF($B789&gt;Config!$B$4,"Date after the as-of date",IF($B789&lt;Config!$B$5,"Date before the opening balance date","OK")))))))))))))))))</f>
        <v/>
      </c>
    </row>
    <row r="790">
      <c r="A790" s="46" t="n"/>
      <c r="B790" s="54" t="n"/>
      <c r="C790" s="46" t="n"/>
      <c r="D790" s="46" t="n"/>
      <c r="E790" s="55" t="n"/>
      <c r="F790" s="46" t="n"/>
      <c r="G790" s="46" t="n"/>
      <c r="H790" s="46" t="n"/>
      <c r="I790" s="46" t="n"/>
      <c r="J790" s="46" t="n"/>
      <c r="K790" s="46" t="n"/>
      <c r="L790" s="46" t="n"/>
      <c r="M790" s="51" t="str">
        <f>IF(NOT(ISNUMBER($E790)),"",IF($C790="Receipt",$E790,IF($C790="Shipment",-$E790,IF($C790="Adjustment",$E790,0))))</f>
        <v/>
      </c>
      <c r="N790" s="49" t="str">
        <f>IF($D790="","",IFERROR(INDEX(Products!$B$2:$B$101,MATCH($D790,Products!$A$2:$A$101,0))&amp;"","(not found)"))</f>
        <v/>
      </c>
      <c r="O790" s="49" t="str">
        <f>IF($F790="","",IFERROR(INDEX(Batches!$B$2:$B$301,MATCH($F790,Batches!$A$2:$A$301,0))&amp;"","(not found)"))</f>
        <v/>
      </c>
      <c r="P790" s="49" t="str">
        <f>IF(COUNTA($A790:$L790)=0,"",IF($A790="","Missing: entry ID",IF(COUNTIF($A$2:$A$2001,$A790)&gt;1,"Duplicate entry ID",IF(NOT(ISNUMBER($B790)),"Missing or invalid: date",IF($C790="","Missing: type",IF($D790="","Missing: SKU",IF(NOT(ISNUMBER($E790)),"Missing: qty",IF($F790="","Missing: lot",IF($I790="","Missing: source link",IF(COUNTIF(Config!$A$15:$A$34,$C790)=0,"Unsupported type",IF(COUNTIF(Products!$A$2:$A$101,$D790)=0,"Unknown SKU",IF(COUNTIFS(Batches!$A$2:$A$301,$F790,Batches!$B$2:$B$301,$D790)=0,"Unknown lot for this SKU",IF(AND($C790="Adjustment",$G790=""),"Missing: reason",IF(AND($G790&lt;&gt;"",COUNTIF(Config!$B$15:$B$34,$G790)=0),"Unsupported reason",IF(OR(INT($E790)&lt;&gt;$E790,AND(OR($C790="Receipt",$C790="Shipment"),$E790&lt;=0),AND($C790="Adjustment",$E790=0)),"Invalid qty",IF($B790&gt;Config!$B$4,"Date after the as-of date",IF($B790&lt;Config!$B$5,"Date before the opening balance date","OK")))))))))))))))))</f>
        <v/>
      </c>
    </row>
    <row r="791">
      <c r="A791" s="46" t="n"/>
      <c r="B791" s="54" t="n"/>
      <c r="C791" s="46" t="n"/>
      <c r="D791" s="46" t="n"/>
      <c r="E791" s="55" t="n"/>
      <c r="F791" s="46" t="n"/>
      <c r="G791" s="46" t="n"/>
      <c r="H791" s="46" t="n"/>
      <c r="I791" s="46" t="n"/>
      <c r="J791" s="46" t="n"/>
      <c r="K791" s="46" t="n"/>
      <c r="L791" s="46" t="n"/>
      <c r="M791" s="51" t="str">
        <f>IF(NOT(ISNUMBER($E791)),"",IF($C791="Receipt",$E791,IF($C791="Shipment",-$E791,IF($C791="Adjustment",$E791,0))))</f>
        <v/>
      </c>
      <c r="N791" s="49" t="str">
        <f>IF($D791="","",IFERROR(INDEX(Products!$B$2:$B$101,MATCH($D791,Products!$A$2:$A$101,0))&amp;"","(not found)"))</f>
        <v/>
      </c>
      <c r="O791" s="49" t="str">
        <f>IF($F791="","",IFERROR(INDEX(Batches!$B$2:$B$301,MATCH($F791,Batches!$A$2:$A$301,0))&amp;"","(not found)"))</f>
        <v/>
      </c>
      <c r="P791" s="49" t="str">
        <f>IF(COUNTA($A791:$L791)=0,"",IF($A791="","Missing: entry ID",IF(COUNTIF($A$2:$A$2001,$A791)&gt;1,"Duplicate entry ID",IF(NOT(ISNUMBER($B791)),"Missing or invalid: date",IF($C791="","Missing: type",IF($D791="","Missing: SKU",IF(NOT(ISNUMBER($E791)),"Missing: qty",IF($F791="","Missing: lot",IF($I791="","Missing: source link",IF(COUNTIF(Config!$A$15:$A$34,$C791)=0,"Unsupported type",IF(COUNTIF(Products!$A$2:$A$101,$D791)=0,"Unknown SKU",IF(COUNTIFS(Batches!$A$2:$A$301,$F791,Batches!$B$2:$B$301,$D791)=0,"Unknown lot for this SKU",IF(AND($C791="Adjustment",$G791=""),"Missing: reason",IF(AND($G791&lt;&gt;"",COUNTIF(Config!$B$15:$B$34,$G791)=0),"Unsupported reason",IF(OR(INT($E791)&lt;&gt;$E791,AND(OR($C791="Receipt",$C791="Shipment"),$E791&lt;=0),AND($C791="Adjustment",$E791=0)),"Invalid qty",IF($B791&gt;Config!$B$4,"Date after the as-of date",IF($B791&lt;Config!$B$5,"Date before the opening balance date","OK")))))))))))))))))</f>
        <v/>
      </c>
    </row>
    <row r="792">
      <c r="A792" s="46" t="n"/>
      <c r="B792" s="54" t="n"/>
      <c r="C792" s="46" t="n"/>
      <c r="D792" s="46" t="n"/>
      <c r="E792" s="55" t="n"/>
      <c r="F792" s="46" t="n"/>
      <c r="G792" s="46" t="n"/>
      <c r="H792" s="46" t="n"/>
      <c r="I792" s="46" t="n"/>
      <c r="J792" s="46" t="n"/>
      <c r="K792" s="46" t="n"/>
      <c r="L792" s="46" t="n"/>
      <c r="M792" s="51" t="str">
        <f>IF(NOT(ISNUMBER($E792)),"",IF($C792="Receipt",$E792,IF($C792="Shipment",-$E792,IF($C792="Adjustment",$E792,0))))</f>
        <v/>
      </c>
      <c r="N792" s="49" t="str">
        <f>IF($D792="","",IFERROR(INDEX(Products!$B$2:$B$101,MATCH($D792,Products!$A$2:$A$101,0))&amp;"","(not found)"))</f>
        <v/>
      </c>
      <c r="O792" s="49" t="str">
        <f>IF($F792="","",IFERROR(INDEX(Batches!$B$2:$B$301,MATCH($F792,Batches!$A$2:$A$301,0))&amp;"","(not found)"))</f>
        <v/>
      </c>
      <c r="P792" s="49" t="str">
        <f>IF(COUNTA($A792:$L792)=0,"",IF($A792="","Missing: entry ID",IF(COUNTIF($A$2:$A$2001,$A792)&gt;1,"Duplicate entry ID",IF(NOT(ISNUMBER($B792)),"Missing or invalid: date",IF($C792="","Missing: type",IF($D792="","Missing: SKU",IF(NOT(ISNUMBER($E792)),"Missing: qty",IF($F792="","Missing: lot",IF($I792="","Missing: source link",IF(COUNTIF(Config!$A$15:$A$34,$C792)=0,"Unsupported type",IF(COUNTIF(Products!$A$2:$A$101,$D792)=0,"Unknown SKU",IF(COUNTIFS(Batches!$A$2:$A$301,$F792,Batches!$B$2:$B$301,$D792)=0,"Unknown lot for this SKU",IF(AND($C792="Adjustment",$G792=""),"Missing: reason",IF(AND($G792&lt;&gt;"",COUNTIF(Config!$B$15:$B$34,$G792)=0),"Unsupported reason",IF(OR(INT($E792)&lt;&gt;$E792,AND(OR($C792="Receipt",$C792="Shipment"),$E792&lt;=0),AND($C792="Adjustment",$E792=0)),"Invalid qty",IF($B792&gt;Config!$B$4,"Date after the as-of date",IF($B792&lt;Config!$B$5,"Date before the opening balance date","OK")))))))))))))))))</f>
        <v/>
      </c>
    </row>
    <row r="793">
      <c r="A793" s="46" t="n"/>
      <c r="B793" s="54" t="n"/>
      <c r="C793" s="46" t="n"/>
      <c r="D793" s="46" t="n"/>
      <c r="E793" s="55" t="n"/>
      <c r="F793" s="46" t="n"/>
      <c r="G793" s="46" t="n"/>
      <c r="H793" s="46" t="n"/>
      <c r="I793" s="46" t="n"/>
      <c r="J793" s="46" t="n"/>
      <c r="K793" s="46" t="n"/>
      <c r="L793" s="46" t="n"/>
      <c r="M793" s="51" t="str">
        <f>IF(NOT(ISNUMBER($E793)),"",IF($C793="Receipt",$E793,IF($C793="Shipment",-$E793,IF($C793="Adjustment",$E793,0))))</f>
        <v/>
      </c>
      <c r="N793" s="49" t="str">
        <f>IF($D793="","",IFERROR(INDEX(Products!$B$2:$B$101,MATCH($D793,Products!$A$2:$A$101,0))&amp;"","(not found)"))</f>
        <v/>
      </c>
      <c r="O793" s="49" t="str">
        <f>IF($F793="","",IFERROR(INDEX(Batches!$B$2:$B$301,MATCH($F793,Batches!$A$2:$A$301,0))&amp;"","(not found)"))</f>
        <v/>
      </c>
      <c r="P793" s="49" t="str">
        <f>IF(COUNTA($A793:$L793)=0,"",IF($A793="","Missing: entry ID",IF(COUNTIF($A$2:$A$2001,$A793)&gt;1,"Duplicate entry ID",IF(NOT(ISNUMBER($B793)),"Missing or invalid: date",IF($C793="","Missing: type",IF($D793="","Missing: SKU",IF(NOT(ISNUMBER($E793)),"Missing: qty",IF($F793="","Missing: lot",IF($I793="","Missing: source link",IF(COUNTIF(Config!$A$15:$A$34,$C793)=0,"Unsupported type",IF(COUNTIF(Products!$A$2:$A$101,$D793)=0,"Unknown SKU",IF(COUNTIFS(Batches!$A$2:$A$301,$F793,Batches!$B$2:$B$301,$D793)=0,"Unknown lot for this SKU",IF(AND($C793="Adjustment",$G793=""),"Missing: reason",IF(AND($G793&lt;&gt;"",COUNTIF(Config!$B$15:$B$34,$G793)=0),"Unsupported reason",IF(OR(INT($E793)&lt;&gt;$E793,AND(OR($C793="Receipt",$C793="Shipment"),$E793&lt;=0),AND($C793="Adjustment",$E793=0)),"Invalid qty",IF($B793&gt;Config!$B$4,"Date after the as-of date",IF($B793&lt;Config!$B$5,"Date before the opening balance date","OK")))))))))))))))))</f>
        <v/>
      </c>
    </row>
    <row r="794">
      <c r="A794" s="46" t="n"/>
      <c r="B794" s="54" t="n"/>
      <c r="C794" s="46" t="n"/>
      <c r="D794" s="46" t="n"/>
      <c r="E794" s="55" t="n"/>
      <c r="F794" s="46" t="n"/>
      <c r="G794" s="46" t="n"/>
      <c r="H794" s="46" t="n"/>
      <c r="I794" s="46" t="n"/>
      <c r="J794" s="46" t="n"/>
      <c r="K794" s="46" t="n"/>
      <c r="L794" s="46" t="n"/>
      <c r="M794" s="51" t="str">
        <f>IF(NOT(ISNUMBER($E794)),"",IF($C794="Receipt",$E794,IF($C794="Shipment",-$E794,IF($C794="Adjustment",$E794,0))))</f>
        <v/>
      </c>
      <c r="N794" s="49" t="str">
        <f>IF($D794="","",IFERROR(INDEX(Products!$B$2:$B$101,MATCH($D794,Products!$A$2:$A$101,0))&amp;"","(not found)"))</f>
        <v/>
      </c>
      <c r="O794" s="49" t="str">
        <f>IF($F794="","",IFERROR(INDEX(Batches!$B$2:$B$301,MATCH($F794,Batches!$A$2:$A$301,0))&amp;"","(not found)"))</f>
        <v/>
      </c>
      <c r="P794" s="49" t="str">
        <f>IF(COUNTA($A794:$L794)=0,"",IF($A794="","Missing: entry ID",IF(COUNTIF($A$2:$A$2001,$A794)&gt;1,"Duplicate entry ID",IF(NOT(ISNUMBER($B794)),"Missing or invalid: date",IF($C794="","Missing: type",IF($D794="","Missing: SKU",IF(NOT(ISNUMBER($E794)),"Missing: qty",IF($F794="","Missing: lot",IF($I794="","Missing: source link",IF(COUNTIF(Config!$A$15:$A$34,$C794)=0,"Unsupported type",IF(COUNTIF(Products!$A$2:$A$101,$D794)=0,"Unknown SKU",IF(COUNTIFS(Batches!$A$2:$A$301,$F794,Batches!$B$2:$B$301,$D794)=0,"Unknown lot for this SKU",IF(AND($C794="Adjustment",$G794=""),"Missing: reason",IF(AND($G794&lt;&gt;"",COUNTIF(Config!$B$15:$B$34,$G794)=0),"Unsupported reason",IF(OR(INT($E794)&lt;&gt;$E794,AND(OR($C794="Receipt",$C794="Shipment"),$E794&lt;=0),AND($C794="Adjustment",$E794=0)),"Invalid qty",IF($B794&gt;Config!$B$4,"Date after the as-of date",IF($B794&lt;Config!$B$5,"Date before the opening balance date","OK")))))))))))))))))</f>
        <v/>
      </c>
    </row>
    <row r="795">
      <c r="A795" s="46" t="n"/>
      <c r="B795" s="54" t="n"/>
      <c r="C795" s="46" t="n"/>
      <c r="D795" s="46" t="n"/>
      <c r="E795" s="55" t="n"/>
      <c r="F795" s="46" t="n"/>
      <c r="G795" s="46" t="n"/>
      <c r="H795" s="46" t="n"/>
      <c r="I795" s="46" t="n"/>
      <c r="J795" s="46" t="n"/>
      <c r="K795" s="46" t="n"/>
      <c r="L795" s="46" t="n"/>
      <c r="M795" s="51" t="str">
        <f>IF(NOT(ISNUMBER($E795)),"",IF($C795="Receipt",$E795,IF($C795="Shipment",-$E795,IF($C795="Adjustment",$E795,0))))</f>
        <v/>
      </c>
      <c r="N795" s="49" t="str">
        <f>IF($D795="","",IFERROR(INDEX(Products!$B$2:$B$101,MATCH($D795,Products!$A$2:$A$101,0))&amp;"","(not found)"))</f>
        <v/>
      </c>
      <c r="O795" s="49" t="str">
        <f>IF($F795="","",IFERROR(INDEX(Batches!$B$2:$B$301,MATCH($F795,Batches!$A$2:$A$301,0))&amp;"","(not found)"))</f>
        <v/>
      </c>
      <c r="P795" s="49" t="str">
        <f>IF(COUNTA($A795:$L795)=0,"",IF($A795="","Missing: entry ID",IF(COUNTIF($A$2:$A$2001,$A795)&gt;1,"Duplicate entry ID",IF(NOT(ISNUMBER($B795)),"Missing or invalid: date",IF($C795="","Missing: type",IF($D795="","Missing: SKU",IF(NOT(ISNUMBER($E795)),"Missing: qty",IF($F795="","Missing: lot",IF($I795="","Missing: source link",IF(COUNTIF(Config!$A$15:$A$34,$C795)=0,"Unsupported type",IF(COUNTIF(Products!$A$2:$A$101,$D795)=0,"Unknown SKU",IF(COUNTIFS(Batches!$A$2:$A$301,$F795,Batches!$B$2:$B$301,$D795)=0,"Unknown lot for this SKU",IF(AND($C795="Adjustment",$G795=""),"Missing: reason",IF(AND($G795&lt;&gt;"",COUNTIF(Config!$B$15:$B$34,$G795)=0),"Unsupported reason",IF(OR(INT($E795)&lt;&gt;$E795,AND(OR($C795="Receipt",$C795="Shipment"),$E795&lt;=0),AND($C795="Adjustment",$E795=0)),"Invalid qty",IF($B795&gt;Config!$B$4,"Date after the as-of date",IF($B795&lt;Config!$B$5,"Date before the opening balance date","OK")))))))))))))))))</f>
        <v/>
      </c>
    </row>
    <row r="796">
      <c r="A796" s="46" t="n"/>
      <c r="B796" s="54" t="n"/>
      <c r="C796" s="46" t="n"/>
      <c r="D796" s="46" t="n"/>
      <c r="E796" s="55" t="n"/>
      <c r="F796" s="46" t="n"/>
      <c r="G796" s="46" t="n"/>
      <c r="H796" s="46" t="n"/>
      <c r="I796" s="46" t="n"/>
      <c r="J796" s="46" t="n"/>
      <c r="K796" s="46" t="n"/>
      <c r="L796" s="46" t="n"/>
      <c r="M796" s="51" t="str">
        <f>IF(NOT(ISNUMBER($E796)),"",IF($C796="Receipt",$E796,IF($C796="Shipment",-$E796,IF($C796="Adjustment",$E796,0))))</f>
        <v/>
      </c>
      <c r="N796" s="49" t="str">
        <f>IF($D796="","",IFERROR(INDEX(Products!$B$2:$B$101,MATCH($D796,Products!$A$2:$A$101,0))&amp;"","(not found)"))</f>
        <v/>
      </c>
      <c r="O796" s="49" t="str">
        <f>IF($F796="","",IFERROR(INDEX(Batches!$B$2:$B$301,MATCH($F796,Batches!$A$2:$A$301,0))&amp;"","(not found)"))</f>
        <v/>
      </c>
      <c r="P796" s="49" t="str">
        <f>IF(COUNTA($A796:$L796)=0,"",IF($A796="","Missing: entry ID",IF(COUNTIF($A$2:$A$2001,$A796)&gt;1,"Duplicate entry ID",IF(NOT(ISNUMBER($B796)),"Missing or invalid: date",IF($C796="","Missing: type",IF($D796="","Missing: SKU",IF(NOT(ISNUMBER($E796)),"Missing: qty",IF($F796="","Missing: lot",IF($I796="","Missing: source link",IF(COUNTIF(Config!$A$15:$A$34,$C796)=0,"Unsupported type",IF(COUNTIF(Products!$A$2:$A$101,$D796)=0,"Unknown SKU",IF(COUNTIFS(Batches!$A$2:$A$301,$F796,Batches!$B$2:$B$301,$D796)=0,"Unknown lot for this SKU",IF(AND($C796="Adjustment",$G796=""),"Missing: reason",IF(AND($G796&lt;&gt;"",COUNTIF(Config!$B$15:$B$34,$G796)=0),"Unsupported reason",IF(OR(INT($E796)&lt;&gt;$E796,AND(OR($C796="Receipt",$C796="Shipment"),$E796&lt;=0),AND($C796="Adjustment",$E796=0)),"Invalid qty",IF($B796&gt;Config!$B$4,"Date after the as-of date",IF($B796&lt;Config!$B$5,"Date before the opening balance date","OK")))))))))))))))))</f>
        <v/>
      </c>
    </row>
    <row r="797">
      <c r="A797" s="46" t="n"/>
      <c r="B797" s="54" t="n"/>
      <c r="C797" s="46" t="n"/>
      <c r="D797" s="46" t="n"/>
      <c r="E797" s="55" t="n"/>
      <c r="F797" s="46" t="n"/>
      <c r="G797" s="46" t="n"/>
      <c r="H797" s="46" t="n"/>
      <c r="I797" s="46" t="n"/>
      <c r="J797" s="46" t="n"/>
      <c r="K797" s="46" t="n"/>
      <c r="L797" s="46" t="n"/>
      <c r="M797" s="51" t="str">
        <f>IF(NOT(ISNUMBER($E797)),"",IF($C797="Receipt",$E797,IF($C797="Shipment",-$E797,IF($C797="Adjustment",$E797,0))))</f>
        <v/>
      </c>
      <c r="N797" s="49" t="str">
        <f>IF($D797="","",IFERROR(INDEX(Products!$B$2:$B$101,MATCH($D797,Products!$A$2:$A$101,0))&amp;"","(not found)"))</f>
        <v/>
      </c>
      <c r="O797" s="49" t="str">
        <f>IF($F797="","",IFERROR(INDEX(Batches!$B$2:$B$301,MATCH($F797,Batches!$A$2:$A$301,0))&amp;"","(not found)"))</f>
        <v/>
      </c>
      <c r="P797" s="49" t="str">
        <f>IF(COUNTA($A797:$L797)=0,"",IF($A797="","Missing: entry ID",IF(COUNTIF($A$2:$A$2001,$A797)&gt;1,"Duplicate entry ID",IF(NOT(ISNUMBER($B797)),"Missing or invalid: date",IF($C797="","Missing: type",IF($D797="","Missing: SKU",IF(NOT(ISNUMBER($E797)),"Missing: qty",IF($F797="","Missing: lot",IF($I797="","Missing: source link",IF(COUNTIF(Config!$A$15:$A$34,$C797)=0,"Unsupported type",IF(COUNTIF(Products!$A$2:$A$101,$D797)=0,"Unknown SKU",IF(COUNTIFS(Batches!$A$2:$A$301,$F797,Batches!$B$2:$B$301,$D797)=0,"Unknown lot for this SKU",IF(AND($C797="Adjustment",$G797=""),"Missing: reason",IF(AND($G797&lt;&gt;"",COUNTIF(Config!$B$15:$B$34,$G797)=0),"Unsupported reason",IF(OR(INT($E797)&lt;&gt;$E797,AND(OR($C797="Receipt",$C797="Shipment"),$E797&lt;=0),AND($C797="Adjustment",$E797=0)),"Invalid qty",IF($B797&gt;Config!$B$4,"Date after the as-of date",IF($B797&lt;Config!$B$5,"Date before the opening balance date","OK")))))))))))))))))</f>
        <v/>
      </c>
    </row>
    <row r="798">
      <c r="A798" s="46" t="n"/>
      <c r="B798" s="54" t="n"/>
      <c r="C798" s="46" t="n"/>
      <c r="D798" s="46" t="n"/>
      <c r="E798" s="55" t="n"/>
      <c r="F798" s="46" t="n"/>
      <c r="G798" s="46" t="n"/>
      <c r="H798" s="46" t="n"/>
      <c r="I798" s="46" t="n"/>
      <c r="J798" s="46" t="n"/>
      <c r="K798" s="46" t="n"/>
      <c r="L798" s="46" t="n"/>
      <c r="M798" s="51" t="str">
        <f>IF(NOT(ISNUMBER($E798)),"",IF($C798="Receipt",$E798,IF($C798="Shipment",-$E798,IF($C798="Adjustment",$E798,0))))</f>
        <v/>
      </c>
      <c r="N798" s="49" t="str">
        <f>IF($D798="","",IFERROR(INDEX(Products!$B$2:$B$101,MATCH($D798,Products!$A$2:$A$101,0))&amp;"","(not found)"))</f>
        <v/>
      </c>
      <c r="O798" s="49" t="str">
        <f>IF($F798="","",IFERROR(INDEX(Batches!$B$2:$B$301,MATCH($F798,Batches!$A$2:$A$301,0))&amp;"","(not found)"))</f>
        <v/>
      </c>
      <c r="P798" s="49" t="str">
        <f>IF(COUNTA($A798:$L798)=0,"",IF($A798="","Missing: entry ID",IF(COUNTIF($A$2:$A$2001,$A798)&gt;1,"Duplicate entry ID",IF(NOT(ISNUMBER($B798)),"Missing or invalid: date",IF($C798="","Missing: type",IF($D798="","Missing: SKU",IF(NOT(ISNUMBER($E798)),"Missing: qty",IF($F798="","Missing: lot",IF($I798="","Missing: source link",IF(COUNTIF(Config!$A$15:$A$34,$C798)=0,"Unsupported type",IF(COUNTIF(Products!$A$2:$A$101,$D798)=0,"Unknown SKU",IF(COUNTIFS(Batches!$A$2:$A$301,$F798,Batches!$B$2:$B$301,$D798)=0,"Unknown lot for this SKU",IF(AND($C798="Adjustment",$G798=""),"Missing: reason",IF(AND($G798&lt;&gt;"",COUNTIF(Config!$B$15:$B$34,$G798)=0),"Unsupported reason",IF(OR(INT($E798)&lt;&gt;$E798,AND(OR($C798="Receipt",$C798="Shipment"),$E798&lt;=0),AND($C798="Adjustment",$E798=0)),"Invalid qty",IF($B798&gt;Config!$B$4,"Date after the as-of date",IF($B798&lt;Config!$B$5,"Date before the opening balance date","OK")))))))))))))))))</f>
        <v/>
      </c>
    </row>
    <row r="799">
      <c r="A799" s="46" t="n"/>
      <c r="B799" s="54" t="n"/>
      <c r="C799" s="46" t="n"/>
      <c r="D799" s="46" t="n"/>
      <c r="E799" s="55" t="n"/>
      <c r="F799" s="46" t="n"/>
      <c r="G799" s="46" t="n"/>
      <c r="H799" s="46" t="n"/>
      <c r="I799" s="46" t="n"/>
      <c r="J799" s="46" t="n"/>
      <c r="K799" s="46" t="n"/>
      <c r="L799" s="46" t="n"/>
      <c r="M799" s="51" t="str">
        <f>IF(NOT(ISNUMBER($E799)),"",IF($C799="Receipt",$E799,IF($C799="Shipment",-$E799,IF($C799="Adjustment",$E799,0))))</f>
        <v/>
      </c>
      <c r="N799" s="49" t="str">
        <f>IF($D799="","",IFERROR(INDEX(Products!$B$2:$B$101,MATCH($D799,Products!$A$2:$A$101,0))&amp;"","(not found)"))</f>
        <v/>
      </c>
      <c r="O799" s="49" t="str">
        <f>IF($F799="","",IFERROR(INDEX(Batches!$B$2:$B$301,MATCH($F799,Batches!$A$2:$A$301,0))&amp;"","(not found)"))</f>
        <v/>
      </c>
      <c r="P799" s="49" t="str">
        <f>IF(COUNTA($A799:$L799)=0,"",IF($A799="","Missing: entry ID",IF(COUNTIF($A$2:$A$2001,$A799)&gt;1,"Duplicate entry ID",IF(NOT(ISNUMBER($B799)),"Missing or invalid: date",IF($C799="","Missing: type",IF($D799="","Missing: SKU",IF(NOT(ISNUMBER($E799)),"Missing: qty",IF($F799="","Missing: lot",IF($I799="","Missing: source link",IF(COUNTIF(Config!$A$15:$A$34,$C799)=0,"Unsupported type",IF(COUNTIF(Products!$A$2:$A$101,$D799)=0,"Unknown SKU",IF(COUNTIFS(Batches!$A$2:$A$301,$F799,Batches!$B$2:$B$301,$D799)=0,"Unknown lot for this SKU",IF(AND($C799="Adjustment",$G799=""),"Missing: reason",IF(AND($G799&lt;&gt;"",COUNTIF(Config!$B$15:$B$34,$G799)=0),"Unsupported reason",IF(OR(INT($E799)&lt;&gt;$E799,AND(OR($C799="Receipt",$C799="Shipment"),$E799&lt;=0),AND($C799="Adjustment",$E799=0)),"Invalid qty",IF($B799&gt;Config!$B$4,"Date after the as-of date",IF($B799&lt;Config!$B$5,"Date before the opening balance date","OK")))))))))))))))))</f>
        <v/>
      </c>
    </row>
    <row r="800">
      <c r="A800" s="46" t="n"/>
      <c r="B800" s="54" t="n"/>
      <c r="C800" s="46" t="n"/>
      <c r="D800" s="46" t="n"/>
      <c r="E800" s="55" t="n"/>
      <c r="F800" s="46" t="n"/>
      <c r="G800" s="46" t="n"/>
      <c r="H800" s="46" t="n"/>
      <c r="I800" s="46" t="n"/>
      <c r="J800" s="46" t="n"/>
      <c r="K800" s="46" t="n"/>
      <c r="L800" s="46" t="n"/>
      <c r="M800" s="51" t="str">
        <f>IF(NOT(ISNUMBER($E800)),"",IF($C800="Receipt",$E800,IF($C800="Shipment",-$E800,IF($C800="Adjustment",$E800,0))))</f>
        <v/>
      </c>
      <c r="N800" s="49" t="str">
        <f>IF($D800="","",IFERROR(INDEX(Products!$B$2:$B$101,MATCH($D800,Products!$A$2:$A$101,0))&amp;"","(not found)"))</f>
        <v/>
      </c>
      <c r="O800" s="49" t="str">
        <f>IF($F800="","",IFERROR(INDEX(Batches!$B$2:$B$301,MATCH($F800,Batches!$A$2:$A$301,0))&amp;"","(not found)"))</f>
        <v/>
      </c>
      <c r="P800" s="49" t="str">
        <f>IF(COUNTA($A800:$L800)=0,"",IF($A800="","Missing: entry ID",IF(COUNTIF($A$2:$A$2001,$A800)&gt;1,"Duplicate entry ID",IF(NOT(ISNUMBER($B800)),"Missing or invalid: date",IF($C800="","Missing: type",IF($D800="","Missing: SKU",IF(NOT(ISNUMBER($E800)),"Missing: qty",IF($F800="","Missing: lot",IF($I800="","Missing: source link",IF(COUNTIF(Config!$A$15:$A$34,$C800)=0,"Unsupported type",IF(COUNTIF(Products!$A$2:$A$101,$D800)=0,"Unknown SKU",IF(COUNTIFS(Batches!$A$2:$A$301,$F800,Batches!$B$2:$B$301,$D800)=0,"Unknown lot for this SKU",IF(AND($C800="Adjustment",$G800=""),"Missing: reason",IF(AND($G800&lt;&gt;"",COUNTIF(Config!$B$15:$B$34,$G800)=0),"Unsupported reason",IF(OR(INT($E800)&lt;&gt;$E800,AND(OR($C800="Receipt",$C800="Shipment"),$E800&lt;=0),AND($C800="Adjustment",$E800=0)),"Invalid qty",IF($B800&gt;Config!$B$4,"Date after the as-of date",IF($B800&lt;Config!$B$5,"Date before the opening balance date","OK")))))))))))))))))</f>
        <v/>
      </c>
    </row>
    <row r="801">
      <c r="A801" s="46" t="n"/>
      <c r="B801" s="54" t="n"/>
      <c r="C801" s="46" t="n"/>
      <c r="D801" s="46" t="n"/>
      <c r="E801" s="55" t="n"/>
      <c r="F801" s="46" t="n"/>
      <c r="G801" s="46" t="n"/>
      <c r="H801" s="46" t="n"/>
      <c r="I801" s="46" t="n"/>
      <c r="J801" s="46" t="n"/>
      <c r="K801" s="46" t="n"/>
      <c r="L801" s="46" t="n"/>
      <c r="M801" s="51" t="str">
        <f>IF(NOT(ISNUMBER($E801)),"",IF($C801="Receipt",$E801,IF($C801="Shipment",-$E801,IF($C801="Adjustment",$E801,0))))</f>
        <v/>
      </c>
      <c r="N801" s="49" t="str">
        <f>IF($D801="","",IFERROR(INDEX(Products!$B$2:$B$101,MATCH($D801,Products!$A$2:$A$101,0))&amp;"","(not found)"))</f>
        <v/>
      </c>
      <c r="O801" s="49" t="str">
        <f>IF($F801="","",IFERROR(INDEX(Batches!$B$2:$B$301,MATCH($F801,Batches!$A$2:$A$301,0))&amp;"","(not found)"))</f>
        <v/>
      </c>
      <c r="P801" s="49" t="str">
        <f>IF(COUNTA($A801:$L801)=0,"",IF($A801="","Missing: entry ID",IF(COUNTIF($A$2:$A$2001,$A801)&gt;1,"Duplicate entry ID",IF(NOT(ISNUMBER($B801)),"Missing or invalid: date",IF($C801="","Missing: type",IF($D801="","Missing: SKU",IF(NOT(ISNUMBER($E801)),"Missing: qty",IF($F801="","Missing: lot",IF($I801="","Missing: source link",IF(COUNTIF(Config!$A$15:$A$34,$C801)=0,"Unsupported type",IF(COUNTIF(Products!$A$2:$A$101,$D801)=0,"Unknown SKU",IF(COUNTIFS(Batches!$A$2:$A$301,$F801,Batches!$B$2:$B$301,$D801)=0,"Unknown lot for this SKU",IF(AND($C801="Adjustment",$G801=""),"Missing: reason",IF(AND($G801&lt;&gt;"",COUNTIF(Config!$B$15:$B$34,$G801)=0),"Unsupported reason",IF(OR(INT($E801)&lt;&gt;$E801,AND(OR($C801="Receipt",$C801="Shipment"),$E801&lt;=0),AND($C801="Adjustment",$E801=0)),"Invalid qty",IF($B801&gt;Config!$B$4,"Date after the as-of date",IF($B801&lt;Config!$B$5,"Date before the opening balance date","OK")))))))))))))))))</f>
        <v/>
      </c>
    </row>
    <row r="802">
      <c r="A802" s="46" t="n"/>
      <c r="B802" s="54" t="n"/>
      <c r="C802" s="46" t="n"/>
      <c r="D802" s="46" t="n"/>
      <c r="E802" s="55" t="n"/>
      <c r="F802" s="46" t="n"/>
      <c r="G802" s="46" t="n"/>
      <c r="H802" s="46" t="n"/>
      <c r="I802" s="46" t="n"/>
      <c r="J802" s="46" t="n"/>
      <c r="K802" s="46" t="n"/>
      <c r="L802" s="46" t="n"/>
      <c r="M802" s="51" t="str">
        <f>IF(NOT(ISNUMBER($E802)),"",IF($C802="Receipt",$E802,IF($C802="Shipment",-$E802,IF($C802="Adjustment",$E802,0))))</f>
        <v/>
      </c>
      <c r="N802" s="49" t="str">
        <f>IF($D802="","",IFERROR(INDEX(Products!$B$2:$B$101,MATCH($D802,Products!$A$2:$A$101,0))&amp;"","(not found)"))</f>
        <v/>
      </c>
      <c r="O802" s="49" t="str">
        <f>IF($F802="","",IFERROR(INDEX(Batches!$B$2:$B$301,MATCH($F802,Batches!$A$2:$A$301,0))&amp;"","(not found)"))</f>
        <v/>
      </c>
      <c r="P802" s="49" t="str">
        <f>IF(COUNTA($A802:$L802)=0,"",IF($A802="","Missing: entry ID",IF(COUNTIF($A$2:$A$2001,$A802)&gt;1,"Duplicate entry ID",IF(NOT(ISNUMBER($B802)),"Missing or invalid: date",IF($C802="","Missing: type",IF($D802="","Missing: SKU",IF(NOT(ISNUMBER($E802)),"Missing: qty",IF($F802="","Missing: lot",IF($I802="","Missing: source link",IF(COUNTIF(Config!$A$15:$A$34,$C802)=0,"Unsupported type",IF(COUNTIF(Products!$A$2:$A$101,$D802)=0,"Unknown SKU",IF(COUNTIFS(Batches!$A$2:$A$301,$F802,Batches!$B$2:$B$301,$D802)=0,"Unknown lot for this SKU",IF(AND($C802="Adjustment",$G802=""),"Missing: reason",IF(AND($G802&lt;&gt;"",COUNTIF(Config!$B$15:$B$34,$G802)=0),"Unsupported reason",IF(OR(INT($E802)&lt;&gt;$E802,AND(OR($C802="Receipt",$C802="Shipment"),$E802&lt;=0),AND($C802="Adjustment",$E802=0)),"Invalid qty",IF($B802&gt;Config!$B$4,"Date after the as-of date",IF($B802&lt;Config!$B$5,"Date before the opening balance date","OK")))))))))))))))))</f>
        <v/>
      </c>
    </row>
    <row r="803">
      <c r="A803" s="46" t="n"/>
      <c r="B803" s="54" t="n"/>
      <c r="C803" s="46" t="n"/>
      <c r="D803" s="46" t="n"/>
      <c r="E803" s="55" t="n"/>
      <c r="F803" s="46" t="n"/>
      <c r="G803" s="46" t="n"/>
      <c r="H803" s="46" t="n"/>
      <c r="I803" s="46" t="n"/>
      <c r="J803" s="46" t="n"/>
      <c r="K803" s="46" t="n"/>
      <c r="L803" s="46" t="n"/>
      <c r="M803" s="51" t="str">
        <f>IF(NOT(ISNUMBER($E803)),"",IF($C803="Receipt",$E803,IF($C803="Shipment",-$E803,IF($C803="Adjustment",$E803,0))))</f>
        <v/>
      </c>
      <c r="N803" s="49" t="str">
        <f>IF($D803="","",IFERROR(INDEX(Products!$B$2:$B$101,MATCH($D803,Products!$A$2:$A$101,0))&amp;"","(not found)"))</f>
        <v/>
      </c>
      <c r="O803" s="49" t="str">
        <f>IF($F803="","",IFERROR(INDEX(Batches!$B$2:$B$301,MATCH($F803,Batches!$A$2:$A$301,0))&amp;"","(not found)"))</f>
        <v/>
      </c>
      <c r="P803" s="49" t="str">
        <f>IF(COUNTA($A803:$L803)=0,"",IF($A803="","Missing: entry ID",IF(COUNTIF($A$2:$A$2001,$A803)&gt;1,"Duplicate entry ID",IF(NOT(ISNUMBER($B803)),"Missing or invalid: date",IF($C803="","Missing: type",IF($D803="","Missing: SKU",IF(NOT(ISNUMBER($E803)),"Missing: qty",IF($F803="","Missing: lot",IF($I803="","Missing: source link",IF(COUNTIF(Config!$A$15:$A$34,$C803)=0,"Unsupported type",IF(COUNTIF(Products!$A$2:$A$101,$D803)=0,"Unknown SKU",IF(COUNTIFS(Batches!$A$2:$A$301,$F803,Batches!$B$2:$B$301,$D803)=0,"Unknown lot for this SKU",IF(AND($C803="Adjustment",$G803=""),"Missing: reason",IF(AND($G803&lt;&gt;"",COUNTIF(Config!$B$15:$B$34,$G803)=0),"Unsupported reason",IF(OR(INT($E803)&lt;&gt;$E803,AND(OR($C803="Receipt",$C803="Shipment"),$E803&lt;=0),AND($C803="Adjustment",$E803=0)),"Invalid qty",IF($B803&gt;Config!$B$4,"Date after the as-of date",IF($B803&lt;Config!$B$5,"Date before the opening balance date","OK")))))))))))))))))</f>
        <v/>
      </c>
    </row>
    <row r="804">
      <c r="A804" s="46" t="n"/>
      <c r="B804" s="54" t="n"/>
      <c r="C804" s="46" t="n"/>
      <c r="D804" s="46" t="n"/>
      <c r="E804" s="55" t="n"/>
      <c r="F804" s="46" t="n"/>
      <c r="G804" s="46" t="n"/>
      <c r="H804" s="46" t="n"/>
      <c r="I804" s="46" t="n"/>
      <c r="J804" s="46" t="n"/>
      <c r="K804" s="46" t="n"/>
      <c r="L804" s="46" t="n"/>
      <c r="M804" s="51" t="str">
        <f>IF(NOT(ISNUMBER($E804)),"",IF($C804="Receipt",$E804,IF($C804="Shipment",-$E804,IF($C804="Adjustment",$E804,0))))</f>
        <v/>
      </c>
      <c r="N804" s="49" t="str">
        <f>IF($D804="","",IFERROR(INDEX(Products!$B$2:$B$101,MATCH($D804,Products!$A$2:$A$101,0))&amp;"","(not found)"))</f>
        <v/>
      </c>
      <c r="O804" s="49" t="str">
        <f>IF($F804="","",IFERROR(INDEX(Batches!$B$2:$B$301,MATCH($F804,Batches!$A$2:$A$301,0))&amp;"","(not found)"))</f>
        <v/>
      </c>
      <c r="P804" s="49" t="str">
        <f>IF(COUNTA($A804:$L804)=0,"",IF($A804="","Missing: entry ID",IF(COUNTIF($A$2:$A$2001,$A804)&gt;1,"Duplicate entry ID",IF(NOT(ISNUMBER($B804)),"Missing or invalid: date",IF($C804="","Missing: type",IF($D804="","Missing: SKU",IF(NOT(ISNUMBER($E804)),"Missing: qty",IF($F804="","Missing: lot",IF($I804="","Missing: source link",IF(COUNTIF(Config!$A$15:$A$34,$C804)=0,"Unsupported type",IF(COUNTIF(Products!$A$2:$A$101,$D804)=0,"Unknown SKU",IF(COUNTIFS(Batches!$A$2:$A$301,$F804,Batches!$B$2:$B$301,$D804)=0,"Unknown lot for this SKU",IF(AND($C804="Adjustment",$G804=""),"Missing: reason",IF(AND($G804&lt;&gt;"",COUNTIF(Config!$B$15:$B$34,$G804)=0),"Unsupported reason",IF(OR(INT($E804)&lt;&gt;$E804,AND(OR($C804="Receipt",$C804="Shipment"),$E804&lt;=0),AND($C804="Adjustment",$E804=0)),"Invalid qty",IF($B804&gt;Config!$B$4,"Date after the as-of date",IF($B804&lt;Config!$B$5,"Date before the opening balance date","OK")))))))))))))))))</f>
        <v/>
      </c>
    </row>
    <row r="805">
      <c r="A805" s="46" t="n"/>
      <c r="B805" s="54" t="n"/>
      <c r="C805" s="46" t="n"/>
      <c r="D805" s="46" t="n"/>
      <c r="E805" s="55" t="n"/>
      <c r="F805" s="46" t="n"/>
      <c r="G805" s="46" t="n"/>
      <c r="H805" s="46" t="n"/>
      <c r="I805" s="46" t="n"/>
      <c r="J805" s="46" t="n"/>
      <c r="K805" s="46" t="n"/>
      <c r="L805" s="46" t="n"/>
      <c r="M805" s="51" t="str">
        <f>IF(NOT(ISNUMBER($E805)),"",IF($C805="Receipt",$E805,IF($C805="Shipment",-$E805,IF($C805="Adjustment",$E805,0))))</f>
        <v/>
      </c>
      <c r="N805" s="49" t="str">
        <f>IF($D805="","",IFERROR(INDEX(Products!$B$2:$B$101,MATCH($D805,Products!$A$2:$A$101,0))&amp;"","(not found)"))</f>
        <v/>
      </c>
      <c r="O805" s="49" t="str">
        <f>IF($F805="","",IFERROR(INDEX(Batches!$B$2:$B$301,MATCH($F805,Batches!$A$2:$A$301,0))&amp;"","(not found)"))</f>
        <v/>
      </c>
      <c r="P805" s="49" t="str">
        <f>IF(COUNTA($A805:$L805)=0,"",IF($A805="","Missing: entry ID",IF(COUNTIF($A$2:$A$2001,$A805)&gt;1,"Duplicate entry ID",IF(NOT(ISNUMBER($B805)),"Missing or invalid: date",IF($C805="","Missing: type",IF($D805="","Missing: SKU",IF(NOT(ISNUMBER($E805)),"Missing: qty",IF($F805="","Missing: lot",IF($I805="","Missing: source link",IF(COUNTIF(Config!$A$15:$A$34,$C805)=0,"Unsupported type",IF(COUNTIF(Products!$A$2:$A$101,$D805)=0,"Unknown SKU",IF(COUNTIFS(Batches!$A$2:$A$301,$F805,Batches!$B$2:$B$301,$D805)=0,"Unknown lot for this SKU",IF(AND($C805="Adjustment",$G805=""),"Missing: reason",IF(AND($G805&lt;&gt;"",COUNTIF(Config!$B$15:$B$34,$G805)=0),"Unsupported reason",IF(OR(INT($E805)&lt;&gt;$E805,AND(OR($C805="Receipt",$C805="Shipment"),$E805&lt;=0),AND($C805="Adjustment",$E805=0)),"Invalid qty",IF($B805&gt;Config!$B$4,"Date after the as-of date",IF($B805&lt;Config!$B$5,"Date before the opening balance date","OK")))))))))))))))))</f>
        <v/>
      </c>
    </row>
    <row r="806">
      <c r="A806" s="46" t="n"/>
      <c r="B806" s="54" t="n"/>
      <c r="C806" s="46" t="n"/>
      <c r="D806" s="46" t="n"/>
      <c r="E806" s="55" t="n"/>
      <c r="F806" s="46" t="n"/>
      <c r="G806" s="46" t="n"/>
      <c r="H806" s="46" t="n"/>
      <c r="I806" s="46" t="n"/>
      <c r="J806" s="46" t="n"/>
      <c r="K806" s="46" t="n"/>
      <c r="L806" s="46" t="n"/>
      <c r="M806" s="51" t="str">
        <f>IF(NOT(ISNUMBER($E806)),"",IF($C806="Receipt",$E806,IF($C806="Shipment",-$E806,IF($C806="Adjustment",$E806,0))))</f>
        <v/>
      </c>
      <c r="N806" s="49" t="str">
        <f>IF($D806="","",IFERROR(INDEX(Products!$B$2:$B$101,MATCH($D806,Products!$A$2:$A$101,0))&amp;"","(not found)"))</f>
        <v/>
      </c>
      <c r="O806" s="49" t="str">
        <f>IF($F806="","",IFERROR(INDEX(Batches!$B$2:$B$301,MATCH($F806,Batches!$A$2:$A$301,0))&amp;"","(not found)"))</f>
        <v/>
      </c>
      <c r="P806" s="49" t="str">
        <f>IF(COUNTA($A806:$L806)=0,"",IF($A806="","Missing: entry ID",IF(COUNTIF($A$2:$A$2001,$A806)&gt;1,"Duplicate entry ID",IF(NOT(ISNUMBER($B806)),"Missing or invalid: date",IF($C806="","Missing: type",IF($D806="","Missing: SKU",IF(NOT(ISNUMBER($E806)),"Missing: qty",IF($F806="","Missing: lot",IF($I806="","Missing: source link",IF(COUNTIF(Config!$A$15:$A$34,$C806)=0,"Unsupported type",IF(COUNTIF(Products!$A$2:$A$101,$D806)=0,"Unknown SKU",IF(COUNTIFS(Batches!$A$2:$A$301,$F806,Batches!$B$2:$B$301,$D806)=0,"Unknown lot for this SKU",IF(AND($C806="Adjustment",$G806=""),"Missing: reason",IF(AND($G806&lt;&gt;"",COUNTIF(Config!$B$15:$B$34,$G806)=0),"Unsupported reason",IF(OR(INT($E806)&lt;&gt;$E806,AND(OR($C806="Receipt",$C806="Shipment"),$E806&lt;=0),AND($C806="Adjustment",$E806=0)),"Invalid qty",IF($B806&gt;Config!$B$4,"Date after the as-of date",IF($B806&lt;Config!$B$5,"Date before the opening balance date","OK")))))))))))))))))</f>
        <v/>
      </c>
    </row>
    <row r="807">
      <c r="A807" s="46" t="n"/>
      <c r="B807" s="54" t="n"/>
      <c r="C807" s="46" t="n"/>
      <c r="D807" s="46" t="n"/>
      <c r="E807" s="55" t="n"/>
      <c r="F807" s="46" t="n"/>
      <c r="G807" s="46" t="n"/>
      <c r="H807" s="46" t="n"/>
      <c r="I807" s="46" t="n"/>
      <c r="J807" s="46" t="n"/>
      <c r="K807" s="46" t="n"/>
      <c r="L807" s="46" t="n"/>
      <c r="M807" s="51" t="str">
        <f>IF(NOT(ISNUMBER($E807)),"",IF($C807="Receipt",$E807,IF($C807="Shipment",-$E807,IF($C807="Adjustment",$E807,0))))</f>
        <v/>
      </c>
      <c r="N807" s="49" t="str">
        <f>IF($D807="","",IFERROR(INDEX(Products!$B$2:$B$101,MATCH($D807,Products!$A$2:$A$101,0))&amp;"","(not found)"))</f>
        <v/>
      </c>
      <c r="O807" s="49" t="str">
        <f>IF($F807="","",IFERROR(INDEX(Batches!$B$2:$B$301,MATCH($F807,Batches!$A$2:$A$301,0))&amp;"","(not found)"))</f>
        <v/>
      </c>
      <c r="P807" s="49" t="str">
        <f>IF(COUNTA($A807:$L807)=0,"",IF($A807="","Missing: entry ID",IF(COUNTIF($A$2:$A$2001,$A807)&gt;1,"Duplicate entry ID",IF(NOT(ISNUMBER($B807)),"Missing or invalid: date",IF($C807="","Missing: type",IF($D807="","Missing: SKU",IF(NOT(ISNUMBER($E807)),"Missing: qty",IF($F807="","Missing: lot",IF($I807="","Missing: source link",IF(COUNTIF(Config!$A$15:$A$34,$C807)=0,"Unsupported type",IF(COUNTIF(Products!$A$2:$A$101,$D807)=0,"Unknown SKU",IF(COUNTIFS(Batches!$A$2:$A$301,$F807,Batches!$B$2:$B$301,$D807)=0,"Unknown lot for this SKU",IF(AND($C807="Adjustment",$G807=""),"Missing: reason",IF(AND($G807&lt;&gt;"",COUNTIF(Config!$B$15:$B$34,$G807)=0),"Unsupported reason",IF(OR(INT($E807)&lt;&gt;$E807,AND(OR($C807="Receipt",$C807="Shipment"),$E807&lt;=0),AND($C807="Adjustment",$E807=0)),"Invalid qty",IF($B807&gt;Config!$B$4,"Date after the as-of date",IF($B807&lt;Config!$B$5,"Date before the opening balance date","OK")))))))))))))))))</f>
        <v/>
      </c>
    </row>
    <row r="808">
      <c r="A808" s="46" t="n"/>
      <c r="B808" s="54" t="n"/>
      <c r="C808" s="46" t="n"/>
      <c r="D808" s="46" t="n"/>
      <c r="E808" s="55" t="n"/>
      <c r="F808" s="46" t="n"/>
      <c r="G808" s="46" t="n"/>
      <c r="H808" s="46" t="n"/>
      <c r="I808" s="46" t="n"/>
      <c r="J808" s="46" t="n"/>
      <c r="K808" s="46" t="n"/>
      <c r="L808" s="46" t="n"/>
      <c r="M808" s="51" t="str">
        <f>IF(NOT(ISNUMBER($E808)),"",IF($C808="Receipt",$E808,IF($C808="Shipment",-$E808,IF($C808="Adjustment",$E808,0))))</f>
        <v/>
      </c>
      <c r="N808" s="49" t="str">
        <f>IF($D808="","",IFERROR(INDEX(Products!$B$2:$B$101,MATCH($D808,Products!$A$2:$A$101,0))&amp;"","(not found)"))</f>
        <v/>
      </c>
      <c r="O808" s="49" t="str">
        <f>IF($F808="","",IFERROR(INDEX(Batches!$B$2:$B$301,MATCH($F808,Batches!$A$2:$A$301,0))&amp;"","(not found)"))</f>
        <v/>
      </c>
      <c r="P808" s="49" t="str">
        <f>IF(COUNTA($A808:$L808)=0,"",IF($A808="","Missing: entry ID",IF(COUNTIF($A$2:$A$2001,$A808)&gt;1,"Duplicate entry ID",IF(NOT(ISNUMBER($B808)),"Missing or invalid: date",IF($C808="","Missing: type",IF($D808="","Missing: SKU",IF(NOT(ISNUMBER($E808)),"Missing: qty",IF($F808="","Missing: lot",IF($I808="","Missing: source link",IF(COUNTIF(Config!$A$15:$A$34,$C808)=0,"Unsupported type",IF(COUNTIF(Products!$A$2:$A$101,$D808)=0,"Unknown SKU",IF(COUNTIFS(Batches!$A$2:$A$301,$F808,Batches!$B$2:$B$301,$D808)=0,"Unknown lot for this SKU",IF(AND($C808="Adjustment",$G808=""),"Missing: reason",IF(AND($G808&lt;&gt;"",COUNTIF(Config!$B$15:$B$34,$G808)=0),"Unsupported reason",IF(OR(INT($E808)&lt;&gt;$E808,AND(OR($C808="Receipt",$C808="Shipment"),$E808&lt;=0),AND($C808="Adjustment",$E808=0)),"Invalid qty",IF($B808&gt;Config!$B$4,"Date after the as-of date",IF($B808&lt;Config!$B$5,"Date before the opening balance date","OK")))))))))))))))))</f>
        <v/>
      </c>
    </row>
    <row r="809">
      <c r="A809" s="46" t="n"/>
      <c r="B809" s="54" t="n"/>
      <c r="C809" s="46" t="n"/>
      <c r="D809" s="46" t="n"/>
      <c r="E809" s="55" t="n"/>
      <c r="F809" s="46" t="n"/>
      <c r="G809" s="46" t="n"/>
      <c r="H809" s="46" t="n"/>
      <c r="I809" s="46" t="n"/>
      <c r="J809" s="46" t="n"/>
      <c r="K809" s="46" t="n"/>
      <c r="L809" s="46" t="n"/>
      <c r="M809" s="51" t="str">
        <f>IF(NOT(ISNUMBER($E809)),"",IF($C809="Receipt",$E809,IF($C809="Shipment",-$E809,IF($C809="Adjustment",$E809,0))))</f>
        <v/>
      </c>
      <c r="N809" s="49" t="str">
        <f>IF($D809="","",IFERROR(INDEX(Products!$B$2:$B$101,MATCH($D809,Products!$A$2:$A$101,0))&amp;"","(not found)"))</f>
        <v/>
      </c>
      <c r="O809" s="49" t="str">
        <f>IF($F809="","",IFERROR(INDEX(Batches!$B$2:$B$301,MATCH($F809,Batches!$A$2:$A$301,0))&amp;"","(not found)"))</f>
        <v/>
      </c>
      <c r="P809" s="49" t="str">
        <f>IF(COUNTA($A809:$L809)=0,"",IF($A809="","Missing: entry ID",IF(COUNTIF($A$2:$A$2001,$A809)&gt;1,"Duplicate entry ID",IF(NOT(ISNUMBER($B809)),"Missing or invalid: date",IF($C809="","Missing: type",IF($D809="","Missing: SKU",IF(NOT(ISNUMBER($E809)),"Missing: qty",IF($F809="","Missing: lot",IF($I809="","Missing: source link",IF(COUNTIF(Config!$A$15:$A$34,$C809)=0,"Unsupported type",IF(COUNTIF(Products!$A$2:$A$101,$D809)=0,"Unknown SKU",IF(COUNTIFS(Batches!$A$2:$A$301,$F809,Batches!$B$2:$B$301,$D809)=0,"Unknown lot for this SKU",IF(AND($C809="Adjustment",$G809=""),"Missing: reason",IF(AND($G809&lt;&gt;"",COUNTIF(Config!$B$15:$B$34,$G809)=0),"Unsupported reason",IF(OR(INT($E809)&lt;&gt;$E809,AND(OR($C809="Receipt",$C809="Shipment"),$E809&lt;=0),AND($C809="Adjustment",$E809=0)),"Invalid qty",IF($B809&gt;Config!$B$4,"Date after the as-of date",IF($B809&lt;Config!$B$5,"Date before the opening balance date","OK")))))))))))))))))</f>
        <v/>
      </c>
    </row>
    <row r="810">
      <c r="A810" s="46" t="n"/>
      <c r="B810" s="54" t="n"/>
      <c r="C810" s="46" t="n"/>
      <c r="D810" s="46" t="n"/>
      <c r="E810" s="55" t="n"/>
      <c r="F810" s="46" t="n"/>
      <c r="G810" s="46" t="n"/>
      <c r="H810" s="46" t="n"/>
      <c r="I810" s="46" t="n"/>
      <c r="J810" s="46" t="n"/>
      <c r="K810" s="46" t="n"/>
      <c r="L810" s="46" t="n"/>
      <c r="M810" s="51" t="str">
        <f>IF(NOT(ISNUMBER($E810)),"",IF($C810="Receipt",$E810,IF($C810="Shipment",-$E810,IF($C810="Adjustment",$E810,0))))</f>
        <v/>
      </c>
      <c r="N810" s="49" t="str">
        <f>IF($D810="","",IFERROR(INDEX(Products!$B$2:$B$101,MATCH($D810,Products!$A$2:$A$101,0))&amp;"","(not found)"))</f>
        <v/>
      </c>
      <c r="O810" s="49" t="str">
        <f>IF($F810="","",IFERROR(INDEX(Batches!$B$2:$B$301,MATCH($F810,Batches!$A$2:$A$301,0))&amp;"","(not found)"))</f>
        <v/>
      </c>
      <c r="P810" s="49" t="str">
        <f>IF(COUNTA($A810:$L810)=0,"",IF($A810="","Missing: entry ID",IF(COUNTIF($A$2:$A$2001,$A810)&gt;1,"Duplicate entry ID",IF(NOT(ISNUMBER($B810)),"Missing or invalid: date",IF($C810="","Missing: type",IF($D810="","Missing: SKU",IF(NOT(ISNUMBER($E810)),"Missing: qty",IF($F810="","Missing: lot",IF($I810="","Missing: source link",IF(COUNTIF(Config!$A$15:$A$34,$C810)=0,"Unsupported type",IF(COUNTIF(Products!$A$2:$A$101,$D810)=0,"Unknown SKU",IF(COUNTIFS(Batches!$A$2:$A$301,$F810,Batches!$B$2:$B$301,$D810)=0,"Unknown lot for this SKU",IF(AND($C810="Adjustment",$G810=""),"Missing: reason",IF(AND($G810&lt;&gt;"",COUNTIF(Config!$B$15:$B$34,$G810)=0),"Unsupported reason",IF(OR(INT($E810)&lt;&gt;$E810,AND(OR($C810="Receipt",$C810="Shipment"),$E810&lt;=0),AND($C810="Adjustment",$E810=0)),"Invalid qty",IF($B810&gt;Config!$B$4,"Date after the as-of date",IF($B810&lt;Config!$B$5,"Date before the opening balance date","OK")))))))))))))))))</f>
        <v/>
      </c>
    </row>
    <row r="811">
      <c r="A811" s="46" t="n"/>
      <c r="B811" s="54" t="n"/>
      <c r="C811" s="46" t="n"/>
      <c r="D811" s="46" t="n"/>
      <c r="E811" s="55" t="n"/>
      <c r="F811" s="46" t="n"/>
      <c r="G811" s="46" t="n"/>
      <c r="H811" s="46" t="n"/>
      <c r="I811" s="46" t="n"/>
      <c r="J811" s="46" t="n"/>
      <c r="K811" s="46" t="n"/>
      <c r="L811" s="46" t="n"/>
      <c r="M811" s="51" t="str">
        <f>IF(NOT(ISNUMBER($E811)),"",IF($C811="Receipt",$E811,IF($C811="Shipment",-$E811,IF($C811="Adjustment",$E811,0))))</f>
        <v/>
      </c>
      <c r="N811" s="49" t="str">
        <f>IF($D811="","",IFERROR(INDEX(Products!$B$2:$B$101,MATCH($D811,Products!$A$2:$A$101,0))&amp;"","(not found)"))</f>
        <v/>
      </c>
      <c r="O811" s="49" t="str">
        <f>IF($F811="","",IFERROR(INDEX(Batches!$B$2:$B$301,MATCH($F811,Batches!$A$2:$A$301,0))&amp;"","(not found)"))</f>
        <v/>
      </c>
      <c r="P811" s="49" t="str">
        <f>IF(COUNTA($A811:$L811)=0,"",IF($A811="","Missing: entry ID",IF(COUNTIF($A$2:$A$2001,$A811)&gt;1,"Duplicate entry ID",IF(NOT(ISNUMBER($B811)),"Missing or invalid: date",IF($C811="","Missing: type",IF($D811="","Missing: SKU",IF(NOT(ISNUMBER($E811)),"Missing: qty",IF($F811="","Missing: lot",IF($I811="","Missing: source link",IF(COUNTIF(Config!$A$15:$A$34,$C811)=0,"Unsupported type",IF(COUNTIF(Products!$A$2:$A$101,$D811)=0,"Unknown SKU",IF(COUNTIFS(Batches!$A$2:$A$301,$F811,Batches!$B$2:$B$301,$D811)=0,"Unknown lot for this SKU",IF(AND($C811="Adjustment",$G811=""),"Missing: reason",IF(AND($G811&lt;&gt;"",COUNTIF(Config!$B$15:$B$34,$G811)=0),"Unsupported reason",IF(OR(INT($E811)&lt;&gt;$E811,AND(OR($C811="Receipt",$C811="Shipment"),$E811&lt;=0),AND($C811="Adjustment",$E811=0)),"Invalid qty",IF($B811&gt;Config!$B$4,"Date after the as-of date",IF($B811&lt;Config!$B$5,"Date before the opening balance date","OK")))))))))))))))))</f>
        <v/>
      </c>
    </row>
    <row r="812">
      <c r="A812" s="46" t="n"/>
      <c r="B812" s="54" t="n"/>
      <c r="C812" s="46" t="n"/>
      <c r="D812" s="46" t="n"/>
      <c r="E812" s="55" t="n"/>
      <c r="F812" s="46" t="n"/>
      <c r="G812" s="46" t="n"/>
      <c r="H812" s="46" t="n"/>
      <c r="I812" s="46" t="n"/>
      <c r="J812" s="46" t="n"/>
      <c r="K812" s="46" t="n"/>
      <c r="L812" s="46" t="n"/>
      <c r="M812" s="51" t="str">
        <f>IF(NOT(ISNUMBER($E812)),"",IF($C812="Receipt",$E812,IF($C812="Shipment",-$E812,IF($C812="Adjustment",$E812,0))))</f>
        <v/>
      </c>
      <c r="N812" s="49" t="str">
        <f>IF($D812="","",IFERROR(INDEX(Products!$B$2:$B$101,MATCH($D812,Products!$A$2:$A$101,0))&amp;"","(not found)"))</f>
        <v/>
      </c>
      <c r="O812" s="49" t="str">
        <f>IF($F812="","",IFERROR(INDEX(Batches!$B$2:$B$301,MATCH($F812,Batches!$A$2:$A$301,0))&amp;"","(not found)"))</f>
        <v/>
      </c>
      <c r="P812" s="49" t="str">
        <f>IF(COUNTA($A812:$L812)=0,"",IF($A812="","Missing: entry ID",IF(COUNTIF($A$2:$A$2001,$A812)&gt;1,"Duplicate entry ID",IF(NOT(ISNUMBER($B812)),"Missing or invalid: date",IF($C812="","Missing: type",IF($D812="","Missing: SKU",IF(NOT(ISNUMBER($E812)),"Missing: qty",IF($F812="","Missing: lot",IF($I812="","Missing: source link",IF(COUNTIF(Config!$A$15:$A$34,$C812)=0,"Unsupported type",IF(COUNTIF(Products!$A$2:$A$101,$D812)=0,"Unknown SKU",IF(COUNTIFS(Batches!$A$2:$A$301,$F812,Batches!$B$2:$B$301,$D812)=0,"Unknown lot for this SKU",IF(AND($C812="Adjustment",$G812=""),"Missing: reason",IF(AND($G812&lt;&gt;"",COUNTIF(Config!$B$15:$B$34,$G812)=0),"Unsupported reason",IF(OR(INT($E812)&lt;&gt;$E812,AND(OR($C812="Receipt",$C812="Shipment"),$E812&lt;=0),AND($C812="Adjustment",$E812=0)),"Invalid qty",IF($B812&gt;Config!$B$4,"Date after the as-of date",IF($B812&lt;Config!$B$5,"Date before the opening balance date","OK")))))))))))))))))</f>
        <v/>
      </c>
    </row>
    <row r="813">
      <c r="A813" s="46" t="n"/>
      <c r="B813" s="54" t="n"/>
      <c r="C813" s="46" t="n"/>
      <c r="D813" s="46" t="n"/>
      <c r="E813" s="55" t="n"/>
      <c r="F813" s="46" t="n"/>
      <c r="G813" s="46" t="n"/>
      <c r="H813" s="46" t="n"/>
      <c r="I813" s="46" t="n"/>
      <c r="J813" s="46" t="n"/>
      <c r="K813" s="46" t="n"/>
      <c r="L813" s="46" t="n"/>
      <c r="M813" s="51" t="str">
        <f>IF(NOT(ISNUMBER($E813)),"",IF($C813="Receipt",$E813,IF($C813="Shipment",-$E813,IF($C813="Adjustment",$E813,0))))</f>
        <v/>
      </c>
      <c r="N813" s="49" t="str">
        <f>IF($D813="","",IFERROR(INDEX(Products!$B$2:$B$101,MATCH($D813,Products!$A$2:$A$101,0))&amp;"","(not found)"))</f>
        <v/>
      </c>
      <c r="O813" s="49" t="str">
        <f>IF($F813="","",IFERROR(INDEX(Batches!$B$2:$B$301,MATCH($F813,Batches!$A$2:$A$301,0))&amp;"","(not found)"))</f>
        <v/>
      </c>
      <c r="P813" s="49" t="str">
        <f>IF(COUNTA($A813:$L813)=0,"",IF($A813="","Missing: entry ID",IF(COUNTIF($A$2:$A$2001,$A813)&gt;1,"Duplicate entry ID",IF(NOT(ISNUMBER($B813)),"Missing or invalid: date",IF($C813="","Missing: type",IF($D813="","Missing: SKU",IF(NOT(ISNUMBER($E813)),"Missing: qty",IF($F813="","Missing: lot",IF($I813="","Missing: source link",IF(COUNTIF(Config!$A$15:$A$34,$C813)=0,"Unsupported type",IF(COUNTIF(Products!$A$2:$A$101,$D813)=0,"Unknown SKU",IF(COUNTIFS(Batches!$A$2:$A$301,$F813,Batches!$B$2:$B$301,$D813)=0,"Unknown lot for this SKU",IF(AND($C813="Adjustment",$G813=""),"Missing: reason",IF(AND($G813&lt;&gt;"",COUNTIF(Config!$B$15:$B$34,$G813)=0),"Unsupported reason",IF(OR(INT($E813)&lt;&gt;$E813,AND(OR($C813="Receipt",$C813="Shipment"),$E813&lt;=0),AND($C813="Adjustment",$E813=0)),"Invalid qty",IF($B813&gt;Config!$B$4,"Date after the as-of date",IF($B813&lt;Config!$B$5,"Date before the opening balance date","OK")))))))))))))))))</f>
        <v/>
      </c>
    </row>
    <row r="814">
      <c r="A814" s="46" t="n"/>
      <c r="B814" s="54" t="n"/>
      <c r="C814" s="46" t="n"/>
      <c r="D814" s="46" t="n"/>
      <c r="E814" s="55" t="n"/>
      <c r="F814" s="46" t="n"/>
      <c r="G814" s="46" t="n"/>
      <c r="H814" s="46" t="n"/>
      <c r="I814" s="46" t="n"/>
      <c r="J814" s="46" t="n"/>
      <c r="K814" s="46" t="n"/>
      <c r="L814" s="46" t="n"/>
      <c r="M814" s="51" t="str">
        <f>IF(NOT(ISNUMBER($E814)),"",IF($C814="Receipt",$E814,IF($C814="Shipment",-$E814,IF($C814="Adjustment",$E814,0))))</f>
        <v/>
      </c>
      <c r="N814" s="49" t="str">
        <f>IF($D814="","",IFERROR(INDEX(Products!$B$2:$B$101,MATCH($D814,Products!$A$2:$A$101,0))&amp;"","(not found)"))</f>
        <v/>
      </c>
      <c r="O814" s="49" t="str">
        <f>IF($F814="","",IFERROR(INDEX(Batches!$B$2:$B$301,MATCH($F814,Batches!$A$2:$A$301,0))&amp;"","(not found)"))</f>
        <v/>
      </c>
      <c r="P814" s="49" t="str">
        <f>IF(COUNTA($A814:$L814)=0,"",IF($A814="","Missing: entry ID",IF(COUNTIF($A$2:$A$2001,$A814)&gt;1,"Duplicate entry ID",IF(NOT(ISNUMBER($B814)),"Missing or invalid: date",IF($C814="","Missing: type",IF($D814="","Missing: SKU",IF(NOT(ISNUMBER($E814)),"Missing: qty",IF($F814="","Missing: lot",IF($I814="","Missing: source link",IF(COUNTIF(Config!$A$15:$A$34,$C814)=0,"Unsupported type",IF(COUNTIF(Products!$A$2:$A$101,$D814)=0,"Unknown SKU",IF(COUNTIFS(Batches!$A$2:$A$301,$F814,Batches!$B$2:$B$301,$D814)=0,"Unknown lot for this SKU",IF(AND($C814="Adjustment",$G814=""),"Missing: reason",IF(AND($G814&lt;&gt;"",COUNTIF(Config!$B$15:$B$34,$G814)=0),"Unsupported reason",IF(OR(INT($E814)&lt;&gt;$E814,AND(OR($C814="Receipt",$C814="Shipment"),$E814&lt;=0),AND($C814="Adjustment",$E814=0)),"Invalid qty",IF($B814&gt;Config!$B$4,"Date after the as-of date",IF($B814&lt;Config!$B$5,"Date before the opening balance date","OK")))))))))))))))))</f>
        <v/>
      </c>
    </row>
    <row r="815">
      <c r="A815" s="46" t="n"/>
      <c r="B815" s="54" t="n"/>
      <c r="C815" s="46" t="n"/>
      <c r="D815" s="46" t="n"/>
      <c r="E815" s="55" t="n"/>
      <c r="F815" s="46" t="n"/>
      <c r="G815" s="46" t="n"/>
      <c r="H815" s="46" t="n"/>
      <c r="I815" s="46" t="n"/>
      <c r="J815" s="46" t="n"/>
      <c r="K815" s="46" t="n"/>
      <c r="L815" s="46" t="n"/>
      <c r="M815" s="51" t="str">
        <f>IF(NOT(ISNUMBER($E815)),"",IF($C815="Receipt",$E815,IF($C815="Shipment",-$E815,IF($C815="Adjustment",$E815,0))))</f>
        <v/>
      </c>
      <c r="N815" s="49" t="str">
        <f>IF($D815="","",IFERROR(INDEX(Products!$B$2:$B$101,MATCH($D815,Products!$A$2:$A$101,0))&amp;"","(not found)"))</f>
        <v/>
      </c>
      <c r="O815" s="49" t="str">
        <f>IF($F815="","",IFERROR(INDEX(Batches!$B$2:$B$301,MATCH($F815,Batches!$A$2:$A$301,0))&amp;"","(not found)"))</f>
        <v/>
      </c>
      <c r="P815" s="49" t="str">
        <f>IF(COUNTA($A815:$L815)=0,"",IF($A815="","Missing: entry ID",IF(COUNTIF($A$2:$A$2001,$A815)&gt;1,"Duplicate entry ID",IF(NOT(ISNUMBER($B815)),"Missing or invalid: date",IF($C815="","Missing: type",IF($D815="","Missing: SKU",IF(NOT(ISNUMBER($E815)),"Missing: qty",IF($F815="","Missing: lot",IF($I815="","Missing: source link",IF(COUNTIF(Config!$A$15:$A$34,$C815)=0,"Unsupported type",IF(COUNTIF(Products!$A$2:$A$101,$D815)=0,"Unknown SKU",IF(COUNTIFS(Batches!$A$2:$A$301,$F815,Batches!$B$2:$B$301,$D815)=0,"Unknown lot for this SKU",IF(AND($C815="Adjustment",$G815=""),"Missing: reason",IF(AND($G815&lt;&gt;"",COUNTIF(Config!$B$15:$B$34,$G815)=0),"Unsupported reason",IF(OR(INT($E815)&lt;&gt;$E815,AND(OR($C815="Receipt",$C815="Shipment"),$E815&lt;=0),AND($C815="Adjustment",$E815=0)),"Invalid qty",IF($B815&gt;Config!$B$4,"Date after the as-of date",IF($B815&lt;Config!$B$5,"Date before the opening balance date","OK")))))))))))))))))</f>
        <v/>
      </c>
    </row>
    <row r="816">
      <c r="A816" s="46" t="n"/>
      <c r="B816" s="54" t="n"/>
      <c r="C816" s="46" t="n"/>
      <c r="D816" s="46" t="n"/>
      <c r="E816" s="55" t="n"/>
      <c r="F816" s="46" t="n"/>
      <c r="G816" s="46" t="n"/>
      <c r="H816" s="46" t="n"/>
      <c r="I816" s="46" t="n"/>
      <c r="J816" s="46" t="n"/>
      <c r="K816" s="46" t="n"/>
      <c r="L816" s="46" t="n"/>
      <c r="M816" s="51" t="str">
        <f>IF(NOT(ISNUMBER($E816)),"",IF($C816="Receipt",$E816,IF($C816="Shipment",-$E816,IF($C816="Adjustment",$E816,0))))</f>
        <v/>
      </c>
      <c r="N816" s="49" t="str">
        <f>IF($D816="","",IFERROR(INDEX(Products!$B$2:$B$101,MATCH($D816,Products!$A$2:$A$101,0))&amp;"","(not found)"))</f>
        <v/>
      </c>
      <c r="O816" s="49" t="str">
        <f>IF($F816="","",IFERROR(INDEX(Batches!$B$2:$B$301,MATCH($F816,Batches!$A$2:$A$301,0))&amp;"","(not found)"))</f>
        <v/>
      </c>
      <c r="P816" s="49" t="str">
        <f>IF(COUNTA($A816:$L816)=0,"",IF($A816="","Missing: entry ID",IF(COUNTIF($A$2:$A$2001,$A816)&gt;1,"Duplicate entry ID",IF(NOT(ISNUMBER($B816)),"Missing or invalid: date",IF($C816="","Missing: type",IF($D816="","Missing: SKU",IF(NOT(ISNUMBER($E816)),"Missing: qty",IF($F816="","Missing: lot",IF($I816="","Missing: source link",IF(COUNTIF(Config!$A$15:$A$34,$C816)=0,"Unsupported type",IF(COUNTIF(Products!$A$2:$A$101,$D816)=0,"Unknown SKU",IF(COUNTIFS(Batches!$A$2:$A$301,$F816,Batches!$B$2:$B$301,$D816)=0,"Unknown lot for this SKU",IF(AND($C816="Adjustment",$G816=""),"Missing: reason",IF(AND($G816&lt;&gt;"",COUNTIF(Config!$B$15:$B$34,$G816)=0),"Unsupported reason",IF(OR(INT($E816)&lt;&gt;$E816,AND(OR($C816="Receipt",$C816="Shipment"),$E816&lt;=0),AND($C816="Adjustment",$E816=0)),"Invalid qty",IF($B816&gt;Config!$B$4,"Date after the as-of date",IF($B816&lt;Config!$B$5,"Date before the opening balance date","OK")))))))))))))))))</f>
        <v/>
      </c>
    </row>
    <row r="817">
      <c r="A817" s="46" t="n"/>
      <c r="B817" s="54" t="n"/>
      <c r="C817" s="46" t="n"/>
      <c r="D817" s="46" t="n"/>
      <c r="E817" s="55" t="n"/>
      <c r="F817" s="46" t="n"/>
      <c r="G817" s="46" t="n"/>
      <c r="H817" s="46" t="n"/>
      <c r="I817" s="46" t="n"/>
      <c r="J817" s="46" t="n"/>
      <c r="K817" s="46" t="n"/>
      <c r="L817" s="46" t="n"/>
      <c r="M817" s="51" t="str">
        <f>IF(NOT(ISNUMBER($E817)),"",IF($C817="Receipt",$E817,IF($C817="Shipment",-$E817,IF($C817="Adjustment",$E817,0))))</f>
        <v/>
      </c>
      <c r="N817" s="49" t="str">
        <f>IF($D817="","",IFERROR(INDEX(Products!$B$2:$B$101,MATCH($D817,Products!$A$2:$A$101,0))&amp;"","(not found)"))</f>
        <v/>
      </c>
      <c r="O817" s="49" t="str">
        <f>IF($F817="","",IFERROR(INDEX(Batches!$B$2:$B$301,MATCH($F817,Batches!$A$2:$A$301,0))&amp;"","(not found)"))</f>
        <v/>
      </c>
      <c r="P817" s="49" t="str">
        <f>IF(COUNTA($A817:$L817)=0,"",IF($A817="","Missing: entry ID",IF(COUNTIF($A$2:$A$2001,$A817)&gt;1,"Duplicate entry ID",IF(NOT(ISNUMBER($B817)),"Missing or invalid: date",IF($C817="","Missing: type",IF($D817="","Missing: SKU",IF(NOT(ISNUMBER($E817)),"Missing: qty",IF($F817="","Missing: lot",IF($I817="","Missing: source link",IF(COUNTIF(Config!$A$15:$A$34,$C817)=0,"Unsupported type",IF(COUNTIF(Products!$A$2:$A$101,$D817)=0,"Unknown SKU",IF(COUNTIFS(Batches!$A$2:$A$301,$F817,Batches!$B$2:$B$301,$D817)=0,"Unknown lot for this SKU",IF(AND($C817="Adjustment",$G817=""),"Missing: reason",IF(AND($G817&lt;&gt;"",COUNTIF(Config!$B$15:$B$34,$G817)=0),"Unsupported reason",IF(OR(INT($E817)&lt;&gt;$E817,AND(OR($C817="Receipt",$C817="Shipment"),$E817&lt;=0),AND($C817="Adjustment",$E817=0)),"Invalid qty",IF($B817&gt;Config!$B$4,"Date after the as-of date",IF($B817&lt;Config!$B$5,"Date before the opening balance date","OK")))))))))))))))))</f>
        <v/>
      </c>
    </row>
    <row r="818">
      <c r="A818" s="46" t="n"/>
      <c r="B818" s="54" t="n"/>
      <c r="C818" s="46" t="n"/>
      <c r="D818" s="46" t="n"/>
      <c r="E818" s="55" t="n"/>
      <c r="F818" s="46" t="n"/>
      <c r="G818" s="46" t="n"/>
      <c r="H818" s="46" t="n"/>
      <c r="I818" s="46" t="n"/>
      <c r="J818" s="46" t="n"/>
      <c r="K818" s="46" t="n"/>
      <c r="L818" s="46" t="n"/>
      <c r="M818" s="51" t="str">
        <f>IF(NOT(ISNUMBER($E818)),"",IF($C818="Receipt",$E818,IF($C818="Shipment",-$E818,IF($C818="Adjustment",$E818,0))))</f>
        <v/>
      </c>
      <c r="N818" s="49" t="str">
        <f>IF($D818="","",IFERROR(INDEX(Products!$B$2:$B$101,MATCH($D818,Products!$A$2:$A$101,0))&amp;"","(not found)"))</f>
        <v/>
      </c>
      <c r="O818" s="49" t="str">
        <f>IF($F818="","",IFERROR(INDEX(Batches!$B$2:$B$301,MATCH($F818,Batches!$A$2:$A$301,0))&amp;"","(not found)"))</f>
        <v/>
      </c>
      <c r="P818" s="49" t="str">
        <f>IF(COUNTA($A818:$L818)=0,"",IF($A818="","Missing: entry ID",IF(COUNTIF($A$2:$A$2001,$A818)&gt;1,"Duplicate entry ID",IF(NOT(ISNUMBER($B818)),"Missing or invalid: date",IF($C818="","Missing: type",IF($D818="","Missing: SKU",IF(NOT(ISNUMBER($E818)),"Missing: qty",IF($F818="","Missing: lot",IF($I818="","Missing: source link",IF(COUNTIF(Config!$A$15:$A$34,$C818)=0,"Unsupported type",IF(COUNTIF(Products!$A$2:$A$101,$D818)=0,"Unknown SKU",IF(COUNTIFS(Batches!$A$2:$A$301,$F818,Batches!$B$2:$B$301,$D818)=0,"Unknown lot for this SKU",IF(AND($C818="Adjustment",$G818=""),"Missing: reason",IF(AND($G818&lt;&gt;"",COUNTIF(Config!$B$15:$B$34,$G818)=0),"Unsupported reason",IF(OR(INT($E818)&lt;&gt;$E818,AND(OR($C818="Receipt",$C818="Shipment"),$E818&lt;=0),AND($C818="Adjustment",$E818=0)),"Invalid qty",IF($B818&gt;Config!$B$4,"Date after the as-of date",IF($B818&lt;Config!$B$5,"Date before the opening balance date","OK")))))))))))))))))</f>
        <v/>
      </c>
    </row>
    <row r="819">
      <c r="A819" s="46" t="n"/>
      <c r="B819" s="54" t="n"/>
      <c r="C819" s="46" t="n"/>
      <c r="D819" s="46" t="n"/>
      <c r="E819" s="55" t="n"/>
      <c r="F819" s="46" t="n"/>
      <c r="G819" s="46" t="n"/>
      <c r="H819" s="46" t="n"/>
      <c r="I819" s="46" t="n"/>
      <c r="J819" s="46" t="n"/>
      <c r="K819" s="46" t="n"/>
      <c r="L819" s="46" t="n"/>
      <c r="M819" s="51" t="str">
        <f>IF(NOT(ISNUMBER($E819)),"",IF($C819="Receipt",$E819,IF($C819="Shipment",-$E819,IF($C819="Adjustment",$E819,0))))</f>
        <v/>
      </c>
      <c r="N819" s="49" t="str">
        <f>IF($D819="","",IFERROR(INDEX(Products!$B$2:$B$101,MATCH($D819,Products!$A$2:$A$101,0))&amp;"","(not found)"))</f>
        <v/>
      </c>
      <c r="O819" s="49" t="str">
        <f>IF($F819="","",IFERROR(INDEX(Batches!$B$2:$B$301,MATCH($F819,Batches!$A$2:$A$301,0))&amp;"","(not found)"))</f>
        <v/>
      </c>
      <c r="P819" s="49" t="str">
        <f>IF(COUNTA($A819:$L819)=0,"",IF($A819="","Missing: entry ID",IF(COUNTIF($A$2:$A$2001,$A819)&gt;1,"Duplicate entry ID",IF(NOT(ISNUMBER($B819)),"Missing or invalid: date",IF($C819="","Missing: type",IF($D819="","Missing: SKU",IF(NOT(ISNUMBER($E819)),"Missing: qty",IF($F819="","Missing: lot",IF($I819="","Missing: source link",IF(COUNTIF(Config!$A$15:$A$34,$C819)=0,"Unsupported type",IF(COUNTIF(Products!$A$2:$A$101,$D819)=0,"Unknown SKU",IF(COUNTIFS(Batches!$A$2:$A$301,$F819,Batches!$B$2:$B$301,$D819)=0,"Unknown lot for this SKU",IF(AND($C819="Adjustment",$G819=""),"Missing: reason",IF(AND($G819&lt;&gt;"",COUNTIF(Config!$B$15:$B$34,$G819)=0),"Unsupported reason",IF(OR(INT($E819)&lt;&gt;$E819,AND(OR($C819="Receipt",$C819="Shipment"),$E819&lt;=0),AND($C819="Adjustment",$E819=0)),"Invalid qty",IF($B819&gt;Config!$B$4,"Date after the as-of date",IF($B819&lt;Config!$B$5,"Date before the opening balance date","OK")))))))))))))))))</f>
        <v/>
      </c>
    </row>
    <row r="820">
      <c r="A820" s="46" t="n"/>
      <c r="B820" s="54" t="n"/>
      <c r="C820" s="46" t="n"/>
      <c r="D820" s="46" t="n"/>
      <c r="E820" s="55" t="n"/>
      <c r="F820" s="46" t="n"/>
      <c r="G820" s="46" t="n"/>
      <c r="H820" s="46" t="n"/>
      <c r="I820" s="46" t="n"/>
      <c r="J820" s="46" t="n"/>
      <c r="K820" s="46" t="n"/>
      <c r="L820" s="46" t="n"/>
      <c r="M820" s="51" t="str">
        <f>IF(NOT(ISNUMBER($E820)),"",IF($C820="Receipt",$E820,IF($C820="Shipment",-$E820,IF($C820="Adjustment",$E820,0))))</f>
        <v/>
      </c>
      <c r="N820" s="49" t="str">
        <f>IF($D820="","",IFERROR(INDEX(Products!$B$2:$B$101,MATCH($D820,Products!$A$2:$A$101,0))&amp;"","(not found)"))</f>
        <v/>
      </c>
      <c r="O820" s="49" t="str">
        <f>IF($F820="","",IFERROR(INDEX(Batches!$B$2:$B$301,MATCH($F820,Batches!$A$2:$A$301,0))&amp;"","(not found)"))</f>
        <v/>
      </c>
      <c r="P820" s="49" t="str">
        <f>IF(COUNTA($A820:$L820)=0,"",IF($A820="","Missing: entry ID",IF(COUNTIF($A$2:$A$2001,$A820)&gt;1,"Duplicate entry ID",IF(NOT(ISNUMBER($B820)),"Missing or invalid: date",IF($C820="","Missing: type",IF($D820="","Missing: SKU",IF(NOT(ISNUMBER($E820)),"Missing: qty",IF($F820="","Missing: lot",IF($I820="","Missing: source link",IF(COUNTIF(Config!$A$15:$A$34,$C820)=0,"Unsupported type",IF(COUNTIF(Products!$A$2:$A$101,$D820)=0,"Unknown SKU",IF(COUNTIFS(Batches!$A$2:$A$301,$F820,Batches!$B$2:$B$301,$D820)=0,"Unknown lot for this SKU",IF(AND($C820="Adjustment",$G820=""),"Missing: reason",IF(AND($G820&lt;&gt;"",COUNTIF(Config!$B$15:$B$34,$G820)=0),"Unsupported reason",IF(OR(INT($E820)&lt;&gt;$E820,AND(OR($C820="Receipt",$C820="Shipment"),$E820&lt;=0),AND($C820="Adjustment",$E820=0)),"Invalid qty",IF($B820&gt;Config!$B$4,"Date after the as-of date",IF($B820&lt;Config!$B$5,"Date before the opening balance date","OK")))))))))))))))))</f>
        <v/>
      </c>
    </row>
    <row r="821">
      <c r="A821" s="46" t="n"/>
      <c r="B821" s="54" t="n"/>
      <c r="C821" s="46" t="n"/>
      <c r="D821" s="46" t="n"/>
      <c r="E821" s="55" t="n"/>
      <c r="F821" s="46" t="n"/>
      <c r="G821" s="46" t="n"/>
      <c r="H821" s="46" t="n"/>
      <c r="I821" s="46" t="n"/>
      <c r="J821" s="46" t="n"/>
      <c r="K821" s="46" t="n"/>
      <c r="L821" s="46" t="n"/>
      <c r="M821" s="51" t="str">
        <f>IF(NOT(ISNUMBER($E821)),"",IF($C821="Receipt",$E821,IF($C821="Shipment",-$E821,IF($C821="Adjustment",$E821,0))))</f>
        <v/>
      </c>
      <c r="N821" s="49" t="str">
        <f>IF($D821="","",IFERROR(INDEX(Products!$B$2:$B$101,MATCH($D821,Products!$A$2:$A$101,0))&amp;"","(not found)"))</f>
        <v/>
      </c>
      <c r="O821" s="49" t="str">
        <f>IF($F821="","",IFERROR(INDEX(Batches!$B$2:$B$301,MATCH($F821,Batches!$A$2:$A$301,0))&amp;"","(not found)"))</f>
        <v/>
      </c>
      <c r="P821" s="49" t="str">
        <f>IF(COUNTA($A821:$L821)=0,"",IF($A821="","Missing: entry ID",IF(COUNTIF($A$2:$A$2001,$A821)&gt;1,"Duplicate entry ID",IF(NOT(ISNUMBER($B821)),"Missing or invalid: date",IF($C821="","Missing: type",IF($D821="","Missing: SKU",IF(NOT(ISNUMBER($E821)),"Missing: qty",IF($F821="","Missing: lot",IF($I821="","Missing: source link",IF(COUNTIF(Config!$A$15:$A$34,$C821)=0,"Unsupported type",IF(COUNTIF(Products!$A$2:$A$101,$D821)=0,"Unknown SKU",IF(COUNTIFS(Batches!$A$2:$A$301,$F821,Batches!$B$2:$B$301,$D821)=0,"Unknown lot for this SKU",IF(AND($C821="Adjustment",$G821=""),"Missing: reason",IF(AND($G821&lt;&gt;"",COUNTIF(Config!$B$15:$B$34,$G821)=0),"Unsupported reason",IF(OR(INT($E821)&lt;&gt;$E821,AND(OR($C821="Receipt",$C821="Shipment"),$E821&lt;=0),AND($C821="Adjustment",$E821=0)),"Invalid qty",IF($B821&gt;Config!$B$4,"Date after the as-of date",IF($B821&lt;Config!$B$5,"Date before the opening balance date","OK")))))))))))))))))</f>
        <v/>
      </c>
    </row>
    <row r="822">
      <c r="A822" s="46" t="n"/>
      <c r="B822" s="54" t="n"/>
      <c r="C822" s="46" t="n"/>
      <c r="D822" s="46" t="n"/>
      <c r="E822" s="55" t="n"/>
      <c r="F822" s="46" t="n"/>
      <c r="G822" s="46" t="n"/>
      <c r="H822" s="46" t="n"/>
      <c r="I822" s="46" t="n"/>
      <c r="J822" s="46" t="n"/>
      <c r="K822" s="46" t="n"/>
      <c r="L822" s="46" t="n"/>
      <c r="M822" s="51" t="str">
        <f>IF(NOT(ISNUMBER($E822)),"",IF($C822="Receipt",$E822,IF($C822="Shipment",-$E822,IF($C822="Adjustment",$E822,0))))</f>
        <v/>
      </c>
      <c r="N822" s="49" t="str">
        <f>IF($D822="","",IFERROR(INDEX(Products!$B$2:$B$101,MATCH($D822,Products!$A$2:$A$101,0))&amp;"","(not found)"))</f>
        <v/>
      </c>
      <c r="O822" s="49" t="str">
        <f>IF($F822="","",IFERROR(INDEX(Batches!$B$2:$B$301,MATCH($F822,Batches!$A$2:$A$301,0))&amp;"","(not found)"))</f>
        <v/>
      </c>
      <c r="P822" s="49" t="str">
        <f>IF(COUNTA($A822:$L822)=0,"",IF($A822="","Missing: entry ID",IF(COUNTIF($A$2:$A$2001,$A822)&gt;1,"Duplicate entry ID",IF(NOT(ISNUMBER($B822)),"Missing or invalid: date",IF($C822="","Missing: type",IF($D822="","Missing: SKU",IF(NOT(ISNUMBER($E822)),"Missing: qty",IF($F822="","Missing: lot",IF($I822="","Missing: source link",IF(COUNTIF(Config!$A$15:$A$34,$C822)=0,"Unsupported type",IF(COUNTIF(Products!$A$2:$A$101,$D822)=0,"Unknown SKU",IF(COUNTIFS(Batches!$A$2:$A$301,$F822,Batches!$B$2:$B$301,$D822)=0,"Unknown lot for this SKU",IF(AND($C822="Adjustment",$G822=""),"Missing: reason",IF(AND($G822&lt;&gt;"",COUNTIF(Config!$B$15:$B$34,$G822)=0),"Unsupported reason",IF(OR(INT($E822)&lt;&gt;$E822,AND(OR($C822="Receipt",$C822="Shipment"),$E822&lt;=0),AND($C822="Adjustment",$E822=0)),"Invalid qty",IF($B822&gt;Config!$B$4,"Date after the as-of date",IF($B822&lt;Config!$B$5,"Date before the opening balance date","OK")))))))))))))))))</f>
        <v/>
      </c>
    </row>
    <row r="823">
      <c r="A823" s="46" t="n"/>
      <c r="B823" s="54" t="n"/>
      <c r="C823" s="46" t="n"/>
      <c r="D823" s="46" t="n"/>
      <c r="E823" s="55" t="n"/>
      <c r="F823" s="46" t="n"/>
      <c r="G823" s="46" t="n"/>
      <c r="H823" s="46" t="n"/>
      <c r="I823" s="46" t="n"/>
      <c r="J823" s="46" t="n"/>
      <c r="K823" s="46" t="n"/>
      <c r="L823" s="46" t="n"/>
      <c r="M823" s="51" t="str">
        <f>IF(NOT(ISNUMBER($E823)),"",IF($C823="Receipt",$E823,IF($C823="Shipment",-$E823,IF($C823="Adjustment",$E823,0))))</f>
        <v/>
      </c>
      <c r="N823" s="49" t="str">
        <f>IF($D823="","",IFERROR(INDEX(Products!$B$2:$B$101,MATCH($D823,Products!$A$2:$A$101,0))&amp;"","(not found)"))</f>
        <v/>
      </c>
      <c r="O823" s="49" t="str">
        <f>IF($F823="","",IFERROR(INDEX(Batches!$B$2:$B$301,MATCH($F823,Batches!$A$2:$A$301,0))&amp;"","(not found)"))</f>
        <v/>
      </c>
      <c r="P823" s="49" t="str">
        <f>IF(COUNTA($A823:$L823)=0,"",IF($A823="","Missing: entry ID",IF(COUNTIF($A$2:$A$2001,$A823)&gt;1,"Duplicate entry ID",IF(NOT(ISNUMBER($B823)),"Missing or invalid: date",IF($C823="","Missing: type",IF($D823="","Missing: SKU",IF(NOT(ISNUMBER($E823)),"Missing: qty",IF($F823="","Missing: lot",IF($I823="","Missing: source link",IF(COUNTIF(Config!$A$15:$A$34,$C823)=0,"Unsupported type",IF(COUNTIF(Products!$A$2:$A$101,$D823)=0,"Unknown SKU",IF(COUNTIFS(Batches!$A$2:$A$301,$F823,Batches!$B$2:$B$301,$D823)=0,"Unknown lot for this SKU",IF(AND($C823="Adjustment",$G823=""),"Missing: reason",IF(AND($G823&lt;&gt;"",COUNTIF(Config!$B$15:$B$34,$G823)=0),"Unsupported reason",IF(OR(INT($E823)&lt;&gt;$E823,AND(OR($C823="Receipt",$C823="Shipment"),$E823&lt;=0),AND($C823="Adjustment",$E823=0)),"Invalid qty",IF($B823&gt;Config!$B$4,"Date after the as-of date",IF($B823&lt;Config!$B$5,"Date before the opening balance date","OK")))))))))))))))))</f>
        <v/>
      </c>
    </row>
    <row r="824">
      <c r="A824" s="46" t="n"/>
      <c r="B824" s="54" t="n"/>
      <c r="C824" s="46" t="n"/>
      <c r="D824" s="46" t="n"/>
      <c r="E824" s="55" t="n"/>
      <c r="F824" s="46" t="n"/>
      <c r="G824" s="46" t="n"/>
      <c r="H824" s="46" t="n"/>
      <c r="I824" s="46" t="n"/>
      <c r="J824" s="46" t="n"/>
      <c r="K824" s="46" t="n"/>
      <c r="L824" s="46" t="n"/>
      <c r="M824" s="51" t="str">
        <f>IF(NOT(ISNUMBER($E824)),"",IF($C824="Receipt",$E824,IF($C824="Shipment",-$E824,IF($C824="Adjustment",$E824,0))))</f>
        <v/>
      </c>
      <c r="N824" s="49" t="str">
        <f>IF($D824="","",IFERROR(INDEX(Products!$B$2:$B$101,MATCH($D824,Products!$A$2:$A$101,0))&amp;"","(not found)"))</f>
        <v/>
      </c>
      <c r="O824" s="49" t="str">
        <f>IF($F824="","",IFERROR(INDEX(Batches!$B$2:$B$301,MATCH($F824,Batches!$A$2:$A$301,0))&amp;"","(not found)"))</f>
        <v/>
      </c>
      <c r="P824" s="49" t="str">
        <f>IF(COUNTA($A824:$L824)=0,"",IF($A824="","Missing: entry ID",IF(COUNTIF($A$2:$A$2001,$A824)&gt;1,"Duplicate entry ID",IF(NOT(ISNUMBER($B824)),"Missing or invalid: date",IF($C824="","Missing: type",IF($D824="","Missing: SKU",IF(NOT(ISNUMBER($E824)),"Missing: qty",IF($F824="","Missing: lot",IF($I824="","Missing: source link",IF(COUNTIF(Config!$A$15:$A$34,$C824)=0,"Unsupported type",IF(COUNTIF(Products!$A$2:$A$101,$D824)=0,"Unknown SKU",IF(COUNTIFS(Batches!$A$2:$A$301,$F824,Batches!$B$2:$B$301,$D824)=0,"Unknown lot for this SKU",IF(AND($C824="Adjustment",$G824=""),"Missing: reason",IF(AND($G824&lt;&gt;"",COUNTIF(Config!$B$15:$B$34,$G824)=0),"Unsupported reason",IF(OR(INT($E824)&lt;&gt;$E824,AND(OR($C824="Receipt",$C824="Shipment"),$E824&lt;=0),AND($C824="Adjustment",$E824=0)),"Invalid qty",IF($B824&gt;Config!$B$4,"Date after the as-of date",IF($B824&lt;Config!$B$5,"Date before the opening balance date","OK")))))))))))))))))</f>
        <v/>
      </c>
    </row>
    <row r="825">
      <c r="A825" s="46" t="n"/>
      <c r="B825" s="54" t="n"/>
      <c r="C825" s="46" t="n"/>
      <c r="D825" s="46" t="n"/>
      <c r="E825" s="55" t="n"/>
      <c r="F825" s="46" t="n"/>
      <c r="G825" s="46" t="n"/>
      <c r="H825" s="46" t="n"/>
      <c r="I825" s="46" t="n"/>
      <c r="J825" s="46" t="n"/>
      <c r="K825" s="46" t="n"/>
      <c r="L825" s="46" t="n"/>
      <c r="M825" s="51" t="str">
        <f>IF(NOT(ISNUMBER($E825)),"",IF($C825="Receipt",$E825,IF($C825="Shipment",-$E825,IF($C825="Adjustment",$E825,0))))</f>
        <v/>
      </c>
      <c r="N825" s="49" t="str">
        <f>IF($D825="","",IFERROR(INDEX(Products!$B$2:$B$101,MATCH($D825,Products!$A$2:$A$101,0))&amp;"","(not found)"))</f>
        <v/>
      </c>
      <c r="O825" s="49" t="str">
        <f>IF($F825="","",IFERROR(INDEX(Batches!$B$2:$B$301,MATCH($F825,Batches!$A$2:$A$301,0))&amp;"","(not found)"))</f>
        <v/>
      </c>
      <c r="P825" s="49" t="str">
        <f>IF(COUNTA($A825:$L825)=0,"",IF($A825="","Missing: entry ID",IF(COUNTIF($A$2:$A$2001,$A825)&gt;1,"Duplicate entry ID",IF(NOT(ISNUMBER($B825)),"Missing or invalid: date",IF($C825="","Missing: type",IF($D825="","Missing: SKU",IF(NOT(ISNUMBER($E825)),"Missing: qty",IF($F825="","Missing: lot",IF($I825="","Missing: source link",IF(COUNTIF(Config!$A$15:$A$34,$C825)=0,"Unsupported type",IF(COUNTIF(Products!$A$2:$A$101,$D825)=0,"Unknown SKU",IF(COUNTIFS(Batches!$A$2:$A$301,$F825,Batches!$B$2:$B$301,$D825)=0,"Unknown lot for this SKU",IF(AND($C825="Adjustment",$G825=""),"Missing: reason",IF(AND($G825&lt;&gt;"",COUNTIF(Config!$B$15:$B$34,$G825)=0),"Unsupported reason",IF(OR(INT($E825)&lt;&gt;$E825,AND(OR($C825="Receipt",$C825="Shipment"),$E825&lt;=0),AND($C825="Adjustment",$E825=0)),"Invalid qty",IF($B825&gt;Config!$B$4,"Date after the as-of date",IF($B825&lt;Config!$B$5,"Date before the opening balance date","OK")))))))))))))))))</f>
        <v/>
      </c>
    </row>
    <row r="826">
      <c r="A826" s="46" t="n"/>
      <c r="B826" s="54" t="n"/>
      <c r="C826" s="46" t="n"/>
      <c r="D826" s="46" t="n"/>
      <c r="E826" s="55" t="n"/>
      <c r="F826" s="46" t="n"/>
      <c r="G826" s="46" t="n"/>
      <c r="H826" s="46" t="n"/>
      <c r="I826" s="46" t="n"/>
      <c r="J826" s="46" t="n"/>
      <c r="K826" s="46" t="n"/>
      <c r="L826" s="46" t="n"/>
      <c r="M826" s="51" t="str">
        <f>IF(NOT(ISNUMBER($E826)),"",IF($C826="Receipt",$E826,IF($C826="Shipment",-$E826,IF($C826="Adjustment",$E826,0))))</f>
        <v/>
      </c>
      <c r="N826" s="49" t="str">
        <f>IF($D826="","",IFERROR(INDEX(Products!$B$2:$B$101,MATCH($D826,Products!$A$2:$A$101,0))&amp;"","(not found)"))</f>
        <v/>
      </c>
      <c r="O826" s="49" t="str">
        <f>IF($F826="","",IFERROR(INDEX(Batches!$B$2:$B$301,MATCH($F826,Batches!$A$2:$A$301,0))&amp;"","(not found)"))</f>
        <v/>
      </c>
      <c r="P826" s="49" t="str">
        <f>IF(COUNTA($A826:$L826)=0,"",IF($A826="","Missing: entry ID",IF(COUNTIF($A$2:$A$2001,$A826)&gt;1,"Duplicate entry ID",IF(NOT(ISNUMBER($B826)),"Missing or invalid: date",IF($C826="","Missing: type",IF($D826="","Missing: SKU",IF(NOT(ISNUMBER($E826)),"Missing: qty",IF($F826="","Missing: lot",IF($I826="","Missing: source link",IF(COUNTIF(Config!$A$15:$A$34,$C826)=0,"Unsupported type",IF(COUNTIF(Products!$A$2:$A$101,$D826)=0,"Unknown SKU",IF(COUNTIFS(Batches!$A$2:$A$301,$F826,Batches!$B$2:$B$301,$D826)=0,"Unknown lot for this SKU",IF(AND($C826="Adjustment",$G826=""),"Missing: reason",IF(AND($G826&lt;&gt;"",COUNTIF(Config!$B$15:$B$34,$G826)=0),"Unsupported reason",IF(OR(INT($E826)&lt;&gt;$E826,AND(OR($C826="Receipt",$C826="Shipment"),$E826&lt;=0),AND($C826="Adjustment",$E826=0)),"Invalid qty",IF($B826&gt;Config!$B$4,"Date after the as-of date",IF($B826&lt;Config!$B$5,"Date before the opening balance date","OK")))))))))))))))))</f>
        <v/>
      </c>
    </row>
    <row r="827">
      <c r="A827" s="46" t="n"/>
      <c r="B827" s="54" t="n"/>
      <c r="C827" s="46" t="n"/>
      <c r="D827" s="46" t="n"/>
      <c r="E827" s="55" t="n"/>
      <c r="F827" s="46" t="n"/>
      <c r="G827" s="46" t="n"/>
      <c r="H827" s="46" t="n"/>
      <c r="I827" s="46" t="n"/>
      <c r="J827" s="46" t="n"/>
      <c r="K827" s="46" t="n"/>
      <c r="L827" s="46" t="n"/>
      <c r="M827" s="51" t="str">
        <f>IF(NOT(ISNUMBER($E827)),"",IF($C827="Receipt",$E827,IF($C827="Shipment",-$E827,IF($C827="Adjustment",$E827,0))))</f>
        <v/>
      </c>
      <c r="N827" s="49" t="str">
        <f>IF($D827="","",IFERROR(INDEX(Products!$B$2:$B$101,MATCH($D827,Products!$A$2:$A$101,0))&amp;"","(not found)"))</f>
        <v/>
      </c>
      <c r="O827" s="49" t="str">
        <f>IF($F827="","",IFERROR(INDEX(Batches!$B$2:$B$301,MATCH($F827,Batches!$A$2:$A$301,0))&amp;"","(not found)"))</f>
        <v/>
      </c>
      <c r="P827" s="49" t="str">
        <f>IF(COUNTA($A827:$L827)=0,"",IF($A827="","Missing: entry ID",IF(COUNTIF($A$2:$A$2001,$A827)&gt;1,"Duplicate entry ID",IF(NOT(ISNUMBER($B827)),"Missing or invalid: date",IF($C827="","Missing: type",IF($D827="","Missing: SKU",IF(NOT(ISNUMBER($E827)),"Missing: qty",IF($F827="","Missing: lot",IF($I827="","Missing: source link",IF(COUNTIF(Config!$A$15:$A$34,$C827)=0,"Unsupported type",IF(COUNTIF(Products!$A$2:$A$101,$D827)=0,"Unknown SKU",IF(COUNTIFS(Batches!$A$2:$A$301,$F827,Batches!$B$2:$B$301,$D827)=0,"Unknown lot for this SKU",IF(AND($C827="Adjustment",$G827=""),"Missing: reason",IF(AND($G827&lt;&gt;"",COUNTIF(Config!$B$15:$B$34,$G827)=0),"Unsupported reason",IF(OR(INT($E827)&lt;&gt;$E827,AND(OR($C827="Receipt",$C827="Shipment"),$E827&lt;=0),AND($C827="Adjustment",$E827=0)),"Invalid qty",IF($B827&gt;Config!$B$4,"Date after the as-of date",IF($B827&lt;Config!$B$5,"Date before the opening balance date","OK")))))))))))))))))</f>
        <v/>
      </c>
    </row>
    <row r="828">
      <c r="A828" s="46" t="n"/>
      <c r="B828" s="54" t="n"/>
      <c r="C828" s="46" t="n"/>
      <c r="D828" s="46" t="n"/>
      <c r="E828" s="55" t="n"/>
      <c r="F828" s="46" t="n"/>
      <c r="G828" s="46" t="n"/>
      <c r="H828" s="46" t="n"/>
      <c r="I828" s="46" t="n"/>
      <c r="J828" s="46" t="n"/>
      <c r="K828" s="46" t="n"/>
      <c r="L828" s="46" t="n"/>
      <c r="M828" s="51" t="str">
        <f>IF(NOT(ISNUMBER($E828)),"",IF($C828="Receipt",$E828,IF($C828="Shipment",-$E828,IF($C828="Adjustment",$E828,0))))</f>
        <v/>
      </c>
      <c r="N828" s="49" t="str">
        <f>IF($D828="","",IFERROR(INDEX(Products!$B$2:$B$101,MATCH($D828,Products!$A$2:$A$101,0))&amp;"","(not found)"))</f>
        <v/>
      </c>
      <c r="O828" s="49" t="str">
        <f>IF($F828="","",IFERROR(INDEX(Batches!$B$2:$B$301,MATCH($F828,Batches!$A$2:$A$301,0))&amp;"","(not found)"))</f>
        <v/>
      </c>
      <c r="P828" s="49" t="str">
        <f>IF(COUNTA($A828:$L828)=0,"",IF($A828="","Missing: entry ID",IF(COUNTIF($A$2:$A$2001,$A828)&gt;1,"Duplicate entry ID",IF(NOT(ISNUMBER($B828)),"Missing or invalid: date",IF($C828="","Missing: type",IF($D828="","Missing: SKU",IF(NOT(ISNUMBER($E828)),"Missing: qty",IF($F828="","Missing: lot",IF($I828="","Missing: source link",IF(COUNTIF(Config!$A$15:$A$34,$C828)=0,"Unsupported type",IF(COUNTIF(Products!$A$2:$A$101,$D828)=0,"Unknown SKU",IF(COUNTIFS(Batches!$A$2:$A$301,$F828,Batches!$B$2:$B$301,$D828)=0,"Unknown lot for this SKU",IF(AND($C828="Adjustment",$G828=""),"Missing: reason",IF(AND($G828&lt;&gt;"",COUNTIF(Config!$B$15:$B$34,$G828)=0),"Unsupported reason",IF(OR(INT($E828)&lt;&gt;$E828,AND(OR($C828="Receipt",$C828="Shipment"),$E828&lt;=0),AND($C828="Adjustment",$E828=0)),"Invalid qty",IF($B828&gt;Config!$B$4,"Date after the as-of date",IF($B828&lt;Config!$B$5,"Date before the opening balance date","OK")))))))))))))))))</f>
        <v/>
      </c>
    </row>
    <row r="829">
      <c r="A829" s="46" t="n"/>
      <c r="B829" s="54" t="n"/>
      <c r="C829" s="46" t="n"/>
      <c r="D829" s="46" t="n"/>
      <c r="E829" s="55" t="n"/>
      <c r="F829" s="46" t="n"/>
      <c r="G829" s="46" t="n"/>
      <c r="H829" s="46" t="n"/>
      <c r="I829" s="46" t="n"/>
      <c r="J829" s="46" t="n"/>
      <c r="K829" s="46" t="n"/>
      <c r="L829" s="46" t="n"/>
      <c r="M829" s="51" t="str">
        <f>IF(NOT(ISNUMBER($E829)),"",IF($C829="Receipt",$E829,IF($C829="Shipment",-$E829,IF($C829="Adjustment",$E829,0))))</f>
        <v/>
      </c>
      <c r="N829" s="49" t="str">
        <f>IF($D829="","",IFERROR(INDEX(Products!$B$2:$B$101,MATCH($D829,Products!$A$2:$A$101,0))&amp;"","(not found)"))</f>
        <v/>
      </c>
      <c r="O829" s="49" t="str">
        <f>IF($F829="","",IFERROR(INDEX(Batches!$B$2:$B$301,MATCH($F829,Batches!$A$2:$A$301,0))&amp;"","(not found)"))</f>
        <v/>
      </c>
      <c r="P829" s="49" t="str">
        <f>IF(COUNTA($A829:$L829)=0,"",IF($A829="","Missing: entry ID",IF(COUNTIF($A$2:$A$2001,$A829)&gt;1,"Duplicate entry ID",IF(NOT(ISNUMBER($B829)),"Missing or invalid: date",IF($C829="","Missing: type",IF($D829="","Missing: SKU",IF(NOT(ISNUMBER($E829)),"Missing: qty",IF($F829="","Missing: lot",IF($I829="","Missing: source link",IF(COUNTIF(Config!$A$15:$A$34,$C829)=0,"Unsupported type",IF(COUNTIF(Products!$A$2:$A$101,$D829)=0,"Unknown SKU",IF(COUNTIFS(Batches!$A$2:$A$301,$F829,Batches!$B$2:$B$301,$D829)=0,"Unknown lot for this SKU",IF(AND($C829="Adjustment",$G829=""),"Missing: reason",IF(AND($G829&lt;&gt;"",COUNTIF(Config!$B$15:$B$34,$G829)=0),"Unsupported reason",IF(OR(INT($E829)&lt;&gt;$E829,AND(OR($C829="Receipt",$C829="Shipment"),$E829&lt;=0),AND($C829="Adjustment",$E829=0)),"Invalid qty",IF($B829&gt;Config!$B$4,"Date after the as-of date",IF($B829&lt;Config!$B$5,"Date before the opening balance date","OK")))))))))))))))))</f>
        <v/>
      </c>
    </row>
    <row r="830">
      <c r="A830" s="46" t="n"/>
      <c r="B830" s="54" t="n"/>
      <c r="C830" s="46" t="n"/>
      <c r="D830" s="46" t="n"/>
      <c r="E830" s="55" t="n"/>
      <c r="F830" s="46" t="n"/>
      <c r="G830" s="46" t="n"/>
      <c r="H830" s="46" t="n"/>
      <c r="I830" s="46" t="n"/>
      <c r="J830" s="46" t="n"/>
      <c r="K830" s="46" t="n"/>
      <c r="L830" s="46" t="n"/>
      <c r="M830" s="51" t="str">
        <f>IF(NOT(ISNUMBER($E830)),"",IF($C830="Receipt",$E830,IF($C830="Shipment",-$E830,IF($C830="Adjustment",$E830,0))))</f>
        <v/>
      </c>
      <c r="N830" s="49" t="str">
        <f>IF($D830="","",IFERROR(INDEX(Products!$B$2:$B$101,MATCH($D830,Products!$A$2:$A$101,0))&amp;"","(not found)"))</f>
        <v/>
      </c>
      <c r="O830" s="49" t="str">
        <f>IF($F830="","",IFERROR(INDEX(Batches!$B$2:$B$301,MATCH($F830,Batches!$A$2:$A$301,0))&amp;"","(not found)"))</f>
        <v/>
      </c>
      <c r="P830" s="49" t="str">
        <f>IF(COUNTA($A830:$L830)=0,"",IF($A830="","Missing: entry ID",IF(COUNTIF($A$2:$A$2001,$A830)&gt;1,"Duplicate entry ID",IF(NOT(ISNUMBER($B830)),"Missing or invalid: date",IF($C830="","Missing: type",IF($D830="","Missing: SKU",IF(NOT(ISNUMBER($E830)),"Missing: qty",IF($F830="","Missing: lot",IF($I830="","Missing: source link",IF(COUNTIF(Config!$A$15:$A$34,$C830)=0,"Unsupported type",IF(COUNTIF(Products!$A$2:$A$101,$D830)=0,"Unknown SKU",IF(COUNTIFS(Batches!$A$2:$A$301,$F830,Batches!$B$2:$B$301,$D830)=0,"Unknown lot for this SKU",IF(AND($C830="Adjustment",$G830=""),"Missing: reason",IF(AND($G830&lt;&gt;"",COUNTIF(Config!$B$15:$B$34,$G830)=0),"Unsupported reason",IF(OR(INT($E830)&lt;&gt;$E830,AND(OR($C830="Receipt",$C830="Shipment"),$E830&lt;=0),AND($C830="Adjustment",$E830=0)),"Invalid qty",IF($B830&gt;Config!$B$4,"Date after the as-of date",IF($B830&lt;Config!$B$5,"Date before the opening balance date","OK")))))))))))))))))</f>
        <v/>
      </c>
    </row>
    <row r="831">
      <c r="A831" s="46" t="n"/>
      <c r="B831" s="54" t="n"/>
      <c r="C831" s="46" t="n"/>
      <c r="D831" s="46" t="n"/>
      <c r="E831" s="55" t="n"/>
      <c r="F831" s="46" t="n"/>
      <c r="G831" s="46" t="n"/>
      <c r="H831" s="46" t="n"/>
      <c r="I831" s="46" t="n"/>
      <c r="J831" s="46" t="n"/>
      <c r="K831" s="46" t="n"/>
      <c r="L831" s="46" t="n"/>
      <c r="M831" s="51" t="str">
        <f>IF(NOT(ISNUMBER($E831)),"",IF($C831="Receipt",$E831,IF($C831="Shipment",-$E831,IF($C831="Adjustment",$E831,0))))</f>
        <v/>
      </c>
      <c r="N831" s="49" t="str">
        <f>IF($D831="","",IFERROR(INDEX(Products!$B$2:$B$101,MATCH($D831,Products!$A$2:$A$101,0))&amp;"","(not found)"))</f>
        <v/>
      </c>
      <c r="O831" s="49" t="str">
        <f>IF($F831="","",IFERROR(INDEX(Batches!$B$2:$B$301,MATCH($F831,Batches!$A$2:$A$301,0))&amp;"","(not found)"))</f>
        <v/>
      </c>
      <c r="P831" s="49" t="str">
        <f>IF(COUNTA($A831:$L831)=0,"",IF($A831="","Missing: entry ID",IF(COUNTIF($A$2:$A$2001,$A831)&gt;1,"Duplicate entry ID",IF(NOT(ISNUMBER($B831)),"Missing or invalid: date",IF($C831="","Missing: type",IF($D831="","Missing: SKU",IF(NOT(ISNUMBER($E831)),"Missing: qty",IF($F831="","Missing: lot",IF($I831="","Missing: source link",IF(COUNTIF(Config!$A$15:$A$34,$C831)=0,"Unsupported type",IF(COUNTIF(Products!$A$2:$A$101,$D831)=0,"Unknown SKU",IF(COUNTIFS(Batches!$A$2:$A$301,$F831,Batches!$B$2:$B$301,$D831)=0,"Unknown lot for this SKU",IF(AND($C831="Adjustment",$G831=""),"Missing: reason",IF(AND($G831&lt;&gt;"",COUNTIF(Config!$B$15:$B$34,$G831)=0),"Unsupported reason",IF(OR(INT($E831)&lt;&gt;$E831,AND(OR($C831="Receipt",$C831="Shipment"),$E831&lt;=0),AND($C831="Adjustment",$E831=0)),"Invalid qty",IF($B831&gt;Config!$B$4,"Date after the as-of date",IF($B831&lt;Config!$B$5,"Date before the opening balance date","OK")))))))))))))))))</f>
        <v/>
      </c>
    </row>
    <row r="832">
      <c r="A832" s="46" t="n"/>
      <c r="B832" s="54" t="n"/>
      <c r="C832" s="46" t="n"/>
      <c r="D832" s="46" t="n"/>
      <c r="E832" s="55" t="n"/>
      <c r="F832" s="46" t="n"/>
      <c r="G832" s="46" t="n"/>
      <c r="H832" s="46" t="n"/>
      <c r="I832" s="46" t="n"/>
      <c r="J832" s="46" t="n"/>
      <c r="K832" s="46" t="n"/>
      <c r="L832" s="46" t="n"/>
      <c r="M832" s="51" t="str">
        <f>IF(NOT(ISNUMBER($E832)),"",IF($C832="Receipt",$E832,IF($C832="Shipment",-$E832,IF($C832="Adjustment",$E832,0))))</f>
        <v/>
      </c>
      <c r="N832" s="49" t="str">
        <f>IF($D832="","",IFERROR(INDEX(Products!$B$2:$B$101,MATCH($D832,Products!$A$2:$A$101,0))&amp;"","(not found)"))</f>
        <v/>
      </c>
      <c r="O832" s="49" t="str">
        <f>IF($F832="","",IFERROR(INDEX(Batches!$B$2:$B$301,MATCH($F832,Batches!$A$2:$A$301,0))&amp;"","(not found)"))</f>
        <v/>
      </c>
      <c r="P832" s="49" t="str">
        <f>IF(COUNTA($A832:$L832)=0,"",IF($A832="","Missing: entry ID",IF(COUNTIF($A$2:$A$2001,$A832)&gt;1,"Duplicate entry ID",IF(NOT(ISNUMBER($B832)),"Missing or invalid: date",IF($C832="","Missing: type",IF($D832="","Missing: SKU",IF(NOT(ISNUMBER($E832)),"Missing: qty",IF($F832="","Missing: lot",IF($I832="","Missing: source link",IF(COUNTIF(Config!$A$15:$A$34,$C832)=0,"Unsupported type",IF(COUNTIF(Products!$A$2:$A$101,$D832)=0,"Unknown SKU",IF(COUNTIFS(Batches!$A$2:$A$301,$F832,Batches!$B$2:$B$301,$D832)=0,"Unknown lot for this SKU",IF(AND($C832="Adjustment",$G832=""),"Missing: reason",IF(AND($G832&lt;&gt;"",COUNTIF(Config!$B$15:$B$34,$G832)=0),"Unsupported reason",IF(OR(INT($E832)&lt;&gt;$E832,AND(OR($C832="Receipt",$C832="Shipment"),$E832&lt;=0),AND($C832="Adjustment",$E832=0)),"Invalid qty",IF($B832&gt;Config!$B$4,"Date after the as-of date",IF($B832&lt;Config!$B$5,"Date before the opening balance date","OK")))))))))))))))))</f>
        <v/>
      </c>
    </row>
    <row r="833">
      <c r="A833" s="46" t="n"/>
      <c r="B833" s="54" t="n"/>
      <c r="C833" s="46" t="n"/>
      <c r="D833" s="46" t="n"/>
      <c r="E833" s="55" t="n"/>
      <c r="F833" s="46" t="n"/>
      <c r="G833" s="46" t="n"/>
      <c r="H833" s="46" t="n"/>
      <c r="I833" s="46" t="n"/>
      <c r="J833" s="46" t="n"/>
      <c r="K833" s="46" t="n"/>
      <c r="L833" s="46" t="n"/>
      <c r="M833" s="51" t="str">
        <f>IF(NOT(ISNUMBER($E833)),"",IF($C833="Receipt",$E833,IF($C833="Shipment",-$E833,IF($C833="Adjustment",$E833,0))))</f>
        <v/>
      </c>
      <c r="N833" s="49" t="str">
        <f>IF($D833="","",IFERROR(INDEX(Products!$B$2:$B$101,MATCH($D833,Products!$A$2:$A$101,0))&amp;"","(not found)"))</f>
        <v/>
      </c>
      <c r="O833" s="49" t="str">
        <f>IF($F833="","",IFERROR(INDEX(Batches!$B$2:$B$301,MATCH($F833,Batches!$A$2:$A$301,0))&amp;"","(not found)"))</f>
        <v/>
      </c>
      <c r="P833" s="49" t="str">
        <f>IF(COUNTA($A833:$L833)=0,"",IF($A833="","Missing: entry ID",IF(COUNTIF($A$2:$A$2001,$A833)&gt;1,"Duplicate entry ID",IF(NOT(ISNUMBER($B833)),"Missing or invalid: date",IF($C833="","Missing: type",IF($D833="","Missing: SKU",IF(NOT(ISNUMBER($E833)),"Missing: qty",IF($F833="","Missing: lot",IF($I833="","Missing: source link",IF(COUNTIF(Config!$A$15:$A$34,$C833)=0,"Unsupported type",IF(COUNTIF(Products!$A$2:$A$101,$D833)=0,"Unknown SKU",IF(COUNTIFS(Batches!$A$2:$A$301,$F833,Batches!$B$2:$B$301,$D833)=0,"Unknown lot for this SKU",IF(AND($C833="Adjustment",$G833=""),"Missing: reason",IF(AND($G833&lt;&gt;"",COUNTIF(Config!$B$15:$B$34,$G833)=0),"Unsupported reason",IF(OR(INT($E833)&lt;&gt;$E833,AND(OR($C833="Receipt",$C833="Shipment"),$E833&lt;=0),AND($C833="Adjustment",$E833=0)),"Invalid qty",IF($B833&gt;Config!$B$4,"Date after the as-of date",IF($B833&lt;Config!$B$5,"Date before the opening balance date","OK")))))))))))))))))</f>
        <v/>
      </c>
    </row>
    <row r="834">
      <c r="A834" s="46" t="n"/>
      <c r="B834" s="54" t="n"/>
      <c r="C834" s="46" t="n"/>
      <c r="D834" s="46" t="n"/>
      <c r="E834" s="55" t="n"/>
      <c r="F834" s="46" t="n"/>
      <c r="G834" s="46" t="n"/>
      <c r="H834" s="46" t="n"/>
      <c r="I834" s="46" t="n"/>
      <c r="J834" s="46" t="n"/>
      <c r="K834" s="46" t="n"/>
      <c r="L834" s="46" t="n"/>
      <c r="M834" s="51" t="str">
        <f>IF(NOT(ISNUMBER($E834)),"",IF($C834="Receipt",$E834,IF($C834="Shipment",-$E834,IF($C834="Adjustment",$E834,0))))</f>
        <v/>
      </c>
      <c r="N834" s="49" t="str">
        <f>IF($D834="","",IFERROR(INDEX(Products!$B$2:$B$101,MATCH($D834,Products!$A$2:$A$101,0))&amp;"","(not found)"))</f>
        <v/>
      </c>
      <c r="O834" s="49" t="str">
        <f>IF($F834="","",IFERROR(INDEX(Batches!$B$2:$B$301,MATCH($F834,Batches!$A$2:$A$301,0))&amp;"","(not found)"))</f>
        <v/>
      </c>
      <c r="P834" s="49" t="str">
        <f>IF(COUNTA($A834:$L834)=0,"",IF($A834="","Missing: entry ID",IF(COUNTIF($A$2:$A$2001,$A834)&gt;1,"Duplicate entry ID",IF(NOT(ISNUMBER($B834)),"Missing or invalid: date",IF($C834="","Missing: type",IF($D834="","Missing: SKU",IF(NOT(ISNUMBER($E834)),"Missing: qty",IF($F834="","Missing: lot",IF($I834="","Missing: source link",IF(COUNTIF(Config!$A$15:$A$34,$C834)=0,"Unsupported type",IF(COUNTIF(Products!$A$2:$A$101,$D834)=0,"Unknown SKU",IF(COUNTIFS(Batches!$A$2:$A$301,$F834,Batches!$B$2:$B$301,$D834)=0,"Unknown lot for this SKU",IF(AND($C834="Adjustment",$G834=""),"Missing: reason",IF(AND($G834&lt;&gt;"",COUNTIF(Config!$B$15:$B$34,$G834)=0),"Unsupported reason",IF(OR(INT($E834)&lt;&gt;$E834,AND(OR($C834="Receipt",$C834="Shipment"),$E834&lt;=0),AND($C834="Adjustment",$E834=0)),"Invalid qty",IF($B834&gt;Config!$B$4,"Date after the as-of date",IF($B834&lt;Config!$B$5,"Date before the opening balance date","OK")))))))))))))))))</f>
        <v/>
      </c>
    </row>
    <row r="835">
      <c r="A835" s="46" t="n"/>
      <c r="B835" s="54" t="n"/>
      <c r="C835" s="46" t="n"/>
      <c r="D835" s="46" t="n"/>
      <c r="E835" s="55" t="n"/>
      <c r="F835" s="46" t="n"/>
      <c r="G835" s="46" t="n"/>
      <c r="H835" s="46" t="n"/>
      <c r="I835" s="46" t="n"/>
      <c r="J835" s="46" t="n"/>
      <c r="K835" s="46" t="n"/>
      <c r="L835" s="46" t="n"/>
      <c r="M835" s="51" t="str">
        <f>IF(NOT(ISNUMBER($E835)),"",IF($C835="Receipt",$E835,IF($C835="Shipment",-$E835,IF($C835="Adjustment",$E835,0))))</f>
        <v/>
      </c>
      <c r="N835" s="49" t="str">
        <f>IF($D835="","",IFERROR(INDEX(Products!$B$2:$B$101,MATCH($D835,Products!$A$2:$A$101,0))&amp;"","(not found)"))</f>
        <v/>
      </c>
      <c r="O835" s="49" t="str">
        <f>IF($F835="","",IFERROR(INDEX(Batches!$B$2:$B$301,MATCH($F835,Batches!$A$2:$A$301,0))&amp;"","(not found)"))</f>
        <v/>
      </c>
      <c r="P835" s="49" t="str">
        <f>IF(COUNTA($A835:$L835)=0,"",IF($A835="","Missing: entry ID",IF(COUNTIF($A$2:$A$2001,$A835)&gt;1,"Duplicate entry ID",IF(NOT(ISNUMBER($B835)),"Missing or invalid: date",IF($C835="","Missing: type",IF($D835="","Missing: SKU",IF(NOT(ISNUMBER($E835)),"Missing: qty",IF($F835="","Missing: lot",IF($I835="","Missing: source link",IF(COUNTIF(Config!$A$15:$A$34,$C835)=0,"Unsupported type",IF(COUNTIF(Products!$A$2:$A$101,$D835)=0,"Unknown SKU",IF(COUNTIFS(Batches!$A$2:$A$301,$F835,Batches!$B$2:$B$301,$D835)=0,"Unknown lot for this SKU",IF(AND($C835="Adjustment",$G835=""),"Missing: reason",IF(AND($G835&lt;&gt;"",COUNTIF(Config!$B$15:$B$34,$G835)=0),"Unsupported reason",IF(OR(INT($E835)&lt;&gt;$E835,AND(OR($C835="Receipt",$C835="Shipment"),$E835&lt;=0),AND($C835="Adjustment",$E835=0)),"Invalid qty",IF($B835&gt;Config!$B$4,"Date after the as-of date",IF($B835&lt;Config!$B$5,"Date before the opening balance date","OK")))))))))))))))))</f>
        <v/>
      </c>
    </row>
    <row r="836">
      <c r="A836" s="46" t="n"/>
      <c r="B836" s="54" t="n"/>
      <c r="C836" s="46" t="n"/>
      <c r="D836" s="46" t="n"/>
      <c r="E836" s="55" t="n"/>
      <c r="F836" s="46" t="n"/>
      <c r="G836" s="46" t="n"/>
      <c r="H836" s="46" t="n"/>
      <c r="I836" s="46" t="n"/>
      <c r="J836" s="46" t="n"/>
      <c r="K836" s="46" t="n"/>
      <c r="L836" s="46" t="n"/>
      <c r="M836" s="51" t="str">
        <f>IF(NOT(ISNUMBER($E836)),"",IF($C836="Receipt",$E836,IF($C836="Shipment",-$E836,IF($C836="Adjustment",$E836,0))))</f>
        <v/>
      </c>
      <c r="N836" s="49" t="str">
        <f>IF($D836="","",IFERROR(INDEX(Products!$B$2:$B$101,MATCH($D836,Products!$A$2:$A$101,0))&amp;"","(not found)"))</f>
        <v/>
      </c>
      <c r="O836" s="49" t="str">
        <f>IF($F836="","",IFERROR(INDEX(Batches!$B$2:$B$301,MATCH($F836,Batches!$A$2:$A$301,0))&amp;"","(not found)"))</f>
        <v/>
      </c>
      <c r="P836" s="49" t="str">
        <f>IF(COUNTA($A836:$L836)=0,"",IF($A836="","Missing: entry ID",IF(COUNTIF($A$2:$A$2001,$A836)&gt;1,"Duplicate entry ID",IF(NOT(ISNUMBER($B836)),"Missing or invalid: date",IF($C836="","Missing: type",IF($D836="","Missing: SKU",IF(NOT(ISNUMBER($E836)),"Missing: qty",IF($F836="","Missing: lot",IF($I836="","Missing: source link",IF(COUNTIF(Config!$A$15:$A$34,$C836)=0,"Unsupported type",IF(COUNTIF(Products!$A$2:$A$101,$D836)=0,"Unknown SKU",IF(COUNTIFS(Batches!$A$2:$A$301,$F836,Batches!$B$2:$B$301,$D836)=0,"Unknown lot for this SKU",IF(AND($C836="Adjustment",$G836=""),"Missing: reason",IF(AND($G836&lt;&gt;"",COUNTIF(Config!$B$15:$B$34,$G836)=0),"Unsupported reason",IF(OR(INT($E836)&lt;&gt;$E836,AND(OR($C836="Receipt",$C836="Shipment"),$E836&lt;=0),AND($C836="Adjustment",$E836=0)),"Invalid qty",IF($B836&gt;Config!$B$4,"Date after the as-of date",IF($B836&lt;Config!$B$5,"Date before the opening balance date","OK")))))))))))))))))</f>
        <v/>
      </c>
    </row>
    <row r="837">
      <c r="A837" s="46" t="n"/>
      <c r="B837" s="54" t="n"/>
      <c r="C837" s="46" t="n"/>
      <c r="D837" s="46" t="n"/>
      <c r="E837" s="55" t="n"/>
      <c r="F837" s="46" t="n"/>
      <c r="G837" s="46" t="n"/>
      <c r="H837" s="46" t="n"/>
      <c r="I837" s="46" t="n"/>
      <c r="J837" s="46" t="n"/>
      <c r="K837" s="46" t="n"/>
      <c r="L837" s="46" t="n"/>
      <c r="M837" s="51" t="str">
        <f>IF(NOT(ISNUMBER($E837)),"",IF($C837="Receipt",$E837,IF($C837="Shipment",-$E837,IF($C837="Adjustment",$E837,0))))</f>
        <v/>
      </c>
      <c r="N837" s="49" t="str">
        <f>IF($D837="","",IFERROR(INDEX(Products!$B$2:$B$101,MATCH($D837,Products!$A$2:$A$101,0))&amp;"","(not found)"))</f>
        <v/>
      </c>
      <c r="O837" s="49" t="str">
        <f>IF($F837="","",IFERROR(INDEX(Batches!$B$2:$B$301,MATCH($F837,Batches!$A$2:$A$301,0))&amp;"","(not found)"))</f>
        <v/>
      </c>
      <c r="P837" s="49" t="str">
        <f>IF(COUNTA($A837:$L837)=0,"",IF($A837="","Missing: entry ID",IF(COUNTIF($A$2:$A$2001,$A837)&gt;1,"Duplicate entry ID",IF(NOT(ISNUMBER($B837)),"Missing or invalid: date",IF($C837="","Missing: type",IF($D837="","Missing: SKU",IF(NOT(ISNUMBER($E837)),"Missing: qty",IF($F837="","Missing: lot",IF($I837="","Missing: source link",IF(COUNTIF(Config!$A$15:$A$34,$C837)=0,"Unsupported type",IF(COUNTIF(Products!$A$2:$A$101,$D837)=0,"Unknown SKU",IF(COUNTIFS(Batches!$A$2:$A$301,$F837,Batches!$B$2:$B$301,$D837)=0,"Unknown lot for this SKU",IF(AND($C837="Adjustment",$G837=""),"Missing: reason",IF(AND($G837&lt;&gt;"",COUNTIF(Config!$B$15:$B$34,$G837)=0),"Unsupported reason",IF(OR(INT($E837)&lt;&gt;$E837,AND(OR($C837="Receipt",$C837="Shipment"),$E837&lt;=0),AND($C837="Adjustment",$E837=0)),"Invalid qty",IF($B837&gt;Config!$B$4,"Date after the as-of date",IF($B837&lt;Config!$B$5,"Date before the opening balance date","OK")))))))))))))))))</f>
        <v/>
      </c>
    </row>
    <row r="838">
      <c r="A838" s="46" t="n"/>
      <c r="B838" s="54" t="n"/>
      <c r="C838" s="46" t="n"/>
      <c r="D838" s="46" t="n"/>
      <c r="E838" s="55" t="n"/>
      <c r="F838" s="46" t="n"/>
      <c r="G838" s="46" t="n"/>
      <c r="H838" s="46" t="n"/>
      <c r="I838" s="46" t="n"/>
      <c r="J838" s="46" t="n"/>
      <c r="K838" s="46" t="n"/>
      <c r="L838" s="46" t="n"/>
      <c r="M838" s="51" t="str">
        <f>IF(NOT(ISNUMBER($E838)),"",IF($C838="Receipt",$E838,IF($C838="Shipment",-$E838,IF($C838="Adjustment",$E838,0))))</f>
        <v/>
      </c>
      <c r="N838" s="49" t="str">
        <f>IF($D838="","",IFERROR(INDEX(Products!$B$2:$B$101,MATCH($D838,Products!$A$2:$A$101,0))&amp;"","(not found)"))</f>
        <v/>
      </c>
      <c r="O838" s="49" t="str">
        <f>IF($F838="","",IFERROR(INDEX(Batches!$B$2:$B$301,MATCH($F838,Batches!$A$2:$A$301,0))&amp;"","(not found)"))</f>
        <v/>
      </c>
      <c r="P838" s="49" t="str">
        <f>IF(COUNTA($A838:$L838)=0,"",IF($A838="","Missing: entry ID",IF(COUNTIF($A$2:$A$2001,$A838)&gt;1,"Duplicate entry ID",IF(NOT(ISNUMBER($B838)),"Missing or invalid: date",IF($C838="","Missing: type",IF($D838="","Missing: SKU",IF(NOT(ISNUMBER($E838)),"Missing: qty",IF($F838="","Missing: lot",IF($I838="","Missing: source link",IF(COUNTIF(Config!$A$15:$A$34,$C838)=0,"Unsupported type",IF(COUNTIF(Products!$A$2:$A$101,$D838)=0,"Unknown SKU",IF(COUNTIFS(Batches!$A$2:$A$301,$F838,Batches!$B$2:$B$301,$D838)=0,"Unknown lot for this SKU",IF(AND($C838="Adjustment",$G838=""),"Missing: reason",IF(AND($G838&lt;&gt;"",COUNTIF(Config!$B$15:$B$34,$G838)=0),"Unsupported reason",IF(OR(INT($E838)&lt;&gt;$E838,AND(OR($C838="Receipt",$C838="Shipment"),$E838&lt;=0),AND($C838="Adjustment",$E838=0)),"Invalid qty",IF($B838&gt;Config!$B$4,"Date after the as-of date",IF($B838&lt;Config!$B$5,"Date before the opening balance date","OK")))))))))))))))))</f>
        <v/>
      </c>
    </row>
    <row r="839">
      <c r="A839" s="46" t="n"/>
      <c r="B839" s="54" t="n"/>
      <c r="C839" s="46" t="n"/>
      <c r="D839" s="46" t="n"/>
      <c r="E839" s="55" t="n"/>
      <c r="F839" s="46" t="n"/>
      <c r="G839" s="46" t="n"/>
      <c r="H839" s="46" t="n"/>
      <c r="I839" s="46" t="n"/>
      <c r="J839" s="46" t="n"/>
      <c r="K839" s="46" t="n"/>
      <c r="L839" s="46" t="n"/>
      <c r="M839" s="51" t="str">
        <f>IF(NOT(ISNUMBER($E839)),"",IF($C839="Receipt",$E839,IF($C839="Shipment",-$E839,IF($C839="Adjustment",$E839,0))))</f>
        <v/>
      </c>
      <c r="N839" s="49" t="str">
        <f>IF($D839="","",IFERROR(INDEX(Products!$B$2:$B$101,MATCH($D839,Products!$A$2:$A$101,0))&amp;"","(not found)"))</f>
        <v/>
      </c>
      <c r="O839" s="49" t="str">
        <f>IF($F839="","",IFERROR(INDEX(Batches!$B$2:$B$301,MATCH($F839,Batches!$A$2:$A$301,0))&amp;"","(not found)"))</f>
        <v/>
      </c>
      <c r="P839" s="49" t="str">
        <f>IF(COUNTA($A839:$L839)=0,"",IF($A839="","Missing: entry ID",IF(COUNTIF($A$2:$A$2001,$A839)&gt;1,"Duplicate entry ID",IF(NOT(ISNUMBER($B839)),"Missing or invalid: date",IF($C839="","Missing: type",IF($D839="","Missing: SKU",IF(NOT(ISNUMBER($E839)),"Missing: qty",IF($F839="","Missing: lot",IF($I839="","Missing: source link",IF(COUNTIF(Config!$A$15:$A$34,$C839)=0,"Unsupported type",IF(COUNTIF(Products!$A$2:$A$101,$D839)=0,"Unknown SKU",IF(COUNTIFS(Batches!$A$2:$A$301,$F839,Batches!$B$2:$B$301,$D839)=0,"Unknown lot for this SKU",IF(AND($C839="Adjustment",$G839=""),"Missing: reason",IF(AND($G839&lt;&gt;"",COUNTIF(Config!$B$15:$B$34,$G839)=0),"Unsupported reason",IF(OR(INT($E839)&lt;&gt;$E839,AND(OR($C839="Receipt",$C839="Shipment"),$E839&lt;=0),AND($C839="Adjustment",$E839=0)),"Invalid qty",IF($B839&gt;Config!$B$4,"Date after the as-of date",IF($B839&lt;Config!$B$5,"Date before the opening balance date","OK")))))))))))))))))</f>
        <v/>
      </c>
    </row>
    <row r="840">
      <c r="A840" s="46" t="n"/>
      <c r="B840" s="54" t="n"/>
      <c r="C840" s="46" t="n"/>
      <c r="D840" s="46" t="n"/>
      <c r="E840" s="55" t="n"/>
      <c r="F840" s="46" t="n"/>
      <c r="G840" s="46" t="n"/>
      <c r="H840" s="46" t="n"/>
      <c r="I840" s="46" t="n"/>
      <c r="J840" s="46" t="n"/>
      <c r="K840" s="46" t="n"/>
      <c r="L840" s="46" t="n"/>
      <c r="M840" s="51" t="str">
        <f>IF(NOT(ISNUMBER($E840)),"",IF($C840="Receipt",$E840,IF($C840="Shipment",-$E840,IF($C840="Adjustment",$E840,0))))</f>
        <v/>
      </c>
      <c r="N840" s="49" t="str">
        <f>IF($D840="","",IFERROR(INDEX(Products!$B$2:$B$101,MATCH($D840,Products!$A$2:$A$101,0))&amp;"","(not found)"))</f>
        <v/>
      </c>
      <c r="O840" s="49" t="str">
        <f>IF($F840="","",IFERROR(INDEX(Batches!$B$2:$B$301,MATCH($F840,Batches!$A$2:$A$301,0))&amp;"","(not found)"))</f>
        <v/>
      </c>
      <c r="P840" s="49" t="str">
        <f>IF(COUNTA($A840:$L840)=0,"",IF($A840="","Missing: entry ID",IF(COUNTIF($A$2:$A$2001,$A840)&gt;1,"Duplicate entry ID",IF(NOT(ISNUMBER($B840)),"Missing or invalid: date",IF($C840="","Missing: type",IF($D840="","Missing: SKU",IF(NOT(ISNUMBER($E840)),"Missing: qty",IF($F840="","Missing: lot",IF($I840="","Missing: source link",IF(COUNTIF(Config!$A$15:$A$34,$C840)=0,"Unsupported type",IF(COUNTIF(Products!$A$2:$A$101,$D840)=0,"Unknown SKU",IF(COUNTIFS(Batches!$A$2:$A$301,$F840,Batches!$B$2:$B$301,$D840)=0,"Unknown lot for this SKU",IF(AND($C840="Adjustment",$G840=""),"Missing: reason",IF(AND($G840&lt;&gt;"",COUNTIF(Config!$B$15:$B$34,$G840)=0),"Unsupported reason",IF(OR(INT($E840)&lt;&gt;$E840,AND(OR($C840="Receipt",$C840="Shipment"),$E840&lt;=0),AND($C840="Adjustment",$E840=0)),"Invalid qty",IF($B840&gt;Config!$B$4,"Date after the as-of date",IF($B840&lt;Config!$B$5,"Date before the opening balance date","OK")))))))))))))))))</f>
        <v/>
      </c>
    </row>
    <row r="841">
      <c r="A841" s="46" t="n"/>
      <c r="B841" s="54" t="n"/>
      <c r="C841" s="46" t="n"/>
      <c r="D841" s="46" t="n"/>
      <c r="E841" s="55" t="n"/>
      <c r="F841" s="46" t="n"/>
      <c r="G841" s="46" t="n"/>
      <c r="H841" s="46" t="n"/>
      <c r="I841" s="46" t="n"/>
      <c r="J841" s="46" t="n"/>
      <c r="K841" s="46" t="n"/>
      <c r="L841" s="46" t="n"/>
      <c r="M841" s="51" t="str">
        <f>IF(NOT(ISNUMBER($E841)),"",IF($C841="Receipt",$E841,IF($C841="Shipment",-$E841,IF($C841="Adjustment",$E841,0))))</f>
        <v/>
      </c>
      <c r="N841" s="49" t="str">
        <f>IF($D841="","",IFERROR(INDEX(Products!$B$2:$B$101,MATCH($D841,Products!$A$2:$A$101,0))&amp;"","(not found)"))</f>
        <v/>
      </c>
      <c r="O841" s="49" t="str">
        <f>IF($F841="","",IFERROR(INDEX(Batches!$B$2:$B$301,MATCH($F841,Batches!$A$2:$A$301,0))&amp;"","(not found)"))</f>
        <v/>
      </c>
      <c r="P841" s="49" t="str">
        <f>IF(COUNTA($A841:$L841)=0,"",IF($A841="","Missing: entry ID",IF(COUNTIF($A$2:$A$2001,$A841)&gt;1,"Duplicate entry ID",IF(NOT(ISNUMBER($B841)),"Missing or invalid: date",IF($C841="","Missing: type",IF($D841="","Missing: SKU",IF(NOT(ISNUMBER($E841)),"Missing: qty",IF($F841="","Missing: lot",IF($I841="","Missing: source link",IF(COUNTIF(Config!$A$15:$A$34,$C841)=0,"Unsupported type",IF(COUNTIF(Products!$A$2:$A$101,$D841)=0,"Unknown SKU",IF(COUNTIFS(Batches!$A$2:$A$301,$F841,Batches!$B$2:$B$301,$D841)=0,"Unknown lot for this SKU",IF(AND($C841="Adjustment",$G841=""),"Missing: reason",IF(AND($G841&lt;&gt;"",COUNTIF(Config!$B$15:$B$34,$G841)=0),"Unsupported reason",IF(OR(INT($E841)&lt;&gt;$E841,AND(OR($C841="Receipt",$C841="Shipment"),$E841&lt;=0),AND($C841="Adjustment",$E841=0)),"Invalid qty",IF($B841&gt;Config!$B$4,"Date after the as-of date",IF($B841&lt;Config!$B$5,"Date before the opening balance date","OK")))))))))))))))))</f>
        <v/>
      </c>
    </row>
    <row r="842">
      <c r="A842" s="46" t="n"/>
      <c r="B842" s="54" t="n"/>
      <c r="C842" s="46" t="n"/>
      <c r="D842" s="46" t="n"/>
      <c r="E842" s="55" t="n"/>
      <c r="F842" s="46" t="n"/>
      <c r="G842" s="46" t="n"/>
      <c r="H842" s="46" t="n"/>
      <c r="I842" s="46" t="n"/>
      <c r="J842" s="46" t="n"/>
      <c r="K842" s="46" t="n"/>
      <c r="L842" s="46" t="n"/>
      <c r="M842" s="51" t="str">
        <f>IF(NOT(ISNUMBER($E842)),"",IF($C842="Receipt",$E842,IF($C842="Shipment",-$E842,IF($C842="Adjustment",$E842,0))))</f>
        <v/>
      </c>
      <c r="N842" s="49" t="str">
        <f>IF($D842="","",IFERROR(INDEX(Products!$B$2:$B$101,MATCH($D842,Products!$A$2:$A$101,0))&amp;"","(not found)"))</f>
        <v/>
      </c>
      <c r="O842" s="49" t="str">
        <f>IF($F842="","",IFERROR(INDEX(Batches!$B$2:$B$301,MATCH($F842,Batches!$A$2:$A$301,0))&amp;"","(not found)"))</f>
        <v/>
      </c>
      <c r="P842" s="49" t="str">
        <f>IF(COUNTA($A842:$L842)=0,"",IF($A842="","Missing: entry ID",IF(COUNTIF($A$2:$A$2001,$A842)&gt;1,"Duplicate entry ID",IF(NOT(ISNUMBER($B842)),"Missing or invalid: date",IF($C842="","Missing: type",IF($D842="","Missing: SKU",IF(NOT(ISNUMBER($E842)),"Missing: qty",IF($F842="","Missing: lot",IF($I842="","Missing: source link",IF(COUNTIF(Config!$A$15:$A$34,$C842)=0,"Unsupported type",IF(COUNTIF(Products!$A$2:$A$101,$D842)=0,"Unknown SKU",IF(COUNTIFS(Batches!$A$2:$A$301,$F842,Batches!$B$2:$B$301,$D842)=0,"Unknown lot for this SKU",IF(AND($C842="Adjustment",$G842=""),"Missing: reason",IF(AND($G842&lt;&gt;"",COUNTIF(Config!$B$15:$B$34,$G842)=0),"Unsupported reason",IF(OR(INT($E842)&lt;&gt;$E842,AND(OR($C842="Receipt",$C842="Shipment"),$E842&lt;=0),AND($C842="Adjustment",$E842=0)),"Invalid qty",IF($B842&gt;Config!$B$4,"Date after the as-of date",IF($B842&lt;Config!$B$5,"Date before the opening balance date","OK")))))))))))))))))</f>
        <v/>
      </c>
    </row>
    <row r="843">
      <c r="A843" s="46" t="n"/>
      <c r="B843" s="54" t="n"/>
      <c r="C843" s="46" t="n"/>
      <c r="D843" s="46" t="n"/>
      <c r="E843" s="55" t="n"/>
      <c r="F843" s="46" t="n"/>
      <c r="G843" s="46" t="n"/>
      <c r="H843" s="46" t="n"/>
      <c r="I843" s="46" t="n"/>
      <c r="J843" s="46" t="n"/>
      <c r="K843" s="46" t="n"/>
      <c r="L843" s="46" t="n"/>
      <c r="M843" s="51" t="str">
        <f>IF(NOT(ISNUMBER($E843)),"",IF($C843="Receipt",$E843,IF($C843="Shipment",-$E843,IF($C843="Adjustment",$E843,0))))</f>
        <v/>
      </c>
      <c r="N843" s="49" t="str">
        <f>IF($D843="","",IFERROR(INDEX(Products!$B$2:$B$101,MATCH($D843,Products!$A$2:$A$101,0))&amp;"","(not found)"))</f>
        <v/>
      </c>
      <c r="O843" s="49" t="str">
        <f>IF($F843="","",IFERROR(INDEX(Batches!$B$2:$B$301,MATCH($F843,Batches!$A$2:$A$301,0))&amp;"","(not found)"))</f>
        <v/>
      </c>
      <c r="P843" s="49" t="str">
        <f>IF(COUNTA($A843:$L843)=0,"",IF($A843="","Missing: entry ID",IF(COUNTIF($A$2:$A$2001,$A843)&gt;1,"Duplicate entry ID",IF(NOT(ISNUMBER($B843)),"Missing or invalid: date",IF($C843="","Missing: type",IF($D843="","Missing: SKU",IF(NOT(ISNUMBER($E843)),"Missing: qty",IF($F843="","Missing: lot",IF($I843="","Missing: source link",IF(COUNTIF(Config!$A$15:$A$34,$C843)=0,"Unsupported type",IF(COUNTIF(Products!$A$2:$A$101,$D843)=0,"Unknown SKU",IF(COUNTIFS(Batches!$A$2:$A$301,$F843,Batches!$B$2:$B$301,$D843)=0,"Unknown lot for this SKU",IF(AND($C843="Adjustment",$G843=""),"Missing: reason",IF(AND($G843&lt;&gt;"",COUNTIF(Config!$B$15:$B$34,$G843)=0),"Unsupported reason",IF(OR(INT($E843)&lt;&gt;$E843,AND(OR($C843="Receipt",$C843="Shipment"),$E843&lt;=0),AND($C843="Adjustment",$E843=0)),"Invalid qty",IF($B843&gt;Config!$B$4,"Date after the as-of date",IF($B843&lt;Config!$B$5,"Date before the opening balance date","OK")))))))))))))))))</f>
        <v/>
      </c>
    </row>
    <row r="844">
      <c r="A844" s="46" t="n"/>
      <c r="B844" s="54" t="n"/>
      <c r="C844" s="46" t="n"/>
      <c r="D844" s="46" t="n"/>
      <c r="E844" s="55" t="n"/>
      <c r="F844" s="46" t="n"/>
      <c r="G844" s="46" t="n"/>
      <c r="H844" s="46" t="n"/>
      <c r="I844" s="46" t="n"/>
      <c r="J844" s="46" t="n"/>
      <c r="K844" s="46" t="n"/>
      <c r="L844" s="46" t="n"/>
      <c r="M844" s="51" t="str">
        <f>IF(NOT(ISNUMBER($E844)),"",IF($C844="Receipt",$E844,IF($C844="Shipment",-$E844,IF($C844="Adjustment",$E844,0))))</f>
        <v/>
      </c>
      <c r="N844" s="49" t="str">
        <f>IF($D844="","",IFERROR(INDEX(Products!$B$2:$B$101,MATCH($D844,Products!$A$2:$A$101,0))&amp;"","(not found)"))</f>
        <v/>
      </c>
      <c r="O844" s="49" t="str">
        <f>IF($F844="","",IFERROR(INDEX(Batches!$B$2:$B$301,MATCH($F844,Batches!$A$2:$A$301,0))&amp;"","(not found)"))</f>
        <v/>
      </c>
      <c r="P844" s="49" t="str">
        <f>IF(COUNTA($A844:$L844)=0,"",IF($A844="","Missing: entry ID",IF(COUNTIF($A$2:$A$2001,$A844)&gt;1,"Duplicate entry ID",IF(NOT(ISNUMBER($B844)),"Missing or invalid: date",IF($C844="","Missing: type",IF($D844="","Missing: SKU",IF(NOT(ISNUMBER($E844)),"Missing: qty",IF($F844="","Missing: lot",IF($I844="","Missing: source link",IF(COUNTIF(Config!$A$15:$A$34,$C844)=0,"Unsupported type",IF(COUNTIF(Products!$A$2:$A$101,$D844)=0,"Unknown SKU",IF(COUNTIFS(Batches!$A$2:$A$301,$F844,Batches!$B$2:$B$301,$D844)=0,"Unknown lot for this SKU",IF(AND($C844="Adjustment",$G844=""),"Missing: reason",IF(AND($G844&lt;&gt;"",COUNTIF(Config!$B$15:$B$34,$G844)=0),"Unsupported reason",IF(OR(INT($E844)&lt;&gt;$E844,AND(OR($C844="Receipt",$C844="Shipment"),$E844&lt;=0),AND($C844="Adjustment",$E844=0)),"Invalid qty",IF($B844&gt;Config!$B$4,"Date after the as-of date",IF($B844&lt;Config!$B$5,"Date before the opening balance date","OK")))))))))))))))))</f>
        <v/>
      </c>
    </row>
    <row r="845">
      <c r="A845" s="46" t="n"/>
      <c r="B845" s="54" t="n"/>
      <c r="C845" s="46" t="n"/>
      <c r="D845" s="46" t="n"/>
      <c r="E845" s="55" t="n"/>
      <c r="F845" s="46" t="n"/>
      <c r="G845" s="46" t="n"/>
      <c r="H845" s="46" t="n"/>
      <c r="I845" s="46" t="n"/>
      <c r="J845" s="46" t="n"/>
      <c r="K845" s="46" t="n"/>
      <c r="L845" s="46" t="n"/>
      <c r="M845" s="51" t="str">
        <f>IF(NOT(ISNUMBER($E845)),"",IF($C845="Receipt",$E845,IF($C845="Shipment",-$E845,IF($C845="Adjustment",$E845,0))))</f>
        <v/>
      </c>
      <c r="N845" s="49" t="str">
        <f>IF($D845="","",IFERROR(INDEX(Products!$B$2:$B$101,MATCH($D845,Products!$A$2:$A$101,0))&amp;"","(not found)"))</f>
        <v/>
      </c>
      <c r="O845" s="49" t="str">
        <f>IF($F845="","",IFERROR(INDEX(Batches!$B$2:$B$301,MATCH($F845,Batches!$A$2:$A$301,0))&amp;"","(not found)"))</f>
        <v/>
      </c>
      <c r="P845" s="49" t="str">
        <f>IF(COUNTA($A845:$L845)=0,"",IF($A845="","Missing: entry ID",IF(COUNTIF($A$2:$A$2001,$A845)&gt;1,"Duplicate entry ID",IF(NOT(ISNUMBER($B845)),"Missing or invalid: date",IF($C845="","Missing: type",IF($D845="","Missing: SKU",IF(NOT(ISNUMBER($E845)),"Missing: qty",IF($F845="","Missing: lot",IF($I845="","Missing: source link",IF(COUNTIF(Config!$A$15:$A$34,$C845)=0,"Unsupported type",IF(COUNTIF(Products!$A$2:$A$101,$D845)=0,"Unknown SKU",IF(COUNTIFS(Batches!$A$2:$A$301,$F845,Batches!$B$2:$B$301,$D845)=0,"Unknown lot for this SKU",IF(AND($C845="Adjustment",$G845=""),"Missing: reason",IF(AND($G845&lt;&gt;"",COUNTIF(Config!$B$15:$B$34,$G845)=0),"Unsupported reason",IF(OR(INT($E845)&lt;&gt;$E845,AND(OR($C845="Receipt",$C845="Shipment"),$E845&lt;=0),AND($C845="Adjustment",$E845=0)),"Invalid qty",IF($B845&gt;Config!$B$4,"Date after the as-of date",IF($B845&lt;Config!$B$5,"Date before the opening balance date","OK")))))))))))))))))</f>
        <v/>
      </c>
    </row>
    <row r="846">
      <c r="A846" s="46" t="n"/>
      <c r="B846" s="54" t="n"/>
      <c r="C846" s="46" t="n"/>
      <c r="D846" s="46" t="n"/>
      <c r="E846" s="55" t="n"/>
      <c r="F846" s="46" t="n"/>
      <c r="G846" s="46" t="n"/>
      <c r="H846" s="46" t="n"/>
      <c r="I846" s="46" t="n"/>
      <c r="J846" s="46" t="n"/>
      <c r="K846" s="46" t="n"/>
      <c r="L846" s="46" t="n"/>
      <c r="M846" s="51" t="str">
        <f>IF(NOT(ISNUMBER($E846)),"",IF($C846="Receipt",$E846,IF($C846="Shipment",-$E846,IF($C846="Adjustment",$E846,0))))</f>
        <v/>
      </c>
      <c r="N846" s="49" t="str">
        <f>IF($D846="","",IFERROR(INDEX(Products!$B$2:$B$101,MATCH($D846,Products!$A$2:$A$101,0))&amp;"","(not found)"))</f>
        <v/>
      </c>
      <c r="O846" s="49" t="str">
        <f>IF($F846="","",IFERROR(INDEX(Batches!$B$2:$B$301,MATCH($F846,Batches!$A$2:$A$301,0))&amp;"","(not found)"))</f>
        <v/>
      </c>
      <c r="P846" s="49" t="str">
        <f>IF(COUNTA($A846:$L846)=0,"",IF($A846="","Missing: entry ID",IF(COUNTIF($A$2:$A$2001,$A846)&gt;1,"Duplicate entry ID",IF(NOT(ISNUMBER($B846)),"Missing or invalid: date",IF($C846="","Missing: type",IF($D846="","Missing: SKU",IF(NOT(ISNUMBER($E846)),"Missing: qty",IF($F846="","Missing: lot",IF($I846="","Missing: source link",IF(COUNTIF(Config!$A$15:$A$34,$C846)=0,"Unsupported type",IF(COUNTIF(Products!$A$2:$A$101,$D846)=0,"Unknown SKU",IF(COUNTIFS(Batches!$A$2:$A$301,$F846,Batches!$B$2:$B$301,$D846)=0,"Unknown lot for this SKU",IF(AND($C846="Adjustment",$G846=""),"Missing: reason",IF(AND($G846&lt;&gt;"",COUNTIF(Config!$B$15:$B$34,$G846)=0),"Unsupported reason",IF(OR(INT($E846)&lt;&gt;$E846,AND(OR($C846="Receipt",$C846="Shipment"),$E846&lt;=0),AND($C846="Adjustment",$E846=0)),"Invalid qty",IF($B846&gt;Config!$B$4,"Date after the as-of date",IF($B846&lt;Config!$B$5,"Date before the opening balance date","OK")))))))))))))))))</f>
        <v/>
      </c>
    </row>
    <row r="847">
      <c r="A847" s="46" t="n"/>
      <c r="B847" s="54" t="n"/>
      <c r="C847" s="46" t="n"/>
      <c r="D847" s="46" t="n"/>
      <c r="E847" s="55" t="n"/>
      <c r="F847" s="46" t="n"/>
      <c r="G847" s="46" t="n"/>
      <c r="H847" s="46" t="n"/>
      <c r="I847" s="46" t="n"/>
      <c r="J847" s="46" t="n"/>
      <c r="K847" s="46" t="n"/>
      <c r="L847" s="46" t="n"/>
      <c r="M847" s="51" t="str">
        <f>IF(NOT(ISNUMBER($E847)),"",IF($C847="Receipt",$E847,IF($C847="Shipment",-$E847,IF($C847="Adjustment",$E847,0))))</f>
        <v/>
      </c>
      <c r="N847" s="49" t="str">
        <f>IF($D847="","",IFERROR(INDEX(Products!$B$2:$B$101,MATCH($D847,Products!$A$2:$A$101,0))&amp;"","(not found)"))</f>
        <v/>
      </c>
      <c r="O847" s="49" t="str">
        <f>IF($F847="","",IFERROR(INDEX(Batches!$B$2:$B$301,MATCH($F847,Batches!$A$2:$A$301,0))&amp;"","(not found)"))</f>
        <v/>
      </c>
      <c r="P847" s="49" t="str">
        <f>IF(COUNTA($A847:$L847)=0,"",IF($A847="","Missing: entry ID",IF(COUNTIF($A$2:$A$2001,$A847)&gt;1,"Duplicate entry ID",IF(NOT(ISNUMBER($B847)),"Missing or invalid: date",IF($C847="","Missing: type",IF($D847="","Missing: SKU",IF(NOT(ISNUMBER($E847)),"Missing: qty",IF($F847="","Missing: lot",IF($I847="","Missing: source link",IF(COUNTIF(Config!$A$15:$A$34,$C847)=0,"Unsupported type",IF(COUNTIF(Products!$A$2:$A$101,$D847)=0,"Unknown SKU",IF(COUNTIFS(Batches!$A$2:$A$301,$F847,Batches!$B$2:$B$301,$D847)=0,"Unknown lot for this SKU",IF(AND($C847="Adjustment",$G847=""),"Missing: reason",IF(AND($G847&lt;&gt;"",COUNTIF(Config!$B$15:$B$34,$G847)=0),"Unsupported reason",IF(OR(INT($E847)&lt;&gt;$E847,AND(OR($C847="Receipt",$C847="Shipment"),$E847&lt;=0),AND($C847="Adjustment",$E847=0)),"Invalid qty",IF($B847&gt;Config!$B$4,"Date after the as-of date",IF($B847&lt;Config!$B$5,"Date before the opening balance date","OK")))))))))))))))))</f>
        <v/>
      </c>
    </row>
    <row r="848">
      <c r="A848" s="46" t="n"/>
      <c r="B848" s="54" t="n"/>
      <c r="C848" s="46" t="n"/>
      <c r="D848" s="46" t="n"/>
      <c r="E848" s="55" t="n"/>
      <c r="F848" s="46" t="n"/>
      <c r="G848" s="46" t="n"/>
      <c r="H848" s="46" t="n"/>
      <c r="I848" s="46" t="n"/>
      <c r="J848" s="46" t="n"/>
      <c r="K848" s="46" t="n"/>
      <c r="L848" s="46" t="n"/>
      <c r="M848" s="51" t="str">
        <f>IF(NOT(ISNUMBER($E848)),"",IF($C848="Receipt",$E848,IF($C848="Shipment",-$E848,IF($C848="Adjustment",$E848,0))))</f>
        <v/>
      </c>
      <c r="N848" s="49" t="str">
        <f>IF($D848="","",IFERROR(INDEX(Products!$B$2:$B$101,MATCH($D848,Products!$A$2:$A$101,0))&amp;"","(not found)"))</f>
        <v/>
      </c>
      <c r="O848" s="49" t="str">
        <f>IF($F848="","",IFERROR(INDEX(Batches!$B$2:$B$301,MATCH($F848,Batches!$A$2:$A$301,0))&amp;"","(not found)"))</f>
        <v/>
      </c>
      <c r="P848" s="49" t="str">
        <f>IF(COUNTA($A848:$L848)=0,"",IF($A848="","Missing: entry ID",IF(COUNTIF($A$2:$A$2001,$A848)&gt;1,"Duplicate entry ID",IF(NOT(ISNUMBER($B848)),"Missing or invalid: date",IF($C848="","Missing: type",IF($D848="","Missing: SKU",IF(NOT(ISNUMBER($E848)),"Missing: qty",IF($F848="","Missing: lot",IF($I848="","Missing: source link",IF(COUNTIF(Config!$A$15:$A$34,$C848)=0,"Unsupported type",IF(COUNTIF(Products!$A$2:$A$101,$D848)=0,"Unknown SKU",IF(COUNTIFS(Batches!$A$2:$A$301,$F848,Batches!$B$2:$B$301,$D848)=0,"Unknown lot for this SKU",IF(AND($C848="Adjustment",$G848=""),"Missing: reason",IF(AND($G848&lt;&gt;"",COUNTIF(Config!$B$15:$B$34,$G848)=0),"Unsupported reason",IF(OR(INT($E848)&lt;&gt;$E848,AND(OR($C848="Receipt",$C848="Shipment"),$E848&lt;=0),AND($C848="Adjustment",$E848=0)),"Invalid qty",IF($B848&gt;Config!$B$4,"Date after the as-of date",IF($B848&lt;Config!$B$5,"Date before the opening balance date","OK")))))))))))))))))</f>
        <v/>
      </c>
    </row>
    <row r="849">
      <c r="A849" s="46" t="n"/>
      <c r="B849" s="54" t="n"/>
      <c r="C849" s="46" t="n"/>
      <c r="D849" s="46" t="n"/>
      <c r="E849" s="55" t="n"/>
      <c r="F849" s="46" t="n"/>
      <c r="G849" s="46" t="n"/>
      <c r="H849" s="46" t="n"/>
      <c r="I849" s="46" t="n"/>
      <c r="J849" s="46" t="n"/>
      <c r="K849" s="46" t="n"/>
      <c r="L849" s="46" t="n"/>
      <c r="M849" s="51" t="str">
        <f>IF(NOT(ISNUMBER($E849)),"",IF($C849="Receipt",$E849,IF($C849="Shipment",-$E849,IF($C849="Adjustment",$E849,0))))</f>
        <v/>
      </c>
      <c r="N849" s="49" t="str">
        <f>IF($D849="","",IFERROR(INDEX(Products!$B$2:$B$101,MATCH($D849,Products!$A$2:$A$101,0))&amp;"","(not found)"))</f>
        <v/>
      </c>
      <c r="O849" s="49" t="str">
        <f>IF($F849="","",IFERROR(INDEX(Batches!$B$2:$B$301,MATCH($F849,Batches!$A$2:$A$301,0))&amp;"","(not found)"))</f>
        <v/>
      </c>
      <c r="P849" s="49" t="str">
        <f>IF(COUNTA($A849:$L849)=0,"",IF($A849="","Missing: entry ID",IF(COUNTIF($A$2:$A$2001,$A849)&gt;1,"Duplicate entry ID",IF(NOT(ISNUMBER($B849)),"Missing or invalid: date",IF($C849="","Missing: type",IF($D849="","Missing: SKU",IF(NOT(ISNUMBER($E849)),"Missing: qty",IF($F849="","Missing: lot",IF($I849="","Missing: source link",IF(COUNTIF(Config!$A$15:$A$34,$C849)=0,"Unsupported type",IF(COUNTIF(Products!$A$2:$A$101,$D849)=0,"Unknown SKU",IF(COUNTIFS(Batches!$A$2:$A$301,$F849,Batches!$B$2:$B$301,$D849)=0,"Unknown lot for this SKU",IF(AND($C849="Adjustment",$G849=""),"Missing: reason",IF(AND($G849&lt;&gt;"",COUNTIF(Config!$B$15:$B$34,$G849)=0),"Unsupported reason",IF(OR(INT($E849)&lt;&gt;$E849,AND(OR($C849="Receipt",$C849="Shipment"),$E849&lt;=0),AND($C849="Adjustment",$E849=0)),"Invalid qty",IF($B849&gt;Config!$B$4,"Date after the as-of date",IF($B849&lt;Config!$B$5,"Date before the opening balance date","OK")))))))))))))))))</f>
        <v/>
      </c>
    </row>
    <row r="850">
      <c r="A850" s="46" t="n"/>
      <c r="B850" s="54" t="n"/>
      <c r="C850" s="46" t="n"/>
      <c r="D850" s="46" t="n"/>
      <c r="E850" s="55" t="n"/>
      <c r="F850" s="46" t="n"/>
      <c r="G850" s="46" t="n"/>
      <c r="H850" s="46" t="n"/>
      <c r="I850" s="46" t="n"/>
      <c r="J850" s="46" t="n"/>
      <c r="K850" s="46" t="n"/>
      <c r="L850" s="46" t="n"/>
      <c r="M850" s="51" t="str">
        <f>IF(NOT(ISNUMBER($E850)),"",IF($C850="Receipt",$E850,IF($C850="Shipment",-$E850,IF($C850="Adjustment",$E850,0))))</f>
        <v/>
      </c>
      <c r="N850" s="49" t="str">
        <f>IF($D850="","",IFERROR(INDEX(Products!$B$2:$B$101,MATCH($D850,Products!$A$2:$A$101,0))&amp;"","(not found)"))</f>
        <v/>
      </c>
      <c r="O850" s="49" t="str">
        <f>IF($F850="","",IFERROR(INDEX(Batches!$B$2:$B$301,MATCH($F850,Batches!$A$2:$A$301,0))&amp;"","(not found)"))</f>
        <v/>
      </c>
      <c r="P850" s="49" t="str">
        <f>IF(COUNTA($A850:$L850)=0,"",IF($A850="","Missing: entry ID",IF(COUNTIF($A$2:$A$2001,$A850)&gt;1,"Duplicate entry ID",IF(NOT(ISNUMBER($B850)),"Missing or invalid: date",IF($C850="","Missing: type",IF($D850="","Missing: SKU",IF(NOT(ISNUMBER($E850)),"Missing: qty",IF($F850="","Missing: lot",IF($I850="","Missing: source link",IF(COUNTIF(Config!$A$15:$A$34,$C850)=0,"Unsupported type",IF(COUNTIF(Products!$A$2:$A$101,$D850)=0,"Unknown SKU",IF(COUNTIFS(Batches!$A$2:$A$301,$F850,Batches!$B$2:$B$301,$D850)=0,"Unknown lot for this SKU",IF(AND($C850="Adjustment",$G850=""),"Missing: reason",IF(AND($G850&lt;&gt;"",COUNTIF(Config!$B$15:$B$34,$G850)=0),"Unsupported reason",IF(OR(INT($E850)&lt;&gt;$E850,AND(OR($C850="Receipt",$C850="Shipment"),$E850&lt;=0),AND($C850="Adjustment",$E850=0)),"Invalid qty",IF($B850&gt;Config!$B$4,"Date after the as-of date",IF($B850&lt;Config!$B$5,"Date before the opening balance date","OK")))))))))))))))))</f>
        <v/>
      </c>
    </row>
    <row r="851">
      <c r="A851" s="46" t="n"/>
      <c r="B851" s="54" t="n"/>
      <c r="C851" s="46" t="n"/>
      <c r="D851" s="46" t="n"/>
      <c r="E851" s="55" t="n"/>
      <c r="F851" s="46" t="n"/>
      <c r="G851" s="46" t="n"/>
      <c r="H851" s="46" t="n"/>
      <c r="I851" s="46" t="n"/>
      <c r="J851" s="46" t="n"/>
      <c r="K851" s="46" t="n"/>
      <c r="L851" s="46" t="n"/>
      <c r="M851" s="51" t="str">
        <f>IF(NOT(ISNUMBER($E851)),"",IF($C851="Receipt",$E851,IF($C851="Shipment",-$E851,IF($C851="Adjustment",$E851,0))))</f>
        <v/>
      </c>
      <c r="N851" s="49" t="str">
        <f>IF($D851="","",IFERROR(INDEX(Products!$B$2:$B$101,MATCH($D851,Products!$A$2:$A$101,0))&amp;"","(not found)"))</f>
        <v/>
      </c>
      <c r="O851" s="49" t="str">
        <f>IF($F851="","",IFERROR(INDEX(Batches!$B$2:$B$301,MATCH($F851,Batches!$A$2:$A$301,0))&amp;"","(not found)"))</f>
        <v/>
      </c>
      <c r="P851" s="49" t="str">
        <f>IF(COUNTA($A851:$L851)=0,"",IF($A851="","Missing: entry ID",IF(COUNTIF($A$2:$A$2001,$A851)&gt;1,"Duplicate entry ID",IF(NOT(ISNUMBER($B851)),"Missing or invalid: date",IF($C851="","Missing: type",IF($D851="","Missing: SKU",IF(NOT(ISNUMBER($E851)),"Missing: qty",IF($F851="","Missing: lot",IF($I851="","Missing: source link",IF(COUNTIF(Config!$A$15:$A$34,$C851)=0,"Unsupported type",IF(COUNTIF(Products!$A$2:$A$101,$D851)=0,"Unknown SKU",IF(COUNTIFS(Batches!$A$2:$A$301,$F851,Batches!$B$2:$B$301,$D851)=0,"Unknown lot for this SKU",IF(AND($C851="Adjustment",$G851=""),"Missing: reason",IF(AND($G851&lt;&gt;"",COUNTIF(Config!$B$15:$B$34,$G851)=0),"Unsupported reason",IF(OR(INT($E851)&lt;&gt;$E851,AND(OR($C851="Receipt",$C851="Shipment"),$E851&lt;=0),AND($C851="Adjustment",$E851=0)),"Invalid qty",IF($B851&gt;Config!$B$4,"Date after the as-of date",IF($B851&lt;Config!$B$5,"Date before the opening balance date","OK")))))))))))))))))</f>
        <v/>
      </c>
    </row>
    <row r="852">
      <c r="A852" s="46" t="n"/>
      <c r="B852" s="54" t="n"/>
      <c r="C852" s="46" t="n"/>
      <c r="D852" s="46" t="n"/>
      <c r="E852" s="55" t="n"/>
      <c r="F852" s="46" t="n"/>
      <c r="G852" s="46" t="n"/>
      <c r="H852" s="46" t="n"/>
      <c r="I852" s="46" t="n"/>
      <c r="J852" s="46" t="n"/>
      <c r="K852" s="46" t="n"/>
      <c r="L852" s="46" t="n"/>
      <c r="M852" s="51" t="str">
        <f>IF(NOT(ISNUMBER($E852)),"",IF($C852="Receipt",$E852,IF($C852="Shipment",-$E852,IF($C852="Adjustment",$E852,0))))</f>
        <v/>
      </c>
      <c r="N852" s="49" t="str">
        <f>IF($D852="","",IFERROR(INDEX(Products!$B$2:$B$101,MATCH($D852,Products!$A$2:$A$101,0))&amp;"","(not found)"))</f>
        <v/>
      </c>
      <c r="O852" s="49" t="str">
        <f>IF($F852="","",IFERROR(INDEX(Batches!$B$2:$B$301,MATCH($F852,Batches!$A$2:$A$301,0))&amp;"","(not found)"))</f>
        <v/>
      </c>
      <c r="P852" s="49" t="str">
        <f>IF(COUNTA($A852:$L852)=0,"",IF($A852="","Missing: entry ID",IF(COUNTIF($A$2:$A$2001,$A852)&gt;1,"Duplicate entry ID",IF(NOT(ISNUMBER($B852)),"Missing or invalid: date",IF($C852="","Missing: type",IF($D852="","Missing: SKU",IF(NOT(ISNUMBER($E852)),"Missing: qty",IF($F852="","Missing: lot",IF($I852="","Missing: source link",IF(COUNTIF(Config!$A$15:$A$34,$C852)=0,"Unsupported type",IF(COUNTIF(Products!$A$2:$A$101,$D852)=0,"Unknown SKU",IF(COUNTIFS(Batches!$A$2:$A$301,$F852,Batches!$B$2:$B$301,$D852)=0,"Unknown lot for this SKU",IF(AND($C852="Adjustment",$G852=""),"Missing: reason",IF(AND($G852&lt;&gt;"",COUNTIF(Config!$B$15:$B$34,$G852)=0),"Unsupported reason",IF(OR(INT($E852)&lt;&gt;$E852,AND(OR($C852="Receipt",$C852="Shipment"),$E852&lt;=0),AND($C852="Adjustment",$E852=0)),"Invalid qty",IF($B852&gt;Config!$B$4,"Date after the as-of date",IF($B852&lt;Config!$B$5,"Date before the opening balance date","OK")))))))))))))))))</f>
        <v/>
      </c>
    </row>
    <row r="853">
      <c r="A853" s="46" t="n"/>
      <c r="B853" s="54" t="n"/>
      <c r="C853" s="46" t="n"/>
      <c r="D853" s="46" t="n"/>
      <c r="E853" s="55" t="n"/>
      <c r="F853" s="46" t="n"/>
      <c r="G853" s="46" t="n"/>
      <c r="H853" s="46" t="n"/>
      <c r="I853" s="46" t="n"/>
      <c r="J853" s="46" t="n"/>
      <c r="K853" s="46" t="n"/>
      <c r="L853" s="46" t="n"/>
      <c r="M853" s="51" t="str">
        <f>IF(NOT(ISNUMBER($E853)),"",IF($C853="Receipt",$E853,IF($C853="Shipment",-$E853,IF($C853="Adjustment",$E853,0))))</f>
        <v/>
      </c>
      <c r="N853" s="49" t="str">
        <f>IF($D853="","",IFERROR(INDEX(Products!$B$2:$B$101,MATCH($D853,Products!$A$2:$A$101,0))&amp;"","(not found)"))</f>
        <v/>
      </c>
      <c r="O853" s="49" t="str">
        <f>IF($F853="","",IFERROR(INDEX(Batches!$B$2:$B$301,MATCH($F853,Batches!$A$2:$A$301,0))&amp;"","(not found)"))</f>
        <v/>
      </c>
      <c r="P853" s="49" t="str">
        <f>IF(COUNTA($A853:$L853)=0,"",IF($A853="","Missing: entry ID",IF(COUNTIF($A$2:$A$2001,$A853)&gt;1,"Duplicate entry ID",IF(NOT(ISNUMBER($B853)),"Missing or invalid: date",IF($C853="","Missing: type",IF($D853="","Missing: SKU",IF(NOT(ISNUMBER($E853)),"Missing: qty",IF($F853="","Missing: lot",IF($I853="","Missing: source link",IF(COUNTIF(Config!$A$15:$A$34,$C853)=0,"Unsupported type",IF(COUNTIF(Products!$A$2:$A$101,$D853)=0,"Unknown SKU",IF(COUNTIFS(Batches!$A$2:$A$301,$F853,Batches!$B$2:$B$301,$D853)=0,"Unknown lot for this SKU",IF(AND($C853="Adjustment",$G853=""),"Missing: reason",IF(AND($G853&lt;&gt;"",COUNTIF(Config!$B$15:$B$34,$G853)=0),"Unsupported reason",IF(OR(INT($E853)&lt;&gt;$E853,AND(OR($C853="Receipt",$C853="Shipment"),$E853&lt;=0),AND($C853="Adjustment",$E853=0)),"Invalid qty",IF($B853&gt;Config!$B$4,"Date after the as-of date",IF($B853&lt;Config!$B$5,"Date before the opening balance date","OK")))))))))))))))))</f>
        <v/>
      </c>
    </row>
    <row r="854">
      <c r="A854" s="46" t="n"/>
      <c r="B854" s="54" t="n"/>
      <c r="C854" s="46" t="n"/>
      <c r="D854" s="46" t="n"/>
      <c r="E854" s="55" t="n"/>
      <c r="F854" s="46" t="n"/>
      <c r="G854" s="46" t="n"/>
      <c r="H854" s="46" t="n"/>
      <c r="I854" s="46" t="n"/>
      <c r="J854" s="46" t="n"/>
      <c r="K854" s="46" t="n"/>
      <c r="L854" s="46" t="n"/>
      <c r="M854" s="51" t="str">
        <f>IF(NOT(ISNUMBER($E854)),"",IF($C854="Receipt",$E854,IF($C854="Shipment",-$E854,IF($C854="Adjustment",$E854,0))))</f>
        <v/>
      </c>
      <c r="N854" s="49" t="str">
        <f>IF($D854="","",IFERROR(INDEX(Products!$B$2:$B$101,MATCH($D854,Products!$A$2:$A$101,0))&amp;"","(not found)"))</f>
        <v/>
      </c>
      <c r="O854" s="49" t="str">
        <f>IF($F854="","",IFERROR(INDEX(Batches!$B$2:$B$301,MATCH($F854,Batches!$A$2:$A$301,0))&amp;"","(not found)"))</f>
        <v/>
      </c>
      <c r="P854" s="49" t="str">
        <f>IF(COUNTA($A854:$L854)=0,"",IF($A854="","Missing: entry ID",IF(COUNTIF($A$2:$A$2001,$A854)&gt;1,"Duplicate entry ID",IF(NOT(ISNUMBER($B854)),"Missing or invalid: date",IF($C854="","Missing: type",IF($D854="","Missing: SKU",IF(NOT(ISNUMBER($E854)),"Missing: qty",IF($F854="","Missing: lot",IF($I854="","Missing: source link",IF(COUNTIF(Config!$A$15:$A$34,$C854)=0,"Unsupported type",IF(COUNTIF(Products!$A$2:$A$101,$D854)=0,"Unknown SKU",IF(COUNTIFS(Batches!$A$2:$A$301,$F854,Batches!$B$2:$B$301,$D854)=0,"Unknown lot for this SKU",IF(AND($C854="Adjustment",$G854=""),"Missing: reason",IF(AND($G854&lt;&gt;"",COUNTIF(Config!$B$15:$B$34,$G854)=0),"Unsupported reason",IF(OR(INT($E854)&lt;&gt;$E854,AND(OR($C854="Receipt",$C854="Shipment"),$E854&lt;=0),AND($C854="Adjustment",$E854=0)),"Invalid qty",IF($B854&gt;Config!$B$4,"Date after the as-of date",IF($B854&lt;Config!$B$5,"Date before the opening balance date","OK")))))))))))))))))</f>
        <v/>
      </c>
    </row>
    <row r="855">
      <c r="A855" s="46" t="n"/>
      <c r="B855" s="54" t="n"/>
      <c r="C855" s="46" t="n"/>
      <c r="D855" s="46" t="n"/>
      <c r="E855" s="55" t="n"/>
      <c r="F855" s="46" t="n"/>
      <c r="G855" s="46" t="n"/>
      <c r="H855" s="46" t="n"/>
      <c r="I855" s="46" t="n"/>
      <c r="J855" s="46" t="n"/>
      <c r="K855" s="46" t="n"/>
      <c r="L855" s="46" t="n"/>
      <c r="M855" s="51" t="str">
        <f>IF(NOT(ISNUMBER($E855)),"",IF($C855="Receipt",$E855,IF($C855="Shipment",-$E855,IF($C855="Adjustment",$E855,0))))</f>
        <v/>
      </c>
      <c r="N855" s="49" t="str">
        <f>IF($D855="","",IFERROR(INDEX(Products!$B$2:$B$101,MATCH($D855,Products!$A$2:$A$101,0))&amp;"","(not found)"))</f>
        <v/>
      </c>
      <c r="O855" s="49" t="str">
        <f>IF($F855="","",IFERROR(INDEX(Batches!$B$2:$B$301,MATCH($F855,Batches!$A$2:$A$301,0))&amp;"","(not found)"))</f>
        <v/>
      </c>
      <c r="P855" s="49" t="str">
        <f>IF(COUNTA($A855:$L855)=0,"",IF($A855="","Missing: entry ID",IF(COUNTIF($A$2:$A$2001,$A855)&gt;1,"Duplicate entry ID",IF(NOT(ISNUMBER($B855)),"Missing or invalid: date",IF($C855="","Missing: type",IF($D855="","Missing: SKU",IF(NOT(ISNUMBER($E855)),"Missing: qty",IF($F855="","Missing: lot",IF($I855="","Missing: source link",IF(COUNTIF(Config!$A$15:$A$34,$C855)=0,"Unsupported type",IF(COUNTIF(Products!$A$2:$A$101,$D855)=0,"Unknown SKU",IF(COUNTIFS(Batches!$A$2:$A$301,$F855,Batches!$B$2:$B$301,$D855)=0,"Unknown lot for this SKU",IF(AND($C855="Adjustment",$G855=""),"Missing: reason",IF(AND($G855&lt;&gt;"",COUNTIF(Config!$B$15:$B$34,$G855)=0),"Unsupported reason",IF(OR(INT($E855)&lt;&gt;$E855,AND(OR($C855="Receipt",$C855="Shipment"),$E855&lt;=0),AND($C855="Adjustment",$E855=0)),"Invalid qty",IF($B855&gt;Config!$B$4,"Date after the as-of date",IF($B855&lt;Config!$B$5,"Date before the opening balance date","OK")))))))))))))))))</f>
        <v/>
      </c>
    </row>
    <row r="856">
      <c r="A856" s="46" t="n"/>
      <c r="B856" s="54" t="n"/>
      <c r="C856" s="46" t="n"/>
      <c r="D856" s="46" t="n"/>
      <c r="E856" s="55" t="n"/>
      <c r="F856" s="46" t="n"/>
      <c r="G856" s="46" t="n"/>
      <c r="H856" s="46" t="n"/>
      <c r="I856" s="46" t="n"/>
      <c r="J856" s="46" t="n"/>
      <c r="K856" s="46" t="n"/>
      <c r="L856" s="46" t="n"/>
      <c r="M856" s="51" t="str">
        <f>IF(NOT(ISNUMBER($E856)),"",IF($C856="Receipt",$E856,IF($C856="Shipment",-$E856,IF($C856="Adjustment",$E856,0))))</f>
        <v/>
      </c>
      <c r="N856" s="49" t="str">
        <f>IF($D856="","",IFERROR(INDEX(Products!$B$2:$B$101,MATCH($D856,Products!$A$2:$A$101,0))&amp;"","(not found)"))</f>
        <v/>
      </c>
      <c r="O856" s="49" t="str">
        <f>IF($F856="","",IFERROR(INDEX(Batches!$B$2:$B$301,MATCH($F856,Batches!$A$2:$A$301,0))&amp;"","(not found)"))</f>
        <v/>
      </c>
      <c r="P856" s="49" t="str">
        <f>IF(COUNTA($A856:$L856)=0,"",IF($A856="","Missing: entry ID",IF(COUNTIF($A$2:$A$2001,$A856)&gt;1,"Duplicate entry ID",IF(NOT(ISNUMBER($B856)),"Missing or invalid: date",IF($C856="","Missing: type",IF($D856="","Missing: SKU",IF(NOT(ISNUMBER($E856)),"Missing: qty",IF($F856="","Missing: lot",IF($I856="","Missing: source link",IF(COUNTIF(Config!$A$15:$A$34,$C856)=0,"Unsupported type",IF(COUNTIF(Products!$A$2:$A$101,$D856)=0,"Unknown SKU",IF(COUNTIFS(Batches!$A$2:$A$301,$F856,Batches!$B$2:$B$301,$D856)=0,"Unknown lot for this SKU",IF(AND($C856="Adjustment",$G856=""),"Missing: reason",IF(AND($G856&lt;&gt;"",COUNTIF(Config!$B$15:$B$34,$G856)=0),"Unsupported reason",IF(OR(INT($E856)&lt;&gt;$E856,AND(OR($C856="Receipt",$C856="Shipment"),$E856&lt;=0),AND($C856="Adjustment",$E856=0)),"Invalid qty",IF($B856&gt;Config!$B$4,"Date after the as-of date",IF($B856&lt;Config!$B$5,"Date before the opening balance date","OK")))))))))))))))))</f>
        <v/>
      </c>
    </row>
    <row r="857">
      <c r="A857" s="46" t="n"/>
      <c r="B857" s="54" t="n"/>
      <c r="C857" s="46" t="n"/>
      <c r="D857" s="46" t="n"/>
      <c r="E857" s="55" t="n"/>
      <c r="F857" s="46" t="n"/>
      <c r="G857" s="46" t="n"/>
      <c r="H857" s="46" t="n"/>
      <c r="I857" s="46" t="n"/>
      <c r="J857" s="46" t="n"/>
      <c r="K857" s="46" t="n"/>
      <c r="L857" s="46" t="n"/>
      <c r="M857" s="51" t="str">
        <f>IF(NOT(ISNUMBER($E857)),"",IF($C857="Receipt",$E857,IF($C857="Shipment",-$E857,IF($C857="Adjustment",$E857,0))))</f>
        <v/>
      </c>
      <c r="N857" s="49" t="str">
        <f>IF($D857="","",IFERROR(INDEX(Products!$B$2:$B$101,MATCH($D857,Products!$A$2:$A$101,0))&amp;"","(not found)"))</f>
        <v/>
      </c>
      <c r="O857" s="49" t="str">
        <f>IF($F857="","",IFERROR(INDEX(Batches!$B$2:$B$301,MATCH($F857,Batches!$A$2:$A$301,0))&amp;"","(not found)"))</f>
        <v/>
      </c>
      <c r="P857" s="49" t="str">
        <f>IF(COUNTA($A857:$L857)=0,"",IF($A857="","Missing: entry ID",IF(COUNTIF($A$2:$A$2001,$A857)&gt;1,"Duplicate entry ID",IF(NOT(ISNUMBER($B857)),"Missing or invalid: date",IF($C857="","Missing: type",IF($D857="","Missing: SKU",IF(NOT(ISNUMBER($E857)),"Missing: qty",IF($F857="","Missing: lot",IF($I857="","Missing: source link",IF(COUNTIF(Config!$A$15:$A$34,$C857)=0,"Unsupported type",IF(COUNTIF(Products!$A$2:$A$101,$D857)=0,"Unknown SKU",IF(COUNTIFS(Batches!$A$2:$A$301,$F857,Batches!$B$2:$B$301,$D857)=0,"Unknown lot for this SKU",IF(AND($C857="Adjustment",$G857=""),"Missing: reason",IF(AND($G857&lt;&gt;"",COUNTIF(Config!$B$15:$B$34,$G857)=0),"Unsupported reason",IF(OR(INT($E857)&lt;&gt;$E857,AND(OR($C857="Receipt",$C857="Shipment"),$E857&lt;=0),AND($C857="Adjustment",$E857=0)),"Invalid qty",IF($B857&gt;Config!$B$4,"Date after the as-of date",IF($B857&lt;Config!$B$5,"Date before the opening balance date","OK")))))))))))))))))</f>
        <v/>
      </c>
    </row>
    <row r="858">
      <c r="A858" s="46" t="n"/>
      <c r="B858" s="54" t="n"/>
      <c r="C858" s="46" t="n"/>
      <c r="D858" s="46" t="n"/>
      <c r="E858" s="55" t="n"/>
      <c r="F858" s="46" t="n"/>
      <c r="G858" s="46" t="n"/>
      <c r="H858" s="46" t="n"/>
      <c r="I858" s="46" t="n"/>
      <c r="J858" s="46" t="n"/>
      <c r="K858" s="46" t="n"/>
      <c r="L858" s="46" t="n"/>
      <c r="M858" s="51" t="str">
        <f>IF(NOT(ISNUMBER($E858)),"",IF($C858="Receipt",$E858,IF($C858="Shipment",-$E858,IF($C858="Adjustment",$E858,0))))</f>
        <v/>
      </c>
      <c r="N858" s="49" t="str">
        <f>IF($D858="","",IFERROR(INDEX(Products!$B$2:$B$101,MATCH($D858,Products!$A$2:$A$101,0))&amp;"","(not found)"))</f>
        <v/>
      </c>
      <c r="O858" s="49" t="str">
        <f>IF($F858="","",IFERROR(INDEX(Batches!$B$2:$B$301,MATCH($F858,Batches!$A$2:$A$301,0))&amp;"","(not found)"))</f>
        <v/>
      </c>
      <c r="P858" s="49" t="str">
        <f>IF(COUNTA($A858:$L858)=0,"",IF($A858="","Missing: entry ID",IF(COUNTIF($A$2:$A$2001,$A858)&gt;1,"Duplicate entry ID",IF(NOT(ISNUMBER($B858)),"Missing or invalid: date",IF($C858="","Missing: type",IF($D858="","Missing: SKU",IF(NOT(ISNUMBER($E858)),"Missing: qty",IF($F858="","Missing: lot",IF($I858="","Missing: source link",IF(COUNTIF(Config!$A$15:$A$34,$C858)=0,"Unsupported type",IF(COUNTIF(Products!$A$2:$A$101,$D858)=0,"Unknown SKU",IF(COUNTIFS(Batches!$A$2:$A$301,$F858,Batches!$B$2:$B$301,$D858)=0,"Unknown lot for this SKU",IF(AND($C858="Adjustment",$G858=""),"Missing: reason",IF(AND($G858&lt;&gt;"",COUNTIF(Config!$B$15:$B$34,$G858)=0),"Unsupported reason",IF(OR(INT($E858)&lt;&gt;$E858,AND(OR($C858="Receipt",$C858="Shipment"),$E858&lt;=0),AND($C858="Adjustment",$E858=0)),"Invalid qty",IF($B858&gt;Config!$B$4,"Date after the as-of date",IF($B858&lt;Config!$B$5,"Date before the opening balance date","OK")))))))))))))))))</f>
        <v/>
      </c>
    </row>
    <row r="859">
      <c r="A859" s="46" t="n"/>
      <c r="B859" s="54" t="n"/>
      <c r="C859" s="46" t="n"/>
      <c r="D859" s="46" t="n"/>
      <c r="E859" s="55" t="n"/>
      <c r="F859" s="46" t="n"/>
      <c r="G859" s="46" t="n"/>
      <c r="H859" s="46" t="n"/>
      <c r="I859" s="46" t="n"/>
      <c r="J859" s="46" t="n"/>
      <c r="K859" s="46" t="n"/>
      <c r="L859" s="46" t="n"/>
      <c r="M859" s="51" t="str">
        <f>IF(NOT(ISNUMBER($E859)),"",IF($C859="Receipt",$E859,IF($C859="Shipment",-$E859,IF($C859="Adjustment",$E859,0))))</f>
        <v/>
      </c>
      <c r="N859" s="49" t="str">
        <f>IF($D859="","",IFERROR(INDEX(Products!$B$2:$B$101,MATCH($D859,Products!$A$2:$A$101,0))&amp;"","(not found)"))</f>
        <v/>
      </c>
      <c r="O859" s="49" t="str">
        <f>IF($F859="","",IFERROR(INDEX(Batches!$B$2:$B$301,MATCH($F859,Batches!$A$2:$A$301,0))&amp;"","(not found)"))</f>
        <v/>
      </c>
      <c r="P859" s="49" t="str">
        <f>IF(COUNTA($A859:$L859)=0,"",IF($A859="","Missing: entry ID",IF(COUNTIF($A$2:$A$2001,$A859)&gt;1,"Duplicate entry ID",IF(NOT(ISNUMBER($B859)),"Missing or invalid: date",IF($C859="","Missing: type",IF($D859="","Missing: SKU",IF(NOT(ISNUMBER($E859)),"Missing: qty",IF($F859="","Missing: lot",IF($I859="","Missing: source link",IF(COUNTIF(Config!$A$15:$A$34,$C859)=0,"Unsupported type",IF(COUNTIF(Products!$A$2:$A$101,$D859)=0,"Unknown SKU",IF(COUNTIFS(Batches!$A$2:$A$301,$F859,Batches!$B$2:$B$301,$D859)=0,"Unknown lot for this SKU",IF(AND($C859="Adjustment",$G859=""),"Missing: reason",IF(AND($G859&lt;&gt;"",COUNTIF(Config!$B$15:$B$34,$G859)=0),"Unsupported reason",IF(OR(INT($E859)&lt;&gt;$E859,AND(OR($C859="Receipt",$C859="Shipment"),$E859&lt;=0),AND($C859="Adjustment",$E859=0)),"Invalid qty",IF($B859&gt;Config!$B$4,"Date after the as-of date",IF($B859&lt;Config!$B$5,"Date before the opening balance date","OK")))))))))))))))))</f>
        <v/>
      </c>
    </row>
    <row r="860">
      <c r="A860" s="46" t="n"/>
      <c r="B860" s="54" t="n"/>
      <c r="C860" s="46" t="n"/>
      <c r="D860" s="46" t="n"/>
      <c r="E860" s="55" t="n"/>
      <c r="F860" s="46" t="n"/>
      <c r="G860" s="46" t="n"/>
      <c r="H860" s="46" t="n"/>
      <c r="I860" s="46" t="n"/>
      <c r="J860" s="46" t="n"/>
      <c r="K860" s="46" t="n"/>
      <c r="L860" s="46" t="n"/>
      <c r="M860" s="51" t="str">
        <f>IF(NOT(ISNUMBER($E860)),"",IF($C860="Receipt",$E860,IF($C860="Shipment",-$E860,IF($C860="Adjustment",$E860,0))))</f>
        <v/>
      </c>
      <c r="N860" s="49" t="str">
        <f>IF($D860="","",IFERROR(INDEX(Products!$B$2:$B$101,MATCH($D860,Products!$A$2:$A$101,0))&amp;"","(not found)"))</f>
        <v/>
      </c>
      <c r="O860" s="49" t="str">
        <f>IF($F860="","",IFERROR(INDEX(Batches!$B$2:$B$301,MATCH($F860,Batches!$A$2:$A$301,0))&amp;"","(not found)"))</f>
        <v/>
      </c>
      <c r="P860" s="49" t="str">
        <f>IF(COUNTA($A860:$L860)=0,"",IF($A860="","Missing: entry ID",IF(COUNTIF($A$2:$A$2001,$A860)&gt;1,"Duplicate entry ID",IF(NOT(ISNUMBER($B860)),"Missing or invalid: date",IF($C860="","Missing: type",IF($D860="","Missing: SKU",IF(NOT(ISNUMBER($E860)),"Missing: qty",IF($F860="","Missing: lot",IF($I860="","Missing: source link",IF(COUNTIF(Config!$A$15:$A$34,$C860)=0,"Unsupported type",IF(COUNTIF(Products!$A$2:$A$101,$D860)=0,"Unknown SKU",IF(COUNTIFS(Batches!$A$2:$A$301,$F860,Batches!$B$2:$B$301,$D860)=0,"Unknown lot for this SKU",IF(AND($C860="Adjustment",$G860=""),"Missing: reason",IF(AND($G860&lt;&gt;"",COUNTIF(Config!$B$15:$B$34,$G860)=0),"Unsupported reason",IF(OR(INT($E860)&lt;&gt;$E860,AND(OR($C860="Receipt",$C860="Shipment"),$E860&lt;=0),AND($C860="Adjustment",$E860=0)),"Invalid qty",IF($B860&gt;Config!$B$4,"Date after the as-of date",IF($B860&lt;Config!$B$5,"Date before the opening balance date","OK")))))))))))))))))</f>
        <v/>
      </c>
    </row>
    <row r="861">
      <c r="A861" s="46" t="n"/>
      <c r="B861" s="54" t="n"/>
      <c r="C861" s="46" t="n"/>
      <c r="D861" s="46" t="n"/>
      <c r="E861" s="55" t="n"/>
      <c r="F861" s="46" t="n"/>
      <c r="G861" s="46" t="n"/>
      <c r="H861" s="46" t="n"/>
      <c r="I861" s="46" t="n"/>
      <c r="J861" s="46" t="n"/>
      <c r="K861" s="46" t="n"/>
      <c r="L861" s="46" t="n"/>
      <c r="M861" s="51" t="str">
        <f>IF(NOT(ISNUMBER($E861)),"",IF($C861="Receipt",$E861,IF($C861="Shipment",-$E861,IF($C861="Adjustment",$E861,0))))</f>
        <v/>
      </c>
      <c r="N861" s="49" t="str">
        <f>IF($D861="","",IFERROR(INDEX(Products!$B$2:$B$101,MATCH($D861,Products!$A$2:$A$101,0))&amp;"","(not found)"))</f>
        <v/>
      </c>
      <c r="O861" s="49" t="str">
        <f>IF($F861="","",IFERROR(INDEX(Batches!$B$2:$B$301,MATCH($F861,Batches!$A$2:$A$301,0))&amp;"","(not found)"))</f>
        <v/>
      </c>
      <c r="P861" s="49" t="str">
        <f>IF(COUNTA($A861:$L861)=0,"",IF($A861="","Missing: entry ID",IF(COUNTIF($A$2:$A$2001,$A861)&gt;1,"Duplicate entry ID",IF(NOT(ISNUMBER($B861)),"Missing or invalid: date",IF($C861="","Missing: type",IF($D861="","Missing: SKU",IF(NOT(ISNUMBER($E861)),"Missing: qty",IF($F861="","Missing: lot",IF($I861="","Missing: source link",IF(COUNTIF(Config!$A$15:$A$34,$C861)=0,"Unsupported type",IF(COUNTIF(Products!$A$2:$A$101,$D861)=0,"Unknown SKU",IF(COUNTIFS(Batches!$A$2:$A$301,$F861,Batches!$B$2:$B$301,$D861)=0,"Unknown lot for this SKU",IF(AND($C861="Adjustment",$G861=""),"Missing: reason",IF(AND($G861&lt;&gt;"",COUNTIF(Config!$B$15:$B$34,$G861)=0),"Unsupported reason",IF(OR(INT($E861)&lt;&gt;$E861,AND(OR($C861="Receipt",$C861="Shipment"),$E861&lt;=0),AND($C861="Adjustment",$E861=0)),"Invalid qty",IF($B861&gt;Config!$B$4,"Date after the as-of date",IF($B861&lt;Config!$B$5,"Date before the opening balance date","OK")))))))))))))))))</f>
        <v/>
      </c>
    </row>
    <row r="862">
      <c r="A862" s="46" t="n"/>
      <c r="B862" s="54" t="n"/>
      <c r="C862" s="46" t="n"/>
      <c r="D862" s="46" t="n"/>
      <c r="E862" s="55" t="n"/>
      <c r="F862" s="46" t="n"/>
      <c r="G862" s="46" t="n"/>
      <c r="H862" s="46" t="n"/>
      <c r="I862" s="46" t="n"/>
      <c r="J862" s="46" t="n"/>
      <c r="K862" s="46" t="n"/>
      <c r="L862" s="46" t="n"/>
      <c r="M862" s="51" t="str">
        <f>IF(NOT(ISNUMBER($E862)),"",IF($C862="Receipt",$E862,IF($C862="Shipment",-$E862,IF($C862="Adjustment",$E862,0))))</f>
        <v/>
      </c>
      <c r="N862" s="49" t="str">
        <f>IF($D862="","",IFERROR(INDEX(Products!$B$2:$B$101,MATCH($D862,Products!$A$2:$A$101,0))&amp;"","(not found)"))</f>
        <v/>
      </c>
      <c r="O862" s="49" t="str">
        <f>IF($F862="","",IFERROR(INDEX(Batches!$B$2:$B$301,MATCH($F862,Batches!$A$2:$A$301,0))&amp;"","(not found)"))</f>
        <v/>
      </c>
      <c r="P862" s="49" t="str">
        <f>IF(COUNTA($A862:$L862)=0,"",IF($A862="","Missing: entry ID",IF(COUNTIF($A$2:$A$2001,$A862)&gt;1,"Duplicate entry ID",IF(NOT(ISNUMBER($B862)),"Missing or invalid: date",IF($C862="","Missing: type",IF($D862="","Missing: SKU",IF(NOT(ISNUMBER($E862)),"Missing: qty",IF($F862="","Missing: lot",IF($I862="","Missing: source link",IF(COUNTIF(Config!$A$15:$A$34,$C862)=0,"Unsupported type",IF(COUNTIF(Products!$A$2:$A$101,$D862)=0,"Unknown SKU",IF(COUNTIFS(Batches!$A$2:$A$301,$F862,Batches!$B$2:$B$301,$D862)=0,"Unknown lot for this SKU",IF(AND($C862="Adjustment",$G862=""),"Missing: reason",IF(AND($G862&lt;&gt;"",COUNTIF(Config!$B$15:$B$34,$G862)=0),"Unsupported reason",IF(OR(INT($E862)&lt;&gt;$E862,AND(OR($C862="Receipt",$C862="Shipment"),$E862&lt;=0),AND($C862="Adjustment",$E862=0)),"Invalid qty",IF($B862&gt;Config!$B$4,"Date after the as-of date",IF($B862&lt;Config!$B$5,"Date before the opening balance date","OK")))))))))))))))))</f>
        <v/>
      </c>
    </row>
    <row r="863">
      <c r="A863" s="46" t="n"/>
      <c r="B863" s="54" t="n"/>
      <c r="C863" s="46" t="n"/>
      <c r="D863" s="46" t="n"/>
      <c r="E863" s="55" t="n"/>
      <c r="F863" s="46" t="n"/>
      <c r="G863" s="46" t="n"/>
      <c r="H863" s="46" t="n"/>
      <c r="I863" s="46" t="n"/>
      <c r="J863" s="46" t="n"/>
      <c r="K863" s="46" t="n"/>
      <c r="L863" s="46" t="n"/>
      <c r="M863" s="51" t="str">
        <f>IF(NOT(ISNUMBER($E863)),"",IF($C863="Receipt",$E863,IF($C863="Shipment",-$E863,IF($C863="Adjustment",$E863,0))))</f>
        <v/>
      </c>
      <c r="N863" s="49" t="str">
        <f>IF($D863="","",IFERROR(INDEX(Products!$B$2:$B$101,MATCH($D863,Products!$A$2:$A$101,0))&amp;"","(not found)"))</f>
        <v/>
      </c>
      <c r="O863" s="49" t="str">
        <f>IF($F863="","",IFERROR(INDEX(Batches!$B$2:$B$301,MATCH($F863,Batches!$A$2:$A$301,0))&amp;"","(not found)"))</f>
        <v/>
      </c>
      <c r="P863" s="49" t="str">
        <f>IF(COUNTA($A863:$L863)=0,"",IF($A863="","Missing: entry ID",IF(COUNTIF($A$2:$A$2001,$A863)&gt;1,"Duplicate entry ID",IF(NOT(ISNUMBER($B863)),"Missing or invalid: date",IF($C863="","Missing: type",IF($D863="","Missing: SKU",IF(NOT(ISNUMBER($E863)),"Missing: qty",IF($F863="","Missing: lot",IF($I863="","Missing: source link",IF(COUNTIF(Config!$A$15:$A$34,$C863)=0,"Unsupported type",IF(COUNTIF(Products!$A$2:$A$101,$D863)=0,"Unknown SKU",IF(COUNTIFS(Batches!$A$2:$A$301,$F863,Batches!$B$2:$B$301,$D863)=0,"Unknown lot for this SKU",IF(AND($C863="Adjustment",$G863=""),"Missing: reason",IF(AND($G863&lt;&gt;"",COUNTIF(Config!$B$15:$B$34,$G863)=0),"Unsupported reason",IF(OR(INT($E863)&lt;&gt;$E863,AND(OR($C863="Receipt",$C863="Shipment"),$E863&lt;=0),AND($C863="Adjustment",$E863=0)),"Invalid qty",IF($B863&gt;Config!$B$4,"Date after the as-of date",IF($B863&lt;Config!$B$5,"Date before the opening balance date","OK")))))))))))))))))</f>
        <v/>
      </c>
    </row>
    <row r="864">
      <c r="A864" s="46" t="n"/>
      <c r="B864" s="54" t="n"/>
      <c r="C864" s="46" t="n"/>
      <c r="D864" s="46" t="n"/>
      <c r="E864" s="55" t="n"/>
      <c r="F864" s="46" t="n"/>
      <c r="G864" s="46" t="n"/>
      <c r="H864" s="46" t="n"/>
      <c r="I864" s="46" t="n"/>
      <c r="J864" s="46" t="n"/>
      <c r="K864" s="46" t="n"/>
      <c r="L864" s="46" t="n"/>
      <c r="M864" s="51" t="str">
        <f>IF(NOT(ISNUMBER($E864)),"",IF($C864="Receipt",$E864,IF($C864="Shipment",-$E864,IF($C864="Adjustment",$E864,0))))</f>
        <v/>
      </c>
      <c r="N864" s="49" t="str">
        <f>IF($D864="","",IFERROR(INDEX(Products!$B$2:$B$101,MATCH($D864,Products!$A$2:$A$101,0))&amp;"","(not found)"))</f>
        <v/>
      </c>
      <c r="O864" s="49" t="str">
        <f>IF($F864="","",IFERROR(INDEX(Batches!$B$2:$B$301,MATCH($F864,Batches!$A$2:$A$301,0))&amp;"","(not found)"))</f>
        <v/>
      </c>
      <c r="P864" s="49" t="str">
        <f>IF(COUNTA($A864:$L864)=0,"",IF($A864="","Missing: entry ID",IF(COUNTIF($A$2:$A$2001,$A864)&gt;1,"Duplicate entry ID",IF(NOT(ISNUMBER($B864)),"Missing or invalid: date",IF($C864="","Missing: type",IF($D864="","Missing: SKU",IF(NOT(ISNUMBER($E864)),"Missing: qty",IF($F864="","Missing: lot",IF($I864="","Missing: source link",IF(COUNTIF(Config!$A$15:$A$34,$C864)=0,"Unsupported type",IF(COUNTIF(Products!$A$2:$A$101,$D864)=0,"Unknown SKU",IF(COUNTIFS(Batches!$A$2:$A$301,$F864,Batches!$B$2:$B$301,$D864)=0,"Unknown lot for this SKU",IF(AND($C864="Adjustment",$G864=""),"Missing: reason",IF(AND($G864&lt;&gt;"",COUNTIF(Config!$B$15:$B$34,$G864)=0),"Unsupported reason",IF(OR(INT($E864)&lt;&gt;$E864,AND(OR($C864="Receipt",$C864="Shipment"),$E864&lt;=0),AND($C864="Adjustment",$E864=0)),"Invalid qty",IF($B864&gt;Config!$B$4,"Date after the as-of date",IF($B864&lt;Config!$B$5,"Date before the opening balance date","OK")))))))))))))))))</f>
        <v/>
      </c>
    </row>
    <row r="865">
      <c r="A865" s="46" t="n"/>
      <c r="B865" s="54" t="n"/>
      <c r="C865" s="46" t="n"/>
      <c r="D865" s="46" t="n"/>
      <c r="E865" s="55" t="n"/>
      <c r="F865" s="46" t="n"/>
      <c r="G865" s="46" t="n"/>
      <c r="H865" s="46" t="n"/>
      <c r="I865" s="46" t="n"/>
      <c r="J865" s="46" t="n"/>
      <c r="K865" s="46" t="n"/>
      <c r="L865" s="46" t="n"/>
      <c r="M865" s="51" t="str">
        <f>IF(NOT(ISNUMBER($E865)),"",IF($C865="Receipt",$E865,IF($C865="Shipment",-$E865,IF($C865="Adjustment",$E865,0))))</f>
        <v/>
      </c>
      <c r="N865" s="49" t="str">
        <f>IF($D865="","",IFERROR(INDEX(Products!$B$2:$B$101,MATCH($D865,Products!$A$2:$A$101,0))&amp;"","(not found)"))</f>
        <v/>
      </c>
      <c r="O865" s="49" t="str">
        <f>IF($F865="","",IFERROR(INDEX(Batches!$B$2:$B$301,MATCH($F865,Batches!$A$2:$A$301,0))&amp;"","(not found)"))</f>
        <v/>
      </c>
      <c r="P865" s="49" t="str">
        <f>IF(COUNTA($A865:$L865)=0,"",IF($A865="","Missing: entry ID",IF(COUNTIF($A$2:$A$2001,$A865)&gt;1,"Duplicate entry ID",IF(NOT(ISNUMBER($B865)),"Missing or invalid: date",IF($C865="","Missing: type",IF($D865="","Missing: SKU",IF(NOT(ISNUMBER($E865)),"Missing: qty",IF($F865="","Missing: lot",IF($I865="","Missing: source link",IF(COUNTIF(Config!$A$15:$A$34,$C865)=0,"Unsupported type",IF(COUNTIF(Products!$A$2:$A$101,$D865)=0,"Unknown SKU",IF(COUNTIFS(Batches!$A$2:$A$301,$F865,Batches!$B$2:$B$301,$D865)=0,"Unknown lot for this SKU",IF(AND($C865="Adjustment",$G865=""),"Missing: reason",IF(AND($G865&lt;&gt;"",COUNTIF(Config!$B$15:$B$34,$G865)=0),"Unsupported reason",IF(OR(INT($E865)&lt;&gt;$E865,AND(OR($C865="Receipt",$C865="Shipment"),$E865&lt;=0),AND($C865="Adjustment",$E865=0)),"Invalid qty",IF($B865&gt;Config!$B$4,"Date after the as-of date",IF($B865&lt;Config!$B$5,"Date before the opening balance date","OK")))))))))))))))))</f>
        <v/>
      </c>
    </row>
    <row r="866">
      <c r="A866" s="46" t="n"/>
      <c r="B866" s="54" t="n"/>
      <c r="C866" s="46" t="n"/>
      <c r="D866" s="46" t="n"/>
      <c r="E866" s="55" t="n"/>
      <c r="F866" s="46" t="n"/>
      <c r="G866" s="46" t="n"/>
      <c r="H866" s="46" t="n"/>
      <c r="I866" s="46" t="n"/>
      <c r="J866" s="46" t="n"/>
      <c r="K866" s="46" t="n"/>
      <c r="L866" s="46" t="n"/>
      <c r="M866" s="51" t="str">
        <f>IF(NOT(ISNUMBER($E866)),"",IF($C866="Receipt",$E866,IF($C866="Shipment",-$E866,IF($C866="Adjustment",$E866,0))))</f>
        <v/>
      </c>
      <c r="N866" s="49" t="str">
        <f>IF($D866="","",IFERROR(INDEX(Products!$B$2:$B$101,MATCH($D866,Products!$A$2:$A$101,0))&amp;"","(not found)"))</f>
        <v/>
      </c>
      <c r="O866" s="49" t="str">
        <f>IF($F866="","",IFERROR(INDEX(Batches!$B$2:$B$301,MATCH($F866,Batches!$A$2:$A$301,0))&amp;"","(not found)"))</f>
        <v/>
      </c>
      <c r="P866" s="49" t="str">
        <f>IF(COUNTA($A866:$L866)=0,"",IF($A866="","Missing: entry ID",IF(COUNTIF($A$2:$A$2001,$A866)&gt;1,"Duplicate entry ID",IF(NOT(ISNUMBER($B866)),"Missing or invalid: date",IF($C866="","Missing: type",IF($D866="","Missing: SKU",IF(NOT(ISNUMBER($E866)),"Missing: qty",IF($F866="","Missing: lot",IF($I866="","Missing: source link",IF(COUNTIF(Config!$A$15:$A$34,$C866)=0,"Unsupported type",IF(COUNTIF(Products!$A$2:$A$101,$D866)=0,"Unknown SKU",IF(COUNTIFS(Batches!$A$2:$A$301,$F866,Batches!$B$2:$B$301,$D866)=0,"Unknown lot for this SKU",IF(AND($C866="Adjustment",$G866=""),"Missing: reason",IF(AND($G866&lt;&gt;"",COUNTIF(Config!$B$15:$B$34,$G866)=0),"Unsupported reason",IF(OR(INT($E866)&lt;&gt;$E866,AND(OR($C866="Receipt",$C866="Shipment"),$E866&lt;=0),AND($C866="Adjustment",$E866=0)),"Invalid qty",IF($B866&gt;Config!$B$4,"Date after the as-of date",IF($B866&lt;Config!$B$5,"Date before the opening balance date","OK")))))))))))))))))</f>
        <v/>
      </c>
    </row>
    <row r="867">
      <c r="A867" s="46" t="n"/>
      <c r="B867" s="54" t="n"/>
      <c r="C867" s="46" t="n"/>
      <c r="D867" s="46" t="n"/>
      <c r="E867" s="55" t="n"/>
      <c r="F867" s="46" t="n"/>
      <c r="G867" s="46" t="n"/>
      <c r="H867" s="46" t="n"/>
      <c r="I867" s="46" t="n"/>
      <c r="J867" s="46" t="n"/>
      <c r="K867" s="46" t="n"/>
      <c r="L867" s="46" t="n"/>
      <c r="M867" s="51" t="str">
        <f>IF(NOT(ISNUMBER($E867)),"",IF($C867="Receipt",$E867,IF($C867="Shipment",-$E867,IF($C867="Adjustment",$E867,0))))</f>
        <v/>
      </c>
      <c r="N867" s="49" t="str">
        <f>IF($D867="","",IFERROR(INDEX(Products!$B$2:$B$101,MATCH($D867,Products!$A$2:$A$101,0))&amp;"","(not found)"))</f>
        <v/>
      </c>
      <c r="O867" s="49" t="str">
        <f>IF($F867="","",IFERROR(INDEX(Batches!$B$2:$B$301,MATCH($F867,Batches!$A$2:$A$301,0))&amp;"","(not found)"))</f>
        <v/>
      </c>
      <c r="P867" s="49" t="str">
        <f>IF(COUNTA($A867:$L867)=0,"",IF($A867="","Missing: entry ID",IF(COUNTIF($A$2:$A$2001,$A867)&gt;1,"Duplicate entry ID",IF(NOT(ISNUMBER($B867)),"Missing or invalid: date",IF($C867="","Missing: type",IF($D867="","Missing: SKU",IF(NOT(ISNUMBER($E867)),"Missing: qty",IF($F867="","Missing: lot",IF($I867="","Missing: source link",IF(COUNTIF(Config!$A$15:$A$34,$C867)=0,"Unsupported type",IF(COUNTIF(Products!$A$2:$A$101,$D867)=0,"Unknown SKU",IF(COUNTIFS(Batches!$A$2:$A$301,$F867,Batches!$B$2:$B$301,$D867)=0,"Unknown lot for this SKU",IF(AND($C867="Adjustment",$G867=""),"Missing: reason",IF(AND($G867&lt;&gt;"",COUNTIF(Config!$B$15:$B$34,$G867)=0),"Unsupported reason",IF(OR(INT($E867)&lt;&gt;$E867,AND(OR($C867="Receipt",$C867="Shipment"),$E867&lt;=0),AND($C867="Adjustment",$E867=0)),"Invalid qty",IF($B867&gt;Config!$B$4,"Date after the as-of date",IF($B867&lt;Config!$B$5,"Date before the opening balance date","OK")))))))))))))))))</f>
        <v/>
      </c>
    </row>
    <row r="868">
      <c r="A868" s="46" t="n"/>
      <c r="B868" s="54" t="n"/>
      <c r="C868" s="46" t="n"/>
      <c r="D868" s="46" t="n"/>
      <c r="E868" s="55" t="n"/>
      <c r="F868" s="46" t="n"/>
      <c r="G868" s="46" t="n"/>
      <c r="H868" s="46" t="n"/>
      <c r="I868" s="46" t="n"/>
      <c r="J868" s="46" t="n"/>
      <c r="K868" s="46" t="n"/>
      <c r="L868" s="46" t="n"/>
      <c r="M868" s="51" t="str">
        <f>IF(NOT(ISNUMBER($E868)),"",IF($C868="Receipt",$E868,IF($C868="Shipment",-$E868,IF($C868="Adjustment",$E868,0))))</f>
        <v/>
      </c>
      <c r="N868" s="49" t="str">
        <f>IF($D868="","",IFERROR(INDEX(Products!$B$2:$B$101,MATCH($D868,Products!$A$2:$A$101,0))&amp;"","(not found)"))</f>
        <v/>
      </c>
      <c r="O868" s="49" t="str">
        <f>IF($F868="","",IFERROR(INDEX(Batches!$B$2:$B$301,MATCH($F868,Batches!$A$2:$A$301,0))&amp;"","(not found)"))</f>
        <v/>
      </c>
      <c r="P868" s="49" t="str">
        <f>IF(COUNTA($A868:$L868)=0,"",IF($A868="","Missing: entry ID",IF(COUNTIF($A$2:$A$2001,$A868)&gt;1,"Duplicate entry ID",IF(NOT(ISNUMBER($B868)),"Missing or invalid: date",IF($C868="","Missing: type",IF($D868="","Missing: SKU",IF(NOT(ISNUMBER($E868)),"Missing: qty",IF($F868="","Missing: lot",IF($I868="","Missing: source link",IF(COUNTIF(Config!$A$15:$A$34,$C868)=0,"Unsupported type",IF(COUNTIF(Products!$A$2:$A$101,$D868)=0,"Unknown SKU",IF(COUNTIFS(Batches!$A$2:$A$301,$F868,Batches!$B$2:$B$301,$D868)=0,"Unknown lot for this SKU",IF(AND($C868="Adjustment",$G868=""),"Missing: reason",IF(AND($G868&lt;&gt;"",COUNTIF(Config!$B$15:$B$34,$G868)=0),"Unsupported reason",IF(OR(INT($E868)&lt;&gt;$E868,AND(OR($C868="Receipt",$C868="Shipment"),$E868&lt;=0),AND($C868="Adjustment",$E868=0)),"Invalid qty",IF($B868&gt;Config!$B$4,"Date after the as-of date",IF($B868&lt;Config!$B$5,"Date before the opening balance date","OK")))))))))))))))))</f>
        <v/>
      </c>
    </row>
    <row r="869">
      <c r="A869" s="46" t="n"/>
      <c r="B869" s="54" t="n"/>
      <c r="C869" s="46" t="n"/>
      <c r="D869" s="46" t="n"/>
      <c r="E869" s="55" t="n"/>
      <c r="F869" s="46" t="n"/>
      <c r="G869" s="46" t="n"/>
      <c r="H869" s="46" t="n"/>
      <c r="I869" s="46" t="n"/>
      <c r="J869" s="46" t="n"/>
      <c r="K869" s="46" t="n"/>
      <c r="L869" s="46" t="n"/>
      <c r="M869" s="51" t="str">
        <f>IF(NOT(ISNUMBER($E869)),"",IF($C869="Receipt",$E869,IF($C869="Shipment",-$E869,IF($C869="Adjustment",$E869,0))))</f>
        <v/>
      </c>
      <c r="N869" s="49" t="str">
        <f>IF($D869="","",IFERROR(INDEX(Products!$B$2:$B$101,MATCH($D869,Products!$A$2:$A$101,0))&amp;"","(not found)"))</f>
        <v/>
      </c>
      <c r="O869" s="49" t="str">
        <f>IF($F869="","",IFERROR(INDEX(Batches!$B$2:$B$301,MATCH($F869,Batches!$A$2:$A$301,0))&amp;"","(not found)"))</f>
        <v/>
      </c>
      <c r="P869" s="49" t="str">
        <f>IF(COUNTA($A869:$L869)=0,"",IF($A869="","Missing: entry ID",IF(COUNTIF($A$2:$A$2001,$A869)&gt;1,"Duplicate entry ID",IF(NOT(ISNUMBER($B869)),"Missing or invalid: date",IF($C869="","Missing: type",IF($D869="","Missing: SKU",IF(NOT(ISNUMBER($E869)),"Missing: qty",IF($F869="","Missing: lot",IF($I869="","Missing: source link",IF(COUNTIF(Config!$A$15:$A$34,$C869)=0,"Unsupported type",IF(COUNTIF(Products!$A$2:$A$101,$D869)=0,"Unknown SKU",IF(COUNTIFS(Batches!$A$2:$A$301,$F869,Batches!$B$2:$B$301,$D869)=0,"Unknown lot for this SKU",IF(AND($C869="Adjustment",$G869=""),"Missing: reason",IF(AND($G869&lt;&gt;"",COUNTIF(Config!$B$15:$B$34,$G869)=0),"Unsupported reason",IF(OR(INT($E869)&lt;&gt;$E869,AND(OR($C869="Receipt",$C869="Shipment"),$E869&lt;=0),AND($C869="Adjustment",$E869=0)),"Invalid qty",IF($B869&gt;Config!$B$4,"Date after the as-of date",IF($B869&lt;Config!$B$5,"Date before the opening balance date","OK")))))))))))))))))</f>
        <v/>
      </c>
    </row>
    <row r="870">
      <c r="A870" s="46" t="n"/>
      <c r="B870" s="54" t="n"/>
      <c r="C870" s="46" t="n"/>
      <c r="D870" s="46" t="n"/>
      <c r="E870" s="55" t="n"/>
      <c r="F870" s="46" t="n"/>
      <c r="G870" s="46" t="n"/>
      <c r="H870" s="46" t="n"/>
      <c r="I870" s="46" t="n"/>
      <c r="J870" s="46" t="n"/>
      <c r="K870" s="46" t="n"/>
      <c r="L870" s="46" t="n"/>
      <c r="M870" s="51" t="str">
        <f>IF(NOT(ISNUMBER($E870)),"",IF($C870="Receipt",$E870,IF($C870="Shipment",-$E870,IF($C870="Adjustment",$E870,0))))</f>
        <v/>
      </c>
      <c r="N870" s="49" t="str">
        <f>IF($D870="","",IFERROR(INDEX(Products!$B$2:$B$101,MATCH($D870,Products!$A$2:$A$101,0))&amp;"","(not found)"))</f>
        <v/>
      </c>
      <c r="O870" s="49" t="str">
        <f>IF($F870="","",IFERROR(INDEX(Batches!$B$2:$B$301,MATCH($F870,Batches!$A$2:$A$301,0))&amp;"","(not found)"))</f>
        <v/>
      </c>
      <c r="P870" s="49" t="str">
        <f>IF(COUNTA($A870:$L870)=0,"",IF($A870="","Missing: entry ID",IF(COUNTIF($A$2:$A$2001,$A870)&gt;1,"Duplicate entry ID",IF(NOT(ISNUMBER($B870)),"Missing or invalid: date",IF($C870="","Missing: type",IF($D870="","Missing: SKU",IF(NOT(ISNUMBER($E870)),"Missing: qty",IF($F870="","Missing: lot",IF($I870="","Missing: source link",IF(COUNTIF(Config!$A$15:$A$34,$C870)=0,"Unsupported type",IF(COUNTIF(Products!$A$2:$A$101,$D870)=0,"Unknown SKU",IF(COUNTIFS(Batches!$A$2:$A$301,$F870,Batches!$B$2:$B$301,$D870)=0,"Unknown lot for this SKU",IF(AND($C870="Adjustment",$G870=""),"Missing: reason",IF(AND($G870&lt;&gt;"",COUNTIF(Config!$B$15:$B$34,$G870)=0),"Unsupported reason",IF(OR(INT($E870)&lt;&gt;$E870,AND(OR($C870="Receipt",$C870="Shipment"),$E870&lt;=0),AND($C870="Adjustment",$E870=0)),"Invalid qty",IF($B870&gt;Config!$B$4,"Date after the as-of date",IF($B870&lt;Config!$B$5,"Date before the opening balance date","OK")))))))))))))))))</f>
        <v/>
      </c>
    </row>
    <row r="871">
      <c r="A871" s="46" t="n"/>
      <c r="B871" s="54" t="n"/>
      <c r="C871" s="46" t="n"/>
      <c r="D871" s="46" t="n"/>
      <c r="E871" s="55" t="n"/>
      <c r="F871" s="46" t="n"/>
      <c r="G871" s="46" t="n"/>
      <c r="H871" s="46" t="n"/>
      <c r="I871" s="46" t="n"/>
      <c r="J871" s="46" t="n"/>
      <c r="K871" s="46" t="n"/>
      <c r="L871" s="46" t="n"/>
      <c r="M871" s="51" t="str">
        <f>IF(NOT(ISNUMBER($E871)),"",IF($C871="Receipt",$E871,IF($C871="Shipment",-$E871,IF($C871="Adjustment",$E871,0))))</f>
        <v/>
      </c>
      <c r="N871" s="49" t="str">
        <f>IF($D871="","",IFERROR(INDEX(Products!$B$2:$B$101,MATCH($D871,Products!$A$2:$A$101,0))&amp;"","(not found)"))</f>
        <v/>
      </c>
      <c r="O871" s="49" t="str">
        <f>IF($F871="","",IFERROR(INDEX(Batches!$B$2:$B$301,MATCH($F871,Batches!$A$2:$A$301,0))&amp;"","(not found)"))</f>
        <v/>
      </c>
      <c r="P871" s="49" t="str">
        <f>IF(COUNTA($A871:$L871)=0,"",IF($A871="","Missing: entry ID",IF(COUNTIF($A$2:$A$2001,$A871)&gt;1,"Duplicate entry ID",IF(NOT(ISNUMBER($B871)),"Missing or invalid: date",IF($C871="","Missing: type",IF($D871="","Missing: SKU",IF(NOT(ISNUMBER($E871)),"Missing: qty",IF($F871="","Missing: lot",IF($I871="","Missing: source link",IF(COUNTIF(Config!$A$15:$A$34,$C871)=0,"Unsupported type",IF(COUNTIF(Products!$A$2:$A$101,$D871)=0,"Unknown SKU",IF(COUNTIFS(Batches!$A$2:$A$301,$F871,Batches!$B$2:$B$301,$D871)=0,"Unknown lot for this SKU",IF(AND($C871="Adjustment",$G871=""),"Missing: reason",IF(AND($G871&lt;&gt;"",COUNTIF(Config!$B$15:$B$34,$G871)=0),"Unsupported reason",IF(OR(INT($E871)&lt;&gt;$E871,AND(OR($C871="Receipt",$C871="Shipment"),$E871&lt;=0),AND($C871="Adjustment",$E871=0)),"Invalid qty",IF($B871&gt;Config!$B$4,"Date after the as-of date",IF($B871&lt;Config!$B$5,"Date before the opening balance date","OK")))))))))))))))))</f>
        <v/>
      </c>
    </row>
    <row r="872">
      <c r="A872" s="46" t="n"/>
      <c r="B872" s="54" t="n"/>
      <c r="C872" s="46" t="n"/>
      <c r="D872" s="46" t="n"/>
      <c r="E872" s="55" t="n"/>
      <c r="F872" s="46" t="n"/>
      <c r="G872" s="46" t="n"/>
      <c r="H872" s="46" t="n"/>
      <c r="I872" s="46" t="n"/>
      <c r="J872" s="46" t="n"/>
      <c r="K872" s="46" t="n"/>
      <c r="L872" s="46" t="n"/>
      <c r="M872" s="51" t="str">
        <f>IF(NOT(ISNUMBER($E872)),"",IF($C872="Receipt",$E872,IF($C872="Shipment",-$E872,IF($C872="Adjustment",$E872,0))))</f>
        <v/>
      </c>
      <c r="N872" s="49" t="str">
        <f>IF($D872="","",IFERROR(INDEX(Products!$B$2:$B$101,MATCH($D872,Products!$A$2:$A$101,0))&amp;"","(not found)"))</f>
        <v/>
      </c>
      <c r="O872" s="49" t="str">
        <f>IF($F872="","",IFERROR(INDEX(Batches!$B$2:$B$301,MATCH($F872,Batches!$A$2:$A$301,0))&amp;"","(not found)"))</f>
        <v/>
      </c>
      <c r="P872" s="49" t="str">
        <f>IF(COUNTA($A872:$L872)=0,"",IF($A872="","Missing: entry ID",IF(COUNTIF($A$2:$A$2001,$A872)&gt;1,"Duplicate entry ID",IF(NOT(ISNUMBER($B872)),"Missing or invalid: date",IF($C872="","Missing: type",IF($D872="","Missing: SKU",IF(NOT(ISNUMBER($E872)),"Missing: qty",IF($F872="","Missing: lot",IF($I872="","Missing: source link",IF(COUNTIF(Config!$A$15:$A$34,$C872)=0,"Unsupported type",IF(COUNTIF(Products!$A$2:$A$101,$D872)=0,"Unknown SKU",IF(COUNTIFS(Batches!$A$2:$A$301,$F872,Batches!$B$2:$B$301,$D872)=0,"Unknown lot for this SKU",IF(AND($C872="Adjustment",$G872=""),"Missing: reason",IF(AND($G872&lt;&gt;"",COUNTIF(Config!$B$15:$B$34,$G872)=0),"Unsupported reason",IF(OR(INT($E872)&lt;&gt;$E872,AND(OR($C872="Receipt",$C872="Shipment"),$E872&lt;=0),AND($C872="Adjustment",$E872=0)),"Invalid qty",IF($B872&gt;Config!$B$4,"Date after the as-of date",IF($B872&lt;Config!$B$5,"Date before the opening balance date","OK")))))))))))))))))</f>
        <v/>
      </c>
    </row>
    <row r="873">
      <c r="A873" s="46" t="n"/>
      <c r="B873" s="54" t="n"/>
      <c r="C873" s="46" t="n"/>
      <c r="D873" s="46" t="n"/>
      <c r="E873" s="55" t="n"/>
      <c r="F873" s="46" t="n"/>
      <c r="G873" s="46" t="n"/>
      <c r="H873" s="46" t="n"/>
      <c r="I873" s="46" t="n"/>
      <c r="J873" s="46" t="n"/>
      <c r="K873" s="46" t="n"/>
      <c r="L873" s="46" t="n"/>
      <c r="M873" s="51" t="str">
        <f>IF(NOT(ISNUMBER($E873)),"",IF($C873="Receipt",$E873,IF($C873="Shipment",-$E873,IF($C873="Adjustment",$E873,0))))</f>
        <v/>
      </c>
      <c r="N873" s="49" t="str">
        <f>IF($D873="","",IFERROR(INDEX(Products!$B$2:$B$101,MATCH($D873,Products!$A$2:$A$101,0))&amp;"","(not found)"))</f>
        <v/>
      </c>
      <c r="O873" s="49" t="str">
        <f>IF($F873="","",IFERROR(INDEX(Batches!$B$2:$B$301,MATCH($F873,Batches!$A$2:$A$301,0))&amp;"","(not found)"))</f>
        <v/>
      </c>
      <c r="P873" s="49" t="str">
        <f>IF(COUNTA($A873:$L873)=0,"",IF($A873="","Missing: entry ID",IF(COUNTIF($A$2:$A$2001,$A873)&gt;1,"Duplicate entry ID",IF(NOT(ISNUMBER($B873)),"Missing or invalid: date",IF($C873="","Missing: type",IF($D873="","Missing: SKU",IF(NOT(ISNUMBER($E873)),"Missing: qty",IF($F873="","Missing: lot",IF($I873="","Missing: source link",IF(COUNTIF(Config!$A$15:$A$34,$C873)=0,"Unsupported type",IF(COUNTIF(Products!$A$2:$A$101,$D873)=0,"Unknown SKU",IF(COUNTIFS(Batches!$A$2:$A$301,$F873,Batches!$B$2:$B$301,$D873)=0,"Unknown lot for this SKU",IF(AND($C873="Adjustment",$G873=""),"Missing: reason",IF(AND($G873&lt;&gt;"",COUNTIF(Config!$B$15:$B$34,$G873)=0),"Unsupported reason",IF(OR(INT($E873)&lt;&gt;$E873,AND(OR($C873="Receipt",$C873="Shipment"),$E873&lt;=0),AND($C873="Adjustment",$E873=0)),"Invalid qty",IF($B873&gt;Config!$B$4,"Date after the as-of date",IF($B873&lt;Config!$B$5,"Date before the opening balance date","OK")))))))))))))))))</f>
        <v/>
      </c>
    </row>
    <row r="874">
      <c r="A874" s="46" t="n"/>
      <c r="B874" s="54" t="n"/>
      <c r="C874" s="46" t="n"/>
      <c r="D874" s="46" t="n"/>
      <c r="E874" s="55" t="n"/>
      <c r="F874" s="46" t="n"/>
      <c r="G874" s="46" t="n"/>
      <c r="H874" s="46" t="n"/>
      <c r="I874" s="46" t="n"/>
      <c r="J874" s="46" t="n"/>
      <c r="K874" s="46" t="n"/>
      <c r="L874" s="46" t="n"/>
      <c r="M874" s="51" t="str">
        <f>IF(NOT(ISNUMBER($E874)),"",IF($C874="Receipt",$E874,IF($C874="Shipment",-$E874,IF($C874="Adjustment",$E874,0))))</f>
        <v/>
      </c>
      <c r="N874" s="49" t="str">
        <f>IF($D874="","",IFERROR(INDEX(Products!$B$2:$B$101,MATCH($D874,Products!$A$2:$A$101,0))&amp;"","(not found)"))</f>
        <v/>
      </c>
      <c r="O874" s="49" t="str">
        <f>IF($F874="","",IFERROR(INDEX(Batches!$B$2:$B$301,MATCH($F874,Batches!$A$2:$A$301,0))&amp;"","(not found)"))</f>
        <v/>
      </c>
      <c r="P874" s="49" t="str">
        <f>IF(COUNTA($A874:$L874)=0,"",IF($A874="","Missing: entry ID",IF(COUNTIF($A$2:$A$2001,$A874)&gt;1,"Duplicate entry ID",IF(NOT(ISNUMBER($B874)),"Missing or invalid: date",IF($C874="","Missing: type",IF($D874="","Missing: SKU",IF(NOT(ISNUMBER($E874)),"Missing: qty",IF($F874="","Missing: lot",IF($I874="","Missing: source link",IF(COUNTIF(Config!$A$15:$A$34,$C874)=0,"Unsupported type",IF(COUNTIF(Products!$A$2:$A$101,$D874)=0,"Unknown SKU",IF(COUNTIFS(Batches!$A$2:$A$301,$F874,Batches!$B$2:$B$301,$D874)=0,"Unknown lot for this SKU",IF(AND($C874="Adjustment",$G874=""),"Missing: reason",IF(AND($G874&lt;&gt;"",COUNTIF(Config!$B$15:$B$34,$G874)=0),"Unsupported reason",IF(OR(INT($E874)&lt;&gt;$E874,AND(OR($C874="Receipt",$C874="Shipment"),$E874&lt;=0),AND($C874="Adjustment",$E874=0)),"Invalid qty",IF($B874&gt;Config!$B$4,"Date after the as-of date",IF($B874&lt;Config!$B$5,"Date before the opening balance date","OK")))))))))))))))))</f>
        <v/>
      </c>
    </row>
    <row r="875">
      <c r="A875" s="46" t="n"/>
      <c r="B875" s="54" t="n"/>
      <c r="C875" s="46" t="n"/>
      <c r="D875" s="46" t="n"/>
      <c r="E875" s="55" t="n"/>
      <c r="F875" s="46" t="n"/>
      <c r="G875" s="46" t="n"/>
      <c r="H875" s="46" t="n"/>
      <c r="I875" s="46" t="n"/>
      <c r="J875" s="46" t="n"/>
      <c r="K875" s="46" t="n"/>
      <c r="L875" s="46" t="n"/>
      <c r="M875" s="51" t="str">
        <f>IF(NOT(ISNUMBER($E875)),"",IF($C875="Receipt",$E875,IF($C875="Shipment",-$E875,IF($C875="Adjustment",$E875,0))))</f>
        <v/>
      </c>
      <c r="N875" s="49" t="str">
        <f>IF($D875="","",IFERROR(INDEX(Products!$B$2:$B$101,MATCH($D875,Products!$A$2:$A$101,0))&amp;"","(not found)"))</f>
        <v/>
      </c>
      <c r="O875" s="49" t="str">
        <f>IF($F875="","",IFERROR(INDEX(Batches!$B$2:$B$301,MATCH($F875,Batches!$A$2:$A$301,0))&amp;"","(not found)"))</f>
        <v/>
      </c>
      <c r="P875" s="49" t="str">
        <f>IF(COUNTA($A875:$L875)=0,"",IF($A875="","Missing: entry ID",IF(COUNTIF($A$2:$A$2001,$A875)&gt;1,"Duplicate entry ID",IF(NOT(ISNUMBER($B875)),"Missing or invalid: date",IF($C875="","Missing: type",IF($D875="","Missing: SKU",IF(NOT(ISNUMBER($E875)),"Missing: qty",IF($F875="","Missing: lot",IF($I875="","Missing: source link",IF(COUNTIF(Config!$A$15:$A$34,$C875)=0,"Unsupported type",IF(COUNTIF(Products!$A$2:$A$101,$D875)=0,"Unknown SKU",IF(COUNTIFS(Batches!$A$2:$A$301,$F875,Batches!$B$2:$B$301,$D875)=0,"Unknown lot for this SKU",IF(AND($C875="Adjustment",$G875=""),"Missing: reason",IF(AND($G875&lt;&gt;"",COUNTIF(Config!$B$15:$B$34,$G875)=0),"Unsupported reason",IF(OR(INT($E875)&lt;&gt;$E875,AND(OR($C875="Receipt",$C875="Shipment"),$E875&lt;=0),AND($C875="Adjustment",$E875=0)),"Invalid qty",IF($B875&gt;Config!$B$4,"Date after the as-of date",IF($B875&lt;Config!$B$5,"Date before the opening balance date","OK")))))))))))))))))</f>
        <v/>
      </c>
    </row>
    <row r="876">
      <c r="A876" s="46" t="n"/>
      <c r="B876" s="54" t="n"/>
      <c r="C876" s="46" t="n"/>
      <c r="D876" s="46" t="n"/>
      <c r="E876" s="55" t="n"/>
      <c r="F876" s="46" t="n"/>
      <c r="G876" s="46" t="n"/>
      <c r="H876" s="46" t="n"/>
      <c r="I876" s="46" t="n"/>
      <c r="J876" s="46" t="n"/>
      <c r="K876" s="46" t="n"/>
      <c r="L876" s="46" t="n"/>
      <c r="M876" s="51" t="str">
        <f>IF(NOT(ISNUMBER($E876)),"",IF($C876="Receipt",$E876,IF($C876="Shipment",-$E876,IF($C876="Adjustment",$E876,0))))</f>
        <v/>
      </c>
      <c r="N876" s="49" t="str">
        <f>IF($D876="","",IFERROR(INDEX(Products!$B$2:$B$101,MATCH($D876,Products!$A$2:$A$101,0))&amp;"","(not found)"))</f>
        <v/>
      </c>
      <c r="O876" s="49" t="str">
        <f>IF($F876="","",IFERROR(INDEX(Batches!$B$2:$B$301,MATCH($F876,Batches!$A$2:$A$301,0))&amp;"","(not found)"))</f>
        <v/>
      </c>
      <c r="P876" s="49" t="str">
        <f>IF(COUNTA($A876:$L876)=0,"",IF($A876="","Missing: entry ID",IF(COUNTIF($A$2:$A$2001,$A876)&gt;1,"Duplicate entry ID",IF(NOT(ISNUMBER($B876)),"Missing or invalid: date",IF($C876="","Missing: type",IF($D876="","Missing: SKU",IF(NOT(ISNUMBER($E876)),"Missing: qty",IF($F876="","Missing: lot",IF($I876="","Missing: source link",IF(COUNTIF(Config!$A$15:$A$34,$C876)=0,"Unsupported type",IF(COUNTIF(Products!$A$2:$A$101,$D876)=0,"Unknown SKU",IF(COUNTIFS(Batches!$A$2:$A$301,$F876,Batches!$B$2:$B$301,$D876)=0,"Unknown lot for this SKU",IF(AND($C876="Adjustment",$G876=""),"Missing: reason",IF(AND($G876&lt;&gt;"",COUNTIF(Config!$B$15:$B$34,$G876)=0),"Unsupported reason",IF(OR(INT($E876)&lt;&gt;$E876,AND(OR($C876="Receipt",$C876="Shipment"),$E876&lt;=0),AND($C876="Adjustment",$E876=0)),"Invalid qty",IF($B876&gt;Config!$B$4,"Date after the as-of date",IF($B876&lt;Config!$B$5,"Date before the opening balance date","OK")))))))))))))))))</f>
        <v/>
      </c>
    </row>
    <row r="877">
      <c r="A877" s="46" t="n"/>
      <c r="B877" s="54" t="n"/>
      <c r="C877" s="46" t="n"/>
      <c r="D877" s="46" t="n"/>
      <c r="E877" s="55" t="n"/>
      <c r="F877" s="46" t="n"/>
      <c r="G877" s="46" t="n"/>
      <c r="H877" s="46" t="n"/>
      <c r="I877" s="46" t="n"/>
      <c r="J877" s="46" t="n"/>
      <c r="K877" s="46" t="n"/>
      <c r="L877" s="46" t="n"/>
      <c r="M877" s="51" t="str">
        <f>IF(NOT(ISNUMBER($E877)),"",IF($C877="Receipt",$E877,IF($C877="Shipment",-$E877,IF($C877="Adjustment",$E877,0))))</f>
        <v/>
      </c>
      <c r="N877" s="49" t="str">
        <f>IF($D877="","",IFERROR(INDEX(Products!$B$2:$B$101,MATCH($D877,Products!$A$2:$A$101,0))&amp;"","(not found)"))</f>
        <v/>
      </c>
      <c r="O877" s="49" t="str">
        <f>IF($F877="","",IFERROR(INDEX(Batches!$B$2:$B$301,MATCH($F877,Batches!$A$2:$A$301,0))&amp;"","(not found)"))</f>
        <v/>
      </c>
      <c r="P877" s="49" t="str">
        <f>IF(COUNTA($A877:$L877)=0,"",IF($A877="","Missing: entry ID",IF(COUNTIF($A$2:$A$2001,$A877)&gt;1,"Duplicate entry ID",IF(NOT(ISNUMBER($B877)),"Missing or invalid: date",IF($C877="","Missing: type",IF($D877="","Missing: SKU",IF(NOT(ISNUMBER($E877)),"Missing: qty",IF($F877="","Missing: lot",IF($I877="","Missing: source link",IF(COUNTIF(Config!$A$15:$A$34,$C877)=0,"Unsupported type",IF(COUNTIF(Products!$A$2:$A$101,$D877)=0,"Unknown SKU",IF(COUNTIFS(Batches!$A$2:$A$301,$F877,Batches!$B$2:$B$301,$D877)=0,"Unknown lot for this SKU",IF(AND($C877="Adjustment",$G877=""),"Missing: reason",IF(AND($G877&lt;&gt;"",COUNTIF(Config!$B$15:$B$34,$G877)=0),"Unsupported reason",IF(OR(INT($E877)&lt;&gt;$E877,AND(OR($C877="Receipt",$C877="Shipment"),$E877&lt;=0),AND($C877="Adjustment",$E877=0)),"Invalid qty",IF($B877&gt;Config!$B$4,"Date after the as-of date",IF($B877&lt;Config!$B$5,"Date before the opening balance date","OK")))))))))))))))))</f>
        <v/>
      </c>
    </row>
    <row r="878">
      <c r="A878" s="46" t="n"/>
      <c r="B878" s="54" t="n"/>
      <c r="C878" s="46" t="n"/>
      <c r="D878" s="46" t="n"/>
      <c r="E878" s="55" t="n"/>
      <c r="F878" s="46" t="n"/>
      <c r="G878" s="46" t="n"/>
      <c r="H878" s="46" t="n"/>
      <c r="I878" s="46" t="n"/>
      <c r="J878" s="46" t="n"/>
      <c r="K878" s="46" t="n"/>
      <c r="L878" s="46" t="n"/>
      <c r="M878" s="51" t="str">
        <f>IF(NOT(ISNUMBER($E878)),"",IF($C878="Receipt",$E878,IF($C878="Shipment",-$E878,IF($C878="Adjustment",$E878,0))))</f>
        <v/>
      </c>
      <c r="N878" s="49" t="str">
        <f>IF($D878="","",IFERROR(INDEX(Products!$B$2:$B$101,MATCH($D878,Products!$A$2:$A$101,0))&amp;"","(not found)"))</f>
        <v/>
      </c>
      <c r="O878" s="49" t="str">
        <f>IF($F878="","",IFERROR(INDEX(Batches!$B$2:$B$301,MATCH($F878,Batches!$A$2:$A$301,0))&amp;"","(not found)"))</f>
        <v/>
      </c>
      <c r="P878" s="49" t="str">
        <f>IF(COUNTA($A878:$L878)=0,"",IF($A878="","Missing: entry ID",IF(COUNTIF($A$2:$A$2001,$A878)&gt;1,"Duplicate entry ID",IF(NOT(ISNUMBER($B878)),"Missing or invalid: date",IF($C878="","Missing: type",IF($D878="","Missing: SKU",IF(NOT(ISNUMBER($E878)),"Missing: qty",IF($F878="","Missing: lot",IF($I878="","Missing: source link",IF(COUNTIF(Config!$A$15:$A$34,$C878)=0,"Unsupported type",IF(COUNTIF(Products!$A$2:$A$101,$D878)=0,"Unknown SKU",IF(COUNTIFS(Batches!$A$2:$A$301,$F878,Batches!$B$2:$B$301,$D878)=0,"Unknown lot for this SKU",IF(AND($C878="Adjustment",$G878=""),"Missing: reason",IF(AND($G878&lt;&gt;"",COUNTIF(Config!$B$15:$B$34,$G878)=0),"Unsupported reason",IF(OR(INT($E878)&lt;&gt;$E878,AND(OR($C878="Receipt",$C878="Shipment"),$E878&lt;=0),AND($C878="Adjustment",$E878=0)),"Invalid qty",IF($B878&gt;Config!$B$4,"Date after the as-of date",IF($B878&lt;Config!$B$5,"Date before the opening balance date","OK")))))))))))))))))</f>
        <v/>
      </c>
    </row>
    <row r="879">
      <c r="A879" s="46" t="n"/>
      <c r="B879" s="54" t="n"/>
      <c r="C879" s="46" t="n"/>
      <c r="D879" s="46" t="n"/>
      <c r="E879" s="55" t="n"/>
      <c r="F879" s="46" t="n"/>
      <c r="G879" s="46" t="n"/>
      <c r="H879" s="46" t="n"/>
      <c r="I879" s="46" t="n"/>
      <c r="J879" s="46" t="n"/>
      <c r="K879" s="46" t="n"/>
      <c r="L879" s="46" t="n"/>
      <c r="M879" s="51" t="str">
        <f>IF(NOT(ISNUMBER($E879)),"",IF($C879="Receipt",$E879,IF($C879="Shipment",-$E879,IF($C879="Adjustment",$E879,0))))</f>
        <v/>
      </c>
      <c r="N879" s="49" t="str">
        <f>IF($D879="","",IFERROR(INDEX(Products!$B$2:$B$101,MATCH($D879,Products!$A$2:$A$101,0))&amp;"","(not found)"))</f>
        <v/>
      </c>
      <c r="O879" s="49" t="str">
        <f>IF($F879="","",IFERROR(INDEX(Batches!$B$2:$B$301,MATCH($F879,Batches!$A$2:$A$301,0))&amp;"","(not found)"))</f>
        <v/>
      </c>
      <c r="P879" s="49" t="str">
        <f>IF(COUNTA($A879:$L879)=0,"",IF($A879="","Missing: entry ID",IF(COUNTIF($A$2:$A$2001,$A879)&gt;1,"Duplicate entry ID",IF(NOT(ISNUMBER($B879)),"Missing or invalid: date",IF($C879="","Missing: type",IF($D879="","Missing: SKU",IF(NOT(ISNUMBER($E879)),"Missing: qty",IF($F879="","Missing: lot",IF($I879="","Missing: source link",IF(COUNTIF(Config!$A$15:$A$34,$C879)=0,"Unsupported type",IF(COUNTIF(Products!$A$2:$A$101,$D879)=0,"Unknown SKU",IF(COUNTIFS(Batches!$A$2:$A$301,$F879,Batches!$B$2:$B$301,$D879)=0,"Unknown lot for this SKU",IF(AND($C879="Adjustment",$G879=""),"Missing: reason",IF(AND($G879&lt;&gt;"",COUNTIF(Config!$B$15:$B$34,$G879)=0),"Unsupported reason",IF(OR(INT($E879)&lt;&gt;$E879,AND(OR($C879="Receipt",$C879="Shipment"),$E879&lt;=0),AND($C879="Adjustment",$E879=0)),"Invalid qty",IF($B879&gt;Config!$B$4,"Date after the as-of date",IF($B879&lt;Config!$B$5,"Date before the opening balance date","OK")))))))))))))))))</f>
        <v/>
      </c>
    </row>
    <row r="880">
      <c r="A880" s="46" t="n"/>
      <c r="B880" s="54" t="n"/>
      <c r="C880" s="46" t="n"/>
      <c r="D880" s="46" t="n"/>
      <c r="E880" s="55" t="n"/>
      <c r="F880" s="46" t="n"/>
      <c r="G880" s="46" t="n"/>
      <c r="H880" s="46" t="n"/>
      <c r="I880" s="46" t="n"/>
      <c r="J880" s="46" t="n"/>
      <c r="K880" s="46" t="n"/>
      <c r="L880" s="46" t="n"/>
      <c r="M880" s="51" t="str">
        <f>IF(NOT(ISNUMBER($E880)),"",IF($C880="Receipt",$E880,IF($C880="Shipment",-$E880,IF($C880="Adjustment",$E880,0))))</f>
        <v/>
      </c>
      <c r="N880" s="49" t="str">
        <f>IF($D880="","",IFERROR(INDEX(Products!$B$2:$B$101,MATCH($D880,Products!$A$2:$A$101,0))&amp;"","(not found)"))</f>
        <v/>
      </c>
      <c r="O880" s="49" t="str">
        <f>IF($F880="","",IFERROR(INDEX(Batches!$B$2:$B$301,MATCH($F880,Batches!$A$2:$A$301,0))&amp;"","(not found)"))</f>
        <v/>
      </c>
      <c r="P880" s="49" t="str">
        <f>IF(COUNTA($A880:$L880)=0,"",IF($A880="","Missing: entry ID",IF(COUNTIF($A$2:$A$2001,$A880)&gt;1,"Duplicate entry ID",IF(NOT(ISNUMBER($B880)),"Missing or invalid: date",IF($C880="","Missing: type",IF($D880="","Missing: SKU",IF(NOT(ISNUMBER($E880)),"Missing: qty",IF($F880="","Missing: lot",IF($I880="","Missing: source link",IF(COUNTIF(Config!$A$15:$A$34,$C880)=0,"Unsupported type",IF(COUNTIF(Products!$A$2:$A$101,$D880)=0,"Unknown SKU",IF(COUNTIFS(Batches!$A$2:$A$301,$F880,Batches!$B$2:$B$301,$D880)=0,"Unknown lot for this SKU",IF(AND($C880="Adjustment",$G880=""),"Missing: reason",IF(AND($G880&lt;&gt;"",COUNTIF(Config!$B$15:$B$34,$G880)=0),"Unsupported reason",IF(OR(INT($E880)&lt;&gt;$E880,AND(OR($C880="Receipt",$C880="Shipment"),$E880&lt;=0),AND($C880="Adjustment",$E880=0)),"Invalid qty",IF($B880&gt;Config!$B$4,"Date after the as-of date",IF($B880&lt;Config!$B$5,"Date before the opening balance date","OK")))))))))))))))))</f>
        <v/>
      </c>
    </row>
    <row r="881">
      <c r="A881" s="46" t="n"/>
      <c r="B881" s="54" t="n"/>
      <c r="C881" s="46" t="n"/>
      <c r="D881" s="46" t="n"/>
      <c r="E881" s="55" t="n"/>
      <c r="F881" s="46" t="n"/>
      <c r="G881" s="46" t="n"/>
      <c r="H881" s="46" t="n"/>
      <c r="I881" s="46" t="n"/>
      <c r="J881" s="46" t="n"/>
      <c r="K881" s="46" t="n"/>
      <c r="L881" s="46" t="n"/>
      <c r="M881" s="51" t="str">
        <f>IF(NOT(ISNUMBER($E881)),"",IF($C881="Receipt",$E881,IF($C881="Shipment",-$E881,IF($C881="Adjustment",$E881,0))))</f>
        <v/>
      </c>
      <c r="N881" s="49" t="str">
        <f>IF($D881="","",IFERROR(INDEX(Products!$B$2:$B$101,MATCH($D881,Products!$A$2:$A$101,0))&amp;"","(not found)"))</f>
        <v/>
      </c>
      <c r="O881" s="49" t="str">
        <f>IF($F881="","",IFERROR(INDEX(Batches!$B$2:$B$301,MATCH($F881,Batches!$A$2:$A$301,0))&amp;"","(not found)"))</f>
        <v/>
      </c>
      <c r="P881" s="49" t="str">
        <f>IF(COUNTA($A881:$L881)=0,"",IF($A881="","Missing: entry ID",IF(COUNTIF($A$2:$A$2001,$A881)&gt;1,"Duplicate entry ID",IF(NOT(ISNUMBER($B881)),"Missing or invalid: date",IF($C881="","Missing: type",IF($D881="","Missing: SKU",IF(NOT(ISNUMBER($E881)),"Missing: qty",IF($F881="","Missing: lot",IF($I881="","Missing: source link",IF(COUNTIF(Config!$A$15:$A$34,$C881)=0,"Unsupported type",IF(COUNTIF(Products!$A$2:$A$101,$D881)=0,"Unknown SKU",IF(COUNTIFS(Batches!$A$2:$A$301,$F881,Batches!$B$2:$B$301,$D881)=0,"Unknown lot for this SKU",IF(AND($C881="Adjustment",$G881=""),"Missing: reason",IF(AND($G881&lt;&gt;"",COUNTIF(Config!$B$15:$B$34,$G881)=0),"Unsupported reason",IF(OR(INT($E881)&lt;&gt;$E881,AND(OR($C881="Receipt",$C881="Shipment"),$E881&lt;=0),AND($C881="Adjustment",$E881=0)),"Invalid qty",IF($B881&gt;Config!$B$4,"Date after the as-of date",IF($B881&lt;Config!$B$5,"Date before the opening balance date","OK")))))))))))))))))</f>
        <v/>
      </c>
    </row>
    <row r="882">
      <c r="A882" s="46" t="n"/>
      <c r="B882" s="54" t="n"/>
      <c r="C882" s="46" t="n"/>
      <c r="D882" s="46" t="n"/>
      <c r="E882" s="55" t="n"/>
      <c r="F882" s="46" t="n"/>
      <c r="G882" s="46" t="n"/>
      <c r="H882" s="46" t="n"/>
      <c r="I882" s="46" t="n"/>
      <c r="J882" s="46" t="n"/>
      <c r="K882" s="46" t="n"/>
      <c r="L882" s="46" t="n"/>
      <c r="M882" s="51" t="str">
        <f>IF(NOT(ISNUMBER($E882)),"",IF($C882="Receipt",$E882,IF($C882="Shipment",-$E882,IF($C882="Adjustment",$E882,0))))</f>
        <v/>
      </c>
      <c r="N882" s="49" t="str">
        <f>IF($D882="","",IFERROR(INDEX(Products!$B$2:$B$101,MATCH($D882,Products!$A$2:$A$101,0))&amp;"","(not found)"))</f>
        <v/>
      </c>
      <c r="O882" s="49" t="str">
        <f>IF($F882="","",IFERROR(INDEX(Batches!$B$2:$B$301,MATCH($F882,Batches!$A$2:$A$301,0))&amp;"","(not found)"))</f>
        <v/>
      </c>
      <c r="P882" s="49" t="str">
        <f>IF(COUNTA($A882:$L882)=0,"",IF($A882="","Missing: entry ID",IF(COUNTIF($A$2:$A$2001,$A882)&gt;1,"Duplicate entry ID",IF(NOT(ISNUMBER($B882)),"Missing or invalid: date",IF($C882="","Missing: type",IF($D882="","Missing: SKU",IF(NOT(ISNUMBER($E882)),"Missing: qty",IF($F882="","Missing: lot",IF($I882="","Missing: source link",IF(COUNTIF(Config!$A$15:$A$34,$C882)=0,"Unsupported type",IF(COUNTIF(Products!$A$2:$A$101,$D882)=0,"Unknown SKU",IF(COUNTIFS(Batches!$A$2:$A$301,$F882,Batches!$B$2:$B$301,$D882)=0,"Unknown lot for this SKU",IF(AND($C882="Adjustment",$G882=""),"Missing: reason",IF(AND($G882&lt;&gt;"",COUNTIF(Config!$B$15:$B$34,$G882)=0),"Unsupported reason",IF(OR(INT($E882)&lt;&gt;$E882,AND(OR($C882="Receipt",$C882="Shipment"),$E882&lt;=0),AND($C882="Adjustment",$E882=0)),"Invalid qty",IF($B882&gt;Config!$B$4,"Date after the as-of date",IF($B882&lt;Config!$B$5,"Date before the opening balance date","OK")))))))))))))))))</f>
        <v/>
      </c>
    </row>
    <row r="883">
      <c r="A883" s="46" t="n"/>
      <c r="B883" s="54" t="n"/>
      <c r="C883" s="46" t="n"/>
      <c r="D883" s="46" t="n"/>
      <c r="E883" s="55" t="n"/>
      <c r="F883" s="46" t="n"/>
      <c r="G883" s="46" t="n"/>
      <c r="H883" s="46" t="n"/>
      <c r="I883" s="46" t="n"/>
      <c r="J883" s="46" t="n"/>
      <c r="K883" s="46" t="n"/>
      <c r="L883" s="46" t="n"/>
      <c r="M883" s="51" t="str">
        <f>IF(NOT(ISNUMBER($E883)),"",IF($C883="Receipt",$E883,IF($C883="Shipment",-$E883,IF($C883="Adjustment",$E883,0))))</f>
        <v/>
      </c>
      <c r="N883" s="49" t="str">
        <f>IF($D883="","",IFERROR(INDEX(Products!$B$2:$B$101,MATCH($D883,Products!$A$2:$A$101,0))&amp;"","(not found)"))</f>
        <v/>
      </c>
      <c r="O883" s="49" t="str">
        <f>IF($F883="","",IFERROR(INDEX(Batches!$B$2:$B$301,MATCH($F883,Batches!$A$2:$A$301,0))&amp;"","(not found)"))</f>
        <v/>
      </c>
      <c r="P883" s="49" t="str">
        <f>IF(COUNTA($A883:$L883)=0,"",IF($A883="","Missing: entry ID",IF(COUNTIF($A$2:$A$2001,$A883)&gt;1,"Duplicate entry ID",IF(NOT(ISNUMBER($B883)),"Missing or invalid: date",IF($C883="","Missing: type",IF($D883="","Missing: SKU",IF(NOT(ISNUMBER($E883)),"Missing: qty",IF($F883="","Missing: lot",IF($I883="","Missing: source link",IF(COUNTIF(Config!$A$15:$A$34,$C883)=0,"Unsupported type",IF(COUNTIF(Products!$A$2:$A$101,$D883)=0,"Unknown SKU",IF(COUNTIFS(Batches!$A$2:$A$301,$F883,Batches!$B$2:$B$301,$D883)=0,"Unknown lot for this SKU",IF(AND($C883="Adjustment",$G883=""),"Missing: reason",IF(AND($G883&lt;&gt;"",COUNTIF(Config!$B$15:$B$34,$G883)=0),"Unsupported reason",IF(OR(INT($E883)&lt;&gt;$E883,AND(OR($C883="Receipt",$C883="Shipment"),$E883&lt;=0),AND($C883="Adjustment",$E883=0)),"Invalid qty",IF($B883&gt;Config!$B$4,"Date after the as-of date",IF($B883&lt;Config!$B$5,"Date before the opening balance date","OK")))))))))))))))))</f>
        <v/>
      </c>
    </row>
    <row r="884">
      <c r="A884" s="46" t="n"/>
      <c r="B884" s="54" t="n"/>
      <c r="C884" s="46" t="n"/>
      <c r="D884" s="46" t="n"/>
      <c r="E884" s="55" t="n"/>
      <c r="F884" s="46" t="n"/>
      <c r="G884" s="46" t="n"/>
      <c r="H884" s="46" t="n"/>
      <c r="I884" s="46" t="n"/>
      <c r="J884" s="46" t="n"/>
      <c r="K884" s="46" t="n"/>
      <c r="L884" s="46" t="n"/>
      <c r="M884" s="51" t="str">
        <f>IF(NOT(ISNUMBER($E884)),"",IF($C884="Receipt",$E884,IF($C884="Shipment",-$E884,IF($C884="Adjustment",$E884,0))))</f>
        <v/>
      </c>
      <c r="N884" s="49" t="str">
        <f>IF($D884="","",IFERROR(INDEX(Products!$B$2:$B$101,MATCH($D884,Products!$A$2:$A$101,0))&amp;"","(not found)"))</f>
        <v/>
      </c>
      <c r="O884" s="49" t="str">
        <f>IF($F884="","",IFERROR(INDEX(Batches!$B$2:$B$301,MATCH($F884,Batches!$A$2:$A$301,0))&amp;"","(not found)"))</f>
        <v/>
      </c>
      <c r="P884" s="49" t="str">
        <f>IF(COUNTA($A884:$L884)=0,"",IF($A884="","Missing: entry ID",IF(COUNTIF($A$2:$A$2001,$A884)&gt;1,"Duplicate entry ID",IF(NOT(ISNUMBER($B884)),"Missing or invalid: date",IF($C884="","Missing: type",IF($D884="","Missing: SKU",IF(NOT(ISNUMBER($E884)),"Missing: qty",IF($F884="","Missing: lot",IF($I884="","Missing: source link",IF(COUNTIF(Config!$A$15:$A$34,$C884)=0,"Unsupported type",IF(COUNTIF(Products!$A$2:$A$101,$D884)=0,"Unknown SKU",IF(COUNTIFS(Batches!$A$2:$A$301,$F884,Batches!$B$2:$B$301,$D884)=0,"Unknown lot for this SKU",IF(AND($C884="Adjustment",$G884=""),"Missing: reason",IF(AND($G884&lt;&gt;"",COUNTIF(Config!$B$15:$B$34,$G884)=0),"Unsupported reason",IF(OR(INT($E884)&lt;&gt;$E884,AND(OR($C884="Receipt",$C884="Shipment"),$E884&lt;=0),AND($C884="Adjustment",$E884=0)),"Invalid qty",IF($B884&gt;Config!$B$4,"Date after the as-of date",IF($B884&lt;Config!$B$5,"Date before the opening balance date","OK")))))))))))))))))</f>
        <v/>
      </c>
    </row>
    <row r="885">
      <c r="A885" s="46" t="n"/>
      <c r="B885" s="54" t="n"/>
      <c r="C885" s="46" t="n"/>
      <c r="D885" s="46" t="n"/>
      <c r="E885" s="55" t="n"/>
      <c r="F885" s="46" t="n"/>
      <c r="G885" s="46" t="n"/>
      <c r="H885" s="46" t="n"/>
      <c r="I885" s="46" t="n"/>
      <c r="J885" s="46" t="n"/>
      <c r="K885" s="46" t="n"/>
      <c r="L885" s="46" t="n"/>
      <c r="M885" s="51" t="str">
        <f>IF(NOT(ISNUMBER($E885)),"",IF($C885="Receipt",$E885,IF($C885="Shipment",-$E885,IF($C885="Adjustment",$E885,0))))</f>
        <v/>
      </c>
      <c r="N885" s="49" t="str">
        <f>IF($D885="","",IFERROR(INDEX(Products!$B$2:$B$101,MATCH($D885,Products!$A$2:$A$101,0))&amp;"","(not found)"))</f>
        <v/>
      </c>
      <c r="O885" s="49" t="str">
        <f>IF($F885="","",IFERROR(INDEX(Batches!$B$2:$B$301,MATCH($F885,Batches!$A$2:$A$301,0))&amp;"","(not found)"))</f>
        <v/>
      </c>
      <c r="P885" s="49" t="str">
        <f>IF(COUNTA($A885:$L885)=0,"",IF($A885="","Missing: entry ID",IF(COUNTIF($A$2:$A$2001,$A885)&gt;1,"Duplicate entry ID",IF(NOT(ISNUMBER($B885)),"Missing or invalid: date",IF($C885="","Missing: type",IF($D885="","Missing: SKU",IF(NOT(ISNUMBER($E885)),"Missing: qty",IF($F885="","Missing: lot",IF($I885="","Missing: source link",IF(COUNTIF(Config!$A$15:$A$34,$C885)=0,"Unsupported type",IF(COUNTIF(Products!$A$2:$A$101,$D885)=0,"Unknown SKU",IF(COUNTIFS(Batches!$A$2:$A$301,$F885,Batches!$B$2:$B$301,$D885)=0,"Unknown lot for this SKU",IF(AND($C885="Adjustment",$G885=""),"Missing: reason",IF(AND($G885&lt;&gt;"",COUNTIF(Config!$B$15:$B$34,$G885)=0),"Unsupported reason",IF(OR(INT($E885)&lt;&gt;$E885,AND(OR($C885="Receipt",$C885="Shipment"),$E885&lt;=0),AND($C885="Adjustment",$E885=0)),"Invalid qty",IF($B885&gt;Config!$B$4,"Date after the as-of date",IF($B885&lt;Config!$B$5,"Date before the opening balance date","OK")))))))))))))))))</f>
        <v/>
      </c>
    </row>
    <row r="886">
      <c r="A886" s="46" t="n"/>
      <c r="B886" s="54" t="n"/>
      <c r="C886" s="46" t="n"/>
      <c r="D886" s="46" t="n"/>
      <c r="E886" s="55" t="n"/>
      <c r="F886" s="46" t="n"/>
      <c r="G886" s="46" t="n"/>
      <c r="H886" s="46" t="n"/>
      <c r="I886" s="46" t="n"/>
      <c r="J886" s="46" t="n"/>
      <c r="K886" s="46" t="n"/>
      <c r="L886" s="46" t="n"/>
      <c r="M886" s="51" t="str">
        <f>IF(NOT(ISNUMBER($E886)),"",IF($C886="Receipt",$E886,IF($C886="Shipment",-$E886,IF($C886="Adjustment",$E886,0))))</f>
        <v/>
      </c>
      <c r="N886" s="49" t="str">
        <f>IF($D886="","",IFERROR(INDEX(Products!$B$2:$B$101,MATCH($D886,Products!$A$2:$A$101,0))&amp;"","(not found)"))</f>
        <v/>
      </c>
      <c r="O886" s="49" t="str">
        <f>IF($F886="","",IFERROR(INDEX(Batches!$B$2:$B$301,MATCH($F886,Batches!$A$2:$A$301,0))&amp;"","(not found)"))</f>
        <v/>
      </c>
      <c r="P886" s="49" t="str">
        <f>IF(COUNTA($A886:$L886)=0,"",IF($A886="","Missing: entry ID",IF(COUNTIF($A$2:$A$2001,$A886)&gt;1,"Duplicate entry ID",IF(NOT(ISNUMBER($B886)),"Missing or invalid: date",IF($C886="","Missing: type",IF($D886="","Missing: SKU",IF(NOT(ISNUMBER($E886)),"Missing: qty",IF($F886="","Missing: lot",IF($I886="","Missing: source link",IF(COUNTIF(Config!$A$15:$A$34,$C886)=0,"Unsupported type",IF(COUNTIF(Products!$A$2:$A$101,$D886)=0,"Unknown SKU",IF(COUNTIFS(Batches!$A$2:$A$301,$F886,Batches!$B$2:$B$301,$D886)=0,"Unknown lot for this SKU",IF(AND($C886="Adjustment",$G886=""),"Missing: reason",IF(AND($G886&lt;&gt;"",COUNTIF(Config!$B$15:$B$34,$G886)=0),"Unsupported reason",IF(OR(INT($E886)&lt;&gt;$E886,AND(OR($C886="Receipt",$C886="Shipment"),$E886&lt;=0),AND($C886="Adjustment",$E886=0)),"Invalid qty",IF($B886&gt;Config!$B$4,"Date after the as-of date",IF($B886&lt;Config!$B$5,"Date before the opening balance date","OK")))))))))))))))))</f>
        <v/>
      </c>
    </row>
    <row r="887">
      <c r="A887" s="46" t="n"/>
      <c r="B887" s="54" t="n"/>
      <c r="C887" s="46" t="n"/>
      <c r="D887" s="46" t="n"/>
      <c r="E887" s="55" t="n"/>
      <c r="F887" s="46" t="n"/>
      <c r="G887" s="46" t="n"/>
      <c r="H887" s="46" t="n"/>
      <c r="I887" s="46" t="n"/>
      <c r="J887" s="46" t="n"/>
      <c r="K887" s="46" t="n"/>
      <c r="L887" s="46" t="n"/>
      <c r="M887" s="51" t="str">
        <f>IF(NOT(ISNUMBER($E887)),"",IF($C887="Receipt",$E887,IF($C887="Shipment",-$E887,IF($C887="Adjustment",$E887,0))))</f>
        <v/>
      </c>
      <c r="N887" s="49" t="str">
        <f>IF($D887="","",IFERROR(INDEX(Products!$B$2:$B$101,MATCH($D887,Products!$A$2:$A$101,0))&amp;"","(not found)"))</f>
        <v/>
      </c>
      <c r="O887" s="49" t="str">
        <f>IF($F887="","",IFERROR(INDEX(Batches!$B$2:$B$301,MATCH($F887,Batches!$A$2:$A$301,0))&amp;"","(not found)"))</f>
        <v/>
      </c>
      <c r="P887" s="49" t="str">
        <f>IF(COUNTA($A887:$L887)=0,"",IF($A887="","Missing: entry ID",IF(COUNTIF($A$2:$A$2001,$A887)&gt;1,"Duplicate entry ID",IF(NOT(ISNUMBER($B887)),"Missing or invalid: date",IF($C887="","Missing: type",IF($D887="","Missing: SKU",IF(NOT(ISNUMBER($E887)),"Missing: qty",IF($F887="","Missing: lot",IF($I887="","Missing: source link",IF(COUNTIF(Config!$A$15:$A$34,$C887)=0,"Unsupported type",IF(COUNTIF(Products!$A$2:$A$101,$D887)=0,"Unknown SKU",IF(COUNTIFS(Batches!$A$2:$A$301,$F887,Batches!$B$2:$B$301,$D887)=0,"Unknown lot for this SKU",IF(AND($C887="Adjustment",$G887=""),"Missing: reason",IF(AND($G887&lt;&gt;"",COUNTIF(Config!$B$15:$B$34,$G887)=0),"Unsupported reason",IF(OR(INT($E887)&lt;&gt;$E887,AND(OR($C887="Receipt",$C887="Shipment"),$E887&lt;=0),AND($C887="Adjustment",$E887=0)),"Invalid qty",IF($B887&gt;Config!$B$4,"Date after the as-of date",IF($B887&lt;Config!$B$5,"Date before the opening balance date","OK")))))))))))))))))</f>
        <v/>
      </c>
    </row>
    <row r="888">
      <c r="A888" s="46" t="n"/>
      <c r="B888" s="54" t="n"/>
      <c r="C888" s="46" t="n"/>
      <c r="D888" s="46" t="n"/>
      <c r="E888" s="55" t="n"/>
      <c r="F888" s="46" t="n"/>
      <c r="G888" s="46" t="n"/>
      <c r="H888" s="46" t="n"/>
      <c r="I888" s="46" t="n"/>
      <c r="J888" s="46" t="n"/>
      <c r="K888" s="46" t="n"/>
      <c r="L888" s="46" t="n"/>
      <c r="M888" s="51" t="str">
        <f>IF(NOT(ISNUMBER($E888)),"",IF($C888="Receipt",$E888,IF($C888="Shipment",-$E888,IF($C888="Adjustment",$E888,0))))</f>
        <v/>
      </c>
      <c r="N888" s="49" t="str">
        <f>IF($D888="","",IFERROR(INDEX(Products!$B$2:$B$101,MATCH($D888,Products!$A$2:$A$101,0))&amp;"","(not found)"))</f>
        <v/>
      </c>
      <c r="O888" s="49" t="str">
        <f>IF($F888="","",IFERROR(INDEX(Batches!$B$2:$B$301,MATCH($F888,Batches!$A$2:$A$301,0))&amp;"","(not found)"))</f>
        <v/>
      </c>
      <c r="P888" s="49" t="str">
        <f>IF(COUNTA($A888:$L888)=0,"",IF($A888="","Missing: entry ID",IF(COUNTIF($A$2:$A$2001,$A888)&gt;1,"Duplicate entry ID",IF(NOT(ISNUMBER($B888)),"Missing or invalid: date",IF($C888="","Missing: type",IF($D888="","Missing: SKU",IF(NOT(ISNUMBER($E888)),"Missing: qty",IF($F888="","Missing: lot",IF($I888="","Missing: source link",IF(COUNTIF(Config!$A$15:$A$34,$C888)=0,"Unsupported type",IF(COUNTIF(Products!$A$2:$A$101,$D888)=0,"Unknown SKU",IF(COUNTIFS(Batches!$A$2:$A$301,$F888,Batches!$B$2:$B$301,$D888)=0,"Unknown lot for this SKU",IF(AND($C888="Adjustment",$G888=""),"Missing: reason",IF(AND($G888&lt;&gt;"",COUNTIF(Config!$B$15:$B$34,$G888)=0),"Unsupported reason",IF(OR(INT($E888)&lt;&gt;$E888,AND(OR($C888="Receipt",$C888="Shipment"),$E888&lt;=0),AND($C888="Adjustment",$E888=0)),"Invalid qty",IF($B888&gt;Config!$B$4,"Date after the as-of date",IF($B888&lt;Config!$B$5,"Date before the opening balance date","OK")))))))))))))))))</f>
        <v/>
      </c>
    </row>
    <row r="889">
      <c r="A889" s="46" t="n"/>
      <c r="B889" s="54" t="n"/>
      <c r="C889" s="46" t="n"/>
      <c r="D889" s="46" t="n"/>
      <c r="E889" s="55" t="n"/>
      <c r="F889" s="46" t="n"/>
      <c r="G889" s="46" t="n"/>
      <c r="H889" s="46" t="n"/>
      <c r="I889" s="46" t="n"/>
      <c r="J889" s="46" t="n"/>
      <c r="K889" s="46" t="n"/>
      <c r="L889" s="46" t="n"/>
      <c r="M889" s="51" t="str">
        <f>IF(NOT(ISNUMBER($E889)),"",IF($C889="Receipt",$E889,IF($C889="Shipment",-$E889,IF($C889="Adjustment",$E889,0))))</f>
        <v/>
      </c>
      <c r="N889" s="49" t="str">
        <f>IF($D889="","",IFERROR(INDEX(Products!$B$2:$B$101,MATCH($D889,Products!$A$2:$A$101,0))&amp;"","(not found)"))</f>
        <v/>
      </c>
      <c r="O889" s="49" t="str">
        <f>IF($F889="","",IFERROR(INDEX(Batches!$B$2:$B$301,MATCH($F889,Batches!$A$2:$A$301,0))&amp;"","(not found)"))</f>
        <v/>
      </c>
      <c r="P889" s="49" t="str">
        <f>IF(COUNTA($A889:$L889)=0,"",IF($A889="","Missing: entry ID",IF(COUNTIF($A$2:$A$2001,$A889)&gt;1,"Duplicate entry ID",IF(NOT(ISNUMBER($B889)),"Missing or invalid: date",IF($C889="","Missing: type",IF($D889="","Missing: SKU",IF(NOT(ISNUMBER($E889)),"Missing: qty",IF($F889="","Missing: lot",IF($I889="","Missing: source link",IF(COUNTIF(Config!$A$15:$A$34,$C889)=0,"Unsupported type",IF(COUNTIF(Products!$A$2:$A$101,$D889)=0,"Unknown SKU",IF(COUNTIFS(Batches!$A$2:$A$301,$F889,Batches!$B$2:$B$301,$D889)=0,"Unknown lot for this SKU",IF(AND($C889="Adjustment",$G889=""),"Missing: reason",IF(AND($G889&lt;&gt;"",COUNTIF(Config!$B$15:$B$34,$G889)=0),"Unsupported reason",IF(OR(INT($E889)&lt;&gt;$E889,AND(OR($C889="Receipt",$C889="Shipment"),$E889&lt;=0),AND($C889="Adjustment",$E889=0)),"Invalid qty",IF($B889&gt;Config!$B$4,"Date after the as-of date",IF($B889&lt;Config!$B$5,"Date before the opening balance date","OK")))))))))))))))))</f>
        <v/>
      </c>
    </row>
    <row r="890">
      <c r="A890" s="46" t="n"/>
      <c r="B890" s="54" t="n"/>
      <c r="C890" s="46" t="n"/>
      <c r="D890" s="46" t="n"/>
      <c r="E890" s="55" t="n"/>
      <c r="F890" s="46" t="n"/>
      <c r="G890" s="46" t="n"/>
      <c r="H890" s="46" t="n"/>
      <c r="I890" s="46" t="n"/>
      <c r="J890" s="46" t="n"/>
      <c r="K890" s="46" t="n"/>
      <c r="L890" s="46" t="n"/>
      <c r="M890" s="51" t="str">
        <f>IF(NOT(ISNUMBER($E890)),"",IF($C890="Receipt",$E890,IF($C890="Shipment",-$E890,IF($C890="Adjustment",$E890,0))))</f>
        <v/>
      </c>
      <c r="N890" s="49" t="str">
        <f>IF($D890="","",IFERROR(INDEX(Products!$B$2:$B$101,MATCH($D890,Products!$A$2:$A$101,0))&amp;"","(not found)"))</f>
        <v/>
      </c>
      <c r="O890" s="49" t="str">
        <f>IF($F890="","",IFERROR(INDEX(Batches!$B$2:$B$301,MATCH($F890,Batches!$A$2:$A$301,0))&amp;"","(not found)"))</f>
        <v/>
      </c>
      <c r="P890" s="49" t="str">
        <f>IF(COUNTA($A890:$L890)=0,"",IF($A890="","Missing: entry ID",IF(COUNTIF($A$2:$A$2001,$A890)&gt;1,"Duplicate entry ID",IF(NOT(ISNUMBER($B890)),"Missing or invalid: date",IF($C890="","Missing: type",IF($D890="","Missing: SKU",IF(NOT(ISNUMBER($E890)),"Missing: qty",IF($F890="","Missing: lot",IF($I890="","Missing: source link",IF(COUNTIF(Config!$A$15:$A$34,$C890)=0,"Unsupported type",IF(COUNTIF(Products!$A$2:$A$101,$D890)=0,"Unknown SKU",IF(COUNTIFS(Batches!$A$2:$A$301,$F890,Batches!$B$2:$B$301,$D890)=0,"Unknown lot for this SKU",IF(AND($C890="Adjustment",$G890=""),"Missing: reason",IF(AND($G890&lt;&gt;"",COUNTIF(Config!$B$15:$B$34,$G890)=0),"Unsupported reason",IF(OR(INT($E890)&lt;&gt;$E890,AND(OR($C890="Receipt",$C890="Shipment"),$E890&lt;=0),AND($C890="Adjustment",$E890=0)),"Invalid qty",IF($B890&gt;Config!$B$4,"Date after the as-of date",IF($B890&lt;Config!$B$5,"Date before the opening balance date","OK")))))))))))))))))</f>
        <v/>
      </c>
    </row>
    <row r="891">
      <c r="A891" s="46" t="n"/>
      <c r="B891" s="54" t="n"/>
      <c r="C891" s="46" t="n"/>
      <c r="D891" s="46" t="n"/>
      <c r="E891" s="55" t="n"/>
      <c r="F891" s="46" t="n"/>
      <c r="G891" s="46" t="n"/>
      <c r="H891" s="46" t="n"/>
      <c r="I891" s="46" t="n"/>
      <c r="J891" s="46" t="n"/>
      <c r="K891" s="46" t="n"/>
      <c r="L891" s="46" t="n"/>
      <c r="M891" s="51" t="str">
        <f>IF(NOT(ISNUMBER($E891)),"",IF($C891="Receipt",$E891,IF($C891="Shipment",-$E891,IF($C891="Adjustment",$E891,0))))</f>
        <v/>
      </c>
      <c r="N891" s="49" t="str">
        <f>IF($D891="","",IFERROR(INDEX(Products!$B$2:$B$101,MATCH($D891,Products!$A$2:$A$101,0))&amp;"","(not found)"))</f>
        <v/>
      </c>
      <c r="O891" s="49" t="str">
        <f>IF($F891="","",IFERROR(INDEX(Batches!$B$2:$B$301,MATCH($F891,Batches!$A$2:$A$301,0))&amp;"","(not found)"))</f>
        <v/>
      </c>
      <c r="P891" s="49" t="str">
        <f>IF(COUNTA($A891:$L891)=0,"",IF($A891="","Missing: entry ID",IF(COUNTIF($A$2:$A$2001,$A891)&gt;1,"Duplicate entry ID",IF(NOT(ISNUMBER($B891)),"Missing or invalid: date",IF($C891="","Missing: type",IF($D891="","Missing: SKU",IF(NOT(ISNUMBER($E891)),"Missing: qty",IF($F891="","Missing: lot",IF($I891="","Missing: source link",IF(COUNTIF(Config!$A$15:$A$34,$C891)=0,"Unsupported type",IF(COUNTIF(Products!$A$2:$A$101,$D891)=0,"Unknown SKU",IF(COUNTIFS(Batches!$A$2:$A$301,$F891,Batches!$B$2:$B$301,$D891)=0,"Unknown lot for this SKU",IF(AND($C891="Adjustment",$G891=""),"Missing: reason",IF(AND($G891&lt;&gt;"",COUNTIF(Config!$B$15:$B$34,$G891)=0),"Unsupported reason",IF(OR(INT($E891)&lt;&gt;$E891,AND(OR($C891="Receipt",$C891="Shipment"),$E891&lt;=0),AND($C891="Adjustment",$E891=0)),"Invalid qty",IF($B891&gt;Config!$B$4,"Date after the as-of date",IF($B891&lt;Config!$B$5,"Date before the opening balance date","OK")))))))))))))))))</f>
        <v/>
      </c>
    </row>
    <row r="892">
      <c r="A892" s="46" t="n"/>
      <c r="B892" s="54" t="n"/>
      <c r="C892" s="46" t="n"/>
      <c r="D892" s="46" t="n"/>
      <c r="E892" s="55" t="n"/>
      <c r="F892" s="46" t="n"/>
      <c r="G892" s="46" t="n"/>
      <c r="H892" s="46" t="n"/>
      <c r="I892" s="46" t="n"/>
      <c r="J892" s="46" t="n"/>
      <c r="K892" s="46" t="n"/>
      <c r="L892" s="46" t="n"/>
      <c r="M892" s="51" t="str">
        <f>IF(NOT(ISNUMBER($E892)),"",IF($C892="Receipt",$E892,IF($C892="Shipment",-$E892,IF($C892="Adjustment",$E892,0))))</f>
        <v/>
      </c>
      <c r="N892" s="49" t="str">
        <f>IF($D892="","",IFERROR(INDEX(Products!$B$2:$B$101,MATCH($D892,Products!$A$2:$A$101,0))&amp;"","(not found)"))</f>
        <v/>
      </c>
      <c r="O892" s="49" t="str">
        <f>IF($F892="","",IFERROR(INDEX(Batches!$B$2:$B$301,MATCH($F892,Batches!$A$2:$A$301,0))&amp;"","(not found)"))</f>
        <v/>
      </c>
      <c r="P892" s="49" t="str">
        <f>IF(COUNTA($A892:$L892)=0,"",IF($A892="","Missing: entry ID",IF(COUNTIF($A$2:$A$2001,$A892)&gt;1,"Duplicate entry ID",IF(NOT(ISNUMBER($B892)),"Missing or invalid: date",IF($C892="","Missing: type",IF($D892="","Missing: SKU",IF(NOT(ISNUMBER($E892)),"Missing: qty",IF($F892="","Missing: lot",IF($I892="","Missing: source link",IF(COUNTIF(Config!$A$15:$A$34,$C892)=0,"Unsupported type",IF(COUNTIF(Products!$A$2:$A$101,$D892)=0,"Unknown SKU",IF(COUNTIFS(Batches!$A$2:$A$301,$F892,Batches!$B$2:$B$301,$D892)=0,"Unknown lot for this SKU",IF(AND($C892="Adjustment",$G892=""),"Missing: reason",IF(AND($G892&lt;&gt;"",COUNTIF(Config!$B$15:$B$34,$G892)=0),"Unsupported reason",IF(OR(INT($E892)&lt;&gt;$E892,AND(OR($C892="Receipt",$C892="Shipment"),$E892&lt;=0),AND($C892="Adjustment",$E892=0)),"Invalid qty",IF($B892&gt;Config!$B$4,"Date after the as-of date",IF($B892&lt;Config!$B$5,"Date before the opening balance date","OK")))))))))))))))))</f>
        <v/>
      </c>
    </row>
    <row r="893">
      <c r="A893" s="46" t="n"/>
      <c r="B893" s="54" t="n"/>
      <c r="C893" s="46" t="n"/>
      <c r="D893" s="46" t="n"/>
      <c r="E893" s="55" t="n"/>
      <c r="F893" s="46" t="n"/>
      <c r="G893" s="46" t="n"/>
      <c r="H893" s="46" t="n"/>
      <c r="I893" s="46" t="n"/>
      <c r="J893" s="46" t="n"/>
      <c r="K893" s="46" t="n"/>
      <c r="L893" s="46" t="n"/>
      <c r="M893" s="51" t="str">
        <f>IF(NOT(ISNUMBER($E893)),"",IF($C893="Receipt",$E893,IF($C893="Shipment",-$E893,IF($C893="Adjustment",$E893,0))))</f>
        <v/>
      </c>
      <c r="N893" s="49" t="str">
        <f>IF($D893="","",IFERROR(INDEX(Products!$B$2:$B$101,MATCH($D893,Products!$A$2:$A$101,0))&amp;"","(not found)"))</f>
        <v/>
      </c>
      <c r="O893" s="49" t="str">
        <f>IF($F893="","",IFERROR(INDEX(Batches!$B$2:$B$301,MATCH($F893,Batches!$A$2:$A$301,0))&amp;"","(not found)"))</f>
        <v/>
      </c>
      <c r="P893" s="49" t="str">
        <f>IF(COUNTA($A893:$L893)=0,"",IF($A893="","Missing: entry ID",IF(COUNTIF($A$2:$A$2001,$A893)&gt;1,"Duplicate entry ID",IF(NOT(ISNUMBER($B893)),"Missing or invalid: date",IF($C893="","Missing: type",IF($D893="","Missing: SKU",IF(NOT(ISNUMBER($E893)),"Missing: qty",IF($F893="","Missing: lot",IF($I893="","Missing: source link",IF(COUNTIF(Config!$A$15:$A$34,$C893)=0,"Unsupported type",IF(COUNTIF(Products!$A$2:$A$101,$D893)=0,"Unknown SKU",IF(COUNTIFS(Batches!$A$2:$A$301,$F893,Batches!$B$2:$B$301,$D893)=0,"Unknown lot for this SKU",IF(AND($C893="Adjustment",$G893=""),"Missing: reason",IF(AND($G893&lt;&gt;"",COUNTIF(Config!$B$15:$B$34,$G893)=0),"Unsupported reason",IF(OR(INT($E893)&lt;&gt;$E893,AND(OR($C893="Receipt",$C893="Shipment"),$E893&lt;=0),AND($C893="Adjustment",$E893=0)),"Invalid qty",IF($B893&gt;Config!$B$4,"Date after the as-of date",IF($B893&lt;Config!$B$5,"Date before the opening balance date","OK")))))))))))))))))</f>
        <v/>
      </c>
    </row>
    <row r="894">
      <c r="A894" s="46" t="n"/>
      <c r="B894" s="54" t="n"/>
      <c r="C894" s="46" t="n"/>
      <c r="D894" s="46" t="n"/>
      <c r="E894" s="55" t="n"/>
      <c r="F894" s="46" t="n"/>
      <c r="G894" s="46" t="n"/>
      <c r="H894" s="46" t="n"/>
      <c r="I894" s="46" t="n"/>
      <c r="J894" s="46" t="n"/>
      <c r="K894" s="46" t="n"/>
      <c r="L894" s="46" t="n"/>
      <c r="M894" s="51" t="str">
        <f>IF(NOT(ISNUMBER($E894)),"",IF($C894="Receipt",$E894,IF($C894="Shipment",-$E894,IF($C894="Adjustment",$E894,0))))</f>
        <v/>
      </c>
      <c r="N894" s="49" t="str">
        <f>IF($D894="","",IFERROR(INDEX(Products!$B$2:$B$101,MATCH($D894,Products!$A$2:$A$101,0))&amp;"","(not found)"))</f>
        <v/>
      </c>
      <c r="O894" s="49" t="str">
        <f>IF($F894="","",IFERROR(INDEX(Batches!$B$2:$B$301,MATCH($F894,Batches!$A$2:$A$301,0))&amp;"","(not found)"))</f>
        <v/>
      </c>
      <c r="P894" s="49" t="str">
        <f>IF(COUNTA($A894:$L894)=0,"",IF($A894="","Missing: entry ID",IF(COUNTIF($A$2:$A$2001,$A894)&gt;1,"Duplicate entry ID",IF(NOT(ISNUMBER($B894)),"Missing or invalid: date",IF($C894="","Missing: type",IF($D894="","Missing: SKU",IF(NOT(ISNUMBER($E894)),"Missing: qty",IF($F894="","Missing: lot",IF($I894="","Missing: source link",IF(COUNTIF(Config!$A$15:$A$34,$C894)=0,"Unsupported type",IF(COUNTIF(Products!$A$2:$A$101,$D894)=0,"Unknown SKU",IF(COUNTIFS(Batches!$A$2:$A$301,$F894,Batches!$B$2:$B$301,$D894)=0,"Unknown lot for this SKU",IF(AND($C894="Adjustment",$G894=""),"Missing: reason",IF(AND($G894&lt;&gt;"",COUNTIF(Config!$B$15:$B$34,$G894)=0),"Unsupported reason",IF(OR(INT($E894)&lt;&gt;$E894,AND(OR($C894="Receipt",$C894="Shipment"),$E894&lt;=0),AND($C894="Adjustment",$E894=0)),"Invalid qty",IF($B894&gt;Config!$B$4,"Date after the as-of date",IF($B894&lt;Config!$B$5,"Date before the opening balance date","OK")))))))))))))))))</f>
        <v/>
      </c>
    </row>
    <row r="895">
      <c r="A895" s="46" t="n"/>
      <c r="B895" s="54" t="n"/>
      <c r="C895" s="46" t="n"/>
      <c r="D895" s="46" t="n"/>
      <c r="E895" s="55" t="n"/>
      <c r="F895" s="46" t="n"/>
      <c r="G895" s="46" t="n"/>
      <c r="H895" s="46" t="n"/>
      <c r="I895" s="46" t="n"/>
      <c r="J895" s="46" t="n"/>
      <c r="K895" s="46" t="n"/>
      <c r="L895" s="46" t="n"/>
      <c r="M895" s="51" t="str">
        <f>IF(NOT(ISNUMBER($E895)),"",IF($C895="Receipt",$E895,IF($C895="Shipment",-$E895,IF($C895="Adjustment",$E895,0))))</f>
        <v/>
      </c>
      <c r="N895" s="49" t="str">
        <f>IF($D895="","",IFERROR(INDEX(Products!$B$2:$B$101,MATCH($D895,Products!$A$2:$A$101,0))&amp;"","(not found)"))</f>
        <v/>
      </c>
      <c r="O895" s="49" t="str">
        <f>IF($F895="","",IFERROR(INDEX(Batches!$B$2:$B$301,MATCH($F895,Batches!$A$2:$A$301,0))&amp;"","(not found)"))</f>
        <v/>
      </c>
      <c r="P895" s="49" t="str">
        <f>IF(COUNTA($A895:$L895)=0,"",IF($A895="","Missing: entry ID",IF(COUNTIF($A$2:$A$2001,$A895)&gt;1,"Duplicate entry ID",IF(NOT(ISNUMBER($B895)),"Missing or invalid: date",IF($C895="","Missing: type",IF($D895="","Missing: SKU",IF(NOT(ISNUMBER($E895)),"Missing: qty",IF($F895="","Missing: lot",IF($I895="","Missing: source link",IF(COUNTIF(Config!$A$15:$A$34,$C895)=0,"Unsupported type",IF(COUNTIF(Products!$A$2:$A$101,$D895)=0,"Unknown SKU",IF(COUNTIFS(Batches!$A$2:$A$301,$F895,Batches!$B$2:$B$301,$D895)=0,"Unknown lot for this SKU",IF(AND($C895="Adjustment",$G895=""),"Missing: reason",IF(AND($G895&lt;&gt;"",COUNTIF(Config!$B$15:$B$34,$G895)=0),"Unsupported reason",IF(OR(INT($E895)&lt;&gt;$E895,AND(OR($C895="Receipt",$C895="Shipment"),$E895&lt;=0),AND($C895="Adjustment",$E895=0)),"Invalid qty",IF($B895&gt;Config!$B$4,"Date after the as-of date",IF($B895&lt;Config!$B$5,"Date before the opening balance date","OK")))))))))))))))))</f>
        <v/>
      </c>
    </row>
    <row r="896">
      <c r="A896" s="46" t="n"/>
      <c r="B896" s="54" t="n"/>
      <c r="C896" s="46" t="n"/>
      <c r="D896" s="46" t="n"/>
      <c r="E896" s="55" t="n"/>
      <c r="F896" s="46" t="n"/>
      <c r="G896" s="46" t="n"/>
      <c r="H896" s="46" t="n"/>
      <c r="I896" s="46" t="n"/>
      <c r="J896" s="46" t="n"/>
      <c r="K896" s="46" t="n"/>
      <c r="L896" s="46" t="n"/>
      <c r="M896" s="51" t="str">
        <f>IF(NOT(ISNUMBER($E896)),"",IF($C896="Receipt",$E896,IF($C896="Shipment",-$E896,IF($C896="Adjustment",$E896,0))))</f>
        <v/>
      </c>
      <c r="N896" s="49" t="str">
        <f>IF($D896="","",IFERROR(INDEX(Products!$B$2:$B$101,MATCH($D896,Products!$A$2:$A$101,0))&amp;"","(not found)"))</f>
        <v/>
      </c>
      <c r="O896" s="49" t="str">
        <f>IF($F896="","",IFERROR(INDEX(Batches!$B$2:$B$301,MATCH($F896,Batches!$A$2:$A$301,0))&amp;"","(not found)"))</f>
        <v/>
      </c>
      <c r="P896" s="49" t="str">
        <f>IF(COUNTA($A896:$L896)=0,"",IF($A896="","Missing: entry ID",IF(COUNTIF($A$2:$A$2001,$A896)&gt;1,"Duplicate entry ID",IF(NOT(ISNUMBER($B896)),"Missing or invalid: date",IF($C896="","Missing: type",IF($D896="","Missing: SKU",IF(NOT(ISNUMBER($E896)),"Missing: qty",IF($F896="","Missing: lot",IF($I896="","Missing: source link",IF(COUNTIF(Config!$A$15:$A$34,$C896)=0,"Unsupported type",IF(COUNTIF(Products!$A$2:$A$101,$D896)=0,"Unknown SKU",IF(COUNTIFS(Batches!$A$2:$A$301,$F896,Batches!$B$2:$B$301,$D896)=0,"Unknown lot for this SKU",IF(AND($C896="Adjustment",$G896=""),"Missing: reason",IF(AND($G896&lt;&gt;"",COUNTIF(Config!$B$15:$B$34,$G896)=0),"Unsupported reason",IF(OR(INT($E896)&lt;&gt;$E896,AND(OR($C896="Receipt",$C896="Shipment"),$E896&lt;=0),AND($C896="Adjustment",$E896=0)),"Invalid qty",IF($B896&gt;Config!$B$4,"Date after the as-of date",IF($B896&lt;Config!$B$5,"Date before the opening balance date","OK")))))))))))))))))</f>
        <v/>
      </c>
    </row>
    <row r="897">
      <c r="A897" s="46" t="n"/>
      <c r="B897" s="54" t="n"/>
      <c r="C897" s="46" t="n"/>
      <c r="D897" s="46" t="n"/>
      <c r="E897" s="55" t="n"/>
      <c r="F897" s="46" t="n"/>
      <c r="G897" s="46" t="n"/>
      <c r="H897" s="46" t="n"/>
      <c r="I897" s="46" t="n"/>
      <c r="J897" s="46" t="n"/>
      <c r="K897" s="46" t="n"/>
      <c r="L897" s="46" t="n"/>
      <c r="M897" s="51" t="str">
        <f>IF(NOT(ISNUMBER($E897)),"",IF($C897="Receipt",$E897,IF($C897="Shipment",-$E897,IF($C897="Adjustment",$E897,0))))</f>
        <v/>
      </c>
      <c r="N897" s="49" t="str">
        <f>IF($D897="","",IFERROR(INDEX(Products!$B$2:$B$101,MATCH($D897,Products!$A$2:$A$101,0))&amp;"","(not found)"))</f>
        <v/>
      </c>
      <c r="O897" s="49" t="str">
        <f>IF($F897="","",IFERROR(INDEX(Batches!$B$2:$B$301,MATCH($F897,Batches!$A$2:$A$301,0))&amp;"","(not found)"))</f>
        <v/>
      </c>
      <c r="P897" s="49" t="str">
        <f>IF(COUNTA($A897:$L897)=0,"",IF($A897="","Missing: entry ID",IF(COUNTIF($A$2:$A$2001,$A897)&gt;1,"Duplicate entry ID",IF(NOT(ISNUMBER($B897)),"Missing or invalid: date",IF($C897="","Missing: type",IF($D897="","Missing: SKU",IF(NOT(ISNUMBER($E897)),"Missing: qty",IF($F897="","Missing: lot",IF($I897="","Missing: source link",IF(COUNTIF(Config!$A$15:$A$34,$C897)=0,"Unsupported type",IF(COUNTIF(Products!$A$2:$A$101,$D897)=0,"Unknown SKU",IF(COUNTIFS(Batches!$A$2:$A$301,$F897,Batches!$B$2:$B$301,$D897)=0,"Unknown lot for this SKU",IF(AND($C897="Adjustment",$G897=""),"Missing: reason",IF(AND($G897&lt;&gt;"",COUNTIF(Config!$B$15:$B$34,$G897)=0),"Unsupported reason",IF(OR(INT($E897)&lt;&gt;$E897,AND(OR($C897="Receipt",$C897="Shipment"),$E897&lt;=0),AND($C897="Adjustment",$E897=0)),"Invalid qty",IF($B897&gt;Config!$B$4,"Date after the as-of date",IF($B897&lt;Config!$B$5,"Date before the opening balance date","OK")))))))))))))))))</f>
        <v/>
      </c>
    </row>
    <row r="898">
      <c r="A898" s="46" t="n"/>
      <c r="B898" s="54" t="n"/>
      <c r="C898" s="46" t="n"/>
      <c r="D898" s="46" t="n"/>
      <c r="E898" s="55" t="n"/>
      <c r="F898" s="46" t="n"/>
      <c r="G898" s="46" t="n"/>
      <c r="H898" s="46" t="n"/>
      <c r="I898" s="46" t="n"/>
      <c r="J898" s="46" t="n"/>
      <c r="K898" s="46" t="n"/>
      <c r="L898" s="46" t="n"/>
      <c r="M898" s="51" t="str">
        <f>IF(NOT(ISNUMBER($E898)),"",IF($C898="Receipt",$E898,IF($C898="Shipment",-$E898,IF($C898="Adjustment",$E898,0))))</f>
        <v/>
      </c>
      <c r="N898" s="49" t="str">
        <f>IF($D898="","",IFERROR(INDEX(Products!$B$2:$B$101,MATCH($D898,Products!$A$2:$A$101,0))&amp;"","(not found)"))</f>
        <v/>
      </c>
      <c r="O898" s="49" t="str">
        <f>IF($F898="","",IFERROR(INDEX(Batches!$B$2:$B$301,MATCH($F898,Batches!$A$2:$A$301,0))&amp;"","(not found)"))</f>
        <v/>
      </c>
      <c r="P898" s="49" t="str">
        <f>IF(COUNTA($A898:$L898)=0,"",IF($A898="","Missing: entry ID",IF(COUNTIF($A$2:$A$2001,$A898)&gt;1,"Duplicate entry ID",IF(NOT(ISNUMBER($B898)),"Missing or invalid: date",IF($C898="","Missing: type",IF($D898="","Missing: SKU",IF(NOT(ISNUMBER($E898)),"Missing: qty",IF($F898="","Missing: lot",IF($I898="","Missing: source link",IF(COUNTIF(Config!$A$15:$A$34,$C898)=0,"Unsupported type",IF(COUNTIF(Products!$A$2:$A$101,$D898)=0,"Unknown SKU",IF(COUNTIFS(Batches!$A$2:$A$301,$F898,Batches!$B$2:$B$301,$D898)=0,"Unknown lot for this SKU",IF(AND($C898="Adjustment",$G898=""),"Missing: reason",IF(AND($G898&lt;&gt;"",COUNTIF(Config!$B$15:$B$34,$G898)=0),"Unsupported reason",IF(OR(INT($E898)&lt;&gt;$E898,AND(OR($C898="Receipt",$C898="Shipment"),$E898&lt;=0),AND($C898="Adjustment",$E898=0)),"Invalid qty",IF($B898&gt;Config!$B$4,"Date after the as-of date",IF($B898&lt;Config!$B$5,"Date before the opening balance date","OK")))))))))))))))))</f>
        <v/>
      </c>
    </row>
    <row r="899">
      <c r="A899" s="46" t="n"/>
      <c r="B899" s="54" t="n"/>
      <c r="C899" s="46" t="n"/>
      <c r="D899" s="46" t="n"/>
      <c r="E899" s="55" t="n"/>
      <c r="F899" s="46" t="n"/>
      <c r="G899" s="46" t="n"/>
      <c r="H899" s="46" t="n"/>
      <c r="I899" s="46" t="n"/>
      <c r="J899" s="46" t="n"/>
      <c r="K899" s="46" t="n"/>
      <c r="L899" s="46" t="n"/>
      <c r="M899" s="51" t="str">
        <f>IF(NOT(ISNUMBER($E899)),"",IF($C899="Receipt",$E899,IF($C899="Shipment",-$E899,IF($C899="Adjustment",$E899,0))))</f>
        <v/>
      </c>
      <c r="N899" s="49" t="str">
        <f>IF($D899="","",IFERROR(INDEX(Products!$B$2:$B$101,MATCH($D899,Products!$A$2:$A$101,0))&amp;"","(not found)"))</f>
        <v/>
      </c>
      <c r="O899" s="49" t="str">
        <f>IF($F899="","",IFERROR(INDEX(Batches!$B$2:$B$301,MATCH($F899,Batches!$A$2:$A$301,0))&amp;"","(not found)"))</f>
        <v/>
      </c>
      <c r="P899" s="49" t="str">
        <f>IF(COUNTA($A899:$L899)=0,"",IF($A899="","Missing: entry ID",IF(COUNTIF($A$2:$A$2001,$A899)&gt;1,"Duplicate entry ID",IF(NOT(ISNUMBER($B899)),"Missing or invalid: date",IF($C899="","Missing: type",IF($D899="","Missing: SKU",IF(NOT(ISNUMBER($E899)),"Missing: qty",IF($F899="","Missing: lot",IF($I899="","Missing: source link",IF(COUNTIF(Config!$A$15:$A$34,$C899)=0,"Unsupported type",IF(COUNTIF(Products!$A$2:$A$101,$D899)=0,"Unknown SKU",IF(COUNTIFS(Batches!$A$2:$A$301,$F899,Batches!$B$2:$B$301,$D899)=0,"Unknown lot for this SKU",IF(AND($C899="Adjustment",$G899=""),"Missing: reason",IF(AND($G899&lt;&gt;"",COUNTIF(Config!$B$15:$B$34,$G899)=0),"Unsupported reason",IF(OR(INT($E899)&lt;&gt;$E899,AND(OR($C899="Receipt",$C899="Shipment"),$E899&lt;=0),AND($C899="Adjustment",$E899=0)),"Invalid qty",IF($B899&gt;Config!$B$4,"Date after the as-of date",IF($B899&lt;Config!$B$5,"Date before the opening balance date","OK")))))))))))))))))</f>
        <v/>
      </c>
    </row>
    <row r="900">
      <c r="A900" s="46" t="n"/>
      <c r="B900" s="54" t="n"/>
      <c r="C900" s="46" t="n"/>
      <c r="D900" s="46" t="n"/>
      <c r="E900" s="55" t="n"/>
      <c r="F900" s="46" t="n"/>
      <c r="G900" s="46" t="n"/>
      <c r="H900" s="46" t="n"/>
      <c r="I900" s="46" t="n"/>
      <c r="J900" s="46" t="n"/>
      <c r="K900" s="46" t="n"/>
      <c r="L900" s="46" t="n"/>
      <c r="M900" s="51" t="str">
        <f>IF(NOT(ISNUMBER($E900)),"",IF($C900="Receipt",$E900,IF($C900="Shipment",-$E900,IF($C900="Adjustment",$E900,0))))</f>
        <v/>
      </c>
      <c r="N900" s="49" t="str">
        <f>IF($D900="","",IFERROR(INDEX(Products!$B$2:$B$101,MATCH($D900,Products!$A$2:$A$101,0))&amp;"","(not found)"))</f>
        <v/>
      </c>
      <c r="O900" s="49" t="str">
        <f>IF($F900="","",IFERROR(INDEX(Batches!$B$2:$B$301,MATCH($F900,Batches!$A$2:$A$301,0))&amp;"","(not found)"))</f>
        <v/>
      </c>
      <c r="P900" s="49" t="str">
        <f>IF(COUNTA($A900:$L900)=0,"",IF($A900="","Missing: entry ID",IF(COUNTIF($A$2:$A$2001,$A900)&gt;1,"Duplicate entry ID",IF(NOT(ISNUMBER($B900)),"Missing or invalid: date",IF($C900="","Missing: type",IF($D900="","Missing: SKU",IF(NOT(ISNUMBER($E900)),"Missing: qty",IF($F900="","Missing: lot",IF($I900="","Missing: source link",IF(COUNTIF(Config!$A$15:$A$34,$C900)=0,"Unsupported type",IF(COUNTIF(Products!$A$2:$A$101,$D900)=0,"Unknown SKU",IF(COUNTIFS(Batches!$A$2:$A$301,$F900,Batches!$B$2:$B$301,$D900)=0,"Unknown lot for this SKU",IF(AND($C900="Adjustment",$G900=""),"Missing: reason",IF(AND($G900&lt;&gt;"",COUNTIF(Config!$B$15:$B$34,$G900)=0),"Unsupported reason",IF(OR(INT($E900)&lt;&gt;$E900,AND(OR($C900="Receipt",$C900="Shipment"),$E900&lt;=0),AND($C900="Adjustment",$E900=0)),"Invalid qty",IF($B900&gt;Config!$B$4,"Date after the as-of date",IF($B900&lt;Config!$B$5,"Date before the opening balance date","OK")))))))))))))))))</f>
        <v/>
      </c>
    </row>
    <row r="901">
      <c r="A901" s="46" t="n"/>
      <c r="B901" s="54" t="n"/>
      <c r="C901" s="46" t="n"/>
      <c r="D901" s="46" t="n"/>
      <c r="E901" s="55" t="n"/>
      <c r="F901" s="46" t="n"/>
      <c r="G901" s="46" t="n"/>
      <c r="H901" s="46" t="n"/>
      <c r="I901" s="46" t="n"/>
      <c r="J901" s="46" t="n"/>
      <c r="K901" s="46" t="n"/>
      <c r="L901" s="46" t="n"/>
      <c r="M901" s="51" t="str">
        <f>IF(NOT(ISNUMBER($E901)),"",IF($C901="Receipt",$E901,IF($C901="Shipment",-$E901,IF($C901="Adjustment",$E901,0))))</f>
        <v/>
      </c>
      <c r="N901" s="49" t="str">
        <f>IF($D901="","",IFERROR(INDEX(Products!$B$2:$B$101,MATCH($D901,Products!$A$2:$A$101,0))&amp;"","(not found)"))</f>
        <v/>
      </c>
      <c r="O901" s="49" t="str">
        <f>IF($F901="","",IFERROR(INDEX(Batches!$B$2:$B$301,MATCH($F901,Batches!$A$2:$A$301,0))&amp;"","(not found)"))</f>
        <v/>
      </c>
      <c r="P901" s="49" t="str">
        <f>IF(COUNTA($A901:$L901)=0,"",IF($A901="","Missing: entry ID",IF(COUNTIF($A$2:$A$2001,$A901)&gt;1,"Duplicate entry ID",IF(NOT(ISNUMBER($B901)),"Missing or invalid: date",IF($C901="","Missing: type",IF($D901="","Missing: SKU",IF(NOT(ISNUMBER($E901)),"Missing: qty",IF($F901="","Missing: lot",IF($I901="","Missing: source link",IF(COUNTIF(Config!$A$15:$A$34,$C901)=0,"Unsupported type",IF(COUNTIF(Products!$A$2:$A$101,$D901)=0,"Unknown SKU",IF(COUNTIFS(Batches!$A$2:$A$301,$F901,Batches!$B$2:$B$301,$D901)=0,"Unknown lot for this SKU",IF(AND($C901="Adjustment",$G901=""),"Missing: reason",IF(AND($G901&lt;&gt;"",COUNTIF(Config!$B$15:$B$34,$G901)=0),"Unsupported reason",IF(OR(INT($E901)&lt;&gt;$E901,AND(OR($C901="Receipt",$C901="Shipment"),$E901&lt;=0),AND($C901="Adjustment",$E901=0)),"Invalid qty",IF($B901&gt;Config!$B$4,"Date after the as-of date",IF($B901&lt;Config!$B$5,"Date before the opening balance date","OK")))))))))))))))))</f>
        <v/>
      </c>
    </row>
    <row r="902">
      <c r="A902" s="46" t="n"/>
      <c r="B902" s="54" t="n"/>
      <c r="C902" s="46" t="n"/>
      <c r="D902" s="46" t="n"/>
      <c r="E902" s="55" t="n"/>
      <c r="F902" s="46" t="n"/>
      <c r="G902" s="46" t="n"/>
      <c r="H902" s="46" t="n"/>
      <c r="I902" s="46" t="n"/>
      <c r="J902" s="46" t="n"/>
      <c r="K902" s="46" t="n"/>
      <c r="L902" s="46" t="n"/>
      <c r="M902" s="51" t="str">
        <f>IF(NOT(ISNUMBER($E902)),"",IF($C902="Receipt",$E902,IF($C902="Shipment",-$E902,IF($C902="Adjustment",$E902,0))))</f>
        <v/>
      </c>
      <c r="N902" s="49" t="str">
        <f>IF($D902="","",IFERROR(INDEX(Products!$B$2:$B$101,MATCH($D902,Products!$A$2:$A$101,0))&amp;"","(not found)"))</f>
        <v/>
      </c>
      <c r="O902" s="49" t="str">
        <f>IF($F902="","",IFERROR(INDEX(Batches!$B$2:$B$301,MATCH($F902,Batches!$A$2:$A$301,0))&amp;"","(not found)"))</f>
        <v/>
      </c>
      <c r="P902" s="49" t="str">
        <f>IF(COUNTA($A902:$L902)=0,"",IF($A902="","Missing: entry ID",IF(COUNTIF($A$2:$A$2001,$A902)&gt;1,"Duplicate entry ID",IF(NOT(ISNUMBER($B902)),"Missing or invalid: date",IF($C902="","Missing: type",IF($D902="","Missing: SKU",IF(NOT(ISNUMBER($E902)),"Missing: qty",IF($F902="","Missing: lot",IF($I902="","Missing: source link",IF(COUNTIF(Config!$A$15:$A$34,$C902)=0,"Unsupported type",IF(COUNTIF(Products!$A$2:$A$101,$D902)=0,"Unknown SKU",IF(COUNTIFS(Batches!$A$2:$A$301,$F902,Batches!$B$2:$B$301,$D902)=0,"Unknown lot for this SKU",IF(AND($C902="Adjustment",$G902=""),"Missing: reason",IF(AND($G902&lt;&gt;"",COUNTIF(Config!$B$15:$B$34,$G902)=0),"Unsupported reason",IF(OR(INT($E902)&lt;&gt;$E902,AND(OR($C902="Receipt",$C902="Shipment"),$E902&lt;=0),AND($C902="Adjustment",$E902=0)),"Invalid qty",IF($B902&gt;Config!$B$4,"Date after the as-of date",IF($B902&lt;Config!$B$5,"Date before the opening balance date","OK")))))))))))))))))</f>
        <v/>
      </c>
    </row>
    <row r="903">
      <c r="A903" s="46" t="n"/>
      <c r="B903" s="54" t="n"/>
      <c r="C903" s="46" t="n"/>
      <c r="D903" s="46" t="n"/>
      <c r="E903" s="55" t="n"/>
      <c r="F903" s="46" t="n"/>
      <c r="G903" s="46" t="n"/>
      <c r="H903" s="46" t="n"/>
      <c r="I903" s="46" t="n"/>
      <c r="J903" s="46" t="n"/>
      <c r="K903" s="46" t="n"/>
      <c r="L903" s="46" t="n"/>
      <c r="M903" s="51" t="str">
        <f>IF(NOT(ISNUMBER($E903)),"",IF($C903="Receipt",$E903,IF($C903="Shipment",-$E903,IF($C903="Adjustment",$E903,0))))</f>
        <v/>
      </c>
      <c r="N903" s="49" t="str">
        <f>IF($D903="","",IFERROR(INDEX(Products!$B$2:$B$101,MATCH($D903,Products!$A$2:$A$101,0))&amp;"","(not found)"))</f>
        <v/>
      </c>
      <c r="O903" s="49" t="str">
        <f>IF($F903="","",IFERROR(INDEX(Batches!$B$2:$B$301,MATCH($F903,Batches!$A$2:$A$301,0))&amp;"","(not found)"))</f>
        <v/>
      </c>
      <c r="P903" s="49" t="str">
        <f>IF(COUNTA($A903:$L903)=0,"",IF($A903="","Missing: entry ID",IF(COUNTIF($A$2:$A$2001,$A903)&gt;1,"Duplicate entry ID",IF(NOT(ISNUMBER($B903)),"Missing or invalid: date",IF($C903="","Missing: type",IF($D903="","Missing: SKU",IF(NOT(ISNUMBER($E903)),"Missing: qty",IF($F903="","Missing: lot",IF($I903="","Missing: source link",IF(COUNTIF(Config!$A$15:$A$34,$C903)=0,"Unsupported type",IF(COUNTIF(Products!$A$2:$A$101,$D903)=0,"Unknown SKU",IF(COUNTIFS(Batches!$A$2:$A$301,$F903,Batches!$B$2:$B$301,$D903)=0,"Unknown lot for this SKU",IF(AND($C903="Adjustment",$G903=""),"Missing: reason",IF(AND($G903&lt;&gt;"",COUNTIF(Config!$B$15:$B$34,$G903)=0),"Unsupported reason",IF(OR(INT($E903)&lt;&gt;$E903,AND(OR($C903="Receipt",$C903="Shipment"),$E903&lt;=0),AND($C903="Adjustment",$E903=0)),"Invalid qty",IF($B903&gt;Config!$B$4,"Date after the as-of date",IF($B903&lt;Config!$B$5,"Date before the opening balance date","OK")))))))))))))))))</f>
        <v/>
      </c>
    </row>
    <row r="904">
      <c r="A904" s="46" t="n"/>
      <c r="B904" s="54" t="n"/>
      <c r="C904" s="46" t="n"/>
      <c r="D904" s="46" t="n"/>
      <c r="E904" s="55" t="n"/>
      <c r="F904" s="46" t="n"/>
      <c r="G904" s="46" t="n"/>
      <c r="H904" s="46" t="n"/>
      <c r="I904" s="46" t="n"/>
      <c r="J904" s="46" t="n"/>
      <c r="K904" s="46" t="n"/>
      <c r="L904" s="46" t="n"/>
      <c r="M904" s="51" t="str">
        <f>IF(NOT(ISNUMBER($E904)),"",IF($C904="Receipt",$E904,IF($C904="Shipment",-$E904,IF($C904="Adjustment",$E904,0))))</f>
        <v/>
      </c>
      <c r="N904" s="49" t="str">
        <f>IF($D904="","",IFERROR(INDEX(Products!$B$2:$B$101,MATCH($D904,Products!$A$2:$A$101,0))&amp;"","(not found)"))</f>
        <v/>
      </c>
      <c r="O904" s="49" t="str">
        <f>IF($F904="","",IFERROR(INDEX(Batches!$B$2:$B$301,MATCH($F904,Batches!$A$2:$A$301,0))&amp;"","(not found)"))</f>
        <v/>
      </c>
      <c r="P904" s="49" t="str">
        <f>IF(COUNTA($A904:$L904)=0,"",IF($A904="","Missing: entry ID",IF(COUNTIF($A$2:$A$2001,$A904)&gt;1,"Duplicate entry ID",IF(NOT(ISNUMBER($B904)),"Missing or invalid: date",IF($C904="","Missing: type",IF($D904="","Missing: SKU",IF(NOT(ISNUMBER($E904)),"Missing: qty",IF($F904="","Missing: lot",IF($I904="","Missing: source link",IF(COUNTIF(Config!$A$15:$A$34,$C904)=0,"Unsupported type",IF(COUNTIF(Products!$A$2:$A$101,$D904)=0,"Unknown SKU",IF(COUNTIFS(Batches!$A$2:$A$301,$F904,Batches!$B$2:$B$301,$D904)=0,"Unknown lot for this SKU",IF(AND($C904="Adjustment",$G904=""),"Missing: reason",IF(AND($G904&lt;&gt;"",COUNTIF(Config!$B$15:$B$34,$G904)=0),"Unsupported reason",IF(OR(INT($E904)&lt;&gt;$E904,AND(OR($C904="Receipt",$C904="Shipment"),$E904&lt;=0),AND($C904="Adjustment",$E904=0)),"Invalid qty",IF($B904&gt;Config!$B$4,"Date after the as-of date",IF($B904&lt;Config!$B$5,"Date before the opening balance date","OK")))))))))))))))))</f>
        <v/>
      </c>
    </row>
    <row r="905">
      <c r="A905" s="46" t="n"/>
      <c r="B905" s="54" t="n"/>
      <c r="C905" s="46" t="n"/>
      <c r="D905" s="46" t="n"/>
      <c r="E905" s="55" t="n"/>
      <c r="F905" s="46" t="n"/>
      <c r="G905" s="46" t="n"/>
      <c r="H905" s="46" t="n"/>
      <c r="I905" s="46" t="n"/>
      <c r="J905" s="46" t="n"/>
      <c r="K905" s="46" t="n"/>
      <c r="L905" s="46" t="n"/>
      <c r="M905" s="51" t="str">
        <f>IF(NOT(ISNUMBER($E905)),"",IF($C905="Receipt",$E905,IF($C905="Shipment",-$E905,IF($C905="Adjustment",$E905,0))))</f>
        <v/>
      </c>
      <c r="N905" s="49" t="str">
        <f>IF($D905="","",IFERROR(INDEX(Products!$B$2:$B$101,MATCH($D905,Products!$A$2:$A$101,0))&amp;"","(not found)"))</f>
        <v/>
      </c>
      <c r="O905" s="49" t="str">
        <f>IF($F905="","",IFERROR(INDEX(Batches!$B$2:$B$301,MATCH($F905,Batches!$A$2:$A$301,0))&amp;"","(not found)"))</f>
        <v/>
      </c>
      <c r="P905" s="49" t="str">
        <f>IF(COUNTA($A905:$L905)=0,"",IF($A905="","Missing: entry ID",IF(COUNTIF($A$2:$A$2001,$A905)&gt;1,"Duplicate entry ID",IF(NOT(ISNUMBER($B905)),"Missing or invalid: date",IF($C905="","Missing: type",IF($D905="","Missing: SKU",IF(NOT(ISNUMBER($E905)),"Missing: qty",IF($F905="","Missing: lot",IF($I905="","Missing: source link",IF(COUNTIF(Config!$A$15:$A$34,$C905)=0,"Unsupported type",IF(COUNTIF(Products!$A$2:$A$101,$D905)=0,"Unknown SKU",IF(COUNTIFS(Batches!$A$2:$A$301,$F905,Batches!$B$2:$B$301,$D905)=0,"Unknown lot for this SKU",IF(AND($C905="Adjustment",$G905=""),"Missing: reason",IF(AND($G905&lt;&gt;"",COUNTIF(Config!$B$15:$B$34,$G905)=0),"Unsupported reason",IF(OR(INT($E905)&lt;&gt;$E905,AND(OR($C905="Receipt",$C905="Shipment"),$E905&lt;=0),AND($C905="Adjustment",$E905=0)),"Invalid qty",IF($B905&gt;Config!$B$4,"Date after the as-of date",IF($B905&lt;Config!$B$5,"Date before the opening balance date","OK")))))))))))))))))</f>
        <v/>
      </c>
    </row>
    <row r="906">
      <c r="A906" s="46" t="n"/>
      <c r="B906" s="54" t="n"/>
      <c r="C906" s="46" t="n"/>
      <c r="D906" s="46" t="n"/>
      <c r="E906" s="55" t="n"/>
      <c r="F906" s="46" t="n"/>
      <c r="G906" s="46" t="n"/>
      <c r="H906" s="46" t="n"/>
      <c r="I906" s="46" t="n"/>
      <c r="J906" s="46" t="n"/>
      <c r="K906" s="46" t="n"/>
      <c r="L906" s="46" t="n"/>
      <c r="M906" s="51" t="str">
        <f>IF(NOT(ISNUMBER($E906)),"",IF($C906="Receipt",$E906,IF($C906="Shipment",-$E906,IF($C906="Adjustment",$E906,0))))</f>
        <v/>
      </c>
      <c r="N906" s="49" t="str">
        <f>IF($D906="","",IFERROR(INDEX(Products!$B$2:$B$101,MATCH($D906,Products!$A$2:$A$101,0))&amp;"","(not found)"))</f>
        <v/>
      </c>
      <c r="O906" s="49" t="str">
        <f>IF($F906="","",IFERROR(INDEX(Batches!$B$2:$B$301,MATCH($F906,Batches!$A$2:$A$301,0))&amp;"","(not found)"))</f>
        <v/>
      </c>
      <c r="P906" s="49" t="str">
        <f>IF(COUNTA($A906:$L906)=0,"",IF($A906="","Missing: entry ID",IF(COUNTIF($A$2:$A$2001,$A906)&gt;1,"Duplicate entry ID",IF(NOT(ISNUMBER($B906)),"Missing or invalid: date",IF($C906="","Missing: type",IF($D906="","Missing: SKU",IF(NOT(ISNUMBER($E906)),"Missing: qty",IF($F906="","Missing: lot",IF($I906="","Missing: source link",IF(COUNTIF(Config!$A$15:$A$34,$C906)=0,"Unsupported type",IF(COUNTIF(Products!$A$2:$A$101,$D906)=0,"Unknown SKU",IF(COUNTIFS(Batches!$A$2:$A$301,$F906,Batches!$B$2:$B$301,$D906)=0,"Unknown lot for this SKU",IF(AND($C906="Adjustment",$G906=""),"Missing: reason",IF(AND($G906&lt;&gt;"",COUNTIF(Config!$B$15:$B$34,$G906)=0),"Unsupported reason",IF(OR(INT($E906)&lt;&gt;$E906,AND(OR($C906="Receipt",$C906="Shipment"),$E906&lt;=0),AND($C906="Adjustment",$E906=0)),"Invalid qty",IF($B906&gt;Config!$B$4,"Date after the as-of date",IF($B906&lt;Config!$B$5,"Date before the opening balance date","OK")))))))))))))))))</f>
        <v/>
      </c>
    </row>
    <row r="907">
      <c r="A907" s="46" t="n"/>
      <c r="B907" s="54" t="n"/>
      <c r="C907" s="46" t="n"/>
      <c r="D907" s="46" t="n"/>
      <c r="E907" s="55" t="n"/>
      <c r="F907" s="46" t="n"/>
      <c r="G907" s="46" t="n"/>
      <c r="H907" s="46" t="n"/>
      <c r="I907" s="46" t="n"/>
      <c r="J907" s="46" t="n"/>
      <c r="K907" s="46" t="n"/>
      <c r="L907" s="46" t="n"/>
      <c r="M907" s="51" t="str">
        <f>IF(NOT(ISNUMBER($E907)),"",IF($C907="Receipt",$E907,IF($C907="Shipment",-$E907,IF($C907="Adjustment",$E907,0))))</f>
        <v/>
      </c>
      <c r="N907" s="49" t="str">
        <f>IF($D907="","",IFERROR(INDEX(Products!$B$2:$B$101,MATCH($D907,Products!$A$2:$A$101,0))&amp;"","(not found)"))</f>
        <v/>
      </c>
      <c r="O907" s="49" t="str">
        <f>IF($F907="","",IFERROR(INDEX(Batches!$B$2:$B$301,MATCH($F907,Batches!$A$2:$A$301,0))&amp;"","(not found)"))</f>
        <v/>
      </c>
      <c r="P907" s="49" t="str">
        <f>IF(COUNTA($A907:$L907)=0,"",IF($A907="","Missing: entry ID",IF(COUNTIF($A$2:$A$2001,$A907)&gt;1,"Duplicate entry ID",IF(NOT(ISNUMBER($B907)),"Missing or invalid: date",IF($C907="","Missing: type",IF($D907="","Missing: SKU",IF(NOT(ISNUMBER($E907)),"Missing: qty",IF($F907="","Missing: lot",IF($I907="","Missing: source link",IF(COUNTIF(Config!$A$15:$A$34,$C907)=0,"Unsupported type",IF(COUNTIF(Products!$A$2:$A$101,$D907)=0,"Unknown SKU",IF(COUNTIFS(Batches!$A$2:$A$301,$F907,Batches!$B$2:$B$301,$D907)=0,"Unknown lot for this SKU",IF(AND($C907="Adjustment",$G907=""),"Missing: reason",IF(AND($G907&lt;&gt;"",COUNTIF(Config!$B$15:$B$34,$G907)=0),"Unsupported reason",IF(OR(INT($E907)&lt;&gt;$E907,AND(OR($C907="Receipt",$C907="Shipment"),$E907&lt;=0),AND($C907="Adjustment",$E907=0)),"Invalid qty",IF($B907&gt;Config!$B$4,"Date after the as-of date",IF($B907&lt;Config!$B$5,"Date before the opening balance date","OK")))))))))))))))))</f>
        <v/>
      </c>
    </row>
    <row r="908">
      <c r="A908" s="46" t="n"/>
      <c r="B908" s="54" t="n"/>
      <c r="C908" s="46" t="n"/>
      <c r="D908" s="46" t="n"/>
      <c r="E908" s="55" t="n"/>
      <c r="F908" s="46" t="n"/>
      <c r="G908" s="46" t="n"/>
      <c r="H908" s="46" t="n"/>
      <c r="I908" s="46" t="n"/>
      <c r="J908" s="46" t="n"/>
      <c r="K908" s="46" t="n"/>
      <c r="L908" s="46" t="n"/>
      <c r="M908" s="51" t="str">
        <f>IF(NOT(ISNUMBER($E908)),"",IF($C908="Receipt",$E908,IF($C908="Shipment",-$E908,IF($C908="Adjustment",$E908,0))))</f>
        <v/>
      </c>
      <c r="N908" s="49" t="str">
        <f>IF($D908="","",IFERROR(INDEX(Products!$B$2:$B$101,MATCH($D908,Products!$A$2:$A$101,0))&amp;"","(not found)"))</f>
        <v/>
      </c>
      <c r="O908" s="49" t="str">
        <f>IF($F908="","",IFERROR(INDEX(Batches!$B$2:$B$301,MATCH($F908,Batches!$A$2:$A$301,0))&amp;"","(not found)"))</f>
        <v/>
      </c>
      <c r="P908" s="49" t="str">
        <f>IF(COUNTA($A908:$L908)=0,"",IF($A908="","Missing: entry ID",IF(COUNTIF($A$2:$A$2001,$A908)&gt;1,"Duplicate entry ID",IF(NOT(ISNUMBER($B908)),"Missing or invalid: date",IF($C908="","Missing: type",IF($D908="","Missing: SKU",IF(NOT(ISNUMBER($E908)),"Missing: qty",IF($F908="","Missing: lot",IF($I908="","Missing: source link",IF(COUNTIF(Config!$A$15:$A$34,$C908)=0,"Unsupported type",IF(COUNTIF(Products!$A$2:$A$101,$D908)=0,"Unknown SKU",IF(COUNTIFS(Batches!$A$2:$A$301,$F908,Batches!$B$2:$B$301,$D908)=0,"Unknown lot for this SKU",IF(AND($C908="Adjustment",$G908=""),"Missing: reason",IF(AND($G908&lt;&gt;"",COUNTIF(Config!$B$15:$B$34,$G908)=0),"Unsupported reason",IF(OR(INT($E908)&lt;&gt;$E908,AND(OR($C908="Receipt",$C908="Shipment"),$E908&lt;=0),AND($C908="Adjustment",$E908=0)),"Invalid qty",IF($B908&gt;Config!$B$4,"Date after the as-of date",IF($B908&lt;Config!$B$5,"Date before the opening balance date","OK")))))))))))))))))</f>
        <v/>
      </c>
    </row>
    <row r="909">
      <c r="A909" s="46" t="n"/>
      <c r="B909" s="54" t="n"/>
      <c r="C909" s="46" t="n"/>
      <c r="D909" s="46" t="n"/>
      <c r="E909" s="55" t="n"/>
      <c r="F909" s="46" t="n"/>
      <c r="G909" s="46" t="n"/>
      <c r="H909" s="46" t="n"/>
      <c r="I909" s="46" t="n"/>
      <c r="J909" s="46" t="n"/>
      <c r="K909" s="46" t="n"/>
      <c r="L909" s="46" t="n"/>
      <c r="M909" s="51" t="str">
        <f>IF(NOT(ISNUMBER($E909)),"",IF($C909="Receipt",$E909,IF($C909="Shipment",-$E909,IF($C909="Adjustment",$E909,0))))</f>
        <v/>
      </c>
      <c r="N909" s="49" t="str">
        <f>IF($D909="","",IFERROR(INDEX(Products!$B$2:$B$101,MATCH($D909,Products!$A$2:$A$101,0))&amp;"","(not found)"))</f>
        <v/>
      </c>
      <c r="O909" s="49" t="str">
        <f>IF($F909="","",IFERROR(INDEX(Batches!$B$2:$B$301,MATCH($F909,Batches!$A$2:$A$301,0))&amp;"","(not found)"))</f>
        <v/>
      </c>
      <c r="P909" s="49" t="str">
        <f>IF(COUNTA($A909:$L909)=0,"",IF($A909="","Missing: entry ID",IF(COUNTIF($A$2:$A$2001,$A909)&gt;1,"Duplicate entry ID",IF(NOT(ISNUMBER($B909)),"Missing or invalid: date",IF($C909="","Missing: type",IF($D909="","Missing: SKU",IF(NOT(ISNUMBER($E909)),"Missing: qty",IF($F909="","Missing: lot",IF($I909="","Missing: source link",IF(COUNTIF(Config!$A$15:$A$34,$C909)=0,"Unsupported type",IF(COUNTIF(Products!$A$2:$A$101,$D909)=0,"Unknown SKU",IF(COUNTIFS(Batches!$A$2:$A$301,$F909,Batches!$B$2:$B$301,$D909)=0,"Unknown lot for this SKU",IF(AND($C909="Adjustment",$G909=""),"Missing: reason",IF(AND($G909&lt;&gt;"",COUNTIF(Config!$B$15:$B$34,$G909)=0),"Unsupported reason",IF(OR(INT($E909)&lt;&gt;$E909,AND(OR($C909="Receipt",$C909="Shipment"),$E909&lt;=0),AND($C909="Adjustment",$E909=0)),"Invalid qty",IF($B909&gt;Config!$B$4,"Date after the as-of date",IF($B909&lt;Config!$B$5,"Date before the opening balance date","OK")))))))))))))))))</f>
        <v/>
      </c>
    </row>
    <row r="910">
      <c r="A910" s="46" t="n"/>
      <c r="B910" s="54" t="n"/>
      <c r="C910" s="46" t="n"/>
      <c r="D910" s="46" t="n"/>
      <c r="E910" s="55" t="n"/>
      <c r="F910" s="46" t="n"/>
      <c r="G910" s="46" t="n"/>
      <c r="H910" s="46" t="n"/>
      <c r="I910" s="46" t="n"/>
      <c r="J910" s="46" t="n"/>
      <c r="K910" s="46" t="n"/>
      <c r="L910" s="46" t="n"/>
      <c r="M910" s="51" t="str">
        <f>IF(NOT(ISNUMBER($E910)),"",IF($C910="Receipt",$E910,IF($C910="Shipment",-$E910,IF($C910="Adjustment",$E910,0))))</f>
        <v/>
      </c>
      <c r="N910" s="49" t="str">
        <f>IF($D910="","",IFERROR(INDEX(Products!$B$2:$B$101,MATCH($D910,Products!$A$2:$A$101,0))&amp;"","(not found)"))</f>
        <v/>
      </c>
      <c r="O910" s="49" t="str">
        <f>IF($F910="","",IFERROR(INDEX(Batches!$B$2:$B$301,MATCH($F910,Batches!$A$2:$A$301,0))&amp;"","(not found)"))</f>
        <v/>
      </c>
      <c r="P910" s="49" t="str">
        <f>IF(COUNTA($A910:$L910)=0,"",IF($A910="","Missing: entry ID",IF(COUNTIF($A$2:$A$2001,$A910)&gt;1,"Duplicate entry ID",IF(NOT(ISNUMBER($B910)),"Missing or invalid: date",IF($C910="","Missing: type",IF($D910="","Missing: SKU",IF(NOT(ISNUMBER($E910)),"Missing: qty",IF($F910="","Missing: lot",IF($I910="","Missing: source link",IF(COUNTIF(Config!$A$15:$A$34,$C910)=0,"Unsupported type",IF(COUNTIF(Products!$A$2:$A$101,$D910)=0,"Unknown SKU",IF(COUNTIFS(Batches!$A$2:$A$301,$F910,Batches!$B$2:$B$301,$D910)=0,"Unknown lot for this SKU",IF(AND($C910="Adjustment",$G910=""),"Missing: reason",IF(AND($G910&lt;&gt;"",COUNTIF(Config!$B$15:$B$34,$G910)=0),"Unsupported reason",IF(OR(INT($E910)&lt;&gt;$E910,AND(OR($C910="Receipt",$C910="Shipment"),$E910&lt;=0),AND($C910="Adjustment",$E910=0)),"Invalid qty",IF($B910&gt;Config!$B$4,"Date after the as-of date",IF($B910&lt;Config!$B$5,"Date before the opening balance date","OK")))))))))))))))))</f>
        <v/>
      </c>
    </row>
    <row r="911">
      <c r="A911" s="46" t="n"/>
      <c r="B911" s="54" t="n"/>
      <c r="C911" s="46" t="n"/>
      <c r="D911" s="46" t="n"/>
      <c r="E911" s="55" t="n"/>
      <c r="F911" s="46" t="n"/>
      <c r="G911" s="46" t="n"/>
      <c r="H911" s="46" t="n"/>
      <c r="I911" s="46" t="n"/>
      <c r="J911" s="46" t="n"/>
      <c r="K911" s="46" t="n"/>
      <c r="L911" s="46" t="n"/>
      <c r="M911" s="51" t="str">
        <f>IF(NOT(ISNUMBER($E911)),"",IF($C911="Receipt",$E911,IF($C911="Shipment",-$E911,IF($C911="Adjustment",$E911,0))))</f>
        <v/>
      </c>
      <c r="N911" s="49" t="str">
        <f>IF($D911="","",IFERROR(INDEX(Products!$B$2:$B$101,MATCH($D911,Products!$A$2:$A$101,0))&amp;"","(not found)"))</f>
        <v/>
      </c>
      <c r="O911" s="49" t="str">
        <f>IF($F911="","",IFERROR(INDEX(Batches!$B$2:$B$301,MATCH($F911,Batches!$A$2:$A$301,0))&amp;"","(not found)"))</f>
        <v/>
      </c>
      <c r="P911" s="49" t="str">
        <f>IF(COUNTA($A911:$L911)=0,"",IF($A911="","Missing: entry ID",IF(COUNTIF($A$2:$A$2001,$A911)&gt;1,"Duplicate entry ID",IF(NOT(ISNUMBER($B911)),"Missing or invalid: date",IF($C911="","Missing: type",IF($D911="","Missing: SKU",IF(NOT(ISNUMBER($E911)),"Missing: qty",IF($F911="","Missing: lot",IF($I911="","Missing: source link",IF(COUNTIF(Config!$A$15:$A$34,$C911)=0,"Unsupported type",IF(COUNTIF(Products!$A$2:$A$101,$D911)=0,"Unknown SKU",IF(COUNTIFS(Batches!$A$2:$A$301,$F911,Batches!$B$2:$B$301,$D911)=0,"Unknown lot for this SKU",IF(AND($C911="Adjustment",$G911=""),"Missing: reason",IF(AND($G911&lt;&gt;"",COUNTIF(Config!$B$15:$B$34,$G911)=0),"Unsupported reason",IF(OR(INT($E911)&lt;&gt;$E911,AND(OR($C911="Receipt",$C911="Shipment"),$E911&lt;=0),AND($C911="Adjustment",$E911=0)),"Invalid qty",IF($B911&gt;Config!$B$4,"Date after the as-of date",IF($B911&lt;Config!$B$5,"Date before the opening balance date","OK")))))))))))))))))</f>
        <v/>
      </c>
    </row>
    <row r="912">
      <c r="A912" s="46" t="n"/>
      <c r="B912" s="54" t="n"/>
      <c r="C912" s="46" t="n"/>
      <c r="D912" s="46" t="n"/>
      <c r="E912" s="55" t="n"/>
      <c r="F912" s="46" t="n"/>
      <c r="G912" s="46" t="n"/>
      <c r="H912" s="46" t="n"/>
      <c r="I912" s="46" t="n"/>
      <c r="J912" s="46" t="n"/>
      <c r="K912" s="46" t="n"/>
      <c r="L912" s="46" t="n"/>
      <c r="M912" s="51" t="str">
        <f>IF(NOT(ISNUMBER($E912)),"",IF($C912="Receipt",$E912,IF($C912="Shipment",-$E912,IF($C912="Adjustment",$E912,0))))</f>
        <v/>
      </c>
      <c r="N912" s="49" t="str">
        <f>IF($D912="","",IFERROR(INDEX(Products!$B$2:$B$101,MATCH($D912,Products!$A$2:$A$101,0))&amp;"","(not found)"))</f>
        <v/>
      </c>
      <c r="O912" s="49" t="str">
        <f>IF($F912="","",IFERROR(INDEX(Batches!$B$2:$B$301,MATCH($F912,Batches!$A$2:$A$301,0))&amp;"","(not found)"))</f>
        <v/>
      </c>
      <c r="P912" s="49" t="str">
        <f>IF(COUNTA($A912:$L912)=0,"",IF($A912="","Missing: entry ID",IF(COUNTIF($A$2:$A$2001,$A912)&gt;1,"Duplicate entry ID",IF(NOT(ISNUMBER($B912)),"Missing or invalid: date",IF($C912="","Missing: type",IF($D912="","Missing: SKU",IF(NOT(ISNUMBER($E912)),"Missing: qty",IF($F912="","Missing: lot",IF($I912="","Missing: source link",IF(COUNTIF(Config!$A$15:$A$34,$C912)=0,"Unsupported type",IF(COUNTIF(Products!$A$2:$A$101,$D912)=0,"Unknown SKU",IF(COUNTIFS(Batches!$A$2:$A$301,$F912,Batches!$B$2:$B$301,$D912)=0,"Unknown lot for this SKU",IF(AND($C912="Adjustment",$G912=""),"Missing: reason",IF(AND($G912&lt;&gt;"",COUNTIF(Config!$B$15:$B$34,$G912)=0),"Unsupported reason",IF(OR(INT($E912)&lt;&gt;$E912,AND(OR($C912="Receipt",$C912="Shipment"),$E912&lt;=0),AND($C912="Adjustment",$E912=0)),"Invalid qty",IF($B912&gt;Config!$B$4,"Date after the as-of date",IF($B912&lt;Config!$B$5,"Date before the opening balance date","OK")))))))))))))))))</f>
        <v/>
      </c>
    </row>
    <row r="913">
      <c r="A913" s="46" t="n"/>
      <c r="B913" s="54" t="n"/>
      <c r="C913" s="46" t="n"/>
      <c r="D913" s="46" t="n"/>
      <c r="E913" s="55" t="n"/>
      <c r="F913" s="46" t="n"/>
      <c r="G913" s="46" t="n"/>
      <c r="H913" s="46" t="n"/>
      <c r="I913" s="46" t="n"/>
      <c r="J913" s="46" t="n"/>
      <c r="K913" s="46" t="n"/>
      <c r="L913" s="46" t="n"/>
      <c r="M913" s="51" t="str">
        <f>IF(NOT(ISNUMBER($E913)),"",IF($C913="Receipt",$E913,IF($C913="Shipment",-$E913,IF($C913="Adjustment",$E913,0))))</f>
        <v/>
      </c>
      <c r="N913" s="49" t="str">
        <f>IF($D913="","",IFERROR(INDEX(Products!$B$2:$B$101,MATCH($D913,Products!$A$2:$A$101,0))&amp;"","(not found)"))</f>
        <v/>
      </c>
      <c r="O913" s="49" t="str">
        <f>IF($F913="","",IFERROR(INDEX(Batches!$B$2:$B$301,MATCH($F913,Batches!$A$2:$A$301,0))&amp;"","(not found)"))</f>
        <v/>
      </c>
      <c r="P913" s="49" t="str">
        <f>IF(COUNTA($A913:$L913)=0,"",IF($A913="","Missing: entry ID",IF(COUNTIF($A$2:$A$2001,$A913)&gt;1,"Duplicate entry ID",IF(NOT(ISNUMBER($B913)),"Missing or invalid: date",IF($C913="","Missing: type",IF($D913="","Missing: SKU",IF(NOT(ISNUMBER($E913)),"Missing: qty",IF($F913="","Missing: lot",IF($I913="","Missing: source link",IF(COUNTIF(Config!$A$15:$A$34,$C913)=0,"Unsupported type",IF(COUNTIF(Products!$A$2:$A$101,$D913)=0,"Unknown SKU",IF(COUNTIFS(Batches!$A$2:$A$301,$F913,Batches!$B$2:$B$301,$D913)=0,"Unknown lot for this SKU",IF(AND($C913="Adjustment",$G913=""),"Missing: reason",IF(AND($G913&lt;&gt;"",COUNTIF(Config!$B$15:$B$34,$G913)=0),"Unsupported reason",IF(OR(INT($E913)&lt;&gt;$E913,AND(OR($C913="Receipt",$C913="Shipment"),$E913&lt;=0),AND($C913="Adjustment",$E913=0)),"Invalid qty",IF($B913&gt;Config!$B$4,"Date after the as-of date",IF($B913&lt;Config!$B$5,"Date before the opening balance date","OK")))))))))))))))))</f>
        <v/>
      </c>
    </row>
    <row r="914">
      <c r="A914" s="46" t="n"/>
      <c r="B914" s="54" t="n"/>
      <c r="C914" s="46" t="n"/>
      <c r="D914" s="46" t="n"/>
      <c r="E914" s="55" t="n"/>
      <c r="F914" s="46" t="n"/>
      <c r="G914" s="46" t="n"/>
      <c r="H914" s="46" t="n"/>
      <c r="I914" s="46" t="n"/>
      <c r="J914" s="46" t="n"/>
      <c r="K914" s="46" t="n"/>
      <c r="L914" s="46" t="n"/>
      <c r="M914" s="51" t="str">
        <f>IF(NOT(ISNUMBER($E914)),"",IF($C914="Receipt",$E914,IF($C914="Shipment",-$E914,IF($C914="Adjustment",$E914,0))))</f>
        <v/>
      </c>
      <c r="N914" s="49" t="str">
        <f>IF($D914="","",IFERROR(INDEX(Products!$B$2:$B$101,MATCH($D914,Products!$A$2:$A$101,0))&amp;"","(not found)"))</f>
        <v/>
      </c>
      <c r="O914" s="49" t="str">
        <f>IF($F914="","",IFERROR(INDEX(Batches!$B$2:$B$301,MATCH($F914,Batches!$A$2:$A$301,0))&amp;"","(not found)"))</f>
        <v/>
      </c>
      <c r="P914" s="49" t="str">
        <f>IF(COUNTA($A914:$L914)=0,"",IF($A914="","Missing: entry ID",IF(COUNTIF($A$2:$A$2001,$A914)&gt;1,"Duplicate entry ID",IF(NOT(ISNUMBER($B914)),"Missing or invalid: date",IF($C914="","Missing: type",IF($D914="","Missing: SKU",IF(NOT(ISNUMBER($E914)),"Missing: qty",IF($F914="","Missing: lot",IF($I914="","Missing: source link",IF(COUNTIF(Config!$A$15:$A$34,$C914)=0,"Unsupported type",IF(COUNTIF(Products!$A$2:$A$101,$D914)=0,"Unknown SKU",IF(COUNTIFS(Batches!$A$2:$A$301,$F914,Batches!$B$2:$B$301,$D914)=0,"Unknown lot for this SKU",IF(AND($C914="Adjustment",$G914=""),"Missing: reason",IF(AND($G914&lt;&gt;"",COUNTIF(Config!$B$15:$B$34,$G914)=0),"Unsupported reason",IF(OR(INT($E914)&lt;&gt;$E914,AND(OR($C914="Receipt",$C914="Shipment"),$E914&lt;=0),AND($C914="Adjustment",$E914=0)),"Invalid qty",IF($B914&gt;Config!$B$4,"Date after the as-of date",IF($B914&lt;Config!$B$5,"Date before the opening balance date","OK")))))))))))))))))</f>
        <v/>
      </c>
    </row>
    <row r="915">
      <c r="A915" s="46" t="n"/>
      <c r="B915" s="54" t="n"/>
      <c r="C915" s="46" t="n"/>
      <c r="D915" s="46" t="n"/>
      <c r="E915" s="55" t="n"/>
      <c r="F915" s="46" t="n"/>
      <c r="G915" s="46" t="n"/>
      <c r="H915" s="46" t="n"/>
      <c r="I915" s="46" t="n"/>
      <c r="J915" s="46" t="n"/>
      <c r="K915" s="46" t="n"/>
      <c r="L915" s="46" t="n"/>
      <c r="M915" s="51" t="str">
        <f>IF(NOT(ISNUMBER($E915)),"",IF($C915="Receipt",$E915,IF($C915="Shipment",-$E915,IF($C915="Adjustment",$E915,0))))</f>
        <v/>
      </c>
      <c r="N915" s="49" t="str">
        <f>IF($D915="","",IFERROR(INDEX(Products!$B$2:$B$101,MATCH($D915,Products!$A$2:$A$101,0))&amp;"","(not found)"))</f>
        <v/>
      </c>
      <c r="O915" s="49" t="str">
        <f>IF($F915="","",IFERROR(INDEX(Batches!$B$2:$B$301,MATCH($F915,Batches!$A$2:$A$301,0))&amp;"","(not found)"))</f>
        <v/>
      </c>
      <c r="P915" s="49" t="str">
        <f>IF(COUNTA($A915:$L915)=0,"",IF($A915="","Missing: entry ID",IF(COUNTIF($A$2:$A$2001,$A915)&gt;1,"Duplicate entry ID",IF(NOT(ISNUMBER($B915)),"Missing or invalid: date",IF($C915="","Missing: type",IF($D915="","Missing: SKU",IF(NOT(ISNUMBER($E915)),"Missing: qty",IF($F915="","Missing: lot",IF($I915="","Missing: source link",IF(COUNTIF(Config!$A$15:$A$34,$C915)=0,"Unsupported type",IF(COUNTIF(Products!$A$2:$A$101,$D915)=0,"Unknown SKU",IF(COUNTIFS(Batches!$A$2:$A$301,$F915,Batches!$B$2:$B$301,$D915)=0,"Unknown lot for this SKU",IF(AND($C915="Adjustment",$G915=""),"Missing: reason",IF(AND($G915&lt;&gt;"",COUNTIF(Config!$B$15:$B$34,$G915)=0),"Unsupported reason",IF(OR(INT($E915)&lt;&gt;$E915,AND(OR($C915="Receipt",$C915="Shipment"),$E915&lt;=0),AND($C915="Adjustment",$E915=0)),"Invalid qty",IF($B915&gt;Config!$B$4,"Date after the as-of date",IF($B915&lt;Config!$B$5,"Date before the opening balance date","OK")))))))))))))))))</f>
        <v/>
      </c>
    </row>
    <row r="916">
      <c r="A916" s="46" t="n"/>
      <c r="B916" s="54" t="n"/>
      <c r="C916" s="46" t="n"/>
      <c r="D916" s="46" t="n"/>
      <c r="E916" s="55" t="n"/>
      <c r="F916" s="46" t="n"/>
      <c r="G916" s="46" t="n"/>
      <c r="H916" s="46" t="n"/>
      <c r="I916" s="46" t="n"/>
      <c r="J916" s="46" t="n"/>
      <c r="K916" s="46" t="n"/>
      <c r="L916" s="46" t="n"/>
      <c r="M916" s="51" t="str">
        <f>IF(NOT(ISNUMBER($E916)),"",IF($C916="Receipt",$E916,IF($C916="Shipment",-$E916,IF($C916="Adjustment",$E916,0))))</f>
        <v/>
      </c>
      <c r="N916" s="49" t="str">
        <f>IF($D916="","",IFERROR(INDEX(Products!$B$2:$B$101,MATCH($D916,Products!$A$2:$A$101,0))&amp;"","(not found)"))</f>
        <v/>
      </c>
      <c r="O916" s="49" t="str">
        <f>IF($F916="","",IFERROR(INDEX(Batches!$B$2:$B$301,MATCH($F916,Batches!$A$2:$A$301,0))&amp;"","(not found)"))</f>
        <v/>
      </c>
      <c r="P916" s="49" t="str">
        <f>IF(COUNTA($A916:$L916)=0,"",IF($A916="","Missing: entry ID",IF(COUNTIF($A$2:$A$2001,$A916)&gt;1,"Duplicate entry ID",IF(NOT(ISNUMBER($B916)),"Missing or invalid: date",IF($C916="","Missing: type",IF($D916="","Missing: SKU",IF(NOT(ISNUMBER($E916)),"Missing: qty",IF($F916="","Missing: lot",IF($I916="","Missing: source link",IF(COUNTIF(Config!$A$15:$A$34,$C916)=0,"Unsupported type",IF(COUNTIF(Products!$A$2:$A$101,$D916)=0,"Unknown SKU",IF(COUNTIFS(Batches!$A$2:$A$301,$F916,Batches!$B$2:$B$301,$D916)=0,"Unknown lot for this SKU",IF(AND($C916="Adjustment",$G916=""),"Missing: reason",IF(AND($G916&lt;&gt;"",COUNTIF(Config!$B$15:$B$34,$G916)=0),"Unsupported reason",IF(OR(INT($E916)&lt;&gt;$E916,AND(OR($C916="Receipt",$C916="Shipment"),$E916&lt;=0),AND($C916="Adjustment",$E916=0)),"Invalid qty",IF($B916&gt;Config!$B$4,"Date after the as-of date",IF($B916&lt;Config!$B$5,"Date before the opening balance date","OK")))))))))))))))))</f>
        <v/>
      </c>
    </row>
    <row r="917">
      <c r="A917" s="46" t="n"/>
      <c r="B917" s="54" t="n"/>
      <c r="C917" s="46" t="n"/>
      <c r="D917" s="46" t="n"/>
      <c r="E917" s="55" t="n"/>
      <c r="F917" s="46" t="n"/>
      <c r="G917" s="46" t="n"/>
      <c r="H917" s="46" t="n"/>
      <c r="I917" s="46" t="n"/>
      <c r="J917" s="46" t="n"/>
      <c r="K917" s="46" t="n"/>
      <c r="L917" s="46" t="n"/>
      <c r="M917" s="51" t="str">
        <f>IF(NOT(ISNUMBER($E917)),"",IF($C917="Receipt",$E917,IF($C917="Shipment",-$E917,IF($C917="Adjustment",$E917,0))))</f>
        <v/>
      </c>
      <c r="N917" s="49" t="str">
        <f>IF($D917="","",IFERROR(INDEX(Products!$B$2:$B$101,MATCH($D917,Products!$A$2:$A$101,0))&amp;"","(not found)"))</f>
        <v/>
      </c>
      <c r="O917" s="49" t="str">
        <f>IF($F917="","",IFERROR(INDEX(Batches!$B$2:$B$301,MATCH($F917,Batches!$A$2:$A$301,0))&amp;"","(not found)"))</f>
        <v/>
      </c>
      <c r="P917" s="49" t="str">
        <f>IF(COUNTA($A917:$L917)=0,"",IF($A917="","Missing: entry ID",IF(COUNTIF($A$2:$A$2001,$A917)&gt;1,"Duplicate entry ID",IF(NOT(ISNUMBER($B917)),"Missing or invalid: date",IF($C917="","Missing: type",IF($D917="","Missing: SKU",IF(NOT(ISNUMBER($E917)),"Missing: qty",IF($F917="","Missing: lot",IF($I917="","Missing: source link",IF(COUNTIF(Config!$A$15:$A$34,$C917)=0,"Unsupported type",IF(COUNTIF(Products!$A$2:$A$101,$D917)=0,"Unknown SKU",IF(COUNTIFS(Batches!$A$2:$A$301,$F917,Batches!$B$2:$B$301,$D917)=0,"Unknown lot for this SKU",IF(AND($C917="Adjustment",$G917=""),"Missing: reason",IF(AND($G917&lt;&gt;"",COUNTIF(Config!$B$15:$B$34,$G917)=0),"Unsupported reason",IF(OR(INT($E917)&lt;&gt;$E917,AND(OR($C917="Receipt",$C917="Shipment"),$E917&lt;=0),AND($C917="Adjustment",$E917=0)),"Invalid qty",IF($B917&gt;Config!$B$4,"Date after the as-of date",IF($B917&lt;Config!$B$5,"Date before the opening balance date","OK")))))))))))))))))</f>
        <v/>
      </c>
    </row>
    <row r="918">
      <c r="A918" s="46" t="n"/>
      <c r="B918" s="54" t="n"/>
      <c r="C918" s="46" t="n"/>
      <c r="D918" s="46" t="n"/>
      <c r="E918" s="55" t="n"/>
      <c r="F918" s="46" t="n"/>
      <c r="G918" s="46" t="n"/>
      <c r="H918" s="46" t="n"/>
      <c r="I918" s="46" t="n"/>
      <c r="J918" s="46" t="n"/>
      <c r="K918" s="46" t="n"/>
      <c r="L918" s="46" t="n"/>
      <c r="M918" s="51" t="str">
        <f>IF(NOT(ISNUMBER($E918)),"",IF($C918="Receipt",$E918,IF($C918="Shipment",-$E918,IF($C918="Adjustment",$E918,0))))</f>
        <v/>
      </c>
      <c r="N918" s="49" t="str">
        <f>IF($D918="","",IFERROR(INDEX(Products!$B$2:$B$101,MATCH($D918,Products!$A$2:$A$101,0))&amp;"","(not found)"))</f>
        <v/>
      </c>
      <c r="O918" s="49" t="str">
        <f>IF($F918="","",IFERROR(INDEX(Batches!$B$2:$B$301,MATCH($F918,Batches!$A$2:$A$301,0))&amp;"","(not found)"))</f>
        <v/>
      </c>
      <c r="P918" s="49" t="str">
        <f>IF(COUNTA($A918:$L918)=0,"",IF($A918="","Missing: entry ID",IF(COUNTIF($A$2:$A$2001,$A918)&gt;1,"Duplicate entry ID",IF(NOT(ISNUMBER($B918)),"Missing or invalid: date",IF($C918="","Missing: type",IF($D918="","Missing: SKU",IF(NOT(ISNUMBER($E918)),"Missing: qty",IF($F918="","Missing: lot",IF($I918="","Missing: source link",IF(COUNTIF(Config!$A$15:$A$34,$C918)=0,"Unsupported type",IF(COUNTIF(Products!$A$2:$A$101,$D918)=0,"Unknown SKU",IF(COUNTIFS(Batches!$A$2:$A$301,$F918,Batches!$B$2:$B$301,$D918)=0,"Unknown lot for this SKU",IF(AND($C918="Adjustment",$G918=""),"Missing: reason",IF(AND($G918&lt;&gt;"",COUNTIF(Config!$B$15:$B$34,$G918)=0),"Unsupported reason",IF(OR(INT($E918)&lt;&gt;$E918,AND(OR($C918="Receipt",$C918="Shipment"),$E918&lt;=0),AND($C918="Adjustment",$E918=0)),"Invalid qty",IF($B918&gt;Config!$B$4,"Date after the as-of date",IF($B918&lt;Config!$B$5,"Date before the opening balance date","OK")))))))))))))))))</f>
        <v/>
      </c>
    </row>
    <row r="919">
      <c r="A919" s="46" t="n"/>
      <c r="B919" s="54" t="n"/>
      <c r="C919" s="46" t="n"/>
      <c r="D919" s="46" t="n"/>
      <c r="E919" s="55" t="n"/>
      <c r="F919" s="46" t="n"/>
      <c r="G919" s="46" t="n"/>
      <c r="H919" s="46" t="n"/>
      <c r="I919" s="46" t="n"/>
      <c r="J919" s="46" t="n"/>
      <c r="K919" s="46" t="n"/>
      <c r="L919" s="46" t="n"/>
      <c r="M919" s="51" t="str">
        <f>IF(NOT(ISNUMBER($E919)),"",IF($C919="Receipt",$E919,IF($C919="Shipment",-$E919,IF($C919="Adjustment",$E919,0))))</f>
        <v/>
      </c>
      <c r="N919" s="49" t="str">
        <f>IF($D919="","",IFERROR(INDEX(Products!$B$2:$B$101,MATCH($D919,Products!$A$2:$A$101,0))&amp;"","(not found)"))</f>
        <v/>
      </c>
      <c r="O919" s="49" t="str">
        <f>IF($F919="","",IFERROR(INDEX(Batches!$B$2:$B$301,MATCH($F919,Batches!$A$2:$A$301,0))&amp;"","(not found)"))</f>
        <v/>
      </c>
      <c r="P919" s="49" t="str">
        <f>IF(COUNTA($A919:$L919)=0,"",IF($A919="","Missing: entry ID",IF(COUNTIF($A$2:$A$2001,$A919)&gt;1,"Duplicate entry ID",IF(NOT(ISNUMBER($B919)),"Missing or invalid: date",IF($C919="","Missing: type",IF($D919="","Missing: SKU",IF(NOT(ISNUMBER($E919)),"Missing: qty",IF($F919="","Missing: lot",IF($I919="","Missing: source link",IF(COUNTIF(Config!$A$15:$A$34,$C919)=0,"Unsupported type",IF(COUNTIF(Products!$A$2:$A$101,$D919)=0,"Unknown SKU",IF(COUNTIFS(Batches!$A$2:$A$301,$F919,Batches!$B$2:$B$301,$D919)=0,"Unknown lot for this SKU",IF(AND($C919="Adjustment",$G919=""),"Missing: reason",IF(AND($G919&lt;&gt;"",COUNTIF(Config!$B$15:$B$34,$G919)=0),"Unsupported reason",IF(OR(INT($E919)&lt;&gt;$E919,AND(OR($C919="Receipt",$C919="Shipment"),$E919&lt;=0),AND($C919="Adjustment",$E919=0)),"Invalid qty",IF($B919&gt;Config!$B$4,"Date after the as-of date",IF($B919&lt;Config!$B$5,"Date before the opening balance date","OK")))))))))))))))))</f>
        <v/>
      </c>
    </row>
    <row r="920">
      <c r="A920" s="46" t="n"/>
      <c r="B920" s="54" t="n"/>
      <c r="C920" s="46" t="n"/>
      <c r="D920" s="46" t="n"/>
      <c r="E920" s="55" t="n"/>
      <c r="F920" s="46" t="n"/>
      <c r="G920" s="46" t="n"/>
      <c r="H920" s="46" t="n"/>
      <c r="I920" s="46" t="n"/>
      <c r="J920" s="46" t="n"/>
      <c r="K920" s="46" t="n"/>
      <c r="L920" s="46" t="n"/>
      <c r="M920" s="51" t="str">
        <f>IF(NOT(ISNUMBER($E920)),"",IF($C920="Receipt",$E920,IF($C920="Shipment",-$E920,IF($C920="Adjustment",$E920,0))))</f>
        <v/>
      </c>
      <c r="N920" s="49" t="str">
        <f>IF($D920="","",IFERROR(INDEX(Products!$B$2:$B$101,MATCH($D920,Products!$A$2:$A$101,0))&amp;"","(not found)"))</f>
        <v/>
      </c>
      <c r="O920" s="49" t="str">
        <f>IF($F920="","",IFERROR(INDEX(Batches!$B$2:$B$301,MATCH($F920,Batches!$A$2:$A$301,0))&amp;"","(not found)"))</f>
        <v/>
      </c>
      <c r="P920" s="49" t="str">
        <f>IF(COUNTA($A920:$L920)=0,"",IF($A920="","Missing: entry ID",IF(COUNTIF($A$2:$A$2001,$A920)&gt;1,"Duplicate entry ID",IF(NOT(ISNUMBER($B920)),"Missing or invalid: date",IF($C920="","Missing: type",IF($D920="","Missing: SKU",IF(NOT(ISNUMBER($E920)),"Missing: qty",IF($F920="","Missing: lot",IF($I920="","Missing: source link",IF(COUNTIF(Config!$A$15:$A$34,$C920)=0,"Unsupported type",IF(COUNTIF(Products!$A$2:$A$101,$D920)=0,"Unknown SKU",IF(COUNTIFS(Batches!$A$2:$A$301,$F920,Batches!$B$2:$B$301,$D920)=0,"Unknown lot for this SKU",IF(AND($C920="Adjustment",$G920=""),"Missing: reason",IF(AND($G920&lt;&gt;"",COUNTIF(Config!$B$15:$B$34,$G920)=0),"Unsupported reason",IF(OR(INT($E920)&lt;&gt;$E920,AND(OR($C920="Receipt",$C920="Shipment"),$E920&lt;=0),AND($C920="Adjustment",$E920=0)),"Invalid qty",IF($B920&gt;Config!$B$4,"Date after the as-of date",IF($B920&lt;Config!$B$5,"Date before the opening balance date","OK")))))))))))))))))</f>
        <v/>
      </c>
    </row>
    <row r="921">
      <c r="A921" s="46" t="n"/>
      <c r="B921" s="54" t="n"/>
      <c r="C921" s="46" t="n"/>
      <c r="D921" s="46" t="n"/>
      <c r="E921" s="55" t="n"/>
      <c r="F921" s="46" t="n"/>
      <c r="G921" s="46" t="n"/>
      <c r="H921" s="46" t="n"/>
      <c r="I921" s="46" t="n"/>
      <c r="J921" s="46" t="n"/>
      <c r="K921" s="46" t="n"/>
      <c r="L921" s="46" t="n"/>
      <c r="M921" s="51" t="str">
        <f>IF(NOT(ISNUMBER($E921)),"",IF($C921="Receipt",$E921,IF($C921="Shipment",-$E921,IF($C921="Adjustment",$E921,0))))</f>
        <v/>
      </c>
      <c r="N921" s="49" t="str">
        <f>IF($D921="","",IFERROR(INDEX(Products!$B$2:$B$101,MATCH($D921,Products!$A$2:$A$101,0))&amp;"","(not found)"))</f>
        <v/>
      </c>
      <c r="O921" s="49" t="str">
        <f>IF($F921="","",IFERROR(INDEX(Batches!$B$2:$B$301,MATCH($F921,Batches!$A$2:$A$301,0))&amp;"","(not found)"))</f>
        <v/>
      </c>
      <c r="P921" s="49" t="str">
        <f>IF(COUNTA($A921:$L921)=0,"",IF($A921="","Missing: entry ID",IF(COUNTIF($A$2:$A$2001,$A921)&gt;1,"Duplicate entry ID",IF(NOT(ISNUMBER($B921)),"Missing or invalid: date",IF($C921="","Missing: type",IF($D921="","Missing: SKU",IF(NOT(ISNUMBER($E921)),"Missing: qty",IF($F921="","Missing: lot",IF($I921="","Missing: source link",IF(COUNTIF(Config!$A$15:$A$34,$C921)=0,"Unsupported type",IF(COUNTIF(Products!$A$2:$A$101,$D921)=0,"Unknown SKU",IF(COUNTIFS(Batches!$A$2:$A$301,$F921,Batches!$B$2:$B$301,$D921)=0,"Unknown lot for this SKU",IF(AND($C921="Adjustment",$G921=""),"Missing: reason",IF(AND($G921&lt;&gt;"",COUNTIF(Config!$B$15:$B$34,$G921)=0),"Unsupported reason",IF(OR(INT($E921)&lt;&gt;$E921,AND(OR($C921="Receipt",$C921="Shipment"),$E921&lt;=0),AND($C921="Adjustment",$E921=0)),"Invalid qty",IF($B921&gt;Config!$B$4,"Date after the as-of date",IF($B921&lt;Config!$B$5,"Date before the opening balance date","OK")))))))))))))))))</f>
        <v/>
      </c>
    </row>
    <row r="922">
      <c r="A922" s="46" t="n"/>
      <c r="B922" s="54" t="n"/>
      <c r="C922" s="46" t="n"/>
      <c r="D922" s="46" t="n"/>
      <c r="E922" s="55" t="n"/>
      <c r="F922" s="46" t="n"/>
      <c r="G922" s="46" t="n"/>
      <c r="H922" s="46" t="n"/>
      <c r="I922" s="46" t="n"/>
      <c r="J922" s="46" t="n"/>
      <c r="K922" s="46" t="n"/>
      <c r="L922" s="46" t="n"/>
      <c r="M922" s="51" t="str">
        <f>IF(NOT(ISNUMBER($E922)),"",IF($C922="Receipt",$E922,IF($C922="Shipment",-$E922,IF($C922="Adjustment",$E922,0))))</f>
        <v/>
      </c>
      <c r="N922" s="49" t="str">
        <f>IF($D922="","",IFERROR(INDEX(Products!$B$2:$B$101,MATCH($D922,Products!$A$2:$A$101,0))&amp;"","(not found)"))</f>
        <v/>
      </c>
      <c r="O922" s="49" t="str">
        <f>IF($F922="","",IFERROR(INDEX(Batches!$B$2:$B$301,MATCH($F922,Batches!$A$2:$A$301,0))&amp;"","(not found)"))</f>
        <v/>
      </c>
      <c r="P922" s="49" t="str">
        <f>IF(COUNTA($A922:$L922)=0,"",IF($A922="","Missing: entry ID",IF(COUNTIF($A$2:$A$2001,$A922)&gt;1,"Duplicate entry ID",IF(NOT(ISNUMBER($B922)),"Missing or invalid: date",IF($C922="","Missing: type",IF($D922="","Missing: SKU",IF(NOT(ISNUMBER($E922)),"Missing: qty",IF($F922="","Missing: lot",IF($I922="","Missing: source link",IF(COUNTIF(Config!$A$15:$A$34,$C922)=0,"Unsupported type",IF(COUNTIF(Products!$A$2:$A$101,$D922)=0,"Unknown SKU",IF(COUNTIFS(Batches!$A$2:$A$301,$F922,Batches!$B$2:$B$301,$D922)=0,"Unknown lot for this SKU",IF(AND($C922="Adjustment",$G922=""),"Missing: reason",IF(AND($G922&lt;&gt;"",COUNTIF(Config!$B$15:$B$34,$G922)=0),"Unsupported reason",IF(OR(INT($E922)&lt;&gt;$E922,AND(OR($C922="Receipt",$C922="Shipment"),$E922&lt;=0),AND($C922="Adjustment",$E922=0)),"Invalid qty",IF($B922&gt;Config!$B$4,"Date after the as-of date",IF($B922&lt;Config!$B$5,"Date before the opening balance date","OK")))))))))))))))))</f>
        <v/>
      </c>
    </row>
    <row r="923">
      <c r="A923" s="46" t="n"/>
      <c r="B923" s="54" t="n"/>
      <c r="C923" s="46" t="n"/>
      <c r="D923" s="46" t="n"/>
      <c r="E923" s="55" t="n"/>
      <c r="F923" s="46" t="n"/>
      <c r="G923" s="46" t="n"/>
      <c r="H923" s="46" t="n"/>
      <c r="I923" s="46" t="n"/>
      <c r="J923" s="46" t="n"/>
      <c r="K923" s="46" t="n"/>
      <c r="L923" s="46" t="n"/>
      <c r="M923" s="51" t="str">
        <f>IF(NOT(ISNUMBER($E923)),"",IF($C923="Receipt",$E923,IF($C923="Shipment",-$E923,IF($C923="Adjustment",$E923,0))))</f>
        <v/>
      </c>
      <c r="N923" s="49" t="str">
        <f>IF($D923="","",IFERROR(INDEX(Products!$B$2:$B$101,MATCH($D923,Products!$A$2:$A$101,0))&amp;"","(not found)"))</f>
        <v/>
      </c>
      <c r="O923" s="49" t="str">
        <f>IF($F923="","",IFERROR(INDEX(Batches!$B$2:$B$301,MATCH($F923,Batches!$A$2:$A$301,0))&amp;"","(not found)"))</f>
        <v/>
      </c>
      <c r="P923" s="49" t="str">
        <f>IF(COUNTA($A923:$L923)=0,"",IF($A923="","Missing: entry ID",IF(COUNTIF($A$2:$A$2001,$A923)&gt;1,"Duplicate entry ID",IF(NOT(ISNUMBER($B923)),"Missing or invalid: date",IF($C923="","Missing: type",IF($D923="","Missing: SKU",IF(NOT(ISNUMBER($E923)),"Missing: qty",IF($F923="","Missing: lot",IF($I923="","Missing: source link",IF(COUNTIF(Config!$A$15:$A$34,$C923)=0,"Unsupported type",IF(COUNTIF(Products!$A$2:$A$101,$D923)=0,"Unknown SKU",IF(COUNTIFS(Batches!$A$2:$A$301,$F923,Batches!$B$2:$B$301,$D923)=0,"Unknown lot for this SKU",IF(AND($C923="Adjustment",$G923=""),"Missing: reason",IF(AND($G923&lt;&gt;"",COUNTIF(Config!$B$15:$B$34,$G923)=0),"Unsupported reason",IF(OR(INT($E923)&lt;&gt;$E923,AND(OR($C923="Receipt",$C923="Shipment"),$E923&lt;=0),AND($C923="Adjustment",$E923=0)),"Invalid qty",IF($B923&gt;Config!$B$4,"Date after the as-of date",IF($B923&lt;Config!$B$5,"Date before the opening balance date","OK")))))))))))))))))</f>
        <v/>
      </c>
    </row>
    <row r="924">
      <c r="A924" s="46" t="n"/>
      <c r="B924" s="54" t="n"/>
      <c r="C924" s="46" t="n"/>
      <c r="D924" s="46" t="n"/>
      <c r="E924" s="55" t="n"/>
      <c r="F924" s="46" t="n"/>
      <c r="G924" s="46" t="n"/>
      <c r="H924" s="46" t="n"/>
      <c r="I924" s="46" t="n"/>
      <c r="J924" s="46" t="n"/>
      <c r="K924" s="46" t="n"/>
      <c r="L924" s="46" t="n"/>
      <c r="M924" s="51" t="str">
        <f>IF(NOT(ISNUMBER($E924)),"",IF($C924="Receipt",$E924,IF($C924="Shipment",-$E924,IF($C924="Adjustment",$E924,0))))</f>
        <v/>
      </c>
      <c r="N924" s="49" t="str">
        <f>IF($D924="","",IFERROR(INDEX(Products!$B$2:$B$101,MATCH($D924,Products!$A$2:$A$101,0))&amp;"","(not found)"))</f>
        <v/>
      </c>
      <c r="O924" s="49" t="str">
        <f>IF($F924="","",IFERROR(INDEX(Batches!$B$2:$B$301,MATCH($F924,Batches!$A$2:$A$301,0))&amp;"","(not found)"))</f>
        <v/>
      </c>
      <c r="P924" s="49" t="str">
        <f>IF(COUNTA($A924:$L924)=0,"",IF($A924="","Missing: entry ID",IF(COUNTIF($A$2:$A$2001,$A924)&gt;1,"Duplicate entry ID",IF(NOT(ISNUMBER($B924)),"Missing or invalid: date",IF($C924="","Missing: type",IF($D924="","Missing: SKU",IF(NOT(ISNUMBER($E924)),"Missing: qty",IF($F924="","Missing: lot",IF($I924="","Missing: source link",IF(COUNTIF(Config!$A$15:$A$34,$C924)=0,"Unsupported type",IF(COUNTIF(Products!$A$2:$A$101,$D924)=0,"Unknown SKU",IF(COUNTIFS(Batches!$A$2:$A$301,$F924,Batches!$B$2:$B$301,$D924)=0,"Unknown lot for this SKU",IF(AND($C924="Adjustment",$G924=""),"Missing: reason",IF(AND($G924&lt;&gt;"",COUNTIF(Config!$B$15:$B$34,$G924)=0),"Unsupported reason",IF(OR(INT($E924)&lt;&gt;$E924,AND(OR($C924="Receipt",$C924="Shipment"),$E924&lt;=0),AND($C924="Adjustment",$E924=0)),"Invalid qty",IF($B924&gt;Config!$B$4,"Date after the as-of date",IF($B924&lt;Config!$B$5,"Date before the opening balance date","OK")))))))))))))))))</f>
        <v/>
      </c>
    </row>
    <row r="925">
      <c r="A925" s="46" t="n"/>
      <c r="B925" s="54" t="n"/>
      <c r="C925" s="46" t="n"/>
      <c r="D925" s="46" t="n"/>
      <c r="E925" s="55" t="n"/>
      <c r="F925" s="46" t="n"/>
      <c r="G925" s="46" t="n"/>
      <c r="H925" s="46" t="n"/>
      <c r="I925" s="46" t="n"/>
      <c r="J925" s="46" t="n"/>
      <c r="K925" s="46" t="n"/>
      <c r="L925" s="46" t="n"/>
      <c r="M925" s="51" t="str">
        <f>IF(NOT(ISNUMBER($E925)),"",IF($C925="Receipt",$E925,IF($C925="Shipment",-$E925,IF($C925="Adjustment",$E925,0))))</f>
        <v/>
      </c>
      <c r="N925" s="49" t="str">
        <f>IF($D925="","",IFERROR(INDEX(Products!$B$2:$B$101,MATCH($D925,Products!$A$2:$A$101,0))&amp;"","(not found)"))</f>
        <v/>
      </c>
      <c r="O925" s="49" t="str">
        <f>IF($F925="","",IFERROR(INDEX(Batches!$B$2:$B$301,MATCH($F925,Batches!$A$2:$A$301,0))&amp;"","(not found)"))</f>
        <v/>
      </c>
      <c r="P925" s="49" t="str">
        <f>IF(COUNTA($A925:$L925)=0,"",IF($A925="","Missing: entry ID",IF(COUNTIF($A$2:$A$2001,$A925)&gt;1,"Duplicate entry ID",IF(NOT(ISNUMBER($B925)),"Missing or invalid: date",IF($C925="","Missing: type",IF($D925="","Missing: SKU",IF(NOT(ISNUMBER($E925)),"Missing: qty",IF($F925="","Missing: lot",IF($I925="","Missing: source link",IF(COUNTIF(Config!$A$15:$A$34,$C925)=0,"Unsupported type",IF(COUNTIF(Products!$A$2:$A$101,$D925)=0,"Unknown SKU",IF(COUNTIFS(Batches!$A$2:$A$301,$F925,Batches!$B$2:$B$301,$D925)=0,"Unknown lot for this SKU",IF(AND($C925="Adjustment",$G925=""),"Missing: reason",IF(AND($G925&lt;&gt;"",COUNTIF(Config!$B$15:$B$34,$G925)=0),"Unsupported reason",IF(OR(INT($E925)&lt;&gt;$E925,AND(OR($C925="Receipt",$C925="Shipment"),$E925&lt;=0),AND($C925="Adjustment",$E925=0)),"Invalid qty",IF($B925&gt;Config!$B$4,"Date after the as-of date",IF($B925&lt;Config!$B$5,"Date before the opening balance date","OK")))))))))))))))))</f>
        <v/>
      </c>
    </row>
    <row r="926">
      <c r="A926" s="46" t="n"/>
      <c r="B926" s="54" t="n"/>
      <c r="C926" s="46" t="n"/>
      <c r="D926" s="46" t="n"/>
      <c r="E926" s="55" t="n"/>
      <c r="F926" s="46" t="n"/>
      <c r="G926" s="46" t="n"/>
      <c r="H926" s="46" t="n"/>
      <c r="I926" s="46" t="n"/>
      <c r="J926" s="46" t="n"/>
      <c r="K926" s="46" t="n"/>
      <c r="L926" s="46" t="n"/>
      <c r="M926" s="51" t="str">
        <f>IF(NOT(ISNUMBER($E926)),"",IF($C926="Receipt",$E926,IF($C926="Shipment",-$E926,IF($C926="Adjustment",$E926,0))))</f>
        <v/>
      </c>
      <c r="N926" s="49" t="str">
        <f>IF($D926="","",IFERROR(INDEX(Products!$B$2:$B$101,MATCH($D926,Products!$A$2:$A$101,0))&amp;"","(not found)"))</f>
        <v/>
      </c>
      <c r="O926" s="49" t="str">
        <f>IF($F926="","",IFERROR(INDEX(Batches!$B$2:$B$301,MATCH($F926,Batches!$A$2:$A$301,0))&amp;"","(not found)"))</f>
        <v/>
      </c>
      <c r="P926" s="49" t="str">
        <f>IF(COUNTA($A926:$L926)=0,"",IF($A926="","Missing: entry ID",IF(COUNTIF($A$2:$A$2001,$A926)&gt;1,"Duplicate entry ID",IF(NOT(ISNUMBER($B926)),"Missing or invalid: date",IF($C926="","Missing: type",IF($D926="","Missing: SKU",IF(NOT(ISNUMBER($E926)),"Missing: qty",IF($F926="","Missing: lot",IF($I926="","Missing: source link",IF(COUNTIF(Config!$A$15:$A$34,$C926)=0,"Unsupported type",IF(COUNTIF(Products!$A$2:$A$101,$D926)=0,"Unknown SKU",IF(COUNTIFS(Batches!$A$2:$A$301,$F926,Batches!$B$2:$B$301,$D926)=0,"Unknown lot for this SKU",IF(AND($C926="Adjustment",$G926=""),"Missing: reason",IF(AND($G926&lt;&gt;"",COUNTIF(Config!$B$15:$B$34,$G926)=0),"Unsupported reason",IF(OR(INT($E926)&lt;&gt;$E926,AND(OR($C926="Receipt",$C926="Shipment"),$E926&lt;=0),AND($C926="Adjustment",$E926=0)),"Invalid qty",IF($B926&gt;Config!$B$4,"Date after the as-of date",IF($B926&lt;Config!$B$5,"Date before the opening balance date","OK")))))))))))))))))</f>
        <v/>
      </c>
    </row>
    <row r="927">
      <c r="A927" s="46" t="n"/>
      <c r="B927" s="54" t="n"/>
      <c r="C927" s="46" t="n"/>
      <c r="D927" s="46" t="n"/>
      <c r="E927" s="55" t="n"/>
      <c r="F927" s="46" t="n"/>
      <c r="G927" s="46" t="n"/>
      <c r="H927" s="46" t="n"/>
      <c r="I927" s="46" t="n"/>
      <c r="J927" s="46" t="n"/>
      <c r="K927" s="46" t="n"/>
      <c r="L927" s="46" t="n"/>
      <c r="M927" s="51" t="str">
        <f>IF(NOT(ISNUMBER($E927)),"",IF($C927="Receipt",$E927,IF($C927="Shipment",-$E927,IF($C927="Adjustment",$E927,0))))</f>
        <v/>
      </c>
      <c r="N927" s="49" t="str">
        <f>IF($D927="","",IFERROR(INDEX(Products!$B$2:$B$101,MATCH($D927,Products!$A$2:$A$101,0))&amp;"","(not found)"))</f>
        <v/>
      </c>
      <c r="O927" s="49" t="str">
        <f>IF($F927="","",IFERROR(INDEX(Batches!$B$2:$B$301,MATCH($F927,Batches!$A$2:$A$301,0))&amp;"","(not found)"))</f>
        <v/>
      </c>
      <c r="P927" s="49" t="str">
        <f>IF(COUNTA($A927:$L927)=0,"",IF($A927="","Missing: entry ID",IF(COUNTIF($A$2:$A$2001,$A927)&gt;1,"Duplicate entry ID",IF(NOT(ISNUMBER($B927)),"Missing or invalid: date",IF($C927="","Missing: type",IF($D927="","Missing: SKU",IF(NOT(ISNUMBER($E927)),"Missing: qty",IF($F927="","Missing: lot",IF($I927="","Missing: source link",IF(COUNTIF(Config!$A$15:$A$34,$C927)=0,"Unsupported type",IF(COUNTIF(Products!$A$2:$A$101,$D927)=0,"Unknown SKU",IF(COUNTIFS(Batches!$A$2:$A$301,$F927,Batches!$B$2:$B$301,$D927)=0,"Unknown lot for this SKU",IF(AND($C927="Adjustment",$G927=""),"Missing: reason",IF(AND($G927&lt;&gt;"",COUNTIF(Config!$B$15:$B$34,$G927)=0),"Unsupported reason",IF(OR(INT($E927)&lt;&gt;$E927,AND(OR($C927="Receipt",$C927="Shipment"),$E927&lt;=0),AND($C927="Adjustment",$E927=0)),"Invalid qty",IF($B927&gt;Config!$B$4,"Date after the as-of date",IF($B927&lt;Config!$B$5,"Date before the opening balance date","OK")))))))))))))))))</f>
        <v/>
      </c>
    </row>
    <row r="928">
      <c r="A928" s="46" t="n"/>
      <c r="B928" s="54" t="n"/>
      <c r="C928" s="46" t="n"/>
      <c r="D928" s="46" t="n"/>
      <c r="E928" s="55" t="n"/>
      <c r="F928" s="46" t="n"/>
      <c r="G928" s="46" t="n"/>
      <c r="H928" s="46" t="n"/>
      <c r="I928" s="46" t="n"/>
      <c r="J928" s="46" t="n"/>
      <c r="K928" s="46" t="n"/>
      <c r="L928" s="46" t="n"/>
      <c r="M928" s="51" t="str">
        <f>IF(NOT(ISNUMBER($E928)),"",IF($C928="Receipt",$E928,IF($C928="Shipment",-$E928,IF($C928="Adjustment",$E928,0))))</f>
        <v/>
      </c>
      <c r="N928" s="49" t="str">
        <f>IF($D928="","",IFERROR(INDEX(Products!$B$2:$B$101,MATCH($D928,Products!$A$2:$A$101,0))&amp;"","(not found)"))</f>
        <v/>
      </c>
      <c r="O928" s="49" t="str">
        <f>IF($F928="","",IFERROR(INDEX(Batches!$B$2:$B$301,MATCH($F928,Batches!$A$2:$A$301,0))&amp;"","(not found)"))</f>
        <v/>
      </c>
      <c r="P928" s="49" t="str">
        <f>IF(COUNTA($A928:$L928)=0,"",IF($A928="","Missing: entry ID",IF(COUNTIF($A$2:$A$2001,$A928)&gt;1,"Duplicate entry ID",IF(NOT(ISNUMBER($B928)),"Missing or invalid: date",IF($C928="","Missing: type",IF($D928="","Missing: SKU",IF(NOT(ISNUMBER($E928)),"Missing: qty",IF($F928="","Missing: lot",IF($I928="","Missing: source link",IF(COUNTIF(Config!$A$15:$A$34,$C928)=0,"Unsupported type",IF(COUNTIF(Products!$A$2:$A$101,$D928)=0,"Unknown SKU",IF(COUNTIFS(Batches!$A$2:$A$301,$F928,Batches!$B$2:$B$301,$D928)=0,"Unknown lot for this SKU",IF(AND($C928="Adjustment",$G928=""),"Missing: reason",IF(AND($G928&lt;&gt;"",COUNTIF(Config!$B$15:$B$34,$G928)=0),"Unsupported reason",IF(OR(INT($E928)&lt;&gt;$E928,AND(OR($C928="Receipt",$C928="Shipment"),$E928&lt;=0),AND($C928="Adjustment",$E928=0)),"Invalid qty",IF($B928&gt;Config!$B$4,"Date after the as-of date",IF($B928&lt;Config!$B$5,"Date before the opening balance date","OK")))))))))))))))))</f>
        <v/>
      </c>
    </row>
    <row r="929">
      <c r="A929" s="46" t="n"/>
      <c r="B929" s="54" t="n"/>
      <c r="C929" s="46" t="n"/>
      <c r="D929" s="46" t="n"/>
      <c r="E929" s="55" t="n"/>
      <c r="F929" s="46" t="n"/>
      <c r="G929" s="46" t="n"/>
      <c r="H929" s="46" t="n"/>
      <c r="I929" s="46" t="n"/>
      <c r="J929" s="46" t="n"/>
      <c r="K929" s="46" t="n"/>
      <c r="L929" s="46" t="n"/>
      <c r="M929" s="51" t="str">
        <f>IF(NOT(ISNUMBER($E929)),"",IF($C929="Receipt",$E929,IF($C929="Shipment",-$E929,IF($C929="Adjustment",$E929,0))))</f>
        <v/>
      </c>
      <c r="N929" s="49" t="str">
        <f>IF($D929="","",IFERROR(INDEX(Products!$B$2:$B$101,MATCH($D929,Products!$A$2:$A$101,0))&amp;"","(not found)"))</f>
        <v/>
      </c>
      <c r="O929" s="49" t="str">
        <f>IF($F929="","",IFERROR(INDEX(Batches!$B$2:$B$301,MATCH($F929,Batches!$A$2:$A$301,0))&amp;"","(not found)"))</f>
        <v/>
      </c>
      <c r="P929" s="49" t="str">
        <f>IF(COUNTA($A929:$L929)=0,"",IF($A929="","Missing: entry ID",IF(COUNTIF($A$2:$A$2001,$A929)&gt;1,"Duplicate entry ID",IF(NOT(ISNUMBER($B929)),"Missing or invalid: date",IF($C929="","Missing: type",IF($D929="","Missing: SKU",IF(NOT(ISNUMBER($E929)),"Missing: qty",IF($F929="","Missing: lot",IF($I929="","Missing: source link",IF(COUNTIF(Config!$A$15:$A$34,$C929)=0,"Unsupported type",IF(COUNTIF(Products!$A$2:$A$101,$D929)=0,"Unknown SKU",IF(COUNTIFS(Batches!$A$2:$A$301,$F929,Batches!$B$2:$B$301,$D929)=0,"Unknown lot for this SKU",IF(AND($C929="Adjustment",$G929=""),"Missing: reason",IF(AND($G929&lt;&gt;"",COUNTIF(Config!$B$15:$B$34,$G929)=0),"Unsupported reason",IF(OR(INT($E929)&lt;&gt;$E929,AND(OR($C929="Receipt",$C929="Shipment"),$E929&lt;=0),AND($C929="Adjustment",$E929=0)),"Invalid qty",IF($B929&gt;Config!$B$4,"Date after the as-of date",IF($B929&lt;Config!$B$5,"Date before the opening balance date","OK")))))))))))))))))</f>
        <v/>
      </c>
    </row>
    <row r="930">
      <c r="A930" s="46" t="n"/>
      <c r="B930" s="54" t="n"/>
      <c r="C930" s="46" t="n"/>
      <c r="D930" s="46" t="n"/>
      <c r="E930" s="55" t="n"/>
      <c r="F930" s="46" t="n"/>
      <c r="G930" s="46" t="n"/>
      <c r="H930" s="46" t="n"/>
      <c r="I930" s="46" t="n"/>
      <c r="J930" s="46" t="n"/>
      <c r="K930" s="46" t="n"/>
      <c r="L930" s="46" t="n"/>
      <c r="M930" s="51" t="str">
        <f>IF(NOT(ISNUMBER($E930)),"",IF($C930="Receipt",$E930,IF($C930="Shipment",-$E930,IF($C930="Adjustment",$E930,0))))</f>
        <v/>
      </c>
      <c r="N930" s="49" t="str">
        <f>IF($D930="","",IFERROR(INDEX(Products!$B$2:$B$101,MATCH($D930,Products!$A$2:$A$101,0))&amp;"","(not found)"))</f>
        <v/>
      </c>
      <c r="O930" s="49" t="str">
        <f>IF($F930="","",IFERROR(INDEX(Batches!$B$2:$B$301,MATCH($F930,Batches!$A$2:$A$301,0))&amp;"","(not found)"))</f>
        <v/>
      </c>
      <c r="P930" s="49" t="str">
        <f>IF(COUNTA($A930:$L930)=0,"",IF($A930="","Missing: entry ID",IF(COUNTIF($A$2:$A$2001,$A930)&gt;1,"Duplicate entry ID",IF(NOT(ISNUMBER($B930)),"Missing or invalid: date",IF($C930="","Missing: type",IF($D930="","Missing: SKU",IF(NOT(ISNUMBER($E930)),"Missing: qty",IF($F930="","Missing: lot",IF($I930="","Missing: source link",IF(COUNTIF(Config!$A$15:$A$34,$C930)=0,"Unsupported type",IF(COUNTIF(Products!$A$2:$A$101,$D930)=0,"Unknown SKU",IF(COUNTIFS(Batches!$A$2:$A$301,$F930,Batches!$B$2:$B$301,$D930)=0,"Unknown lot for this SKU",IF(AND($C930="Adjustment",$G930=""),"Missing: reason",IF(AND($G930&lt;&gt;"",COUNTIF(Config!$B$15:$B$34,$G930)=0),"Unsupported reason",IF(OR(INT($E930)&lt;&gt;$E930,AND(OR($C930="Receipt",$C930="Shipment"),$E930&lt;=0),AND($C930="Adjustment",$E930=0)),"Invalid qty",IF($B930&gt;Config!$B$4,"Date after the as-of date",IF($B930&lt;Config!$B$5,"Date before the opening balance date","OK")))))))))))))))))</f>
        <v/>
      </c>
    </row>
    <row r="931">
      <c r="A931" s="46" t="n"/>
      <c r="B931" s="54" t="n"/>
      <c r="C931" s="46" t="n"/>
      <c r="D931" s="46" t="n"/>
      <c r="E931" s="55" t="n"/>
      <c r="F931" s="46" t="n"/>
      <c r="G931" s="46" t="n"/>
      <c r="H931" s="46" t="n"/>
      <c r="I931" s="46" t="n"/>
      <c r="J931" s="46" t="n"/>
      <c r="K931" s="46" t="n"/>
      <c r="L931" s="46" t="n"/>
      <c r="M931" s="51" t="str">
        <f>IF(NOT(ISNUMBER($E931)),"",IF($C931="Receipt",$E931,IF($C931="Shipment",-$E931,IF($C931="Adjustment",$E931,0))))</f>
        <v/>
      </c>
      <c r="N931" s="49" t="str">
        <f>IF($D931="","",IFERROR(INDEX(Products!$B$2:$B$101,MATCH($D931,Products!$A$2:$A$101,0))&amp;"","(not found)"))</f>
        <v/>
      </c>
      <c r="O931" s="49" t="str">
        <f>IF($F931="","",IFERROR(INDEX(Batches!$B$2:$B$301,MATCH($F931,Batches!$A$2:$A$301,0))&amp;"","(not found)"))</f>
        <v/>
      </c>
      <c r="P931" s="49" t="str">
        <f>IF(COUNTA($A931:$L931)=0,"",IF($A931="","Missing: entry ID",IF(COUNTIF($A$2:$A$2001,$A931)&gt;1,"Duplicate entry ID",IF(NOT(ISNUMBER($B931)),"Missing or invalid: date",IF($C931="","Missing: type",IF($D931="","Missing: SKU",IF(NOT(ISNUMBER($E931)),"Missing: qty",IF($F931="","Missing: lot",IF($I931="","Missing: source link",IF(COUNTIF(Config!$A$15:$A$34,$C931)=0,"Unsupported type",IF(COUNTIF(Products!$A$2:$A$101,$D931)=0,"Unknown SKU",IF(COUNTIFS(Batches!$A$2:$A$301,$F931,Batches!$B$2:$B$301,$D931)=0,"Unknown lot for this SKU",IF(AND($C931="Adjustment",$G931=""),"Missing: reason",IF(AND($G931&lt;&gt;"",COUNTIF(Config!$B$15:$B$34,$G931)=0),"Unsupported reason",IF(OR(INT($E931)&lt;&gt;$E931,AND(OR($C931="Receipt",$C931="Shipment"),$E931&lt;=0),AND($C931="Adjustment",$E931=0)),"Invalid qty",IF($B931&gt;Config!$B$4,"Date after the as-of date",IF($B931&lt;Config!$B$5,"Date before the opening balance date","OK")))))))))))))))))</f>
        <v/>
      </c>
    </row>
    <row r="932">
      <c r="A932" s="46" t="n"/>
      <c r="B932" s="54" t="n"/>
      <c r="C932" s="46" t="n"/>
      <c r="D932" s="46" t="n"/>
      <c r="E932" s="55" t="n"/>
      <c r="F932" s="46" t="n"/>
      <c r="G932" s="46" t="n"/>
      <c r="H932" s="46" t="n"/>
      <c r="I932" s="46" t="n"/>
      <c r="J932" s="46" t="n"/>
      <c r="K932" s="46" t="n"/>
      <c r="L932" s="46" t="n"/>
      <c r="M932" s="51" t="str">
        <f>IF(NOT(ISNUMBER($E932)),"",IF($C932="Receipt",$E932,IF($C932="Shipment",-$E932,IF($C932="Adjustment",$E932,0))))</f>
        <v/>
      </c>
      <c r="N932" s="49" t="str">
        <f>IF($D932="","",IFERROR(INDEX(Products!$B$2:$B$101,MATCH($D932,Products!$A$2:$A$101,0))&amp;"","(not found)"))</f>
        <v/>
      </c>
      <c r="O932" s="49" t="str">
        <f>IF($F932="","",IFERROR(INDEX(Batches!$B$2:$B$301,MATCH($F932,Batches!$A$2:$A$301,0))&amp;"","(not found)"))</f>
        <v/>
      </c>
      <c r="P932" s="49" t="str">
        <f>IF(COUNTA($A932:$L932)=0,"",IF($A932="","Missing: entry ID",IF(COUNTIF($A$2:$A$2001,$A932)&gt;1,"Duplicate entry ID",IF(NOT(ISNUMBER($B932)),"Missing or invalid: date",IF($C932="","Missing: type",IF($D932="","Missing: SKU",IF(NOT(ISNUMBER($E932)),"Missing: qty",IF($F932="","Missing: lot",IF($I932="","Missing: source link",IF(COUNTIF(Config!$A$15:$A$34,$C932)=0,"Unsupported type",IF(COUNTIF(Products!$A$2:$A$101,$D932)=0,"Unknown SKU",IF(COUNTIFS(Batches!$A$2:$A$301,$F932,Batches!$B$2:$B$301,$D932)=0,"Unknown lot for this SKU",IF(AND($C932="Adjustment",$G932=""),"Missing: reason",IF(AND($G932&lt;&gt;"",COUNTIF(Config!$B$15:$B$34,$G932)=0),"Unsupported reason",IF(OR(INT($E932)&lt;&gt;$E932,AND(OR($C932="Receipt",$C932="Shipment"),$E932&lt;=0),AND($C932="Adjustment",$E932=0)),"Invalid qty",IF($B932&gt;Config!$B$4,"Date after the as-of date",IF($B932&lt;Config!$B$5,"Date before the opening balance date","OK")))))))))))))))))</f>
        <v/>
      </c>
    </row>
    <row r="933">
      <c r="A933" s="46" t="n"/>
      <c r="B933" s="54" t="n"/>
      <c r="C933" s="46" t="n"/>
      <c r="D933" s="46" t="n"/>
      <c r="E933" s="55" t="n"/>
      <c r="F933" s="46" t="n"/>
      <c r="G933" s="46" t="n"/>
      <c r="H933" s="46" t="n"/>
      <c r="I933" s="46" t="n"/>
      <c r="J933" s="46" t="n"/>
      <c r="K933" s="46" t="n"/>
      <c r="L933" s="46" t="n"/>
      <c r="M933" s="51" t="str">
        <f>IF(NOT(ISNUMBER($E933)),"",IF($C933="Receipt",$E933,IF($C933="Shipment",-$E933,IF($C933="Adjustment",$E933,0))))</f>
        <v/>
      </c>
      <c r="N933" s="49" t="str">
        <f>IF($D933="","",IFERROR(INDEX(Products!$B$2:$B$101,MATCH($D933,Products!$A$2:$A$101,0))&amp;"","(not found)"))</f>
        <v/>
      </c>
      <c r="O933" s="49" t="str">
        <f>IF($F933="","",IFERROR(INDEX(Batches!$B$2:$B$301,MATCH($F933,Batches!$A$2:$A$301,0))&amp;"","(not found)"))</f>
        <v/>
      </c>
      <c r="P933" s="49" t="str">
        <f>IF(COUNTA($A933:$L933)=0,"",IF($A933="","Missing: entry ID",IF(COUNTIF($A$2:$A$2001,$A933)&gt;1,"Duplicate entry ID",IF(NOT(ISNUMBER($B933)),"Missing or invalid: date",IF($C933="","Missing: type",IF($D933="","Missing: SKU",IF(NOT(ISNUMBER($E933)),"Missing: qty",IF($F933="","Missing: lot",IF($I933="","Missing: source link",IF(COUNTIF(Config!$A$15:$A$34,$C933)=0,"Unsupported type",IF(COUNTIF(Products!$A$2:$A$101,$D933)=0,"Unknown SKU",IF(COUNTIFS(Batches!$A$2:$A$301,$F933,Batches!$B$2:$B$301,$D933)=0,"Unknown lot for this SKU",IF(AND($C933="Adjustment",$G933=""),"Missing: reason",IF(AND($G933&lt;&gt;"",COUNTIF(Config!$B$15:$B$34,$G933)=0),"Unsupported reason",IF(OR(INT($E933)&lt;&gt;$E933,AND(OR($C933="Receipt",$C933="Shipment"),$E933&lt;=0),AND($C933="Adjustment",$E933=0)),"Invalid qty",IF($B933&gt;Config!$B$4,"Date after the as-of date",IF($B933&lt;Config!$B$5,"Date before the opening balance date","OK")))))))))))))))))</f>
        <v/>
      </c>
    </row>
    <row r="934">
      <c r="A934" s="46" t="n"/>
      <c r="B934" s="54" t="n"/>
      <c r="C934" s="46" t="n"/>
      <c r="D934" s="46" t="n"/>
      <c r="E934" s="55" t="n"/>
      <c r="F934" s="46" t="n"/>
      <c r="G934" s="46" t="n"/>
      <c r="H934" s="46" t="n"/>
      <c r="I934" s="46" t="n"/>
      <c r="J934" s="46" t="n"/>
      <c r="K934" s="46" t="n"/>
      <c r="L934" s="46" t="n"/>
      <c r="M934" s="51" t="str">
        <f>IF(NOT(ISNUMBER($E934)),"",IF($C934="Receipt",$E934,IF($C934="Shipment",-$E934,IF($C934="Adjustment",$E934,0))))</f>
        <v/>
      </c>
      <c r="N934" s="49" t="str">
        <f>IF($D934="","",IFERROR(INDEX(Products!$B$2:$B$101,MATCH($D934,Products!$A$2:$A$101,0))&amp;"","(not found)"))</f>
        <v/>
      </c>
      <c r="O934" s="49" t="str">
        <f>IF($F934="","",IFERROR(INDEX(Batches!$B$2:$B$301,MATCH($F934,Batches!$A$2:$A$301,0))&amp;"","(not found)"))</f>
        <v/>
      </c>
      <c r="P934" s="49" t="str">
        <f>IF(COUNTA($A934:$L934)=0,"",IF($A934="","Missing: entry ID",IF(COUNTIF($A$2:$A$2001,$A934)&gt;1,"Duplicate entry ID",IF(NOT(ISNUMBER($B934)),"Missing or invalid: date",IF($C934="","Missing: type",IF($D934="","Missing: SKU",IF(NOT(ISNUMBER($E934)),"Missing: qty",IF($F934="","Missing: lot",IF($I934="","Missing: source link",IF(COUNTIF(Config!$A$15:$A$34,$C934)=0,"Unsupported type",IF(COUNTIF(Products!$A$2:$A$101,$D934)=0,"Unknown SKU",IF(COUNTIFS(Batches!$A$2:$A$301,$F934,Batches!$B$2:$B$301,$D934)=0,"Unknown lot for this SKU",IF(AND($C934="Adjustment",$G934=""),"Missing: reason",IF(AND($G934&lt;&gt;"",COUNTIF(Config!$B$15:$B$34,$G934)=0),"Unsupported reason",IF(OR(INT($E934)&lt;&gt;$E934,AND(OR($C934="Receipt",$C934="Shipment"),$E934&lt;=0),AND($C934="Adjustment",$E934=0)),"Invalid qty",IF($B934&gt;Config!$B$4,"Date after the as-of date",IF($B934&lt;Config!$B$5,"Date before the opening balance date","OK")))))))))))))))))</f>
        <v/>
      </c>
    </row>
    <row r="935">
      <c r="A935" s="46" t="n"/>
      <c r="B935" s="54" t="n"/>
      <c r="C935" s="46" t="n"/>
      <c r="D935" s="46" t="n"/>
      <c r="E935" s="55" t="n"/>
      <c r="F935" s="46" t="n"/>
      <c r="G935" s="46" t="n"/>
      <c r="H935" s="46" t="n"/>
      <c r="I935" s="46" t="n"/>
      <c r="J935" s="46" t="n"/>
      <c r="K935" s="46" t="n"/>
      <c r="L935" s="46" t="n"/>
      <c r="M935" s="51" t="str">
        <f>IF(NOT(ISNUMBER($E935)),"",IF($C935="Receipt",$E935,IF($C935="Shipment",-$E935,IF($C935="Adjustment",$E935,0))))</f>
        <v/>
      </c>
      <c r="N935" s="49" t="str">
        <f>IF($D935="","",IFERROR(INDEX(Products!$B$2:$B$101,MATCH($D935,Products!$A$2:$A$101,0))&amp;"","(not found)"))</f>
        <v/>
      </c>
      <c r="O935" s="49" t="str">
        <f>IF($F935="","",IFERROR(INDEX(Batches!$B$2:$B$301,MATCH($F935,Batches!$A$2:$A$301,0))&amp;"","(not found)"))</f>
        <v/>
      </c>
      <c r="P935" s="49" t="str">
        <f>IF(COUNTA($A935:$L935)=0,"",IF($A935="","Missing: entry ID",IF(COUNTIF($A$2:$A$2001,$A935)&gt;1,"Duplicate entry ID",IF(NOT(ISNUMBER($B935)),"Missing or invalid: date",IF($C935="","Missing: type",IF($D935="","Missing: SKU",IF(NOT(ISNUMBER($E935)),"Missing: qty",IF($F935="","Missing: lot",IF($I935="","Missing: source link",IF(COUNTIF(Config!$A$15:$A$34,$C935)=0,"Unsupported type",IF(COUNTIF(Products!$A$2:$A$101,$D935)=0,"Unknown SKU",IF(COUNTIFS(Batches!$A$2:$A$301,$F935,Batches!$B$2:$B$301,$D935)=0,"Unknown lot for this SKU",IF(AND($C935="Adjustment",$G935=""),"Missing: reason",IF(AND($G935&lt;&gt;"",COUNTIF(Config!$B$15:$B$34,$G935)=0),"Unsupported reason",IF(OR(INT($E935)&lt;&gt;$E935,AND(OR($C935="Receipt",$C935="Shipment"),$E935&lt;=0),AND($C935="Adjustment",$E935=0)),"Invalid qty",IF($B935&gt;Config!$B$4,"Date after the as-of date",IF($B935&lt;Config!$B$5,"Date before the opening balance date","OK")))))))))))))))))</f>
        <v/>
      </c>
    </row>
    <row r="936">
      <c r="A936" s="46" t="n"/>
      <c r="B936" s="54" t="n"/>
      <c r="C936" s="46" t="n"/>
      <c r="D936" s="46" t="n"/>
      <c r="E936" s="55" t="n"/>
      <c r="F936" s="46" t="n"/>
      <c r="G936" s="46" t="n"/>
      <c r="H936" s="46" t="n"/>
      <c r="I936" s="46" t="n"/>
      <c r="J936" s="46" t="n"/>
      <c r="K936" s="46" t="n"/>
      <c r="L936" s="46" t="n"/>
      <c r="M936" s="51" t="str">
        <f>IF(NOT(ISNUMBER($E936)),"",IF($C936="Receipt",$E936,IF($C936="Shipment",-$E936,IF($C936="Adjustment",$E936,0))))</f>
        <v/>
      </c>
      <c r="N936" s="49" t="str">
        <f>IF($D936="","",IFERROR(INDEX(Products!$B$2:$B$101,MATCH($D936,Products!$A$2:$A$101,0))&amp;"","(not found)"))</f>
        <v/>
      </c>
      <c r="O936" s="49" t="str">
        <f>IF($F936="","",IFERROR(INDEX(Batches!$B$2:$B$301,MATCH($F936,Batches!$A$2:$A$301,0))&amp;"","(not found)"))</f>
        <v/>
      </c>
      <c r="P936" s="49" t="str">
        <f>IF(COUNTA($A936:$L936)=0,"",IF($A936="","Missing: entry ID",IF(COUNTIF($A$2:$A$2001,$A936)&gt;1,"Duplicate entry ID",IF(NOT(ISNUMBER($B936)),"Missing or invalid: date",IF($C936="","Missing: type",IF($D936="","Missing: SKU",IF(NOT(ISNUMBER($E936)),"Missing: qty",IF($F936="","Missing: lot",IF($I936="","Missing: source link",IF(COUNTIF(Config!$A$15:$A$34,$C936)=0,"Unsupported type",IF(COUNTIF(Products!$A$2:$A$101,$D936)=0,"Unknown SKU",IF(COUNTIFS(Batches!$A$2:$A$301,$F936,Batches!$B$2:$B$301,$D936)=0,"Unknown lot for this SKU",IF(AND($C936="Adjustment",$G936=""),"Missing: reason",IF(AND($G936&lt;&gt;"",COUNTIF(Config!$B$15:$B$34,$G936)=0),"Unsupported reason",IF(OR(INT($E936)&lt;&gt;$E936,AND(OR($C936="Receipt",$C936="Shipment"),$E936&lt;=0),AND($C936="Adjustment",$E936=0)),"Invalid qty",IF($B936&gt;Config!$B$4,"Date after the as-of date",IF($B936&lt;Config!$B$5,"Date before the opening balance date","OK")))))))))))))))))</f>
        <v/>
      </c>
    </row>
    <row r="937">
      <c r="A937" s="46" t="n"/>
      <c r="B937" s="54" t="n"/>
      <c r="C937" s="46" t="n"/>
      <c r="D937" s="46" t="n"/>
      <c r="E937" s="55" t="n"/>
      <c r="F937" s="46" t="n"/>
      <c r="G937" s="46" t="n"/>
      <c r="H937" s="46" t="n"/>
      <c r="I937" s="46" t="n"/>
      <c r="J937" s="46" t="n"/>
      <c r="K937" s="46" t="n"/>
      <c r="L937" s="46" t="n"/>
      <c r="M937" s="51" t="str">
        <f>IF(NOT(ISNUMBER($E937)),"",IF($C937="Receipt",$E937,IF($C937="Shipment",-$E937,IF($C937="Adjustment",$E937,0))))</f>
        <v/>
      </c>
      <c r="N937" s="49" t="str">
        <f>IF($D937="","",IFERROR(INDEX(Products!$B$2:$B$101,MATCH($D937,Products!$A$2:$A$101,0))&amp;"","(not found)"))</f>
        <v/>
      </c>
      <c r="O937" s="49" t="str">
        <f>IF($F937="","",IFERROR(INDEX(Batches!$B$2:$B$301,MATCH($F937,Batches!$A$2:$A$301,0))&amp;"","(not found)"))</f>
        <v/>
      </c>
      <c r="P937" s="49" t="str">
        <f>IF(COUNTA($A937:$L937)=0,"",IF($A937="","Missing: entry ID",IF(COUNTIF($A$2:$A$2001,$A937)&gt;1,"Duplicate entry ID",IF(NOT(ISNUMBER($B937)),"Missing or invalid: date",IF($C937="","Missing: type",IF($D937="","Missing: SKU",IF(NOT(ISNUMBER($E937)),"Missing: qty",IF($F937="","Missing: lot",IF($I937="","Missing: source link",IF(COUNTIF(Config!$A$15:$A$34,$C937)=0,"Unsupported type",IF(COUNTIF(Products!$A$2:$A$101,$D937)=0,"Unknown SKU",IF(COUNTIFS(Batches!$A$2:$A$301,$F937,Batches!$B$2:$B$301,$D937)=0,"Unknown lot for this SKU",IF(AND($C937="Adjustment",$G937=""),"Missing: reason",IF(AND($G937&lt;&gt;"",COUNTIF(Config!$B$15:$B$34,$G937)=0),"Unsupported reason",IF(OR(INT($E937)&lt;&gt;$E937,AND(OR($C937="Receipt",$C937="Shipment"),$E937&lt;=0),AND($C937="Adjustment",$E937=0)),"Invalid qty",IF($B937&gt;Config!$B$4,"Date after the as-of date",IF($B937&lt;Config!$B$5,"Date before the opening balance date","OK")))))))))))))))))</f>
        <v/>
      </c>
    </row>
    <row r="938">
      <c r="A938" s="46" t="n"/>
      <c r="B938" s="54" t="n"/>
      <c r="C938" s="46" t="n"/>
      <c r="D938" s="46" t="n"/>
      <c r="E938" s="55" t="n"/>
      <c r="F938" s="46" t="n"/>
      <c r="G938" s="46" t="n"/>
      <c r="H938" s="46" t="n"/>
      <c r="I938" s="46" t="n"/>
      <c r="J938" s="46" t="n"/>
      <c r="K938" s="46" t="n"/>
      <c r="L938" s="46" t="n"/>
      <c r="M938" s="51" t="str">
        <f>IF(NOT(ISNUMBER($E938)),"",IF($C938="Receipt",$E938,IF($C938="Shipment",-$E938,IF($C938="Adjustment",$E938,0))))</f>
        <v/>
      </c>
      <c r="N938" s="49" t="str">
        <f>IF($D938="","",IFERROR(INDEX(Products!$B$2:$B$101,MATCH($D938,Products!$A$2:$A$101,0))&amp;"","(not found)"))</f>
        <v/>
      </c>
      <c r="O938" s="49" t="str">
        <f>IF($F938="","",IFERROR(INDEX(Batches!$B$2:$B$301,MATCH($F938,Batches!$A$2:$A$301,0))&amp;"","(not found)"))</f>
        <v/>
      </c>
      <c r="P938" s="49" t="str">
        <f>IF(COUNTA($A938:$L938)=0,"",IF($A938="","Missing: entry ID",IF(COUNTIF($A$2:$A$2001,$A938)&gt;1,"Duplicate entry ID",IF(NOT(ISNUMBER($B938)),"Missing or invalid: date",IF($C938="","Missing: type",IF($D938="","Missing: SKU",IF(NOT(ISNUMBER($E938)),"Missing: qty",IF($F938="","Missing: lot",IF($I938="","Missing: source link",IF(COUNTIF(Config!$A$15:$A$34,$C938)=0,"Unsupported type",IF(COUNTIF(Products!$A$2:$A$101,$D938)=0,"Unknown SKU",IF(COUNTIFS(Batches!$A$2:$A$301,$F938,Batches!$B$2:$B$301,$D938)=0,"Unknown lot for this SKU",IF(AND($C938="Adjustment",$G938=""),"Missing: reason",IF(AND($G938&lt;&gt;"",COUNTIF(Config!$B$15:$B$34,$G938)=0),"Unsupported reason",IF(OR(INT($E938)&lt;&gt;$E938,AND(OR($C938="Receipt",$C938="Shipment"),$E938&lt;=0),AND($C938="Adjustment",$E938=0)),"Invalid qty",IF($B938&gt;Config!$B$4,"Date after the as-of date",IF($B938&lt;Config!$B$5,"Date before the opening balance date","OK")))))))))))))))))</f>
        <v/>
      </c>
    </row>
    <row r="939">
      <c r="A939" s="46" t="n"/>
      <c r="B939" s="54" t="n"/>
      <c r="C939" s="46" t="n"/>
      <c r="D939" s="46" t="n"/>
      <c r="E939" s="55" t="n"/>
      <c r="F939" s="46" t="n"/>
      <c r="G939" s="46" t="n"/>
      <c r="H939" s="46" t="n"/>
      <c r="I939" s="46" t="n"/>
      <c r="J939" s="46" t="n"/>
      <c r="K939" s="46" t="n"/>
      <c r="L939" s="46" t="n"/>
      <c r="M939" s="51" t="str">
        <f>IF(NOT(ISNUMBER($E939)),"",IF($C939="Receipt",$E939,IF($C939="Shipment",-$E939,IF($C939="Adjustment",$E939,0))))</f>
        <v/>
      </c>
      <c r="N939" s="49" t="str">
        <f>IF($D939="","",IFERROR(INDEX(Products!$B$2:$B$101,MATCH($D939,Products!$A$2:$A$101,0))&amp;"","(not found)"))</f>
        <v/>
      </c>
      <c r="O939" s="49" t="str">
        <f>IF($F939="","",IFERROR(INDEX(Batches!$B$2:$B$301,MATCH($F939,Batches!$A$2:$A$301,0))&amp;"","(not found)"))</f>
        <v/>
      </c>
      <c r="P939" s="49" t="str">
        <f>IF(COUNTA($A939:$L939)=0,"",IF($A939="","Missing: entry ID",IF(COUNTIF($A$2:$A$2001,$A939)&gt;1,"Duplicate entry ID",IF(NOT(ISNUMBER($B939)),"Missing or invalid: date",IF($C939="","Missing: type",IF($D939="","Missing: SKU",IF(NOT(ISNUMBER($E939)),"Missing: qty",IF($F939="","Missing: lot",IF($I939="","Missing: source link",IF(COUNTIF(Config!$A$15:$A$34,$C939)=0,"Unsupported type",IF(COUNTIF(Products!$A$2:$A$101,$D939)=0,"Unknown SKU",IF(COUNTIFS(Batches!$A$2:$A$301,$F939,Batches!$B$2:$B$301,$D939)=0,"Unknown lot for this SKU",IF(AND($C939="Adjustment",$G939=""),"Missing: reason",IF(AND($G939&lt;&gt;"",COUNTIF(Config!$B$15:$B$34,$G939)=0),"Unsupported reason",IF(OR(INT($E939)&lt;&gt;$E939,AND(OR($C939="Receipt",$C939="Shipment"),$E939&lt;=0),AND($C939="Adjustment",$E939=0)),"Invalid qty",IF($B939&gt;Config!$B$4,"Date after the as-of date",IF($B939&lt;Config!$B$5,"Date before the opening balance date","OK")))))))))))))))))</f>
        <v/>
      </c>
    </row>
    <row r="940">
      <c r="A940" s="46" t="n"/>
      <c r="B940" s="54" t="n"/>
      <c r="C940" s="46" t="n"/>
      <c r="D940" s="46" t="n"/>
      <c r="E940" s="55" t="n"/>
      <c r="F940" s="46" t="n"/>
      <c r="G940" s="46" t="n"/>
      <c r="H940" s="46" t="n"/>
      <c r="I940" s="46" t="n"/>
      <c r="J940" s="46" t="n"/>
      <c r="K940" s="46" t="n"/>
      <c r="L940" s="46" t="n"/>
      <c r="M940" s="51" t="str">
        <f>IF(NOT(ISNUMBER($E940)),"",IF($C940="Receipt",$E940,IF($C940="Shipment",-$E940,IF($C940="Adjustment",$E940,0))))</f>
        <v/>
      </c>
      <c r="N940" s="49" t="str">
        <f>IF($D940="","",IFERROR(INDEX(Products!$B$2:$B$101,MATCH($D940,Products!$A$2:$A$101,0))&amp;"","(not found)"))</f>
        <v/>
      </c>
      <c r="O940" s="49" t="str">
        <f>IF($F940="","",IFERROR(INDEX(Batches!$B$2:$B$301,MATCH($F940,Batches!$A$2:$A$301,0))&amp;"","(not found)"))</f>
        <v/>
      </c>
      <c r="P940" s="49" t="str">
        <f>IF(COUNTA($A940:$L940)=0,"",IF($A940="","Missing: entry ID",IF(COUNTIF($A$2:$A$2001,$A940)&gt;1,"Duplicate entry ID",IF(NOT(ISNUMBER($B940)),"Missing or invalid: date",IF($C940="","Missing: type",IF($D940="","Missing: SKU",IF(NOT(ISNUMBER($E940)),"Missing: qty",IF($F940="","Missing: lot",IF($I940="","Missing: source link",IF(COUNTIF(Config!$A$15:$A$34,$C940)=0,"Unsupported type",IF(COUNTIF(Products!$A$2:$A$101,$D940)=0,"Unknown SKU",IF(COUNTIFS(Batches!$A$2:$A$301,$F940,Batches!$B$2:$B$301,$D940)=0,"Unknown lot for this SKU",IF(AND($C940="Adjustment",$G940=""),"Missing: reason",IF(AND($G940&lt;&gt;"",COUNTIF(Config!$B$15:$B$34,$G940)=0),"Unsupported reason",IF(OR(INT($E940)&lt;&gt;$E940,AND(OR($C940="Receipt",$C940="Shipment"),$E940&lt;=0),AND($C940="Adjustment",$E940=0)),"Invalid qty",IF($B940&gt;Config!$B$4,"Date after the as-of date",IF($B940&lt;Config!$B$5,"Date before the opening balance date","OK")))))))))))))))))</f>
        <v/>
      </c>
    </row>
    <row r="941">
      <c r="A941" s="46" t="n"/>
      <c r="B941" s="54" t="n"/>
      <c r="C941" s="46" t="n"/>
      <c r="D941" s="46" t="n"/>
      <c r="E941" s="55" t="n"/>
      <c r="F941" s="46" t="n"/>
      <c r="G941" s="46" t="n"/>
      <c r="H941" s="46" t="n"/>
      <c r="I941" s="46" t="n"/>
      <c r="J941" s="46" t="n"/>
      <c r="K941" s="46" t="n"/>
      <c r="L941" s="46" t="n"/>
      <c r="M941" s="51" t="str">
        <f>IF(NOT(ISNUMBER($E941)),"",IF($C941="Receipt",$E941,IF($C941="Shipment",-$E941,IF($C941="Adjustment",$E941,0))))</f>
        <v/>
      </c>
      <c r="N941" s="49" t="str">
        <f>IF($D941="","",IFERROR(INDEX(Products!$B$2:$B$101,MATCH($D941,Products!$A$2:$A$101,0))&amp;"","(not found)"))</f>
        <v/>
      </c>
      <c r="O941" s="49" t="str">
        <f>IF($F941="","",IFERROR(INDEX(Batches!$B$2:$B$301,MATCH($F941,Batches!$A$2:$A$301,0))&amp;"","(not found)"))</f>
        <v/>
      </c>
      <c r="P941" s="49" t="str">
        <f>IF(COUNTA($A941:$L941)=0,"",IF($A941="","Missing: entry ID",IF(COUNTIF($A$2:$A$2001,$A941)&gt;1,"Duplicate entry ID",IF(NOT(ISNUMBER($B941)),"Missing or invalid: date",IF($C941="","Missing: type",IF($D941="","Missing: SKU",IF(NOT(ISNUMBER($E941)),"Missing: qty",IF($F941="","Missing: lot",IF($I941="","Missing: source link",IF(COUNTIF(Config!$A$15:$A$34,$C941)=0,"Unsupported type",IF(COUNTIF(Products!$A$2:$A$101,$D941)=0,"Unknown SKU",IF(COUNTIFS(Batches!$A$2:$A$301,$F941,Batches!$B$2:$B$301,$D941)=0,"Unknown lot for this SKU",IF(AND($C941="Adjustment",$G941=""),"Missing: reason",IF(AND($G941&lt;&gt;"",COUNTIF(Config!$B$15:$B$34,$G941)=0),"Unsupported reason",IF(OR(INT($E941)&lt;&gt;$E941,AND(OR($C941="Receipt",$C941="Shipment"),$E941&lt;=0),AND($C941="Adjustment",$E941=0)),"Invalid qty",IF($B941&gt;Config!$B$4,"Date after the as-of date",IF($B941&lt;Config!$B$5,"Date before the opening balance date","OK")))))))))))))))))</f>
        <v/>
      </c>
    </row>
    <row r="942">
      <c r="A942" s="46" t="n"/>
      <c r="B942" s="54" t="n"/>
      <c r="C942" s="46" t="n"/>
      <c r="D942" s="46" t="n"/>
      <c r="E942" s="55" t="n"/>
      <c r="F942" s="46" t="n"/>
      <c r="G942" s="46" t="n"/>
      <c r="H942" s="46" t="n"/>
      <c r="I942" s="46" t="n"/>
      <c r="J942" s="46" t="n"/>
      <c r="K942" s="46" t="n"/>
      <c r="L942" s="46" t="n"/>
      <c r="M942" s="51" t="str">
        <f>IF(NOT(ISNUMBER($E942)),"",IF($C942="Receipt",$E942,IF($C942="Shipment",-$E942,IF($C942="Adjustment",$E942,0))))</f>
        <v/>
      </c>
      <c r="N942" s="49" t="str">
        <f>IF($D942="","",IFERROR(INDEX(Products!$B$2:$B$101,MATCH($D942,Products!$A$2:$A$101,0))&amp;"","(not found)"))</f>
        <v/>
      </c>
      <c r="O942" s="49" t="str">
        <f>IF($F942="","",IFERROR(INDEX(Batches!$B$2:$B$301,MATCH($F942,Batches!$A$2:$A$301,0))&amp;"","(not found)"))</f>
        <v/>
      </c>
      <c r="P942" s="49" t="str">
        <f>IF(COUNTA($A942:$L942)=0,"",IF($A942="","Missing: entry ID",IF(COUNTIF($A$2:$A$2001,$A942)&gt;1,"Duplicate entry ID",IF(NOT(ISNUMBER($B942)),"Missing or invalid: date",IF($C942="","Missing: type",IF($D942="","Missing: SKU",IF(NOT(ISNUMBER($E942)),"Missing: qty",IF($F942="","Missing: lot",IF($I942="","Missing: source link",IF(COUNTIF(Config!$A$15:$A$34,$C942)=0,"Unsupported type",IF(COUNTIF(Products!$A$2:$A$101,$D942)=0,"Unknown SKU",IF(COUNTIFS(Batches!$A$2:$A$301,$F942,Batches!$B$2:$B$301,$D942)=0,"Unknown lot for this SKU",IF(AND($C942="Adjustment",$G942=""),"Missing: reason",IF(AND($G942&lt;&gt;"",COUNTIF(Config!$B$15:$B$34,$G942)=0),"Unsupported reason",IF(OR(INT($E942)&lt;&gt;$E942,AND(OR($C942="Receipt",$C942="Shipment"),$E942&lt;=0),AND($C942="Adjustment",$E942=0)),"Invalid qty",IF($B942&gt;Config!$B$4,"Date after the as-of date",IF($B942&lt;Config!$B$5,"Date before the opening balance date","OK")))))))))))))))))</f>
        <v/>
      </c>
    </row>
    <row r="943">
      <c r="A943" s="46" t="n"/>
      <c r="B943" s="54" t="n"/>
      <c r="C943" s="46" t="n"/>
      <c r="D943" s="46" t="n"/>
      <c r="E943" s="55" t="n"/>
      <c r="F943" s="46" t="n"/>
      <c r="G943" s="46" t="n"/>
      <c r="H943" s="46" t="n"/>
      <c r="I943" s="46" t="n"/>
      <c r="J943" s="46" t="n"/>
      <c r="K943" s="46" t="n"/>
      <c r="L943" s="46" t="n"/>
      <c r="M943" s="51" t="str">
        <f>IF(NOT(ISNUMBER($E943)),"",IF($C943="Receipt",$E943,IF($C943="Shipment",-$E943,IF($C943="Adjustment",$E943,0))))</f>
        <v/>
      </c>
      <c r="N943" s="49" t="str">
        <f>IF($D943="","",IFERROR(INDEX(Products!$B$2:$B$101,MATCH($D943,Products!$A$2:$A$101,0))&amp;"","(not found)"))</f>
        <v/>
      </c>
      <c r="O943" s="49" t="str">
        <f>IF($F943="","",IFERROR(INDEX(Batches!$B$2:$B$301,MATCH($F943,Batches!$A$2:$A$301,0))&amp;"","(not found)"))</f>
        <v/>
      </c>
      <c r="P943" s="49" t="str">
        <f>IF(COUNTA($A943:$L943)=0,"",IF($A943="","Missing: entry ID",IF(COUNTIF($A$2:$A$2001,$A943)&gt;1,"Duplicate entry ID",IF(NOT(ISNUMBER($B943)),"Missing or invalid: date",IF($C943="","Missing: type",IF($D943="","Missing: SKU",IF(NOT(ISNUMBER($E943)),"Missing: qty",IF($F943="","Missing: lot",IF($I943="","Missing: source link",IF(COUNTIF(Config!$A$15:$A$34,$C943)=0,"Unsupported type",IF(COUNTIF(Products!$A$2:$A$101,$D943)=0,"Unknown SKU",IF(COUNTIFS(Batches!$A$2:$A$301,$F943,Batches!$B$2:$B$301,$D943)=0,"Unknown lot for this SKU",IF(AND($C943="Adjustment",$G943=""),"Missing: reason",IF(AND($G943&lt;&gt;"",COUNTIF(Config!$B$15:$B$34,$G943)=0),"Unsupported reason",IF(OR(INT($E943)&lt;&gt;$E943,AND(OR($C943="Receipt",$C943="Shipment"),$E943&lt;=0),AND($C943="Adjustment",$E943=0)),"Invalid qty",IF($B943&gt;Config!$B$4,"Date after the as-of date",IF($B943&lt;Config!$B$5,"Date before the opening balance date","OK")))))))))))))))))</f>
        <v/>
      </c>
    </row>
    <row r="944">
      <c r="A944" s="46" t="n"/>
      <c r="B944" s="54" t="n"/>
      <c r="C944" s="46" t="n"/>
      <c r="D944" s="46" t="n"/>
      <c r="E944" s="55" t="n"/>
      <c r="F944" s="46" t="n"/>
      <c r="G944" s="46" t="n"/>
      <c r="H944" s="46" t="n"/>
      <c r="I944" s="46" t="n"/>
      <c r="J944" s="46" t="n"/>
      <c r="K944" s="46" t="n"/>
      <c r="L944" s="46" t="n"/>
      <c r="M944" s="51" t="str">
        <f>IF(NOT(ISNUMBER($E944)),"",IF($C944="Receipt",$E944,IF($C944="Shipment",-$E944,IF($C944="Adjustment",$E944,0))))</f>
        <v/>
      </c>
      <c r="N944" s="49" t="str">
        <f>IF($D944="","",IFERROR(INDEX(Products!$B$2:$B$101,MATCH($D944,Products!$A$2:$A$101,0))&amp;"","(not found)"))</f>
        <v/>
      </c>
      <c r="O944" s="49" t="str">
        <f>IF($F944="","",IFERROR(INDEX(Batches!$B$2:$B$301,MATCH($F944,Batches!$A$2:$A$301,0))&amp;"","(not found)"))</f>
        <v/>
      </c>
      <c r="P944" s="49" t="str">
        <f>IF(COUNTA($A944:$L944)=0,"",IF($A944="","Missing: entry ID",IF(COUNTIF($A$2:$A$2001,$A944)&gt;1,"Duplicate entry ID",IF(NOT(ISNUMBER($B944)),"Missing or invalid: date",IF($C944="","Missing: type",IF($D944="","Missing: SKU",IF(NOT(ISNUMBER($E944)),"Missing: qty",IF($F944="","Missing: lot",IF($I944="","Missing: source link",IF(COUNTIF(Config!$A$15:$A$34,$C944)=0,"Unsupported type",IF(COUNTIF(Products!$A$2:$A$101,$D944)=0,"Unknown SKU",IF(COUNTIFS(Batches!$A$2:$A$301,$F944,Batches!$B$2:$B$301,$D944)=0,"Unknown lot for this SKU",IF(AND($C944="Adjustment",$G944=""),"Missing: reason",IF(AND($G944&lt;&gt;"",COUNTIF(Config!$B$15:$B$34,$G944)=0),"Unsupported reason",IF(OR(INT($E944)&lt;&gt;$E944,AND(OR($C944="Receipt",$C944="Shipment"),$E944&lt;=0),AND($C944="Adjustment",$E944=0)),"Invalid qty",IF($B944&gt;Config!$B$4,"Date after the as-of date",IF($B944&lt;Config!$B$5,"Date before the opening balance date","OK")))))))))))))))))</f>
        <v/>
      </c>
    </row>
    <row r="945">
      <c r="A945" s="46" t="n"/>
      <c r="B945" s="54" t="n"/>
      <c r="C945" s="46" t="n"/>
      <c r="D945" s="46" t="n"/>
      <c r="E945" s="55" t="n"/>
      <c r="F945" s="46" t="n"/>
      <c r="G945" s="46" t="n"/>
      <c r="H945" s="46" t="n"/>
      <c r="I945" s="46" t="n"/>
      <c r="J945" s="46" t="n"/>
      <c r="K945" s="46" t="n"/>
      <c r="L945" s="46" t="n"/>
      <c r="M945" s="51" t="str">
        <f>IF(NOT(ISNUMBER($E945)),"",IF($C945="Receipt",$E945,IF($C945="Shipment",-$E945,IF($C945="Adjustment",$E945,0))))</f>
        <v/>
      </c>
      <c r="N945" s="49" t="str">
        <f>IF($D945="","",IFERROR(INDEX(Products!$B$2:$B$101,MATCH($D945,Products!$A$2:$A$101,0))&amp;"","(not found)"))</f>
        <v/>
      </c>
      <c r="O945" s="49" t="str">
        <f>IF($F945="","",IFERROR(INDEX(Batches!$B$2:$B$301,MATCH($F945,Batches!$A$2:$A$301,0))&amp;"","(not found)"))</f>
        <v/>
      </c>
      <c r="P945" s="49" t="str">
        <f>IF(COUNTA($A945:$L945)=0,"",IF($A945="","Missing: entry ID",IF(COUNTIF($A$2:$A$2001,$A945)&gt;1,"Duplicate entry ID",IF(NOT(ISNUMBER($B945)),"Missing or invalid: date",IF($C945="","Missing: type",IF($D945="","Missing: SKU",IF(NOT(ISNUMBER($E945)),"Missing: qty",IF($F945="","Missing: lot",IF($I945="","Missing: source link",IF(COUNTIF(Config!$A$15:$A$34,$C945)=0,"Unsupported type",IF(COUNTIF(Products!$A$2:$A$101,$D945)=0,"Unknown SKU",IF(COUNTIFS(Batches!$A$2:$A$301,$F945,Batches!$B$2:$B$301,$D945)=0,"Unknown lot for this SKU",IF(AND($C945="Adjustment",$G945=""),"Missing: reason",IF(AND($G945&lt;&gt;"",COUNTIF(Config!$B$15:$B$34,$G945)=0),"Unsupported reason",IF(OR(INT($E945)&lt;&gt;$E945,AND(OR($C945="Receipt",$C945="Shipment"),$E945&lt;=0),AND($C945="Adjustment",$E945=0)),"Invalid qty",IF($B945&gt;Config!$B$4,"Date after the as-of date",IF($B945&lt;Config!$B$5,"Date before the opening balance date","OK")))))))))))))))))</f>
        <v/>
      </c>
    </row>
    <row r="946">
      <c r="A946" s="46" t="n"/>
      <c r="B946" s="54" t="n"/>
      <c r="C946" s="46" t="n"/>
      <c r="D946" s="46" t="n"/>
      <c r="E946" s="55" t="n"/>
      <c r="F946" s="46" t="n"/>
      <c r="G946" s="46" t="n"/>
      <c r="H946" s="46" t="n"/>
      <c r="I946" s="46" t="n"/>
      <c r="J946" s="46" t="n"/>
      <c r="K946" s="46" t="n"/>
      <c r="L946" s="46" t="n"/>
      <c r="M946" s="51" t="str">
        <f>IF(NOT(ISNUMBER($E946)),"",IF($C946="Receipt",$E946,IF($C946="Shipment",-$E946,IF($C946="Adjustment",$E946,0))))</f>
        <v/>
      </c>
      <c r="N946" s="49" t="str">
        <f>IF($D946="","",IFERROR(INDEX(Products!$B$2:$B$101,MATCH($D946,Products!$A$2:$A$101,0))&amp;"","(not found)"))</f>
        <v/>
      </c>
      <c r="O946" s="49" t="str">
        <f>IF($F946="","",IFERROR(INDEX(Batches!$B$2:$B$301,MATCH($F946,Batches!$A$2:$A$301,0))&amp;"","(not found)"))</f>
        <v/>
      </c>
      <c r="P946" s="49" t="str">
        <f>IF(COUNTA($A946:$L946)=0,"",IF($A946="","Missing: entry ID",IF(COUNTIF($A$2:$A$2001,$A946)&gt;1,"Duplicate entry ID",IF(NOT(ISNUMBER($B946)),"Missing or invalid: date",IF($C946="","Missing: type",IF($D946="","Missing: SKU",IF(NOT(ISNUMBER($E946)),"Missing: qty",IF($F946="","Missing: lot",IF($I946="","Missing: source link",IF(COUNTIF(Config!$A$15:$A$34,$C946)=0,"Unsupported type",IF(COUNTIF(Products!$A$2:$A$101,$D946)=0,"Unknown SKU",IF(COUNTIFS(Batches!$A$2:$A$301,$F946,Batches!$B$2:$B$301,$D946)=0,"Unknown lot for this SKU",IF(AND($C946="Adjustment",$G946=""),"Missing: reason",IF(AND($G946&lt;&gt;"",COUNTIF(Config!$B$15:$B$34,$G946)=0),"Unsupported reason",IF(OR(INT($E946)&lt;&gt;$E946,AND(OR($C946="Receipt",$C946="Shipment"),$E946&lt;=0),AND($C946="Adjustment",$E946=0)),"Invalid qty",IF($B946&gt;Config!$B$4,"Date after the as-of date",IF($B946&lt;Config!$B$5,"Date before the opening balance date","OK")))))))))))))))))</f>
        <v/>
      </c>
    </row>
    <row r="947">
      <c r="A947" s="46" t="n"/>
      <c r="B947" s="54" t="n"/>
      <c r="C947" s="46" t="n"/>
      <c r="D947" s="46" t="n"/>
      <c r="E947" s="55" t="n"/>
      <c r="F947" s="46" t="n"/>
      <c r="G947" s="46" t="n"/>
      <c r="H947" s="46" t="n"/>
      <c r="I947" s="46" t="n"/>
      <c r="J947" s="46" t="n"/>
      <c r="K947" s="46" t="n"/>
      <c r="L947" s="46" t="n"/>
      <c r="M947" s="51" t="str">
        <f>IF(NOT(ISNUMBER($E947)),"",IF($C947="Receipt",$E947,IF($C947="Shipment",-$E947,IF($C947="Adjustment",$E947,0))))</f>
        <v/>
      </c>
      <c r="N947" s="49" t="str">
        <f>IF($D947="","",IFERROR(INDEX(Products!$B$2:$B$101,MATCH($D947,Products!$A$2:$A$101,0))&amp;"","(not found)"))</f>
        <v/>
      </c>
      <c r="O947" s="49" t="str">
        <f>IF($F947="","",IFERROR(INDEX(Batches!$B$2:$B$301,MATCH($F947,Batches!$A$2:$A$301,0))&amp;"","(not found)"))</f>
        <v/>
      </c>
      <c r="P947" s="49" t="str">
        <f>IF(COUNTA($A947:$L947)=0,"",IF($A947="","Missing: entry ID",IF(COUNTIF($A$2:$A$2001,$A947)&gt;1,"Duplicate entry ID",IF(NOT(ISNUMBER($B947)),"Missing or invalid: date",IF($C947="","Missing: type",IF($D947="","Missing: SKU",IF(NOT(ISNUMBER($E947)),"Missing: qty",IF($F947="","Missing: lot",IF($I947="","Missing: source link",IF(COUNTIF(Config!$A$15:$A$34,$C947)=0,"Unsupported type",IF(COUNTIF(Products!$A$2:$A$101,$D947)=0,"Unknown SKU",IF(COUNTIFS(Batches!$A$2:$A$301,$F947,Batches!$B$2:$B$301,$D947)=0,"Unknown lot for this SKU",IF(AND($C947="Adjustment",$G947=""),"Missing: reason",IF(AND($G947&lt;&gt;"",COUNTIF(Config!$B$15:$B$34,$G947)=0),"Unsupported reason",IF(OR(INT($E947)&lt;&gt;$E947,AND(OR($C947="Receipt",$C947="Shipment"),$E947&lt;=0),AND($C947="Adjustment",$E947=0)),"Invalid qty",IF($B947&gt;Config!$B$4,"Date after the as-of date",IF($B947&lt;Config!$B$5,"Date before the opening balance date","OK")))))))))))))))))</f>
        <v/>
      </c>
    </row>
    <row r="948">
      <c r="A948" s="46" t="n"/>
      <c r="B948" s="54" t="n"/>
      <c r="C948" s="46" t="n"/>
      <c r="D948" s="46" t="n"/>
      <c r="E948" s="55" t="n"/>
      <c r="F948" s="46" t="n"/>
      <c r="G948" s="46" t="n"/>
      <c r="H948" s="46" t="n"/>
      <c r="I948" s="46" t="n"/>
      <c r="J948" s="46" t="n"/>
      <c r="K948" s="46" t="n"/>
      <c r="L948" s="46" t="n"/>
      <c r="M948" s="51" t="str">
        <f>IF(NOT(ISNUMBER($E948)),"",IF($C948="Receipt",$E948,IF($C948="Shipment",-$E948,IF($C948="Adjustment",$E948,0))))</f>
        <v/>
      </c>
      <c r="N948" s="49" t="str">
        <f>IF($D948="","",IFERROR(INDEX(Products!$B$2:$B$101,MATCH($D948,Products!$A$2:$A$101,0))&amp;"","(not found)"))</f>
        <v/>
      </c>
      <c r="O948" s="49" t="str">
        <f>IF($F948="","",IFERROR(INDEX(Batches!$B$2:$B$301,MATCH($F948,Batches!$A$2:$A$301,0))&amp;"","(not found)"))</f>
        <v/>
      </c>
      <c r="P948" s="49" t="str">
        <f>IF(COUNTA($A948:$L948)=0,"",IF($A948="","Missing: entry ID",IF(COUNTIF($A$2:$A$2001,$A948)&gt;1,"Duplicate entry ID",IF(NOT(ISNUMBER($B948)),"Missing or invalid: date",IF($C948="","Missing: type",IF($D948="","Missing: SKU",IF(NOT(ISNUMBER($E948)),"Missing: qty",IF($F948="","Missing: lot",IF($I948="","Missing: source link",IF(COUNTIF(Config!$A$15:$A$34,$C948)=0,"Unsupported type",IF(COUNTIF(Products!$A$2:$A$101,$D948)=0,"Unknown SKU",IF(COUNTIFS(Batches!$A$2:$A$301,$F948,Batches!$B$2:$B$301,$D948)=0,"Unknown lot for this SKU",IF(AND($C948="Adjustment",$G948=""),"Missing: reason",IF(AND($G948&lt;&gt;"",COUNTIF(Config!$B$15:$B$34,$G948)=0),"Unsupported reason",IF(OR(INT($E948)&lt;&gt;$E948,AND(OR($C948="Receipt",$C948="Shipment"),$E948&lt;=0),AND($C948="Adjustment",$E948=0)),"Invalid qty",IF($B948&gt;Config!$B$4,"Date after the as-of date",IF($B948&lt;Config!$B$5,"Date before the opening balance date","OK")))))))))))))))))</f>
        <v/>
      </c>
    </row>
    <row r="949">
      <c r="A949" s="46" t="n"/>
      <c r="B949" s="54" t="n"/>
      <c r="C949" s="46" t="n"/>
      <c r="D949" s="46" t="n"/>
      <c r="E949" s="55" t="n"/>
      <c r="F949" s="46" t="n"/>
      <c r="G949" s="46" t="n"/>
      <c r="H949" s="46" t="n"/>
      <c r="I949" s="46" t="n"/>
      <c r="J949" s="46" t="n"/>
      <c r="K949" s="46" t="n"/>
      <c r="L949" s="46" t="n"/>
      <c r="M949" s="51" t="str">
        <f>IF(NOT(ISNUMBER($E949)),"",IF($C949="Receipt",$E949,IF($C949="Shipment",-$E949,IF($C949="Adjustment",$E949,0))))</f>
        <v/>
      </c>
      <c r="N949" s="49" t="str">
        <f>IF($D949="","",IFERROR(INDEX(Products!$B$2:$B$101,MATCH($D949,Products!$A$2:$A$101,0))&amp;"","(not found)"))</f>
        <v/>
      </c>
      <c r="O949" s="49" t="str">
        <f>IF($F949="","",IFERROR(INDEX(Batches!$B$2:$B$301,MATCH($F949,Batches!$A$2:$A$301,0))&amp;"","(not found)"))</f>
        <v/>
      </c>
      <c r="P949" s="49" t="str">
        <f>IF(COUNTA($A949:$L949)=0,"",IF($A949="","Missing: entry ID",IF(COUNTIF($A$2:$A$2001,$A949)&gt;1,"Duplicate entry ID",IF(NOT(ISNUMBER($B949)),"Missing or invalid: date",IF($C949="","Missing: type",IF($D949="","Missing: SKU",IF(NOT(ISNUMBER($E949)),"Missing: qty",IF($F949="","Missing: lot",IF($I949="","Missing: source link",IF(COUNTIF(Config!$A$15:$A$34,$C949)=0,"Unsupported type",IF(COUNTIF(Products!$A$2:$A$101,$D949)=0,"Unknown SKU",IF(COUNTIFS(Batches!$A$2:$A$301,$F949,Batches!$B$2:$B$301,$D949)=0,"Unknown lot for this SKU",IF(AND($C949="Adjustment",$G949=""),"Missing: reason",IF(AND($G949&lt;&gt;"",COUNTIF(Config!$B$15:$B$34,$G949)=0),"Unsupported reason",IF(OR(INT($E949)&lt;&gt;$E949,AND(OR($C949="Receipt",$C949="Shipment"),$E949&lt;=0),AND($C949="Adjustment",$E949=0)),"Invalid qty",IF($B949&gt;Config!$B$4,"Date after the as-of date",IF($B949&lt;Config!$B$5,"Date before the opening balance date","OK")))))))))))))))))</f>
        <v/>
      </c>
    </row>
    <row r="950">
      <c r="A950" s="46" t="n"/>
      <c r="B950" s="54" t="n"/>
      <c r="C950" s="46" t="n"/>
      <c r="D950" s="46" t="n"/>
      <c r="E950" s="55" t="n"/>
      <c r="F950" s="46" t="n"/>
      <c r="G950" s="46" t="n"/>
      <c r="H950" s="46" t="n"/>
      <c r="I950" s="46" t="n"/>
      <c r="J950" s="46" t="n"/>
      <c r="K950" s="46" t="n"/>
      <c r="L950" s="46" t="n"/>
      <c r="M950" s="51" t="str">
        <f>IF(NOT(ISNUMBER($E950)),"",IF($C950="Receipt",$E950,IF($C950="Shipment",-$E950,IF($C950="Adjustment",$E950,0))))</f>
        <v/>
      </c>
      <c r="N950" s="49" t="str">
        <f>IF($D950="","",IFERROR(INDEX(Products!$B$2:$B$101,MATCH($D950,Products!$A$2:$A$101,0))&amp;"","(not found)"))</f>
        <v/>
      </c>
      <c r="O950" s="49" t="str">
        <f>IF($F950="","",IFERROR(INDEX(Batches!$B$2:$B$301,MATCH($F950,Batches!$A$2:$A$301,0))&amp;"","(not found)"))</f>
        <v/>
      </c>
      <c r="P950" s="49" t="str">
        <f>IF(COUNTA($A950:$L950)=0,"",IF($A950="","Missing: entry ID",IF(COUNTIF($A$2:$A$2001,$A950)&gt;1,"Duplicate entry ID",IF(NOT(ISNUMBER($B950)),"Missing or invalid: date",IF($C950="","Missing: type",IF($D950="","Missing: SKU",IF(NOT(ISNUMBER($E950)),"Missing: qty",IF($F950="","Missing: lot",IF($I950="","Missing: source link",IF(COUNTIF(Config!$A$15:$A$34,$C950)=0,"Unsupported type",IF(COUNTIF(Products!$A$2:$A$101,$D950)=0,"Unknown SKU",IF(COUNTIFS(Batches!$A$2:$A$301,$F950,Batches!$B$2:$B$301,$D950)=0,"Unknown lot for this SKU",IF(AND($C950="Adjustment",$G950=""),"Missing: reason",IF(AND($G950&lt;&gt;"",COUNTIF(Config!$B$15:$B$34,$G950)=0),"Unsupported reason",IF(OR(INT($E950)&lt;&gt;$E950,AND(OR($C950="Receipt",$C950="Shipment"),$E950&lt;=0),AND($C950="Adjustment",$E950=0)),"Invalid qty",IF($B950&gt;Config!$B$4,"Date after the as-of date",IF($B950&lt;Config!$B$5,"Date before the opening balance date","OK")))))))))))))))))</f>
        <v/>
      </c>
    </row>
    <row r="951">
      <c r="A951" s="46" t="n"/>
      <c r="B951" s="54" t="n"/>
      <c r="C951" s="46" t="n"/>
      <c r="D951" s="46" t="n"/>
      <c r="E951" s="55" t="n"/>
      <c r="F951" s="46" t="n"/>
      <c r="G951" s="46" t="n"/>
      <c r="H951" s="46" t="n"/>
      <c r="I951" s="46" t="n"/>
      <c r="J951" s="46" t="n"/>
      <c r="K951" s="46" t="n"/>
      <c r="L951" s="46" t="n"/>
      <c r="M951" s="51" t="str">
        <f>IF(NOT(ISNUMBER($E951)),"",IF($C951="Receipt",$E951,IF($C951="Shipment",-$E951,IF($C951="Adjustment",$E951,0))))</f>
        <v/>
      </c>
      <c r="N951" s="49" t="str">
        <f>IF($D951="","",IFERROR(INDEX(Products!$B$2:$B$101,MATCH($D951,Products!$A$2:$A$101,0))&amp;"","(not found)"))</f>
        <v/>
      </c>
      <c r="O951" s="49" t="str">
        <f>IF($F951="","",IFERROR(INDEX(Batches!$B$2:$B$301,MATCH($F951,Batches!$A$2:$A$301,0))&amp;"","(not found)"))</f>
        <v/>
      </c>
      <c r="P951" s="49" t="str">
        <f>IF(COUNTA($A951:$L951)=0,"",IF($A951="","Missing: entry ID",IF(COUNTIF($A$2:$A$2001,$A951)&gt;1,"Duplicate entry ID",IF(NOT(ISNUMBER($B951)),"Missing or invalid: date",IF($C951="","Missing: type",IF($D951="","Missing: SKU",IF(NOT(ISNUMBER($E951)),"Missing: qty",IF($F951="","Missing: lot",IF($I951="","Missing: source link",IF(COUNTIF(Config!$A$15:$A$34,$C951)=0,"Unsupported type",IF(COUNTIF(Products!$A$2:$A$101,$D951)=0,"Unknown SKU",IF(COUNTIFS(Batches!$A$2:$A$301,$F951,Batches!$B$2:$B$301,$D951)=0,"Unknown lot for this SKU",IF(AND($C951="Adjustment",$G951=""),"Missing: reason",IF(AND($G951&lt;&gt;"",COUNTIF(Config!$B$15:$B$34,$G951)=0),"Unsupported reason",IF(OR(INT($E951)&lt;&gt;$E951,AND(OR($C951="Receipt",$C951="Shipment"),$E951&lt;=0),AND($C951="Adjustment",$E951=0)),"Invalid qty",IF($B951&gt;Config!$B$4,"Date after the as-of date",IF($B951&lt;Config!$B$5,"Date before the opening balance date","OK")))))))))))))))))</f>
        <v/>
      </c>
    </row>
    <row r="952">
      <c r="A952" s="46" t="n"/>
      <c r="B952" s="54" t="n"/>
      <c r="C952" s="46" t="n"/>
      <c r="D952" s="46" t="n"/>
      <c r="E952" s="55" t="n"/>
      <c r="F952" s="46" t="n"/>
      <c r="G952" s="46" t="n"/>
      <c r="H952" s="46" t="n"/>
      <c r="I952" s="46" t="n"/>
      <c r="J952" s="46" t="n"/>
      <c r="K952" s="46" t="n"/>
      <c r="L952" s="46" t="n"/>
      <c r="M952" s="51" t="str">
        <f>IF(NOT(ISNUMBER($E952)),"",IF($C952="Receipt",$E952,IF($C952="Shipment",-$E952,IF($C952="Adjustment",$E952,0))))</f>
        <v/>
      </c>
      <c r="N952" s="49" t="str">
        <f>IF($D952="","",IFERROR(INDEX(Products!$B$2:$B$101,MATCH($D952,Products!$A$2:$A$101,0))&amp;"","(not found)"))</f>
        <v/>
      </c>
      <c r="O952" s="49" t="str">
        <f>IF($F952="","",IFERROR(INDEX(Batches!$B$2:$B$301,MATCH($F952,Batches!$A$2:$A$301,0))&amp;"","(not found)"))</f>
        <v/>
      </c>
      <c r="P952" s="49" t="str">
        <f>IF(COUNTA($A952:$L952)=0,"",IF($A952="","Missing: entry ID",IF(COUNTIF($A$2:$A$2001,$A952)&gt;1,"Duplicate entry ID",IF(NOT(ISNUMBER($B952)),"Missing or invalid: date",IF($C952="","Missing: type",IF($D952="","Missing: SKU",IF(NOT(ISNUMBER($E952)),"Missing: qty",IF($F952="","Missing: lot",IF($I952="","Missing: source link",IF(COUNTIF(Config!$A$15:$A$34,$C952)=0,"Unsupported type",IF(COUNTIF(Products!$A$2:$A$101,$D952)=0,"Unknown SKU",IF(COUNTIFS(Batches!$A$2:$A$301,$F952,Batches!$B$2:$B$301,$D952)=0,"Unknown lot for this SKU",IF(AND($C952="Adjustment",$G952=""),"Missing: reason",IF(AND($G952&lt;&gt;"",COUNTIF(Config!$B$15:$B$34,$G952)=0),"Unsupported reason",IF(OR(INT($E952)&lt;&gt;$E952,AND(OR($C952="Receipt",$C952="Shipment"),$E952&lt;=0),AND($C952="Adjustment",$E952=0)),"Invalid qty",IF($B952&gt;Config!$B$4,"Date after the as-of date",IF($B952&lt;Config!$B$5,"Date before the opening balance date","OK")))))))))))))))))</f>
        <v/>
      </c>
    </row>
    <row r="953">
      <c r="A953" s="46" t="n"/>
      <c r="B953" s="54" t="n"/>
      <c r="C953" s="46" t="n"/>
      <c r="D953" s="46" t="n"/>
      <c r="E953" s="55" t="n"/>
      <c r="F953" s="46" t="n"/>
      <c r="G953" s="46" t="n"/>
      <c r="H953" s="46" t="n"/>
      <c r="I953" s="46" t="n"/>
      <c r="J953" s="46" t="n"/>
      <c r="K953" s="46" t="n"/>
      <c r="L953" s="46" t="n"/>
      <c r="M953" s="51" t="str">
        <f>IF(NOT(ISNUMBER($E953)),"",IF($C953="Receipt",$E953,IF($C953="Shipment",-$E953,IF($C953="Adjustment",$E953,0))))</f>
        <v/>
      </c>
      <c r="N953" s="49" t="str">
        <f>IF($D953="","",IFERROR(INDEX(Products!$B$2:$B$101,MATCH($D953,Products!$A$2:$A$101,0))&amp;"","(not found)"))</f>
        <v/>
      </c>
      <c r="O953" s="49" t="str">
        <f>IF($F953="","",IFERROR(INDEX(Batches!$B$2:$B$301,MATCH($F953,Batches!$A$2:$A$301,0))&amp;"","(not found)"))</f>
        <v/>
      </c>
      <c r="P953" s="49" t="str">
        <f>IF(COUNTA($A953:$L953)=0,"",IF($A953="","Missing: entry ID",IF(COUNTIF($A$2:$A$2001,$A953)&gt;1,"Duplicate entry ID",IF(NOT(ISNUMBER($B953)),"Missing or invalid: date",IF($C953="","Missing: type",IF($D953="","Missing: SKU",IF(NOT(ISNUMBER($E953)),"Missing: qty",IF($F953="","Missing: lot",IF($I953="","Missing: source link",IF(COUNTIF(Config!$A$15:$A$34,$C953)=0,"Unsupported type",IF(COUNTIF(Products!$A$2:$A$101,$D953)=0,"Unknown SKU",IF(COUNTIFS(Batches!$A$2:$A$301,$F953,Batches!$B$2:$B$301,$D953)=0,"Unknown lot for this SKU",IF(AND($C953="Adjustment",$G953=""),"Missing: reason",IF(AND($G953&lt;&gt;"",COUNTIF(Config!$B$15:$B$34,$G953)=0),"Unsupported reason",IF(OR(INT($E953)&lt;&gt;$E953,AND(OR($C953="Receipt",$C953="Shipment"),$E953&lt;=0),AND($C953="Adjustment",$E953=0)),"Invalid qty",IF($B953&gt;Config!$B$4,"Date after the as-of date",IF($B953&lt;Config!$B$5,"Date before the opening balance date","OK")))))))))))))))))</f>
        <v/>
      </c>
    </row>
    <row r="954">
      <c r="A954" s="46" t="n"/>
      <c r="B954" s="54" t="n"/>
      <c r="C954" s="46" t="n"/>
      <c r="D954" s="46" t="n"/>
      <c r="E954" s="55" t="n"/>
      <c r="F954" s="46" t="n"/>
      <c r="G954" s="46" t="n"/>
      <c r="H954" s="46" t="n"/>
      <c r="I954" s="46" t="n"/>
      <c r="J954" s="46" t="n"/>
      <c r="K954" s="46" t="n"/>
      <c r="L954" s="46" t="n"/>
      <c r="M954" s="51" t="str">
        <f>IF(NOT(ISNUMBER($E954)),"",IF($C954="Receipt",$E954,IF($C954="Shipment",-$E954,IF($C954="Adjustment",$E954,0))))</f>
        <v/>
      </c>
      <c r="N954" s="49" t="str">
        <f>IF($D954="","",IFERROR(INDEX(Products!$B$2:$B$101,MATCH($D954,Products!$A$2:$A$101,0))&amp;"","(not found)"))</f>
        <v/>
      </c>
      <c r="O954" s="49" t="str">
        <f>IF($F954="","",IFERROR(INDEX(Batches!$B$2:$B$301,MATCH($F954,Batches!$A$2:$A$301,0))&amp;"","(not found)"))</f>
        <v/>
      </c>
      <c r="P954" s="49" t="str">
        <f>IF(COUNTA($A954:$L954)=0,"",IF($A954="","Missing: entry ID",IF(COUNTIF($A$2:$A$2001,$A954)&gt;1,"Duplicate entry ID",IF(NOT(ISNUMBER($B954)),"Missing or invalid: date",IF($C954="","Missing: type",IF($D954="","Missing: SKU",IF(NOT(ISNUMBER($E954)),"Missing: qty",IF($F954="","Missing: lot",IF($I954="","Missing: source link",IF(COUNTIF(Config!$A$15:$A$34,$C954)=0,"Unsupported type",IF(COUNTIF(Products!$A$2:$A$101,$D954)=0,"Unknown SKU",IF(COUNTIFS(Batches!$A$2:$A$301,$F954,Batches!$B$2:$B$301,$D954)=0,"Unknown lot for this SKU",IF(AND($C954="Adjustment",$G954=""),"Missing: reason",IF(AND($G954&lt;&gt;"",COUNTIF(Config!$B$15:$B$34,$G954)=0),"Unsupported reason",IF(OR(INT($E954)&lt;&gt;$E954,AND(OR($C954="Receipt",$C954="Shipment"),$E954&lt;=0),AND($C954="Adjustment",$E954=0)),"Invalid qty",IF($B954&gt;Config!$B$4,"Date after the as-of date",IF($B954&lt;Config!$B$5,"Date before the opening balance date","OK")))))))))))))))))</f>
        <v/>
      </c>
    </row>
    <row r="955">
      <c r="A955" s="46" t="n"/>
      <c r="B955" s="54" t="n"/>
      <c r="C955" s="46" t="n"/>
      <c r="D955" s="46" t="n"/>
      <c r="E955" s="55" t="n"/>
      <c r="F955" s="46" t="n"/>
      <c r="G955" s="46" t="n"/>
      <c r="H955" s="46" t="n"/>
      <c r="I955" s="46" t="n"/>
      <c r="J955" s="46" t="n"/>
      <c r="K955" s="46" t="n"/>
      <c r="L955" s="46" t="n"/>
      <c r="M955" s="51" t="str">
        <f>IF(NOT(ISNUMBER($E955)),"",IF($C955="Receipt",$E955,IF($C955="Shipment",-$E955,IF($C955="Adjustment",$E955,0))))</f>
        <v/>
      </c>
      <c r="N955" s="49" t="str">
        <f>IF($D955="","",IFERROR(INDEX(Products!$B$2:$B$101,MATCH($D955,Products!$A$2:$A$101,0))&amp;"","(not found)"))</f>
        <v/>
      </c>
      <c r="O955" s="49" t="str">
        <f>IF($F955="","",IFERROR(INDEX(Batches!$B$2:$B$301,MATCH($F955,Batches!$A$2:$A$301,0))&amp;"","(not found)"))</f>
        <v/>
      </c>
      <c r="P955" s="49" t="str">
        <f>IF(COUNTA($A955:$L955)=0,"",IF($A955="","Missing: entry ID",IF(COUNTIF($A$2:$A$2001,$A955)&gt;1,"Duplicate entry ID",IF(NOT(ISNUMBER($B955)),"Missing or invalid: date",IF($C955="","Missing: type",IF($D955="","Missing: SKU",IF(NOT(ISNUMBER($E955)),"Missing: qty",IF($F955="","Missing: lot",IF($I955="","Missing: source link",IF(COUNTIF(Config!$A$15:$A$34,$C955)=0,"Unsupported type",IF(COUNTIF(Products!$A$2:$A$101,$D955)=0,"Unknown SKU",IF(COUNTIFS(Batches!$A$2:$A$301,$F955,Batches!$B$2:$B$301,$D955)=0,"Unknown lot for this SKU",IF(AND($C955="Adjustment",$G955=""),"Missing: reason",IF(AND($G955&lt;&gt;"",COUNTIF(Config!$B$15:$B$34,$G955)=0),"Unsupported reason",IF(OR(INT($E955)&lt;&gt;$E955,AND(OR($C955="Receipt",$C955="Shipment"),$E955&lt;=0),AND($C955="Adjustment",$E955=0)),"Invalid qty",IF($B955&gt;Config!$B$4,"Date after the as-of date",IF($B955&lt;Config!$B$5,"Date before the opening balance date","OK")))))))))))))))))</f>
        <v/>
      </c>
    </row>
    <row r="956">
      <c r="A956" s="46" t="n"/>
      <c r="B956" s="54" t="n"/>
      <c r="C956" s="46" t="n"/>
      <c r="D956" s="46" t="n"/>
      <c r="E956" s="55" t="n"/>
      <c r="F956" s="46" t="n"/>
      <c r="G956" s="46" t="n"/>
      <c r="H956" s="46" t="n"/>
      <c r="I956" s="46" t="n"/>
      <c r="J956" s="46" t="n"/>
      <c r="K956" s="46" t="n"/>
      <c r="L956" s="46" t="n"/>
      <c r="M956" s="51" t="str">
        <f>IF(NOT(ISNUMBER($E956)),"",IF($C956="Receipt",$E956,IF($C956="Shipment",-$E956,IF($C956="Adjustment",$E956,0))))</f>
        <v/>
      </c>
      <c r="N956" s="49" t="str">
        <f>IF($D956="","",IFERROR(INDEX(Products!$B$2:$B$101,MATCH($D956,Products!$A$2:$A$101,0))&amp;"","(not found)"))</f>
        <v/>
      </c>
      <c r="O956" s="49" t="str">
        <f>IF($F956="","",IFERROR(INDEX(Batches!$B$2:$B$301,MATCH($F956,Batches!$A$2:$A$301,0))&amp;"","(not found)"))</f>
        <v/>
      </c>
      <c r="P956" s="49" t="str">
        <f>IF(COUNTA($A956:$L956)=0,"",IF($A956="","Missing: entry ID",IF(COUNTIF($A$2:$A$2001,$A956)&gt;1,"Duplicate entry ID",IF(NOT(ISNUMBER($B956)),"Missing or invalid: date",IF($C956="","Missing: type",IF($D956="","Missing: SKU",IF(NOT(ISNUMBER($E956)),"Missing: qty",IF($F956="","Missing: lot",IF($I956="","Missing: source link",IF(COUNTIF(Config!$A$15:$A$34,$C956)=0,"Unsupported type",IF(COUNTIF(Products!$A$2:$A$101,$D956)=0,"Unknown SKU",IF(COUNTIFS(Batches!$A$2:$A$301,$F956,Batches!$B$2:$B$301,$D956)=0,"Unknown lot for this SKU",IF(AND($C956="Adjustment",$G956=""),"Missing: reason",IF(AND($G956&lt;&gt;"",COUNTIF(Config!$B$15:$B$34,$G956)=0),"Unsupported reason",IF(OR(INT($E956)&lt;&gt;$E956,AND(OR($C956="Receipt",$C956="Shipment"),$E956&lt;=0),AND($C956="Adjustment",$E956=0)),"Invalid qty",IF($B956&gt;Config!$B$4,"Date after the as-of date",IF($B956&lt;Config!$B$5,"Date before the opening balance date","OK")))))))))))))))))</f>
        <v/>
      </c>
    </row>
    <row r="957">
      <c r="A957" s="46" t="n"/>
      <c r="B957" s="54" t="n"/>
      <c r="C957" s="46" t="n"/>
      <c r="D957" s="46" t="n"/>
      <c r="E957" s="55" t="n"/>
      <c r="F957" s="46" t="n"/>
      <c r="G957" s="46" t="n"/>
      <c r="H957" s="46" t="n"/>
      <c r="I957" s="46" t="n"/>
      <c r="J957" s="46" t="n"/>
      <c r="K957" s="46" t="n"/>
      <c r="L957" s="46" t="n"/>
      <c r="M957" s="51" t="str">
        <f>IF(NOT(ISNUMBER($E957)),"",IF($C957="Receipt",$E957,IF($C957="Shipment",-$E957,IF($C957="Adjustment",$E957,0))))</f>
        <v/>
      </c>
      <c r="N957" s="49" t="str">
        <f>IF($D957="","",IFERROR(INDEX(Products!$B$2:$B$101,MATCH($D957,Products!$A$2:$A$101,0))&amp;"","(not found)"))</f>
        <v/>
      </c>
      <c r="O957" s="49" t="str">
        <f>IF($F957="","",IFERROR(INDEX(Batches!$B$2:$B$301,MATCH($F957,Batches!$A$2:$A$301,0))&amp;"","(not found)"))</f>
        <v/>
      </c>
      <c r="P957" s="49" t="str">
        <f>IF(COUNTA($A957:$L957)=0,"",IF($A957="","Missing: entry ID",IF(COUNTIF($A$2:$A$2001,$A957)&gt;1,"Duplicate entry ID",IF(NOT(ISNUMBER($B957)),"Missing or invalid: date",IF($C957="","Missing: type",IF($D957="","Missing: SKU",IF(NOT(ISNUMBER($E957)),"Missing: qty",IF($F957="","Missing: lot",IF($I957="","Missing: source link",IF(COUNTIF(Config!$A$15:$A$34,$C957)=0,"Unsupported type",IF(COUNTIF(Products!$A$2:$A$101,$D957)=0,"Unknown SKU",IF(COUNTIFS(Batches!$A$2:$A$301,$F957,Batches!$B$2:$B$301,$D957)=0,"Unknown lot for this SKU",IF(AND($C957="Adjustment",$G957=""),"Missing: reason",IF(AND($G957&lt;&gt;"",COUNTIF(Config!$B$15:$B$34,$G957)=0),"Unsupported reason",IF(OR(INT($E957)&lt;&gt;$E957,AND(OR($C957="Receipt",$C957="Shipment"),$E957&lt;=0),AND($C957="Adjustment",$E957=0)),"Invalid qty",IF($B957&gt;Config!$B$4,"Date after the as-of date",IF($B957&lt;Config!$B$5,"Date before the opening balance date","OK")))))))))))))))))</f>
        <v/>
      </c>
    </row>
    <row r="958">
      <c r="A958" s="46" t="n"/>
      <c r="B958" s="54" t="n"/>
      <c r="C958" s="46" t="n"/>
      <c r="D958" s="46" t="n"/>
      <c r="E958" s="55" t="n"/>
      <c r="F958" s="46" t="n"/>
      <c r="G958" s="46" t="n"/>
      <c r="H958" s="46" t="n"/>
      <c r="I958" s="46" t="n"/>
      <c r="J958" s="46" t="n"/>
      <c r="K958" s="46" t="n"/>
      <c r="L958" s="46" t="n"/>
      <c r="M958" s="51" t="str">
        <f>IF(NOT(ISNUMBER($E958)),"",IF($C958="Receipt",$E958,IF($C958="Shipment",-$E958,IF($C958="Adjustment",$E958,0))))</f>
        <v/>
      </c>
      <c r="N958" s="49" t="str">
        <f>IF($D958="","",IFERROR(INDEX(Products!$B$2:$B$101,MATCH($D958,Products!$A$2:$A$101,0))&amp;"","(not found)"))</f>
        <v/>
      </c>
      <c r="O958" s="49" t="str">
        <f>IF($F958="","",IFERROR(INDEX(Batches!$B$2:$B$301,MATCH($F958,Batches!$A$2:$A$301,0))&amp;"","(not found)"))</f>
        <v/>
      </c>
      <c r="P958" s="49" t="str">
        <f>IF(COUNTA($A958:$L958)=0,"",IF($A958="","Missing: entry ID",IF(COUNTIF($A$2:$A$2001,$A958)&gt;1,"Duplicate entry ID",IF(NOT(ISNUMBER($B958)),"Missing or invalid: date",IF($C958="","Missing: type",IF($D958="","Missing: SKU",IF(NOT(ISNUMBER($E958)),"Missing: qty",IF($F958="","Missing: lot",IF($I958="","Missing: source link",IF(COUNTIF(Config!$A$15:$A$34,$C958)=0,"Unsupported type",IF(COUNTIF(Products!$A$2:$A$101,$D958)=0,"Unknown SKU",IF(COUNTIFS(Batches!$A$2:$A$301,$F958,Batches!$B$2:$B$301,$D958)=0,"Unknown lot for this SKU",IF(AND($C958="Adjustment",$G958=""),"Missing: reason",IF(AND($G958&lt;&gt;"",COUNTIF(Config!$B$15:$B$34,$G958)=0),"Unsupported reason",IF(OR(INT($E958)&lt;&gt;$E958,AND(OR($C958="Receipt",$C958="Shipment"),$E958&lt;=0),AND($C958="Adjustment",$E958=0)),"Invalid qty",IF($B958&gt;Config!$B$4,"Date after the as-of date",IF($B958&lt;Config!$B$5,"Date before the opening balance date","OK")))))))))))))))))</f>
        <v/>
      </c>
    </row>
    <row r="959">
      <c r="A959" s="46" t="n"/>
      <c r="B959" s="54" t="n"/>
      <c r="C959" s="46" t="n"/>
      <c r="D959" s="46" t="n"/>
      <c r="E959" s="55" t="n"/>
      <c r="F959" s="46" t="n"/>
      <c r="G959" s="46" t="n"/>
      <c r="H959" s="46" t="n"/>
      <c r="I959" s="46" t="n"/>
      <c r="J959" s="46" t="n"/>
      <c r="K959" s="46" t="n"/>
      <c r="L959" s="46" t="n"/>
      <c r="M959" s="51" t="str">
        <f>IF(NOT(ISNUMBER($E959)),"",IF($C959="Receipt",$E959,IF($C959="Shipment",-$E959,IF($C959="Adjustment",$E959,0))))</f>
        <v/>
      </c>
      <c r="N959" s="49" t="str">
        <f>IF($D959="","",IFERROR(INDEX(Products!$B$2:$B$101,MATCH($D959,Products!$A$2:$A$101,0))&amp;"","(not found)"))</f>
        <v/>
      </c>
      <c r="O959" s="49" t="str">
        <f>IF($F959="","",IFERROR(INDEX(Batches!$B$2:$B$301,MATCH($F959,Batches!$A$2:$A$301,0))&amp;"","(not found)"))</f>
        <v/>
      </c>
      <c r="P959" s="49" t="str">
        <f>IF(COUNTA($A959:$L959)=0,"",IF($A959="","Missing: entry ID",IF(COUNTIF($A$2:$A$2001,$A959)&gt;1,"Duplicate entry ID",IF(NOT(ISNUMBER($B959)),"Missing or invalid: date",IF($C959="","Missing: type",IF($D959="","Missing: SKU",IF(NOT(ISNUMBER($E959)),"Missing: qty",IF($F959="","Missing: lot",IF($I959="","Missing: source link",IF(COUNTIF(Config!$A$15:$A$34,$C959)=0,"Unsupported type",IF(COUNTIF(Products!$A$2:$A$101,$D959)=0,"Unknown SKU",IF(COUNTIFS(Batches!$A$2:$A$301,$F959,Batches!$B$2:$B$301,$D959)=0,"Unknown lot for this SKU",IF(AND($C959="Adjustment",$G959=""),"Missing: reason",IF(AND($G959&lt;&gt;"",COUNTIF(Config!$B$15:$B$34,$G959)=0),"Unsupported reason",IF(OR(INT($E959)&lt;&gt;$E959,AND(OR($C959="Receipt",$C959="Shipment"),$E959&lt;=0),AND($C959="Adjustment",$E959=0)),"Invalid qty",IF($B959&gt;Config!$B$4,"Date after the as-of date",IF($B959&lt;Config!$B$5,"Date before the opening balance date","OK")))))))))))))))))</f>
        <v/>
      </c>
    </row>
    <row r="960">
      <c r="A960" s="46" t="n"/>
      <c r="B960" s="54" t="n"/>
      <c r="C960" s="46" t="n"/>
      <c r="D960" s="46" t="n"/>
      <c r="E960" s="55" t="n"/>
      <c r="F960" s="46" t="n"/>
      <c r="G960" s="46" t="n"/>
      <c r="H960" s="46" t="n"/>
      <c r="I960" s="46" t="n"/>
      <c r="J960" s="46" t="n"/>
      <c r="K960" s="46" t="n"/>
      <c r="L960" s="46" t="n"/>
      <c r="M960" s="51" t="str">
        <f>IF(NOT(ISNUMBER($E960)),"",IF($C960="Receipt",$E960,IF($C960="Shipment",-$E960,IF($C960="Adjustment",$E960,0))))</f>
        <v/>
      </c>
      <c r="N960" s="49" t="str">
        <f>IF($D960="","",IFERROR(INDEX(Products!$B$2:$B$101,MATCH($D960,Products!$A$2:$A$101,0))&amp;"","(not found)"))</f>
        <v/>
      </c>
      <c r="O960" s="49" t="str">
        <f>IF($F960="","",IFERROR(INDEX(Batches!$B$2:$B$301,MATCH($F960,Batches!$A$2:$A$301,0))&amp;"","(not found)"))</f>
        <v/>
      </c>
      <c r="P960" s="49" t="str">
        <f>IF(COUNTA($A960:$L960)=0,"",IF($A960="","Missing: entry ID",IF(COUNTIF($A$2:$A$2001,$A960)&gt;1,"Duplicate entry ID",IF(NOT(ISNUMBER($B960)),"Missing or invalid: date",IF($C960="","Missing: type",IF($D960="","Missing: SKU",IF(NOT(ISNUMBER($E960)),"Missing: qty",IF($F960="","Missing: lot",IF($I960="","Missing: source link",IF(COUNTIF(Config!$A$15:$A$34,$C960)=0,"Unsupported type",IF(COUNTIF(Products!$A$2:$A$101,$D960)=0,"Unknown SKU",IF(COUNTIFS(Batches!$A$2:$A$301,$F960,Batches!$B$2:$B$301,$D960)=0,"Unknown lot for this SKU",IF(AND($C960="Adjustment",$G960=""),"Missing: reason",IF(AND($G960&lt;&gt;"",COUNTIF(Config!$B$15:$B$34,$G960)=0),"Unsupported reason",IF(OR(INT($E960)&lt;&gt;$E960,AND(OR($C960="Receipt",$C960="Shipment"),$E960&lt;=0),AND($C960="Adjustment",$E960=0)),"Invalid qty",IF($B960&gt;Config!$B$4,"Date after the as-of date",IF($B960&lt;Config!$B$5,"Date before the opening balance date","OK")))))))))))))))))</f>
        <v/>
      </c>
    </row>
    <row r="961">
      <c r="A961" s="46" t="n"/>
      <c r="B961" s="54" t="n"/>
      <c r="C961" s="46" t="n"/>
      <c r="D961" s="46" t="n"/>
      <c r="E961" s="55" t="n"/>
      <c r="F961" s="46" t="n"/>
      <c r="G961" s="46" t="n"/>
      <c r="H961" s="46" t="n"/>
      <c r="I961" s="46" t="n"/>
      <c r="J961" s="46" t="n"/>
      <c r="K961" s="46" t="n"/>
      <c r="L961" s="46" t="n"/>
      <c r="M961" s="51" t="str">
        <f>IF(NOT(ISNUMBER($E961)),"",IF($C961="Receipt",$E961,IF($C961="Shipment",-$E961,IF($C961="Adjustment",$E961,0))))</f>
        <v/>
      </c>
      <c r="N961" s="49" t="str">
        <f>IF($D961="","",IFERROR(INDEX(Products!$B$2:$B$101,MATCH($D961,Products!$A$2:$A$101,0))&amp;"","(not found)"))</f>
        <v/>
      </c>
      <c r="O961" s="49" t="str">
        <f>IF($F961="","",IFERROR(INDEX(Batches!$B$2:$B$301,MATCH($F961,Batches!$A$2:$A$301,0))&amp;"","(not found)"))</f>
        <v/>
      </c>
      <c r="P961" s="49" t="str">
        <f>IF(COUNTA($A961:$L961)=0,"",IF($A961="","Missing: entry ID",IF(COUNTIF($A$2:$A$2001,$A961)&gt;1,"Duplicate entry ID",IF(NOT(ISNUMBER($B961)),"Missing or invalid: date",IF($C961="","Missing: type",IF($D961="","Missing: SKU",IF(NOT(ISNUMBER($E961)),"Missing: qty",IF($F961="","Missing: lot",IF($I961="","Missing: source link",IF(COUNTIF(Config!$A$15:$A$34,$C961)=0,"Unsupported type",IF(COUNTIF(Products!$A$2:$A$101,$D961)=0,"Unknown SKU",IF(COUNTIFS(Batches!$A$2:$A$301,$F961,Batches!$B$2:$B$301,$D961)=0,"Unknown lot for this SKU",IF(AND($C961="Adjustment",$G961=""),"Missing: reason",IF(AND($G961&lt;&gt;"",COUNTIF(Config!$B$15:$B$34,$G961)=0),"Unsupported reason",IF(OR(INT($E961)&lt;&gt;$E961,AND(OR($C961="Receipt",$C961="Shipment"),$E961&lt;=0),AND($C961="Adjustment",$E961=0)),"Invalid qty",IF($B961&gt;Config!$B$4,"Date after the as-of date",IF($B961&lt;Config!$B$5,"Date before the opening balance date","OK")))))))))))))))))</f>
        <v/>
      </c>
    </row>
    <row r="962">
      <c r="A962" s="46" t="n"/>
      <c r="B962" s="54" t="n"/>
      <c r="C962" s="46" t="n"/>
      <c r="D962" s="46" t="n"/>
      <c r="E962" s="55" t="n"/>
      <c r="F962" s="46" t="n"/>
      <c r="G962" s="46" t="n"/>
      <c r="H962" s="46" t="n"/>
      <c r="I962" s="46" t="n"/>
      <c r="J962" s="46" t="n"/>
      <c r="K962" s="46" t="n"/>
      <c r="L962" s="46" t="n"/>
      <c r="M962" s="51" t="str">
        <f>IF(NOT(ISNUMBER($E962)),"",IF($C962="Receipt",$E962,IF($C962="Shipment",-$E962,IF($C962="Adjustment",$E962,0))))</f>
        <v/>
      </c>
      <c r="N962" s="49" t="str">
        <f>IF($D962="","",IFERROR(INDEX(Products!$B$2:$B$101,MATCH($D962,Products!$A$2:$A$101,0))&amp;"","(not found)"))</f>
        <v/>
      </c>
      <c r="O962" s="49" t="str">
        <f>IF($F962="","",IFERROR(INDEX(Batches!$B$2:$B$301,MATCH($F962,Batches!$A$2:$A$301,0))&amp;"","(not found)"))</f>
        <v/>
      </c>
      <c r="P962" s="49" t="str">
        <f>IF(COUNTA($A962:$L962)=0,"",IF($A962="","Missing: entry ID",IF(COUNTIF($A$2:$A$2001,$A962)&gt;1,"Duplicate entry ID",IF(NOT(ISNUMBER($B962)),"Missing or invalid: date",IF($C962="","Missing: type",IF($D962="","Missing: SKU",IF(NOT(ISNUMBER($E962)),"Missing: qty",IF($F962="","Missing: lot",IF($I962="","Missing: source link",IF(COUNTIF(Config!$A$15:$A$34,$C962)=0,"Unsupported type",IF(COUNTIF(Products!$A$2:$A$101,$D962)=0,"Unknown SKU",IF(COUNTIFS(Batches!$A$2:$A$301,$F962,Batches!$B$2:$B$301,$D962)=0,"Unknown lot for this SKU",IF(AND($C962="Adjustment",$G962=""),"Missing: reason",IF(AND($G962&lt;&gt;"",COUNTIF(Config!$B$15:$B$34,$G962)=0),"Unsupported reason",IF(OR(INT($E962)&lt;&gt;$E962,AND(OR($C962="Receipt",$C962="Shipment"),$E962&lt;=0),AND($C962="Adjustment",$E962=0)),"Invalid qty",IF($B962&gt;Config!$B$4,"Date after the as-of date",IF($B962&lt;Config!$B$5,"Date before the opening balance date","OK")))))))))))))))))</f>
        <v/>
      </c>
    </row>
    <row r="963">
      <c r="A963" s="46" t="n"/>
      <c r="B963" s="54" t="n"/>
      <c r="C963" s="46" t="n"/>
      <c r="D963" s="46" t="n"/>
      <c r="E963" s="55" t="n"/>
      <c r="F963" s="46" t="n"/>
      <c r="G963" s="46" t="n"/>
      <c r="H963" s="46" t="n"/>
      <c r="I963" s="46" t="n"/>
      <c r="J963" s="46" t="n"/>
      <c r="K963" s="46" t="n"/>
      <c r="L963" s="46" t="n"/>
      <c r="M963" s="51" t="str">
        <f>IF(NOT(ISNUMBER($E963)),"",IF($C963="Receipt",$E963,IF($C963="Shipment",-$E963,IF($C963="Adjustment",$E963,0))))</f>
        <v/>
      </c>
      <c r="N963" s="49" t="str">
        <f>IF($D963="","",IFERROR(INDEX(Products!$B$2:$B$101,MATCH($D963,Products!$A$2:$A$101,0))&amp;"","(not found)"))</f>
        <v/>
      </c>
      <c r="O963" s="49" t="str">
        <f>IF($F963="","",IFERROR(INDEX(Batches!$B$2:$B$301,MATCH($F963,Batches!$A$2:$A$301,0))&amp;"","(not found)"))</f>
        <v/>
      </c>
      <c r="P963" s="49" t="str">
        <f>IF(COUNTA($A963:$L963)=0,"",IF($A963="","Missing: entry ID",IF(COUNTIF($A$2:$A$2001,$A963)&gt;1,"Duplicate entry ID",IF(NOT(ISNUMBER($B963)),"Missing or invalid: date",IF($C963="","Missing: type",IF($D963="","Missing: SKU",IF(NOT(ISNUMBER($E963)),"Missing: qty",IF($F963="","Missing: lot",IF($I963="","Missing: source link",IF(COUNTIF(Config!$A$15:$A$34,$C963)=0,"Unsupported type",IF(COUNTIF(Products!$A$2:$A$101,$D963)=0,"Unknown SKU",IF(COUNTIFS(Batches!$A$2:$A$301,$F963,Batches!$B$2:$B$301,$D963)=0,"Unknown lot for this SKU",IF(AND($C963="Adjustment",$G963=""),"Missing: reason",IF(AND($G963&lt;&gt;"",COUNTIF(Config!$B$15:$B$34,$G963)=0),"Unsupported reason",IF(OR(INT($E963)&lt;&gt;$E963,AND(OR($C963="Receipt",$C963="Shipment"),$E963&lt;=0),AND($C963="Adjustment",$E963=0)),"Invalid qty",IF($B963&gt;Config!$B$4,"Date after the as-of date",IF($B963&lt;Config!$B$5,"Date before the opening balance date","OK")))))))))))))))))</f>
        <v/>
      </c>
    </row>
    <row r="964">
      <c r="A964" s="46" t="n"/>
      <c r="B964" s="54" t="n"/>
      <c r="C964" s="46" t="n"/>
      <c r="D964" s="46" t="n"/>
      <c r="E964" s="55" t="n"/>
      <c r="F964" s="46" t="n"/>
      <c r="G964" s="46" t="n"/>
      <c r="H964" s="46" t="n"/>
      <c r="I964" s="46" t="n"/>
      <c r="J964" s="46" t="n"/>
      <c r="K964" s="46" t="n"/>
      <c r="L964" s="46" t="n"/>
      <c r="M964" s="51" t="str">
        <f>IF(NOT(ISNUMBER($E964)),"",IF($C964="Receipt",$E964,IF($C964="Shipment",-$E964,IF($C964="Adjustment",$E964,0))))</f>
        <v/>
      </c>
      <c r="N964" s="49" t="str">
        <f>IF($D964="","",IFERROR(INDEX(Products!$B$2:$B$101,MATCH($D964,Products!$A$2:$A$101,0))&amp;"","(not found)"))</f>
        <v/>
      </c>
      <c r="O964" s="49" t="str">
        <f>IF($F964="","",IFERROR(INDEX(Batches!$B$2:$B$301,MATCH($F964,Batches!$A$2:$A$301,0))&amp;"","(not found)"))</f>
        <v/>
      </c>
      <c r="P964" s="49" t="str">
        <f>IF(COUNTA($A964:$L964)=0,"",IF($A964="","Missing: entry ID",IF(COUNTIF($A$2:$A$2001,$A964)&gt;1,"Duplicate entry ID",IF(NOT(ISNUMBER($B964)),"Missing or invalid: date",IF($C964="","Missing: type",IF($D964="","Missing: SKU",IF(NOT(ISNUMBER($E964)),"Missing: qty",IF($F964="","Missing: lot",IF($I964="","Missing: source link",IF(COUNTIF(Config!$A$15:$A$34,$C964)=0,"Unsupported type",IF(COUNTIF(Products!$A$2:$A$101,$D964)=0,"Unknown SKU",IF(COUNTIFS(Batches!$A$2:$A$301,$F964,Batches!$B$2:$B$301,$D964)=0,"Unknown lot for this SKU",IF(AND($C964="Adjustment",$G964=""),"Missing: reason",IF(AND($G964&lt;&gt;"",COUNTIF(Config!$B$15:$B$34,$G964)=0),"Unsupported reason",IF(OR(INT($E964)&lt;&gt;$E964,AND(OR($C964="Receipt",$C964="Shipment"),$E964&lt;=0),AND($C964="Adjustment",$E964=0)),"Invalid qty",IF($B964&gt;Config!$B$4,"Date after the as-of date",IF($B964&lt;Config!$B$5,"Date before the opening balance date","OK")))))))))))))))))</f>
        <v/>
      </c>
    </row>
    <row r="965">
      <c r="A965" s="46" t="n"/>
      <c r="B965" s="54" t="n"/>
      <c r="C965" s="46" t="n"/>
      <c r="D965" s="46" t="n"/>
      <c r="E965" s="55" t="n"/>
      <c r="F965" s="46" t="n"/>
      <c r="G965" s="46" t="n"/>
      <c r="H965" s="46" t="n"/>
      <c r="I965" s="46" t="n"/>
      <c r="J965" s="46" t="n"/>
      <c r="K965" s="46" t="n"/>
      <c r="L965" s="46" t="n"/>
      <c r="M965" s="51" t="str">
        <f>IF(NOT(ISNUMBER($E965)),"",IF($C965="Receipt",$E965,IF($C965="Shipment",-$E965,IF($C965="Adjustment",$E965,0))))</f>
        <v/>
      </c>
      <c r="N965" s="49" t="str">
        <f>IF($D965="","",IFERROR(INDEX(Products!$B$2:$B$101,MATCH($D965,Products!$A$2:$A$101,0))&amp;"","(not found)"))</f>
        <v/>
      </c>
      <c r="O965" s="49" t="str">
        <f>IF($F965="","",IFERROR(INDEX(Batches!$B$2:$B$301,MATCH($F965,Batches!$A$2:$A$301,0))&amp;"","(not found)"))</f>
        <v/>
      </c>
      <c r="P965" s="49" t="str">
        <f>IF(COUNTA($A965:$L965)=0,"",IF($A965="","Missing: entry ID",IF(COUNTIF($A$2:$A$2001,$A965)&gt;1,"Duplicate entry ID",IF(NOT(ISNUMBER($B965)),"Missing or invalid: date",IF($C965="","Missing: type",IF($D965="","Missing: SKU",IF(NOT(ISNUMBER($E965)),"Missing: qty",IF($F965="","Missing: lot",IF($I965="","Missing: source link",IF(COUNTIF(Config!$A$15:$A$34,$C965)=0,"Unsupported type",IF(COUNTIF(Products!$A$2:$A$101,$D965)=0,"Unknown SKU",IF(COUNTIFS(Batches!$A$2:$A$301,$F965,Batches!$B$2:$B$301,$D965)=0,"Unknown lot for this SKU",IF(AND($C965="Adjustment",$G965=""),"Missing: reason",IF(AND($G965&lt;&gt;"",COUNTIF(Config!$B$15:$B$34,$G965)=0),"Unsupported reason",IF(OR(INT($E965)&lt;&gt;$E965,AND(OR($C965="Receipt",$C965="Shipment"),$E965&lt;=0),AND($C965="Adjustment",$E965=0)),"Invalid qty",IF($B965&gt;Config!$B$4,"Date after the as-of date",IF($B965&lt;Config!$B$5,"Date before the opening balance date","OK")))))))))))))))))</f>
        <v/>
      </c>
    </row>
    <row r="966">
      <c r="A966" s="46" t="n"/>
      <c r="B966" s="54" t="n"/>
      <c r="C966" s="46" t="n"/>
      <c r="D966" s="46" t="n"/>
      <c r="E966" s="55" t="n"/>
      <c r="F966" s="46" t="n"/>
      <c r="G966" s="46" t="n"/>
      <c r="H966" s="46" t="n"/>
      <c r="I966" s="46" t="n"/>
      <c r="J966" s="46" t="n"/>
      <c r="K966" s="46" t="n"/>
      <c r="L966" s="46" t="n"/>
      <c r="M966" s="51" t="str">
        <f>IF(NOT(ISNUMBER($E966)),"",IF($C966="Receipt",$E966,IF($C966="Shipment",-$E966,IF($C966="Adjustment",$E966,0))))</f>
        <v/>
      </c>
      <c r="N966" s="49" t="str">
        <f>IF($D966="","",IFERROR(INDEX(Products!$B$2:$B$101,MATCH($D966,Products!$A$2:$A$101,0))&amp;"","(not found)"))</f>
        <v/>
      </c>
      <c r="O966" s="49" t="str">
        <f>IF($F966="","",IFERROR(INDEX(Batches!$B$2:$B$301,MATCH($F966,Batches!$A$2:$A$301,0))&amp;"","(not found)"))</f>
        <v/>
      </c>
      <c r="P966" s="49" t="str">
        <f>IF(COUNTA($A966:$L966)=0,"",IF($A966="","Missing: entry ID",IF(COUNTIF($A$2:$A$2001,$A966)&gt;1,"Duplicate entry ID",IF(NOT(ISNUMBER($B966)),"Missing or invalid: date",IF($C966="","Missing: type",IF($D966="","Missing: SKU",IF(NOT(ISNUMBER($E966)),"Missing: qty",IF($F966="","Missing: lot",IF($I966="","Missing: source link",IF(COUNTIF(Config!$A$15:$A$34,$C966)=0,"Unsupported type",IF(COUNTIF(Products!$A$2:$A$101,$D966)=0,"Unknown SKU",IF(COUNTIFS(Batches!$A$2:$A$301,$F966,Batches!$B$2:$B$301,$D966)=0,"Unknown lot for this SKU",IF(AND($C966="Adjustment",$G966=""),"Missing: reason",IF(AND($G966&lt;&gt;"",COUNTIF(Config!$B$15:$B$34,$G966)=0),"Unsupported reason",IF(OR(INT($E966)&lt;&gt;$E966,AND(OR($C966="Receipt",$C966="Shipment"),$E966&lt;=0),AND($C966="Adjustment",$E966=0)),"Invalid qty",IF($B966&gt;Config!$B$4,"Date after the as-of date",IF($B966&lt;Config!$B$5,"Date before the opening balance date","OK")))))))))))))))))</f>
        <v/>
      </c>
    </row>
    <row r="967">
      <c r="A967" s="46" t="n"/>
      <c r="B967" s="54" t="n"/>
      <c r="C967" s="46" t="n"/>
      <c r="D967" s="46" t="n"/>
      <c r="E967" s="55" t="n"/>
      <c r="F967" s="46" t="n"/>
      <c r="G967" s="46" t="n"/>
      <c r="H967" s="46" t="n"/>
      <c r="I967" s="46" t="n"/>
      <c r="J967" s="46" t="n"/>
      <c r="K967" s="46" t="n"/>
      <c r="L967" s="46" t="n"/>
      <c r="M967" s="51" t="str">
        <f>IF(NOT(ISNUMBER($E967)),"",IF($C967="Receipt",$E967,IF($C967="Shipment",-$E967,IF($C967="Adjustment",$E967,0))))</f>
        <v/>
      </c>
      <c r="N967" s="49" t="str">
        <f>IF($D967="","",IFERROR(INDEX(Products!$B$2:$B$101,MATCH($D967,Products!$A$2:$A$101,0))&amp;"","(not found)"))</f>
        <v/>
      </c>
      <c r="O967" s="49" t="str">
        <f>IF($F967="","",IFERROR(INDEX(Batches!$B$2:$B$301,MATCH($F967,Batches!$A$2:$A$301,0))&amp;"","(not found)"))</f>
        <v/>
      </c>
      <c r="P967" s="49" t="str">
        <f>IF(COUNTA($A967:$L967)=0,"",IF($A967="","Missing: entry ID",IF(COUNTIF($A$2:$A$2001,$A967)&gt;1,"Duplicate entry ID",IF(NOT(ISNUMBER($B967)),"Missing or invalid: date",IF($C967="","Missing: type",IF($D967="","Missing: SKU",IF(NOT(ISNUMBER($E967)),"Missing: qty",IF($F967="","Missing: lot",IF($I967="","Missing: source link",IF(COUNTIF(Config!$A$15:$A$34,$C967)=0,"Unsupported type",IF(COUNTIF(Products!$A$2:$A$101,$D967)=0,"Unknown SKU",IF(COUNTIFS(Batches!$A$2:$A$301,$F967,Batches!$B$2:$B$301,$D967)=0,"Unknown lot for this SKU",IF(AND($C967="Adjustment",$G967=""),"Missing: reason",IF(AND($G967&lt;&gt;"",COUNTIF(Config!$B$15:$B$34,$G967)=0),"Unsupported reason",IF(OR(INT($E967)&lt;&gt;$E967,AND(OR($C967="Receipt",$C967="Shipment"),$E967&lt;=0),AND($C967="Adjustment",$E967=0)),"Invalid qty",IF($B967&gt;Config!$B$4,"Date after the as-of date",IF($B967&lt;Config!$B$5,"Date before the opening balance date","OK")))))))))))))))))</f>
        <v/>
      </c>
    </row>
    <row r="968">
      <c r="A968" s="46" t="n"/>
      <c r="B968" s="54" t="n"/>
      <c r="C968" s="46" t="n"/>
      <c r="D968" s="46" t="n"/>
      <c r="E968" s="55" t="n"/>
      <c r="F968" s="46" t="n"/>
      <c r="G968" s="46" t="n"/>
      <c r="H968" s="46" t="n"/>
      <c r="I968" s="46" t="n"/>
      <c r="J968" s="46" t="n"/>
      <c r="K968" s="46" t="n"/>
      <c r="L968" s="46" t="n"/>
      <c r="M968" s="51" t="str">
        <f>IF(NOT(ISNUMBER($E968)),"",IF($C968="Receipt",$E968,IF($C968="Shipment",-$E968,IF($C968="Adjustment",$E968,0))))</f>
        <v/>
      </c>
      <c r="N968" s="49" t="str">
        <f>IF($D968="","",IFERROR(INDEX(Products!$B$2:$B$101,MATCH($D968,Products!$A$2:$A$101,0))&amp;"","(not found)"))</f>
        <v/>
      </c>
      <c r="O968" s="49" t="str">
        <f>IF($F968="","",IFERROR(INDEX(Batches!$B$2:$B$301,MATCH($F968,Batches!$A$2:$A$301,0))&amp;"","(not found)"))</f>
        <v/>
      </c>
      <c r="P968" s="49" t="str">
        <f>IF(COUNTA($A968:$L968)=0,"",IF($A968="","Missing: entry ID",IF(COUNTIF($A$2:$A$2001,$A968)&gt;1,"Duplicate entry ID",IF(NOT(ISNUMBER($B968)),"Missing or invalid: date",IF($C968="","Missing: type",IF($D968="","Missing: SKU",IF(NOT(ISNUMBER($E968)),"Missing: qty",IF($F968="","Missing: lot",IF($I968="","Missing: source link",IF(COUNTIF(Config!$A$15:$A$34,$C968)=0,"Unsupported type",IF(COUNTIF(Products!$A$2:$A$101,$D968)=0,"Unknown SKU",IF(COUNTIFS(Batches!$A$2:$A$301,$F968,Batches!$B$2:$B$301,$D968)=0,"Unknown lot for this SKU",IF(AND($C968="Adjustment",$G968=""),"Missing: reason",IF(AND($G968&lt;&gt;"",COUNTIF(Config!$B$15:$B$34,$G968)=0),"Unsupported reason",IF(OR(INT($E968)&lt;&gt;$E968,AND(OR($C968="Receipt",$C968="Shipment"),$E968&lt;=0),AND($C968="Adjustment",$E968=0)),"Invalid qty",IF($B968&gt;Config!$B$4,"Date after the as-of date",IF($B968&lt;Config!$B$5,"Date before the opening balance date","OK")))))))))))))))))</f>
        <v/>
      </c>
    </row>
    <row r="969">
      <c r="A969" s="46" t="n"/>
      <c r="B969" s="54" t="n"/>
      <c r="C969" s="46" t="n"/>
      <c r="D969" s="46" t="n"/>
      <c r="E969" s="55" t="n"/>
      <c r="F969" s="46" t="n"/>
      <c r="G969" s="46" t="n"/>
      <c r="H969" s="46" t="n"/>
      <c r="I969" s="46" t="n"/>
      <c r="J969" s="46" t="n"/>
      <c r="K969" s="46" t="n"/>
      <c r="L969" s="46" t="n"/>
      <c r="M969" s="51" t="str">
        <f>IF(NOT(ISNUMBER($E969)),"",IF($C969="Receipt",$E969,IF($C969="Shipment",-$E969,IF($C969="Adjustment",$E969,0))))</f>
        <v/>
      </c>
      <c r="N969" s="49" t="str">
        <f>IF($D969="","",IFERROR(INDEX(Products!$B$2:$B$101,MATCH($D969,Products!$A$2:$A$101,0))&amp;"","(not found)"))</f>
        <v/>
      </c>
      <c r="O969" s="49" t="str">
        <f>IF($F969="","",IFERROR(INDEX(Batches!$B$2:$B$301,MATCH($F969,Batches!$A$2:$A$301,0))&amp;"","(not found)"))</f>
        <v/>
      </c>
      <c r="P969" s="49" t="str">
        <f>IF(COUNTA($A969:$L969)=0,"",IF($A969="","Missing: entry ID",IF(COUNTIF($A$2:$A$2001,$A969)&gt;1,"Duplicate entry ID",IF(NOT(ISNUMBER($B969)),"Missing or invalid: date",IF($C969="","Missing: type",IF($D969="","Missing: SKU",IF(NOT(ISNUMBER($E969)),"Missing: qty",IF($F969="","Missing: lot",IF($I969="","Missing: source link",IF(COUNTIF(Config!$A$15:$A$34,$C969)=0,"Unsupported type",IF(COUNTIF(Products!$A$2:$A$101,$D969)=0,"Unknown SKU",IF(COUNTIFS(Batches!$A$2:$A$301,$F969,Batches!$B$2:$B$301,$D969)=0,"Unknown lot for this SKU",IF(AND($C969="Adjustment",$G969=""),"Missing: reason",IF(AND($G969&lt;&gt;"",COUNTIF(Config!$B$15:$B$34,$G969)=0),"Unsupported reason",IF(OR(INT($E969)&lt;&gt;$E969,AND(OR($C969="Receipt",$C969="Shipment"),$E969&lt;=0),AND($C969="Adjustment",$E969=0)),"Invalid qty",IF($B969&gt;Config!$B$4,"Date after the as-of date",IF($B969&lt;Config!$B$5,"Date before the opening balance date","OK")))))))))))))))))</f>
        <v/>
      </c>
    </row>
    <row r="970">
      <c r="A970" s="46" t="n"/>
      <c r="B970" s="54" t="n"/>
      <c r="C970" s="46" t="n"/>
      <c r="D970" s="46" t="n"/>
      <c r="E970" s="55" t="n"/>
      <c r="F970" s="46" t="n"/>
      <c r="G970" s="46" t="n"/>
      <c r="H970" s="46" t="n"/>
      <c r="I970" s="46" t="n"/>
      <c r="J970" s="46" t="n"/>
      <c r="K970" s="46" t="n"/>
      <c r="L970" s="46" t="n"/>
      <c r="M970" s="51" t="str">
        <f>IF(NOT(ISNUMBER($E970)),"",IF($C970="Receipt",$E970,IF($C970="Shipment",-$E970,IF($C970="Adjustment",$E970,0))))</f>
        <v/>
      </c>
      <c r="N970" s="49" t="str">
        <f>IF($D970="","",IFERROR(INDEX(Products!$B$2:$B$101,MATCH($D970,Products!$A$2:$A$101,0))&amp;"","(not found)"))</f>
        <v/>
      </c>
      <c r="O970" s="49" t="str">
        <f>IF($F970="","",IFERROR(INDEX(Batches!$B$2:$B$301,MATCH($F970,Batches!$A$2:$A$301,0))&amp;"","(not found)"))</f>
        <v/>
      </c>
      <c r="P970" s="49" t="str">
        <f>IF(COUNTA($A970:$L970)=0,"",IF($A970="","Missing: entry ID",IF(COUNTIF($A$2:$A$2001,$A970)&gt;1,"Duplicate entry ID",IF(NOT(ISNUMBER($B970)),"Missing or invalid: date",IF($C970="","Missing: type",IF($D970="","Missing: SKU",IF(NOT(ISNUMBER($E970)),"Missing: qty",IF($F970="","Missing: lot",IF($I970="","Missing: source link",IF(COUNTIF(Config!$A$15:$A$34,$C970)=0,"Unsupported type",IF(COUNTIF(Products!$A$2:$A$101,$D970)=0,"Unknown SKU",IF(COUNTIFS(Batches!$A$2:$A$301,$F970,Batches!$B$2:$B$301,$D970)=0,"Unknown lot for this SKU",IF(AND($C970="Adjustment",$G970=""),"Missing: reason",IF(AND($G970&lt;&gt;"",COUNTIF(Config!$B$15:$B$34,$G970)=0),"Unsupported reason",IF(OR(INT($E970)&lt;&gt;$E970,AND(OR($C970="Receipt",$C970="Shipment"),$E970&lt;=0),AND($C970="Adjustment",$E970=0)),"Invalid qty",IF($B970&gt;Config!$B$4,"Date after the as-of date",IF($B970&lt;Config!$B$5,"Date before the opening balance date","OK")))))))))))))))))</f>
        <v/>
      </c>
    </row>
    <row r="971">
      <c r="A971" s="46" t="n"/>
      <c r="B971" s="54" t="n"/>
      <c r="C971" s="46" t="n"/>
      <c r="D971" s="46" t="n"/>
      <c r="E971" s="55" t="n"/>
      <c r="F971" s="46" t="n"/>
      <c r="G971" s="46" t="n"/>
      <c r="H971" s="46" t="n"/>
      <c r="I971" s="46" t="n"/>
      <c r="J971" s="46" t="n"/>
      <c r="K971" s="46" t="n"/>
      <c r="L971" s="46" t="n"/>
      <c r="M971" s="51" t="str">
        <f>IF(NOT(ISNUMBER($E971)),"",IF($C971="Receipt",$E971,IF($C971="Shipment",-$E971,IF($C971="Adjustment",$E971,0))))</f>
        <v/>
      </c>
      <c r="N971" s="49" t="str">
        <f>IF($D971="","",IFERROR(INDEX(Products!$B$2:$B$101,MATCH($D971,Products!$A$2:$A$101,0))&amp;"","(not found)"))</f>
        <v/>
      </c>
      <c r="O971" s="49" t="str">
        <f>IF($F971="","",IFERROR(INDEX(Batches!$B$2:$B$301,MATCH($F971,Batches!$A$2:$A$301,0))&amp;"","(not found)"))</f>
        <v/>
      </c>
      <c r="P971" s="49" t="str">
        <f>IF(COUNTA($A971:$L971)=0,"",IF($A971="","Missing: entry ID",IF(COUNTIF($A$2:$A$2001,$A971)&gt;1,"Duplicate entry ID",IF(NOT(ISNUMBER($B971)),"Missing or invalid: date",IF($C971="","Missing: type",IF($D971="","Missing: SKU",IF(NOT(ISNUMBER($E971)),"Missing: qty",IF($F971="","Missing: lot",IF($I971="","Missing: source link",IF(COUNTIF(Config!$A$15:$A$34,$C971)=0,"Unsupported type",IF(COUNTIF(Products!$A$2:$A$101,$D971)=0,"Unknown SKU",IF(COUNTIFS(Batches!$A$2:$A$301,$F971,Batches!$B$2:$B$301,$D971)=0,"Unknown lot for this SKU",IF(AND($C971="Adjustment",$G971=""),"Missing: reason",IF(AND($G971&lt;&gt;"",COUNTIF(Config!$B$15:$B$34,$G971)=0),"Unsupported reason",IF(OR(INT($E971)&lt;&gt;$E971,AND(OR($C971="Receipt",$C971="Shipment"),$E971&lt;=0),AND($C971="Adjustment",$E971=0)),"Invalid qty",IF($B971&gt;Config!$B$4,"Date after the as-of date",IF($B971&lt;Config!$B$5,"Date before the opening balance date","OK")))))))))))))))))</f>
        <v/>
      </c>
    </row>
    <row r="972">
      <c r="A972" s="46" t="n"/>
      <c r="B972" s="54" t="n"/>
      <c r="C972" s="46" t="n"/>
      <c r="D972" s="46" t="n"/>
      <c r="E972" s="55" t="n"/>
      <c r="F972" s="46" t="n"/>
      <c r="G972" s="46" t="n"/>
      <c r="H972" s="46" t="n"/>
      <c r="I972" s="46" t="n"/>
      <c r="J972" s="46" t="n"/>
      <c r="K972" s="46" t="n"/>
      <c r="L972" s="46" t="n"/>
      <c r="M972" s="51" t="str">
        <f>IF(NOT(ISNUMBER($E972)),"",IF($C972="Receipt",$E972,IF($C972="Shipment",-$E972,IF($C972="Adjustment",$E972,0))))</f>
        <v/>
      </c>
      <c r="N972" s="49" t="str">
        <f>IF($D972="","",IFERROR(INDEX(Products!$B$2:$B$101,MATCH($D972,Products!$A$2:$A$101,0))&amp;"","(not found)"))</f>
        <v/>
      </c>
      <c r="O972" s="49" t="str">
        <f>IF($F972="","",IFERROR(INDEX(Batches!$B$2:$B$301,MATCH($F972,Batches!$A$2:$A$301,0))&amp;"","(not found)"))</f>
        <v/>
      </c>
      <c r="P972" s="49" t="str">
        <f>IF(COUNTA($A972:$L972)=0,"",IF($A972="","Missing: entry ID",IF(COUNTIF($A$2:$A$2001,$A972)&gt;1,"Duplicate entry ID",IF(NOT(ISNUMBER($B972)),"Missing or invalid: date",IF($C972="","Missing: type",IF($D972="","Missing: SKU",IF(NOT(ISNUMBER($E972)),"Missing: qty",IF($F972="","Missing: lot",IF($I972="","Missing: source link",IF(COUNTIF(Config!$A$15:$A$34,$C972)=0,"Unsupported type",IF(COUNTIF(Products!$A$2:$A$101,$D972)=0,"Unknown SKU",IF(COUNTIFS(Batches!$A$2:$A$301,$F972,Batches!$B$2:$B$301,$D972)=0,"Unknown lot for this SKU",IF(AND($C972="Adjustment",$G972=""),"Missing: reason",IF(AND($G972&lt;&gt;"",COUNTIF(Config!$B$15:$B$34,$G972)=0),"Unsupported reason",IF(OR(INT($E972)&lt;&gt;$E972,AND(OR($C972="Receipt",$C972="Shipment"),$E972&lt;=0),AND($C972="Adjustment",$E972=0)),"Invalid qty",IF($B972&gt;Config!$B$4,"Date after the as-of date",IF($B972&lt;Config!$B$5,"Date before the opening balance date","OK")))))))))))))))))</f>
        <v/>
      </c>
    </row>
    <row r="973">
      <c r="A973" s="46" t="n"/>
      <c r="B973" s="54" t="n"/>
      <c r="C973" s="46" t="n"/>
      <c r="D973" s="46" t="n"/>
      <c r="E973" s="55" t="n"/>
      <c r="F973" s="46" t="n"/>
      <c r="G973" s="46" t="n"/>
      <c r="H973" s="46" t="n"/>
      <c r="I973" s="46" t="n"/>
      <c r="J973" s="46" t="n"/>
      <c r="K973" s="46" t="n"/>
      <c r="L973" s="46" t="n"/>
      <c r="M973" s="51" t="str">
        <f>IF(NOT(ISNUMBER($E973)),"",IF($C973="Receipt",$E973,IF($C973="Shipment",-$E973,IF($C973="Adjustment",$E973,0))))</f>
        <v/>
      </c>
      <c r="N973" s="49" t="str">
        <f>IF($D973="","",IFERROR(INDEX(Products!$B$2:$B$101,MATCH($D973,Products!$A$2:$A$101,0))&amp;"","(not found)"))</f>
        <v/>
      </c>
      <c r="O973" s="49" t="str">
        <f>IF($F973="","",IFERROR(INDEX(Batches!$B$2:$B$301,MATCH($F973,Batches!$A$2:$A$301,0))&amp;"","(not found)"))</f>
        <v/>
      </c>
      <c r="P973" s="49" t="str">
        <f>IF(COUNTA($A973:$L973)=0,"",IF($A973="","Missing: entry ID",IF(COUNTIF($A$2:$A$2001,$A973)&gt;1,"Duplicate entry ID",IF(NOT(ISNUMBER($B973)),"Missing or invalid: date",IF($C973="","Missing: type",IF($D973="","Missing: SKU",IF(NOT(ISNUMBER($E973)),"Missing: qty",IF($F973="","Missing: lot",IF($I973="","Missing: source link",IF(COUNTIF(Config!$A$15:$A$34,$C973)=0,"Unsupported type",IF(COUNTIF(Products!$A$2:$A$101,$D973)=0,"Unknown SKU",IF(COUNTIFS(Batches!$A$2:$A$301,$F973,Batches!$B$2:$B$301,$D973)=0,"Unknown lot for this SKU",IF(AND($C973="Adjustment",$G973=""),"Missing: reason",IF(AND($G973&lt;&gt;"",COUNTIF(Config!$B$15:$B$34,$G973)=0),"Unsupported reason",IF(OR(INT($E973)&lt;&gt;$E973,AND(OR($C973="Receipt",$C973="Shipment"),$E973&lt;=0),AND($C973="Adjustment",$E973=0)),"Invalid qty",IF($B973&gt;Config!$B$4,"Date after the as-of date",IF($B973&lt;Config!$B$5,"Date before the opening balance date","OK")))))))))))))))))</f>
        <v/>
      </c>
    </row>
    <row r="974">
      <c r="A974" s="46" t="n"/>
      <c r="B974" s="54" t="n"/>
      <c r="C974" s="46" t="n"/>
      <c r="D974" s="46" t="n"/>
      <c r="E974" s="55" t="n"/>
      <c r="F974" s="46" t="n"/>
      <c r="G974" s="46" t="n"/>
      <c r="H974" s="46" t="n"/>
      <c r="I974" s="46" t="n"/>
      <c r="J974" s="46" t="n"/>
      <c r="K974" s="46" t="n"/>
      <c r="L974" s="46" t="n"/>
      <c r="M974" s="51" t="str">
        <f>IF(NOT(ISNUMBER($E974)),"",IF($C974="Receipt",$E974,IF($C974="Shipment",-$E974,IF($C974="Adjustment",$E974,0))))</f>
        <v/>
      </c>
      <c r="N974" s="49" t="str">
        <f>IF($D974="","",IFERROR(INDEX(Products!$B$2:$B$101,MATCH($D974,Products!$A$2:$A$101,0))&amp;"","(not found)"))</f>
        <v/>
      </c>
      <c r="O974" s="49" t="str">
        <f>IF($F974="","",IFERROR(INDEX(Batches!$B$2:$B$301,MATCH($F974,Batches!$A$2:$A$301,0))&amp;"","(not found)"))</f>
        <v/>
      </c>
      <c r="P974" s="49" t="str">
        <f>IF(COUNTA($A974:$L974)=0,"",IF($A974="","Missing: entry ID",IF(COUNTIF($A$2:$A$2001,$A974)&gt;1,"Duplicate entry ID",IF(NOT(ISNUMBER($B974)),"Missing or invalid: date",IF($C974="","Missing: type",IF($D974="","Missing: SKU",IF(NOT(ISNUMBER($E974)),"Missing: qty",IF($F974="","Missing: lot",IF($I974="","Missing: source link",IF(COUNTIF(Config!$A$15:$A$34,$C974)=0,"Unsupported type",IF(COUNTIF(Products!$A$2:$A$101,$D974)=0,"Unknown SKU",IF(COUNTIFS(Batches!$A$2:$A$301,$F974,Batches!$B$2:$B$301,$D974)=0,"Unknown lot for this SKU",IF(AND($C974="Adjustment",$G974=""),"Missing: reason",IF(AND($G974&lt;&gt;"",COUNTIF(Config!$B$15:$B$34,$G974)=0),"Unsupported reason",IF(OR(INT($E974)&lt;&gt;$E974,AND(OR($C974="Receipt",$C974="Shipment"),$E974&lt;=0),AND($C974="Adjustment",$E974=0)),"Invalid qty",IF($B974&gt;Config!$B$4,"Date after the as-of date",IF($B974&lt;Config!$B$5,"Date before the opening balance date","OK")))))))))))))))))</f>
        <v/>
      </c>
    </row>
    <row r="975">
      <c r="A975" s="46" t="n"/>
      <c r="B975" s="54" t="n"/>
      <c r="C975" s="46" t="n"/>
      <c r="D975" s="46" t="n"/>
      <c r="E975" s="55" t="n"/>
      <c r="F975" s="46" t="n"/>
      <c r="G975" s="46" t="n"/>
      <c r="H975" s="46" t="n"/>
      <c r="I975" s="46" t="n"/>
      <c r="J975" s="46" t="n"/>
      <c r="K975" s="46" t="n"/>
      <c r="L975" s="46" t="n"/>
      <c r="M975" s="51" t="str">
        <f>IF(NOT(ISNUMBER($E975)),"",IF($C975="Receipt",$E975,IF($C975="Shipment",-$E975,IF($C975="Adjustment",$E975,0))))</f>
        <v/>
      </c>
      <c r="N975" s="49" t="str">
        <f>IF($D975="","",IFERROR(INDEX(Products!$B$2:$B$101,MATCH($D975,Products!$A$2:$A$101,0))&amp;"","(not found)"))</f>
        <v/>
      </c>
      <c r="O975" s="49" t="str">
        <f>IF($F975="","",IFERROR(INDEX(Batches!$B$2:$B$301,MATCH($F975,Batches!$A$2:$A$301,0))&amp;"","(not found)"))</f>
        <v/>
      </c>
      <c r="P975" s="49" t="str">
        <f>IF(COUNTA($A975:$L975)=0,"",IF($A975="","Missing: entry ID",IF(COUNTIF($A$2:$A$2001,$A975)&gt;1,"Duplicate entry ID",IF(NOT(ISNUMBER($B975)),"Missing or invalid: date",IF($C975="","Missing: type",IF($D975="","Missing: SKU",IF(NOT(ISNUMBER($E975)),"Missing: qty",IF($F975="","Missing: lot",IF($I975="","Missing: source link",IF(COUNTIF(Config!$A$15:$A$34,$C975)=0,"Unsupported type",IF(COUNTIF(Products!$A$2:$A$101,$D975)=0,"Unknown SKU",IF(COUNTIFS(Batches!$A$2:$A$301,$F975,Batches!$B$2:$B$301,$D975)=0,"Unknown lot for this SKU",IF(AND($C975="Adjustment",$G975=""),"Missing: reason",IF(AND($G975&lt;&gt;"",COUNTIF(Config!$B$15:$B$34,$G975)=0),"Unsupported reason",IF(OR(INT($E975)&lt;&gt;$E975,AND(OR($C975="Receipt",$C975="Shipment"),$E975&lt;=0),AND($C975="Adjustment",$E975=0)),"Invalid qty",IF($B975&gt;Config!$B$4,"Date after the as-of date",IF($B975&lt;Config!$B$5,"Date before the opening balance date","OK")))))))))))))))))</f>
        <v/>
      </c>
    </row>
    <row r="976">
      <c r="A976" s="46" t="n"/>
      <c r="B976" s="54" t="n"/>
      <c r="C976" s="46" t="n"/>
      <c r="D976" s="46" t="n"/>
      <c r="E976" s="55" t="n"/>
      <c r="F976" s="46" t="n"/>
      <c r="G976" s="46" t="n"/>
      <c r="H976" s="46" t="n"/>
      <c r="I976" s="46" t="n"/>
      <c r="J976" s="46" t="n"/>
      <c r="K976" s="46" t="n"/>
      <c r="L976" s="46" t="n"/>
      <c r="M976" s="51" t="str">
        <f>IF(NOT(ISNUMBER($E976)),"",IF($C976="Receipt",$E976,IF($C976="Shipment",-$E976,IF($C976="Adjustment",$E976,0))))</f>
        <v/>
      </c>
      <c r="N976" s="49" t="str">
        <f>IF($D976="","",IFERROR(INDEX(Products!$B$2:$B$101,MATCH($D976,Products!$A$2:$A$101,0))&amp;"","(not found)"))</f>
        <v/>
      </c>
      <c r="O976" s="49" t="str">
        <f>IF($F976="","",IFERROR(INDEX(Batches!$B$2:$B$301,MATCH($F976,Batches!$A$2:$A$301,0))&amp;"","(not found)"))</f>
        <v/>
      </c>
      <c r="P976" s="49" t="str">
        <f>IF(COUNTA($A976:$L976)=0,"",IF($A976="","Missing: entry ID",IF(COUNTIF($A$2:$A$2001,$A976)&gt;1,"Duplicate entry ID",IF(NOT(ISNUMBER($B976)),"Missing or invalid: date",IF($C976="","Missing: type",IF($D976="","Missing: SKU",IF(NOT(ISNUMBER($E976)),"Missing: qty",IF($F976="","Missing: lot",IF($I976="","Missing: source link",IF(COUNTIF(Config!$A$15:$A$34,$C976)=0,"Unsupported type",IF(COUNTIF(Products!$A$2:$A$101,$D976)=0,"Unknown SKU",IF(COUNTIFS(Batches!$A$2:$A$301,$F976,Batches!$B$2:$B$301,$D976)=0,"Unknown lot for this SKU",IF(AND($C976="Adjustment",$G976=""),"Missing: reason",IF(AND($G976&lt;&gt;"",COUNTIF(Config!$B$15:$B$34,$G976)=0),"Unsupported reason",IF(OR(INT($E976)&lt;&gt;$E976,AND(OR($C976="Receipt",$C976="Shipment"),$E976&lt;=0),AND($C976="Adjustment",$E976=0)),"Invalid qty",IF($B976&gt;Config!$B$4,"Date after the as-of date",IF($B976&lt;Config!$B$5,"Date before the opening balance date","OK")))))))))))))))))</f>
        <v/>
      </c>
    </row>
    <row r="977">
      <c r="A977" s="46" t="n"/>
      <c r="B977" s="54" t="n"/>
      <c r="C977" s="46" t="n"/>
      <c r="D977" s="46" t="n"/>
      <c r="E977" s="55" t="n"/>
      <c r="F977" s="46" t="n"/>
      <c r="G977" s="46" t="n"/>
      <c r="H977" s="46" t="n"/>
      <c r="I977" s="46" t="n"/>
      <c r="J977" s="46" t="n"/>
      <c r="K977" s="46" t="n"/>
      <c r="L977" s="46" t="n"/>
      <c r="M977" s="51" t="str">
        <f>IF(NOT(ISNUMBER($E977)),"",IF($C977="Receipt",$E977,IF($C977="Shipment",-$E977,IF($C977="Adjustment",$E977,0))))</f>
        <v/>
      </c>
      <c r="N977" s="49" t="str">
        <f>IF($D977="","",IFERROR(INDEX(Products!$B$2:$B$101,MATCH($D977,Products!$A$2:$A$101,0))&amp;"","(not found)"))</f>
        <v/>
      </c>
      <c r="O977" s="49" t="str">
        <f>IF($F977="","",IFERROR(INDEX(Batches!$B$2:$B$301,MATCH($F977,Batches!$A$2:$A$301,0))&amp;"","(not found)"))</f>
        <v/>
      </c>
      <c r="P977" s="49" t="str">
        <f>IF(COUNTA($A977:$L977)=0,"",IF($A977="","Missing: entry ID",IF(COUNTIF($A$2:$A$2001,$A977)&gt;1,"Duplicate entry ID",IF(NOT(ISNUMBER($B977)),"Missing or invalid: date",IF($C977="","Missing: type",IF($D977="","Missing: SKU",IF(NOT(ISNUMBER($E977)),"Missing: qty",IF($F977="","Missing: lot",IF($I977="","Missing: source link",IF(COUNTIF(Config!$A$15:$A$34,$C977)=0,"Unsupported type",IF(COUNTIF(Products!$A$2:$A$101,$D977)=0,"Unknown SKU",IF(COUNTIFS(Batches!$A$2:$A$301,$F977,Batches!$B$2:$B$301,$D977)=0,"Unknown lot for this SKU",IF(AND($C977="Adjustment",$G977=""),"Missing: reason",IF(AND($G977&lt;&gt;"",COUNTIF(Config!$B$15:$B$34,$G977)=0),"Unsupported reason",IF(OR(INT($E977)&lt;&gt;$E977,AND(OR($C977="Receipt",$C977="Shipment"),$E977&lt;=0),AND($C977="Adjustment",$E977=0)),"Invalid qty",IF($B977&gt;Config!$B$4,"Date after the as-of date",IF($B977&lt;Config!$B$5,"Date before the opening balance date","OK")))))))))))))))))</f>
        <v/>
      </c>
    </row>
    <row r="978">
      <c r="A978" s="46" t="n"/>
      <c r="B978" s="54" t="n"/>
      <c r="C978" s="46" t="n"/>
      <c r="D978" s="46" t="n"/>
      <c r="E978" s="55" t="n"/>
      <c r="F978" s="46" t="n"/>
      <c r="G978" s="46" t="n"/>
      <c r="H978" s="46" t="n"/>
      <c r="I978" s="46" t="n"/>
      <c r="J978" s="46" t="n"/>
      <c r="K978" s="46" t="n"/>
      <c r="L978" s="46" t="n"/>
      <c r="M978" s="51" t="str">
        <f>IF(NOT(ISNUMBER($E978)),"",IF($C978="Receipt",$E978,IF($C978="Shipment",-$E978,IF($C978="Adjustment",$E978,0))))</f>
        <v/>
      </c>
      <c r="N978" s="49" t="str">
        <f>IF($D978="","",IFERROR(INDEX(Products!$B$2:$B$101,MATCH($D978,Products!$A$2:$A$101,0))&amp;"","(not found)"))</f>
        <v/>
      </c>
      <c r="O978" s="49" t="str">
        <f>IF($F978="","",IFERROR(INDEX(Batches!$B$2:$B$301,MATCH($F978,Batches!$A$2:$A$301,0))&amp;"","(not found)"))</f>
        <v/>
      </c>
      <c r="P978" s="49" t="str">
        <f>IF(COUNTA($A978:$L978)=0,"",IF($A978="","Missing: entry ID",IF(COUNTIF($A$2:$A$2001,$A978)&gt;1,"Duplicate entry ID",IF(NOT(ISNUMBER($B978)),"Missing or invalid: date",IF($C978="","Missing: type",IF($D978="","Missing: SKU",IF(NOT(ISNUMBER($E978)),"Missing: qty",IF($F978="","Missing: lot",IF($I978="","Missing: source link",IF(COUNTIF(Config!$A$15:$A$34,$C978)=0,"Unsupported type",IF(COUNTIF(Products!$A$2:$A$101,$D978)=0,"Unknown SKU",IF(COUNTIFS(Batches!$A$2:$A$301,$F978,Batches!$B$2:$B$301,$D978)=0,"Unknown lot for this SKU",IF(AND($C978="Adjustment",$G978=""),"Missing: reason",IF(AND($G978&lt;&gt;"",COUNTIF(Config!$B$15:$B$34,$G978)=0),"Unsupported reason",IF(OR(INT($E978)&lt;&gt;$E978,AND(OR($C978="Receipt",$C978="Shipment"),$E978&lt;=0),AND($C978="Adjustment",$E978=0)),"Invalid qty",IF($B978&gt;Config!$B$4,"Date after the as-of date",IF($B978&lt;Config!$B$5,"Date before the opening balance date","OK")))))))))))))))))</f>
        <v/>
      </c>
    </row>
    <row r="979">
      <c r="A979" s="46" t="n"/>
      <c r="B979" s="54" t="n"/>
      <c r="C979" s="46" t="n"/>
      <c r="D979" s="46" t="n"/>
      <c r="E979" s="55" t="n"/>
      <c r="F979" s="46" t="n"/>
      <c r="G979" s="46" t="n"/>
      <c r="H979" s="46" t="n"/>
      <c r="I979" s="46" t="n"/>
      <c r="J979" s="46" t="n"/>
      <c r="K979" s="46" t="n"/>
      <c r="L979" s="46" t="n"/>
      <c r="M979" s="51" t="str">
        <f>IF(NOT(ISNUMBER($E979)),"",IF($C979="Receipt",$E979,IF($C979="Shipment",-$E979,IF($C979="Adjustment",$E979,0))))</f>
        <v/>
      </c>
      <c r="N979" s="49" t="str">
        <f>IF($D979="","",IFERROR(INDEX(Products!$B$2:$B$101,MATCH($D979,Products!$A$2:$A$101,0))&amp;"","(not found)"))</f>
        <v/>
      </c>
      <c r="O979" s="49" t="str">
        <f>IF($F979="","",IFERROR(INDEX(Batches!$B$2:$B$301,MATCH($F979,Batches!$A$2:$A$301,0))&amp;"","(not found)"))</f>
        <v/>
      </c>
      <c r="P979" s="49" t="str">
        <f>IF(COUNTA($A979:$L979)=0,"",IF($A979="","Missing: entry ID",IF(COUNTIF($A$2:$A$2001,$A979)&gt;1,"Duplicate entry ID",IF(NOT(ISNUMBER($B979)),"Missing or invalid: date",IF($C979="","Missing: type",IF($D979="","Missing: SKU",IF(NOT(ISNUMBER($E979)),"Missing: qty",IF($F979="","Missing: lot",IF($I979="","Missing: source link",IF(COUNTIF(Config!$A$15:$A$34,$C979)=0,"Unsupported type",IF(COUNTIF(Products!$A$2:$A$101,$D979)=0,"Unknown SKU",IF(COUNTIFS(Batches!$A$2:$A$301,$F979,Batches!$B$2:$B$301,$D979)=0,"Unknown lot for this SKU",IF(AND($C979="Adjustment",$G979=""),"Missing: reason",IF(AND($G979&lt;&gt;"",COUNTIF(Config!$B$15:$B$34,$G979)=0),"Unsupported reason",IF(OR(INT($E979)&lt;&gt;$E979,AND(OR($C979="Receipt",$C979="Shipment"),$E979&lt;=0),AND($C979="Adjustment",$E979=0)),"Invalid qty",IF($B979&gt;Config!$B$4,"Date after the as-of date",IF($B979&lt;Config!$B$5,"Date before the opening balance date","OK")))))))))))))))))</f>
        <v/>
      </c>
    </row>
    <row r="980">
      <c r="A980" s="46" t="n"/>
      <c r="B980" s="54" t="n"/>
      <c r="C980" s="46" t="n"/>
      <c r="D980" s="46" t="n"/>
      <c r="E980" s="55" t="n"/>
      <c r="F980" s="46" t="n"/>
      <c r="G980" s="46" t="n"/>
      <c r="H980" s="46" t="n"/>
      <c r="I980" s="46" t="n"/>
      <c r="J980" s="46" t="n"/>
      <c r="K980" s="46" t="n"/>
      <c r="L980" s="46" t="n"/>
      <c r="M980" s="51" t="str">
        <f>IF(NOT(ISNUMBER($E980)),"",IF($C980="Receipt",$E980,IF($C980="Shipment",-$E980,IF($C980="Adjustment",$E980,0))))</f>
        <v/>
      </c>
      <c r="N980" s="49" t="str">
        <f>IF($D980="","",IFERROR(INDEX(Products!$B$2:$B$101,MATCH($D980,Products!$A$2:$A$101,0))&amp;"","(not found)"))</f>
        <v/>
      </c>
      <c r="O980" s="49" t="str">
        <f>IF($F980="","",IFERROR(INDEX(Batches!$B$2:$B$301,MATCH($F980,Batches!$A$2:$A$301,0))&amp;"","(not found)"))</f>
        <v/>
      </c>
      <c r="P980" s="49" t="str">
        <f>IF(COUNTA($A980:$L980)=0,"",IF($A980="","Missing: entry ID",IF(COUNTIF($A$2:$A$2001,$A980)&gt;1,"Duplicate entry ID",IF(NOT(ISNUMBER($B980)),"Missing or invalid: date",IF($C980="","Missing: type",IF($D980="","Missing: SKU",IF(NOT(ISNUMBER($E980)),"Missing: qty",IF($F980="","Missing: lot",IF($I980="","Missing: source link",IF(COUNTIF(Config!$A$15:$A$34,$C980)=0,"Unsupported type",IF(COUNTIF(Products!$A$2:$A$101,$D980)=0,"Unknown SKU",IF(COUNTIFS(Batches!$A$2:$A$301,$F980,Batches!$B$2:$B$301,$D980)=0,"Unknown lot for this SKU",IF(AND($C980="Adjustment",$G980=""),"Missing: reason",IF(AND($G980&lt;&gt;"",COUNTIF(Config!$B$15:$B$34,$G980)=0),"Unsupported reason",IF(OR(INT($E980)&lt;&gt;$E980,AND(OR($C980="Receipt",$C980="Shipment"),$E980&lt;=0),AND($C980="Adjustment",$E980=0)),"Invalid qty",IF($B980&gt;Config!$B$4,"Date after the as-of date",IF($B980&lt;Config!$B$5,"Date before the opening balance date","OK")))))))))))))))))</f>
        <v/>
      </c>
    </row>
    <row r="981">
      <c r="A981" s="46" t="n"/>
      <c r="B981" s="54" t="n"/>
      <c r="C981" s="46" t="n"/>
      <c r="D981" s="46" t="n"/>
      <c r="E981" s="55" t="n"/>
      <c r="F981" s="46" t="n"/>
      <c r="G981" s="46" t="n"/>
      <c r="H981" s="46" t="n"/>
      <c r="I981" s="46" t="n"/>
      <c r="J981" s="46" t="n"/>
      <c r="K981" s="46" t="n"/>
      <c r="L981" s="46" t="n"/>
      <c r="M981" s="51" t="str">
        <f>IF(NOT(ISNUMBER($E981)),"",IF($C981="Receipt",$E981,IF($C981="Shipment",-$E981,IF($C981="Adjustment",$E981,0))))</f>
        <v/>
      </c>
      <c r="N981" s="49" t="str">
        <f>IF($D981="","",IFERROR(INDEX(Products!$B$2:$B$101,MATCH($D981,Products!$A$2:$A$101,0))&amp;"","(not found)"))</f>
        <v/>
      </c>
      <c r="O981" s="49" t="str">
        <f>IF($F981="","",IFERROR(INDEX(Batches!$B$2:$B$301,MATCH($F981,Batches!$A$2:$A$301,0))&amp;"","(not found)"))</f>
        <v/>
      </c>
      <c r="P981" s="49" t="str">
        <f>IF(COUNTA($A981:$L981)=0,"",IF($A981="","Missing: entry ID",IF(COUNTIF($A$2:$A$2001,$A981)&gt;1,"Duplicate entry ID",IF(NOT(ISNUMBER($B981)),"Missing or invalid: date",IF($C981="","Missing: type",IF($D981="","Missing: SKU",IF(NOT(ISNUMBER($E981)),"Missing: qty",IF($F981="","Missing: lot",IF($I981="","Missing: source link",IF(COUNTIF(Config!$A$15:$A$34,$C981)=0,"Unsupported type",IF(COUNTIF(Products!$A$2:$A$101,$D981)=0,"Unknown SKU",IF(COUNTIFS(Batches!$A$2:$A$301,$F981,Batches!$B$2:$B$301,$D981)=0,"Unknown lot for this SKU",IF(AND($C981="Adjustment",$G981=""),"Missing: reason",IF(AND($G981&lt;&gt;"",COUNTIF(Config!$B$15:$B$34,$G981)=0),"Unsupported reason",IF(OR(INT($E981)&lt;&gt;$E981,AND(OR($C981="Receipt",$C981="Shipment"),$E981&lt;=0),AND($C981="Adjustment",$E981=0)),"Invalid qty",IF($B981&gt;Config!$B$4,"Date after the as-of date",IF($B981&lt;Config!$B$5,"Date before the opening balance date","OK")))))))))))))))))</f>
        <v/>
      </c>
    </row>
    <row r="982">
      <c r="A982" s="46" t="n"/>
      <c r="B982" s="54" t="n"/>
      <c r="C982" s="46" t="n"/>
      <c r="D982" s="46" t="n"/>
      <c r="E982" s="55" t="n"/>
      <c r="F982" s="46" t="n"/>
      <c r="G982" s="46" t="n"/>
      <c r="H982" s="46" t="n"/>
      <c r="I982" s="46" t="n"/>
      <c r="J982" s="46" t="n"/>
      <c r="K982" s="46" t="n"/>
      <c r="L982" s="46" t="n"/>
      <c r="M982" s="51" t="str">
        <f>IF(NOT(ISNUMBER($E982)),"",IF($C982="Receipt",$E982,IF($C982="Shipment",-$E982,IF($C982="Adjustment",$E982,0))))</f>
        <v/>
      </c>
      <c r="N982" s="49" t="str">
        <f>IF($D982="","",IFERROR(INDEX(Products!$B$2:$B$101,MATCH($D982,Products!$A$2:$A$101,0))&amp;"","(not found)"))</f>
        <v/>
      </c>
      <c r="O982" s="49" t="str">
        <f>IF($F982="","",IFERROR(INDEX(Batches!$B$2:$B$301,MATCH($F982,Batches!$A$2:$A$301,0))&amp;"","(not found)"))</f>
        <v/>
      </c>
      <c r="P982" s="49" t="str">
        <f>IF(COUNTA($A982:$L982)=0,"",IF($A982="","Missing: entry ID",IF(COUNTIF($A$2:$A$2001,$A982)&gt;1,"Duplicate entry ID",IF(NOT(ISNUMBER($B982)),"Missing or invalid: date",IF($C982="","Missing: type",IF($D982="","Missing: SKU",IF(NOT(ISNUMBER($E982)),"Missing: qty",IF($F982="","Missing: lot",IF($I982="","Missing: source link",IF(COUNTIF(Config!$A$15:$A$34,$C982)=0,"Unsupported type",IF(COUNTIF(Products!$A$2:$A$101,$D982)=0,"Unknown SKU",IF(COUNTIFS(Batches!$A$2:$A$301,$F982,Batches!$B$2:$B$301,$D982)=0,"Unknown lot for this SKU",IF(AND($C982="Adjustment",$G982=""),"Missing: reason",IF(AND($G982&lt;&gt;"",COUNTIF(Config!$B$15:$B$34,$G982)=0),"Unsupported reason",IF(OR(INT($E982)&lt;&gt;$E982,AND(OR($C982="Receipt",$C982="Shipment"),$E982&lt;=0),AND($C982="Adjustment",$E982=0)),"Invalid qty",IF($B982&gt;Config!$B$4,"Date after the as-of date",IF($B982&lt;Config!$B$5,"Date before the opening balance date","OK")))))))))))))))))</f>
        <v/>
      </c>
    </row>
    <row r="983">
      <c r="A983" s="46" t="n"/>
      <c r="B983" s="54" t="n"/>
      <c r="C983" s="46" t="n"/>
      <c r="D983" s="46" t="n"/>
      <c r="E983" s="55" t="n"/>
      <c r="F983" s="46" t="n"/>
      <c r="G983" s="46" t="n"/>
      <c r="H983" s="46" t="n"/>
      <c r="I983" s="46" t="n"/>
      <c r="J983" s="46" t="n"/>
      <c r="K983" s="46" t="n"/>
      <c r="L983" s="46" t="n"/>
      <c r="M983" s="51" t="str">
        <f>IF(NOT(ISNUMBER($E983)),"",IF($C983="Receipt",$E983,IF($C983="Shipment",-$E983,IF($C983="Adjustment",$E983,0))))</f>
        <v/>
      </c>
      <c r="N983" s="49" t="str">
        <f>IF($D983="","",IFERROR(INDEX(Products!$B$2:$B$101,MATCH($D983,Products!$A$2:$A$101,0))&amp;"","(not found)"))</f>
        <v/>
      </c>
      <c r="O983" s="49" t="str">
        <f>IF($F983="","",IFERROR(INDEX(Batches!$B$2:$B$301,MATCH($F983,Batches!$A$2:$A$301,0))&amp;"","(not found)"))</f>
        <v/>
      </c>
      <c r="P983" s="49" t="str">
        <f>IF(COUNTA($A983:$L983)=0,"",IF($A983="","Missing: entry ID",IF(COUNTIF($A$2:$A$2001,$A983)&gt;1,"Duplicate entry ID",IF(NOT(ISNUMBER($B983)),"Missing or invalid: date",IF($C983="","Missing: type",IF($D983="","Missing: SKU",IF(NOT(ISNUMBER($E983)),"Missing: qty",IF($F983="","Missing: lot",IF($I983="","Missing: source link",IF(COUNTIF(Config!$A$15:$A$34,$C983)=0,"Unsupported type",IF(COUNTIF(Products!$A$2:$A$101,$D983)=0,"Unknown SKU",IF(COUNTIFS(Batches!$A$2:$A$301,$F983,Batches!$B$2:$B$301,$D983)=0,"Unknown lot for this SKU",IF(AND($C983="Adjustment",$G983=""),"Missing: reason",IF(AND($G983&lt;&gt;"",COUNTIF(Config!$B$15:$B$34,$G983)=0),"Unsupported reason",IF(OR(INT($E983)&lt;&gt;$E983,AND(OR($C983="Receipt",$C983="Shipment"),$E983&lt;=0),AND($C983="Adjustment",$E983=0)),"Invalid qty",IF($B983&gt;Config!$B$4,"Date after the as-of date",IF($B983&lt;Config!$B$5,"Date before the opening balance date","OK")))))))))))))))))</f>
        <v/>
      </c>
    </row>
    <row r="984">
      <c r="A984" s="46" t="n"/>
      <c r="B984" s="54" t="n"/>
      <c r="C984" s="46" t="n"/>
      <c r="D984" s="46" t="n"/>
      <c r="E984" s="55" t="n"/>
      <c r="F984" s="46" t="n"/>
      <c r="G984" s="46" t="n"/>
      <c r="H984" s="46" t="n"/>
      <c r="I984" s="46" t="n"/>
      <c r="J984" s="46" t="n"/>
      <c r="K984" s="46" t="n"/>
      <c r="L984" s="46" t="n"/>
      <c r="M984" s="51" t="str">
        <f>IF(NOT(ISNUMBER($E984)),"",IF($C984="Receipt",$E984,IF($C984="Shipment",-$E984,IF($C984="Adjustment",$E984,0))))</f>
        <v/>
      </c>
      <c r="N984" s="49" t="str">
        <f>IF($D984="","",IFERROR(INDEX(Products!$B$2:$B$101,MATCH($D984,Products!$A$2:$A$101,0))&amp;"","(not found)"))</f>
        <v/>
      </c>
      <c r="O984" s="49" t="str">
        <f>IF($F984="","",IFERROR(INDEX(Batches!$B$2:$B$301,MATCH($F984,Batches!$A$2:$A$301,0))&amp;"","(not found)"))</f>
        <v/>
      </c>
      <c r="P984" s="49" t="str">
        <f>IF(COUNTA($A984:$L984)=0,"",IF($A984="","Missing: entry ID",IF(COUNTIF($A$2:$A$2001,$A984)&gt;1,"Duplicate entry ID",IF(NOT(ISNUMBER($B984)),"Missing or invalid: date",IF($C984="","Missing: type",IF($D984="","Missing: SKU",IF(NOT(ISNUMBER($E984)),"Missing: qty",IF($F984="","Missing: lot",IF($I984="","Missing: source link",IF(COUNTIF(Config!$A$15:$A$34,$C984)=0,"Unsupported type",IF(COUNTIF(Products!$A$2:$A$101,$D984)=0,"Unknown SKU",IF(COUNTIFS(Batches!$A$2:$A$301,$F984,Batches!$B$2:$B$301,$D984)=0,"Unknown lot for this SKU",IF(AND($C984="Adjustment",$G984=""),"Missing: reason",IF(AND($G984&lt;&gt;"",COUNTIF(Config!$B$15:$B$34,$G984)=0),"Unsupported reason",IF(OR(INT($E984)&lt;&gt;$E984,AND(OR($C984="Receipt",$C984="Shipment"),$E984&lt;=0),AND($C984="Adjustment",$E984=0)),"Invalid qty",IF($B984&gt;Config!$B$4,"Date after the as-of date",IF($B984&lt;Config!$B$5,"Date before the opening balance date","OK")))))))))))))))))</f>
        <v/>
      </c>
    </row>
    <row r="985">
      <c r="A985" s="46" t="n"/>
      <c r="B985" s="54" t="n"/>
      <c r="C985" s="46" t="n"/>
      <c r="D985" s="46" t="n"/>
      <c r="E985" s="55" t="n"/>
      <c r="F985" s="46" t="n"/>
      <c r="G985" s="46" t="n"/>
      <c r="H985" s="46" t="n"/>
      <c r="I985" s="46" t="n"/>
      <c r="J985" s="46" t="n"/>
      <c r="K985" s="46" t="n"/>
      <c r="L985" s="46" t="n"/>
      <c r="M985" s="51" t="str">
        <f>IF(NOT(ISNUMBER($E985)),"",IF($C985="Receipt",$E985,IF($C985="Shipment",-$E985,IF($C985="Adjustment",$E985,0))))</f>
        <v/>
      </c>
      <c r="N985" s="49" t="str">
        <f>IF($D985="","",IFERROR(INDEX(Products!$B$2:$B$101,MATCH($D985,Products!$A$2:$A$101,0))&amp;"","(not found)"))</f>
        <v/>
      </c>
      <c r="O985" s="49" t="str">
        <f>IF($F985="","",IFERROR(INDEX(Batches!$B$2:$B$301,MATCH($F985,Batches!$A$2:$A$301,0))&amp;"","(not found)"))</f>
        <v/>
      </c>
      <c r="P985" s="49" t="str">
        <f>IF(COUNTA($A985:$L985)=0,"",IF($A985="","Missing: entry ID",IF(COUNTIF($A$2:$A$2001,$A985)&gt;1,"Duplicate entry ID",IF(NOT(ISNUMBER($B985)),"Missing or invalid: date",IF($C985="","Missing: type",IF($D985="","Missing: SKU",IF(NOT(ISNUMBER($E985)),"Missing: qty",IF($F985="","Missing: lot",IF($I985="","Missing: source link",IF(COUNTIF(Config!$A$15:$A$34,$C985)=0,"Unsupported type",IF(COUNTIF(Products!$A$2:$A$101,$D985)=0,"Unknown SKU",IF(COUNTIFS(Batches!$A$2:$A$301,$F985,Batches!$B$2:$B$301,$D985)=0,"Unknown lot for this SKU",IF(AND($C985="Adjustment",$G985=""),"Missing: reason",IF(AND($G985&lt;&gt;"",COUNTIF(Config!$B$15:$B$34,$G985)=0),"Unsupported reason",IF(OR(INT($E985)&lt;&gt;$E985,AND(OR($C985="Receipt",$C985="Shipment"),$E985&lt;=0),AND($C985="Adjustment",$E985=0)),"Invalid qty",IF($B985&gt;Config!$B$4,"Date after the as-of date",IF($B985&lt;Config!$B$5,"Date before the opening balance date","OK")))))))))))))))))</f>
        <v/>
      </c>
    </row>
    <row r="986">
      <c r="A986" s="46" t="n"/>
      <c r="B986" s="54" t="n"/>
      <c r="C986" s="46" t="n"/>
      <c r="D986" s="46" t="n"/>
      <c r="E986" s="55" t="n"/>
      <c r="F986" s="46" t="n"/>
      <c r="G986" s="46" t="n"/>
      <c r="H986" s="46" t="n"/>
      <c r="I986" s="46" t="n"/>
      <c r="J986" s="46" t="n"/>
      <c r="K986" s="46" t="n"/>
      <c r="L986" s="46" t="n"/>
      <c r="M986" s="51" t="str">
        <f>IF(NOT(ISNUMBER($E986)),"",IF($C986="Receipt",$E986,IF($C986="Shipment",-$E986,IF($C986="Adjustment",$E986,0))))</f>
        <v/>
      </c>
      <c r="N986" s="49" t="str">
        <f>IF($D986="","",IFERROR(INDEX(Products!$B$2:$B$101,MATCH($D986,Products!$A$2:$A$101,0))&amp;"","(not found)"))</f>
        <v/>
      </c>
      <c r="O986" s="49" t="str">
        <f>IF($F986="","",IFERROR(INDEX(Batches!$B$2:$B$301,MATCH($F986,Batches!$A$2:$A$301,0))&amp;"","(not found)"))</f>
        <v/>
      </c>
      <c r="P986" s="49" t="str">
        <f>IF(COUNTA($A986:$L986)=0,"",IF($A986="","Missing: entry ID",IF(COUNTIF($A$2:$A$2001,$A986)&gt;1,"Duplicate entry ID",IF(NOT(ISNUMBER($B986)),"Missing or invalid: date",IF($C986="","Missing: type",IF($D986="","Missing: SKU",IF(NOT(ISNUMBER($E986)),"Missing: qty",IF($F986="","Missing: lot",IF($I986="","Missing: source link",IF(COUNTIF(Config!$A$15:$A$34,$C986)=0,"Unsupported type",IF(COUNTIF(Products!$A$2:$A$101,$D986)=0,"Unknown SKU",IF(COUNTIFS(Batches!$A$2:$A$301,$F986,Batches!$B$2:$B$301,$D986)=0,"Unknown lot for this SKU",IF(AND($C986="Adjustment",$G986=""),"Missing: reason",IF(AND($G986&lt;&gt;"",COUNTIF(Config!$B$15:$B$34,$G986)=0),"Unsupported reason",IF(OR(INT($E986)&lt;&gt;$E986,AND(OR($C986="Receipt",$C986="Shipment"),$E986&lt;=0),AND($C986="Adjustment",$E986=0)),"Invalid qty",IF($B986&gt;Config!$B$4,"Date after the as-of date",IF($B986&lt;Config!$B$5,"Date before the opening balance date","OK")))))))))))))))))</f>
        <v/>
      </c>
    </row>
    <row r="987">
      <c r="A987" s="46" t="n"/>
      <c r="B987" s="54" t="n"/>
      <c r="C987" s="46" t="n"/>
      <c r="D987" s="46" t="n"/>
      <c r="E987" s="55" t="n"/>
      <c r="F987" s="46" t="n"/>
      <c r="G987" s="46" t="n"/>
      <c r="H987" s="46" t="n"/>
      <c r="I987" s="46" t="n"/>
      <c r="J987" s="46" t="n"/>
      <c r="K987" s="46" t="n"/>
      <c r="L987" s="46" t="n"/>
      <c r="M987" s="51" t="str">
        <f>IF(NOT(ISNUMBER($E987)),"",IF($C987="Receipt",$E987,IF($C987="Shipment",-$E987,IF($C987="Adjustment",$E987,0))))</f>
        <v/>
      </c>
      <c r="N987" s="49" t="str">
        <f>IF($D987="","",IFERROR(INDEX(Products!$B$2:$B$101,MATCH($D987,Products!$A$2:$A$101,0))&amp;"","(not found)"))</f>
        <v/>
      </c>
      <c r="O987" s="49" t="str">
        <f>IF($F987="","",IFERROR(INDEX(Batches!$B$2:$B$301,MATCH($F987,Batches!$A$2:$A$301,0))&amp;"","(not found)"))</f>
        <v/>
      </c>
      <c r="P987" s="49" t="str">
        <f>IF(COUNTA($A987:$L987)=0,"",IF($A987="","Missing: entry ID",IF(COUNTIF($A$2:$A$2001,$A987)&gt;1,"Duplicate entry ID",IF(NOT(ISNUMBER($B987)),"Missing or invalid: date",IF($C987="","Missing: type",IF($D987="","Missing: SKU",IF(NOT(ISNUMBER($E987)),"Missing: qty",IF($F987="","Missing: lot",IF($I987="","Missing: source link",IF(COUNTIF(Config!$A$15:$A$34,$C987)=0,"Unsupported type",IF(COUNTIF(Products!$A$2:$A$101,$D987)=0,"Unknown SKU",IF(COUNTIFS(Batches!$A$2:$A$301,$F987,Batches!$B$2:$B$301,$D987)=0,"Unknown lot for this SKU",IF(AND($C987="Adjustment",$G987=""),"Missing: reason",IF(AND($G987&lt;&gt;"",COUNTIF(Config!$B$15:$B$34,$G987)=0),"Unsupported reason",IF(OR(INT($E987)&lt;&gt;$E987,AND(OR($C987="Receipt",$C987="Shipment"),$E987&lt;=0),AND($C987="Adjustment",$E987=0)),"Invalid qty",IF($B987&gt;Config!$B$4,"Date after the as-of date",IF($B987&lt;Config!$B$5,"Date before the opening balance date","OK")))))))))))))))))</f>
        <v/>
      </c>
    </row>
    <row r="988">
      <c r="A988" s="46" t="n"/>
      <c r="B988" s="54" t="n"/>
      <c r="C988" s="46" t="n"/>
      <c r="D988" s="46" t="n"/>
      <c r="E988" s="55" t="n"/>
      <c r="F988" s="46" t="n"/>
      <c r="G988" s="46" t="n"/>
      <c r="H988" s="46" t="n"/>
      <c r="I988" s="46" t="n"/>
      <c r="J988" s="46" t="n"/>
      <c r="K988" s="46" t="n"/>
      <c r="L988" s="46" t="n"/>
      <c r="M988" s="51" t="str">
        <f>IF(NOT(ISNUMBER($E988)),"",IF($C988="Receipt",$E988,IF($C988="Shipment",-$E988,IF($C988="Adjustment",$E988,0))))</f>
        <v/>
      </c>
      <c r="N988" s="49" t="str">
        <f>IF($D988="","",IFERROR(INDEX(Products!$B$2:$B$101,MATCH($D988,Products!$A$2:$A$101,0))&amp;"","(not found)"))</f>
        <v/>
      </c>
      <c r="O988" s="49" t="str">
        <f>IF($F988="","",IFERROR(INDEX(Batches!$B$2:$B$301,MATCH($F988,Batches!$A$2:$A$301,0))&amp;"","(not found)"))</f>
        <v/>
      </c>
      <c r="P988" s="49" t="str">
        <f>IF(COUNTA($A988:$L988)=0,"",IF($A988="","Missing: entry ID",IF(COUNTIF($A$2:$A$2001,$A988)&gt;1,"Duplicate entry ID",IF(NOT(ISNUMBER($B988)),"Missing or invalid: date",IF($C988="","Missing: type",IF($D988="","Missing: SKU",IF(NOT(ISNUMBER($E988)),"Missing: qty",IF($F988="","Missing: lot",IF($I988="","Missing: source link",IF(COUNTIF(Config!$A$15:$A$34,$C988)=0,"Unsupported type",IF(COUNTIF(Products!$A$2:$A$101,$D988)=0,"Unknown SKU",IF(COUNTIFS(Batches!$A$2:$A$301,$F988,Batches!$B$2:$B$301,$D988)=0,"Unknown lot for this SKU",IF(AND($C988="Adjustment",$G988=""),"Missing: reason",IF(AND($G988&lt;&gt;"",COUNTIF(Config!$B$15:$B$34,$G988)=0),"Unsupported reason",IF(OR(INT($E988)&lt;&gt;$E988,AND(OR($C988="Receipt",$C988="Shipment"),$E988&lt;=0),AND($C988="Adjustment",$E988=0)),"Invalid qty",IF($B988&gt;Config!$B$4,"Date after the as-of date",IF($B988&lt;Config!$B$5,"Date before the opening balance date","OK")))))))))))))))))</f>
        <v/>
      </c>
    </row>
    <row r="989">
      <c r="A989" s="46" t="n"/>
      <c r="B989" s="54" t="n"/>
      <c r="C989" s="46" t="n"/>
      <c r="D989" s="46" t="n"/>
      <c r="E989" s="55" t="n"/>
      <c r="F989" s="46" t="n"/>
      <c r="G989" s="46" t="n"/>
      <c r="H989" s="46" t="n"/>
      <c r="I989" s="46" t="n"/>
      <c r="J989" s="46" t="n"/>
      <c r="K989" s="46" t="n"/>
      <c r="L989" s="46" t="n"/>
      <c r="M989" s="51" t="str">
        <f>IF(NOT(ISNUMBER($E989)),"",IF($C989="Receipt",$E989,IF($C989="Shipment",-$E989,IF($C989="Adjustment",$E989,0))))</f>
        <v/>
      </c>
      <c r="N989" s="49" t="str">
        <f>IF($D989="","",IFERROR(INDEX(Products!$B$2:$B$101,MATCH($D989,Products!$A$2:$A$101,0))&amp;"","(not found)"))</f>
        <v/>
      </c>
      <c r="O989" s="49" t="str">
        <f>IF($F989="","",IFERROR(INDEX(Batches!$B$2:$B$301,MATCH($F989,Batches!$A$2:$A$301,0))&amp;"","(not found)"))</f>
        <v/>
      </c>
      <c r="P989" s="49" t="str">
        <f>IF(COUNTA($A989:$L989)=0,"",IF($A989="","Missing: entry ID",IF(COUNTIF($A$2:$A$2001,$A989)&gt;1,"Duplicate entry ID",IF(NOT(ISNUMBER($B989)),"Missing or invalid: date",IF($C989="","Missing: type",IF($D989="","Missing: SKU",IF(NOT(ISNUMBER($E989)),"Missing: qty",IF($F989="","Missing: lot",IF($I989="","Missing: source link",IF(COUNTIF(Config!$A$15:$A$34,$C989)=0,"Unsupported type",IF(COUNTIF(Products!$A$2:$A$101,$D989)=0,"Unknown SKU",IF(COUNTIFS(Batches!$A$2:$A$301,$F989,Batches!$B$2:$B$301,$D989)=0,"Unknown lot for this SKU",IF(AND($C989="Adjustment",$G989=""),"Missing: reason",IF(AND($G989&lt;&gt;"",COUNTIF(Config!$B$15:$B$34,$G989)=0),"Unsupported reason",IF(OR(INT($E989)&lt;&gt;$E989,AND(OR($C989="Receipt",$C989="Shipment"),$E989&lt;=0),AND($C989="Adjustment",$E989=0)),"Invalid qty",IF($B989&gt;Config!$B$4,"Date after the as-of date",IF($B989&lt;Config!$B$5,"Date before the opening balance date","OK")))))))))))))))))</f>
        <v/>
      </c>
    </row>
    <row r="990">
      <c r="A990" s="46" t="n"/>
      <c r="B990" s="54" t="n"/>
      <c r="C990" s="46" t="n"/>
      <c r="D990" s="46" t="n"/>
      <c r="E990" s="55" t="n"/>
      <c r="F990" s="46" t="n"/>
      <c r="G990" s="46" t="n"/>
      <c r="H990" s="46" t="n"/>
      <c r="I990" s="46" t="n"/>
      <c r="J990" s="46" t="n"/>
      <c r="K990" s="46" t="n"/>
      <c r="L990" s="46" t="n"/>
      <c r="M990" s="51" t="str">
        <f>IF(NOT(ISNUMBER($E990)),"",IF($C990="Receipt",$E990,IF($C990="Shipment",-$E990,IF($C990="Adjustment",$E990,0))))</f>
        <v/>
      </c>
      <c r="N990" s="49" t="str">
        <f>IF($D990="","",IFERROR(INDEX(Products!$B$2:$B$101,MATCH($D990,Products!$A$2:$A$101,0))&amp;"","(not found)"))</f>
        <v/>
      </c>
      <c r="O990" s="49" t="str">
        <f>IF($F990="","",IFERROR(INDEX(Batches!$B$2:$B$301,MATCH($F990,Batches!$A$2:$A$301,0))&amp;"","(not found)"))</f>
        <v/>
      </c>
      <c r="P990" s="49" t="str">
        <f>IF(COUNTA($A990:$L990)=0,"",IF($A990="","Missing: entry ID",IF(COUNTIF($A$2:$A$2001,$A990)&gt;1,"Duplicate entry ID",IF(NOT(ISNUMBER($B990)),"Missing or invalid: date",IF($C990="","Missing: type",IF($D990="","Missing: SKU",IF(NOT(ISNUMBER($E990)),"Missing: qty",IF($F990="","Missing: lot",IF($I990="","Missing: source link",IF(COUNTIF(Config!$A$15:$A$34,$C990)=0,"Unsupported type",IF(COUNTIF(Products!$A$2:$A$101,$D990)=0,"Unknown SKU",IF(COUNTIFS(Batches!$A$2:$A$301,$F990,Batches!$B$2:$B$301,$D990)=0,"Unknown lot for this SKU",IF(AND($C990="Adjustment",$G990=""),"Missing: reason",IF(AND($G990&lt;&gt;"",COUNTIF(Config!$B$15:$B$34,$G990)=0),"Unsupported reason",IF(OR(INT($E990)&lt;&gt;$E990,AND(OR($C990="Receipt",$C990="Shipment"),$E990&lt;=0),AND($C990="Adjustment",$E990=0)),"Invalid qty",IF($B990&gt;Config!$B$4,"Date after the as-of date",IF($B990&lt;Config!$B$5,"Date before the opening balance date","OK")))))))))))))))))</f>
        <v/>
      </c>
    </row>
    <row r="991">
      <c r="A991" s="46" t="n"/>
      <c r="B991" s="54" t="n"/>
      <c r="C991" s="46" t="n"/>
      <c r="D991" s="46" t="n"/>
      <c r="E991" s="55" t="n"/>
      <c r="F991" s="46" t="n"/>
      <c r="G991" s="46" t="n"/>
      <c r="H991" s="46" t="n"/>
      <c r="I991" s="46" t="n"/>
      <c r="J991" s="46" t="n"/>
      <c r="K991" s="46" t="n"/>
      <c r="L991" s="46" t="n"/>
      <c r="M991" s="51" t="str">
        <f>IF(NOT(ISNUMBER($E991)),"",IF($C991="Receipt",$E991,IF($C991="Shipment",-$E991,IF($C991="Adjustment",$E991,0))))</f>
        <v/>
      </c>
      <c r="N991" s="49" t="str">
        <f>IF($D991="","",IFERROR(INDEX(Products!$B$2:$B$101,MATCH($D991,Products!$A$2:$A$101,0))&amp;"","(not found)"))</f>
        <v/>
      </c>
      <c r="O991" s="49" t="str">
        <f>IF($F991="","",IFERROR(INDEX(Batches!$B$2:$B$301,MATCH($F991,Batches!$A$2:$A$301,0))&amp;"","(not found)"))</f>
        <v/>
      </c>
      <c r="P991" s="49" t="str">
        <f>IF(COUNTA($A991:$L991)=0,"",IF($A991="","Missing: entry ID",IF(COUNTIF($A$2:$A$2001,$A991)&gt;1,"Duplicate entry ID",IF(NOT(ISNUMBER($B991)),"Missing or invalid: date",IF($C991="","Missing: type",IF($D991="","Missing: SKU",IF(NOT(ISNUMBER($E991)),"Missing: qty",IF($F991="","Missing: lot",IF($I991="","Missing: source link",IF(COUNTIF(Config!$A$15:$A$34,$C991)=0,"Unsupported type",IF(COUNTIF(Products!$A$2:$A$101,$D991)=0,"Unknown SKU",IF(COUNTIFS(Batches!$A$2:$A$301,$F991,Batches!$B$2:$B$301,$D991)=0,"Unknown lot for this SKU",IF(AND($C991="Adjustment",$G991=""),"Missing: reason",IF(AND($G991&lt;&gt;"",COUNTIF(Config!$B$15:$B$34,$G991)=0),"Unsupported reason",IF(OR(INT($E991)&lt;&gt;$E991,AND(OR($C991="Receipt",$C991="Shipment"),$E991&lt;=0),AND($C991="Adjustment",$E991=0)),"Invalid qty",IF($B991&gt;Config!$B$4,"Date after the as-of date",IF($B991&lt;Config!$B$5,"Date before the opening balance date","OK")))))))))))))))))</f>
        <v/>
      </c>
    </row>
    <row r="992">
      <c r="A992" s="46" t="n"/>
      <c r="B992" s="54" t="n"/>
      <c r="C992" s="46" t="n"/>
      <c r="D992" s="46" t="n"/>
      <c r="E992" s="55" t="n"/>
      <c r="F992" s="46" t="n"/>
      <c r="G992" s="46" t="n"/>
      <c r="H992" s="46" t="n"/>
      <c r="I992" s="46" t="n"/>
      <c r="J992" s="46" t="n"/>
      <c r="K992" s="46" t="n"/>
      <c r="L992" s="46" t="n"/>
      <c r="M992" s="51" t="str">
        <f>IF(NOT(ISNUMBER($E992)),"",IF($C992="Receipt",$E992,IF($C992="Shipment",-$E992,IF($C992="Adjustment",$E992,0))))</f>
        <v/>
      </c>
      <c r="N992" s="49" t="str">
        <f>IF($D992="","",IFERROR(INDEX(Products!$B$2:$B$101,MATCH($D992,Products!$A$2:$A$101,0))&amp;"","(not found)"))</f>
        <v/>
      </c>
      <c r="O992" s="49" t="str">
        <f>IF($F992="","",IFERROR(INDEX(Batches!$B$2:$B$301,MATCH($F992,Batches!$A$2:$A$301,0))&amp;"","(not found)"))</f>
        <v/>
      </c>
      <c r="P992" s="49" t="str">
        <f>IF(COUNTA($A992:$L992)=0,"",IF($A992="","Missing: entry ID",IF(COUNTIF($A$2:$A$2001,$A992)&gt;1,"Duplicate entry ID",IF(NOT(ISNUMBER($B992)),"Missing or invalid: date",IF($C992="","Missing: type",IF($D992="","Missing: SKU",IF(NOT(ISNUMBER($E992)),"Missing: qty",IF($F992="","Missing: lot",IF($I992="","Missing: source link",IF(COUNTIF(Config!$A$15:$A$34,$C992)=0,"Unsupported type",IF(COUNTIF(Products!$A$2:$A$101,$D992)=0,"Unknown SKU",IF(COUNTIFS(Batches!$A$2:$A$301,$F992,Batches!$B$2:$B$301,$D992)=0,"Unknown lot for this SKU",IF(AND($C992="Adjustment",$G992=""),"Missing: reason",IF(AND($G992&lt;&gt;"",COUNTIF(Config!$B$15:$B$34,$G992)=0),"Unsupported reason",IF(OR(INT($E992)&lt;&gt;$E992,AND(OR($C992="Receipt",$C992="Shipment"),$E992&lt;=0),AND($C992="Adjustment",$E992=0)),"Invalid qty",IF($B992&gt;Config!$B$4,"Date after the as-of date",IF($B992&lt;Config!$B$5,"Date before the opening balance date","OK")))))))))))))))))</f>
        <v/>
      </c>
    </row>
    <row r="993">
      <c r="A993" s="46" t="n"/>
      <c r="B993" s="54" t="n"/>
      <c r="C993" s="46" t="n"/>
      <c r="D993" s="46" t="n"/>
      <c r="E993" s="55" t="n"/>
      <c r="F993" s="46" t="n"/>
      <c r="G993" s="46" t="n"/>
      <c r="H993" s="46" t="n"/>
      <c r="I993" s="46" t="n"/>
      <c r="J993" s="46" t="n"/>
      <c r="K993" s="46" t="n"/>
      <c r="L993" s="46" t="n"/>
      <c r="M993" s="51" t="str">
        <f>IF(NOT(ISNUMBER($E993)),"",IF($C993="Receipt",$E993,IF($C993="Shipment",-$E993,IF($C993="Adjustment",$E993,0))))</f>
        <v/>
      </c>
      <c r="N993" s="49" t="str">
        <f>IF($D993="","",IFERROR(INDEX(Products!$B$2:$B$101,MATCH($D993,Products!$A$2:$A$101,0))&amp;"","(not found)"))</f>
        <v/>
      </c>
      <c r="O993" s="49" t="str">
        <f>IF($F993="","",IFERROR(INDEX(Batches!$B$2:$B$301,MATCH($F993,Batches!$A$2:$A$301,0))&amp;"","(not found)"))</f>
        <v/>
      </c>
      <c r="P993" s="49" t="str">
        <f>IF(COUNTA($A993:$L993)=0,"",IF($A993="","Missing: entry ID",IF(COUNTIF($A$2:$A$2001,$A993)&gt;1,"Duplicate entry ID",IF(NOT(ISNUMBER($B993)),"Missing or invalid: date",IF($C993="","Missing: type",IF($D993="","Missing: SKU",IF(NOT(ISNUMBER($E993)),"Missing: qty",IF($F993="","Missing: lot",IF($I993="","Missing: source link",IF(COUNTIF(Config!$A$15:$A$34,$C993)=0,"Unsupported type",IF(COUNTIF(Products!$A$2:$A$101,$D993)=0,"Unknown SKU",IF(COUNTIFS(Batches!$A$2:$A$301,$F993,Batches!$B$2:$B$301,$D993)=0,"Unknown lot for this SKU",IF(AND($C993="Adjustment",$G993=""),"Missing: reason",IF(AND($G993&lt;&gt;"",COUNTIF(Config!$B$15:$B$34,$G993)=0),"Unsupported reason",IF(OR(INT($E993)&lt;&gt;$E993,AND(OR($C993="Receipt",$C993="Shipment"),$E993&lt;=0),AND($C993="Adjustment",$E993=0)),"Invalid qty",IF($B993&gt;Config!$B$4,"Date after the as-of date",IF($B993&lt;Config!$B$5,"Date before the opening balance date","OK")))))))))))))))))</f>
        <v/>
      </c>
    </row>
    <row r="994">
      <c r="A994" s="46" t="n"/>
      <c r="B994" s="54" t="n"/>
      <c r="C994" s="46" t="n"/>
      <c r="D994" s="46" t="n"/>
      <c r="E994" s="55" t="n"/>
      <c r="F994" s="46" t="n"/>
      <c r="G994" s="46" t="n"/>
      <c r="H994" s="46" t="n"/>
      <c r="I994" s="46" t="n"/>
      <c r="J994" s="46" t="n"/>
      <c r="K994" s="46" t="n"/>
      <c r="L994" s="46" t="n"/>
      <c r="M994" s="51" t="str">
        <f>IF(NOT(ISNUMBER($E994)),"",IF($C994="Receipt",$E994,IF($C994="Shipment",-$E994,IF($C994="Adjustment",$E994,0))))</f>
        <v/>
      </c>
      <c r="N994" s="49" t="str">
        <f>IF($D994="","",IFERROR(INDEX(Products!$B$2:$B$101,MATCH($D994,Products!$A$2:$A$101,0))&amp;"","(not found)"))</f>
        <v/>
      </c>
      <c r="O994" s="49" t="str">
        <f>IF($F994="","",IFERROR(INDEX(Batches!$B$2:$B$301,MATCH($F994,Batches!$A$2:$A$301,0))&amp;"","(not found)"))</f>
        <v/>
      </c>
      <c r="P994" s="49" t="str">
        <f>IF(COUNTA($A994:$L994)=0,"",IF($A994="","Missing: entry ID",IF(COUNTIF($A$2:$A$2001,$A994)&gt;1,"Duplicate entry ID",IF(NOT(ISNUMBER($B994)),"Missing or invalid: date",IF($C994="","Missing: type",IF($D994="","Missing: SKU",IF(NOT(ISNUMBER($E994)),"Missing: qty",IF($F994="","Missing: lot",IF($I994="","Missing: source link",IF(COUNTIF(Config!$A$15:$A$34,$C994)=0,"Unsupported type",IF(COUNTIF(Products!$A$2:$A$101,$D994)=0,"Unknown SKU",IF(COUNTIFS(Batches!$A$2:$A$301,$F994,Batches!$B$2:$B$301,$D994)=0,"Unknown lot for this SKU",IF(AND($C994="Adjustment",$G994=""),"Missing: reason",IF(AND($G994&lt;&gt;"",COUNTIF(Config!$B$15:$B$34,$G994)=0),"Unsupported reason",IF(OR(INT($E994)&lt;&gt;$E994,AND(OR($C994="Receipt",$C994="Shipment"),$E994&lt;=0),AND($C994="Adjustment",$E994=0)),"Invalid qty",IF($B994&gt;Config!$B$4,"Date after the as-of date",IF($B994&lt;Config!$B$5,"Date before the opening balance date","OK")))))))))))))))))</f>
        <v/>
      </c>
    </row>
    <row r="995">
      <c r="A995" s="46" t="n"/>
      <c r="B995" s="54" t="n"/>
      <c r="C995" s="46" t="n"/>
      <c r="D995" s="46" t="n"/>
      <c r="E995" s="55" t="n"/>
      <c r="F995" s="46" t="n"/>
      <c r="G995" s="46" t="n"/>
      <c r="H995" s="46" t="n"/>
      <c r="I995" s="46" t="n"/>
      <c r="J995" s="46" t="n"/>
      <c r="K995" s="46" t="n"/>
      <c r="L995" s="46" t="n"/>
      <c r="M995" s="51" t="str">
        <f>IF(NOT(ISNUMBER($E995)),"",IF($C995="Receipt",$E995,IF($C995="Shipment",-$E995,IF($C995="Adjustment",$E995,0))))</f>
        <v/>
      </c>
      <c r="N995" s="49" t="str">
        <f>IF($D995="","",IFERROR(INDEX(Products!$B$2:$B$101,MATCH($D995,Products!$A$2:$A$101,0))&amp;"","(not found)"))</f>
        <v/>
      </c>
      <c r="O995" s="49" t="str">
        <f>IF($F995="","",IFERROR(INDEX(Batches!$B$2:$B$301,MATCH($F995,Batches!$A$2:$A$301,0))&amp;"","(not found)"))</f>
        <v/>
      </c>
      <c r="P995" s="49" t="str">
        <f>IF(COUNTA($A995:$L995)=0,"",IF($A995="","Missing: entry ID",IF(COUNTIF($A$2:$A$2001,$A995)&gt;1,"Duplicate entry ID",IF(NOT(ISNUMBER($B995)),"Missing or invalid: date",IF($C995="","Missing: type",IF($D995="","Missing: SKU",IF(NOT(ISNUMBER($E995)),"Missing: qty",IF($F995="","Missing: lot",IF($I995="","Missing: source link",IF(COUNTIF(Config!$A$15:$A$34,$C995)=0,"Unsupported type",IF(COUNTIF(Products!$A$2:$A$101,$D995)=0,"Unknown SKU",IF(COUNTIFS(Batches!$A$2:$A$301,$F995,Batches!$B$2:$B$301,$D995)=0,"Unknown lot for this SKU",IF(AND($C995="Adjustment",$G995=""),"Missing: reason",IF(AND($G995&lt;&gt;"",COUNTIF(Config!$B$15:$B$34,$G995)=0),"Unsupported reason",IF(OR(INT($E995)&lt;&gt;$E995,AND(OR($C995="Receipt",$C995="Shipment"),$E995&lt;=0),AND($C995="Adjustment",$E995=0)),"Invalid qty",IF($B995&gt;Config!$B$4,"Date after the as-of date",IF($B995&lt;Config!$B$5,"Date before the opening balance date","OK")))))))))))))))))</f>
        <v/>
      </c>
    </row>
    <row r="996">
      <c r="A996" s="46" t="n"/>
      <c r="B996" s="54" t="n"/>
      <c r="C996" s="46" t="n"/>
      <c r="D996" s="46" t="n"/>
      <c r="E996" s="55" t="n"/>
      <c r="F996" s="46" t="n"/>
      <c r="G996" s="46" t="n"/>
      <c r="H996" s="46" t="n"/>
      <c r="I996" s="46" t="n"/>
      <c r="J996" s="46" t="n"/>
      <c r="K996" s="46" t="n"/>
      <c r="L996" s="46" t="n"/>
      <c r="M996" s="51" t="str">
        <f>IF(NOT(ISNUMBER($E996)),"",IF($C996="Receipt",$E996,IF($C996="Shipment",-$E996,IF($C996="Adjustment",$E996,0))))</f>
        <v/>
      </c>
      <c r="N996" s="49" t="str">
        <f>IF($D996="","",IFERROR(INDEX(Products!$B$2:$B$101,MATCH($D996,Products!$A$2:$A$101,0))&amp;"","(not found)"))</f>
        <v/>
      </c>
      <c r="O996" s="49" t="str">
        <f>IF($F996="","",IFERROR(INDEX(Batches!$B$2:$B$301,MATCH($F996,Batches!$A$2:$A$301,0))&amp;"","(not found)"))</f>
        <v/>
      </c>
      <c r="P996" s="49" t="str">
        <f>IF(COUNTA($A996:$L996)=0,"",IF($A996="","Missing: entry ID",IF(COUNTIF($A$2:$A$2001,$A996)&gt;1,"Duplicate entry ID",IF(NOT(ISNUMBER($B996)),"Missing or invalid: date",IF($C996="","Missing: type",IF($D996="","Missing: SKU",IF(NOT(ISNUMBER($E996)),"Missing: qty",IF($F996="","Missing: lot",IF($I996="","Missing: source link",IF(COUNTIF(Config!$A$15:$A$34,$C996)=0,"Unsupported type",IF(COUNTIF(Products!$A$2:$A$101,$D996)=0,"Unknown SKU",IF(COUNTIFS(Batches!$A$2:$A$301,$F996,Batches!$B$2:$B$301,$D996)=0,"Unknown lot for this SKU",IF(AND($C996="Adjustment",$G996=""),"Missing: reason",IF(AND($G996&lt;&gt;"",COUNTIF(Config!$B$15:$B$34,$G996)=0),"Unsupported reason",IF(OR(INT($E996)&lt;&gt;$E996,AND(OR($C996="Receipt",$C996="Shipment"),$E996&lt;=0),AND($C996="Adjustment",$E996=0)),"Invalid qty",IF($B996&gt;Config!$B$4,"Date after the as-of date",IF($B996&lt;Config!$B$5,"Date before the opening balance date","OK")))))))))))))))))</f>
        <v/>
      </c>
    </row>
    <row r="997">
      <c r="A997" s="46" t="n"/>
      <c r="B997" s="54" t="n"/>
      <c r="C997" s="46" t="n"/>
      <c r="D997" s="46" t="n"/>
      <c r="E997" s="55" t="n"/>
      <c r="F997" s="46" t="n"/>
      <c r="G997" s="46" t="n"/>
      <c r="H997" s="46" t="n"/>
      <c r="I997" s="46" t="n"/>
      <c r="J997" s="46" t="n"/>
      <c r="K997" s="46" t="n"/>
      <c r="L997" s="46" t="n"/>
      <c r="M997" s="51" t="str">
        <f>IF(NOT(ISNUMBER($E997)),"",IF($C997="Receipt",$E997,IF($C997="Shipment",-$E997,IF($C997="Adjustment",$E997,0))))</f>
        <v/>
      </c>
      <c r="N997" s="49" t="str">
        <f>IF($D997="","",IFERROR(INDEX(Products!$B$2:$B$101,MATCH($D997,Products!$A$2:$A$101,0))&amp;"","(not found)"))</f>
        <v/>
      </c>
      <c r="O997" s="49" t="str">
        <f>IF($F997="","",IFERROR(INDEX(Batches!$B$2:$B$301,MATCH($F997,Batches!$A$2:$A$301,0))&amp;"","(not found)"))</f>
        <v/>
      </c>
      <c r="P997" s="49" t="str">
        <f>IF(COUNTA($A997:$L997)=0,"",IF($A997="","Missing: entry ID",IF(COUNTIF($A$2:$A$2001,$A997)&gt;1,"Duplicate entry ID",IF(NOT(ISNUMBER($B997)),"Missing or invalid: date",IF($C997="","Missing: type",IF($D997="","Missing: SKU",IF(NOT(ISNUMBER($E997)),"Missing: qty",IF($F997="","Missing: lot",IF($I997="","Missing: source link",IF(COUNTIF(Config!$A$15:$A$34,$C997)=0,"Unsupported type",IF(COUNTIF(Products!$A$2:$A$101,$D997)=0,"Unknown SKU",IF(COUNTIFS(Batches!$A$2:$A$301,$F997,Batches!$B$2:$B$301,$D997)=0,"Unknown lot for this SKU",IF(AND($C997="Adjustment",$G997=""),"Missing: reason",IF(AND($G997&lt;&gt;"",COUNTIF(Config!$B$15:$B$34,$G997)=0),"Unsupported reason",IF(OR(INT($E997)&lt;&gt;$E997,AND(OR($C997="Receipt",$C997="Shipment"),$E997&lt;=0),AND($C997="Adjustment",$E997=0)),"Invalid qty",IF($B997&gt;Config!$B$4,"Date after the as-of date",IF($B997&lt;Config!$B$5,"Date before the opening balance date","OK")))))))))))))))))</f>
        <v/>
      </c>
    </row>
    <row r="998">
      <c r="A998" s="46" t="n"/>
      <c r="B998" s="54" t="n"/>
      <c r="C998" s="46" t="n"/>
      <c r="D998" s="46" t="n"/>
      <c r="E998" s="55" t="n"/>
      <c r="F998" s="46" t="n"/>
      <c r="G998" s="46" t="n"/>
      <c r="H998" s="46" t="n"/>
      <c r="I998" s="46" t="n"/>
      <c r="J998" s="46" t="n"/>
      <c r="K998" s="46" t="n"/>
      <c r="L998" s="46" t="n"/>
      <c r="M998" s="51" t="str">
        <f>IF(NOT(ISNUMBER($E998)),"",IF($C998="Receipt",$E998,IF($C998="Shipment",-$E998,IF($C998="Adjustment",$E998,0))))</f>
        <v/>
      </c>
      <c r="N998" s="49" t="str">
        <f>IF($D998="","",IFERROR(INDEX(Products!$B$2:$B$101,MATCH($D998,Products!$A$2:$A$101,0))&amp;"","(not found)"))</f>
        <v/>
      </c>
      <c r="O998" s="49" t="str">
        <f>IF($F998="","",IFERROR(INDEX(Batches!$B$2:$B$301,MATCH($F998,Batches!$A$2:$A$301,0))&amp;"","(not found)"))</f>
        <v/>
      </c>
      <c r="P998" s="49" t="str">
        <f>IF(COUNTA($A998:$L998)=0,"",IF($A998="","Missing: entry ID",IF(COUNTIF($A$2:$A$2001,$A998)&gt;1,"Duplicate entry ID",IF(NOT(ISNUMBER($B998)),"Missing or invalid: date",IF($C998="","Missing: type",IF($D998="","Missing: SKU",IF(NOT(ISNUMBER($E998)),"Missing: qty",IF($F998="","Missing: lot",IF($I998="","Missing: source link",IF(COUNTIF(Config!$A$15:$A$34,$C998)=0,"Unsupported type",IF(COUNTIF(Products!$A$2:$A$101,$D998)=0,"Unknown SKU",IF(COUNTIFS(Batches!$A$2:$A$301,$F998,Batches!$B$2:$B$301,$D998)=0,"Unknown lot for this SKU",IF(AND($C998="Adjustment",$G998=""),"Missing: reason",IF(AND($G998&lt;&gt;"",COUNTIF(Config!$B$15:$B$34,$G998)=0),"Unsupported reason",IF(OR(INT($E998)&lt;&gt;$E998,AND(OR($C998="Receipt",$C998="Shipment"),$E998&lt;=0),AND($C998="Adjustment",$E998=0)),"Invalid qty",IF($B998&gt;Config!$B$4,"Date after the as-of date",IF($B998&lt;Config!$B$5,"Date before the opening balance date","OK")))))))))))))))))</f>
        <v/>
      </c>
    </row>
    <row r="999">
      <c r="A999" s="46" t="n"/>
      <c r="B999" s="54" t="n"/>
      <c r="C999" s="46" t="n"/>
      <c r="D999" s="46" t="n"/>
      <c r="E999" s="55" t="n"/>
      <c r="F999" s="46" t="n"/>
      <c r="G999" s="46" t="n"/>
      <c r="H999" s="46" t="n"/>
      <c r="I999" s="46" t="n"/>
      <c r="J999" s="46" t="n"/>
      <c r="K999" s="46" t="n"/>
      <c r="L999" s="46" t="n"/>
      <c r="M999" s="51" t="str">
        <f>IF(NOT(ISNUMBER($E999)),"",IF($C999="Receipt",$E999,IF($C999="Shipment",-$E999,IF($C999="Adjustment",$E999,0))))</f>
        <v/>
      </c>
      <c r="N999" s="49" t="str">
        <f>IF($D999="","",IFERROR(INDEX(Products!$B$2:$B$101,MATCH($D999,Products!$A$2:$A$101,0))&amp;"","(not found)"))</f>
        <v/>
      </c>
      <c r="O999" s="49" t="str">
        <f>IF($F999="","",IFERROR(INDEX(Batches!$B$2:$B$301,MATCH($F999,Batches!$A$2:$A$301,0))&amp;"","(not found)"))</f>
        <v/>
      </c>
      <c r="P999" s="49" t="str">
        <f>IF(COUNTA($A999:$L999)=0,"",IF($A999="","Missing: entry ID",IF(COUNTIF($A$2:$A$2001,$A999)&gt;1,"Duplicate entry ID",IF(NOT(ISNUMBER($B999)),"Missing or invalid: date",IF($C999="","Missing: type",IF($D999="","Missing: SKU",IF(NOT(ISNUMBER($E999)),"Missing: qty",IF($F999="","Missing: lot",IF($I999="","Missing: source link",IF(COUNTIF(Config!$A$15:$A$34,$C999)=0,"Unsupported type",IF(COUNTIF(Products!$A$2:$A$101,$D999)=0,"Unknown SKU",IF(COUNTIFS(Batches!$A$2:$A$301,$F999,Batches!$B$2:$B$301,$D999)=0,"Unknown lot for this SKU",IF(AND($C999="Adjustment",$G999=""),"Missing: reason",IF(AND($G999&lt;&gt;"",COUNTIF(Config!$B$15:$B$34,$G999)=0),"Unsupported reason",IF(OR(INT($E999)&lt;&gt;$E999,AND(OR($C999="Receipt",$C999="Shipment"),$E999&lt;=0),AND($C999="Adjustment",$E999=0)),"Invalid qty",IF($B999&gt;Config!$B$4,"Date after the as-of date",IF($B999&lt;Config!$B$5,"Date before the opening balance date","OK")))))))))))))))))</f>
        <v/>
      </c>
    </row>
    <row r="1000">
      <c r="A1000" s="46" t="n"/>
      <c r="B1000" s="54" t="n"/>
      <c r="C1000" s="46" t="n"/>
      <c r="D1000" s="46" t="n"/>
      <c r="E1000" s="55" t="n"/>
      <c r="F1000" s="46" t="n"/>
      <c r="G1000" s="46" t="n"/>
      <c r="H1000" s="46" t="n"/>
      <c r="I1000" s="46" t="n"/>
      <c r="J1000" s="46" t="n"/>
      <c r="K1000" s="46" t="n"/>
      <c r="L1000" s="46" t="n"/>
      <c r="M1000" s="51" t="str">
        <f>IF(NOT(ISNUMBER($E1000)),"",IF($C1000="Receipt",$E1000,IF($C1000="Shipment",-$E1000,IF($C1000="Adjustment",$E1000,0))))</f>
        <v/>
      </c>
      <c r="N1000" s="49" t="str">
        <f>IF($D1000="","",IFERROR(INDEX(Products!$B$2:$B$101,MATCH($D1000,Products!$A$2:$A$101,0))&amp;"","(not found)"))</f>
        <v/>
      </c>
      <c r="O1000" s="49" t="str">
        <f>IF($F1000="","",IFERROR(INDEX(Batches!$B$2:$B$301,MATCH($F1000,Batches!$A$2:$A$301,0))&amp;"","(not found)"))</f>
        <v/>
      </c>
      <c r="P1000" s="49" t="str">
        <f>IF(COUNTA($A1000:$L1000)=0,"",IF($A1000="","Missing: entry ID",IF(COUNTIF($A$2:$A$2001,$A1000)&gt;1,"Duplicate entry ID",IF(NOT(ISNUMBER($B1000)),"Missing or invalid: date",IF($C1000="","Missing: type",IF($D1000="","Missing: SKU",IF(NOT(ISNUMBER($E1000)),"Missing: qty",IF($F1000="","Missing: lot",IF($I1000="","Missing: source link",IF(COUNTIF(Config!$A$15:$A$34,$C1000)=0,"Unsupported type",IF(COUNTIF(Products!$A$2:$A$101,$D1000)=0,"Unknown SKU",IF(COUNTIFS(Batches!$A$2:$A$301,$F1000,Batches!$B$2:$B$301,$D1000)=0,"Unknown lot for this SKU",IF(AND($C1000="Adjustment",$G1000=""),"Missing: reason",IF(AND($G1000&lt;&gt;"",COUNTIF(Config!$B$15:$B$34,$G1000)=0),"Unsupported reason",IF(OR(INT($E1000)&lt;&gt;$E1000,AND(OR($C1000="Receipt",$C1000="Shipment"),$E1000&lt;=0),AND($C1000="Adjustment",$E1000=0)),"Invalid qty",IF($B1000&gt;Config!$B$4,"Date after the as-of date",IF($B1000&lt;Config!$B$5,"Date before the opening balance date","OK")))))))))))))))))</f>
        <v/>
      </c>
    </row>
    <row r="1001">
      <c r="A1001" s="46" t="n"/>
      <c r="B1001" s="54" t="n"/>
      <c r="C1001" s="46" t="n"/>
      <c r="D1001" s="46" t="n"/>
      <c r="E1001" s="55" t="n"/>
      <c r="F1001" s="46" t="n"/>
      <c r="G1001" s="46" t="n"/>
      <c r="H1001" s="46" t="n"/>
      <c r="I1001" s="46" t="n"/>
      <c r="J1001" s="46" t="n"/>
      <c r="K1001" s="46" t="n"/>
      <c r="L1001" s="46" t="n"/>
      <c r="M1001" s="51" t="str">
        <f>IF(NOT(ISNUMBER($E1001)),"",IF($C1001="Receipt",$E1001,IF($C1001="Shipment",-$E1001,IF($C1001="Adjustment",$E1001,0))))</f>
        <v/>
      </c>
      <c r="N1001" s="49" t="str">
        <f>IF($D1001="","",IFERROR(INDEX(Products!$B$2:$B$101,MATCH($D1001,Products!$A$2:$A$101,0))&amp;"","(not found)"))</f>
        <v/>
      </c>
      <c r="O1001" s="49" t="str">
        <f>IF($F1001="","",IFERROR(INDEX(Batches!$B$2:$B$301,MATCH($F1001,Batches!$A$2:$A$301,0))&amp;"","(not found)"))</f>
        <v/>
      </c>
      <c r="P1001" s="49" t="str">
        <f>IF(COUNTA($A1001:$L1001)=0,"",IF($A1001="","Missing: entry ID",IF(COUNTIF($A$2:$A$2001,$A1001)&gt;1,"Duplicate entry ID",IF(NOT(ISNUMBER($B1001)),"Missing or invalid: date",IF($C1001="","Missing: type",IF($D1001="","Missing: SKU",IF(NOT(ISNUMBER($E1001)),"Missing: qty",IF($F1001="","Missing: lot",IF($I1001="","Missing: source link",IF(COUNTIF(Config!$A$15:$A$34,$C1001)=0,"Unsupported type",IF(COUNTIF(Products!$A$2:$A$101,$D1001)=0,"Unknown SKU",IF(COUNTIFS(Batches!$A$2:$A$301,$F1001,Batches!$B$2:$B$301,$D1001)=0,"Unknown lot for this SKU",IF(AND($C1001="Adjustment",$G1001=""),"Missing: reason",IF(AND($G1001&lt;&gt;"",COUNTIF(Config!$B$15:$B$34,$G1001)=0),"Unsupported reason",IF(OR(INT($E1001)&lt;&gt;$E1001,AND(OR($C1001="Receipt",$C1001="Shipment"),$E1001&lt;=0),AND($C1001="Adjustment",$E1001=0)),"Invalid qty",IF($B1001&gt;Config!$B$4,"Date after the as-of date",IF($B1001&lt;Config!$B$5,"Date before the opening balance date","OK")))))))))))))))))</f>
        <v/>
      </c>
    </row>
    <row r="1002">
      <c r="A1002" s="46" t="n"/>
      <c r="B1002" s="54" t="n"/>
      <c r="C1002" s="46" t="n"/>
      <c r="D1002" s="46" t="n"/>
      <c r="E1002" s="55" t="n"/>
      <c r="F1002" s="46" t="n"/>
      <c r="G1002" s="46" t="n"/>
      <c r="H1002" s="46" t="n"/>
      <c r="I1002" s="46" t="n"/>
      <c r="J1002" s="46" t="n"/>
      <c r="K1002" s="46" t="n"/>
      <c r="L1002" s="46" t="n"/>
      <c r="M1002" s="51" t="str">
        <f>IF(NOT(ISNUMBER($E1002)),"",IF($C1002="Receipt",$E1002,IF($C1002="Shipment",-$E1002,IF($C1002="Adjustment",$E1002,0))))</f>
        <v/>
      </c>
      <c r="N1002" s="49" t="str">
        <f>IF($D1002="","",IFERROR(INDEX(Products!$B$2:$B$101,MATCH($D1002,Products!$A$2:$A$101,0))&amp;"","(not found)"))</f>
        <v/>
      </c>
      <c r="O1002" s="49" t="str">
        <f>IF($F1002="","",IFERROR(INDEX(Batches!$B$2:$B$301,MATCH($F1002,Batches!$A$2:$A$301,0))&amp;"","(not found)"))</f>
        <v/>
      </c>
      <c r="P1002" s="49" t="str">
        <f>IF(COUNTA($A1002:$L1002)=0,"",IF($A1002="","Missing: entry ID",IF(COUNTIF($A$2:$A$2001,$A1002)&gt;1,"Duplicate entry ID",IF(NOT(ISNUMBER($B1002)),"Missing or invalid: date",IF($C1002="","Missing: type",IF($D1002="","Missing: SKU",IF(NOT(ISNUMBER($E1002)),"Missing: qty",IF($F1002="","Missing: lot",IF($I1002="","Missing: source link",IF(COUNTIF(Config!$A$15:$A$34,$C1002)=0,"Unsupported type",IF(COUNTIF(Products!$A$2:$A$101,$D1002)=0,"Unknown SKU",IF(COUNTIFS(Batches!$A$2:$A$301,$F1002,Batches!$B$2:$B$301,$D1002)=0,"Unknown lot for this SKU",IF(AND($C1002="Adjustment",$G1002=""),"Missing: reason",IF(AND($G1002&lt;&gt;"",COUNTIF(Config!$B$15:$B$34,$G1002)=0),"Unsupported reason",IF(OR(INT($E1002)&lt;&gt;$E1002,AND(OR($C1002="Receipt",$C1002="Shipment"),$E1002&lt;=0),AND($C1002="Adjustment",$E1002=0)),"Invalid qty",IF($B1002&gt;Config!$B$4,"Date after the as-of date",IF($B1002&lt;Config!$B$5,"Date before the opening balance date","OK")))))))))))))))))</f>
        <v/>
      </c>
    </row>
    <row r="1003">
      <c r="A1003" s="46" t="n"/>
      <c r="B1003" s="54" t="n"/>
      <c r="C1003" s="46" t="n"/>
      <c r="D1003" s="46" t="n"/>
      <c r="E1003" s="55" t="n"/>
      <c r="F1003" s="46" t="n"/>
      <c r="G1003" s="46" t="n"/>
      <c r="H1003" s="46" t="n"/>
      <c r="I1003" s="46" t="n"/>
      <c r="J1003" s="46" t="n"/>
      <c r="K1003" s="46" t="n"/>
      <c r="L1003" s="46" t="n"/>
      <c r="M1003" s="51" t="str">
        <f>IF(NOT(ISNUMBER($E1003)),"",IF($C1003="Receipt",$E1003,IF($C1003="Shipment",-$E1003,IF($C1003="Adjustment",$E1003,0))))</f>
        <v/>
      </c>
      <c r="N1003" s="49" t="str">
        <f>IF($D1003="","",IFERROR(INDEX(Products!$B$2:$B$101,MATCH($D1003,Products!$A$2:$A$101,0))&amp;"","(not found)"))</f>
        <v/>
      </c>
      <c r="O1003" s="49" t="str">
        <f>IF($F1003="","",IFERROR(INDEX(Batches!$B$2:$B$301,MATCH($F1003,Batches!$A$2:$A$301,0))&amp;"","(not found)"))</f>
        <v/>
      </c>
      <c r="P1003" s="49" t="str">
        <f>IF(COUNTA($A1003:$L1003)=0,"",IF($A1003="","Missing: entry ID",IF(COUNTIF($A$2:$A$2001,$A1003)&gt;1,"Duplicate entry ID",IF(NOT(ISNUMBER($B1003)),"Missing or invalid: date",IF($C1003="","Missing: type",IF($D1003="","Missing: SKU",IF(NOT(ISNUMBER($E1003)),"Missing: qty",IF($F1003="","Missing: lot",IF($I1003="","Missing: source link",IF(COUNTIF(Config!$A$15:$A$34,$C1003)=0,"Unsupported type",IF(COUNTIF(Products!$A$2:$A$101,$D1003)=0,"Unknown SKU",IF(COUNTIFS(Batches!$A$2:$A$301,$F1003,Batches!$B$2:$B$301,$D1003)=0,"Unknown lot for this SKU",IF(AND($C1003="Adjustment",$G1003=""),"Missing: reason",IF(AND($G1003&lt;&gt;"",COUNTIF(Config!$B$15:$B$34,$G1003)=0),"Unsupported reason",IF(OR(INT($E1003)&lt;&gt;$E1003,AND(OR($C1003="Receipt",$C1003="Shipment"),$E1003&lt;=0),AND($C1003="Adjustment",$E1003=0)),"Invalid qty",IF($B1003&gt;Config!$B$4,"Date after the as-of date",IF($B1003&lt;Config!$B$5,"Date before the opening balance date","OK")))))))))))))))))</f>
        <v/>
      </c>
    </row>
    <row r="1004">
      <c r="A1004" s="46" t="n"/>
      <c r="B1004" s="54" t="n"/>
      <c r="C1004" s="46" t="n"/>
      <c r="D1004" s="46" t="n"/>
      <c r="E1004" s="55" t="n"/>
      <c r="F1004" s="46" t="n"/>
      <c r="G1004" s="46" t="n"/>
      <c r="H1004" s="46" t="n"/>
      <c r="I1004" s="46" t="n"/>
      <c r="J1004" s="46" t="n"/>
      <c r="K1004" s="46" t="n"/>
      <c r="L1004" s="46" t="n"/>
      <c r="M1004" s="51" t="str">
        <f>IF(NOT(ISNUMBER($E1004)),"",IF($C1004="Receipt",$E1004,IF($C1004="Shipment",-$E1004,IF($C1004="Adjustment",$E1004,0))))</f>
        <v/>
      </c>
      <c r="N1004" s="49" t="str">
        <f>IF($D1004="","",IFERROR(INDEX(Products!$B$2:$B$101,MATCH($D1004,Products!$A$2:$A$101,0))&amp;"","(not found)"))</f>
        <v/>
      </c>
      <c r="O1004" s="49" t="str">
        <f>IF($F1004="","",IFERROR(INDEX(Batches!$B$2:$B$301,MATCH($F1004,Batches!$A$2:$A$301,0))&amp;"","(not found)"))</f>
        <v/>
      </c>
      <c r="P1004" s="49" t="str">
        <f>IF(COUNTA($A1004:$L1004)=0,"",IF($A1004="","Missing: entry ID",IF(COUNTIF($A$2:$A$2001,$A1004)&gt;1,"Duplicate entry ID",IF(NOT(ISNUMBER($B1004)),"Missing or invalid: date",IF($C1004="","Missing: type",IF($D1004="","Missing: SKU",IF(NOT(ISNUMBER($E1004)),"Missing: qty",IF($F1004="","Missing: lot",IF($I1004="","Missing: source link",IF(COUNTIF(Config!$A$15:$A$34,$C1004)=0,"Unsupported type",IF(COUNTIF(Products!$A$2:$A$101,$D1004)=0,"Unknown SKU",IF(COUNTIFS(Batches!$A$2:$A$301,$F1004,Batches!$B$2:$B$301,$D1004)=0,"Unknown lot for this SKU",IF(AND($C1004="Adjustment",$G1004=""),"Missing: reason",IF(AND($G1004&lt;&gt;"",COUNTIF(Config!$B$15:$B$34,$G1004)=0),"Unsupported reason",IF(OR(INT($E1004)&lt;&gt;$E1004,AND(OR($C1004="Receipt",$C1004="Shipment"),$E1004&lt;=0),AND($C1004="Adjustment",$E1004=0)),"Invalid qty",IF($B1004&gt;Config!$B$4,"Date after the as-of date",IF($B1004&lt;Config!$B$5,"Date before the opening balance date","OK")))))))))))))))))</f>
        <v/>
      </c>
    </row>
    <row r="1005">
      <c r="A1005" s="46" t="n"/>
      <c r="B1005" s="54" t="n"/>
      <c r="C1005" s="46" t="n"/>
      <c r="D1005" s="46" t="n"/>
      <c r="E1005" s="55" t="n"/>
      <c r="F1005" s="46" t="n"/>
      <c r="G1005" s="46" t="n"/>
      <c r="H1005" s="46" t="n"/>
      <c r="I1005" s="46" t="n"/>
      <c r="J1005" s="46" t="n"/>
      <c r="K1005" s="46" t="n"/>
      <c r="L1005" s="46" t="n"/>
      <c r="M1005" s="51" t="str">
        <f>IF(NOT(ISNUMBER($E1005)),"",IF($C1005="Receipt",$E1005,IF($C1005="Shipment",-$E1005,IF($C1005="Adjustment",$E1005,0))))</f>
        <v/>
      </c>
      <c r="N1005" s="49" t="str">
        <f>IF($D1005="","",IFERROR(INDEX(Products!$B$2:$B$101,MATCH($D1005,Products!$A$2:$A$101,0))&amp;"","(not found)"))</f>
        <v/>
      </c>
      <c r="O1005" s="49" t="str">
        <f>IF($F1005="","",IFERROR(INDEX(Batches!$B$2:$B$301,MATCH($F1005,Batches!$A$2:$A$301,0))&amp;"","(not found)"))</f>
        <v/>
      </c>
      <c r="P1005" s="49" t="str">
        <f>IF(COUNTA($A1005:$L1005)=0,"",IF($A1005="","Missing: entry ID",IF(COUNTIF($A$2:$A$2001,$A1005)&gt;1,"Duplicate entry ID",IF(NOT(ISNUMBER($B1005)),"Missing or invalid: date",IF($C1005="","Missing: type",IF($D1005="","Missing: SKU",IF(NOT(ISNUMBER($E1005)),"Missing: qty",IF($F1005="","Missing: lot",IF($I1005="","Missing: source link",IF(COUNTIF(Config!$A$15:$A$34,$C1005)=0,"Unsupported type",IF(COUNTIF(Products!$A$2:$A$101,$D1005)=0,"Unknown SKU",IF(COUNTIFS(Batches!$A$2:$A$301,$F1005,Batches!$B$2:$B$301,$D1005)=0,"Unknown lot for this SKU",IF(AND($C1005="Adjustment",$G1005=""),"Missing: reason",IF(AND($G1005&lt;&gt;"",COUNTIF(Config!$B$15:$B$34,$G1005)=0),"Unsupported reason",IF(OR(INT($E1005)&lt;&gt;$E1005,AND(OR($C1005="Receipt",$C1005="Shipment"),$E1005&lt;=0),AND($C1005="Adjustment",$E1005=0)),"Invalid qty",IF($B1005&gt;Config!$B$4,"Date after the as-of date",IF($B1005&lt;Config!$B$5,"Date before the opening balance date","OK")))))))))))))))))</f>
        <v/>
      </c>
    </row>
    <row r="1006">
      <c r="A1006" s="46" t="n"/>
      <c r="B1006" s="54" t="n"/>
      <c r="C1006" s="46" t="n"/>
      <c r="D1006" s="46" t="n"/>
      <c r="E1006" s="55" t="n"/>
      <c r="F1006" s="46" t="n"/>
      <c r="G1006" s="46" t="n"/>
      <c r="H1006" s="46" t="n"/>
      <c r="I1006" s="46" t="n"/>
      <c r="J1006" s="46" t="n"/>
      <c r="K1006" s="46" t="n"/>
      <c r="L1006" s="46" t="n"/>
      <c r="M1006" s="51" t="str">
        <f>IF(NOT(ISNUMBER($E1006)),"",IF($C1006="Receipt",$E1006,IF($C1006="Shipment",-$E1006,IF($C1006="Adjustment",$E1006,0))))</f>
        <v/>
      </c>
      <c r="N1006" s="49" t="str">
        <f>IF($D1006="","",IFERROR(INDEX(Products!$B$2:$B$101,MATCH($D1006,Products!$A$2:$A$101,0))&amp;"","(not found)"))</f>
        <v/>
      </c>
      <c r="O1006" s="49" t="str">
        <f>IF($F1006="","",IFERROR(INDEX(Batches!$B$2:$B$301,MATCH($F1006,Batches!$A$2:$A$301,0))&amp;"","(not found)"))</f>
        <v/>
      </c>
      <c r="P1006" s="49" t="str">
        <f>IF(COUNTA($A1006:$L1006)=0,"",IF($A1006="","Missing: entry ID",IF(COUNTIF($A$2:$A$2001,$A1006)&gt;1,"Duplicate entry ID",IF(NOT(ISNUMBER($B1006)),"Missing or invalid: date",IF($C1006="","Missing: type",IF($D1006="","Missing: SKU",IF(NOT(ISNUMBER($E1006)),"Missing: qty",IF($F1006="","Missing: lot",IF($I1006="","Missing: source link",IF(COUNTIF(Config!$A$15:$A$34,$C1006)=0,"Unsupported type",IF(COUNTIF(Products!$A$2:$A$101,$D1006)=0,"Unknown SKU",IF(COUNTIFS(Batches!$A$2:$A$301,$F1006,Batches!$B$2:$B$301,$D1006)=0,"Unknown lot for this SKU",IF(AND($C1006="Adjustment",$G1006=""),"Missing: reason",IF(AND($G1006&lt;&gt;"",COUNTIF(Config!$B$15:$B$34,$G1006)=0),"Unsupported reason",IF(OR(INT($E1006)&lt;&gt;$E1006,AND(OR($C1006="Receipt",$C1006="Shipment"),$E1006&lt;=0),AND($C1006="Adjustment",$E1006=0)),"Invalid qty",IF($B1006&gt;Config!$B$4,"Date after the as-of date",IF($B1006&lt;Config!$B$5,"Date before the opening balance date","OK")))))))))))))))))</f>
        <v/>
      </c>
    </row>
    <row r="1007">
      <c r="A1007" s="46" t="n"/>
      <c r="B1007" s="54" t="n"/>
      <c r="C1007" s="46" t="n"/>
      <c r="D1007" s="46" t="n"/>
      <c r="E1007" s="55" t="n"/>
      <c r="F1007" s="46" t="n"/>
      <c r="G1007" s="46" t="n"/>
      <c r="H1007" s="46" t="n"/>
      <c r="I1007" s="46" t="n"/>
      <c r="J1007" s="46" t="n"/>
      <c r="K1007" s="46" t="n"/>
      <c r="L1007" s="46" t="n"/>
      <c r="M1007" s="51" t="str">
        <f>IF(NOT(ISNUMBER($E1007)),"",IF($C1007="Receipt",$E1007,IF($C1007="Shipment",-$E1007,IF($C1007="Adjustment",$E1007,0))))</f>
        <v/>
      </c>
      <c r="N1007" s="49" t="str">
        <f>IF($D1007="","",IFERROR(INDEX(Products!$B$2:$B$101,MATCH($D1007,Products!$A$2:$A$101,0))&amp;"","(not found)"))</f>
        <v/>
      </c>
      <c r="O1007" s="49" t="str">
        <f>IF($F1007="","",IFERROR(INDEX(Batches!$B$2:$B$301,MATCH($F1007,Batches!$A$2:$A$301,0))&amp;"","(not found)"))</f>
        <v/>
      </c>
      <c r="P1007" s="49" t="str">
        <f>IF(COUNTA($A1007:$L1007)=0,"",IF($A1007="","Missing: entry ID",IF(COUNTIF($A$2:$A$2001,$A1007)&gt;1,"Duplicate entry ID",IF(NOT(ISNUMBER($B1007)),"Missing or invalid: date",IF($C1007="","Missing: type",IF($D1007="","Missing: SKU",IF(NOT(ISNUMBER($E1007)),"Missing: qty",IF($F1007="","Missing: lot",IF($I1007="","Missing: source link",IF(COUNTIF(Config!$A$15:$A$34,$C1007)=0,"Unsupported type",IF(COUNTIF(Products!$A$2:$A$101,$D1007)=0,"Unknown SKU",IF(COUNTIFS(Batches!$A$2:$A$301,$F1007,Batches!$B$2:$B$301,$D1007)=0,"Unknown lot for this SKU",IF(AND($C1007="Adjustment",$G1007=""),"Missing: reason",IF(AND($G1007&lt;&gt;"",COUNTIF(Config!$B$15:$B$34,$G1007)=0),"Unsupported reason",IF(OR(INT($E1007)&lt;&gt;$E1007,AND(OR($C1007="Receipt",$C1007="Shipment"),$E1007&lt;=0),AND($C1007="Adjustment",$E1007=0)),"Invalid qty",IF($B1007&gt;Config!$B$4,"Date after the as-of date",IF($B1007&lt;Config!$B$5,"Date before the opening balance date","OK")))))))))))))))))</f>
        <v/>
      </c>
    </row>
    <row r="1008">
      <c r="A1008" s="46" t="n"/>
      <c r="B1008" s="54" t="n"/>
      <c r="C1008" s="46" t="n"/>
      <c r="D1008" s="46" t="n"/>
      <c r="E1008" s="55" t="n"/>
      <c r="F1008" s="46" t="n"/>
      <c r="G1008" s="46" t="n"/>
      <c r="H1008" s="46" t="n"/>
      <c r="I1008" s="46" t="n"/>
      <c r="J1008" s="46" t="n"/>
      <c r="K1008" s="46" t="n"/>
      <c r="L1008" s="46" t="n"/>
      <c r="M1008" s="51" t="str">
        <f>IF(NOT(ISNUMBER($E1008)),"",IF($C1008="Receipt",$E1008,IF($C1008="Shipment",-$E1008,IF($C1008="Adjustment",$E1008,0))))</f>
        <v/>
      </c>
      <c r="N1008" s="49" t="str">
        <f>IF($D1008="","",IFERROR(INDEX(Products!$B$2:$B$101,MATCH($D1008,Products!$A$2:$A$101,0))&amp;"","(not found)"))</f>
        <v/>
      </c>
      <c r="O1008" s="49" t="str">
        <f>IF($F1008="","",IFERROR(INDEX(Batches!$B$2:$B$301,MATCH($F1008,Batches!$A$2:$A$301,0))&amp;"","(not found)"))</f>
        <v/>
      </c>
      <c r="P1008" s="49" t="str">
        <f>IF(COUNTA($A1008:$L1008)=0,"",IF($A1008="","Missing: entry ID",IF(COUNTIF($A$2:$A$2001,$A1008)&gt;1,"Duplicate entry ID",IF(NOT(ISNUMBER($B1008)),"Missing or invalid: date",IF($C1008="","Missing: type",IF($D1008="","Missing: SKU",IF(NOT(ISNUMBER($E1008)),"Missing: qty",IF($F1008="","Missing: lot",IF($I1008="","Missing: source link",IF(COUNTIF(Config!$A$15:$A$34,$C1008)=0,"Unsupported type",IF(COUNTIF(Products!$A$2:$A$101,$D1008)=0,"Unknown SKU",IF(COUNTIFS(Batches!$A$2:$A$301,$F1008,Batches!$B$2:$B$301,$D1008)=0,"Unknown lot for this SKU",IF(AND($C1008="Adjustment",$G1008=""),"Missing: reason",IF(AND($G1008&lt;&gt;"",COUNTIF(Config!$B$15:$B$34,$G1008)=0),"Unsupported reason",IF(OR(INT($E1008)&lt;&gt;$E1008,AND(OR($C1008="Receipt",$C1008="Shipment"),$E1008&lt;=0),AND($C1008="Adjustment",$E1008=0)),"Invalid qty",IF($B1008&gt;Config!$B$4,"Date after the as-of date",IF($B1008&lt;Config!$B$5,"Date before the opening balance date","OK")))))))))))))))))</f>
        <v/>
      </c>
    </row>
    <row r="1009">
      <c r="A1009" s="46" t="n"/>
      <c r="B1009" s="54" t="n"/>
      <c r="C1009" s="46" t="n"/>
      <c r="D1009" s="46" t="n"/>
      <c r="E1009" s="55" t="n"/>
      <c r="F1009" s="46" t="n"/>
      <c r="G1009" s="46" t="n"/>
      <c r="H1009" s="46" t="n"/>
      <c r="I1009" s="46" t="n"/>
      <c r="J1009" s="46" t="n"/>
      <c r="K1009" s="46" t="n"/>
      <c r="L1009" s="46" t="n"/>
      <c r="M1009" s="51" t="str">
        <f>IF(NOT(ISNUMBER($E1009)),"",IF($C1009="Receipt",$E1009,IF($C1009="Shipment",-$E1009,IF($C1009="Adjustment",$E1009,0))))</f>
        <v/>
      </c>
      <c r="N1009" s="49" t="str">
        <f>IF($D1009="","",IFERROR(INDEX(Products!$B$2:$B$101,MATCH($D1009,Products!$A$2:$A$101,0))&amp;"","(not found)"))</f>
        <v/>
      </c>
      <c r="O1009" s="49" t="str">
        <f>IF($F1009="","",IFERROR(INDEX(Batches!$B$2:$B$301,MATCH($F1009,Batches!$A$2:$A$301,0))&amp;"","(not found)"))</f>
        <v/>
      </c>
      <c r="P1009" s="49" t="str">
        <f>IF(COUNTA($A1009:$L1009)=0,"",IF($A1009="","Missing: entry ID",IF(COUNTIF($A$2:$A$2001,$A1009)&gt;1,"Duplicate entry ID",IF(NOT(ISNUMBER($B1009)),"Missing or invalid: date",IF($C1009="","Missing: type",IF($D1009="","Missing: SKU",IF(NOT(ISNUMBER($E1009)),"Missing: qty",IF($F1009="","Missing: lot",IF($I1009="","Missing: source link",IF(COUNTIF(Config!$A$15:$A$34,$C1009)=0,"Unsupported type",IF(COUNTIF(Products!$A$2:$A$101,$D1009)=0,"Unknown SKU",IF(COUNTIFS(Batches!$A$2:$A$301,$F1009,Batches!$B$2:$B$301,$D1009)=0,"Unknown lot for this SKU",IF(AND($C1009="Adjustment",$G1009=""),"Missing: reason",IF(AND($G1009&lt;&gt;"",COUNTIF(Config!$B$15:$B$34,$G1009)=0),"Unsupported reason",IF(OR(INT($E1009)&lt;&gt;$E1009,AND(OR($C1009="Receipt",$C1009="Shipment"),$E1009&lt;=0),AND($C1009="Adjustment",$E1009=0)),"Invalid qty",IF($B1009&gt;Config!$B$4,"Date after the as-of date",IF($B1009&lt;Config!$B$5,"Date before the opening balance date","OK")))))))))))))))))</f>
        <v/>
      </c>
    </row>
    <row r="1010">
      <c r="A1010" s="46" t="n"/>
      <c r="B1010" s="54" t="n"/>
      <c r="C1010" s="46" t="n"/>
      <c r="D1010" s="46" t="n"/>
      <c r="E1010" s="55" t="n"/>
      <c r="F1010" s="46" t="n"/>
      <c r="G1010" s="46" t="n"/>
      <c r="H1010" s="46" t="n"/>
      <c r="I1010" s="46" t="n"/>
      <c r="J1010" s="46" t="n"/>
      <c r="K1010" s="46" t="n"/>
      <c r="L1010" s="46" t="n"/>
      <c r="M1010" s="51" t="str">
        <f>IF(NOT(ISNUMBER($E1010)),"",IF($C1010="Receipt",$E1010,IF($C1010="Shipment",-$E1010,IF($C1010="Adjustment",$E1010,0))))</f>
        <v/>
      </c>
      <c r="N1010" s="49" t="str">
        <f>IF($D1010="","",IFERROR(INDEX(Products!$B$2:$B$101,MATCH($D1010,Products!$A$2:$A$101,0))&amp;"","(not found)"))</f>
        <v/>
      </c>
      <c r="O1010" s="49" t="str">
        <f>IF($F1010="","",IFERROR(INDEX(Batches!$B$2:$B$301,MATCH($F1010,Batches!$A$2:$A$301,0))&amp;"","(not found)"))</f>
        <v/>
      </c>
      <c r="P1010" s="49" t="str">
        <f>IF(COUNTA($A1010:$L1010)=0,"",IF($A1010="","Missing: entry ID",IF(COUNTIF($A$2:$A$2001,$A1010)&gt;1,"Duplicate entry ID",IF(NOT(ISNUMBER($B1010)),"Missing or invalid: date",IF($C1010="","Missing: type",IF($D1010="","Missing: SKU",IF(NOT(ISNUMBER($E1010)),"Missing: qty",IF($F1010="","Missing: lot",IF($I1010="","Missing: source link",IF(COUNTIF(Config!$A$15:$A$34,$C1010)=0,"Unsupported type",IF(COUNTIF(Products!$A$2:$A$101,$D1010)=0,"Unknown SKU",IF(COUNTIFS(Batches!$A$2:$A$301,$F1010,Batches!$B$2:$B$301,$D1010)=0,"Unknown lot for this SKU",IF(AND($C1010="Adjustment",$G1010=""),"Missing: reason",IF(AND($G1010&lt;&gt;"",COUNTIF(Config!$B$15:$B$34,$G1010)=0),"Unsupported reason",IF(OR(INT($E1010)&lt;&gt;$E1010,AND(OR($C1010="Receipt",$C1010="Shipment"),$E1010&lt;=0),AND($C1010="Adjustment",$E1010=0)),"Invalid qty",IF($B1010&gt;Config!$B$4,"Date after the as-of date",IF($B1010&lt;Config!$B$5,"Date before the opening balance date","OK")))))))))))))))))</f>
        <v/>
      </c>
    </row>
    <row r="1011">
      <c r="A1011" s="46" t="n"/>
      <c r="B1011" s="54" t="n"/>
      <c r="C1011" s="46" t="n"/>
      <c r="D1011" s="46" t="n"/>
      <c r="E1011" s="55" t="n"/>
      <c r="F1011" s="46" t="n"/>
      <c r="G1011" s="46" t="n"/>
      <c r="H1011" s="46" t="n"/>
      <c r="I1011" s="46" t="n"/>
      <c r="J1011" s="46" t="n"/>
      <c r="K1011" s="46" t="n"/>
      <c r="L1011" s="46" t="n"/>
      <c r="M1011" s="51" t="str">
        <f>IF(NOT(ISNUMBER($E1011)),"",IF($C1011="Receipt",$E1011,IF($C1011="Shipment",-$E1011,IF($C1011="Adjustment",$E1011,0))))</f>
        <v/>
      </c>
      <c r="N1011" s="49" t="str">
        <f>IF($D1011="","",IFERROR(INDEX(Products!$B$2:$B$101,MATCH($D1011,Products!$A$2:$A$101,0))&amp;"","(not found)"))</f>
        <v/>
      </c>
      <c r="O1011" s="49" t="str">
        <f>IF($F1011="","",IFERROR(INDEX(Batches!$B$2:$B$301,MATCH($F1011,Batches!$A$2:$A$301,0))&amp;"","(not found)"))</f>
        <v/>
      </c>
      <c r="P1011" s="49" t="str">
        <f>IF(COUNTA($A1011:$L1011)=0,"",IF($A1011="","Missing: entry ID",IF(COUNTIF($A$2:$A$2001,$A1011)&gt;1,"Duplicate entry ID",IF(NOT(ISNUMBER($B1011)),"Missing or invalid: date",IF($C1011="","Missing: type",IF($D1011="","Missing: SKU",IF(NOT(ISNUMBER($E1011)),"Missing: qty",IF($F1011="","Missing: lot",IF($I1011="","Missing: source link",IF(COUNTIF(Config!$A$15:$A$34,$C1011)=0,"Unsupported type",IF(COUNTIF(Products!$A$2:$A$101,$D1011)=0,"Unknown SKU",IF(COUNTIFS(Batches!$A$2:$A$301,$F1011,Batches!$B$2:$B$301,$D1011)=0,"Unknown lot for this SKU",IF(AND($C1011="Adjustment",$G1011=""),"Missing: reason",IF(AND($G1011&lt;&gt;"",COUNTIF(Config!$B$15:$B$34,$G1011)=0),"Unsupported reason",IF(OR(INT($E1011)&lt;&gt;$E1011,AND(OR($C1011="Receipt",$C1011="Shipment"),$E1011&lt;=0),AND($C1011="Adjustment",$E1011=0)),"Invalid qty",IF($B1011&gt;Config!$B$4,"Date after the as-of date",IF($B1011&lt;Config!$B$5,"Date before the opening balance date","OK")))))))))))))))))</f>
        <v/>
      </c>
    </row>
    <row r="1012">
      <c r="A1012" s="46" t="n"/>
      <c r="B1012" s="54" t="n"/>
      <c r="C1012" s="46" t="n"/>
      <c r="D1012" s="46" t="n"/>
      <c r="E1012" s="55" t="n"/>
      <c r="F1012" s="46" t="n"/>
      <c r="G1012" s="46" t="n"/>
      <c r="H1012" s="46" t="n"/>
      <c r="I1012" s="46" t="n"/>
      <c r="J1012" s="46" t="n"/>
      <c r="K1012" s="46" t="n"/>
      <c r="L1012" s="46" t="n"/>
      <c r="M1012" s="51" t="str">
        <f>IF(NOT(ISNUMBER($E1012)),"",IF($C1012="Receipt",$E1012,IF($C1012="Shipment",-$E1012,IF($C1012="Adjustment",$E1012,0))))</f>
        <v/>
      </c>
      <c r="N1012" s="49" t="str">
        <f>IF($D1012="","",IFERROR(INDEX(Products!$B$2:$B$101,MATCH($D1012,Products!$A$2:$A$101,0))&amp;"","(not found)"))</f>
        <v/>
      </c>
      <c r="O1012" s="49" t="str">
        <f>IF($F1012="","",IFERROR(INDEX(Batches!$B$2:$B$301,MATCH($F1012,Batches!$A$2:$A$301,0))&amp;"","(not found)"))</f>
        <v/>
      </c>
      <c r="P1012" s="49" t="str">
        <f>IF(COUNTA($A1012:$L1012)=0,"",IF($A1012="","Missing: entry ID",IF(COUNTIF($A$2:$A$2001,$A1012)&gt;1,"Duplicate entry ID",IF(NOT(ISNUMBER($B1012)),"Missing or invalid: date",IF($C1012="","Missing: type",IF($D1012="","Missing: SKU",IF(NOT(ISNUMBER($E1012)),"Missing: qty",IF($F1012="","Missing: lot",IF($I1012="","Missing: source link",IF(COUNTIF(Config!$A$15:$A$34,$C1012)=0,"Unsupported type",IF(COUNTIF(Products!$A$2:$A$101,$D1012)=0,"Unknown SKU",IF(COUNTIFS(Batches!$A$2:$A$301,$F1012,Batches!$B$2:$B$301,$D1012)=0,"Unknown lot for this SKU",IF(AND($C1012="Adjustment",$G1012=""),"Missing: reason",IF(AND($G1012&lt;&gt;"",COUNTIF(Config!$B$15:$B$34,$G1012)=0),"Unsupported reason",IF(OR(INT($E1012)&lt;&gt;$E1012,AND(OR($C1012="Receipt",$C1012="Shipment"),$E1012&lt;=0),AND($C1012="Adjustment",$E1012=0)),"Invalid qty",IF($B1012&gt;Config!$B$4,"Date after the as-of date",IF($B1012&lt;Config!$B$5,"Date before the opening balance date","OK")))))))))))))))))</f>
        <v/>
      </c>
    </row>
    <row r="1013">
      <c r="A1013" s="46" t="n"/>
      <c r="B1013" s="54" t="n"/>
      <c r="C1013" s="46" t="n"/>
      <c r="D1013" s="46" t="n"/>
      <c r="E1013" s="55" t="n"/>
      <c r="F1013" s="46" t="n"/>
      <c r="G1013" s="46" t="n"/>
      <c r="H1013" s="46" t="n"/>
      <c r="I1013" s="46" t="n"/>
      <c r="J1013" s="46" t="n"/>
      <c r="K1013" s="46" t="n"/>
      <c r="L1013" s="46" t="n"/>
      <c r="M1013" s="51" t="str">
        <f>IF(NOT(ISNUMBER($E1013)),"",IF($C1013="Receipt",$E1013,IF($C1013="Shipment",-$E1013,IF($C1013="Adjustment",$E1013,0))))</f>
        <v/>
      </c>
      <c r="N1013" s="49" t="str">
        <f>IF($D1013="","",IFERROR(INDEX(Products!$B$2:$B$101,MATCH($D1013,Products!$A$2:$A$101,0))&amp;"","(not found)"))</f>
        <v/>
      </c>
      <c r="O1013" s="49" t="str">
        <f>IF($F1013="","",IFERROR(INDEX(Batches!$B$2:$B$301,MATCH($F1013,Batches!$A$2:$A$301,0))&amp;"","(not found)"))</f>
        <v/>
      </c>
      <c r="P1013" s="49" t="str">
        <f>IF(COUNTA($A1013:$L1013)=0,"",IF($A1013="","Missing: entry ID",IF(COUNTIF($A$2:$A$2001,$A1013)&gt;1,"Duplicate entry ID",IF(NOT(ISNUMBER($B1013)),"Missing or invalid: date",IF($C1013="","Missing: type",IF($D1013="","Missing: SKU",IF(NOT(ISNUMBER($E1013)),"Missing: qty",IF($F1013="","Missing: lot",IF($I1013="","Missing: source link",IF(COUNTIF(Config!$A$15:$A$34,$C1013)=0,"Unsupported type",IF(COUNTIF(Products!$A$2:$A$101,$D1013)=0,"Unknown SKU",IF(COUNTIFS(Batches!$A$2:$A$301,$F1013,Batches!$B$2:$B$301,$D1013)=0,"Unknown lot for this SKU",IF(AND($C1013="Adjustment",$G1013=""),"Missing: reason",IF(AND($G1013&lt;&gt;"",COUNTIF(Config!$B$15:$B$34,$G1013)=0),"Unsupported reason",IF(OR(INT($E1013)&lt;&gt;$E1013,AND(OR($C1013="Receipt",$C1013="Shipment"),$E1013&lt;=0),AND($C1013="Adjustment",$E1013=0)),"Invalid qty",IF($B1013&gt;Config!$B$4,"Date after the as-of date",IF($B1013&lt;Config!$B$5,"Date before the opening balance date","OK")))))))))))))))))</f>
        <v/>
      </c>
    </row>
    <row r="1014">
      <c r="A1014" s="46" t="n"/>
      <c r="B1014" s="54" t="n"/>
      <c r="C1014" s="46" t="n"/>
      <c r="D1014" s="46" t="n"/>
      <c r="E1014" s="55" t="n"/>
      <c r="F1014" s="46" t="n"/>
      <c r="G1014" s="46" t="n"/>
      <c r="H1014" s="46" t="n"/>
      <c r="I1014" s="46" t="n"/>
      <c r="J1014" s="46" t="n"/>
      <c r="K1014" s="46" t="n"/>
      <c r="L1014" s="46" t="n"/>
      <c r="M1014" s="51" t="str">
        <f>IF(NOT(ISNUMBER($E1014)),"",IF($C1014="Receipt",$E1014,IF($C1014="Shipment",-$E1014,IF($C1014="Adjustment",$E1014,0))))</f>
        <v/>
      </c>
      <c r="N1014" s="49" t="str">
        <f>IF($D1014="","",IFERROR(INDEX(Products!$B$2:$B$101,MATCH($D1014,Products!$A$2:$A$101,0))&amp;"","(not found)"))</f>
        <v/>
      </c>
      <c r="O1014" s="49" t="str">
        <f>IF($F1014="","",IFERROR(INDEX(Batches!$B$2:$B$301,MATCH($F1014,Batches!$A$2:$A$301,0))&amp;"","(not found)"))</f>
        <v/>
      </c>
      <c r="P1014" s="49" t="str">
        <f>IF(COUNTA($A1014:$L1014)=0,"",IF($A1014="","Missing: entry ID",IF(COUNTIF($A$2:$A$2001,$A1014)&gt;1,"Duplicate entry ID",IF(NOT(ISNUMBER($B1014)),"Missing or invalid: date",IF($C1014="","Missing: type",IF($D1014="","Missing: SKU",IF(NOT(ISNUMBER($E1014)),"Missing: qty",IF($F1014="","Missing: lot",IF($I1014="","Missing: source link",IF(COUNTIF(Config!$A$15:$A$34,$C1014)=0,"Unsupported type",IF(COUNTIF(Products!$A$2:$A$101,$D1014)=0,"Unknown SKU",IF(COUNTIFS(Batches!$A$2:$A$301,$F1014,Batches!$B$2:$B$301,$D1014)=0,"Unknown lot for this SKU",IF(AND($C1014="Adjustment",$G1014=""),"Missing: reason",IF(AND($G1014&lt;&gt;"",COUNTIF(Config!$B$15:$B$34,$G1014)=0),"Unsupported reason",IF(OR(INT($E1014)&lt;&gt;$E1014,AND(OR($C1014="Receipt",$C1014="Shipment"),$E1014&lt;=0),AND($C1014="Adjustment",$E1014=0)),"Invalid qty",IF($B1014&gt;Config!$B$4,"Date after the as-of date",IF($B1014&lt;Config!$B$5,"Date before the opening balance date","OK")))))))))))))))))</f>
        <v/>
      </c>
    </row>
    <row r="1015">
      <c r="A1015" s="46" t="n"/>
      <c r="B1015" s="54" t="n"/>
      <c r="C1015" s="46" t="n"/>
      <c r="D1015" s="46" t="n"/>
      <c r="E1015" s="55" t="n"/>
      <c r="F1015" s="46" t="n"/>
      <c r="G1015" s="46" t="n"/>
      <c r="H1015" s="46" t="n"/>
      <c r="I1015" s="46" t="n"/>
      <c r="J1015" s="46" t="n"/>
      <c r="K1015" s="46" t="n"/>
      <c r="L1015" s="46" t="n"/>
      <c r="M1015" s="51" t="str">
        <f>IF(NOT(ISNUMBER($E1015)),"",IF($C1015="Receipt",$E1015,IF($C1015="Shipment",-$E1015,IF($C1015="Adjustment",$E1015,0))))</f>
        <v/>
      </c>
      <c r="N1015" s="49" t="str">
        <f>IF($D1015="","",IFERROR(INDEX(Products!$B$2:$B$101,MATCH($D1015,Products!$A$2:$A$101,0))&amp;"","(not found)"))</f>
        <v/>
      </c>
      <c r="O1015" s="49" t="str">
        <f>IF($F1015="","",IFERROR(INDEX(Batches!$B$2:$B$301,MATCH($F1015,Batches!$A$2:$A$301,0))&amp;"","(not found)"))</f>
        <v/>
      </c>
      <c r="P1015" s="49" t="str">
        <f>IF(COUNTA($A1015:$L1015)=0,"",IF($A1015="","Missing: entry ID",IF(COUNTIF($A$2:$A$2001,$A1015)&gt;1,"Duplicate entry ID",IF(NOT(ISNUMBER($B1015)),"Missing or invalid: date",IF($C1015="","Missing: type",IF($D1015="","Missing: SKU",IF(NOT(ISNUMBER($E1015)),"Missing: qty",IF($F1015="","Missing: lot",IF($I1015="","Missing: source link",IF(COUNTIF(Config!$A$15:$A$34,$C1015)=0,"Unsupported type",IF(COUNTIF(Products!$A$2:$A$101,$D1015)=0,"Unknown SKU",IF(COUNTIFS(Batches!$A$2:$A$301,$F1015,Batches!$B$2:$B$301,$D1015)=0,"Unknown lot for this SKU",IF(AND($C1015="Adjustment",$G1015=""),"Missing: reason",IF(AND($G1015&lt;&gt;"",COUNTIF(Config!$B$15:$B$34,$G1015)=0),"Unsupported reason",IF(OR(INT($E1015)&lt;&gt;$E1015,AND(OR($C1015="Receipt",$C1015="Shipment"),$E1015&lt;=0),AND($C1015="Adjustment",$E1015=0)),"Invalid qty",IF($B1015&gt;Config!$B$4,"Date after the as-of date",IF($B1015&lt;Config!$B$5,"Date before the opening balance date","OK")))))))))))))))))</f>
        <v/>
      </c>
    </row>
    <row r="1016">
      <c r="A1016" s="46" t="n"/>
      <c r="B1016" s="54" t="n"/>
      <c r="C1016" s="46" t="n"/>
      <c r="D1016" s="46" t="n"/>
      <c r="E1016" s="55" t="n"/>
      <c r="F1016" s="46" t="n"/>
      <c r="G1016" s="46" t="n"/>
      <c r="H1016" s="46" t="n"/>
      <c r="I1016" s="46" t="n"/>
      <c r="J1016" s="46" t="n"/>
      <c r="K1016" s="46" t="n"/>
      <c r="L1016" s="46" t="n"/>
      <c r="M1016" s="51" t="str">
        <f>IF(NOT(ISNUMBER($E1016)),"",IF($C1016="Receipt",$E1016,IF($C1016="Shipment",-$E1016,IF($C1016="Adjustment",$E1016,0))))</f>
        <v/>
      </c>
      <c r="N1016" s="49" t="str">
        <f>IF($D1016="","",IFERROR(INDEX(Products!$B$2:$B$101,MATCH($D1016,Products!$A$2:$A$101,0))&amp;"","(not found)"))</f>
        <v/>
      </c>
      <c r="O1016" s="49" t="str">
        <f>IF($F1016="","",IFERROR(INDEX(Batches!$B$2:$B$301,MATCH($F1016,Batches!$A$2:$A$301,0))&amp;"","(not found)"))</f>
        <v/>
      </c>
      <c r="P1016" s="49" t="str">
        <f>IF(COUNTA($A1016:$L1016)=0,"",IF($A1016="","Missing: entry ID",IF(COUNTIF($A$2:$A$2001,$A1016)&gt;1,"Duplicate entry ID",IF(NOT(ISNUMBER($B1016)),"Missing or invalid: date",IF($C1016="","Missing: type",IF($D1016="","Missing: SKU",IF(NOT(ISNUMBER($E1016)),"Missing: qty",IF($F1016="","Missing: lot",IF($I1016="","Missing: source link",IF(COUNTIF(Config!$A$15:$A$34,$C1016)=0,"Unsupported type",IF(COUNTIF(Products!$A$2:$A$101,$D1016)=0,"Unknown SKU",IF(COUNTIFS(Batches!$A$2:$A$301,$F1016,Batches!$B$2:$B$301,$D1016)=0,"Unknown lot for this SKU",IF(AND($C1016="Adjustment",$G1016=""),"Missing: reason",IF(AND($G1016&lt;&gt;"",COUNTIF(Config!$B$15:$B$34,$G1016)=0),"Unsupported reason",IF(OR(INT($E1016)&lt;&gt;$E1016,AND(OR($C1016="Receipt",$C1016="Shipment"),$E1016&lt;=0),AND($C1016="Adjustment",$E1016=0)),"Invalid qty",IF($B1016&gt;Config!$B$4,"Date after the as-of date",IF($B1016&lt;Config!$B$5,"Date before the opening balance date","OK")))))))))))))))))</f>
        <v/>
      </c>
    </row>
    <row r="1017">
      <c r="A1017" s="46" t="n"/>
      <c r="B1017" s="54" t="n"/>
      <c r="C1017" s="46" t="n"/>
      <c r="D1017" s="46" t="n"/>
      <c r="E1017" s="55" t="n"/>
      <c r="F1017" s="46" t="n"/>
      <c r="G1017" s="46" t="n"/>
      <c r="H1017" s="46" t="n"/>
      <c r="I1017" s="46" t="n"/>
      <c r="J1017" s="46" t="n"/>
      <c r="K1017" s="46" t="n"/>
      <c r="L1017" s="46" t="n"/>
      <c r="M1017" s="51" t="str">
        <f>IF(NOT(ISNUMBER($E1017)),"",IF($C1017="Receipt",$E1017,IF($C1017="Shipment",-$E1017,IF($C1017="Adjustment",$E1017,0))))</f>
        <v/>
      </c>
      <c r="N1017" s="49" t="str">
        <f>IF($D1017="","",IFERROR(INDEX(Products!$B$2:$B$101,MATCH($D1017,Products!$A$2:$A$101,0))&amp;"","(not found)"))</f>
        <v/>
      </c>
      <c r="O1017" s="49" t="str">
        <f>IF($F1017="","",IFERROR(INDEX(Batches!$B$2:$B$301,MATCH($F1017,Batches!$A$2:$A$301,0))&amp;"","(not found)"))</f>
        <v/>
      </c>
      <c r="P1017" s="49" t="str">
        <f>IF(COUNTA($A1017:$L1017)=0,"",IF($A1017="","Missing: entry ID",IF(COUNTIF($A$2:$A$2001,$A1017)&gt;1,"Duplicate entry ID",IF(NOT(ISNUMBER($B1017)),"Missing or invalid: date",IF($C1017="","Missing: type",IF($D1017="","Missing: SKU",IF(NOT(ISNUMBER($E1017)),"Missing: qty",IF($F1017="","Missing: lot",IF($I1017="","Missing: source link",IF(COUNTIF(Config!$A$15:$A$34,$C1017)=0,"Unsupported type",IF(COUNTIF(Products!$A$2:$A$101,$D1017)=0,"Unknown SKU",IF(COUNTIFS(Batches!$A$2:$A$301,$F1017,Batches!$B$2:$B$301,$D1017)=0,"Unknown lot for this SKU",IF(AND($C1017="Adjustment",$G1017=""),"Missing: reason",IF(AND($G1017&lt;&gt;"",COUNTIF(Config!$B$15:$B$34,$G1017)=0),"Unsupported reason",IF(OR(INT($E1017)&lt;&gt;$E1017,AND(OR($C1017="Receipt",$C1017="Shipment"),$E1017&lt;=0),AND($C1017="Adjustment",$E1017=0)),"Invalid qty",IF($B1017&gt;Config!$B$4,"Date after the as-of date",IF($B1017&lt;Config!$B$5,"Date before the opening balance date","OK")))))))))))))))))</f>
        <v/>
      </c>
    </row>
    <row r="1018">
      <c r="A1018" s="46" t="n"/>
      <c r="B1018" s="54" t="n"/>
      <c r="C1018" s="46" t="n"/>
      <c r="D1018" s="46" t="n"/>
      <c r="E1018" s="55" t="n"/>
      <c r="F1018" s="46" t="n"/>
      <c r="G1018" s="46" t="n"/>
      <c r="H1018" s="46" t="n"/>
      <c r="I1018" s="46" t="n"/>
      <c r="J1018" s="46" t="n"/>
      <c r="K1018" s="46" t="n"/>
      <c r="L1018" s="46" t="n"/>
      <c r="M1018" s="51" t="str">
        <f>IF(NOT(ISNUMBER($E1018)),"",IF($C1018="Receipt",$E1018,IF($C1018="Shipment",-$E1018,IF($C1018="Adjustment",$E1018,0))))</f>
        <v/>
      </c>
      <c r="N1018" s="49" t="str">
        <f>IF($D1018="","",IFERROR(INDEX(Products!$B$2:$B$101,MATCH($D1018,Products!$A$2:$A$101,0))&amp;"","(not found)"))</f>
        <v/>
      </c>
      <c r="O1018" s="49" t="str">
        <f>IF($F1018="","",IFERROR(INDEX(Batches!$B$2:$B$301,MATCH($F1018,Batches!$A$2:$A$301,0))&amp;"","(not found)"))</f>
        <v/>
      </c>
      <c r="P1018" s="49" t="str">
        <f>IF(COUNTA($A1018:$L1018)=0,"",IF($A1018="","Missing: entry ID",IF(COUNTIF($A$2:$A$2001,$A1018)&gt;1,"Duplicate entry ID",IF(NOT(ISNUMBER($B1018)),"Missing or invalid: date",IF($C1018="","Missing: type",IF($D1018="","Missing: SKU",IF(NOT(ISNUMBER($E1018)),"Missing: qty",IF($F1018="","Missing: lot",IF($I1018="","Missing: source link",IF(COUNTIF(Config!$A$15:$A$34,$C1018)=0,"Unsupported type",IF(COUNTIF(Products!$A$2:$A$101,$D1018)=0,"Unknown SKU",IF(COUNTIFS(Batches!$A$2:$A$301,$F1018,Batches!$B$2:$B$301,$D1018)=0,"Unknown lot for this SKU",IF(AND($C1018="Adjustment",$G1018=""),"Missing: reason",IF(AND($G1018&lt;&gt;"",COUNTIF(Config!$B$15:$B$34,$G1018)=0),"Unsupported reason",IF(OR(INT($E1018)&lt;&gt;$E1018,AND(OR($C1018="Receipt",$C1018="Shipment"),$E1018&lt;=0),AND($C1018="Adjustment",$E1018=0)),"Invalid qty",IF($B1018&gt;Config!$B$4,"Date after the as-of date",IF($B1018&lt;Config!$B$5,"Date before the opening balance date","OK")))))))))))))))))</f>
        <v/>
      </c>
    </row>
    <row r="1019">
      <c r="A1019" s="46" t="n"/>
      <c r="B1019" s="54" t="n"/>
      <c r="C1019" s="46" t="n"/>
      <c r="D1019" s="46" t="n"/>
      <c r="E1019" s="55" t="n"/>
      <c r="F1019" s="46" t="n"/>
      <c r="G1019" s="46" t="n"/>
      <c r="H1019" s="46" t="n"/>
      <c r="I1019" s="46" t="n"/>
      <c r="J1019" s="46" t="n"/>
      <c r="K1019" s="46" t="n"/>
      <c r="L1019" s="46" t="n"/>
      <c r="M1019" s="51" t="str">
        <f>IF(NOT(ISNUMBER($E1019)),"",IF($C1019="Receipt",$E1019,IF($C1019="Shipment",-$E1019,IF($C1019="Adjustment",$E1019,0))))</f>
        <v/>
      </c>
      <c r="N1019" s="49" t="str">
        <f>IF($D1019="","",IFERROR(INDEX(Products!$B$2:$B$101,MATCH($D1019,Products!$A$2:$A$101,0))&amp;"","(not found)"))</f>
        <v/>
      </c>
      <c r="O1019" s="49" t="str">
        <f>IF($F1019="","",IFERROR(INDEX(Batches!$B$2:$B$301,MATCH($F1019,Batches!$A$2:$A$301,0))&amp;"","(not found)"))</f>
        <v/>
      </c>
      <c r="P1019" s="49" t="str">
        <f>IF(COUNTA($A1019:$L1019)=0,"",IF($A1019="","Missing: entry ID",IF(COUNTIF($A$2:$A$2001,$A1019)&gt;1,"Duplicate entry ID",IF(NOT(ISNUMBER($B1019)),"Missing or invalid: date",IF($C1019="","Missing: type",IF($D1019="","Missing: SKU",IF(NOT(ISNUMBER($E1019)),"Missing: qty",IF($F1019="","Missing: lot",IF($I1019="","Missing: source link",IF(COUNTIF(Config!$A$15:$A$34,$C1019)=0,"Unsupported type",IF(COUNTIF(Products!$A$2:$A$101,$D1019)=0,"Unknown SKU",IF(COUNTIFS(Batches!$A$2:$A$301,$F1019,Batches!$B$2:$B$301,$D1019)=0,"Unknown lot for this SKU",IF(AND($C1019="Adjustment",$G1019=""),"Missing: reason",IF(AND($G1019&lt;&gt;"",COUNTIF(Config!$B$15:$B$34,$G1019)=0),"Unsupported reason",IF(OR(INT($E1019)&lt;&gt;$E1019,AND(OR($C1019="Receipt",$C1019="Shipment"),$E1019&lt;=0),AND($C1019="Adjustment",$E1019=0)),"Invalid qty",IF($B1019&gt;Config!$B$4,"Date after the as-of date",IF($B1019&lt;Config!$B$5,"Date before the opening balance date","OK")))))))))))))))))</f>
        <v/>
      </c>
    </row>
    <row r="1020">
      <c r="A1020" s="46" t="n"/>
      <c r="B1020" s="54" t="n"/>
      <c r="C1020" s="46" t="n"/>
      <c r="D1020" s="46" t="n"/>
      <c r="E1020" s="55" t="n"/>
      <c r="F1020" s="46" t="n"/>
      <c r="G1020" s="46" t="n"/>
      <c r="H1020" s="46" t="n"/>
      <c r="I1020" s="46" t="n"/>
      <c r="J1020" s="46" t="n"/>
      <c r="K1020" s="46" t="n"/>
      <c r="L1020" s="46" t="n"/>
      <c r="M1020" s="51" t="str">
        <f>IF(NOT(ISNUMBER($E1020)),"",IF($C1020="Receipt",$E1020,IF($C1020="Shipment",-$E1020,IF($C1020="Adjustment",$E1020,0))))</f>
        <v/>
      </c>
      <c r="N1020" s="49" t="str">
        <f>IF($D1020="","",IFERROR(INDEX(Products!$B$2:$B$101,MATCH($D1020,Products!$A$2:$A$101,0))&amp;"","(not found)"))</f>
        <v/>
      </c>
      <c r="O1020" s="49" t="str">
        <f>IF($F1020="","",IFERROR(INDEX(Batches!$B$2:$B$301,MATCH($F1020,Batches!$A$2:$A$301,0))&amp;"","(not found)"))</f>
        <v/>
      </c>
      <c r="P1020" s="49" t="str">
        <f>IF(COUNTA($A1020:$L1020)=0,"",IF($A1020="","Missing: entry ID",IF(COUNTIF($A$2:$A$2001,$A1020)&gt;1,"Duplicate entry ID",IF(NOT(ISNUMBER($B1020)),"Missing or invalid: date",IF($C1020="","Missing: type",IF($D1020="","Missing: SKU",IF(NOT(ISNUMBER($E1020)),"Missing: qty",IF($F1020="","Missing: lot",IF($I1020="","Missing: source link",IF(COUNTIF(Config!$A$15:$A$34,$C1020)=0,"Unsupported type",IF(COUNTIF(Products!$A$2:$A$101,$D1020)=0,"Unknown SKU",IF(COUNTIFS(Batches!$A$2:$A$301,$F1020,Batches!$B$2:$B$301,$D1020)=0,"Unknown lot for this SKU",IF(AND($C1020="Adjustment",$G1020=""),"Missing: reason",IF(AND($G1020&lt;&gt;"",COUNTIF(Config!$B$15:$B$34,$G1020)=0),"Unsupported reason",IF(OR(INT($E1020)&lt;&gt;$E1020,AND(OR($C1020="Receipt",$C1020="Shipment"),$E1020&lt;=0),AND($C1020="Adjustment",$E1020=0)),"Invalid qty",IF($B1020&gt;Config!$B$4,"Date after the as-of date",IF($B1020&lt;Config!$B$5,"Date before the opening balance date","OK")))))))))))))))))</f>
        <v/>
      </c>
    </row>
    <row r="1021">
      <c r="A1021" s="46" t="n"/>
      <c r="B1021" s="54" t="n"/>
      <c r="C1021" s="46" t="n"/>
      <c r="D1021" s="46" t="n"/>
      <c r="E1021" s="55" t="n"/>
      <c r="F1021" s="46" t="n"/>
      <c r="G1021" s="46" t="n"/>
      <c r="H1021" s="46" t="n"/>
      <c r="I1021" s="46" t="n"/>
      <c r="J1021" s="46" t="n"/>
      <c r="K1021" s="46" t="n"/>
      <c r="L1021" s="46" t="n"/>
      <c r="M1021" s="51" t="str">
        <f>IF(NOT(ISNUMBER($E1021)),"",IF($C1021="Receipt",$E1021,IF($C1021="Shipment",-$E1021,IF($C1021="Adjustment",$E1021,0))))</f>
        <v/>
      </c>
      <c r="N1021" s="49" t="str">
        <f>IF($D1021="","",IFERROR(INDEX(Products!$B$2:$B$101,MATCH($D1021,Products!$A$2:$A$101,0))&amp;"","(not found)"))</f>
        <v/>
      </c>
      <c r="O1021" s="49" t="str">
        <f>IF($F1021="","",IFERROR(INDEX(Batches!$B$2:$B$301,MATCH($F1021,Batches!$A$2:$A$301,0))&amp;"","(not found)"))</f>
        <v/>
      </c>
      <c r="P1021" s="49" t="str">
        <f>IF(COUNTA($A1021:$L1021)=0,"",IF($A1021="","Missing: entry ID",IF(COUNTIF($A$2:$A$2001,$A1021)&gt;1,"Duplicate entry ID",IF(NOT(ISNUMBER($B1021)),"Missing or invalid: date",IF($C1021="","Missing: type",IF($D1021="","Missing: SKU",IF(NOT(ISNUMBER($E1021)),"Missing: qty",IF($F1021="","Missing: lot",IF($I1021="","Missing: source link",IF(COUNTIF(Config!$A$15:$A$34,$C1021)=0,"Unsupported type",IF(COUNTIF(Products!$A$2:$A$101,$D1021)=0,"Unknown SKU",IF(COUNTIFS(Batches!$A$2:$A$301,$F1021,Batches!$B$2:$B$301,$D1021)=0,"Unknown lot for this SKU",IF(AND($C1021="Adjustment",$G1021=""),"Missing: reason",IF(AND($G1021&lt;&gt;"",COUNTIF(Config!$B$15:$B$34,$G1021)=0),"Unsupported reason",IF(OR(INT($E1021)&lt;&gt;$E1021,AND(OR($C1021="Receipt",$C1021="Shipment"),$E1021&lt;=0),AND($C1021="Adjustment",$E1021=0)),"Invalid qty",IF($B1021&gt;Config!$B$4,"Date after the as-of date",IF($B1021&lt;Config!$B$5,"Date before the opening balance date","OK")))))))))))))))))</f>
        <v/>
      </c>
    </row>
    <row r="1022">
      <c r="A1022" s="46" t="n"/>
      <c r="B1022" s="54" t="n"/>
      <c r="C1022" s="46" t="n"/>
      <c r="D1022" s="46" t="n"/>
      <c r="E1022" s="55" t="n"/>
      <c r="F1022" s="46" t="n"/>
      <c r="G1022" s="46" t="n"/>
      <c r="H1022" s="46" t="n"/>
      <c r="I1022" s="46" t="n"/>
      <c r="J1022" s="46" t="n"/>
      <c r="K1022" s="46" t="n"/>
      <c r="L1022" s="46" t="n"/>
      <c r="M1022" s="51" t="str">
        <f>IF(NOT(ISNUMBER($E1022)),"",IF($C1022="Receipt",$E1022,IF($C1022="Shipment",-$E1022,IF($C1022="Adjustment",$E1022,0))))</f>
        <v/>
      </c>
      <c r="N1022" s="49" t="str">
        <f>IF($D1022="","",IFERROR(INDEX(Products!$B$2:$B$101,MATCH($D1022,Products!$A$2:$A$101,0))&amp;"","(not found)"))</f>
        <v/>
      </c>
      <c r="O1022" s="49" t="str">
        <f>IF($F1022="","",IFERROR(INDEX(Batches!$B$2:$B$301,MATCH($F1022,Batches!$A$2:$A$301,0))&amp;"","(not found)"))</f>
        <v/>
      </c>
      <c r="P1022" s="49" t="str">
        <f>IF(COUNTA($A1022:$L1022)=0,"",IF($A1022="","Missing: entry ID",IF(COUNTIF($A$2:$A$2001,$A1022)&gt;1,"Duplicate entry ID",IF(NOT(ISNUMBER($B1022)),"Missing or invalid: date",IF($C1022="","Missing: type",IF($D1022="","Missing: SKU",IF(NOT(ISNUMBER($E1022)),"Missing: qty",IF($F1022="","Missing: lot",IF($I1022="","Missing: source link",IF(COUNTIF(Config!$A$15:$A$34,$C1022)=0,"Unsupported type",IF(COUNTIF(Products!$A$2:$A$101,$D1022)=0,"Unknown SKU",IF(COUNTIFS(Batches!$A$2:$A$301,$F1022,Batches!$B$2:$B$301,$D1022)=0,"Unknown lot for this SKU",IF(AND($C1022="Adjustment",$G1022=""),"Missing: reason",IF(AND($G1022&lt;&gt;"",COUNTIF(Config!$B$15:$B$34,$G1022)=0),"Unsupported reason",IF(OR(INT($E1022)&lt;&gt;$E1022,AND(OR($C1022="Receipt",$C1022="Shipment"),$E1022&lt;=0),AND($C1022="Adjustment",$E1022=0)),"Invalid qty",IF($B1022&gt;Config!$B$4,"Date after the as-of date",IF($B1022&lt;Config!$B$5,"Date before the opening balance date","OK")))))))))))))))))</f>
        <v/>
      </c>
    </row>
    <row r="1023">
      <c r="A1023" s="46" t="n"/>
      <c r="B1023" s="54" t="n"/>
      <c r="C1023" s="46" t="n"/>
      <c r="D1023" s="46" t="n"/>
      <c r="E1023" s="55" t="n"/>
      <c r="F1023" s="46" t="n"/>
      <c r="G1023" s="46" t="n"/>
      <c r="H1023" s="46" t="n"/>
      <c r="I1023" s="46" t="n"/>
      <c r="J1023" s="46" t="n"/>
      <c r="K1023" s="46" t="n"/>
      <c r="L1023" s="46" t="n"/>
      <c r="M1023" s="51" t="str">
        <f>IF(NOT(ISNUMBER($E1023)),"",IF($C1023="Receipt",$E1023,IF($C1023="Shipment",-$E1023,IF($C1023="Adjustment",$E1023,0))))</f>
        <v/>
      </c>
      <c r="N1023" s="49" t="str">
        <f>IF($D1023="","",IFERROR(INDEX(Products!$B$2:$B$101,MATCH($D1023,Products!$A$2:$A$101,0))&amp;"","(not found)"))</f>
        <v/>
      </c>
      <c r="O1023" s="49" t="str">
        <f>IF($F1023="","",IFERROR(INDEX(Batches!$B$2:$B$301,MATCH($F1023,Batches!$A$2:$A$301,0))&amp;"","(not found)"))</f>
        <v/>
      </c>
      <c r="P1023" s="49" t="str">
        <f>IF(COUNTA($A1023:$L1023)=0,"",IF($A1023="","Missing: entry ID",IF(COUNTIF($A$2:$A$2001,$A1023)&gt;1,"Duplicate entry ID",IF(NOT(ISNUMBER($B1023)),"Missing or invalid: date",IF($C1023="","Missing: type",IF($D1023="","Missing: SKU",IF(NOT(ISNUMBER($E1023)),"Missing: qty",IF($F1023="","Missing: lot",IF($I1023="","Missing: source link",IF(COUNTIF(Config!$A$15:$A$34,$C1023)=0,"Unsupported type",IF(COUNTIF(Products!$A$2:$A$101,$D1023)=0,"Unknown SKU",IF(COUNTIFS(Batches!$A$2:$A$301,$F1023,Batches!$B$2:$B$301,$D1023)=0,"Unknown lot for this SKU",IF(AND($C1023="Adjustment",$G1023=""),"Missing: reason",IF(AND($G1023&lt;&gt;"",COUNTIF(Config!$B$15:$B$34,$G1023)=0),"Unsupported reason",IF(OR(INT($E1023)&lt;&gt;$E1023,AND(OR($C1023="Receipt",$C1023="Shipment"),$E1023&lt;=0),AND($C1023="Adjustment",$E1023=0)),"Invalid qty",IF($B1023&gt;Config!$B$4,"Date after the as-of date",IF($B1023&lt;Config!$B$5,"Date before the opening balance date","OK")))))))))))))))))</f>
        <v/>
      </c>
    </row>
    <row r="1024">
      <c r="A1024" s="46" t="n"/>
      <c r="B1024" s="54" t="n"/>
      <c r="C1024" s="46" t="n"/>
      <c r="D1024" s="46" t="n"/>
      <c r="E1024" s="55" t="n"/>
      <c r="F1024" s="46" t="n"/>
      <c r="G1024" s="46" t="n"/>
      <c r="H1024" s="46" t="n"/>
      <c r="I1024" s="46" t="n"/>
      <c r="J1024" s="46" t="n"/>
      <c r="K1024" s="46" t="n"/>
      <c r="L1024" s="46" t="n"/>
      <c r="M1024" s="51" t="str">
        <f>IF(NOT(ISNUMBER($E1024)),"",IF($C1024="Receipt",$E1024,IF($C1024="Shipment",-$E1024,IF($C1024="Adjustment",$E1024,0))))</f>
        <v/>
      </c>
      <c r="N1024" s="49" t="str">
        <f>IF($D1024="","",IFERROR(INDEX(Products!$B$2:$B$101,MATCH($D1024,Products!$A$2:$A$101,0))&amp;"","(not found)"))</f>
        <v/>
      </c>
      <c r="O1024" s="49" t="str">
        <f>IF($F1024="","",IFERROR(INDEX(Batches!$B$2:$B$301,MATCH($F1024,Batches!$A$2:$A$301,0))&amp;"","(not found)"))</f>
        <v/>
      </c>
      <c r="P1024" s="49" t="str">
        <f>IF(COUNTA($A1024:$L1024)=0,"",IF($A1024="","Missing: entry ID",IF(COUNTIF($A$2:$A$2001,$A1024)&gt;1,"Duplicate entry ID",IF(NOT(ISNUMBER($B1024)),"Missing or invalid: date",IF($C1024="","Missing: type",IF($D1024="","Missing: SKU",IF(NOT(ISNUMBER($E1024)),"Missing: qty",IF($F1024="","Missing: lot",IF($I1024="","Missing: source link",IF(COUNTIF(Config!$A$15:$A$34,$C1024)=0,"Unsupported type",IF(COUNTIF(Products!$A$2:$A$101,$D1024)=0,"Unknown SKU",IF(COUNTIFS(Batches!$A$2:$A$301,$F1024,Batches!$B$2:$B$301,$D1024)=0,"Unknown lot for this SKU",IF(AND($C1024="Adjustment",$G1024=""),"Missing: reason",IF(AND($G1024&lt;&gt;"",COUNTIF(Config!$B$15:$B$34,$G1024)=0),"Unsupported reason",IF(OR(INT($E1024)&lt;&gt;$E1024,AND(OR($C1024="Receipt",$C1024="Shipment"),$E1024&lt;=0),AND($C1024="Adjustment",$E1024=0)),"Invalid qty",IF($B1024&gt;Config!$B$4,"Date after the as-of date",IF($B1024&lt;Config!$B$5,"Date before the opening balance date","OK")))))))))))))))))</f>
        <v/>
      </c>
    </row>
    <row r="1025">
      <c r="A1025" s="46" t="n"/>
      <c r="B1025" s="54" t="n"/>
      <c r="C1025" s="46" t="n"/>
      <c r="D1025" s="46" t="n"/>
      <c r="E1025" s="55" t="n"/>
      <c r="F1025" s="46" t="n"/>
      <c r="G1025" s="46" t="n"/>
      <c r="H1025" s="46" t="n"/>
      <c r="I1025" s="46" t="n"/>
      <c r="J1025" s="46" t="n"/>
      <c r="K1025" s="46" t="n"/>
      <c r="L1025" s="46" t="n"/>
      <c r="M1025" s="51" t="str">
        <f>IF(NOT(ISNUMBER($E1025)),"",IF($C1025="Receipt",$E1025,IF($C1025="Shipment",-$E1025,IF($C1025="Adjustment",$E1025,0))))</f>
        <v/>
      </c>
      <c r="N1025" s="49" t="str">
        <f>IF($D1025="","",IFERROR(INDEX(Products!$B$2:$B$101,MATCH($D1025,Products!$A$2:$A$101,0))&amp;"","(not found)"))</f>
        <v/>
      </c>
      <c r="O1025" s="49" t="str">
        <f>IF($F1025="","",IFERROR(INDEX(Batches!$B$2:$B$301,MATCH($F1025,Batches!$A$2:$A$301,0))&amp;"","(not found)"))</f>
        <v/>
      </c>
      <c r="P1025" s="49" t="str">
        <f>IF(COUNTA($A1025:$L1025)=0,"",IF($A1025="","Missing: entry ID",IF(COUNTIF($A$2:$A$2001,$A1025)&gt;1,"Duplicate entry ID",IF(NOT(ISNUMBER($B1025)),"Missing or invalid: date",IF($C1025="","Missing: type",IF($D1025="","Missing: SKU",IF(NOT(ISNUMBER($E1025)),"Missing: qty",IF($F1025="","Missing: lot",IF($I1025="","Missing: source link",IF(COUNTIF(Config!$A$15:$A$34,$C1025)=0,"Unsupported type",IF(COUNTIF(Products!$A$2:$A$101,$D1025)=0,"Unknown SKU",IF(COUNTIFS(Batches!$A$2:$A$301,$F1025,Batches!$B$2:$B$301,$D1025)=0,"Unknown lot for this SKU",IF(AND($C1025="Adjustment",$G1025=""),"Missing: reason",IF(AND($G1025&lt;&gt;"",COUNTIF(Config!$B$15:$B$34,$G1025)=0),"Unsupported reason",IF(OR(INT($E1025)&lt;&gt;$E1025,AND(OR($C1025="Receipt",$C1025="Shipment"),$E1025&lt;=0),AND($C1025="Adjustment",$E1025=0)),"Invalid qty",IF($B1025&gt;Config!$B$4,"Date after the as-of date",IF($B1025&lt;Config!$B$5,"Date before the opening balance date","OK")))))))))))))))))</f>
        <v/>
      </c>
    </row>
    <row r="1026">
      <c r="A1026" s="46" t="n"/>
      <c r="B1026" s="54" t="n"/>
      <c r="C1026" s="46" t="n"/>
      <c r="D1026" s="46" t="n"/>
      <c r="E1026" s="55" t="n"/>
      <c r="F1026" s="46" t="n"/>
      <c r="G1026" s="46" t="n"/>
      <c r="H1026" s="46" t="n"/>
      <c r="I1026" s="46" t="n"/>
      <c r="J1026" s="46" t="n"/>
      <c r="K1026" s="46" t="n"/>
      <c r="L1026" s="46" t="n"/>
      <c r="M1026" s="51" t="str">
        <f>IF(NOT(ISNUMBER($E1026)),"",IF($C1026="Receipt",$E1026,IF($C1026="Shipment",-$E1026,IF($C1026="Adjustment",$E1026,0))))</f>
        <v/>
      </c>
      <c r="N1026" s="49" t="str">
        <f>IF($D1026="","",IFERROR(INDEX(Products!$B$2:$B$101,MATCH($D1026,Products!$A$2:$A$101,0))&amp;"","(not found)"))</f>
        <v/>
      </c>
      <c r="O1026" s="49" t="str">
        <f>IF($F1026="","",IFERROR(INDEX(Batches!$B$2:$B$301,MATCH($F1026,Batches!$A$2:$A$301,0))&amp;"","(not found)"))</f>
        <v/>
      </c>
      <c r="P1026" s="49" t="str">
        <f>IF(COUNTA($A1026:$L1026)=0,"",IF($A1026="","Missing: entry ID",IF(COUNTIF($A$2:$A$2001,$A1026)&gt;1,"Duplicate entry ID",IF(NOT(ISNUMBER($B1026)),"Missing or invalid: date",IF($C1026="","Missing: type",IF($D1026="","Missing: SKU",IF(NOT(ISNUMBER($E1026)),"Missing: qty",IF($F1026="","Missing: lot",IF($I1026="","Missing: source link",IF(COUNTIF(Config!$A$15:$A$34,$C1026)=0,"Unsupported type",IF(COUNTIF(Products!$A$2:$A$101,$D1026)=0,"Unknown SKU",IF(COUNTIFS(Batches!$A$2:$A$301,$F1026,Batches!$B$2:$B$301,$D1026)=0,"Unknown lot for this SKU",IF(AND($C1026="Adjustment",$G1026=""),"Missing: reason",IF(AND($G1026&lt;&gt;"",COUNTIF(Config!$B$15:$B$34,$G1026)=0),"Unsupported reason",IF(OR(INT($E1026)&lt;&gt;$E1026,AND(OR($C1026="Receipt",$C1026="Shipment"),$E1026&lt;=0),AND($C1026="Adjustment",$E1026=0)),"Invalid qty",IF($B1026&gt;Config!$B$4,"Date after the as-of date",IF($B1026&lt;Config!$B$5,"Date before the opening balance date","OK")))))))))))))))))</f>
        <v/>
      </c>
    </row>
    <row r="1027">
      <c r="A1027" s="46" t="n"/>
      <c r="B1027" s="54" t="n"/>
      <c r="C1027" s="46" t="n"/>
      <c r="D1027" s="46" t="n"/>
      <c r="E1027" s="55" t="n"/>
      <c r="F1027" s="46" t="n"/>
      <c r="G1027" s="46" t="n"/>
      <c r="H1027" s="46" t="n"/>
      <c r="I1027" s="46" t="n"/>
      <c r="J1027" s="46" t="n"/>
      <c r="K1027" s="46" t="n"/>
      <c r="L1027" s="46" t="n"/>
      <c r="M1027" s="51" t="str">
        <f>IF(NOT(ISNUMBER($E1027)),"",IF($C1027="Receipt",$E1027,IF($C1027="Shipment",-$E1027,IF($C1027="Adjustment",$E1027,0))))</f>
        <v/>
      </c>
      <c r="N1027" s="49" t="str">
        <f>IF($D1027="","",IFERROR(INDEX(Products!$B$2:$B$101,MATCH($D1027,Products!$A$2:$A$101,0))&amp;"","(not found)"))</f>
        <v/>
      </c>
      <c r="O1027" s="49" t="str">
        <f>IF($F1027="","",IFERROR(INDEX(Batches!$B$2:$B$301,MATCH($F1027,Batches!$A$2:$A$301,0))&amp;"","(not found)"))</f>
        <v/>
      </c>
      <c r="P1027" s="49" t="str">
        <f>IF(COUNTA($A1027:$L1027)=0,"",IF($A1027="","Missing: entry ID",IF(COUNTIF($A$2:$A$2001,$A1027)&gt;1,"Duplicate entry ID",IF(NOT(ISNUMBER($B1027)),"Missing or invalid: date",IF($C1027="","Missing: type",IF($D1027="","Missing: SKU",IF(NOT(ISNUMBER($E1027)),"Missing: qty",IF($F1027="","Missing: lot",IF($I1027="","Missing: source link",IF(COUNTIF(Config!$A$15:$A$34,$C1027)=0,"Unsupported type",IF(COUNTIF(Products!$A$2:$A$101,$D1027)=0,"Unknown SKU",IF(COUNTIFS(Batches!$A$2:$A$301,$F1027,Batches!$B$2:$B$301,$D1027)=0,"Unknown lot for this SKU",IF(AND($C1027="Adjustment",$G1027=""),"Missing: reason",IF(AND($G1027&lt;&gt;"",COUNTIF(Config!$B$15:$B$34,$G1027)=0),"Unsupported reason",IF(OR(INT($E1027)&lt;&gt;$E1027,AND(OR($C1027="Receipt",$C1027="Shipment"),$E1027&lt;=0),AND($C1027="Adjustment",$E1027=0)),"Invalid qty",IF($B1027&gt;Config!$B$4,"Date after the as-of date",IF($B1027&lt;Config!$B$5,"Date before the opening balance date","OK")))))))))))))))))</f>
        <v/>
      </c>
    </row>
    <row r="1028">
      <c r="A1028" s="46" t="n"/>
      <c r="B1028" s="54" t="n"/>
      <c r="C1028" s="46" t="n"/>
      <c r="D1028" s="46" t="n"/>
      <c r="E1028" s="55" t="n"/>
      <c r="F1028" s="46" t="n"/>
      <c r="G1028" s="46" t="n"/>
      <c r="H1028" s="46" t="n"/>
      <c r="I1028" s="46" t="n"/>
      <c r="J1028" s="46" t="n"/>
      <c r="K1028" s="46" t="n"/>
      <c r="L1028" s="46" t="n"/>
      <c r="M1028" s="51" t="str">
        <f>IF(NOT(ISNUMBER($E1028)),"",IF($C1028="Receipt",$E1028,IF($C1028="Shipment",-$E1028,IF($C1028="Adjustment",$E1028,0))))</f>
        <v/>
      </c>
      <c r="N1028" s="49" t="str">
        <f>IF($D1028="","",IFERROR(INDEX(Products!$B$2:$B$101,MATCH($D1028,Products!$A$2:$A$101,0))&amp;"","(not found)"))</f>
        <v/>
      </c>
      <c r="O1028" s="49" t="str">
        <f>IF($F1028="","",IFERROR(INDEX(Batches!$B$2:$B$301,MATCH($F1028,Batches!$A$2:$A$301,0))&amp;"","(not found)"))</f>
        <v/>
      </c>
      <c r="P1028" s="49" t="str">
        <f>IF(COUNTA($A1028:$L1028)=0,"",IF($A1028="","Missing: entry ID",IF(COUNTIF($A$2:$A$2001,$A1028)&gt;1,"Duplicate entry ID",IF(NOT(ISNUMBER($B1028)),"Missing or invalid: date",IF($C1028="","Missing: type",IF($D1028="","Missing: SKU",IF(NOT(ISNUMBER($E1028)),"Missing: qty",IF($F1028="","Missing: lot",IF($I1028="","Missing: source link",IF(COUNTIF(Config!$A$15:$A$34,$C1028)=0,"Unsupported type",IF(COUNTIF(Products!$A$2:$A$101,$D1028)=0,"Unknown SKU",IF(COUNTIFS(Batches!$A$2:$A$301,$F1028,Batches!$B$2:$B$301,$D1028)=0,"Unknown lot for this SKU",IF(AND($C1028="Adjustment",$G1028=""),"Missing: reason",IF(AND($G1028&lt;&gt;"",COUNTIF(Config!$B$15:$B$34,$G1028)=0),"Unsupported reason",IF(OR(INT($E1028)&lt;&gt;$E1028,AND(OR($C1028="Receipt",$C1028="Shipment"),$E1028&lt;=0),AND($C1028="Adjustment",$E1028=0)),"Invalid qty",IF($B1028&gt;Config!$B$4,"Date after the as-of date",IF($B1028&lt;Config!$B$5,"Date before the opening balance date","OK")))))))))))))))))</f>
        <v/>
      </c>
    </row>
    <row r="1029">
      <c r="A1029" s="46" t="n"/>
      <c r="B1029" s="54" t="n"/>
      <c r="C1029" s="46" t="n"/>
      <c r="D1029" s="46" t="n"/>
      <c r="E1029" s="55" t="n"/>
      <c r="F1029" s="46" t="n"/>
      <c r="G1029" s="46" t="n"/>
      <c r="H1029" s="46" t="n"/>
      <c r="I1029" s="46" t="n"/>
      <c r="J1029" s="46" t="n"/>
      <c r="K1029" s="46" t="n"/>
      <c r="L1029" s="46" t="n"/>
      <c r="M1029" s="51" t="str">
        <f>IF(NOT(ISNUMBER($E1029)),"",IF($C1029="Receipt",$E1029,IF($C1029="Shipment",-$E1029,IF($C1029="Adjustment",$E1029,0))))</f>
        <v/>
      </c>
      <c r="N1029" s="49" t="str">
        <f>IF($D1029="","",IFERROR(INDEX(Products!$B$2:$B$101,MATCH($D1029,Products!$A$2:$A$101,0))&amp;"","(not found)"))</f>
        <v/>
      </c>
      <c r="O1029" s="49" t="str">
        <f>IF($F1029="","",IFERROR(INDEX(Batches!$B$2:$B$301,MATCH($F1029,Batches!$A$2:$A$301,0))&amp;"","(not found)"))</f>
        <v/>
      </c>
      <c r="P1029" s="49" t="str">
        <f>IF(COUNTA($A1029:$L1029)=0,"",IF($A1029="","Missing: entry ID",IF(COUNTIF($A$2:$A$2001,$A1029)&gt;1,"Duplicate entry ID",IF(NOT(ISNUMBER($B1029)),"Missing or invalid: date",IF($C1029="","Missing: type",IF($D1029="","Missing: SKU",IF(NOT(ISNUMBER($E1029)),"Missing: qty",IF($F1029="","Missing: lot",IF($I1029="","Missing: source link",IF(COUNTIF(Config!$A$15:$A$34,$C1029)=0,"Unsupported type",IF(COUNTIF(Products!$A$2:$A$101,$D1029)=0,"Unknown SKU",IF(COUNTIFS(Batches!$A$2:$A$301,$F1029,Batches!$B$2:$B$301,$D1029)=0,"Unknown lot for this SKU",IF(AND($C1029="Adjustment",$G1029=""),"Missing: reason",IF(AND($G1029&lt;&gt;"",COUNTIF(Config!$B$15:$B$34,$G1029)=0),"Unsupported reason",IF(OR(INT($E1029)&lt;&gt;$E1029,AND(OR($C1029="Receipt",$C1029="Shipment"),$E1029&lt;=0),AND($C1029="Adjustment",$E1029=0)),"Invalid qty",IF($B1029&gt;Config!$B$4,"Date after the as-of date",IF($B1029&lt;Config!$B$5,"Date before the opening balance date","OK")))))))))))))))))</f>
        <v/>
      </c>
    </row>
    <row r="1030">
      <c r="A1030" s="46" t="n"/>
      <c r="B1030" s="54" t="n"/>
      <c r="C1030" s="46" t="n"/>
      <c r="D1030" s="46" t="n"/>
      <c r="E1030" s="55" t="n"/>
      <c r="F1030" s="46" t="n"/>
      <c r="G1030" s="46" t="n"/>
      <c r="H1030" s="46" t="n"/>
      <c r="I1030" s="46" t="n"/>
      <c r="J1030" s="46" t="n"/>
      <c r="K1030" s="46" t="n"/>
      <c r="L1030" s="46" t="n"/>
      <c r="M1030" s="51" t="str">
        <f>IF(NOT(ISNUMBER($E1030)),"",IF($C1030="Receipt",$E1030,IF($C1030="Shipment",-$E1030,IF($C1030="Adjustment",$E1030,0))))</f>
        <v/>
      </c>
      <c r="N1030" s="49" t="str">
        <f>IF($D1030="","",IFERROR(INDEX(Products!$B$2:$B$101,MATCH($D1030,Products!$A$2:$A$101,0))&amp;"","(not found)"))</f>
        <v/>
      </c>
      <c r="O1030" s="49" t="str">
        <f>IF($F1030="","",IFERROR(INDEX(Batches!$B$2:$B$301,MATCH($F1030,Batches!$A$2:$A$301,0))&amp;"","(not found)"))</f>
        <v/>
      </c>
      <c r="P1030" s="49" t="str">
        <f>IF(COUNTA($A1030:$L1030)=0,"",IF($A1030="","Missing: entry ID",IF(COUNTIF($A$2:$A$2001,$A1030)&gt;1,"Duplicate entry ID",IF(NOT(ISNUMBER($B1030)),"Missing or invalid: date",IF($C1030="","Missing: type",IF($D1030="","Missing: SKU",IF(NOT(ISNUMBER($E1030)),"Missing: qty",IF($F1030="","Missing: lot",IF($I1030="","Missing: source link",IF(COUNTIF(Config!$A$15:$A$34,$C1030)=0,"Unsupported type",IF(COUNTIF(Products!$A$2:$A$101,$D1030)=0,"Unknown SKU",IF(COUNTIFS(Batches!$A$2:$A$301,$F1030,Batches!$B$2:$B$301,$D1030)=0,"Unknown lot for this SKU",IF(AND($C1030="Adjustment",$G1030=""),"Missing: reason",IF(AND($G1030&lt;&gt;"",COUNTIF(Config!$B$15:$B$34,$G1030)=0),"Unsupported reason",IF(OR(INT($E1030)&lt;&gt;$E1030,AND(OR($C1030="Receipt",$C1030="Shipment"),$E1030&lt;=0),AND($C1030="Adjustment",$E1030=0)),"Invalid qty",IF($B1030&gt;Config!$B$4,"Date after the as-of date",IF($B1030&lt;Config!$B$5,"Date before the opening balance date","OK")))))))))))))))))</f>
        <v/>
      </c>
    </row>
    <row r="1031">
      <c r="A1031" s="46" t="n"/>
      <c r="B1031" s="54" t="n"/>
      <c r="C1031" s="46" t="n"/>
      <c r="D1031" s="46" t="n"/>
      <c r="E1031" s="55" t="n"/>
      <c r="F1031" s="46" t="n"/>
      <c r="G1031" s="46" t="n"/>
      <c r="H1031" s="46" t="n"/>
      <c r="I1031" s="46" t="n"/>
      <c r="J1031" s="46" t="n"/>
      <c r="K1031" s="46" t="n"/>
      <c r="L1031" s="46" t="n"/>
      <c r="M1031" s="51" t="str">
        <f>IF(NOT(ISNUMBER($E1031)),"",IF($C1031="Receipt",$E1031,IF($C1031="Shipment",-$E1031,IF($C1031="Adjustment",$E1031,0))))</f>
        <v/>
      </c>
      <c r="N1031" s="49" t="str">
        <f>IF($D1031="","",IFERROR(INDEX(Products!$B$2:$B$101,MATCH($D1031,Products!$A$2:$A$101,0))&amp;"","(not found)"))</f>
        <v/>
      </c>
      <c r="O1031" s="49" t="str">
        <f>IF($F1031="","",IFERROR(INDEX(Batches!$B$2:$B$301,MATCH($F1031,Batches!$A$2:$A$301,0))&amp;"","(not found)"))</f>
        <v/>
      </c>
      <c r="P1031" s="49" t="str">
        <f>IF(COUNTA($A1031:$L1031)=0,"",IF($A1031="","Missing: entry ID",IF(COUNTIF($A$2:$A$2001,$A1031)&gt;1,"Duplicate entry ID",IF(NOT(ISNUMBER($B1031)),"Missing or invalid: date",IF($C1031="","Missing: type",IF($D1031="","Missing: SKU",IF(NOT(ISNUMBER($E1031)),"Missing: qty",IF($F1031="","Missing: lot",IF($I1031="","Missing: source link",IF(COUNTIF(Config!$A$15:$A$34,$C1031)=0,"Unsupported type",IF(COUNTIF(Products!$A$2:$A$101,$D1031)=0,"Unknown SKU",IF(COUNTIFS(Batches!$A$2:$A$301,$F1031,Batches!$B$2:$B$301,$D1031)=0,"Unknown lot for this SKU",IF(AND($C1031="Adjustment",$G1031=""),"Missing: reason",IF(AND($G1031&lt;&gt;"",COUNTIF(Config!$B$15:$B$34,$G1031)=0),"Unsupported reason",IF(OR(INT($E1031)&lt;&gt;$E1031,AND(OR($C1031="Receipt",$C1031="Shipment"),$E1031&lt;=0),AND($C1031="Adjustment",$E1031=0)),"Invalid qty",IF($B1031&gt;Config!$B$4,"Date after the as-of date",IF($B1031&lt;Config!$B$5,"Date before the opening balance date","OK")))))))))))))))))</f>
        <v/>
      </c>
    </row>
    <row r="1032">
      <c r="A1032" s="46" t="n"/>
      <c r="B1032" s="54" t="n"/>
      <c r="C1032" s="46" t="n"/>
      <c r="D1032" s="46" t="n"/>
      <c r="E1032" s="55" t="n"/>
      <c r="F1032" s="46" t="n"/>
      <c r="G1032" s="46" t="n"/>
      <c r="H1032" s="46" t="n"/>
      <c r="I1032" s="46" t="n"/>
      <c r="J1032" s="46" t="n"/>
      <c r="K1032" s="46" t="n"/>
      <c r="L1032" s="46" t="n"/>
      <c r="M1032" s="51" t="str">
        <f>IF(NOT(ISNUMBER($E1032)),"",IF($C1032="Receipt",$E1032,IF($C1032="Shipment",-$E1032,IF($C1032="Adjustment",$E1032,0))))</f>
        <v/>
      </c>
      <c r="N1032" s="49" t="str">
        <f>IF($D1032="","",IFERROR(INDEX(Products!$B$2:$B$101,MATCH($D1032,Products!$A$2:$A$101,0))&amp;"","(not found)"))</f>
        <v/>
      </c>
      <c r="O1032" s="49" t="str">
        <f>IF($F1032="","",IFERROR(INDEX(Batches!$B$2:$B$301,MATCH($F1032,Batches!$A$2:$A$301,0))&amp;"","(not found)"))</f>
        <v/>
      </c>
      <c r="P1032" s="49" t="str">
        <f>IF(COUNTA($A1032:$L1032)=0,"",IF($A1032="","Missing: entry ID",IF(COUNTIF($A$2:$A$2001,$A1032)&gt;1,"Duplicate entry ID",IF(NOT(ISNUMBER($B1032)),"Missing or invalid: date",IF($C1032="","Missing: type",IF($D1032="","Missing: SKU",IF(NOT(ISNUMBER($E1032)),"Missing: qty",IF($F1032="","Missing: lot",IF($I1032="","Missing: source link",IF(COUNTIF(Config!$A$15:$A$34,$C1032)=0,"Unsupported type",IF(COUNTIF(Products!$A$2:$A$101,$D1032)=0,"Unknown SKU",IF(COUNTIFS(Batches!$A$2:$A$301,$F1032,Batches!$B$2:$B$301,$D1032)=0,"Unknown lot for this SKU",IF(AND($C1032="Adjustment",$G1032=""),"Missing: reason",IF(AND($G1032&lt;&gt;"",COUNTIF(Config!$B$15:$B$34,$G1032)=0),"Unsupported reason",IF(OR(INT($E1032)&lt;&gt;$E1032,AND(OR($C1032="Receipt",$C1032="Shipment"),$E1032&lt;=0),AND($C1032="Adjustment",$E1032=0)),"Invalid qty",IF($B1032&gt;Config!$B$4,"Date after the as-of date",IF($B1032&lt;Config!$B$5,"Date before the opening balance date","OK")))))))))))))))))</f>
        <v/>
      </c>
    </row>
    <row r="1033">
      <c r="A1033" s="46" t="n"/>
      <c r="B1033" s="54" t="n"/>
      <c r="C1033" s="46" t="n"/>
      <c r="D1033" s="46" t="n"/>
      <c r="E1033" s="55" t="n"/>
      <c r="F1033" s="46" t="n"/>
      <c r="G1033" s="46" t="n"/>
      <c r="H1033" s="46" t="n"/>
      <c r="I1033" s="46" t="n"/>
      <c r="J1033" s="46" t="n"/>
      <c r="K1033" s="46" t="n"/>
      <c r="L1033" s="46" t="n"/>
      <c r="M1033" s="51" t="str">
        <f>IF(NOT(ISNUMBER($E1033)),"",IF($C1033="Receipt",$E1033,IF($C1033="Shipment",-$E1033,IF($C1033="Adjustment",$E1033,0))))</f>
        <v/>
      </c>
      <c r="N1033" s="49" t="str">
        <f>IF($D1033="","",IFERROR(INDEX(Products!$B$2:$B$101,MATCH($D1033,Products!$A$2:$A$101,0))&amp;"","(not found)"))</f>
        <v/>
      </c>
      <c r="O1033" s="49" t="str">
        <f>IF($F1033="","",IFERROR(INDEX(Batches!$B$2:$B$301,MATCH($F1033,Batches!$A$2:$A$301,0))&amp;"","(not found)"))</f>
        <v/>
      </c>
      <c r="P1033" s="49" t="str">
        <f>IF(COUNTA($A1033:$L1033)=0,"",IF($A1033="","Missing: entry ID",IF(COUNTIF($A$2:$A$2001,$A1033)&gt;1,"Duplicate entry ID",IF(NOT(ISNUMBER($B1033)),"Missing or invalid: date",IF($C1033="","Missing: type",IF($D1033="","Missing: SKU",IF(NOT(ISNUMBER($E1033)),"Missing: qty",IF($F1033="","Missing: lot",IF($I1033="","Missing: source link",IF(COUNTIF(Config!$A$15:$A$34,$C1033)=0,"Unsupported type",IF(COUNTIF(Products!$A$2:$A$101,$D1033)=0,"Unknown SKU",IF(COUNTIFS(Batches!$A$2:$A$301,$F1033,Batches!$B$2:$B$301,$D1033)=0,"Unknown lot for this SKU",IF(AND($C1033="Adjustment",$G1033=""),"Missing: reason",IF(AND($G1033&lt;&gt;"",COUNTIF(Config!$B$15:$B$34,$G1033)=0),"Unsupported reason",IF(OR(INT($E1033)&lt;&gt;$E1033,AND(OR($C1033="Receipt",$C1033="Shipment"),$E1033&lt;=0),AND($C1033="Adjustment",$E1033=0)),"Invalid qty",IF($B1033&gt;Config!$B$4,"Date after the as-of date",IF($B1033&lt;Config!$B$5,"Date before the opening balance date","OK")))))))))))))))))</f>
        <v/>
      </c>
    </row>
    <row r="1034">
      <c r="A1034" s="46" t="n"/>
      <c r="B1034" s="54" t="n"/>
      <c r="C1034" s="46" t="n"/>
      <c r="D1034" s="46" t="n"/>
      <c r="E1034" s="55" t="n"/>
      <c r="F1034" s="46" t="n"/>
      <c r="G1034" s="46" t="n"/>
      <c r="H1034" s="46" t="n"/>
      <c r="I1034" s="46" t="n"/>
      <c r="J1034" s="46" t="n"/>
      <c r="K1034" s="46" t="n"/>
      <c r="L1034" s="46" t="n"/>
      <c r="M1034" s="51" t="str">
        <f>IF(NOT(ISNUMBER($E1034)),"",IF($C1034="Receipt",$E1034,IF($C1034="Shipment",-$E1034,IF($C1034="Adjustment",$E1034,0))))</f>
        <v/>
      </c>
      <c r="N1034" s="49" t="str">
        <f>IF($D1034="","",IFERROR(INDEX(Products!$B$2:$B$101,MATCH($D1034,Products!$A$2:$A$101,0))&amp;"","(not found)"))</f>
        <v/>
      </c>
      <c r="O1034" s="49" t="str">
        <f>IF($F1034="","",IFERROR(INDEX(Batches!$B$2:$B$301,MATCH($F1034,Batches!$A$2:$A$301,0))&amp;"","(not found)"))</f>
        <v/>
      </c>
      <c r="P1034" s="49" t="str">
        <f>IF(COUNTA($A1034:$L1034)=0,"",IF($A1034="","Missing: entry ID",IF(COUNTIF($A$2:$A$2001,$A1034)&gt;1,"Duplicate entry ID",IF(NOT(ISNUMBER($B1034)),"Missing or invalid: date",IF($C1034="","Missing: type",IF($D1034="","Missing: SKU",IF(NOT(ISNUMBER($E1034)),"Missing: qty",IF($F1034="","Missing: lot",IF($I1034="","Missing: source link",IF(COUNTIF(Config!$A$15:$A$34,$C1034)=0,"Unsupported type",IF(COUNTIF(Products!$A$2:$A$101,$D1034)=0,"Unknown SKU",IF(COUNTIFS(Batches!$A$2:$A$301,$F1034,Batches!$B$2:$B$301,$D1034)=0,"Unknown lot for this SKU",IF(AND($C1034="Adjustment",$G1034=""),"Missing: reason",IF(AND($G1034&lt;&gt;"",COUNTIF(Config!$B$15:$B$34,$G1034)=0),"Unsupported reason",IF(OR(INT($E1034)&lt;&gt;$E1034,AND(OR($C1034="Receipt",$C1034="Shipment"),$E1034&lt;=0),AND($C1034="Adjustment",$E1034=0)),"Invalid qty",IF($B1034&gt;Config!$B$4,"Date after the as-of date",IF($B1034&lt;Config!$B$5,"Date before the opening balance date","OK")))))))))))))))))</f>
        <v/>
      </c>
    </row>
    <row r="1035">
      <c r="A1035" s="46" t="n"/>
      <c r="B1035" s="54" t="n"/>
      <c r="C1035" s="46" t="n"/>
      <c r="D1035" s="46" t="n"/>
      <c r="E1035" s="55" t="n"/>
      <c r="F1035" s="46" t="n"/>
      <c r="G1035" s="46" t="n"/>
      <c r="H1035" s="46" t="n"/>
      <c r="I1035" s="46" t="n"/>
      <c r="J1035" s="46" t="n"/>
      <c r="K1035" s="46" t="n"/>
      <c r="L1035" s="46" t="n"/>
      <c r="M1035" s="51" t="str">
        <f>IF(NOT(ISNUMBER($E1035)),"",IF($C1035="Receipt",$E1035,IF($C1035="Shipment",-$E1035,IF($C1035="Adjustment",$E1035,0))))</f>
        <v/>
      </c>
      <c r="N1035" s="49" t="str">
        <f>IF($D1035="","",IFERROR(INDEX(Products!$B$2:$B$101,MATCH($D1035,Products!$A$2:$A$101,0))&amp;"","(not found)"))</f>
        <v/>
      </c>
      <c r="O1035" s="49" t="str">
        <f>IF($F1035="","",IFERROR(INDEX(Batches!$B$2:$B$301,MATCH($F1035,Batches!$A$2:$A$301,0))&amp;"","(not found)"))</f>
        <v/>
      </c>
      <c r="P1035" s="49" t="str">
        <f>IF(COUNTA($A1035:$L1035)=0,"",IF($A1035="","Missing: entry ID",IF(COUNTIF($A$2:$A$2001,$A1035)&gt;1,"Duplicate entry ID",IF(NOT(ISNUMBER($B1035)),"Missing or invalid: date",IF($C1035="","Missing: type",IF($D1035="","Missing: SKU",IF(NOT(ISNUMBER($E1035)),"Missing: qty",IF($F1035="","Missing: lot",IF($I1035="","Missing: source link",IF(COUNTIF(Config!$A$15:$A$34,$C1035)=0,"Unsupported type",IF(COUNTIF(Products!$A$2:$A$101,$D1035)=0,"Unknown SKU",IF(COUNTIFS(Batches!$A$2:$A$301,$F1035,Batches!$B$2:$B$301,$D1035)=0,"Unknown lot for this SKU",IF(AND($C1035="Adjustment",$G1035=""),"Missing: reason",IF(AND($G1035&lt;&gt;"",COUNTIF(Config!$B$15:$B$34,$G1035)=0),"Unsupported reason",IF(OR(INT($E1035)&lt;&gt;$E1035,AND(OR($C1035="Receipt",$C1035="Shipment"),$E1035&lt;=0),AND($C1035="Adjustment",$E1035=0)),"Invalid qty",IF($B1035&gt;Config!$B$4,"Date after the as-of date",IF($B1035&lt;Config!$B$5,"Date before the opening balance date","OK")))))))))))))))))</f>
        <v/>
      </c>
    </row>
    <row r="1036">
      <c r="A1036" s="46" t="n"/>
      <c r="B1036" s="54" t="n"/>
      <c r="C1036" s="46" t="n"/>
      <c r="D1036" s="46" t="n"/>
      <c r="E1036" s="55" t="n"/>
      <c r="F1036" s="46" t="n"/>
      <c r="G1036" s="46" t="n"/>
      <c r="H1036" s="46" t="n"/>
      <c r="I1036" s="46" t="n"/>
      <c r="J1036" s="46" t="n"/>
      <c r="K1036" s="46" t="n"/>
      <c r="L1036" s="46" t="n"/>
      <c r="M1036" s="51" t="str">
        <f>IF(NOT(ISNUMBER($E1036)),"",IF($C1036="Receipt",$E1036,IF($C1036="Shipment",-$E1036,IF($C1036="Adjustment",$E1036,0))))</f>
        <v/>
      </c>
      <c r="N1036" s="49" t="str">
        <f>IF($D1036="","",IFERROR(INDEX(Products!$B$2:$B$101,MATCH($D1036,Products!$A$2:$A$101,0))&amp;"","(not found)"))</f>
        <v/>
      </c>
      <c r="O1036" s="49" t="str">
        <f>IF($F1036="","",IFERROR(INDEX(Batches!$B$2:$B$301,MATCH($F1036,Batches!$A$2:$A$301,0))&amp;"","(not found)"))</f>
        <v/>
      </c>
      <c r="P1036" s="49" t="str">
        <f>IF(COUNTA($A1036:$L1036)=0,"",IF($A1036="","Missing: entry ID",IF(COUNTIF($A$2:$A$2001,$A1036)&gt;1,"Duplicate entry ID",IF(NOT(ISNUMBER($B1036)),"Missing or invalid: date",IF($C1036="","Missing: type",IF($D1036="","Missing: SKU",IF(NOT(ISNUMBER($E1036)),"Missing: qty",IF($F1036="","Missing: lot",IF($I1036="","Missing: source link",IF(COUNTIF(Config!$A$15:$A$34,$C1036)=0,"Unsupported type",IF(COUNTIF(Products!$A$2:$A$101,$D1036)=0,"Unknown SKU",IF(COUNTIFS(Batches!$A$2:$A$301,$F1036,Batches!$B$2:$B$301,$D1036)=0,"Unknown lot for this SKU",IF(AND($C1036="Adjustment",$G1036=""),"Missing: reason",IF(AND($G1036&lt;&gt;"",COUNTIF(Config!$B$15:$B$34,$G1036)=0),"Unsupported reason",IF(OR(INT($E1036)&lt;&gt;$E1036,AND(OR($C1036="Receipt",$C1036="Shipment"),$E1036&lt;=0),AND($C1036="Adjustment",$E1036=0)),"Invalid qty",IF($B1036&gt;Config!$B$4,"Date after the as-of date",IF($B1036&lt;Config!$B$5,"Date before the opening balance date","OK")))))))))))))))))</f>
        <v/>
      </c>
    </row>
    <row r="1037">
      <c r="A1037" s="46" t="n"/>
      <c r="B1037" s="54" t="n"/>
      <c r="C1037" s="46" t="n"/>
      <c r="D1037" s="46" t="n"/>
      <c r="E1037" s="55" t="n"/>
      <c r="F1037" s="46" t="n"/>
      <c r="G1037" s="46" t="n"/>
      <c r="H1037" s="46" t="n"/>
      <c r="I1037" s="46" t="n"/>
      <c r="J1037" s="46" t="n"/>
      <c r="K1037" s="46" t="n"/>
      <c r="L1037" s="46" t="n"/>
      <c r="M1037" s="51" t="str">
        <f>IF(NOT(ISNUMBER($E1037)),"",IF($C1037="Receipt",$E1037,IF($C1037="Shipment",-$E1037,IF($C1037="Adjustment",$E1037,0))))</f>
        <v/>
      </c>
      <c r="N1037" s="49" t="str">
        <f>IF($D1037="","",IFERROR(INDEX(Products!$B$2:$B$101,MATCH($D1037,Products!$A$2:$A$101,0))&amp;"","(not found)"))</f>
        <v/>
      </c>
      <c r="O1037" s="49" t="str">
        <f>IF($F1037="","",IFERROR(INDEX(Batches!$B$2:$B$301,MATCH($F1037,Batches!$A$2:$A$301,0))&amp;"","(not found)"))</f>
        <v/>
      </c>
      <c r="P1037" s="49" t="str">
        <f>IF(COUNTA($A1037:$L1037)=0,"",IF($A1037="","Missing: entry ID",IF(COUNTIF($A$2:$A$2001,$A1037)&gt;1,"Duplicate entry ID",IF(NOT(ISNUMBER($B1037)),"Missing or invalid: date",IF($C1037="","Missing: type",IF($D1037="","Missing: SKU",IF(NOT(ISNUMBER($E1037)),"Missing: qty",IF($F1037="","Missing: lot",IF($I1037="","Missing: source link",IF(COUNTIF(Config!$A$15:$A$34,$C1037)=0,"Unsupported type",IF(COUNTIF(Products!$A$2:$A$101,$D1037)=0,"Unknown SKU",IF(COUNTIFS(Batches!$A$2:$A$301,$F1037,Batches!$B$2:$B$301,$D1037)=0,"Unknown lot for this SKU",IF(AND($C1037="Adjustment",$G1037=""),"Missing: reason",IF(AND($G1037&lt;&gt;"",COUNTIF(Config!$B$15:$B$34,$G1037)=0),"Unsupported reason",IF(OR(INT($E1037)&lt;&gt;$E1037,AND(OR($C1037="Receipt",$C1037="Shipment"),$E1037&lt;=0),AND($C1037="Adjustment",$E1037=0)),"Invalid qty",IF($B1037&gt;Config!$B$4,"Date after the as-of date",IF($B1037&lt;Config!$B$5,"Date before the opening balance date","OK")))))))))))))))))</f>
        <v/>
      </c>
    </row>
    <row r="1038">
      <c r="A1038" s="46" t="n"/>
      <c r="B1038" s="54" t="n"/>
      <c r="C1038" s="46" t="n"/>
      <c r="D1038" s="46" t="n"/>
      <c r="E1038" s="55" t="n"/>
      <c r="F1038" s="46" t="n"/>
      <c r="G1038" s="46" t="n"/>
      <c r="H1038" s="46" t="n"/>
      <c r="I1038" s="46" t="n"/>
      <c r="J1038" s="46" t="n"/>
      <c r="K1038" s="46" t="n"/>
      <c r="L1038" s="46" t="n"/>
      <c r="M1038" s="51" t="str">
        <f>IF(NOT(ISNUMBER($E1038)),"",IF($C1038="Receipt",$E1038,IF($C1038="Shipment",-$E1038,IF($C1038="Adjustment",$E1038,0))))</f>
        <v/>
      </c>
      <c r="N1038" s="49" t="str">
        <f>IF($D1038="","",IFERROR(INDEX(Products!$B$2:$B$101,MATCH($D1038,Products!$A$2:$A$101,0))&amp;"","(not found)"))</f>
        <v/>
      </c>
      <c r="O1038" s="49" t="str">
        <f>IF($F1038="","",IFERROR(INDEX(Batches!$B$2:$B$301,MATCH($F1038,Batches!$A$2:$A$301,0))&amp;"","(not found)"))</f>
        <v/>
      </c>
      <c r="P1038" s="49" t="str">
        <f>IF(COUNTA($A1038:$L1038)=0,"",IF($A1038="","Missing: entry ID",IF(COUNTIF($A$2:$A$2001,$A1038)&gt;1,"Duplicate entry ID",IF(NOT(ISNUMBER($B1038)),"Missing or invalid: date",IF($C1038="","Missing: type",IF($D1038="","Missing: SKU",IF(NOT(ISNUMBER($E1038)),"Missing: qty",IF($F1038="","Missing: lot",IF($I1038="","Missing: source link",IF(COUNTIF(Config!$A$15:$A$34,$C1038)=0,"Unsupported type",IF(COUNTIF(Products!$A$2:$A$101,$D1038)=0,"Unknown SKU",IF(COUNTIFS(Batches!$A$2:$A$301,$F1038,Batches!$B$2:$B$301,$D1038)=0,"Unknown lot for this SKU",IF(AND($C1038="Adjustment",$G1038=""),"Missing: reason",IF(AND($G1038&lt;&gt;"",COUNTIF(Config!$B$15:$B$34,$G1038)=0),"Unsupported reason",IF(OR(INT($E1038)&lt;&gt;$E1038,AND(OR($C1038="Receipt",$C1038="Shipment"),$E1038&lt;=0),AND($C1038="Adjustment",$E1038=0)),"Invalid qty",IF($B1038&gt;Config!$B$4,"Date after the as-of date",IF($B1038&lt;Config!$B$5,"Date before the opening balance date","OK")))))))))))))))))</f>
        <v/>
      </c>
    </row>
    <row r="1039">
      <c r="A1039" s="46" t="n"/>
      <c r="B1039" s="54" t="n"/>
      <c r="C1039" s="46" t="n"/>
      <c r="D1039" s="46" t="n"/>
      <c r="E1039" s="55" t="n"/>
      <c r="F1039" s="46" t="n"/>
      <c r="G1039" s="46" t="n"/>
      <c r="H1039" s="46" t="n"/>
      <c r="I1039" s="46" t="n"/>
      <c r="J1039" s="46" t="n"/>
      <c r="K1039" s="46" t="n"/>
      <c r="L1039" s="46" t="n"/>
      <c r="M1039" s="51" t="str">
        <f>IF(NOT(ISNUMBER($E1039)),"",IF($C1039="Receipt",$E1039,IF($C1039="Shipment",-$E1039,IF($C1039="Adjustment",$E1039,0))))</f>
        <v/>
      </c>
      <c r="N1039" s="49" t="str">
        <f>IF($D1039="","",IFERROR(INDEX(Products!$B$2:$B$101,MATCH($D1039,Products!$A$2:$A$101,0))&amp;"","(not found)"))</f>
        <v/>
      </c>
      <c r="O1039" s="49" t="str">
        <f>IF($F1039="","",IFERROR(INDEX(Batches!$B$2:$B$301,MATCH($F1039,Batches!$A$2:$A$301,0))&amp;"","(not found)"))</f>
        <v/>
      </c>
      <c r="P1039" s="49" t="str">
        <f>IF(COUNTA($A1039:$L1039)=0,"",IF($A1039="","Missing: entry ID",IF(COUNTIF($A$2:$A$2001,$A1039)&gt;1,"Duplicate entry ID",IF(NOT(ISNUMBER($B1039)),"Missing or invalid: date",IF($C1039="","Missing: type",IF($D1039="","Missing: SKU",IF(NOT(ISNUMBER($E1039)),"Missing: qty",IF($F1039="","Missing: lot",IF($I1039="","Missing: source link",IF(COUNTIF(Config!$A$15:$A$34,$C1039)=0,"Unsupported type",IF(COUNTIF(Products!$A$2:$A$101,$D1039)=0,"Unknown SKU",IF(COUNTIFS(Batches!$A$2:$A$301,$F1039,Batches!$B$2:$B$301,$D1039)=0,"Unknown lot for this SKU",IF(AND($C1039="Adjustment",$G1039=""),"Missing: reason",IF(AND($G1039&lt;&gt;"",COUNTIF(Config!$B$15:$B$34,$G1039)=0),"Unsupported reason",IF(OR(INT($E1039)&lt;&gt;$E1039,AND(OR($C1039="Receipt",$C1039="Shipment"),$E1039&lt;=0),AND($C1039="Adjustment",$E1039=0)),"Invalid qty",IF($B1039&gt;Config!$B$4,"Date after the as-of date",IF($B1039&lt;Config!$B$5,"Date before the opening balance date","OK")))))))))))))))))</f>
        <v/>
      </c>
    </row>
    <row r="1040">
      <c r="A1040" s="46" t="n"/>
      <c r="B1040" s="54" t="n"/>
      <c r="C1040" s="46" t="n"/>
      <c r="D1040" s="46" t="n"/>
      <c r="E1040" s="55" t="n"/>
      <c r="F1040" s="46" t="n"/>
      <c r="G1040" s="46" t="n"/>
      <c r="H1040" s="46" t="n"/>
      <c r="I1040" s="46" t="n"/>
      <c r="J1040" s="46" t="n"/>
      <c r="K1040" s="46" t="n"/>
      <c r="L1040" s="46" t="n"/>
      <c r="M1040" s="51" t="str">
        <f>IF(NOT(ISNUMBER($E1040)),"",IF($C1040="Receipt",$E1040,IF($C1040="Shipment",-$E1040,IF($C1040="Adjustment",$E1040,0))))</f>
        <v/>
      </c>
      <c r="N1040" s="49" t="str">
        <f>IF($D1040="","",IFERROR(INDEX(Products!$B$2:$B$101,MATCH($D1040,Products!$A$2:$A$101,0))&amp;"","(not found)"))</f>
        <v/>
      </c>
      <c r="O1040" s="49" t="str">
        <f>IF($F1040="","",IFERROR(INDEX(Batches!$B$2:$B$301,MATCH($F1040,Batches!$A$2:$A$301,0))&amp;"","(not found)"))</f>
        <v/>
      </c>
      <c r="P1040" s="49" t="str">
        <f>IF(COUNTA($A1040:$L1040)=0,"",IF($A1040="","Missing: entry ID",IF(COUNTIF($A$2:$A$2001,$A1040)&gt;1,"Duplicate entry ID",IF(NOT(ISNUMBER($B1040)),"Missing or invalid: date",IF($C1040="","Missing: type",IF($D1040="","Missing: SKU",IF(NOT(ISNUMBER($E1040)),"Missing: qty",IF($F1040="","Missing: lot",IF($I1040="","Missing: source link",IF(COUNTIF(Config!$A$15:$A$34,$C1040)=0,"Unsupported type",IF(COUNTIF(Products!$A$2:$A$101,$D1040)=0,"Unknown SKU",IF(COUNTIFS(Batches!$A$2:$A$301,$F1040,Batches!$B$2:$B$301,$D1040)=0,"Unknown lot for this SKU",IF(AND($C1040="Adjustment",$G1040=""),"Missing: reason",IF(AND($G1040&lt;&gt;"",COUNTIF(Config!$B$15:$B$34,$G1040)=0),"Unsupported reason",IF(OR(INT($E1040)&lt;&gt;$E1040,AND(OR($C1040="Receipt",$C1040="Shipment"),$E1040&lt;=0),AND($C1040="Adjustment",$E1040=0)),"Invalid qty",IF($B1040&gt;Config!$B$4,"Date after the as-of date",IF($B1040&lt;Config!$B$5,"Date before the opening balance date","OK")))))))))))))))))</f>
        <v/>
      </c>
    </row>
    <row r="1041">
      <c r="A1041" s="46" t="n"/>
      <c r="B1041" s="54" t="n"/>
      <c r="C1041" s="46" t="n"/>
      <c r="D1041" s="46" t="n"/>
      <c r="E1041" s="55" t="n"/>
      <c r="F1041" s="46" t="n"/>
      <c r="G1041" s="46" t="n"/>
      <c r="H1041" s="46" t="n"/>
      <c r="I1041" s="46" t="n"/>
      <c r="J1041" s="46" t="n"/>
      <c r="K1041" s="46" t="n"/>
      <c r="L1041" s="46" t="n"/>
      <c r="M1041" s="51" t="str">
        <f>IF(NOT(ISNUMBER($E1041)),"",IF($C1041="Receipt",$E1041,IF($C1041="Shipment",-$E1041,IF($C1041="Adjustment",$E1041,0))))</f>
        <v/>
      </c>
      <c r="N1041" s="49" t="str">
        <f>IF($D1041="","",IFERROR(INDEX(Products!$B$2:$B$101,MATCH($D1041,Products!$A$2:$A$101,0))&amp;"","(not found)"))</f>
        <v/>
      </c>
      <c r="O1041" s="49" t="str">
        <f>IF($F1041="","",IFERROR(INDEX(Batches!$B$2:$B$301,MATCH($F1041,Batches!$A$2:$A$301,0))&amp;"","(not found)"))</f>
        <v/>
      </c>
      <c r="P1041" s="49" t="str">
        <f>IF(COUNTA($A1041:$L1041)=0,"",IF($A1041="","Missing: entry ID",IF(COUNTIF($A$2:$A$2001,$A1041)&gt;1,"Duplicate entry ID",IF(NOT(ISNUMBER($B1041)),"Missing or invalid: date",IF($C1041="","Missing: type",IF($D1041="","Missing: SKU",IF(NOT(ISNUMBER($E1041)),"Missing: qty",IF($F1041="","Missing: lot",IF($I1041="","Missing: source link",IF(COUNTIF(Config!$A$15:$A$34,$C1041)=0,"Unsupported type",IF(COUNTIF(Products!$A$2:$A$101,$D1041)=0,"Unknown SKU",IF(COUNTIFS(Batches!$A$2:$A$301,$F1041,Batches!$B$2:$B$301,$D1041)=0,"Unknown lot for this SKU",IF(AND($C1041="Adjustment",$G1041=""),"Missing: reason",IF(AND($G1041&lt;&gt;"",COUNTIF(Config!$B$15:$B$34,$G1041)=0),"Unsupported reason",IF(OR(INT($E1041)&lt;&gt;$E1041,AND(OR($C1041="Receipt",$C1041="Shipment"),$E1041&lt;=0),AND($C1041="Adjustment",$E1041=0)),"Invalid qty",IF($B1041&gt;Config!$B$4,"Date after the as-of date",IF($B1041&lt;Config!$B$5,"Date before the opening balance date","OK")))))))))))))))))</f>
        <v/>
      </c>
    </row>
    <row r="1042">
      <c r="A1042" s="46" t="n"/>
      <c r="B1042" s="54" t="n"/>
      <c r="C1042" s="46" t="n"/>
      <c r="D1042" s="46" t="n"/>
      <c r="E1042" s="55" t="n"/>
      <c r="F1042" s="46" t="n"/>
      <c r="G1042" s="46" t="n"/>
      <c r="H1042" s="46" t="n"/>
      <c r="I1042" s="46" t="n"/>
      <c r="J1042" s="46" t="n"/>
      <c r="K1042" s="46" t="n"/>
      <c r="L1042" s="46" t="n"/>
      <c r="M1042" s="51" t="str">
        <f>IF(NOT(ISNUMBER($E1042)),"",IF($C1042="Receipt",$E1042,IF($C1042="Shipment",-$E1042,IF($C1042="Adjustment",$E1042,0))))</f>
        <v/>
      </c>
      <c r="N1042" s="49" t="str">
        <f>IF($D1042="","",IFERROR(INDEX(Products!$B$2:$B$101,MATCH($D1042,Products!$A$2:$A$101,0))&amp;"","(not found)"))</f>
        <v/>
      </c>
      <c r="O1042" s="49" t="str">
        <f>IF($F1042="","",IFERROR(INDEX(Batches!$B$2:$B$301,MATCH($F1042,Batches!$A$2:$A$301,0))&amp;"","(not found)"))</f>
        <v/>
      </c>
      <c r="P1042" s="49" t="str">
        <f>IF(COUNTA($A1042:$L1042)=0,"",IF($A1042="","Missing: entry ID",IF(COUNTIF($A$2:$A$2001,$A1042)&gt;1,"Duplicate entry ID",IF(NOT(ISNUMBER($B1042)),"Missing or invalid: date",IF($C1042="","Missing: type",IF($D1042="","Missing: SKU",IF(NOT(ISNUMBER($E1042)),"Missing: qty",IF($F1042="","Missing: lot",IF($I1042="","Missing: source link",IF(COUNTIF(Config!$A$15:$A$34,$C1042)=0,"Unsupported type",IF(COUNTIF(Products!$A$2:$A$101,$D1042)=0,"Unknown SKU",IF(COUNTIFS(Batches!$A$2:$A$301,$F1042,Batches!$B$2:$B$301,$D1042)=0,"Unknown lot for this SKU",IF(AND($C1042="Adjustment",$G1042=""),"Missing: reason",IF(AND($G1042&lt;&gt;"",COUNTIF(Config!$B$15:$B$34,$G1042)=0),"Unsupported reason",IF(OR(INT($E1042)&lt;&gt;$E1042,AND(OR($C1042="Receipt",$C1042="Shipment"),$E1042&lt;=0),AND($C1042="Adjustment",$E1042=0)),"Invalid qty",IF($B1042&gt;Config!$B$4,"Date after the as-of date",IF($B1042&lt;Config!$B$5,"Date before the opening balance date","OK")))))))))))))))))</f>
        <v/>
      </c>
    </row>
    <row r="1043">
      <c r="A1043" s="46" t="n"/>
      <c r="B1043" s="54" t="n"/>
      <c r="C1043" s="46" t="n"/>
      <c r="D1043" s="46" t="n"/>
      <c r="E1043" s="55" t="n"/>
      <c r="F1043" s="46" t="n"/>
      <c r="G1043" s="46" t="n"/>
      <c r="H1043" s="46" t="n"/>
      <c r="I1043" s="46" t="n"/>
      <c r="J1043" s="46" t="n"/>
      <c r="K1043" s="46" t="n"/>
      <c r="L1043" s="46" t="n"/>
      <c r="M1043" s="51" t="str">
        <f>IF(NOT(ISNUMBER($E1043)),"",IF($C1043="Receipt",$E1043,IF($C1043="Shipment",-$E1043,IF($C1043="Adjustment",$E1043,0))))</f>
        <v/>
      </c>
      <c r="N1043" s="49" t="str">
        <f>IF($D1043="","",IFERROR(INDEX(Products!$B$2:$B$101,MATCH($D1043,Products!$A$2:$A$101,0))&amp;"","(not found)"))</f>
        <v/>
      </c>
      <c r="O1043" s="49" t="str">
        <f>IF($F1043="","",IFERROR(INDEX(Batches!$B$2:$B$301,MATCH($F1043,Batches!$A$2:$A$301,0))&amp;"","(not found)"))</f>
        <v/>
      </c>
      <c r="P1043" s="49" t="str">
        <f>IF(COUNTA($A1043:$L1043)=0,"",IF($A1043="","Missing: entry ID",IF(COUNTIF($A$2:$A$2001,$A1043)&gt;1,"Duplicate entry ID",IF(NOT(ISNUMBER($B1043)),"Missing or invalid: date",IF($C1043="","Missing: type",IF($D1043="","Missing: SKU",IF(NOT(ISNUMBER($E1043)),"Missing: qty",IF($F1043="","Missing: lot",IF($I1043="","Missing: source link",IF(COUNTIF(Config!$A$15:$A$34,$C1043)=0,"Unsupported type",IF(COUNTIF(Products!$A$2:$A$101,$D1043)=0,"Unknown SKU",IF(COUNTIFS(Batches!$A$2:$A$301,$F1043,Batches!$B$2:$B$301,$D1043)=0,"Unknown lot for this SKU",IF(AND($C1043="Adjustment",$G1043=""),"Missing: reason",IF(AND($G1043&lt;&gt;"",COUNTIF(Config!$B$15:$B$34,$G1043)=0),"Unsupported reason",IF(OR(INT($E1043)&lt;&gt;$E1043,AND(OR($C1043="Receipt",$C1043="Shipment"),$E1043&lt;=0),AND($C1043="Adjustment",$E1043=0)),"Invalid qty",IF($B1043&gt;Config!$B$4,"Date after the as-of date",IF($B1043&lt;Config!$B$5,"Date before the opening balance date","OK")))))))))))))))))</f>
        <v/>
      </c>
    </row>
    <row r="1044">
      <c r="A1044" s="46" t="n"/>
      <c r="B1044" s="54" t="n"/>
      <c r="C1044" s="46" t="n"/>
      <c r="D1044" s="46" t="n"/>
      <c r="E1044" s="55" t="n"/>
      <c r="F1044" s="46" t="n"/>
      <c r="G1044" s="46" t="n"/>
      <c r="H1044" s="46" t="n"/>
      <c r="I1044" s="46" t="n"/>
      <c r="J1044" s="46" t="n"/>
      <c r="K1044" s="46" t="n"/>
      <c r="L1044" s="46" t="n"/>
      <c r="M1044" s="51" t="str">
        <f>IF(NOT(ISNUMBER($E1044)),"",IF($C1044="Receipt",$E1044,IF($C1044="Shipment",-$E1044,IF($C1044="Adjustment",$E1044,0))))</f>
        <v/>
      </c>
      <c r="N1044" s="49" t="str">
        <f>IF($D1044="","",IFERROR(INDEX(Products!$B$2:$B$101,MATCH($D1044,Products!$A$2:$A$101,0))&amp;"","(not found)"))</f>
        <v/>
      </c>
      <c r="O1044" s="49" t="str">
        <f>IF($F1044="","",IFERROR(INDEX(Batches!$B$2:$B$301,MATCH($F1044,Batches!$A$2:$A$301,0))&amp;"","(not found)"))</f>
        <v/>
      </c>
      <c r="P1044" s="49" t="str">
        <f>IF(COUNTA($A1044:$L1044)=0,"",IF($A1044="","Missing: entry ID",IF(COUNTIF($A$2:$A$2001,$A1044)&gt;1,"Duplicate entry ID",IF(NOT(ISNUMBER($B1044)),"Missing or invalid: date",IF($C1044="","Missing: type",IF($D1044="","Missing: SKU",IF(NOT(ISNUMBER($E1044)),"Missing: qty",IF($F1044="","Missing: lot",IF($I1044="","Missing: source link",IF(COUNTIF(Config!$A$15:$A$34,$C1044)=0,"Unsupported type",IF(COUNTIF(Products!$A$2:$A$101,$D1044)=0,"Unknown SKU",IF(COUNTIFS(Batches!$A$2:$A$301,$F1044,Batches!$B$2:$B$301,$D1044)=0,"Unknown lot for this SKU",IF(AND($C1044="Adjustment",$G1044=""),"Missing: reason",IF(AND($G1044&lt;&gt;"",COUNTIF(Config!$B$15:$B$34,$G1044)=0),"Unsupported reason",IF(OR(INT($E1044)&lt;&gt;$E1044,AND(OR($C1044="Receipt",$C1044="Shipment"),$E1044&lt;=0),AND($C1044="Adjustment",$E1044=0)),"Invalid qty",IF($B1044&gt;Config!$B$4,"Date after the as-of date",IF($B1044&lt;Config!$B$5,"Date before the opening balance date","OK")))))))))))))))))</f>
        <v/>
      </c>
    </row>
    <row r="1045">
      <c r="A1045" s="46" t="n"/>
      <c r="B1045" s="54" t="n"/>
      <c r="C1045" s="46" t="n"/>
      <c r="D1045" s="46" t="n"/>
      <c r="E1045" s="55" t="n"/>
      <c r="F1045" s="46" t="n"/>
      <c r="G1045" s="46" t="n"/>
      <c r="H1045" s="46" t="n"/>
      <c r="I1045" s="46" t="n"/>
      <c r="J1045" s="46" t="n"/>
      <c r="K1045" s="46" t="n"/>
      <c r="L1045" s="46" t="n"/>
      <c r="M1045" s="51" t="str">
        <f>IF(NOT(ISNUMBER($E1045)),"",IF($C1045="Receipt",$E1045,IF($C1045="Shipment",-$E1045,IF($C1045="Adjustment",$E1045,0))))</f>
        <v/>
      </c>
      <c r="N1045" s="49" t="str">
        <f>IF($D1045="","",IFERROR(INDEX(Products!$B$2:$B$101,MATCH($D1045,Products!$A$2:$A$101,0))&amp;"","(not found)"))</f>
        <v/>
      </c>
      <c r="O1045" s="49" t="str">
        <f>IF($F1045="","",IFERROR(INDEX(Batches!$B$2:$B$301,MATCH($F1045,Batches!$A$2:$A$301,0))&amp;"","(not found)"))</f>
        <v/>
      </c>
      <c r="P1045" s="49" t="str">
        <f>IF(COUNTA($A1045:$L1045)=0,"",IF($A1045="","Missing: entry ID",IF(COUNTIF($A$2:$A$2001,$A1045)&gt;1,"Duplicate entry ID",IF(NOT(ISNUMBER($B1045)),"Missing or invalid: date",IF($C1045="","Missing: type",IF($D1045="","Missing: SKU",IF(NOT(ISNUMBER($E1045)),"Missing: qty",IF($F1045="","Missing: lot",IF($I1045="","Missing: source link",IF(COUNTIF(Config!$A$15:$A$34,$C1045)=0,"Unsupported type",IF(COUNTIF(Products!$A$2:$A$101,$D1045)=0,"Unknown SKU",IF(COUNTIFS(Batches!$A$2:$A$301,$F1045,Batches!$B$2:$B$301,$D1045)=0,"Unknown lot for this SKU",IF(AND($C1045="Adjustment",$G1045=""),"Missing: reason",IF(AND($G1045&lt;&gt;"",COUNTIF(Config!$B$15:$B$34,$G1045)=0),"Unsupported reason",IF(OR(INT($E1045)&lt;&gt;$E1045,AND(OR($C1045="Receipt",$C1045="Shipment"),$E1045&lt;=0),AND($C1045="Adjustment",$E1045=0)),"Invalid qty",IF($B1045&gt;Config!$B$4,"Date after the as-of date",IF($B1045&lt;Config!$B$5,"Date before the opening balance date","OK")))))))))))))))))</f>
        <v/>
      </c>
    </row>
    <row r="1046">
      <c r="A1046" s="46" t="n"/>
      <c r="B1046" s="54" t="n"/>
      <c r="C1046" s="46" t="n"/>
      <c r="D1046" s="46" t="n"/>
      <c r="E1046" s="55" t="n"/>
      <c r="F1046" s="46" t="n"/>
      <c r="G1046" s="46" t="n"/>
      <c r="H1046" s="46" t="n"/>
      <c r="I1046" s="46" t="n"/>
      <c r="J1046" s="46" t="n"/>
      <c r="K1046" s="46" t="n"/>
      <c r="L1046" s="46" t="n"/>
      <c r="M1046" s="51" t="str">
        <f>IF(NOT(ISNUMBER($E1046)),"",IF($C1046="Receipt",$E1046,IF($C1046="Shipment",-$E1046,IF($C1046="Adjustment",$E1046,0))))</f>
        <v/>
      </c>
      <c r="N1046" s="49" t="str">
        <f>IF($D1046="","",IFERROR(INDEX(Products!$B$2:$B$101,MATCH($D1046,Products!$A$2:$A$101,0))&amp;"","(not found)"))</f>
        <v/>
      </c>
      <c r="O1046" s="49" t="str">
        <f>IF($F1046="","",IFERROR(INDEX(Batches!$B$2:$B$301,MATCH($F1046,Batches!$A$2:$A$301,0))&amp;"","(not found)"))</f>
        <v/>
      </c>
      <c r="P1046" s="49" t="str">
        <f>IF(COUNTA($A1046:$L1046)=0,"",IF($A1046="","Missing: entry ID",IF(COUNTIF($A$2:$A$2001,$A1046)&gt;1,"Duplicate entry ID",IF(NOT(ISNUMBER($B1046)),"Missing or invalid: date",IF($C1046="","Missing: type",IF($D1046="","Missing: SKU",IF(NOT(ISNUMBER($E1046)),"Missing: qty",IF($F1046="","Missing: lot",IF($I1046="","Missing: source link",IF(COUNTIF(Config!$A$15:$A$34,$C1046)=0,"Unsupported type",IF(COUNTIF(Products!$A$2:$A$101,$D1046)=0,"Unknown SKU",IF(COUNTIFS(Batches!$A$2:$A$301,$F1046,Batches!$B$2:$B$301,$D1046)=0,"Unknown lot for this SKU",IF(AND($C1046="Adjustment",$G1046=""),"Missing: reason",IF(AND($G1046&lt;&gt;"",COUNTIF(Config!$B$15:$B$34,$G1046)=0),"Unsupported reason",IF(OR(INT($E1046)&lt;&gt;$E1046,AND(OR($C1046="Receipt",$C1046="Shipment"),$E1046&lt;=0),AND($C1046="Adjustment",$E1046=0)),"Invalid qty",IF($B1046&gt;Config!$B$4,"Date after the as-of date",IF($B1046&lt;Config!$B$5,"Date before the opening balance date","OK")))))))))))))))))</f>
        <v/>
      </c>
    </row>
    <row r="1047">
      <c r="A1047" s="46" t="n"/>
      <c r="B1047" s="54" t="n"/>
      <c r="C1047" s="46" t="n"/>
      <c r="D1047" s="46" t="n"/>
      <c r="E1047" s="55" t="n"/>
      <c r="F1047" s="46" t="n"/>
      <c r="G1047" s="46" t="n"/>
      <c r="H1047" s="46" t="n"/>
      <c r="I1047" s="46" t="n"/>
      <c r="J1047" s="46" t="n"/>
      <c r="K1047" s="46" t="n"/>
      <c r="L1047" s="46" t="n"/>
      <c r="M1047" s="51" t="str">
        <f>IF(NOT(ISNUMBER($E1047)),"",IF($C1047="Receipt",$E1047,IF($C1047="Shipment",-$E1047,IF($C1047="Adjustment",$E1047,0))))</f>
        <v/>
      </c>
      <c r="N1047" s="49" t="str">
        <f>IF($D1047="","",IFERROR(INDEX(Products!$B$2:$B$101,MATCH($D1047,Products!$A$2:$A$101,0))&amp;"","(not found)"))</f>
        <v/>
      </c>
      <c r="O1047" s="49" t="str">
        <f>IF($F1047="","",IFERROR(INDEX(Batches!$B$2:$B$301,MATCH($F1047,Batches!$A$2:$A$301,0))&amp;"","(not found)"))</f>
        <v/>
      </c>
      <c r="P1047" s="49" t="str">
        <f>IF(COUNTA($A1047:$L1047)=0,"",IF($A1047="","Missing: entry ID",IF(COUNTIF($A$2:$A$2001,$A1047)&gt;1,"Duplicate entry ID",IF(NOT(ISNUMBER($B1047)),"Missing or invalid: date",IF($C1047="","Missing: type",IF($D1047="","Missing: SKU",IF(NOT(ISNUMBER($E1047)),"Missing: qty",IF($F1047="","Missing: lot",IF($I1047="","Missing: source link",IF(COUNTIF(Config!$A$15:$A$34,$C1047)=0,"Unsupported type",IF(COUNTIF(Products!$A$2:$A$101,$D1047)=0,"Unknown SKU",IF(COUNTIFS(Batches!$A$2:$A$301,$F1047,Batches!$B$2:$B$301,$D1047)=0,"Unknown lot for this SKU",IF(AND($C1047="Adjustment",$G1047=""),"Missing: reason",IF(AND($G1047&lt;&gt;"",COUNTIF(Config!$B$15:$B$34,$G1047)=0),"Unsupported reason",IF(OR(INT($E1047)&lt;&gt;$E1047,AND(OR($C1047="Receipt",$C1047="Shipment"),$E1047&lt;=0),AND($C1047="Adjustment",$E1047=0)),"Invalid qty",IF($B1047&gt;Config!$B$4,"Date after the as-of date",IF($B1047&lt;Config!$B$5,"Date before the opening balance date","OK")))))))))))))))))</f>
        <v/>
      </c>
    </row>
    <row r="1048">
      <c r="A1048" s="46" t="n"/>
      <c r="B1048" s="54" t="n"/>
      <c r="C1048" s="46" t="n"/>
      <c r="D1048" s="46" t="n"/>
      <c r="E1048" s="55" t="n"/>
      <c r="F1048" s="46" t="n"/>
      <c r="G1048" s="46" t="n"/>
      <c r="H1048" s="46" t="n"/>
      <c r="I1048" s="46" t="n"/>
      <c r="J1048" s="46" t="n"/>
      <c r="K1048" s="46" t="n"/>
      <c r="L1048" s="46" t="n"/>
      <c r="M1048" s="51" t="str">
        <f>IF(NOT(ISNUMBER($E1048)),"",IF($C1048="Receipt",$E1048,IF($C1048="Shipment",-$E1048,IF($C1048="Adjustment",$E1048,0))))</f>
        <v/>
      </c>
      <c r="N1048" s="49" t="str">
        <f>IF($D1048="","",IFERROR(INDEX(Products!$B$2:$B$101,MATCH($D1048,Products!$A$2:$A$101,0))&amp;"","(not found)"))</f>
        <v/>
      </c>
      <c r="O1048" s="49" t="str">
        <f>IF($F1048="","",IFERROR(INDEX(Batches!$B$2:$B$301,MATCH($F1048,Batches!$A$2:$A$301,0))&amp;"","(not found)"))</f>
        <v/>
      </c>
      <c r="P1048" s="49" t="str">
        <f>IF(COUNTA($A1048:$L1048)=0,"",IF($A1048="","Missing: entry ID",IF(COUNTIF($A$2:$A$2001,$A1048)&gt;1,"Duplicate entry ID",IF(NOT(ISNUMBER($B1048)),"Missing or invalid: date",IF($C1048="","Missing: type",IF($D1048="","Missing: SKU",IF(NOT(ISNUMBER($E1048)),"Missing: qty",IF($F1048="","Missing: lot",IF($I1048="","Missing: source link",IF(COUNTIF(Config!$A$15:$A$34,$C1048)=0,"Unsupported type",IF(COUNTIF(Products!$A$2:$A$101,$D1048)=0,"Unknown SKU",IF(COUNTIFS(Batches!$A$2:$A$301,$F1048,Batches!$B$2:$B$301,$D1048)=0,"Unknown lot for this SKU",IF(AND($C1048="Adjustment",$G1048=""),"Missing: reason",IF(AND($G1048&lt;&gt;"",COUNTIF(Config!$B$15:$B$34,$G1048)=0),"Unsupported reason",IF(OR(INT($E1048)&lt;&gt;$E1048,AND(OR($C1048="Receipt",$C1048="Shipment"),$E1048&lt;=0),AND($C1048="Adjustment",$E1048=0)),"Invalid qty",IF($B1048&gt;Config!$B$4,"Date after the as-of date",IF($B1048&lt;Config!$B$5,"Date before the opening balance date","OK")))))))))))))))))</f>
        <v/>
      </c>
    </row>
    <row r="1049">
      <c r="A1049" s="46" t="n"/>
      <c r="B1049" s="54" t="n"/>
      <c r="C1049" s="46" t="n"/>
      <c r="D1049" s="46" t="n"/>
      <c r="E1049" s="55" t="n"/>
      <c r="F1049" s="46" t="n"/>
      <c r="G1049" s="46" t="n"/>
      <c r="H1049" s="46" t="n"/>
      <c r="I1049" s="46" t="n"/>
      <c r="J1049" s="46" t="n"/>
      <c r="K1049" s="46" t="n"/>
      <c r="L1049" s="46" t="n"/>
      <c r="M1049" s="51" t="str">
        <f>IF(NOT(ISNUMBER($E1049)),"",IF($C1049="Receipt",$E1049,IF($C1049="Shipment",-$E1049,IF($C1049="Adjustment",$E1049,0))))</f>
        <v/>
      </c>
      <c r="N1049" s="49" t="str">
        <f>IF($D1049="","",IFERROR(INDEX(Products!$B$2:$B$101,MATCH($D1049,Products!$A$2:$A$101,0))&amp;"","(not found)"))</f>
        <v/>
      </c>
      <c r="O1049" s="49" t="str">
        <f>IF($F1049="","",IFERROR(INDEX(Batches!$B$2:$B$301,MATCH($F1049,Batches!$A$2:$A$301,0))&amp;"","(not found)"))</f>
        <v/>
      </c>
      <c r="P1049" s="49" t="str">
        <f>IF(COUNTA($A1049:$L1049)=0,"",IF($A1049="","Missing: entry ID",IF(COUNTIF($A$2:$A$2001,$A1049)&gt;1,"Duplicate entry ID",IF(NOT(ISNUMBER($B1049)),"Missing or invalid: date",IF($C1049="","Missing: type",IF($D1049="","Missing: SKU",IF(NOT(ISNUMBER($E1049)),"Missing: qty",IF($F1049="","Missing: lot",IF($I1049="","Missing: source link",IF(COUNTIF(Config!$A$15:$A$34,$C1049)=0,"Unsupported type",IF(COUNTIF(Products!$A$2:$A$101,$D1049)=0,"Unknown SKU",IF(COUNTIFS(Batches!$A$2:$A$301,$F1049,Batches!$B$2:$B$301,$D1049)=0,"Unknown lot for this SKU",IF(AND($C1049="Adjustment",$G1049=""),"Missing: reason",IF(AND($G1049&lt;&gt;"",COUNTIF(Config!$B$15:$B$34,$G1049)=0),"Unsupported reason",IF(OR(INT($E1049)&lt;&gt;$E1049,AND(OR($C1049="Receipt",$C1049="Shipment"),$E1049&lt;=0),AND($C1049="Adjustment",$E1049=0)),"Invalid qty",IF($B1049&gt;Config!$B$4,"Date after the as-of date",IF($B1049&lt;Config!$B$5,"Date before the opening balance date","OK")))))))))))))))))</f>
        <v/>
      </c>
    </row>
    <row r="1050">
      <c r="A1050" s="46" t="n"/>
      <c r="B1050" s="54" t="n"/>
      <c r="C1050" s="46" t="n"/>
      <c r="D1050" s="46" t="n"/>
      <c r="E1050" s="55" t="n"/>
      <c r="F1050" s="46" t="n"/>
      <c r="G1050" s="46" t="n"/>
      <c r="H1050" s="46" t="n"/>
      <c r="I1050" s="46" t="n"/>
      <c r="J1050" s="46" t="n"/>
      <c r="K1050" s="46" t="n"/>
      <c r="L1050" s="46" t="n"/>
      <c r="M1050" s="51" t="str">
        <f>IF(NOT(ISNUMBER($E1050)),"",IF($C1050="Receipt",$E1050,IF($C1050="Shipment",-$E1050,IF($C1050="Adjustment",$E1050,0))))</f>
        <v/>
      </c>
      <c r="N1050" s="49" t="str">
        <f>IF($D1050="","",IFERROR(INDEX(Products!$B$2:$B$101,MATCH($D1050,Products!$A$2:$A$101,0))&amp;"","(not found)"))</f>
        <v/>
      </c>
      <c r="O1050" s="49" t="str">
        <f>IF($F1050="","",IFERROR(INDEX(Batches!$B$2:$B$301,MATCH($F1050,Batches!$A$2:$A$301,0))&amp;"","(not found)"))</f>
        <v/>
      </c>
      <c r="P1050" s="49" t="str">
        <f>IF(COUNTA($A1050:$L1050)=0,"",IF($A1050="","Missing: entry ID",IF(COUNTIF($A$2:$A$2001,$A1050)&gt;1,"Duplicate entry ID",IF(NOT(ISNUMBER($B1050)),"Missing or invalid: date",IF($C1050="","Missing: type",IF($D1050="","Missing: SKU",IF(NOT(ISNUMBER($E1050)),"Missing: qty",IF($F1050="","Missing: lot",IF($I1050="","Missing: source link",IF(COUNTIF(Config!$A$15:$A$34,$C1050)=0,"Unsupported type",IF(COUNTIF(Products!$A$2:$A$101,$D1050)=0,"Unknown SKU",IF(COUNTIFS(Batches!$A$2:$A$301,$F1050,Batches!$B$2:$B$301,$D1050)=0,"Unknown lot for this SKU",IF(AND($C1050="Adjustment",$G1050=""),"Missing: reason",IF(AND($G1050&lt;&gt;"",COUNTIF(Config!$B$15:$B$34,$G1050)=0),"Unsupported reason",IF(OR(INT($E1050)&lt;&gt;$E1050,AND(OR($C1050="Receipt",$C1050="Shipment"),$E1050&lt;=0),AND($C1050="Adjustment",$E1050=0)),"Invalid qty",IF($B1050&gt;Config!$B$4,"Date after the as-of date",IF($B1050&lt;Config!$B$5,"Date before the opening balance date","OK")))))))))))))))))</f>
        <v/>
      </c>
    </row>
    <row r="1051">
      <c r="A1051" s="46" t="n"/>
      <c r="B1051" s="54" t="n"/>
      <c r="C1051" s="46" t="n"/>
      <c r="D1051" s="46" t="n"/>
      <c r="E1051" s="55" t="n"/>
      <c r="F1051" s="46" t="n"/>
      <c r="G1051" s="46" t="n"/>
      <c r="H1051" s="46" t="n"/>
      <c r="I1051" s="46" t="n"/>
      <c r="J1051" s="46" t="n"/>
      <c r="K1051" s="46" t="n"/>
      <c r="L1051" s="46" t="n"/>
      <c r="M1051" s="51" t="str">
        <f>IF(NOT(ISNUMBER($E1051)),"",IF($C1051="Receipt",$E1051,IF($C1051="Shipment",-$E1051,IF($C1051="Adjustment",$E1051,0))))</f>
        <v/>
      </c>
      <c r="N1051" s="49" t="str">
        <f>IF($D1051="","",IFERROR(INDEX(Products!$B$2:$B$101,MATCH($D1051,Products!$A$2:$A$101,0))&amp;"","(not found)"))</f>
        <v/>
      </c>
      <c r="O1051" s="49" t="str">
        <f>IF($F1051="","",IFERROR(INDEX(Batches!$B$2:$B$301,MATCH($F1051,Batches!$A$2:$A$301,0))&amp;"","(not found)"))</f>
        <v/>
      </c>
      <c r="P1051" s="49" t="str">
        <f>IF(COUNTA($A1051:$L1051)=0,"",IF($A1051="","Missing: entry ID",IF(COUNTIF($A$2:$A$2001,$A1051)&gt;1,"Duplicate entry ID",IF(NOT(ISNUMBER($B1051)),"Missing or invalid: date",IF($C1051="","Missing: type",IF($D1051="","Missing: SKU",IF(NOT(ISNUMBER($E1051)),"Missing: qty",IF($F1051="","Missing: lot",IF($I1051="","Missing: source link",IF(COUNTIF(Config!$A$15:$A$34,$C1051)=0,"Unsupported type",IF(COUNTIF(Products!$A$2:$A$101,$D1051)=0,"Unknown SKU",IF(COUNTIFS(Batches!$A$2:$A$301,$F1051,Batches!$B$2:$B$301,$D1051)=0,"Unknown lot for this SKU",IF(AND($C1051="Adjustment",$G1051=""),"Missing: reason",IF(AND($G1051&lt;&gt;"",COUNTIF(Config!$B$15:$B$34,$G1051)=0),"Unsupported reason",IF(OR(INT($E1051)&lt;&gt;$E1051,AND(OR($C1051="Receipt",$C1051="Shipment"),$E1051&lt;=0),AND($C1051="Adjustment",$E1051=0)),"Invalid qty",IF($B1051&gt;Config!$B$4,"Date after the as-of date",IF($B1051&lt;Config!$B$5,"Date before the opening balance date","OK")))))))))))))))))</f>
        <v/>
      </c>
    </row>
    <row r="1052">
      <c r="A1052" s="46" t="n"/>
      <c r="B1052" s="54" t="n"/>
      <c r="C1052" s="46" t="n"/>
      <c r="D1052" s="46" t="n"/>
      <c r="E1052" s="55" t="n"/>
      <c r="F1052" s="46" t="n"/>
      <c r="G1052" s="46" t="n"/>
      <c r="H1052" s="46" t="n"/>
      <c r="I1052" s="46" t="n"/>
      <c r="J1052" s="46" t="n"/>
      <c r="K1052" s="46" t="n"/>
      <c r="L1052" s="46" t="n"/>
      <c r="M1052" s="51" t="str">
        <f>IF(NOT(ISNUMBER($E1052)),"",IF($C1052="Receipt",$E1052,IF($C1052="Shipment",-$E1052,IF($C1052="Adjustment",$E1052,0))))</f>
        <v/>
      </c>
      <c r="N1052" s="49" t="str">
        <f>IF($D1052="","",IFERROR(INDEX(Products!$B$2:$B$101,MATCH($D1052,Products!$A$2:$A$101,0))&amp;"","(not found)"))</f>
        <v/>
      </c>
      <c r="O1052" s="49" t="str">
        <f>IF($F1052="","",IFERROR(INDEX(Batches!$B$2:$B$301,MATCH($F1052,Batches!$A$2:$A$301,0))&amp;"","(not found)"))</f>
        <v/>
      </c>
      <c r="P1052" s="49" t="str">
        <f>IF(COUNTA($A1052:$L1052)=0,"",IF($A1052="","Missing: entry ID",IF(COUNTIF($A$2:$A$2001,$A1052)&gt;1,"Duplicate entry ID",IF(NOT(ISNUMBER($B1052)),"Missing or invalid: date",IF($C1052="","Missing: type",IF($D1052="","Missing: SKU",IF(NOT(ISNUMBER($E1052)),"Missing: qty",IF($F1052="","Missing: lot",IF($I1052="","Missing: source link",IF(COUNTIF(Config!$A$15:$A$34,$C1052)=0,"Unsupported type",IF(COUNTIF(Products!$A$2:$A$101,$D1052)=0,"Unknown SKU",IF(COUNTIFS(Batches!$A$2:$A$301,$F1052,Batches!$B$2:$B$301,$D1052)=0,"Unknown lot for this SKU",IF(AND($C1052="Adjustment",$G1052=""),"Missing: reason",IF(AND($G1052&lt;&gt;"",COUNTIF(Config!$B$15:$B$34,$G1052)=0),"Unsupported reason",IF(OR(INT($E1052)&lt;&gt;$E1052,AND(OR($C1052="Receipt",$C1052="Shipment"),$E1052&lt;=0),AND($C1052="Adjustment",$E1052=0)),"Invalid qty",IF($B1052&gt;Config!$B$4,"Date after the as-of date",IF($B1052&lt;Config!$B$5,"Date before the opening balance date","OK")))))))))))))))))</f>
        <v/>
      </c>
    </row>
    <row r="1053">
      <c r="A1053" s="46" t="n"/>
      <c r="B1053" s="54" t="n"/>
      <c r="C1053" s="46" t="n"/>
      <c r="D1053" s="46" t="n"/>
      <c r="E1053" s="55" t="n"/>
      <c r="F1053" s="46" t="n"/>
      <c r="G1053" s="46" t="n"/>
      <c r="H1053" s="46" t="n"/>
      <c r="I1053" s="46" t="n"/>
      <c r="J1053" s="46" t="n"/>
      <c r="K1053" s="46" t="n"/>
      <c r="L1053" s="46" t="n"/>
      <c r="M1053" s="51" t="str">
        <f>IF(NOT(ISNUMBER($E1053)),"",IF($C1053="Receipt",$E1053,IF($C1053="Shipment",-$E1053,IF($C1053="Adjustment",$E1053,0))))</f>
        <v/>
      </c>
      <c r="N1053" s="49" t="str">
        <f>IF($D1053="","",IFERROR(INDEX(Products!$B$2:$B$101,MATCH($D1053,Products!$A$2:$A$101,0))&amp;"","(not found)"))</f>
        <v/>
      </c>
      <c r="O1053" s="49" t="str">
        <f>IF($F1053="","",IFERROR(INDEX(Batches!$B$2:$B$301,MATCH($F1053,Batches!$A$2:$A$301,0))&amp;"","(not found)"))</f>
        <v/>
      </c>
      <c r="P1053" s="49" t="str">
        <f>IF(COUNTA($A1053:$L1053)=0,"",IF($A1053="","Missing: entry ID",IF(COUNTIF($A$2:$A$2001,$A1053)&gt;1,"Duplicate entry ID",IF(NOT(ISNUMBER($B1053)),"Missing or invalid: date",IF($C1053="","Missing: type",IF($D1053="","Missing: SKU",IF(NOT(ISNUMBER($E1053)),"Missing: qty",IF($F1053="","Missing: lot",IF($I1053="","Missing: source link",IF(COUNTIF(Config!$A$15:$A$34,$C1053)=0,"Unsupported type",IF(COUNTIF(Products!$A$2:$A$101,$D1053)=0,"Unknown SKU",IF(COUNTIFS(Batches!$A$2:$A$301,$F1053,Batches!$B$2:$B$301,$D1053)=0,"Unknown lot for this SKU",IF(AND($C1053="Adjustment",$G1053=""),"Missing: reason",IF(AND($G1053&lt;&gt;"",COUNTIF(Config!$B$15:$B$34,$G1053)=0),"Unsupported reason",IF(OR(INT($E1053)&lt;&gt;$E1053,AND(OR($C1053="Receipt",$C1053="Shipment"),$E1053&lt;=0),AND($C1053="Adjustment",$E1053=0)),"Invalid qty",IF($B1053&gt;Config!$B$4,"Date after the as-of date",IF($B1053&lt;Config!$B$5,"Date before the opening balance date","OK")))))))))))))))))</f>
        <v/>
      </c>
    </row>
    <row r="1054">
      <c r="A1054" s="46" t="n"/>
      <c r="B1054" s="54" t="n"/>
      <c r="C1054" s="46" t="n"/>
      <c r="D1054" s="46" t="n"/>
      <c r="E1054" s="55" t="n"/>
      <c r="F1054" s="46" t="n"/>
      <c r="G1054" s="46" t="n"/>
      <c r="H1054" s="46" t="n"/>
      <c r="I1054" s="46" t="n"/>
      <c r="J1054" s="46" t="n"/>
      <c r="K1054" s="46" t="n"/>
      <c r="L1054" s="46" t="n"/>
      <c r="M1054" s="51" t="str">
        <f>IF(NOT(ISNUMBER($E1054)),"",IF($C1054="Receipt",$E1054,IF($C1054="Shipment",-$E1054,IF($C1054="Adjustment",$E1054,0))))</f>
        <v/>
      </c>
      <c r="N1054" s="49" t="str">
        <f>IF($D1054="","",IFERROR(INDEX(Products!$B$2:$B$101,MATCH($D1054,Products!$A$2:$A$101,0))&amp;"","(not found)"))</f>
        <v/>
      </c>
      <c r="O1054" s="49" t="str">
        <f>IF($F1054="","",IFERROR(INDEX(Batches!$B$2:$B$301,MATCH($F1054,Batches!$A$2:$A$301,0))&amp;"","(not found)"))</f>
        <v/>
      </c>
      <c r="P1054" s="49" t="str">
        <f>IF(COUNTA($A1054:$L1054)=0,"",IF($A1054="","Missing: entry ID",IF(COUNTIF($A$2:$A$2001,$A1054)&gt;1,"Duplicate entry ID",IF(NOT(ISNUMBER($B1054)),"Missing or invalid: date",IF($C1054="","Missing: type",IF($D1054="","Missing: SKU",IF(NOT(ISNUMBER($E1054)),"Missing: qty",IF($F1054="","Missing: lot",IF($I1054="","Missing: source link",IF(COUNTIF(Config!$A$15:$A$34,$C1054)=0,"Unsupported type",IF(COUNTIF(Products!$A$2:$A$101,$D1054)=0,"Unknown SKU",IF(COUNTIFS(Batches!$A$2:$A$301,$F1054,Batches!$B$2:$B$301,$D1054)=0,"Unknown lot for this SKU",IF(AND($C1054="Adjustment",$G1054=""),"Missing: reason",IF(AND($G1054&lt;&gt;"",COUNTIF(Config!$B$15:$B$34,$G1054)=0),"Unsupported reason",IF(OR(INT($E1054)&lt;&gt;$E1054,AND(OR($C1054="Receipt",$C1054="Shipment"),$E1054&lt;=0),AND($C1054="Adjustment",$E1054=0)),"Invalid qty",IF($B1054&gt;Config!$B$4,"Date after the as-of date",IF($B1054&lt;Config!$B$5,"Date before the opening balance date","OK")))))))))))))))))</f>
        <v/>
      </c>
    </row>
    <row r="1055">
      <c r="A1055" s="46" t="n"/>
      <c r="B1055" s="54" t="n"/>
      <c r="C1055" s="46" t="n"/>
      <c r="D1055" s="46" t="n"/>
      <c r="E1055" s="55" t="n"/>
      <c r="F1055" s="46" t="n"/>
      <c r="G1055" s="46" t="n"/>
      <c r="H1055" s="46" t="n"/>
      <c r="I1055" s="46" t="n"/>
      <c r="J1055" s="46" t="n"/>
      <c r="K1055" s="46" t="n"/>
      <c r="L1055" s="46" t="n"/>
      <c r="M1055" s="51" t="str">
        <f>IF(NOT(ISNUMBER($E1055)),"",IF($C1055="Receipt",$E1055,IF($C1055="Shipment",-$E1055,IF($C1055="Adjustment",$E1055,0))))</f>
        <v/>
      </c>
      <c r="N1055" s="49" t="str">
        <f>IF($D1055="","",IFERROR(INDEX(Products!$B$2:$B$101,MATCH($D1055,Products!$A$2:$A$101,0))&amp;"","(not found)"))</f>
        <v/>
      </c>
      <c r="O1055" s="49" t="str">
        <f>IF($F1055="","",IFERROR(INDEX(Batches!$B$2:$B$301,MATCH($F1055,Batches!$A$2:$A$301,0))&amp;"","(not found)"))</f>
        <v/>
      </c>
      <c r="P1055" s="49" t="str">
        <f>IF(COUNTA($A1055:$L1055)=0,"",IF($A1055="","Missing: entry ID",IF(COUNTIF($A$2:$A$2001,$A1055)&gt;1,"Duplicate entry ID",IF(NOT(ISNUMBER($B1055)),"Missing or invalid: date",IF($C1055="","Missing: type",IF($D1055="","Missing: SKU",IF(NOT(ISNUMBER($E1055)),"Missing: qty",IF($F1055="","Missing: lot",IF($I1055="","Missing: source link",IF(COUNTIF(Config!$A$15:$A$34,$C1055)=0,"Unsupported type",IF(COUNTIF(Products!$A$2:$A$101,$D1055)=0,"Unknown SKU",IF(COUNTIFS(Batches!$A$2:$A$301,$F1055,Batches!$B$2:$B$301,$D1055)=0,"Unknown lot for this SKU",IF(AND($C1055="Adjustment",$G1055=""),"Missing: reason",IF(AND($G1055&lt;&gt;"",COUNTIF(Config!$B$15:$B$34,$G1055)=0),"Unsupported reason",IF(OR(INT($E1055)&lt;&gt;$E1055,AND(OR($C1055="Receipt",$C1055="Shipment"),$E1055&lt;=0),AND($C1055="Adjustment",$E1055=0)),"Invalid qty",IF($B1055&gt;Config!$B$4,"Date after the as-of date",IF($B1055&lt;Config!$B$5,"Date before the opening balance date","OK")))))))))))))))))</f>
        <v/>
      </c>
    </row>
    <row r="1056">
      <c r="A1056" s="46" t="n"/>
      <c r="B1056" s="54" t="n"/>
      <c r="C1056" s="46" t="n"/>
      <c r="D1056" s="46" t="n"/>
      <c r="E1056" s="55" t="n"/>
      <c r="F1056" s="46" t="n"/>
      <c r="G1056" s="46" t="n"/>
      <c r="H1056" s="46" t="n"/>
      <c r="I1056" s="46" t="n"/>
      <c r="J1056" s="46" t="n"/>
      <c r="K1056" s="46" t="n"/>
      <c r="L1056" s="46" t="n"/>
      <c r="M1056" s="51" t="str">
        <f>IF(NOT(ISNUMBER($E1056)),"",IF($C1056="Receipt",$E1056,IF($C1056="Shipment",-$E1056,IF($C1056="Adjustment",$E1056,0))))</f>
        <v/>
      </c>
      <c r="N1056" s="49" t="str">
        <f>IF($D1056="","",IFERROR(INDEX(Products!$B$2:$B$101,MATCH($D1056,Products!$A$2:$A$101,0))&amp;"","(not found)"))</f>
        <v/>
      </c>
      <c r="O1056" s="49" t="str">
        <f>IF($F1056="","",IFERROR(INDEX(Batches!$B$2:$B$301,MATCH($F1056,Batches!$A$2:$A$301,0))&amp;"","(not found)"))</f>
        <v/>
      </c>
      <c r="P1056" s="49" t="str">
        <f>IF(COUNTA($A1056:$L1056)=0,"",IF($A1056="","Missing: entry ID",IF(COUNTIF($A$2:$A$2001,$A1056)&gt;1,"Duplicate entry ID",IF(NOT(ISNUMBER($B1056)),"Missing or invalid: date",IF($C1056="","Missing: type",IF($D1056="","Missing: SKU",IF(NOT(ISNUMBER($E1056)),"Missing: qty",IF($F1056="","Missing: lot",IF($I1056="","Missing: source link",IF(COUNTIF(Config!$A$15:$A$34,$C1056)=0,"Unsupported type",IF(COUNTIF(Products!$A$2:$A$101,$D1056)=0,"Unknown SKU",IF(COUNTIFS(Batches!$A$2:$A$301,$F1056,Batches!$B$2:$B$301,$D1056)=0,"Unknown lot for this SKU",IF(AND($C1056="Adjustment",$G1056=""),"Missing: reason",IF(AND($G1056&lt;&gt;"",COUNTIF(Config!$B$15:$B$34,$G1056)=0),"Unsupported reason",IF(OR(INT($E1056)&lt;&gt;$E1056,AND(OR($C1056="Receipt",$C1056="Shipment"),$E1056&lt;=0),AND($C1056="Adjustment",$E1056=0)),"Invalid qty",IF($B1056&gt;Config!$B$4,"Date after the as-of date",IF($B1056&lt;Config!$B$5,"Date before the opening balance date","OK")))))))))))))))))</f>
        <v/>
      </c>
    </row>
    <row r="1057">
      <c r="A1057" s="46" t="n"/>
      <c r="B1057" s="54" t="n"/>
      <c r="C1057" s="46" t="n"/>
      <c r="D1057" s="46" t="n"/>
      <c r="E1057" s="55" t="n"/>
      <c r="F1057" s="46" t="n"/>
      <c r="G1057" s="46" t="n"/>
      <c r="H1057" s="46" t="n"/>
      <c r="I1057" s="46" t="n"/>
      <c r="J1057" s="46" t="n"/>
      <c r="K1057" s="46" t="n"/>
      <c r="L1057" s="46" t="n"/>
      <c r="M1057" s="51" t="str">
        <f>IF(NOT(ISNUMBER($E1057)),"",IF($C1057="Receipt",$E1057,IF($C1057="Shipment",-$E1057,IF($C1057="Adjustment",$E1057,0))))</f>
        <v/>
      </c>
      <c r="N1057" s="49" t="str">
        <f>IF($D1057="","",IFERROR(INDEX(Products!$B$2:$B$101,MATCH($D1057,Products!$A$2:$A$101,0))&amp;"","(not found)"))</f>
        <v/>
      </c>
      <c r="O1057" s="49" t="str">
        <f>IF($F1057="","",IFERROR(INDEX(Batches!$B$2:$B$301,MATCH($F1057,Batches!$A$2:$A$301,0))&amp;"","(not found)"))</f>
        <v/>
      </c>
      <c r="P1057" s="49" t="str">
        <f>IF(COUNTA($A1057:$L1057)=0,"",IF($A1057="","Missing: entry ID",IF(COUNTIF($A$2:$A$2001,$A1057)&gt;1,"Duplicate entry ID",IF(NOT(ISNUMBER($B1057)),"Missing or invalid: date",IF($C1057="","Missing: type",IF($D1057="","Missing: SKU",IF(NOT(ISNUMBER($E1057)),"Missing: qty",IF($F1057="","Missing: lot",IF($I1057="","Missing: source link",IF(COUNTIF(Config!$A$15:$A$34,$C1057)=0,"Unsupported type",IF(COUNTIF(Products!$A$2:$A$101,$D1057)=0,"Unknown SKU",IF(COUNTIFS(Batches!$A$2:$A$301,$F1057,Batches!$B$2:$B$301,$D1057)=0,"Unknown lot for this SKU",IF(AND($C1057="Adjustment",$G1057=""),"Missing: reason",IF(AND($G1057&lt;&gt;"",COUNTIF(Config!$B$15:$B$34,$G1057)=0),"Unsupported reason",IF(OR(INT($E1057)&lt;&gt;$E1057,AND(OR($C1057="Receipt",$C1057="Shipment"),$E1057&lt;=0),AND($C1057="Adjustment",$E1057=0)),"Invalid qty",IF($B1057&gt;Config!$B$4,"Date after the as-of date",IF($B1057&lt;Config!$B$5,"Date before the opening balance date","OK")))))))))))))))))</f>
        <v/>
      </c>
    </row>
    <row r="1058">
      <c r="A1058" s="46" t="n"/>
      <c r="B1058" s="54" t="n"/>
      <c r="C1058" s="46" t="n"/>
      <c r="D1058" s="46" t="n"/>
      <c r="E1058" s="55" t="n"/>
      <c r="F1058" s="46" t="n"/>
      <c r="G1058" s="46" t="n"/>
      <c r="H1058" s="46" t="n"/>
      <c r="I1058" s="46" t="n"/>
      <c r="J1058" s="46" t="n"/>
      <c r="K1058" s="46" t="n"/>
      <c r="L1058" s="46" t="n"/>
      <c r="M1058" s="51" t="str">
        <f>IF(NOT(ISNUMBER($E1058)),"",IF($C1058="Receipt",$E1058,IF($C1058="Shipment",-$E1058,IF($C1058="Adjustment",$E1058,0))))</f>
        <v/>
      </c>
      <c r="N1058" s="49" t="str">
        <f>IF($D1058="","",IFERROR(INDEX(Products!$B$2:$B$101,MATCH($D1058,Products!$A$2:$A$101,0))&amp;"","(not found)"))</f>
        <v/>
      </c>
      <c r="O1058" s="49" t="str">
        <f>IF($F1058="","",IFERROR(INDEX(Batches!$B$2:$B$301,MATCH($F1058,Batches!$A$2:$A$301,0))&amp;"","(not found)"))</f>
        <v/>
      </c>
      <c r="P1058" s="49" t="str">
        <f>IF(COUNTA($A1058:$L1058)=0,"",IF($A1058="","Missing: entry ID",IF(COUNTIF($A$2:$A$2001,$A1058)&gt;1,"Duplicate entry ID",IF(NOT(ISNUMBER($B1058)),"Missing or invalid: date",IF($C1058="","Missing: type",IF($D1058="","Missing: SKU",IF(NOT(ISNUMBER($E1058)),"Missing: qty",IF($F1058="","Missing: lot",IF($I1058="","Missing: source link",IF(COUNTIF(Config!$A$15:$A$34,$C1058)=0,"Unsupported type",IF(COUNTIF(Products!$A$2:$A$101,$D1058)=0,"Unknown SKU",IF(COUNTIFS(Batches!$A$2:$A$301,$F1058,Batches!$B$2:$B$301,$D1058)=0,"Unknown lot for this SKU",IF(AND($C1058="Adjustment",$G1058=""),"Missing: reason",IF(AND($G1058&lt;&gt;"",COUNTIF(Config!$B$15:$B$34,$G1058)=0),"Unsupported reason",IF(OR(INT($E1058)&lt;&gt;$E1058,AND(OR($C1058="Receipt",$C1058="Shipment"),$E1058&lt;=0),AND($C1058="Adjustment",$E1058=0)),"Invalid qty",IF($B1058&gt;Config!$B$4,"Date after the as-of date",IF($B1058&lt;Config!$B$5,"Date before the opening balance date","OK")))))))))))))))))</f>
        <v/>
      </c>
    </row>
    <row r="1059">
      <c r="A1059" s="46" t="n"/>
      <c r="B1059" s="54" t="n"/>
      <c r="C1059" s="46" t="n"/>
      <c r="D1059" s="46" t="n"/>
      <c r="E1059" s="55" t="n"/>
      <c r="F1059" s="46" t="n"/>
      <c r="G1059" s="46" t="n"/>
      <c r="H1059" s="46" t="n"/>
      <c r="I1059" s="46" t="n"/>
      <c r="J1059" s="46" t="n"/>
      <c r="K1059" s="46" t="n"/>
      <c r="L1059" s="46" t="n"/>
      <c r="M1059" s="51" t="str">
        <f>IF(NOT(ISNUMBER($E1059)),"",IF($C1059="Receipt",$E1059,IF($C1059="Shipment",-$E1059,IF($C1059="Adjustment",$E1059,0))))</f>
        <v/>
      </c>
      <c r="N1059" s="49" t="str">
        <f>IF($D1059="","",IFERROR(INDEX(Products!$B$2:$B$101,MATCH($D1059,Products!$A$2:$A$101,0))&amp;"","(not found)"))</f>
        <v/>
      </c>
      <c r="O1059" s="49" t="str">
        <f>IF($F1059="","",IFERROR(INDEX(Batches!$B$2:$B$301,MATCH($F1059,Batches!$A$2:$A$301,0))&amp;"","(not found)"))</f>
        <v/>
      </c>
      <c r="P1059" s="49" t="str">
        <f>IF(COUNTA($A1059:$L1059)=0,"",IF($A1059="","Missing: entry ID",IF(COUNTIF($A$2:$A$2001,$A1059)&gt;1,"Duplicate entry ID",IF(NOT(ISNUMBER($B1059)),"Missing or invalid: date",IF($C1059="","Missing: type",IF($D1059="","Missing: SKU",IF(NOT(ISNUMBER($E1059)),"Missing: qty",IF($F1059="","Missing: lot",IF($I1059="","Missing: source link",IF(COUNTIF(Config!$A$15:$A$34,$C1059)=0,"Unsupported type",IF(COUNTIF(Products!$A$2:$A$101,$D1059)=0,"Unknown SKU",IF(COUNTIFS(Batches!$A$2:$A$301,$F1059,Batches!$B$2:$B$301,$D1059)=0,"Unknown lot for this SKU",IF(AND($C1059="Adjustment",$G1059=""),"Missing: reason",IF(AND($G1059&lt;&gt;"",COUNTIF(Config!$B$15:$B$34,$G1059)=0),"Unsupported reason",IF(OR(INT($E1059)&lt;&gt;$E1059,AND(OR($C1059="Receipt",$C1059="Shipment"),$E1059&lt;=0),AND($C1059="Adjustment",$E1059=0)),"Invalid qty",IF($B1059&gt;Config!$B$4,"Date after the as-of date",IF($B1059&lt;Config!$B$5,"Date before the opening balance date","OK")))))))))))))))))</f>
        <v/>
      </c>
    </row>
    <row r="1060">
      <c r="A1060" s="46" t="n"/>
      <c r="B1060" s="54" t="n"/>
      <c r="C1060" s="46" t="n"/>
      <c r="D1060" s="46" t="n"/>
      <c r="E1060" s="55" t="n"/>
      <c r="F1060" s="46" t="n"/>
      <c r="G1060" s="46" t="n"/>
      <c r="H1060" s="46" t="n"/>
      <c r="I1060" s="46" t="n"/>
      <c r="J1060" s="46" t="n"/>
      <c r="K1060" s="46" t="n"/>
      <c r="L1060" s="46" t="n"/>
      <c r="M1060" s="51" t="str">
        <f>IF(NOT(ISNUMBER($E1060)),"",IF($C1060="Receipt",$E1060,IF($C1060="Shipment",-$E1060,IF($C1060="Adjustment",$E1060,0))))</f>
        <v/>
      </c>
      <c r="N1060" s="49" t="str">
        <f>IF($D1060="","",IFERROR(INDEX(Products!$B$2:$B$101,MATCH($D1060,Products!$A$2:$A$101,0))&amp;"","(not found)"))</f>
        <v/>
      </c>
      <c r="O1060" s="49" t="str">
        <f>IF($F1060="","",IFERROR(INDEX(Batches!$B$2:$B$301,MATCH($F1060,Batches!$A$2:$A$301,0))&amp;"","(not found)"))</f>
        <v/>
      </c>
      <c r="P1060" s="49" t="str">
        <f>IF(COUNTA($A1060:$L1060)=0,"",IF($A1060="","Missing: entry ID",IF(COUNTIF($A$2:$A$2001,$A1060)&gt;1,"Duplicate entry ID",IF(NOT(ISNUMBER($B1060)),"Missing or invalid: date",IF($C1060="","Missing: type",IF($D1060="","Missing: SKU",IF(NOT(ISNUMBER($E1060)),"Missing: qty",IF($F1060="","Missing: lot",IF($I1060="","Missing: source link",IF(COUNTIF(Config!$A$15:$A$34,$C1060)=0,"Unsupported type",IF(COUNTIF(Products!$A$2:$A$101,$D1060)=0,"Unknown SKU",IF(COUNTIFS(Batches!$A$2:$A$301,$F1060,Batches!$B$2:$B$301,$D1060)=0,"Unknown lot for this SKU",IF(AND($C1060="Adjustment",$G1060=""),"Missing: reason",IF(AND($G1060&lt;&gt;"",COUNTIF(Config!$B$15:$B$34,$G1060)=0),"Unsupported reason",IF(OR(INT($E1060)&lt;&gt;$E1060,AND(OR($C1060="Receipt",$C1060="Shipment"),$E1060&lt;=0),AND($C1060="Adjustment",$E1060=0)),"Invalid qty",IF($B1060&gt;Config!$B$4,"Date after the as-of date",IF($B1060&lt;Config!$B$5,"Date before the opening balance date","OK")))))))))))))))))</f>
        <v/>
      </c>
    </row>
    <row r="1061">
      <c r="A1061" s="46" t="n"/>
      <c r="B1061" s="54" t="n"/>
      <c r="C1061" s="46" t="n"/>
      <c r="D1061" s="46" t="n"/>
      <c r="E1061" s="55" t="n"/>
      <c r="F1061" s="46" t="n"/>
      <c r="G1061" s="46" t="n"/>
      <c r="H1061" s="46" t="n"/>
      <c r="I1061" s="46" t="n"/>
      <c r="J1061" s="46" t="n"/>
      <c r="K1061" s="46" t="n"/>
      <c r="L1061" s="46" t="n"/>
      <c r="M1061" s="51" t="str">
        <f>IF(NOT(ISNUMBER($E1061)),"",IF($C1061="Receipt",$E1061,IF($C1061="Shipment",-$E1061,IF($C1061="Adjustment",$E1061,0))))</f>
        <v/>
      </c>
      <c r="N1061" s="49" t="str">
        <f>IF($D1061="","",IFERROR(INDEX(Products!$B$2:$B$101,MATCH($D1061,Products!$A$2:$A$101,0))&amp;"","(not found)"))</f>
        <v/>
      </c>
      <c r="O1061" s="49" t="str">
        <f>IF($F1061="","",IFERROR(INDEX(Batches!$B$2:$B$301,MATCH($F1061,Batches!$A$2:$A$301,0))&amp;"","(not found)"))</f>
        <v/>
      </c>
      <c r="P1061" s="49" t="str">
        <f>IF(COUNTA($A1061:$L1061)=0,"",IF($A1061="","Missing: entry ID",IF(COUNTIF($A$2:$A$2001,$A1061)&gt;1,"Duplicate entry ID",IF(NOT(ISNUMBER($B1061)),"Missing or invalid: date",IF($C1061="","Missing: type",IF($D1061="","Missing: SKU",IF(NOT(ISNUMBER($E1061)),"Missing: qty",IF($F1061="","Missing: lot",IF($I1061="","Missing: source link",IF(COUNTIF(Config!$A$15:$A$34,$C1061)=0,"Unsupported type",IF(COUNTIF(Products!$A$2:$A$101,$D1061)=0,"Unknown SKU",IF(COUNTIFS(Batches!$A$2:$A$301,$F1061,Batches!$B$2:$B$301,$D1061)=0,"Unknown lot for this SKU",IF(AND($C1061="Adjustment",$G1061=""),"Missing: reason",IF(AND($G1061&lt;&gt;"",COUNTIF(Config!$B$15:$B$34,$G1061)=0),"Unsupported reason",IF(OR(INT($E1061)&lt;&gt;$E1061,AND(OR($C1061="Receipt",$C1061="Shipment"),$E1061&lt;=0),AND($C1061="Adjustment",$E1061=0)),"Invalid qty",IF($B1061&gt;Config!$B$4,"Date after the as-of date",IF($B1061&lt;Config!$B$5,"Date before the opening balance date","OK")))))))))))))))))</f>
        <v/>
      </c>
    </row>
    <row r="1062">
      <c r="A1062" s="46" t="n"/>
      <c r="B1062" s="54" t="n"/>
      <c r="C1062" s="46" t="n"/>
      <c r="D1062" s="46" t="n"/>
      <c r="E1062" s="55" t="n"/>
      <c r="F1062" s="46" t="n"/>
      <c r="G1062" s="46" t="n"/>
      <c r="H1062" s="46" t="n"/>
      <c r="I1062" s="46" t="n"/>
      <c r="J1062" s="46" t="n"/>
      <c r="K1062" s="46" t="n"/>
      <c r="L1062" s="46" t="n"/>
      <c r="M1062" s="51" t="str">
        <f>IF(NOT(ISNUMBER($E1062)),"",IF($C1062="Receipt",$E1062,IF($C1062="Shipment",-$E1062,IF($C1062="Adjustment",$E1062,0))))</f>
        <v/>
      </c>
      <c r="N1062" s="49" t="str">
        <f>IF($D1062="","",IFERROR(INDEX(Products!$B$2:$B$101,MATCH($D1062,Products!$A$2:$A$101,0))&amp;"","(not found)"))</f>
        <v/>
      </c>
      <c r="O1062" s="49" t="str">
        <f>IF($F1062="","",IFERROR(INDEX(Batches!$B$2:$B$301,MATCH($F1062,Batches!$A$2:$A$301,0))&amp;"","(not found)"))</f>
        <v/>
      </c>
      <c r="P1062" s="49" t="str">
        <f>IF(COUNTA($A1062:$L1062)=0,"",IF($A1062="","Missing: entry ID",IF(COUNTIF($A$2:$A$2001,$A1062)&gt;1,"Duplicate entry ID",IF(NOT(ISNUMBER($B1062)),"Missing or invalid: date",IF($C1062="","Missing: type",IF($D1062="","Missing: SKU",IF(NOT(ISNUMBER($E1062)),"Missing: qty",IF($F1062="","Missing: lot",IF($I1062="","Missing: source link",IF(COUNTIF(Config!$A$15:$A$34,$C1062)=0,"Unsupported type",IF(COUNTIF(Products!$A$2:$A$101,$D1062)=0,"Unknown SKU",IF(COUNTIFS(Batches!$A$2:$A$301,$F1062,Batches!$B$2:$B$301,$D1062)=0,"Unknown lot for this SKU",IF(AND($C1062="Adjustment",$G1062=""),"Missing: reason",IF(AND($G1062&lt;&gt;"",COUNTIF(Config!$B$15:$B$34,$G1062)=0),"Unsupported reason",IF(OR(INT($E1062)&lt;&gt;$E1062,AND(OR($C1062="Receipt",$C1062="Shipment"),$E1062&lt;=0),AND($C1062="Adjustment",$E1062=0)),"Invalid qty",IF($B1062&gt;Config!$B$4,"Date after the as-of date",IF($B1062&lt;Config!$B$5,"Date before the opening balance date","OK")))))))))))))))))</f>
        <v/>
      </c>
    </row>
    <row r="1063">
      <c r="A1063" s="46" t="n"/>
      <c r="B1063" s="54" t="n"/>
      <c r="C1063" s="46" t="n"/>
      <c r="D1063" s="46" t="n"/>
      <c r="E1063" s="55" t="n"/>
      <c r="F1063" s="46" t="n"/>
      <c r="G1063" s="46" t="n"/>
      <c r="H1063" s="46" t="n"/>
      <c r="I1063" s="46" t="n"/>
      <c r="J1063" s="46" t="n"/>
      <c r="K1063" s="46" t="n"/>
      <c r="L1063" s="46" t="n"/>
      <c r="M1063" s="51" t="str">
        <f>IF(NOT(ISNUMBER($E1063)),"",IF($C1063="Receipt",$E1063,IF($C1063="Shipment",-$E1063,IF($C1063="Adjustment",$E1063,0))))</f>
        <v/>
      </c>
      <c r="N1063" s="49" t="str">
        <f>IF($D1063="","",IFERROR(INDEX(Products!$B$2:$B$101,MATCH($D1063,Products!$A$2:$A$101,0))&amp;"","(not found)"))</f>
        <v/>
      </c>
      <c r="O1063" s="49" t="str">
        <f>IF($F1063="","",IFERROR(INDEX(Batches!$B$2:$B$301,MATCH($F1063,Batches!$A$2:$A$301,0))&amp;"","(not found)"))</f>
        <v/>
      </c>
      <c r="P1063" s="49" t="str">
        <f>IF(COUNTA($A1063:$L1063)=0,"",IF($A1063="","Missing: entry ID",IF(COUNTIF($A$2:$A$2001,$A1063)&gt;1,"Duplicate entry ID",IF(NOT(ISNUMBER($B1063)),"Missing or invalid: date",IF($C1063="","Missing: type",IF($D1063="","Missing: SKU",IF(NOT(ISNUMBER($E1063)),"Missing: qty",IF($F1063="","Missing: lot",IF($I1063="","Missing: source link",IF(COUNTIF(Config!$A$15:$A$34,$C1063)=0,"Unsupported type",IF(COUNTIF(Products!$A$2:$A$101,$D1063)=0,"Unknown SKU",IF(COUNTIFS(Batches!$A$2:$A$301,$F1063,Batches!$B$2:$B$301,$D1063)=0,"Unknown lot for this SKU",IF(AND($C1063="Adjustment",$G1063=""),"Missing: reason",IF(AND($G1063&lt;&gt;"",COUNTIF(Config!$B$15:$B$34,$G1063)=0),"Unsupported reason",IF(OR(INT($E1063)&lt;&gt;$E1063,AND(OR($C1063="Receipt",$C1063="Shipment"),$E1063&lt;=0),AND($C1063="Adjustment",$E1063=0)),"Invalid qty",IF($B1063&gt;Config!$B$4,"Date after the as-of date",IF($B1063&lt;Config!$B$5,"Date before the opening balance date","OK")))))))))))))))))</f>
        <v/>
      </c>
    </row>
    <row r="1064">
      <c r="A1064" s="46" t="n"/>
      <c r="B1064" s="54" t="n"/>
      <c r="C1064" s="46" t="n"/>
      <c r="D1064" s="46" t="n"/>
      <c r="E1064" s="55" t="n"/>
      <c r="F1064" s="46" t="n"/>
      <c r="G1064" s="46" t="n"/>
      <c r="H1064" s="46" t="n"/>
      <c r="I1064" s="46" t="n"/>
      <c r="J1064" s="46" t="n"/>
      <c r="K1064" s="46" t="n"/>
      <c r="L1064" s="46" t="n"/>
      <c r="M1064" s="51" t="str">
        <f>IF(NOT(ISNUMBER($E1064)),"",IF($C1064="Receipt",$E1064,IF($C1064="Shipment",-$E1064,IF($C1064="Adjustment",$E1064,0))))</f>
        <v/>
      </c>
      <c r="N1064" s="49" t="str">
        <f>IF($D1064="","",IFERROR(INDEX(Products!$B$2:$B$101,MATCH($D1064,Products!$A$2:$A$101,0))&amp;"","(not found)"))</f>
        <v/>
      </c>
      <c r="O1064" s="49" t="str">
        <f>IF($F1064="","",IFERROR(INDEX(Batches!$B$2:$B$301,MATCH($F1064,Batches!$A$2:$A$301,0))&amp;"","(not found)"))</f>
        <v/>
      </c>
      <c r="P1064" s="49" t="str">
        <f>IF(COUNTA($A1064:$L1064)=0,"",IF($A1064="","Missing: entry ID",IF(COUNTIF($A$2:$A$2001,$A1064)&gt;1,"Duplicate entry ID",IF(NOT(ISNUMBER($B1064)),"Missing or invalid: date",IF($C1064="","Missing: type",IF($D1064="","Missing: SKU",IF(NOT(ISNUMBER($E1064)),"Missing: qty",IF($F1064="","Missing: lot",IF($I1064="","Missing: source link",IF(COUNTIF(Config!$A$15:$A$34,$C1064)=0,"Unsupported type",IF(COUNTIF(Products!$A$2:$A$101,$D1064)=0,"Unknown SKU",IF(COUNTIFS(Batches!$A$2:$A$301,$F1064,Batches!$B$2:$B$301,$D1064)=0,"Unknown lot for this SKU",IF(AND($C1064="Adjustment",$G1064=""),"Missing: reason",IF(AND($G1064&lt;&gt;"",COUNTIF(Config!$B$15:$B$34,$G1064)=0),"Unsupported reason",IF(OR(INT($E1064)&lt;&gt;$E1064,AND(OR($C1064="Receipt",$C1064="Shipment"),$E1064&lt;=0),AND($C1064="Adjustment",$E1064=0)),"Invalid qty",IF($B1064&gt;Config!$B$4,"Date after the as-of date",IF($B1064&lt;Config!$B$5,"Date before the opening balance date","OK")))))))))))))))))</f>
        <v/>
      </c>
    </row>
    <row r="1065">
      <c r="A1065" s="46" t="n"/>
      <c r="B1065" s="54" t="n"/>
      <c r="C1065" s="46" t="n"/>
      <c r="D1065" s="46" t="n"/>
      <c r="E1065" s="55" t="n"/>
      <c r="F1065" s="46" t="n"/>
      <c r="G1065" s="46" t="n"/>
      <c r="H1065" s="46" t="n"/>
      <c r="I1065" s="46" t="n"/>
      <c r="J1065" s="46" t="n"/>
      <c r="K1065" s="46" t="n"/>
      <c r="L1065" s="46" t="n"/>
      <c r="M1065" s="51" t="str">
        <f>IF(NOT(ISNUMBER($E1065)),"",IF($C1065="Receipt",$E1065,IF($C1065="Shipment",-$E1065,IF($C1065="Adjustment",$E1065,0))))</f>
        <v/>
      </c>
      <c r="N1065" s="49" t="str">
        <f>IF($D1065="","",IFERROR(INDEX(Products!$B$2:$B$101,MATCH($D1065,Products!$A$2:$A$101,0))&amp;"","(not found)"))</f>
        <v/>
      </c>
      <c r="O1065" s="49" t="str">
        <f>IF($F1065="","",IFERROR(INDEX(Batches!$B$2:$B$301,MATCH($F1065,Batches!$A$2:$A$301,0))&amp;"","(not found)"))</f>
        <v/>
      </c>
      <c r="P1065" s="49" t="str">
        <f>IF(COUNTA($A1065:$L1065)=0,"",IF($A1065="","Missing: entry ID",IF(COUNTIF($A$2:$A$2001,$A1065)&gt;1,"Duplicate entry ID",IF(NOT(ISNUMBER($B1065)),"Missing or invalid: date",IF($C1065="","Missing: type",IF($D1065="","Missing: SKU",IF(NOT(ISNUMBER($E1065)),"Missing: qty",IF($F1065="","Missing: lot",IF($I1065="","Missing: source link",IF(COUNTIF(Config!$A$15:$A$34,$C1065)=0,"Unsupported type",IF(COUNTIF(Products!$A$2:$A$101,$D1065)=0,"Unknown SKU",IF(COUNTIFS(Batches!$A$2:$A$301,$F1065,Batches!$B$2:$B$301,$D1065)=0,"Unknown lot for this SKU",IF(AND($C1065="Adjustment",$G1065=""),"Missing: reason",IF(AND($G1065&lt;&gt;"",COUNTIF(Config!$B$15:$B$34,$G1065)=0),"Unsupported reason",IF(OR(INT($E1065)&lt;&gt;$E1065,AND(OR($C1065="Receipt",$C1065="Shipment"),$E1065&lt;=0),AND($C1065="Adjustment",$E1065=0)),"Invalid qty",IF($B1065&gt;Config!$B$4,"Date after the as-of date",IF($B1065&lt;Config!$B$5,"Date before the opening balance date","OK")))))))))))))))))</f>
        <v/>
      </c>
    </row>
    <row r="1066">
      <c r="A1066" s="46" t="n"/>
      <c r="B1066" s="54" t="n"/>
      <c r="C1066" s="46" t="n"/>
      <c r="D1066" s="46" t="n"/>
      <c r="E1066" s="55" t="n"/>
      <c r="F1066" s="46" t="n"/>
      <c r="G1066" s="46" t="n"/>
      <c r="H1066" s="46" t="n"/>
      <c r="I1066" s="46" t="n"/>
      <c r="J1066" s="46" t="n"/>
      <c r="K1066" s="46" t="n"/>
      <c r="L1066" s="46" t="n"/>
      <c r="M1066" s="51" t="str">
        <f>IF(NOT(ISNUMBER($E1066)),"",IF($C1066="Receipt",$E1066,IF($C1066="Shipment",-$E1066,IF($C1066="Adjustment",$E1066,0))))</f>
        <v/>
      </c>
      <c r="N1066" s="49" t="str">
        <f>IF($D1066="","",IFERROR(INDEX(Products!$B$2:$B$101,MATCH($D1066,Products!$A$2:$A$101,0))&amp;"","(not found)"))</f>
        <v/>
      </c>
      <c r="O1066" s="49" t="str">
        <f>IF($F1066="","",IFERROR(INDEX(Batches!$B$2:$B$301,MATCH($F1066,Batches!$A$2:$A$301,0))&amp;"","(not found)"))</f>
        <v/>
      </c>
      <c r="P1066" s="49" t="str">
        <f>IF(COUNTA($A1066:$L1066)=0,"",IF($A1066="","Missing: entry ID",IF(COUNTIF($A$2:$A$2001,$A1066)&gt;1,"Duplicate entry ID",IF(NOT(ISNUMBER($B1066)),"Missing or invalid: date",IF($C1066="","Missing: type",IF($D1066="","Missing: SKU",IF(NOT(ISNUMBER($E1066)),"Missing: qty",IF($F1066="","Missing: lot",IF($I1066="","Missing: source link",IF(COUNTIF(Config!$A$15:$A$34,$C1066)=0,"Unsupported type",IF(COUNTIF(Products!$A$2:$A$101,$D1066)=0,"Unknown SKU",IF(COUNTIFS(Batches!$A$2:$A$301,$F1066,Batches!$B$2:$B$301,$D1066)=0,"Unknown lot for this SKU",IF(AND($C1066="Adjustment",$G1066=""),"Missing: reason",IF(AND($G1066&lt;&gt;"",COUNTIF(Config!$B$15:$B$34,$G1066)=0),"Unsupported reason",IF(OR(INT($E1066)&lt;&gt;$E1066,AND(OR($C1066="Receipt",$C1066="Shipment"),$E1066&lt;=0),AND($C1066="Adjustment",$E1066=0)),"Invalid qty",IF($B1066&gt;Config!$B$4,"Date after the as-of date",IF($B1066&lt;Config!$B$5,"Date before the opening balance date","OK")))))))))))))))))</f>
        <v/>
      </c>
    </row>
    <row r="1067">
      <c r="A1067" s="46" t="n"/>
      <c r="B1067" s="54" t="n"/>
      <c r="C1067" s="46" t="n"/>
      <c r="D1067" s="46" t="n"/>
      <c r="E1067" s="55" t="n"/>
      <c r="F1067" s="46" t="n"/>
      <c r="G1067" s="46" t="n"/>
      <c r="H1067" s="46" t="n"/>
      <c r="I1067" s="46" t="n"/>
      <c r="J1067" s="46" t="n"/>
      <c r="K1067" s="46" t="n"/>
      <c r="L1067" s="46" t="n"/>
      <c r="M1067" s="51" t="str">
        <f>IF(NOT(ISNUMBER($E1067)),"",IF($C1067="Receipt",$E1067,IF($C1067="Shipment",-$E1067,IF($C1067="Adjustment",$E1067,0))))</f>
        <v/>
      </c>
      <c r="N1067" s="49" t="str">
        <f>IF($D1067="","",IFERROR(INDEX(Products!$B$2:$B$101,MATCH($D1067,Products!$A$2:$A$101,0))&amp;"","(not found)"))</f>
        <v/>
      </c>
      <c r="O1067" s="49" t="str">
        <f>IF($F1067="","",IFERROR(INDEX(Batches!$B$2:$B$301,MATCH($F1067,Batches!$A$2:$A$301,0))&amp;"","(not found)"))</f>
        <v/>
      </c>
      <c r="P1067" s="49" t="str">
        <f>IF(COUNTA($A1067:$L1067)=0,"",IF($A1067="","Missing: entry ID",IF(COUNTIF($A$2:$A$2001,$A1067)&gt;1,"Duplicate entry ID",IF(NOT(ISNUMBER($B1067)),"Missing or invalid: date",IF($C1067="","Missing: type",IF($D1067="","Missing: SKU",IF(NOT(ISNUMBER($E1067)),"Missing: qty",IF($F1067="","Missing: lot",IF($I1067="","Missing: source link",IF(COUNTIF(Config!$A$15:$A$34,$C1067)=0,"Unsupported type",IF(COUNTIF(Products!$A$2:$A$101,$D1067)=0,"Unknown SKU",IF(COUNTIFS(Batches!$A$2:$A$301,$F1067,Batches!$B$2:$B$301,$D1067)=0,"Unknown lot for this SKU",IF(AND($C1067="Adjustment",$G1067=""),"Missing: reason",IF(AND($G1067&lt;&gt;"",COUNTIF(Config!$B$15:$B$34,$G1067)=0),"Unsupported reason",IF(OR(INT($E1067)&lt;&gt;$E1067,AND(OR($C1067="Receipt",$C1067="Shipment"),$E1067&lt;=0),AND($C1067="Adjustment",$E1067=0)),"Invalid qty",IF($B1067&gt;Config!$B$4,"Date after the as-of date",IF($B1067&lt;Config!$B$5,"Date before the opening balance date","OK")))))))))))))))))</f>
        <v/>
      </c>
    </row>
    <row r="1068">
      <c r="A1068" s="46" t="n"/>
      <c r="B1068" s="54" t="n"/>
      <c r="C1068" s="46" t="n"/>
      <c r="D1068" s="46" t="n"/>
      <c r="E1068" s="55" t="n"/>
      <c r="F1068" s="46" t="n"/>
      <c r="G1068" s="46" t="n"/>
      <c r="H1068" s="46" t="n"/>
      <c r="I1068" s="46" t="n"/>
      <c r="J1068" s="46" t="n"/>
      <c r="K1068" s="46" t="n"/>
      <c r="L1068" s="46" t="n"/>
      <c r="M1068" s="51" t="str">
        <f>IF(NOT(ISNUMBER($E1068)),"",IF($C1068="Receipt",$E1068,IF($C1068="Shipment",-$E1068,IF($C1068="Adjustment",$E1068,0))))</f>
        <v/>
      </c>
      <c r="N1068" s="49" t="str">
        <f>IF($D1068="","",IFERROR(INDEX(Products!$B$2:$B$101,MATCH($D1068,Products!$A$2:$A$101,0))&amp;"","(not found)"))</f>
        <v/>
      </c>
      <c r="O1068" s="49" t="str">
        <f>IF($F1068="","",IFERROR(INDEX(Batches!$B$2:$B$301,MATCH($F1068,Batches!$A$2:$A$301,0))&amp;"","(not found)"))</f>
        <v/>
      </c>
      <c r="P1068" s="49" t="str">
        <f>IF(COUNTA($A1068:$L1068)=0,"",IF($A1068="","Missing: entry ID",IF(COUNTIF($A$2:$A$2001,$A1068)&gt;1,"Duplicate entry ID",IF(NOT(ISNUMBER($B1068)),"Missing or invalid: date",IF($C1068="","Missing: type",IF($D1068="","Missing: SKU",IF(NOT(ISNUMBER($E1068)),"Missing: qty",IF($F1068="","Missing: lot",IF($I1068="","Missing: source link",IF(COUNTIF(Config!$A$15:$A$34,$C1068)=0,"Unsupported type",IF(COUNTIF(Products!$A$2:$A$101,$D1068)=0,"Unknown SKU",IF(COUNTIFS(Batches!$A$2:$A$301,$F1068,Batches!$B$2:$B$301,$D1068)=0,"Unknown lot for this SKU",IF(AND($C1068="Adjustment",$G1068=""),"Missing: reason",IF(AND($G1068&lt;&gt;"",COUNTIF(Config!$B$15:$B$34,$G1068)=0),"Unsupported reason",IF(OR(INT($E1068)&lt;&gt;$E1068,AND(OR($C1068="Receipt",$C1068="Shipment"),$E1068&lt;=0),AND($C1068="Adjustment",$E1068=0)),"Invalid qty",IF($B1068&gt;Config!$B$4,"Date after the as-of date",IF($B1068&lt;Config!$B$5,"Date before the opening balance date","OK")))))))))))))))))</f>
        <v/>
      </c>
    </row>
    <row r="1069">
      <c r="A1069" s="46" t="n"/>
      <c r="B1069" s="54" t="n"/>
      <c r="C1069" s="46" t="n"/>
      <c r="D1069" s="46" t="n"/>
      <c r="E1069" s="55" t="n"/>
      <c r="F1069" s="46" t="n"/>
      <c r="G1069" s="46" t="n"/>
      <c r="H1069" s="46" t="n"/>
      <c r="I1069" s="46" t="n"/>
      <c r="J1069" s="46" t="n"/>
      <c r="K1069" s="46" t="n"/>
      <c r="L1069" s="46" t="n"/>
      <c r="M1069" s="51" t="str">
        <f>IF(NOT(ISNUMBER($E1069)),"",IF($C1069="Receipt",$E1069,IF($C1069="Shipment",-$E1069,IF($C1069="Adjustment",$E1069,0))))</f>
        <v/>
      </c>
      <c r="N1069" s="49" t="str">
        <f>IF($D1069="","",IFERROR(INDEX(Products!$B$2:$B$101,MATCH($D1069,Products!$A$2:$A$101,0))&amp;"","(not found)"))</f>
        <v/>
      </c>
      <c r="O1069" s="49" t="str">
        <f>IF($F1069="","",IFERROR(INDEX(Batches!$B$2:$B$301,MATCH($F1069,Batches!$A$2:$A$301,0))&amp;"","(not found)"))</f>
        <v/>
      </c>
      <c r="P1069" s="49" t="str">
        <f>IF(COUNTA($A1069:$L1069)=0,"",IF($A1069="","Missing: entry ID",IF(COUNTIF($A$2:$A$2001,$A1069)&gt;1,"Duplicate entry ID",IF(NOT(ISNUMBER($B1069)),"Missing or invalid: date",IF($C1069="","Missing: type",IF($D1069="","Missing: SKU",IF(NOT(ISNUMBER($E1069)),"Missing: qty",IF($F1069="","Missing: lot",IF($I1069="","Missing: source link",IF(COUNTIF(Config!$A$15:$A$34,$C1069)=0,"Unsupported type",IF(COUNTIF(Products!$A$2:$A$101,$D1069)=0,"Unknown SKU",IF(COUNTIFS(Batches!$A$2:$A$301,$F1069,Batches!$B$2:$B$301,$D1069)=0,"Unknown lot for this SKU",IF(AND($C1069="Adjustment",$G1069=""),"Missing: reason",IF(AND($G1069&lt;&gt;"",COUNTIF(Config!$B$15:$B$34,$G1069)=0),"Unsupported reason",IF(OR(INT($E1069)&lt;&gt;$E1069,AND(OR($C1069="Receipt",$C1069="Shipment"),$E1069&lt;=0),AND($C1069="Adjustment",$E1069=0)),"Invalid qty",IF($B1069&gt;Config!$B$4,"Date after the as-of date",IF($B1069&lt;Config!$B$5,"Date before the opening balance date","OK")))))))))))))))))</f>
        <v/>
      </c>
    </row>
    <row r="1070">
      <c r="A1070" s="46" t="n"/>
      <c r="B1070" s="54" t="n"/>
      <c r="C1070" s="46" t="n"/>
      <c r="D1070" s="46" t="n"/>
      <c r="E1070" s="55" t="n"/>
      <c r="F1070" s="46" t="n"/>
      <c r="G1070" s="46" t="n"/>
      <c r="H1070" s="46" t="n"/>
      <c r="I1070" s="46" t="n"/>
      <c r="J1070" s="46" t="n"/>
      <c r="K1070" s="46" t="n"/>
      <c r="L1070" s="46" t="n"/>
      <c r="M1070" s="51" t="str">
        <f>IF(NOT(ISNUMBER($E1070)),"",IF($C1070="Receipt",$E1070,IF($C1070="Shipment",-$E1070,IF($C1070="Adjustment",$E1070,0))))</f>
        <v/>
      </c>
      <c r="N1070" s="49" t="str">
        <f>IF($D1070="","",IFERROR(INDEX(Products!$B$2:$B$101,MATCH($D1070,Products!$A$2:$A$101,0))&amp;"","(not found)"))</f>
        <v/>
      </c>
      <c r="O1070" s="49" t="str">
        <f>IF($F1070="","",IFERROR(INDEX(Batches!$B$2:$B$301,MATCH($F1070,Batches!$A$2:$A$301,0))&amp;"","(not found)"))</f>
        <v/>
      </c>
      <c r="P1070" s="49" t="str">
        <f>IF(COUNTA($A1070:$L1070)=0,"",IF($A1070="","Missing: entry ID",IF(COUNTIF($A$2:$A$2001,$A1070)&gt;1,"Duplicate entry ID",IF(NOT(ISNUMBER($B1070)),"Missing or invalid: date",IF($C1070="","Missing: type",IF($D1070="","Missing: SKU",IF(NOT(ISNUMBER($E1070)),"Missing: qty",IF($F1070="","Missing: lot",IF($I1070="","Missing: source link",IF(COUNTIF(Config!$A$15:$A$34,$C1070)=0,"Unsupported type",IF(COUNTIF(Products!$A$2:$A$101,$D1070)=0,"Unknown SKU",IF(COUNTIFS(Batches!$A$2:$A$301,$F1070,Batches!$B$2:$B$301,$D1070)=0,"Unknown lot for this SKU",IF(AND($C1070="Adjustment",$G1070=""),"Missing: reason",IF(AND($G1070&lt;&gt;"",COUNTIF(Config!$B$15:$B$34,$G1070)=0),"Unsupported reason",IF(OR(INT($E1070)&lt;&gt;$E1070,AND(OR($C1070="Receipt",$C1070="Shipment"),$E1070&lt;=0),AND($C1070="Adjustment",$E1070=0)),"Invalid qty",IF($B1070&gt;Config!$B$4,"Date after the as-of date",IF($B1070&lt;Config!$B$5,"Date before the opening balance date","OK")))))))))))))))))</f>
        <v/>
      </c>
    </row>
    <row r="1071">
      <c r="A1071" s="46" t="n"/>
      <c r="B1071" s="54" t="n"/>
      <c r="C1071" s="46" t="n"/>
      <c r="D1071" s="46" t="n"/>
      <c r="E1071" s="55" t="n"/>
      <c r="F1071" s="46" t="n"/>
      <c r="G1071" s="46" t="n"/>
      <c r="H1071" s="46" t="n"/>
      <c r="I1071" s="46" t="n"/>
      <c r="J1071" s="46" t="n"/>
      <c r="K1071" s="46" t="n"/>
      <c r="L1071" s="46" t="n"/>
      <c r="M1071" s="51" t="str">
        <f>IF(NOT(ISNUMBER($E1071)),"",IF($C1071="Receipt",$E1071,IF($C1071="Shipment",-$E1071,IF($C1071="Adjustment",$E1071,0))))</f>
        <v/>
      </c>
      <c r="N1071" s="49" t="str">
        <f>IF($D1071="","",IFERROR(INDEX(Products!$B$2:$B$101,MATCH($D1071,Products!$A$2:$A$101,0))&amp;"","(not found)"))</f>
        <v/>
      </c>
      <c r="O1071" s="49" t="str">
        <f>IF($F1071="","",IFERROR(INDEX(Batches!$B$2:$B$301,MATCH($F1071,Batches!$A$2:$A$301,0))&amp;"","(not found)"))</f>
        <v/>
      </c>
      <c r="P1071" s="49" t="str">
        <f>IF(COUNTA($A1071:$L1071)=0,"",IF($A1071="","Missing: entry ID",IF(COUNTIF($A$2:$A$2001,$A1071)&gt;1,"Duplicate entry ID",IF(NOT(ISNUMBER($B1071)),"Missing or invalid: date",IF($C1071="","Missing: type",IF($D1071="","Missing: SKU",IF(NOT(ISNUMBER($E1071)),"Missing: qty",IF($F1071="","Missing: lot",IF($I1071="","Missing: source link",IF(COUNTIF(Config!$A$15:$A$34,$C1071)=0,"Unsupported type",IF(COUNTIF(Products!$A$2:$A$101,$D1071)=0,"Unknown SKU",IF(COUNTIFS(Batches!$A$2:$A$301,$F1071,Batches!$B$2:$B$301,$D1071)=0,"Unknown lot for this SKU",IF(AND($C1071="Adjustment",$G1071=""),"Missing: reason",IF(AND($G1071&lt;&gt;"",COUNTIF(Config!$B$15:$B$34,$G1071)=0),"Unsupported reason",IF(OR(INT($E1071)&lt;&gt;$E1071,AND(OR($C1071="Receipt",$C1071="Shipment"),$E1071&lt;=0),AND($C1071="Adjustment",$E1071=0)),"Invalid qty",IF($B1071&gt;Config!$B$4,"Date after the as-of date",IF($B1071&lt;Config!$B$5,"Date before the opening balance date","OK")))))))))))))))))</f>
        <v/>
      </c>
    </row>
    <row r="1072">
      <c r="A1072" s="46" t="n"/>
      <c r="B1072" s="54" t="n"/>
      <c r="C1072" s="46" t="n"/>
      <c r="D1072" s="46" t="n"/>
      <c r="E1072" s="55" t="n"/>
      <c r="F1072" s="46" t="n"/>
      <c r="G1072" s="46" t="n"/>
      <c r="H1072" s="46" t="n"/>
      <c r="I1072" s="46" t="n"/>
      <c r="J1072" s="46" t="n"/>
      <c r="K1072" s="46" t="n"/>
      <c r="L1072" s="46" t="n"/>
      <c r="M1072" s="51" t="str">
        <f>IF(NOT(ISNUMBER($E1072)),"",IF($C1072="Receipt",$E1072,IF($C1072="Shipment",-$E1072,IF($C1072="Adjustment",$E1072,0))))</f>
        <v/>
      </c>
      <c r="N1072" s="49" t="str">
        <f>IF($D1072="","",IFERROR(INDEX(Products!$B$2:$B$101,MATCH($D1072,Products!$A$2:$A$101,0))&amp;"","(not found)"))</f>
        <v/>
      </c>
      <c r="O1072" s="49" t="str">
        <f>IF($F1072="","",IFERROR(INDEX(Batches!$B$2:$B$301,MATCH($F1072,Batches!$A$2:$A$301,0))&amp;"","(not found)"))</f>
        <v/>
      </c>
      <c r="P1072" s="49" t="str">
        <f>IF(COUNTA($A1072:$L1072)=0,"",IF($A1072="","Missing: entry ID",IF(COUNTIF($A$2:$A$2001,$A1072)&gt;1,"Duplicate entry ID",IF(NOT(ISNUMBER($B1072)),"Missing or invalid: date",IF($C1072="","Missing: type",IF($D1072="","Missing: SKU",IF(NOT(ISNUMBER($E1072)),"Missing: qty",IF($F1072="","Missing: lot",IF($I1072="","Missing: source link",IF(COUNTIF(Config!$A$15:$A$34,$C1072)=0,"Unsupported type",IF(COUNTIF(Products!$A$2:$A$101,$D1072)=0,"Unknown SKU",IF(COUNTIFS(Batches!$A$2:$A$301,$F1072,Batches!$B$2:$B$301,$D1072)=0,"Unknown lot for this SKU",IF(AND($C1072="Adjustment",$G1072=""),"Missing: reason",IF(AND($G1072&lt;&gt;"",COUNTIF(Config!$B$15:$B$34,$G1072)=0),"Unsupported reason",IF(OR(INT($E1072)&lt;&gt;$E1072,AND(OR($C1072="Receipt",$C1072="Shipment"),$E1072&lt;=0),AND($C1072="Adjustment",$E1072=0)),"Invalid qty",IF($B1072&gt;Config!$B$4,"Date after the as-of date",IF($B1072&lt;Config!$B$5,"Date before the opening balance date","OK")))))))))))))))))</f>
        <v/>
      </c>
    </row>
    <row r="1073">
      <c r="A1073" s="46" t="n"/>
      <c r="B1073" s="54" t="n"/>
      <c r="C1073" s="46" t="n"/>
      <c r="D1073" s="46" t="n"/>
      <c r="E1073" s="55" t="n"/>
      <c r="F1073" s="46" t="n"/>
      <c r="G1073" s="46" t="n"/>
      <c r="H1073" s="46" t="n"/>
      <c r="I1073" s="46" t="n"/>
      <c r="J1073" s="46" t="n"/>
      <c r="K1073" s="46" t="n"/>
      <c r="L1073" s="46" t="n"/>
      <c r="M1073" s="51" t="str">
        <f>IF(NOT(ISNUMBER($E1073)),"",IF($C1073="Receipt",$E1073,IF($C1073="Shipment",-$E1073,IF($C1073="Adjustment",$E1073,0))))</f>
        <v/>
      </c>
      <c r="N1073" s="49" t="str">
        <f>IF($D1073="","",IFERROR(INDEX(Products!$B$2:$B$101,MATCH($D1073,Products!$A$2:$A$101,0))&amp;"","(not found)"))</f>
        <v/>
      </c>
      <c r="O1073" s="49" t="str">
        <f>IF($F1073="","",IFERROR(INDEX(Batches!$B$2:$B$301,MATCH($F1073,Batches!$A$2:$A$301,0))&amp;"","(not found)"))</f>
        <v/>
      </c>
      <c r="P1073" s="49" t="str">
        <f>IF(COUNTA($A1073:$L1073)=0,"",IF($A1073="","Missing: entry ID",IF(COUNTIF($A$2:$A$2001,$A1073)&gt;1,"Duplicate entry ID",IF(NOT(ISNUMBER($B1073)),"Missing or invalid: date",IF($C1073="","Missing: type",IF($D1073="","Missing: SKU",IF(NOT(ISNUMBER($E1073)),"Missing: qty",IF($F1073="","Missing: lot",IF($I1073="","Missing: source link",IF(COUNTIF(Config!$A$15:$A$34,$C1073)=0,"Unsupported type",IF(COUNTIF(Products!$A$2:$A$101,$D1073)=0,"Unknown SKU",IF(COUNTIFS(Batches!$A$2:$A$301,$F1073,Batches!$B$2:$B$301,$D1073)=0,"Unknown lot for this SKU",IF(AND($C1073="Adjustment",$G1073=""),"Missing: reason",IF(AND($G1073&lt;&gt;"",COUNTIF(Config!$B$15:$B$34,$G1073)=0),"Unsupported reason",IF(OR(INT($E1073)&lt;&gt;$E1073,AND(OR($C1073="Receipt",$C1073="Shipment"),$E1073&lt;=0),AND($C1073="Adjustment",$E1073=0)),"Invalid qty",IF($B1073&gt;Config!$B$4,"Date after the as-of date",IF($B1073&lt;Config!$B$5,"Date before the opening balance date","OK")))))))))))))))))</f>
        <v/>
      </c>
    </row>
    <row r="1074">
      <c r="A1074" s="46" t="n"/>
      <c r="B1074" s="54" t="n"/>
      <c r="C1074" s="46" t="n"/>
      <c r="D1074" s="46" t="n"/>
      <c r="E1074" s="55" t="n"/>
      <c r="F1074" s="46" t="n"/>
      <c r="G1074" s="46" t="n"/>
      <c r="H1074" s="46" t="n"/>
      <c r="I1074" s="46" t="n"/>
      <c r="J1074" s="46" t="n"/>
      <c r="K1074" s="46" t="n"/>
      <c r="L1074" s="46" t="n"/>
      <c r="M1074" s="51" t="str">
        <f>IF(NOT(ISNUMBER($E1074)),"",IF($C1074="Receipt",$E1074,IF($C1074="Shipment",-$E1074,IF($C1074="Adjustment",$E1074,0))))</f>
        <v/>
      </c>
      <c r="N1074" s="49" t="str">
        <f>IF($D1074="","",IFERROR(INDEX(Products!$B$2:$B$101,MATCH($D1074,Products!$A$2:$A$101,0))&amp;"","(not found)"))</f>
        <v/>
      </c>
      <c r="O1074" s="49" t="str">
        <f>IF($F1074="","",IFERROR(INDEX(Batches!$B$2:$B$301,MATCH($F1074,Batches!$A$2:$A$301,0))&amp;"","(not found)"))</f>
        <v/>
      </c>
      <c r="P1074" s="49" t="str">
        <f>IF(COUNTA($A1074:$L1074)=0,"",IF($A1074="","Missing: entry ID",IF(COUNTIF($A$2:$A$2001,$A1074)&gt;1,"Duplicate entry ID",IF(NOT(ISNUMBER($B1074)),"Missing or invalid: date",IF($C1074="","Missing: type",IF($D1074="","Missing: SKU",IF(NOT(ISNUMBER($E1074)),"Missing: qty",IF($F1074="","Missing: lot",IF($I1074="","Missing: source link",IF(COUNTIF(Config!$A$15:$A$34,$C1074)=0,"Unsupported type",IF(COUNTIF(Products!$A$2:$A$101,$D1074)=0,"Unknown SKU",IF(COUNTIFS(Batches!$A$2:$A$301,$F1074,Batches!$B$2:$B$301,$D1074)=0,"Unknown lot for this SKU",IF(AND($C1074="Adjustment",$G1074=""),"Missing: reason",IF(AND($G1074&lt;&gt;"",COUNTIF(Config!$B$15:$B$34,$G1074)=0),"Unsupported reason",IF(OR(INT($E1074)&lt;&gt;$E1074,AND(OR($C1074="Receipt",$C1074="Shipment"),$E1074&lt;=0),AND($C1074="Adjustment",$E1074=0)),"Invalid qty",IF($B1074&gt;Config!$B$4,"Date after the as-of date",IF($B1074&lt;Config!$B$5,"Date before the opening balance date","OK")))))))))))))))))</f>
        <v/>
      </c>
    </row>
    <row r="1075">
      <c r="A1075" s="46" t="n"/>
      <c r="B1075" s="54" t="n"/>
      <c r="C1075" s="46" t="n"/>
      <c r="D1075" s="46" t="n"/>
      <c r="E1075" s="55" t="n"/>
      <c r="F1075" s="46" t="n"/>
      <c r="G1075" s="46" t="n"/>
      <c r="H1075" s="46" t="n"/>
      <c r="I1075" s="46" t="n"/>
      <c r="J1075" s="46" t="n"/>
      <c r="K1075" s="46" t="n"/>
      <c r="L1075" s="46" t="n"/>
      <c r="M1075" s="51" t="str">
        <f>IF(NOT(ISNUMBER($E1075)),"",IF($C1075="Receipt",$E1075,IF($C1075="Shipment",-$E1075,IF($C1075="Adjustment",$E1075,0))))</f>
        <v/>
      </c>
      <c r="N1075" s="49" t="str">
        <f>IF($D1075="","",IFERROR(INDEX(Products!$B$2:$B$101,MATCH($D1075,Products!$A$2:$A$101,0))&amp;"","(not found)"))</f>
        <v/>
      </c>
      <c r="O1075" s="49" t="str">
        <f>IF($F1075="","",IFERROR(INDEX(Batches!$B$2:$B$301,MATCH($F1075,Batches!$A$2:$A$301,0))&amp;"","(not found)"))</f>
        <v/>
      </c>
      <c r="P1075" s="49" t="str">
        <f>IF(COUNTA($A1075:$L1075)=0,"",IF($A1075="","Missing: entry ID",IF(COUNTIF($A$2:$A$2001,$A1075)&gt;1,"Duplicate entry ID",IF(NOT(ISNUMBER($B1075)),"Missing or invalid: date",IF($C1075="","Missing: type",IF($D1075="","Missing: SKU",IF(NOT(ISNUMBER($E1075)),"Missing: qty",IF($F1075="","Missing: lot",IF($I1075="","Missing: source link",IF(COUNTIF(Config!$A$15:$A$34,$C1075)=0,"Unsupported type",IF(COUNTIF(Products!$A$2:$A$101,$D1075)=0,"Unknown SKU",IF(COUNTIFS(Batches!$A$2:$A$301,$F1075,Batches!$B$2:$B$301,$D1075)=0,"Unknown lot for this SKU",IF(AND($C1075="Adjustment",$G1075=""),"Missing: reason",IF(AND($G1075&lt;&gt;"",COUNTIF(Config!$B$15:$B$34,$G1075)=0),"Unsupported reason",IF(OR(INT($E1075)&lt;&gt;$E1075,AND(OR($C1075="Receipt",$C1075="Shipment"),$E1075&lt;=0),AND($C1075="Adjustment",$E1075=0)),"Invalid qty",IF($B1075&gt;Config!$B$4,"Date after the as-of date",IF($B1075&lt;Config!$B$5,"Date before the opening balance date","OK")))))))))))))))))</f>
        <v/>
      </c>
    </row>
    <row r="1076">
      <c r="A1076" s="46" t="n"/>
      <c r="B1076" s="54" t="n"/>
      <c r="C1076" s="46" t="n"/>
      <c r="D1076" s="46" t="n"/>
      <c r="E1076" s="55" t="n"/>
      <c r="F1076" s="46" t="n"/>
      <c r="G1076" s="46" t="n"/>
      <c r="H1076" s="46" t="n"/>
      <c r="I1076" s="46" t="n"/>
      <c r="J1076" s="46" t="n"/>
      <c r="K1076" s="46" t="n"/>
      <c r="L1076" s="46" t="n"/>
      <c r="M1076" s="51" t="str">
        <f>IF(NOT(ISNUMBER($E1076)),"",IF($C1076="Receipt",$E1076,IF($C1076="Shipment",-$E1076,IF($C1076="Adjustment",$E1076,0))))</f>
        <v/>
      </c>
      <c r="N1076" s="49" t="str">
        <f>IF($D1076="","",IFERROR(INDEX(Products!$B$2:$B$101,MATCH($D1076,Products!$A$2:$A$101,0))&amp;"","(not found)"))</f>
        <v/>
      </c>
      <c r="O1076" s="49" t="str">
        <f>IF($F1076="","",IFERROR(INDEX(Batches!$B$2:$B$301,MATCH($F1076,Batches!$A$2:$A$301,0))&amp;"","(not found)"))</f>
        <v/>
      </c>
      <c r="P1076" s="49" t="str">
        <f>IF(COUNTA($A1076:$L1076)=0,"",IF($A1076="","Missing: entry ID",IF(COUNTIF($A$2:$A$2001,$A1076)&gt;1,"Duplicate entry ID",IF(NOT(ISNUMBER($B1076)),"Missing or invalid: date",IF($C1076="","Missing: type",IF($D1076="","Missing: SKU",IF(NOT(ISNUMBER($E1076)),"Missing: qty",IF($F1076="","Missing: lot",IF($I1076="","Missing: source link",IF(COUNTIF(Config!$A$15:$A$34,$C1076)=0,"Unsupported type",IF(COUNTIF(Products!$A$2:$A$101,$D1076)=0,"Unknown SKU",IF(COUNTIFS(Batches!$A$2:$A$301,$F1076,Batches!$B$2:$B$301,$D1076)=0,"Unknown lot for this SKU",IF(AND($C1076="Adjustment",$G1076=""),"Missing: reason",IF(AND($G1076&lt;&gt;"",COUNTIF(Config!$B$15:$B$34,$G1076)=0),"Unsupported reason",IF(OR(INT($E1076)&lt;&gt;$E1076,AND(OR($C1076="Receipt",$C1076="Shipment"),$E1076&lt;=0),AND($C1076="Adjustment",$E1076=0)),"Invalid qty",IF($B1076&gt;Config!$B$4,"Date after the as-of date",IF($B1076&lt;Config!$B$5,"Date before the opening balance date","OK")))))))))))))))))</f>
        <v/>
      </c>
    </row>
    <row r="1077">
      <c r="A1077" s="46" t="n"/>
      <c r="B1077" s="54" t="n"/>
      <c r="C1077" s="46" t="n"/>
      <c r="D1077" s="46" t="n"/>
      <c r="E1077" s="55" t="n"/>
      <c r="F1077" s="46" t="n"/>
      <c r="G1077" s="46" t="n"/>
      <c r="H1077" s="46" t="n"/>
      <c r="I1077" s="46" t="n"/>
      <c r="J1077" s="46" t="n"/>
      <c r="K1077" s="46" t="n"/>
      <c r="L1077" s="46" t="n"/>
      <c r="M1077" s="51" t="str">
        <f>IF(NOT(ISNUMBER($E1077)),"",IF($C1077="Receipt",$E1077,IF($C1077="Shipment",-$E1077,IF($C1077="Adjustment",$E1077,0))))</f>
        <v/>
      </c>
      <c r="N1077" s="49" t="str">
        <f>IF($D1077="","",IFERROR(INDEX(Products!$B$2:$B$101,MATCH($D1077,Products!$A$2:$A$101,0))&amp;"","(not found)"))</f>
        <v/>
      </c>
      <c r="O1077" s="49" t="str">
        <f>IF($F1077="","",IFERROR(INDEX(Batches!$B$2:$B$301,MATCH($F1077,Batches!$A$2:$A$301,0))&amp;"","(not found)"))</f>
        <v/>
      </c>
      <c r="P1077" s="49" t="str">
        <f>IF(COUNTA($A1077:$L1077)=0,"",IF($A1077="","Missing: entry ID",IF(COUNTIF($A$2:$A$2001,$A1077)&gt;1,"Duplicate entry ID",IF(NOT(ISNUMBER($B1077)),"Missing or invalid: date",IF($C1077="","Missing: type",IF($D1077="","Missing: SKU",IF(NOT(ISNUMBER($E1077)),"Missing: qty",IF($F1077="","Missing: lot",IF($I1077="","Missing: source link",IF(COUNTIF(Config!$A$15:$A$34,$C1077)=0,"Unsupported type",IF(COUNTIF(Products!$A$2:$A$101,$D1077)=0,"Unknown SKU",IF(COUNTIFS(Batches!$A$2:$A$301,$F1077,Batches!$B$2:$B$301,$D1077)=0,"Unknown lot for this SKU",IF(AND($C1077="Adjustment",$G1077=""),"Missing: reason",IF(AND($G1077&lt;&gt;"",COUNTIF(Config!$B$15:$B$34,$G1077)=0),"Unsupported reason",IF(OR(INT($E1077)&lt;&gt;$E1077,AND(OR($C1077="Receipt",$C1077="Shipment"),$E1077&lt;=0),AND($C1077="Adjustment",$E1077=0)),"Invalid qty",IF($B1077&gt;Config!$B$4,"Date after the as-of date",IF($B1077&lt;Config!$B$5,"Date before the opening balance date","OK")))))))))))))))))</f>
        <v/>
      </c>
    </row>
    <row r="1078">
      <c r="A1078" s="46" t="n"/>
      <c r="B1078" s="54" t="n"/>
      <c r="C1078" s="46" t="n"/>
      <c r="D1078" s="46" t="n"/>
      <c r="E1078" s="55" t="n"/>
      <c r="F1078" s="46" t="n"/>
      <c r="G1078" s="46" t="n"/>
      <c r="H1078" s="46" t="n"/>
      <c r="I1078" s="46" t="n"/>
      <c r="J1078" s="46" t="n"/>
      <c r="K1078" s="46" t="n"/>
      <c r="L1078" s="46" t="n"/>
      <c r="M1078" s="51" t="str">
        <f>IF(NOT(ISNUMBER($E1078)),"",IF($C1078="Receipt",$E1078,IF($C1078="Shipment",-$E1078,IF($C1078="Adjustment",$E1078,0))))</f>
        <v/>
      </c>
      <c r="N1078" s="49" t="str">
        <f>IF($D1078="","",IFERROR(INDEX(Products!$B$2:$B$101,MATCH($D1078,Products!$A$2:$A$101,0))&amp;"","(not found)"))</f>
        <v/>
      </c>
      <c r="O1078" s="49" t="str">
        <f>IF($F1078="","",IFERROR(INDEX(Batches!$B$2:$B$301,MATCH($F1078,Batches!$A$2:$A$301,0))&amp;"","(not found)"))</f>
        <v/>
      </c>
      <c r="P1078" s="49" t="str">
        <f>IF(COUNTA($A1078:$L1078)=0,"",IF($A1078="","Missing: entry ID",IF(COUNTIF($A$2:$A$2001,$A1078)&gt;1,"Duplicate entry ID",IF(NOT(ISNUMBER($B1078)),"Missing or invalid: date",IF($C1078="","Missing: type",IF($D1078="","Missing: SKU",IF(NOT(ISNUMBER($E1078)),"Missing: qty",IF($F1078="","Missing: lot",IF($I1078="","Missing: source link",IF(COUNTIF(Config!$A$15:$A$34,$C1078)=0,"Unsupported type",IF(COUNTIF(Products!$A$2:$A$101,$D1078)=0,"Unknown SKU",IF(COUNTIFS(Batches!$A$2:$A$301,$F1078,Batches!$B$2:$B$301,$D1078)=0,"Unknown lot for this SKU",IF(AND($C1078="Adjustment",$G1078=""),"Missing: reason",IF(AND($G1078&lt;&gt;"",COUNTIF(Config!$B$15:$B$34,$G1078)=0),"Unsupported reason",IF(OR(INT($E1078)&lt;&gt;$E1078,AND(OR($C1078="Receipt",$C1078="Shipment"),$E1078&lt;=0),AND($C1078="Adjustment",$E1078=0)),"Invalid qty",IF($B1078&gt;Config!$B$4,"Date after the as-of date",IF($B1078&lt;Config!$B$5,"Date before the opening balance date","OK")))))))))))))))))</f>
        <v/>
      </c>
    </row>
    <row r="1079">
      <c r="A1079" s="46" t="n"/>
      <c r="B1079" s="54" t="n"/>
      <c r="C1079" s="46" t="n"/>
      <c r="D1079" s="46" t="n"/>
      <c r="E1079" s="55" t="n"/>
      <c r="F1079" s="46" t="n"/>
      <c r="G1079" s="46" t="n"/>
      <c r="H1079" s="46" t="n"/>
      <c r="I1079" s="46" t="n"/>
      <c r="J1079" s="46" t="n"/>
      <c r="K1079" s="46" t="n"/>
      <c r="L1079" s="46" t="n"/>
      <c r="M1079" s="51" t="str">
        <f>IF(NOT(ISNUMBER($E1079)),"",IF($C1079="Receipt",$E1079,IF($C1079="Shipment",-$E1079,IF($C1079="Adjustment",$E1079,0))))</f>
        <v/>
      </c>
      <c r="N1079" s="49" t="str">
        <f>IF($D1079="","",IFERROR(INDEX(Products!$B$2:$B$101,MATCH($D1079,Products!$A$2:$A$101,0))&amp;"","(not found)"))</f>
        <v/>
      </c>
      <c r="O1079" s="49" t="str">
        <f>IF($F1079="","",IFERROR(INDEX(Batches!$B$2:$B$301,MATCH($F1079,Batches!$A$2:$A$301,0))&amp;"","(not found)"))</f>
        <v/>
      </c>
      <c r="P1079" s="49" t="str">
        <f>IF(COUNTA($A1079:$L1079)=0,"",IF($A1079="","Missing: entry ID",IF(COUNTIF($A$2:$A$2001,$A1079)&gt;1,"Duplicate entry ID",IF(NOT(ISNUMBER($B1079)),"Missing or invalid: date",IF($C1079="","Missing: type",IF($D1079="","Missing: SKU",IF(NOT(ISNUMBER($E1079)),"Missing: qty",IF($F1079="","Missing: lot",IF($I1079="","Missing: source link",IF(COUNTIF(Config!$A$15:$A$34,$C1079)=0,"Unsupported type",IF(COUNTIF(Products!$A$2:$A$101,$D1079)=0,"Unknown SKU",IF(COUNTIFS(Batches!$A$2:$A$301,$F1079,Batches!$B$2:$B$301,$D1079)=0,"Unknown lot for this SKU",IF(AND($C1079="Adjustment",$G1079=""),"Missing: reason",IF(AND($G1079&lt;&gt;"",COUNTIF(Config!$B$15:$B$34,$G1079)=0),"Unsupported reason",IF(OR(INT($E1079)&lt;&gt;$E1079,AND(OR($C1079="Receipt",$C1079="Shipment"),$E1079&lt;=0),AND($C1079="Adjustment",$E1079=0)),"Invalid qty",IF($B1079&gt;Config!$B$4,"Date after the as-of date",IF($B1079&lt;Config!$B$5,"Date before the opening balance date","OK")))))))))))))))))</f>
        <v/>
      </c>
    </row>
    <row r="1080">
      <c r="A1080" s="46" t="n"/>
      <c r="B1080" s="54" t="n"/>
      <c r="C1080" s="46" t="n"/>
      <c r="D1080" s="46" t="n"/>
      <c r="E1080" s="55" t="n"/>
      <c r="F1080" s="46" t="n"/>
      <c r="G1080" s="46" t="n"/>
      <c r="H1080" s="46" t="n"/>
      <c r="I1080" s="46" t="n"/>
      <c r="J1080" s="46" t="n"/>
      <c r="K1080" s="46" t="n"/>
      <c r="L1080" s="46" t="n"/>
      <c r="M1080" s="51" t="str">
        <f>IF(NOT(ISNUMBER($E1080)),"",IF($C1080="Receipt",$E1080,IF($C1080="Shipment",-$E1080,IF($C1080="Adjustment",$E1080,0))))</f>
        <v/>
      </c>
      <c r="N1080" s="49" t="str">
        <f>IF($D1080="","",IFERROR(INDEX(Products!$B$2:$B$101,MATCH($D1080,Products!$A$2:$A$101,0))&amp;"","(not found)"))</f>
        <v/>
      </c>
      <c r="O1080" s="49" t="str">
        <f>IF($F1080="","",IFERROR(INDEX(Batches!$B$2:$B$301,MATCH($F1080,Batches!$A$2:$A$301,0))&amp;"","(not found)"))</f>
        <v/>
      </c>
      <c r="P1080" s="49" t="str">
        <f>IF(COUNTA($A1080:$L1080)=0,"",IF($A1080="","Missing: entry ID",IF(COUNTIF($A$2:$A$2001,$A1080)&gt;1,"Duplicate entry ID",IF(NOT(ISNUMBER($B1080)),"Missing or invalid: date",IF($C1080="","Missing: type",IF($D1080="","Missing: SKU",IF(NOT(ISNUMBER($E1080)),"Missing: qty",IF($F1080="","Missing: lot",IF($I1080="","Missing: source link",IF(COUNTIF(Config!$A$15:$A$34,$C1080)=0,"Unsupported type",IF(COUNTIF(Products!$A$2:$A$101,$D1080)=0,"Unknown SKU",IF(COUNTIFS(Batches!$A$2:$A$301,$F1080,Batches!$B$2:$B$301,$D1080)=0,"Unknown lot for this SKU",IF(AND($C1080="Adjustment",$G1080=""),"Missing: reason",IF(AND($G1080&lt;&gt;"",COUNTIF(Config!$B$15:$B$34,$G1080)=0),"Unsupported reason",IF(OR(INT($E1080)&lt;&gt;$E1080,AND(OR($C1080="Receipt",$C1080="Shipment"),$E1080&lt;=0),AND($C1080="Adjustment",$E1080=0)),"Invalid qty",IF($B1080&gt;Config!$B$4,"Date after the as-of date",IF($B1080&lt;Config!$B$5,"Date before the opening balance date","OK")))))))))))))))))</f>
        <v/>
      </c>
    </row>
    <row r="1081">
      <c r="A1081" s="46" t="n"/>
      <c r="B1081" s="54" t="n"/>
      <c r="C1081" s="46" t="n"/>
      <c r="D1081" s="46" t="n"/>
      <c r="E1081" s="55" t="n"/>
      <c r="F1081" s="46" t="n"/>
      <c r="G1081" s="46" t="n"/>
      <c r="H1081" s="46" t="n"/>
      <c r="I1081" s="46" t="n"/>
      <c r="J1081" s="46" t="n"/>
      <c r="K1081" s="46" t="n"/>
      <c r="L1081" s="46" t="n"/>
      <c r="M1081" s="51" t="str">
        <f>IF(NOT(ISNUMBER($E1081)),"",IF($C1081="Receipt",$E1081,IF($C1081="Shipment",-$E1081,IF($C1081="Adjustment",$E1081,0))))</f>
        <v/>
      </c>
      <c r="N1081" s="49" t="str">
        <f>IF($D1081="","",IFERROR(INDEX(Products!$B$2:$B$101,MATCH($D1081,Products!$A$2:$A$101,0))&amp;"","(not found)"))</f>
        <v/>
      </c>
      <c r="O1081" s="49" t="str">
        <f>IF($F1081="","",IFERROR(INDEX(Batches!$B$2:$B$301,MATCH($F1081,Batches!$A$2:$A$301,0))&amp;"","(not found)"))</f>
        <v/>
      </c>
      <c r="P1081" s="49" t="str">
        <f>IF(COUNTA($A1081:$L1081)=0,"",IF($A1081="","Missing: entry ID",IF(COUNTIF($A$2:$A$2001,$A1081)&gt;1,"Duplicate entry ID",IF(NOT(ISNUMBER($B1081)),"Missing or invalid: date",IF($C1081="","Missing: type",IF($D1081="","Missing: SKU",IF(NOT(ISNUMBER($E1081)),"Missing: qty",IF($F1081="","Missing: lot",IF($I1081="","Missing: source link",IF(COUNTIF(Config!$A$15:$A$34,$C1081)=0,"Unsupported type",IF(COUNTIF(Products!$A$2:$A$101,$D1081)=0,"Unknown SKU",IF(COUNTIFS(Batches!$A$2:$A$301,$F1081,Batches!$B$2:$B$301,$D1081)=0,"Unknown lot for this SKU",IF(AND($C1081="Adjustment",$G1081=""),"Missing: reason",IF(AND($G1081&lt;&gt;"",COUNTIF(Config!$B$15:$B$34,$G1081)=0),"Unsupported reason",IF(OR(INT($E1081)&lt;&gt;$E1081,AND(OR($C1081="Receipt",$C1081="Shipment"),$E1081&lt;=0),AND($C1081="Adjustment",$E1081=0)),"Invalid qty",IF($B1081&gt;Config!$B$4,"Date after the as-of date",IF($B1081&lt;Config!$B$5,"Date before the opening balance date","OK")))))))))))))))))</f>
        <v/>
      </c>
    </row>
    <row r="1082">
      <c r="A1082" s="46" t="n"/>
      <c r="B1082" s="54" t="n"/>
      <c r="C1082" s="46" t="n"/>
      <c r="D1082" s="46" t="n"/>
      <c r="E1082" s="55" t="n"/>
      <c r="F1082" s="46" t="n"/>
      <c r="G1082" s="46" t="n"/>
      <c r="H1082" s="46" t="n"/>
      <c r="I1082" s="46" t="n"/>
      <c r="J1082" s="46" t="n"/>
      <c r="K1082" s="46" t="n"/>
      <c r="L1082" s="46" t="n"/>
      <c r="M1082" s="51" t="str">
        <f>IF(NOT(ISNUMBER($E1082)),"",IF($C1082="Receipt",$E1082,IF($C1082="Shipment",-$E1082,IF($C1082="Adjustment",$E1082,0))))</f>
        <v/>
      </c>
      <c r="N1082" s="49" t="str">
        <f>IF($D1082="","",IFERROR(INDEX(Products!$B$2:$B$101,MATCH($D1082,Products!$A$2:$A$101,0))&amp;"","(not found)"))</f>
        <v/>
      </c>
      <c r="O1082" s="49" t="str">
        <f>IF($F1082="","",IFERROR(INDEX(Batches!$B$2:$B$301,MATCH($F1082,Batches!$A$2:$A$301,0))&amp;"","(not found)"))</f>
        <v/>
      </c>
      <c r="P1082" s="49" t="str">
        <f>IF(COUNTA($A1082:$L1082)=0,"",IF($A1082="","Missing: entry ID",IF(COUNTIF($A$2:$A$2001,$A1082)&gt;1,"Duplicate entry ID",IF(NOT(ISNUMBER($B1082)),"Missing or invalid: date",IF($C1082="","Missing: type",IF($D1082="","Missing: SKU",IF(NOT(ISNUMBER($E1082)),"Missing: qty",IF($F1082="","Missing: lot",IF($I1082="","Missing: source link",IF(COUNTIF(Config!$A$15:$A$34,$C1082)=0,"Unsupported type",IF(COUNTIF(Products!$A$2:$A$101,$D1082)=0,"Unknown SKU",IF(COUNTIFS(Batches!$A$2:$A$301,$F1082,Batches!$B$2:$B$301,$D1082)=0,"Unknown lot for this SKU",IF(AND($C1082="Adjustment",$G1082=""),"Missing: reason",IF(AND($G1082&lt;&gt;"",COUNTIF(Config!$B$15:$B$34,$G1082)=0),"Unsupported reason",IF(OR(INT($E1082)&lt;&gt;$E1082,AND(OR($C1082="Receipt",$C1082="Shipment"),$E1082&lt;=0),AND($C1082="Adjustment",$E1082=0)),"Invalid qty",IF($B1082&gt;Config!$B$4,"Date after the as-of date",IF($B1082&lt;Config!$B$5,"Date before the opening balance date","OK")))))))))))))))))</f>
        <v/>
      </c>
    </row>
    <row r="1083">
      <c r="A1083" s="46" t="n"/>
      <c r="B1083" s="54" t="n"/>
      <c r="C1083" s="46" t="n"/>
      <c r="D1083" s="46" t="n"/>
      <c r="E1083" s="55" t="n"/>
      <c r="F1083" s="46" t="n"/>
      <c r="G1083" s="46" t="n"/>
      <c r="H1083" s="46" t="n"/>
      <c r="I1083" s="46" t="n"/>
      <c r="J1083" s="46" t="n"/>
      <c r="K1083" s="46" t="n"/>
      <c r="L1083" s="46" t="n"/>
      <c r="M1083" s="51" t="str">
        <f>IF(NOT(ISNUMBER($E1083)),"",IF($C1083="Receipt",$E1083,IF($C1083="Shipment",-$E1083,IF($C1083="Adjustment",$E1083,0))))</f>
        <v/>
      </c>
      <c r="N1083" s="49" t="str">
        <f>IF($D1083="","",IFERROR(INDEX(Products!$B$2:$B$101,MATCH($D1083,Products!$A$2:$A$101,0))&amp;"","(not found)"))</f>
        <v/>
      </c>
      <c r="O1083" s="49" t="str">
        <f>IF($F1083="","",IFERROR(INDEX(Batches!$B$2:$B$301,MATCH($F1083,Batches!$A$2:$A$301,0))&amp;"","(not found)"))</f>
        <v/>
      </c>
      <c r="P1083" s="49" t="str">
        <f>IF(COUNTA($A1083:$L1083)=0,"",IF($A1083="","Missing: entry ID",IF(COUNTIF($A$2:$A$2001,$A1083)&gt;1,"Duplicate entry ID",IF(NOT(ISNUMBER($B1083)),"Missing or invalid: date",IF($C1083="","Missing: type",IF($D1083="","Missing: SKU",IF(NOT(ISNUMBER($E1083)),"Missing: qty",IF($F1083="","Missing: lot",IF($I1083="","Missing: source link",IF(COUNTIF(Config!$A$15:$A$34,$C1083)=0,"Unsupported type",IF(COUNTIF(Products!$A$2:$A$101,$D1083)=0,"Unknown SKU",IF(COUNTIFS(Batches!$A$2:$A$301,$F1083,Batches!$B$2:$B$301,$D1083)=0,"Unknown lot for this SKU",IF(AND($C1083="Adjustment",$G1083=""),"Missing: reason",IF(AND($G1083&lt;&gt;"",COUNTIF(Config!$B$15:$B$34,$G1083)=0),"Unsupported reason",IF(OR(INT($E1083)&lt;&gt;$E1083,AND(OR($C1083="Receipt",$C1083="Shipment"),$E1083&lt;=0),AND($C1083="Adjustment",$E1083=0)),"Invalid qty",IF($B1083&gt;Config!$B$4,"Date after the as-of date",IF($B1083&lt;Config!$B$5,"Date before the opening balance date","OK")))))))))))))))))</f>
        <v/>
      </c>
    </row>
    <row r="1084">
      <c r="A1084" s="46" t="n"/>
      <c r="B1084" s="54" t="n"/>
      <c r="C1084" s="46" t="n"/>
      <c r="D1084" s="46" t="n"/>
      <c r="E1084" s="55" t="n"/>
      <c r="F1084" s="46" t="n"/>
      <c r="G1084" s="46" t="n"/>
      <c r="H1084" s="46" t="n"/>
      <c r="I1084" s="46" t="n"/>
      <c r="J1084" s="46" t="n"/>
      <c r="K1084" s="46" t="n"/>
      <c r="L1084" s="46" t="n"/>
      <c r="M1084" s="51" t="str">
        <f>IF(NOT(ISNUMBER($E1084)),"",IF($C1084="Receipt",$E1084,IF($C1084="Shipment",-$E1084,IF($C1084="Adjustment",$E1084,0))))</f>
        <v/>
      </c>
      <c r="N1084" s="49" t="str">
        <f>IF($D1084="","",IFERROR(INDEX(Products!$B$2:$B$101,MATCH($D1084,Products!$A$2:$A$101,0))&amp;"","(not found)"))</f>
        <v/>
      </c>
      <c r="O1084" s="49" t="str">
        <f>IF($F1084="","",IFERROR(INDEX(Batches!$B$2:$B$301,MATCH($F1084,Batches!$A$2:$A$301,0))&amp;"","(not found)"))</f>
        <v/>
      </c>
      <c r="P1084" s="49" t="str">
        <f>IF(COUNTA($A1084:$L1084)=0,"",IF($A1084="","Missing: entry ID",IF(COUNTIF($A$2:$A$2001,$A1084)&gt;1,"Duplicate entry ID",IF(NOT(ISNUMBER($B1084)),"Missing or invalid: date",IF($C1084="","Missing: type",IF($D1084="","Missing: SKU",IF(NOT(ISNUMBER($E1084)),"Missing: qty",IF($F1084="","Missing: lot",IF($I1084="","Missing: source link",IF(COUNTIF(Config!$A$15:$A$34,$C1084)=0,"Unsupported type",IF(COUNTIF(Products!$A$2:$A$101,$D1084)=0,"Unknown SKU",IF(COUNTIFS(Batches!$A$2:$A$301,$F1084,Batches!$B$2:$B$301,$D1084)=0,"Unknown lot for this SKU",IF(AND($C1084="Adjustment",$G1084=""),"Missing: reason",IF(AND($G1084&lt;&gt;"",COUNTIF(Config!$B$15:$B$34,$G1084)=0),"Unsupported reason",IF(OR(INT($E1084)&lt;&gt;$E1084,AND(OR($C1084="Receipt",$C1084="Shipment"),$E1084&lt;=0),AND($C1084="Adjustment",$E1084=0)),"Invalid qty",IF($B1084&gt;Config!$B$4,"Date after the as-of date",IF($B1084&lt;Config!$B$5,"Date before the opening balance date","OK")))))))))))))))))</f>
        <v/>
      </c>
    </row>
    <row r="1085">
      <c r="A1085" s="46" t="n"/>
      <c r="B1085" s="54" t="n"/>
      <c r="C1085" s="46" t="n"/>
      <c r="D1085" s="46" t="n"/>
      <c r="E1085" s="55" t="n"/>
      <c r="F1085" s="46" t="n"/>
      <c r="G1085" s="46" t="n"/>
      <c r="H1085" s="46" t="n"/>
      <c r="I1085" s="46" t="n"/>
      <c r="J1085" s="46" t="n"/>
      <c r="K1085" s="46" t="n"/>
      <c r="L1085" s="46" t="n"/>
      <c r="M1085" s="51" t="str">
        <f>IF(NOT(ISNUMBER($E1085)),"",IF($C1085="Receipt",$E1085,IF($C1085="Shipment",-$E1085,IF($C1085="Adjustment",$E1085,0))))</f>
        <v/>
      </c>
      <c r="N1085" s="49" t="str">
        <f>IF($D1085="","",IFERROR(INDEX(Products!$B$2:$B$101,MATCH($D1085,Products!$A$2:$A$101,0))&amp;"","(not found)"))</f>
        <v/>
      </c>
      <c r="O1085" s="49" t="str">
        <f>IF($F1085="","",IFERROR(INDEX(Batches!$B$2:$B$301,MATCH($F1085,Batches!$A$2:$A$301,0))&amp;"","(not found)"))</f>
        <v/>
      </c>
      <c r="P1085" s="49" t="str">
        <f>IF(COUNTA($A1085:$L1085)=0,"",IF($A1085="","Missing: entry ID",IF(COUNTIF($A$2:$A$2001,$A1085)&gt;1,"Duplicate entry ID",IF(NOT(ISNUMBER($B1085)),"Missing or invalid: date",IF($C1085="","Missing: type",IF($D1085="","Missing: SKU",IF(NOT(ISNUMBER($E1085)),"Missing: qty",IF($F1085="","Missing: lot",IF($I1085="","Missing: source link",IF(COUNTIF(Config!$A$15:$A$34,$C1085)=0,"Unsupported type",IF(COUNTIF(Products!$A$2:$A$101,$D1085)=0,"Unknown SKU",IF(COUNTIFS(Batches!$A$2:$A$301,$F1085,Batches!$B$2:$B$301,$D1085)=0,"Unknown lot for this SKU",IF(AND($C1085="Adjustment",$G1085=""),"Missing: reason",IF(AND($G1085&lt;&gt;"",COUNTIF(Config!$B$15:$B$34,$G1085)=0),"Unsupported reason",IF(OR(INT($E1085)&lt;&gt;$E1085,AND(OR($C1085="Receipt",$C1085="Shipment"),$E1085&lt;=0),AND($C1085="Adjustment",$E1085=0)),"Invalid qty",IF($B1085&gt;Config!$B$4,"Date after the as-of date",IF($B1085&lt;Config!$B$5,"Date before the opening balance date","OK")))))))))))))))))</f>
        <v/>
      </c>
    </row>
    <row r="1086">
      <c r="A1086" s="46" t="n"/>
      <c r="B1086" s="54" t="n"/>
      <c r="C1086" s="46" t="n"/>
      <c r="D1086" s="46" t="n"/>
      <c r="E1086" s="55" t="n"/>
      <c r="F1086" s="46" t="n"/>
      <c r="G1086" s="46" t="n"/>
      <c r="H1086" s="46" t="n"/>
      <c r="I1086" s="46" t="n"/>
      <c r="J1086" s="46" t="n"/>
      <c r="K1086" s="46" t="n"/>
      <c r="L1086" s="46" t="n"/>
      <c r="M1086" s="51" t="str">
        <f>IF(NOT(ISNUMBER($E1086)),"",IF($C1086="Receipt",$E1086,IF($C1086="Shipment",-$E1086,IF($C1086="Adjustment",$E1086,0))))</f>
        <v/>
      </c>
      <c r="N1086" s="49" t="str">
        <f>IF($D1086="","",IFERROR(INDEX(Products!$B$2:$B$101,MATCH($D1086,Products!$A$2:$A$101,0))&amp;"","(not found)"))</f>
        <v/>
      </c>
      <c r="O1086" s="49" t="str">
        <f>IF($F1086="","",IFERROR(INDEX(Batches!$B$2:$B$301,MATCH($F1086,Batches!$A$2:$A$301,0))&amp;"","(not found)"))</f>
        <v/>
      </c>
      <c r="P1086" s="49" t="str">
        <f>IF(COUNTA($A1086:$L1086)=0,"",IF($A1086="","Missing: entry ID",IF(COUNTIF($A$2:$A$2001,$A1086)&gt;1,"Duplicate entry ID",IF(NOT(ISNUMBER($B1086)),"Missing or invalid: date",IF($C1086="","Missing: type",IF($D1086="","Missing: SKU",IF(NOT(ISNUMBER($E1086)),"Missing: qty",IF($F1086="","Missing: lot",IF($I1086="","Missing: source link",IF(COUNTIF(Config!$A$15:$A$34,$C1086)=0,"Unsupported type",IF(COUNTIF(Products!$A$2:$A$101,$D1086)=0,"Unknown SKU",IF(COUNTIFS(Batches!$A$2:$A$301,$F1086,Batches!$B$2:$B$301,$D1086)=0,"Unknown lot for this SKU",IF(AND($C1086="Adjustment",$G1086=""),"Missing: reason",IF(AND($G1086&lt;&gt;"",COUNTIF(Config!$B$15:$B$34,$G1086)=0),"Unsupported reason",IF(OR(INT($E1086)&lt;&gt;$E1086,AND(OR($C1086="Receipt",$C1086="Shipment"),$E1086&lt;=0),AND($C1086="Adjustment",$E1086=0)),"Invalid qty",IF($B1086&gt;Config!$B$4,"Date after the as-of date",IF($B1086&lt;Config!$B$5,"Date before the opening balance date","OK")))))))))))))))))</f>
        <v/>
      </c>
    </row>
    <row r="1087">
      <c r="A1087" s="46" t="n"/>
      <c r="B1087" s="54" t="n"/>
      <c r="C1087" s="46" t="n"/>
      <c r="D1087" s="46" t="n"/>
      <c r="E1087" s="55" t="n"/>
      <c r="F1087" s="46" t="n"/>
      <c r="G1087" s="46" t="n"/>
      <c r="H1087" s="46" t="n"/>
      <c r="I1087" s="46" t="n"/>
      <c r="J1087" s="46" t="n"/>
      <c r="K1087" s="46" t="n"/>
      <c r="L1087" s="46" t="n"/>
      <c r="M1087" s="51" t="str">
        <f>IF(NOT(ISNUMBER($E1087)),"",IF($C1087="Receipt",$E1087,IF($C1087="Shipment",-$E1087,IF($C1087="Adjustment",$E1087,0))))</f>
        <v/>
      </c>
      <c r="N1087" s="49" t="str">
        <f>IF($D1087="","",IFERROR(INDEX(Products!$B$2:$B$101,MATCH($D1087,Products!$A$2:$A$101,0))&amp;"","(not found)"))</f>
        <v/>
      </c>
      <c r="O1087" s="49" t="str">
        <f>IF($F1087="","",IFERROR(INDEX(Batches!$B$2:$B$301,MATCH($F1087,Batches!$A$2:$A$301,0))&amp;"","(not found)"))</f>
        <v/>
      </c>
      <c r="P1087" s="49" t="str">
        <f>IF(COUNTA($A1087:$L1087)=0,"",IF($A1087="","Missing: entry ID",IF(COUNTIF($A$2:$A$2001,$A1087)&gt;1,"Duplicate entry ID",IF(NOT(ISNUMBER($B1087)),"Missing or invalid: date",IF($C1087="","Missing: type",IF($D1087="","Missing: SKU",IF(NOT(ISNUMBER($E1087)),"Missing: qty",IF($F1087="","Missing: lot",IF($I1087="","Missing: source link",IF(COUNTIF(Config!$A$15:$A$34,$C1087)=0,"Unsupported type",IF(COUNTIF(Products!$A$2:$A$101,$D1087)=0,"Unknown SKU",IF(COUNTIFS(Batches!$A$2:$A$301,$F1087,Batches!$B$2:$B$301,$D1087)=0,"Unknown lot for this SKU",IF(AND($C1087="Adjustment",$G1087=""),"Missing: reason",IF(AND($G1087&lt;&gt;"",COUNTIF(Config!$B$15:$B$34,$G1087)=0),"Unsupported reason",IF(OR(INT($E1087)&lt;&gt;$E1087,AND(OR($C1087="Receipt",$C1087="Shipment"),$E1087&lt;=0),AND($C1087="Adjustment",$E1087=0)),"Invalid qty",IF($B1087&gt;Config!$B$4,"Date after the as-of date",IF($B1087&lt;Config!$B$5,"Date before the opening balance date","OK")))))))))))))))))</f>
        <v/>
      </c>
    </row>
    <row r="1088">
      <c r="A1088" s="46" t="n"/>
      <c r="B1088" s="54" t="n"/>
      <c r="C1088" s="46" t="n"/>
      <c r="D1088" s="46" t="n"/>
      <c r="E1088" s="55" t="n"/>
      <c r="F1088" s="46" t="n"/>
      <c r="G1088" s="46" t="n"/>
      <c r="H1088" s="46" t="n"/>
      <c r="I1088" s="46" t="n"/>
      <c r="J1088" s="46" t="n"/>
      <c r="K1088" s="46" t="n"/>
      <c r="L1088" s="46" t="n"/>
      <c r="M1088" s="51" t="str">
        <f>IF(NOT(ISNUMBER($E1088)),"",IF($C1088="Receipt",$E1088,IF($C1088="Shipment",-$E1088,IF($C1088="Adjustment",$E1088,0))))</f>
        <v/>
      </c>
      <c r="N1088" s="49" t="str">
        <f>IF($D1088="","",IFERROR(INDEX(Products!$B$2:$B$101,MATCH($D1088,Products!$A$2:$A$101,0))&amp;"","(not found)"))</f>
        <v/>
      </c>
      <c r="O1088" s="49" t="str">
        <f>IF($F1088="","",IFERROR(INDEX(Batches!$B$2:$B$301,MATCH($F1088,Batches!$A$2:$A$301,0))&amp;"","(not found)"))</f>
        <v/>
      </c>
      <c r="P1088" s="49" t="str">
        <f>IF(COUNTA($A1088:$L1088)=0,"",IF($A1088="","Missing: entry ID",IF(COUNTIF($A$2:$A$2001,$A1088)&gt;1,"Duplicate entry ID",IF(NOT(ISNUMBER($B1088)),"Missing or invalid: date",IF($C1088="","Missing: type",IF($D1088="","Missing: SKU",IF(NOT(ISNUMBER($E1088)),"Missing: qty",IF($F1088="","Missing: lot",IF($I1088="","Missing: source link",IF(COUNTIF(Config!$A$15:$A$34,$C1088)=0,"Unsupported type",IF(COUNTIF(Products!$A$2:$A$101,$D1088)=0,"Unknown SKU",IF(COUNTIFS(Batches!$A$2:$A$301,$F1088,Batches!$B$2:$B$301,$D1088)=0,"Unknown lot for this SKU",IF(AND($C1088="Adjustment",$G1088=""),"Missing: reason",IF(AND($G1088&lt;&gt;"",COUNTIF(Config!$B$15:$B$34,$G1088)=0),"Unsupported reason",IF(OR(INT($E1088)&lt;&gt;$E1088,AND(OR($C1088="Receipt",$C1088="Shipment"),$E1088&lt;=0),AND($C1088="Adjustment",$E1088=0)),"Invalid qty",IF($B1088&gt;Config!$B$4,"Date after the as-of date",IF($B1088&lt;Config!$B$5,"Date before the opening balance date","OK")))))))))))))))))</f>
        <v/>
      </c>
    </row>
    <row r="1089">
      <c r="A1089" s="46" t="n"/>
      <c r="B1089" s="54" t="n"/>
      <c r="C1089" s="46" t="n"/>
      <c r="D1089" s="46" t="n"/>
      <c r="E1089" s="55" t="n"/>
      <c r="F1089" s="46" t="n"/>
      <c r="G1089" s="46" t="n"/>
      <c r="H1089" s="46" t="n"/>
      <c r="I1089" s="46" t="n"/>
      <c r="J1089" s="46" t="n"/>
      <c r="K1089" s="46" t="n"/>
      <c r="L1089" s="46" t="n"/>
      <c r="M1089" s="51" t="str">
        <f>IF(NOT(ISNUMBER($E1089)),"",IF($C1089="Receipt",$E1089,IF($C1089="Shipment",-$E1089,IF($C1089="Adjustment",$E1089,0))))</f>
        <v/>
      </c>
      <c r="N1089" s="49" t="str">
        <f>IF($D1089="","",IFERROR(INDEX(Products!$B$2:$B$101,MATCH($D1089,Products!$A$2:$A$101,0))&amp;"","(not found)"))</f>
        <v/>
      </c>
      <c r="O1089" s="49" t="str">
        <f>IF($F1089="","",IFERROR(INDEX(Batches!$B$2:$B$301,MATCH($F1089,Batches!$A$2:$A$301,0))&amp;"","(not found)"))</f>
        <v/>
      </c>
      <c r="P1089" s="49" t="str">
        <f>IF(COUNTA($A1089:$L1089)=0,"",IF($A1089="","Missing: entry ID",IF(COUNTIF($A$2:$A$2001,$A1089)&gt;1,"Duplicate entry ID",IF(NOT(ISNUMBER($B1089)),"Missing or invalid: date",IF($C1089="","Missing: type",IF($D1089="","Missing: SKU",IF(NOT(ISNUMBER($E1089)),"Missing: qty",IF($F1089="","Missing: lot",IF($I1089="","Missing: source link",IF(COUNTIF(Config!$A$15:$A$34,$C1089)=0,"Unsupported type",IF(COUNTIF(Products!$A$2:$A$101,$D1089)=0,"Unknown SKU",IF(COUNTIFS(Batches!$A$2:$A$301,$F1089,Batches!$B$2:$B$301,$D1089)=0,"Unknown lot for this SKU",IF(AND($C1089="Adjustment",$G1089=""),"Missing: reason",IF(AND($G1089&lt;&gt;"",COUNTIF(Config!$B$15:$B$34,$G1089)=0),"Unsupported reason",IF(OR(INT($E1089)&lt;&gt;$E1089,AND(OR($C1089="Receipt",$C1089="Shipment"),$E1089&lt;=0),AND($C1089="Adjustment",$E1089=0)),"Invalid qty",IF($B1089&gt;Config!$B$4,"Date after the as-of date",IF($B1089&lt;Config!$B$5,"Date before the opening balance date","OK")))))))))))))))))</f>
        <v/>
      </c>
    </row>
    <row r="1090">
      <c r="A1090" s="46" t="n"/>
      <c r="B1090" s="54" t="n"/>
      <c r="C1090" s="46" t="n"/>
      <c r="D1090" s="46" t="n"/>
      <c r="E1090" s="55" t="n"/>
      <c r="F1090" s="46" t="n"/>
      <c r="G1090" s="46" t="n"/>
      <c r="H1090" s="46" t="n"/>
      <c r="I1090" s="46" t="n"/>
      <c r="J1090" s="46" t="n"/>
      <c r="K1090" s="46" t="n"/>
      <c r="L1090" s="46" t="n"/>
      <c r="M1090" s="51" t="str">
        <f>IF(NOT(ISNUMBER($E1090)),"",IF($C1090="Receipt",$E1090,IF($C1090="Shipment",-$E1090,IF($C1090="Adjustment",$E1090,0))))</f>
        <v/>
      </c>
      <c r="N1090" s="49" t="str">
        <f>IF($D1090="","",IFERROR(INDEX(Products!$B$2:$B$101,MATCH($D1090,Products!$A$2:$A$101,0))&amp;"","(not found)"))</f>
        <v/>
      </c>
      <c r="O1090" s="49" t="str">
        <f>IF($F1090="","",IFERROR(INDEX(Batches!$B$2:$B$301,MATCH($F1090,Batches!$A$2:$A$301,0))&amp;"","(not found)"))</f>
        <v/>
      </c>
      <c r="P1090" s="49" t="str">
        <f>IF(COUNTA($A1090:$L1090)=0,"",IF($A1090="","Missing: entry ID",IF(COUNTIF($A$2:$A$2001,$A1090)&gt;1,"Duplicate entry ID",IF(NOT(ISNUMBER($B1090)),"Missing or invalid: date",IF($C1090="","Missing: type",IF($D1090="","Missing: SKU",IF(NOT(ISNUMBER($E1090)),"Missing: qty",IF($F1090="","Missing: lot",IF($I1090="","Missing: source link",IF(COUNTIF(Config!$A$15:$A$34,$C1090)=0,"Unsupported type",IF(COUNTIF(Products!$A$2:$A$101,$D1090)=0,"Unknown SKU",IF(COUNTIFS(Batches!$A$2:$A$301,$F1090,Batches!$B$2:$B$301,$D1090)=0,"Unknown lot for this SKU",IF(AND($C1090="Adjustment",$G1090=""),"Missing: reason",IF(AND($G1090&lt;&gt;"",COUNTIF(Config!$B$15:$B$34,$G1090)=0),"Unsupported reason",IF(OR(INT($E1090)&lt;&gt;$E1090,AND(OR($C1090="Receipt",$C1090="Shipment"),$E1090&lt;=0),AND($C1090="Adjustment",$E1090=0)),"Invalid qty",IF($B1090&gt;Config!$B$4,"Date after the as-of date",IF($B1090&lt;Config!$B$5,"Date before the opening balance date","OK")))))))))))))))))</f>
        <v/>
      </c>
    </row>
    <row r="1091">
      <c r="A1091" s="46" t="n"/>
      <c r="B1091" s="54" t="n"/>
      <c r="C1091" s="46" t="n"/>
      <c r="D1091" s="46" t="n"/>
      <c r="E1091" s="55" t="n"/>
      <c r="F1091" s="46" t="n"/>
      <c r="G1091" s="46" t="n"/>
      <c r="H1091" s="46" t="n"/>
      <c r="I1091" s="46" t="n"/>
      <c r="J1091" s="46" t="n"/>
      <c r="K1091" s="46" t="n"/>
      <c r="L1091" s="46" t="n"/>
      <c r="M1091" s="51" t="str">
        <f>IF(NOT(ISNUMBER($E1091)),"",IF($C1091="Receipt",$E1091,IF($C1091="Shipment",-$E1091,IF($C1091="Adjustment",$E1091,0))))</f>
        <v/>
      </c>
      <c r="N1091" s="49" t="str">
        <f>IF($D1091="","",IFERROR(INDEX(Products!$B$2:$B$101,MATCH($D1091,Products!$A$2:$A$101,0))&amp;"","(not found)"))</f>
        <v/>
      </c>
      <c r="O1091" s="49" t="str">
        <f>IF($F1091="","",IFERROR(INDEX(Batches!$B$2:$B$301,MATCH($F1091,Batches!$A$2:$A$301,0))&amp;"","(not found)"))</f>
        <v/>
      </c>
      <c r="P1091" s="49" t="str">
        <f>IF(COUNTA($A1091:$L1091)=0,"",IF($A1091="","Missing: entry ID",IF(COUNTIF($A$2:$A$2001,$A1091)&gt;1,"Duplicate entry ID",IF(NOT(ISNUMBER($B1091)),"Missing or invalid: date",IF($C1091="","Missing: type",IF($D1091="","Missing: SKU",IF(NOT(ISNUMBER($E1091)),"Missing: qty",IF($F1091="","Missing: lot",IF($I1091="","Missing: source link",IF(COUNTIF(Config!$A$15:$A$34,$C1091)=0,"Unsupported type",IF(COUNTIF(Products!$A$2:$A$101,$D1091)=0,"Unknown SKU",IF(COUNTIFS(Batches!$A$2:$A$301,$F1091,Batches!$B$2:$B$301,$D1091)=0,"Unknown lot for this SKU",IF(AND($C1091="Adjustment",$G1091=""),"Missing: reason",IF(AND($G1091&lt;&gt;"",COUNTIF(Config!$B$15:$B$34,$G1091)=0),"Unsupported reason",IF(OR(INT($E1091)&lt;&gt;$E1091,AND(OR($C1091="Receipt",$C1091="Shipment"),$E1091&lt;=0),AND($C1091="Adjustment",$E1091=0)),"Invalid qty",IF($B1091&gt;Config!$B$4,"Date after the as-of date",IF($B1091&lt;Config!$B$5,"Date before the opening balance date","OK")))))))))))))))))</f>
        <v/>
      </c>
    </row>
    <row r="1092">
      <c r="A1092" s="46" t="n"/>
      <c r="B1092" s="54" t="n"/>
      <c r="C1092" s="46" t="n"/>
      <c r="D1092" s="46" t="n"/>
      <c r="E1092" s="55" t="n"/>
      <c r="F1092" s="46" t="n"/>
      <c r="G1092" s="46" t="n"/>
      <c r="H1092" s="46" t="n"/>
      <c r="I1092" s="46" t="n"/>
      <c r="J1092" s="46" t="n"/>
      <c r="K1092" s="46" t="n"/>
      <c r="L1092" s="46" t="n"/>
      <c r="M1092" s="51" t="str">
        <f>IF(NOT(ISNUMBER($E1092)),"",IF($C1092="Receipt",$E1092,IF($C1092="Shipment",-$E1092,IF($C1092="Adjustment",$E1092,0))))</f>
        <v/>
      </c>
      <c r="N1092" s="49" t="str">
        <f>IF($D1092="","",IFERROR(INDEX(Products!$B$2:$B$101,MATCH($D1092,Products!$A$2:$A$101,0))&amp;"","(not found)"))</f>
        <v/>
      </c>
      <c r="O1092" s="49" t="str">
        <f>IF($F1092="","",IFERROR(INDEX(Batches!$B$2:$B$301,MATCH($F1092,Batches!$A$2:$A$301,0))&amp;"","(not found)"))</f>
        <v/>
      </c>
      <c r="P1092" s="49" t="str">
        <f>IF(COUNTA($A1092:$L1092)=0,"",IF($A1092="","Missing: entry ID",IF(COUNTIF($A$2:$A$2001,$A1092)&gt;1,"Duplicate entry ID",IF(NOT(ISNUMBER($B1092)),"Missing or invalid: date",IF($C1092="","Missing: type",IF($D1092="","Missing: SKU",IF(NOT(ISNUMBER($E1092)),"Missing: qty",IF($F1092="","Missing: lot",IF($I1092="","Missing: source link",IF(COUNTIF(Config!$A$15:$A$34,$C1092)=0,"Unsupported type",IF(COUNTIF(Products!$A$2:$A$101,$D1092)=0,"Unknown SKU",IF(COUNTIFS(Batches!$A$2:$A$301,$F1092,Batches!$B$2:$B$301,$D1092)=0,"Unknown lot for this SKU",IF(AND($C1092="Adjustment",$G1092=""),"Missing: reason",IF(AND($G1092&lt;&gt;"",COUNTIF(Config!$B$15:$B$34,$G1092)=0),"Unsupported reason",IF(OR(INT($E1092)&lt;&gt;$E1092,AND(OR($C1092="Receipt",$C1092="Shipment"),$E1092&lt;=0),AND($C1092="Adjustment",$E1092=0)),"Invalid qty",IF($B1092&gt;Config!$B$4,"Date after the as-of date",IF($B1092&lt;Config!$B$5,"Date before the opening balance date","OK")))))))))))))))))</f>
        <v/>
      </c>
    </row>
    <row r="1093">
      <c r="A1093" s="46" t="n"/>
      <c r="B1093" s="54" t="n"/>
      <c r="C1093" s="46" t="n"/>
      <c r="D1093" s="46" t="n"/>
      <c r="E1093" s="55" t="n"/>
      <c r="F1093" s="46" t="n"/>
      <c r="G1093" s="46" t="n"/>
      <c r="H1093" s="46" t="n"/>
      <c r="I1093" s="46" t="n"/>
      <c r="J1093" s="46" t="n"/>
      <c r="K1093" s="46" t="n"/>
      <c r="L1093" s="46" t="n"/>
      <c r="M1093" s="51" t="str">
        <f>IF(NOT(ISNUMBER($E1093)),"",IF($C1093="Receipt",$E1093,IF($C1093="Shipment",-$E1093,IF($C1093="Adjustment",$E1093,0))))</f>
        <v/>
      </c>
      <c r="N1093" s="49" t="str">
        <f>IF($D1093="","",IFERROR(INDEX(Products!$B$2:$B$101,MATCH($D1093,Products!$A$2:$A$101,0))&amp;"","(not found)"))</f>
        <v/>
      </c>
      <c r="O1093" s="49" t="str">
        <f>IF($F1093="","",IFERROR(INDEX(Batches!$B$2:$B$301,MATCH($F1093,Batches!$A$2:$A$301,0))&amp;"","(not found)"))</f>
        <v/>
      </c>
      <c r="P1093" s="49" t="str">
        <f>IF(COUNTA($A1093:$L1093)=0,"",IF($A1093="","Missing: entry ID",IF(COUNTIF($A$2:$A$2001,$A1093)&gt;1,"Duplicate entry ID",IF(NOT(ISNUMBER($B1093)),"Missing or invalid: date",IF($C1093="","Missing: type",IF($D1093="","Missing: SKU",IF(NOT(ISNUMBER($E1093)),"Missing: qty",IF($F1093="","Missing: lot",IF($I1093="","Missing: source link",IF(COUNTIF(Config!$A$15:$A$34,$C1093)=0,"Unsupported type",IF(COUNTIF(Products!$A$2:$A$101,$D1093)=0,"Unknown SKU",IF(COUNTIFS(Batches!$A$2:$A$301,$F1093,Batches!$B$2:$B$301,$D1093)=0,"Unknown lot for this SKU",IF(AND($C1093="Adjustment",$G1093=""),"Missing: reason",IF(AND($G1093&lt;&gt;"",COUNTIF(Config!$B$15:$B$34,$G1093)=0),"Unsupported reason",IF(OR(INT($E1093)&lt;&gt;$E1093,AND(OR($C1093="Receipt",$C1093="Shipment"),$E1093&lt;=0),AND($C1093="Adjustment",$E1093=0)),"Invalid qty",IF($B1093&gt;Config!$B$4,"Date after the as-of date",IF($B1093&lt;Config!$B$5,"Date before the opening balance date","OK")))))))))))))))))</f>
        <v/>
      </c>
    </row>
    <row r="1094">
      <c r="A1094" s="46" t="n"/>
      <c r="B1094" s="54" t="n"/>
      <c r="C1094" s="46" t="n"/>
      <c r="D1094" s="46" t="n"/>
      <c r="E1094" s="55" t="n"/>
      <c r="F1094" s="46" t="n"/>
      <c r="G1094" s="46" t="n"/>
      <c r="H1094" s="46" t="n"/>
      <c r="I1094" s="46" t="n"/>
      <c r="J1094" s="46" t="n"/>
      <c r="K1094" s="46" t="n"/>
      <c r="L1094" s="46" t="n"/>
      <c r="M1094" s="51" t="str">
        <f>IF(NOT(ISNUMBER($E1094)),"",IF($C1094="Receipt",$E1094,IF($C1094="Shipment",-$E1094,IF($C1094="Adjustment",$E1094,0))))</f>
        <v/>
      </c>
      <c r="N1094" s="49" t="str">
        <f>IF($D1094="","",IFERROR(INDEX(Products!$B$2:$B$101,MATCH($D1094,Products!$A$2:$A$101,0))&amp;"","(not found)"))</f>
        <v/>
      </c>
      <c r="O1094" s="49" t="str">
        <f>IF($F1094="","",IFERROR(INDEX(Batches!$B$2:$B$301,MATCH($F1094,Batches!$A$2:$A$301,0))&amp;"","(not found)"))</f>
        <v/>
      </c>
      <c r="P1094" s="49" t="str">
        <f>IF(COUNTA($A1094:$L1094)=0,"",IF($A1094="","Missing: entry ID",IF(COUNTIF($A$2:$A$2001,$A1094)&gt;1,"Duplicate entry ID",IF(NOT(ISNUMBER($B1094)),"Missing or invalid: date",IF($C1094="","Missing: type",IF($D1094="","Missing: SKU",IF(NOT(ISNUMBER($E1094)),"Missing: qty",IF($F1094="","Missing: lot",IF($I1094="","Missing: source link",IF(COUNTIF(Config!$A$15:$A$34,$C1094)=0,"Unsupported type",IF(COUNTIF(Products!$A$2:$A$101,$D1094)=0,"Unknown SKU",IF(COUNTIFS(Batches!$A$2:$A$301,$F1094,Batches!$B$2:$B$301,$D1094)=0,"Unknown lot for this SKU",IF(AND($C1094="Adjustment",$G1094=""),"Missing: reason",IF(AND($G1094&lt;&gt;"",COUNTIF(Config!$B$15:$B$34,$G1094)=0),"Unsupported reason",IF(OR(INT($E1094)&lt;&gt;$E1094,AND(OR($C1094="Receipt",$C1094="Shipment"),$E1094&lt;=0),AND($C1094="Adjustment",$E1094=0)),"Invalid qty",IF($B1094&gt;Config!$B$4,"Date after the as-of date",IF($B1094&lt;Config!$B$5,"Date before the opening balance date","OK")))))))))))))))))</f>
        <v/>
      </c>
    </row>
    <row r="1095">
      <c r="A1095" s="46" t="n"/>
      <c r="B1095" s="54" t="n"/>
      <c r="C1095" s="46" t="n"/>
      <c r="D1095" s="46" t="n"/>
      <c r="E1095" s="55" t="n"/>
      <c r="F1095" s="46" t="n"/>
      <c r="G1095" s="46" t="n"/>
      <c r="H1095" s="46" t="n"/>
      <c r="I1095" s="46" t="n"/>
      <c r="J1095" s="46" t="n"/>
      <c r="K1095" s="46" t="n"/>
      <c r="L1095" s="46" t="n"/>
      <c r="M1095" s="51" t="str">
        <f>IF(NOT(ISNUMBER($E1095)),"",IF($C1095="Receipt",$E1095,IF($C1095="Shipment",-$E1095,IF($C1095="Adjustment",$E1095,0))))</f>
        <v/>
      </c>
      <c r="N1095" s="49" t="str">
        <f>IF($D1095="","",IFERROR(INDEX(Products!$B$2:$B$101,MATCH($D1095,Products!$A$2:$A$101,0))&amp;"","(not found)"))</f>
        <v/>
      </c>
      <c r="O1095" s="49" t="str">
        <f>IF($F1095="","",IFERROR(INDEX(Batches!$B$2:$B$301,MATCH($F1095,Batches!$A$2:$A$301,0))&amp;"","(not found)"))</f>
        <v/>
      </c>
      <c r="P1095" s="49" t="str">
        <f>IF(COUNTA($A1095:$L1095)=0,"",IF($A1095="","Missing: entry ID",IF(COUNTIF($A$2:$A$2001,$A1095)&gt;1,"Duplicate entry ID",IF(NOT(ISNUMBER($B1095)),"Missing or invalid: date",IF($C1095="","Missing: type",IF($D1095="","Missing: SKU",IF(NOT(ISNUMBER($E1095)),"Missing: qty",IF($F1095="","Missing: lot",IF($I1095="","Missing: source link",IF(COUNTIF(Config!$A$15:$A$34,$C1095)=0,"Unsupported type",IF(COUNTIF(Products!$A$2:$A$101,$D1095)=0,"Unknown SKU",IF(COUNTIFS(Batches!$A$2:$A$301,$F1095,Batches!$B$2:$B$301,$D1095)=0,"Unknown lot for this SKU",IF(AND($C1095="Adjustment",$G1095=""),"Missing: reason",IF(AND($G1095&lt;&gt;"",COUNTIF(Config!$B$15:$B$34,$G1095)=0),"Unsupported reason",IF(OR(INT($E1095)&lt;&gt;$E1095,AND(OR($C1095="Receipt",$C1095="Shipment"),$E1095&lt;=0),AND($C1095="Adjustment",$E1095=0)),"Invalid qty",IF($B1095&gt;Config!$B$4,"Date after the as-of date",IF($B1095&lt;Config!$B$5,"Date before the opening balance date","OK")))))))))))))))))</f>
        <v/>
      </c>
    </row>
    <row r="1096">
      <c r="A1096" s="46" t="n"/>
      <c r="B1096" s="54" t="n"/>
      <c r="C1096" s="46" t="n"/>
      <c r="D1096" s="46" t="n"/>
      <c r="E1096" s="55" t="n"/>
      <c r="F1096" s="46" t="n"/>
      <c r="G1096" s="46" t="n"/>
      <c r="H1096" s="46" t="n"/>
      <c r="I1096" s="46" t="n"/>
      <c r="J1096" s="46" t="n"/>
      <c r="K1096" s="46" t="n"/>
      <c r="L1096" s="46" t="n"/>
      <c r="M1096" s="51" t="str">
        <f>IF(NOT(ISNUMBER($E1096)),"",IF($C1096="Receipt",$E1096,IF($C1096="Shipment",-$E1096,IF($C1096="Adjustment",$E1096,0))))</f>
        <v/>
      </c>
      <c r="N1096" s="49" t="str">
        <f>IF($D1096="","",IFERROR(INDEX(Products!$B$2:$B$101,MATCH($D1096,Products!$A$2:$A$101,0))&amp;"","(not found)"))</f>
        <v/>
      </c>
      <c r="O1096" s="49" t="str">
        <f>IF($F1096="","",IFERROR(INDEX(Batches!$B$2:$B$301,MATCH($F1096,Batches!$A$2:$A$301,0))&amp;"","(not found)"))</f>
        <v/>
      </c>
      <c r="P1096" s="49" t="str">
        <f>IF(COUNTA($A1096:$L1096)=0,"",IF($A1096="","Missing: entry ID",IF(COUNTIF($A$2:$A$2001,$A1096)&gt;1,"Duplicate entry ID",IF(NOT(ISNUMBER($B1096)),"Missing or invalid: date",IF($C1096="","Missing: type",IF($D1096="","Missing: SKU",IF(NOT(ISNUMBER($E1096)),"Missing: qty",IF($F1096="","Missing: lot",IF($I1096="","Missing: source link",IF(COUNTIF(Config!$A$15:$A$34,$C1096)=0,"Unsupported type",IF(COUNTIF(Products!$A$2:$A$101,$D1096)=0,"Unknown SKU",IF(COUNTIFS(Batches!$A$2:$A$301,$F1096,Batches!$B$2:$B$301,$D1096)=0,"Unknown lot for this SKU",IF(AND($C1096="Adjustment",$G1096=""),"Missing: reason",IF(AND($G1096&lt;&gt;"",COUNTIF(Config!$B$15:$B$34,$G1096)=0),"Unsupported reason",IF(OR(INT($E1096)&lt;&gt;$E1096,AND(OR($C1096="Receipt",$C1096="Shipment"),$E1096&lt;=0),AND($C1096="Adjustment",$E1096=0)),"Invalid qty",IF($B1096&gt;Config!$B$4,"Date after the as-of date",IF($B1096&lt;Config!$B$5,"Date before the opening balance date","OK")))))))))))))))))</f>
        <v/>
      </c>
    </row>
    <row r="1097">
      <c r="A1097" s="46" t="n"/>
      <c r="B1097" s="54" t="n"/>
      <c r="C1097" s="46" t="n"/>
      <c r="D1097" s="46" t="n"/>
      <c r="E1097" s="55" t="n"/>
      <c r="F1097" s="46" t="n"/>
      <c r="G1097" s="46" t="n"/>
      <c r="H1097" s="46" t="n"/>
      <c r="I1097" s="46" t="n"/>
      <c r="J1097" s="46" t="n"/>
      <c r="K1097" s="46" t="n"/>
      <c r="L1097" s="46" t="n"/>
      <c r="M1097" s="51" t="str">
        <f>IF(NOT(ISNUMBER($E1097)),"",IF($C1097="Receipt",$E1097,IF($C1097="Shipment",-$E1097,IF($C1097="Adjustment",$E1097,0))))</f>
        <v/>
      </c>
      <c r="N1097" s="49" t="str">
        <f>IF($D1097="","",IFERROR(INDEX(Products!$B$2:$B$101,MATCH($D1097,Products!$A$2:$A$101,0))&amp;"","(not found)"))</f>
        <v/>
      </c>
      <c r="O1097" s="49" t="str">
        <f>IF($F1097="","",IFERROR(INDEX(Batches!$B$2:$B$301,MATCH($F1097,Batches!$A$2:$A$301,0))&amp;"","(not found)"))</f>
        <v/>
      </c>
      <c r="P1097" s="49" t="str">
        <f>IF(COUNTA($A1097:$L1097)=0,"",IF($A1097="","Missing: entry ID",IF(COUNTIF($A$2:$A$2001,$A1097)&gt;1,"Duplicate entry ID",IF(NOT(ISNUMBER($B1097)),"Missing or invalid: date",IF($C1097="","Missing: type",IF($D1097="","Missing: SKU",IF(NOT(ISNUMBER($E1097)),"Missing: qty",IF($F1097="","Missing: lot",IF($I1097="","Missing: source link",IF(COUNTIF(Config!$A$15:$A$34,$C1097)=0,"Unsupported type",IF(COUNTIF(Products!$A$2:$A$101,$D1097)=0,"Unknown SKU",IF(COUNTIFS(Batches!$A$2:$A$301,$F1097,Batches!$B$2:$B$301,$D1097)=0,"Unknown lot for this SKU",IF(AND($C1097="Adjustment",$G1097=""),"Missing: reason",IF(AND($G1097&lt;&gt;"",COUNTIF(Config!$B$15:$B$34,$G1097)=0),"Unsupported reason",IF(OR(INT($E1097)&lt;&gt;$E1097,AND(OR($C1097="Receipt",$C1097="Shipment"),$E1097&lt;=0),AND($C1097="Adjustment",$E1097=0)),"Invalid qty",IF($B1097&gt;Config!$B$4,"Date after the as-of date",IF($B1097&lt;Config!$B$5,"Date before the opening balance date","OK")))))))))))))))))</f>
        <v/>
      </c>
    </row>
    <row r="1098">
      <c r="A1098" s="46" t="n"/>
      <c r="B1098" s="54" t="n"/>
      <c r="C1098" s="46" t="n"/>
      <c r="D1098" s="46" t="n"/>
      <c r="E1098" s="55" t="n"/>
      <c r="F1098" s="46" t="n"/>
      <c r="G1098" s="46" t="n"/>
      <c r="H1098" s="46" t="n"/>
      <c r="I1098" s="46" t="n"/>
      <c r="J1098" s="46" t="n"/>
      <c r="K1098" s="46" t="n"/>
      <c r="L1098" s="46" t="n"/>
      <c r="M1098" s="51" t="str">
        <f>IF(NOT(ISNUMBER($E1098)),"",IF($C1098="Receipt",$E1098,IF($C1098="Shipment",-$E1098,IF($C1098="Adjustment",$E1098,0))))</f>
        <v/>
      </c>
      <c r="N1098" s="49" t="str">
        <f>IF($D1098="","",IFERROR(INDEX(Products!$B$2:$B$101,MATCH($D1098,Products!$A$2:$A$101,0))&amp;"","(not found)"))</f>
        <v/>
      </c>
      <c r="O1098" s="49" t="str">
        <f>IF($F1098="","",IFERROR(INDEX(Batches!$B$2:$B$301,MATCH($F1098,Batches!$A$2:$A$301,0))&amp;"","(not found)"))</f>
        <v/>
      </c>
      <c r="P1098" s="49" t="str">
        <f>IF(COUNTA($A1098:$L1098)=0,"",IF($A1098="","Missing: entry ID",IF(COUNTIF($A$2:$A$2001,$A1098)&gt;1,"Duplicate entry ID",IF(NOT(ISNUMBER($B1098)),"Missing or invalid: date",IF($C1098="","Missing: type",IF($D1098="","Missing: SKU",IF(NOT(ISNUMBER($E1098)),"Missing: qty",IF($F1098="","Missing: lot",IF($I1098="","Missing: source link",IF(COUNTIF(Config!$A$15:$A$34,$C1098)=0,"Unsupported type",IF(COUNTIF(Products!$A$2:$A$101,$D1098)=0,"Unknown SKU",IF(COUNTIFS(Batches!$A$2:$A$301,$F1098,Batches!$B$2:$B$301,$D1098)=0,"Unknown lot for this SKU",IF(AND($C1098="Adjustment",$G1098=""),"Missing: reason",IF(AND($G1098&lt;&gt;"",COUNTIF(Config!$B$15:$B$34,$G1098)=0),"Unsupported reason",IF(OR(INT($E1098)&lt;&gt;$E1098,AND(OR($C1098="Receipt",$C1098="Shipment"),$E1098&lt;=0),AND($C1098="Adjustment",$E1098=0)),"Invalid qty",IF($B1098&gt;Config!$B$4,"Date after the as-of date",IF($B1098&lt;Config!$B$5,"Date before the opening balance date","OK")))))))))))))))))</f>
        <v/>
      </c>
    </row>
    <row r="1099">
      <c r="A1099" s="46" t="n"/>
      <c r="B1099" s="54" t="n"/>
      <c r="C1099" s="46" t="n"/>
      <c r="D1099" s="46" t="n"/>
      <c r="E1099" s="55" t="n"/>
      <c r="F1099" s="46" t="n"/>
      <c r="G1099" s="46" t="n"/>
      <c r="H1099" s="46" t="n"/>
      <c r="I1099" s="46" t="n"/>
      <c r="J1099" s="46" t="n"/>
      <c r="K1099" s="46" t="n"/>
      <c r="L1099" s="46" t="n"/>
      <c r="M1099" s="51" t="str">
        <f>IF(NOT(ISNUMBER($E1099)),"",IF($C1099="Receipt",$E1099,IF($C1099="Shipment",-$E1099,IF($C1099="Adjustment",$E1099,0))))</f>
        <v/>
      </c>
      <c r="N1099" s="49" t="str">
        <f>IF($D1099="","",IFERROR(INDEX(Products!$B$2:$B$101,MATCH($D1099,Products!$A$2:$A$101,0))&amp;"","(not found)"))</f>
        <v/>
      </c>
      <c r="O1099" s="49" t="str">
        <f>IF($F1099="","",IFERROR(INDEX(Batches!$B$2:$B$301,MATCH($F1099,Batches!$A$2:$A$301,0))&amp;"","(not found)"))</f>
        <v/>
      </c>
      <c r="P1099" s="49" t="str">
        <f>IF(COUNTA($A1099:$L1099)=0,"",IF($A1099="","Missing: entry ID",IF(COUNTIF($A$2:$A$2001,$A1099)&gt;1,"Duplicate entry ID",IF(NOT(ISNUMBER($B1099)),"Missing or invalid: date",IF($C1099="","Missing: type",IF($D1099="","Missing: SKU",IF(NOT(ISNUMBER($E1099)),"Missing: qty",IF($F1099="","Missing: lot",IF($I1099="","Missing: source link",IF(COUNTIF(Config!$A$15:$A$34,$C1099)=0,"Unsupported type",IF(COUNTIF(Products!$A$2:$A$101,$D1099)=0,"Unknown SKU",IF(COUNTIFS(Batches!$A$2:$A$301,$F1099,Batches!$B$2:$B$301,$D1099)=0,"Unknown lot for this SKU",IF(AND($C1099="Adjustment",$G1099=""),"Missing: reason",IF(AND($G1099&lt;&gt;"",COUNTIF(Config!$B$15:$B$34,$G1099)=0),"Unsupported reason",IF(OR(INT($E1099)&lt;&gt;$E1099,AND(OR($C1099="Receipt",$C1099="Shipment"),$E1099&lt;=0),AND($C1099="Adjustment",$E1099=0)),"Invalid qty",IF($B1099&gt;Config!$B$4,"Date after the as-of date",IF($B1099&lt;Config!$B$5,"Date before the opening balance date","OK")))))))))))))))))</f>
        <v/>
      </c>
    </row>
    <row r="1100">
      <c r="A1100" s="46" t="n"/>
      <c r="B1100" s="54" t="n"/>
      <c r="C1100" s="46" t="n"/>
      <c r="D1100" s="46" t="n"/>
      <c r="E1100" s="55" t="n"/>
      <c r="F1100" s="46" t="n"/>
      <c r="G1100" s="46" t="n"/>
      <c r="H1100" s="46" t="n"/>
      <c r="I1100" s="46" t="n"/>
      <c r="J1100" s="46" t="n"/>
      <c r="K1100" s="46" t="n"/>
      <c r="L1100" s="46" t="n"/>
      <c r="M1100" s="51" t="str">
        <f>IF(NOT(ISNUMBER($E1100)),"",IF($C1100="Receipt",$E1100,IF($C1100="Shipment",-$E1100,IF($C1100="Adjustment",$E1100,0))))</f>
        <v/>
      </c>
      <c r="N1100" s="49" t="str">
        <f>IF($D1100="","",IFERROR(INDEX(Products!$B$2:$B$101,MATCH($D1100,Products!$A$2:$A$101,0))&amp;"","(not found)"))</f>
        <v/>
      </c>
      <c r="O1100" s="49" t="str">
        <f>IF($F1100="","",IFERROR(INDEX(Batches!$B$2:$B$301,MATCH($F1100,Batches!$A$2:$A$301,0))&amp;"","(not found)"))</f>
        <v/>
      </c>
      <c r="P1100" s="49" t="str">
        <f>IF(COUNTA($A1100:$L1100)=0,"",IF($A1100="","Missing: entry ID",IF(COUNTIF($A$2:$A$2001,$A1100)&gt;1,"Duplicate entry ID",IF(NOT(ISNUMBER($B1100)),"Missing or invalid: date",IF($C1100="","Missing: type",IF($D1100="","Missing: SKU",IF(NOT(ISNUMBER($E1100)),"Missing: qty",IF($F1100="","Missing: lot",IF($I1100="","Missing: source link",IF(COUNTIF(Config!$A$15:$A$34,$C1100)=0,"Unsupported type",IF(COUNTIF(Products!$A$2:$A$101,$D1100)=0,"Unknown SKU",IF(COUNTIFS(Batches!$A$2:$A$301,$F1100,Batches!$B$2:$B$301,$D1100)=0,"Unknown lot for this SKU",IF(AND($C1100="Adjustment",$G1100=""),"Missing: reason",IF(AND($G1100&lt;&gt;"",COUNTIF(Config!$B$15:$B$34,$G1100)=0),"Unsupported reason",IF(OR(INT($E1100)&lt;&gt;$E1100,AND(OR($C1100="Receipt",$C1100="Shipment"),$E1100&lt;=0),AND($C1100="Adjustment",$E1100=0)),"Invalid qty",IF($B1100&gt;Config!$B$4,"Date after the as-of date",IF($B1100&lt;Config!$B$5,"Date before the opening balance date","OK")))))))))))))))))</f>
        <v/>
      </c>
    </row>
    <row r="1101">
      <c r="A1101" s="46" t="n"/>
      <c r="B1101" s="54" t="n"/>
      <c r="C1101" s="46" t="n"/>
      <c r="D1101" s="46" t="n"/>
      <c r="E1101" s="55" t="n"/>
      <c r="F1101" s="46" t="n"/>
      <c r="G1101" s="46" t="n"/>
      <c r="H1101" s="46" t="n"/>
      <c r="I1101" s="46" t="n"/>
      <c r="J1101" s="46" t="n"/>
      <c r="K1101" s="46" t="n"/>
      <c r="L1101" s="46" t="n"/>
      <c r="M1101" s="51" t="str">
        <f>IF(NOT(ISNUMBER($E1101)),"",IF($C1101="Receipt",$E1101,IF($C1101="Shipment",-$E1101,IF($C1101="Adjustment",$E1101,0))))</f>
        <v/>
      </c>
      <c r="N1101" s="49" t="str">
        <f>IF($D1101="","",IFERROR(INDEX(Products!$B$2:$B$101,MATCH($D1101,Products!$A$2:$A$101,0))&amp;"","(not found)"))</f>
        <v/>
      </c>
      <c r="O1101" s="49" t="str">
        <f>IF($F1101="","",IFERROR(INDEX(Batches!$B$2:$B$301,MATCH($F1101,Batches!$A$2:$A$301,0))&amp;"","(not found)"))</f>
        <v/>
      </c>
      <c r="P1101" s="49" t="str">
        <f>IF(COUNTA($A1101:$L1101)=0,"",IF($A1101="","Missing: entry ID",IF(COUNTIF($A$2:$A$2001,$A1101)&gt;1,"Duplicate entry ID",IF(NOT(ISNUMBER($B1101)),"Missing or invalid: date",IF($C1101="","Missing: type",IF($D1101="","Missing: SKU",IF(NOT(ISNUMBER($E1101)),"Missing: qty",IF($F1101="","Missing: lot",IF($I1101="","Missing: source link",IF(COUNTIF(Config!$A$15:$A$34,$C1101)=0,"Unsupported type",IF(COUNTIF(Products!$A$2:$A$101,$D1101)=0,"Unknown SKU",IF(COUNTIFS(Batches!$A$2:$A$301,$F1101,Batches!$B$2:$B$301,$D1101)=0,"Unknown lot for this SKU",IF(AND($C1101="Adjustment",$G1101=""),"Missing: reason",IF(AND($G1101&lt;&gt;"",COUNTIF(Config!$B$15:$B$34,$G1101)=0),"Unsupported reason",IF(OR(INT($E1101)&lt;&gt;$E1101,AND(OR($C1101="Receipt",$C1101="Shipment"),$E1101&lt;=0),AND($C1101="Adjustment",$E1101=0)),"Invalid qty",IF($B1101&gt;Config!$B$4,"Date after the as-of date",IF($B1101&lt;Config!$B$5,"Date before the opening balance date","OK")))))))))))))))))</f>
        <v/>
      </c>
    </row>
    <row r="1102">
      <c r="A1102" s="46" t="n"/>
      <c r="B1102" s="54" t="n"/>
      <c r="C1102" s="46" t="n"/>
      <c r="D1102" s="46" t="n"/>
      <c r="E1102" s="55" t="n"/>
      <c r="F1102" s="46" t="n"/>
      <c r="G1102" s="46" t="n"/>
      <c r="H1102" s="46" t="n"/>
      <c r="I1102" s="46" t="n"/>
      <c r="J1102" s="46" t="n"/>
      <c r="K1102" s="46" t="n"/>
      <c r="L1102" s="46" t="n"/>
      <c r="M1102" s="51" t="str">
        <f>IF(NOT(ISNUMBER($E1102)),"",IF($C1102="Receipt",$E1102,IF($C1102="Shipment",-$E1102,IF($C1102="Adjustment",$E1102,0))))</f>
        <v/>
      </c>
      <c r="N1102" s="49" t="str">
        <f>IF($D1102="","",IFERROR(INDEX(Products!$B$2:$B$101,MATCH($D1102,Products!$A$2:$A$101,0))&amp;"","(not found)"))</f>
        <v/>
      </c>
      <c r="O1102" s="49" t="str">
        <f>IF($F1102="","",IFERROR(INDEX(Batches!$B$2:$B$301,MATCH($F1102,Batches!$A$2:$A$301,0))&amp;"","(not found)"))</f>
        <v/>
      </c>
      <c r="P1102" s="49" t="str">
        <f>IF(COUNTA($A1102:$L1102)=0,"",IF($A1102="","Missing: entry ID",IF(COUNTIF($A$2:$A$2001,$A1102)&gt;1,"Duplicate entry ID",IF(NOT(ISNUMBER($B1102)),"Missing or invalid: date",IF($C1102="","Missing: type",IF($D1102="","Missing: SKU",IF(NOT(ISNUMBER($E1102)),"Missing: qty",IF($F1102="","Missing: lot",IF($I1102="","Missing: source link",IF(COUNTIF(Config!$A$15:$A$34,$C1102)=0,"Unsupported type",IF(COUNTIF(Products!$A$2:$A$101,$D1102)=0,"Unknown SKU",IF(COUNTIFS(Batches!$A$2:$A$301,$F1102,Batches!$B$2:$B$301,$D1102)=0,"Unknown lot for this SKU",IF(AND($C1102="Adjustment",$G1102=""),"Missing: reason",IF(AND($G1102&lt;&gt;"",COUNTIF(Config!$B$15:$B$34,$G1102)=0),"Unsupported reason",IF(OR(INT($E1102)&lt;&gt;$E1102,AND(OR($C1102="Receipt",$C1102="Shipment"),$E1102&lt;=0),AND($C1102="Adjustment",$E1102=0)),"Invalid qty",IF($B1102&gt;Config!$B$4,"Date after the as-of date",IF($B1102&lt;Config!$B$5,"Date before the opening balance date","OK")))))))))))))))))</f>
        <v/>
      </c>
    </row>
    <row r="1103">
      <c r="A1103" s="46" t="n"/>
      <c r="B1103" s="54" t="n"/>
      <c r="C1103" s="46" t="n"/>
      <c r="D1103" s="46" t="n"/>
      <c r="E1103" s="55" t="n"/>
      <c r="F1103" s="46" t="n"/>
      <c r="G1103" s="46" t="n"/>
      <c r="H1103" s="46" t="n"/>
      <c r="I1103" s="46" t="n"/>
      <c r="J1103" s="46" t="n"/>
      <c r="K1103" s="46" t="n"/>
      <c r="L1103" s="46" t="n"/>
      <c r="M1103" s="51" t="str">
        <f>IF(NOT(ISNUMBER($E1103)),"",IF($C1103="Receipt",$E1103,IF($C1103="Shipment",-$E1103,IF($C1103="Adjustment",$E1103,0))))</f>
        <v/>
      </c>
      <c r="N1103" s="49" t="str">
        <f>IF($D1103="","",IFERROR(INDEX(Products!$B$2:$B$101,MATCH($D1103,Products!$A$2:$A$101,0))&amp;"","(not found)"))</f>
        <v/>
      </c>
      <c r="O1103" s="49" t="str">
        <f>IF($F1103="","",IFERROR(INDEX(Batches!$B$2:$B$301,MATCH($F1103,Batches!$A$2:$A$301,0))&amp;"","(not found)"))</f>
        <v/>
      </c>
      <c r="P1103" s="49" t="str">
        <f>IF(COUNTA($A1103:$L1103)=0,"",IF($A1103="","Missing: entry ID",IF(COUNTIF($A$2:$A$2001,$A1103)&gt;1,"Duplicate entry ID",IF(NOT(ISNUMBER($B1103)),"Missing or invalid: date",IF($C1103="","Missing: type",IF($D1103="","Missing: SKU",IF(NOT(ISNUMBER($E1103)),"Missing: qty",IF($F1103="","Missing: lot",IF($I1103="","Missing: source link",IF(COUNTIF(Config!$A$15:$A$34,$C1103)=0,"Unsupported type",IF(COUNTIF(Products!$A$2:$A$101,$D1103)=0,"Unknown SKU",IF(COUNTIFS(Batches!$A$2:$A$301,$F1103,Batches!$B$2:$B$301,$D1103)=0,"Unknown lot for this SKU",IF(AND($C1103="Adjustment",$G1103=""),"Missing: reason",IF(AND($G1103&lt;&gt;"",COUNTIF(Config!$B$15:$B$34,$G1103)=0),"Unsupported reason",IF(OR(INT($E1103)&lt;&gt;$E1103,AND(OR($C1103="Receipt",$C1103="Shipment"),$E1103&lt;=0),AND($C1103="Adjustment",$E1103=0)),"Invalid qty",IF($B1103&gt;Config!$B$4,"Date after the as-of date",IF($B1103&lt;Config!$B$5,"Date before the opening balance date","OK")))))))))))))))))</f>
        <v/>
      </c>
    </row>
    <row r="1104">
      <c r="A1104" s="46" t="n"/>
      <c r="B1104" s="54" t="n"/>
      <c r="C1104" s="46" t="n"/>
      <c r="D1104" s="46" t="n"/>
      <c r="E1104" s="55" t="n"/>
      <c r="F1104" s="46" t="n"/>
      <c r="G1104" s="46" t="n"/>
      <c r="H1104" s="46" t="n"/>
      <c r="I1104" s="46" t="n"/>
      <c r="J1104" s="46" t="n"/>
      <c r="K1104" s="46" t="n"/>
      <c r="L1104" s="46" t="n"/>
      <c r="M1104" s="51" t="str">
        <f>IF(NOT(ISNUMBER($E1104)),"",IF($C1104="Receipt",$E1104,IF($C1104="Shipment",-$E1104,IF($C1104="Adjustment",$E1104,0))))</f>
        <v/>
      </c>
      <c r="N1104" s="49" t="str">
        <f>IF($D1104="","",IFERROR(INDEX(Products!$B$2:$B$101,MATCH($D1104,Products!$A$2:$A$101,0))&amp;"","(not found)"))</f>
        <v/>
      </c>
      <c r="O1104" s="49" t="str">
        <f>IF($F1104="","",IFERROR(INDEX(Batches!$B$2:$B$301,MATCH($F1104,Batches!$A$2:$A$301,0))&amp;"","(not found)"))</f>
        <v/>
      </c>
      <c r="P1104" s="49" t="str">
        <f>IF(COUNTA($A1104:$L1104)=0,"",IF($A1104="","Missing: entry ID",IF(COUNTIF($A$2:$A$2001,$A1104)&gt;1,"Duplicate entry ID",IF(NOT(ISNUMBER($B1104)),"Missing or invalid: date",IF($C1104="","Missing: type",IF($D1104="","Missing: SKU",IF(NOT(ISNUMBER($E1104)),"Missing: qty",IF($F1104="","Missing: lot",IF($I1104="","Missing: source link",IF(COUNTIF(Config!$A$15:$A$34,$C1104)=0,"Unsupported type",IF(COUNTIF(Products!$A$2:$A$101,$D1104)=0,"Unknown SKU",IF(COUNTIFS(Batches!$A$2:$A$301,$F1104,Batches!$B$2:$B$301,$D1104)=0,"Unknown lot for this SKU",IF(AND($C1104="Adjustment",$G1104=""),"Missing: reason",IF(AND($G1104&lt;&gt;"",COUNTIF(Config!$B$15:$B$34,$G1104)=0),"Unsupported reason",IF(OR(INT($E1104)&lt;&gt;$E1104,AND(OR($C1104="Receipt",$C1104="Shipment"),$E1104&lt;=0),AND($C1104="Adjustment",$E1104=0)),"Invalid qty",IF($B1104&gt;Config!$B$4,"Date after the as-of date",IF($B1104&lt;Config!$B$5,"Date before the opening balance date","OK")))))))))))))))))</f>
        <v/>
      </c>
    </row>
    <row r="1105">
      <c r="A1105" s="46" t="n"/>
      <c r="B1105" s="54" t="n"/>
      <c r="C1105" s="46" t="n"/>
      <c r="D1105" s="46" t="n"/>
      <c r="E1105" s="55" t="n"/>
      <c r="F1105" s="46" t="n"/>
      <c r="G1105" s="46" t="n"/>
      <c r="H1105" s="46" t="n"/>
      <c r="I1105" s="46" t="n"/>
      <c r="J1105" s="46" t="n"/>
      <c r="K1105" s="46" t="n"/>
      <c r="L1105" s="46" t="n"/>
      <c r="M1105" s="51" t="str">
        <f>IF(NOT(ISNUMBER($E1105)),"",IF($C1105="Receipt",$E1105,IF($C1105="Shipment",-$E1105,IF($C1105="Adjustment",$E1105,0))))</f>
        <v/>
      </c>
      <c r="N1105" s="49" t="str">
        <f>IF($D1105="","",IFERROR(INDEX(Products!$B$2:$B$101,MATCH($D1105,Products!$A$2:$A$101,0))&amp;"","(not found)"))</f>
        <v/>
      </c>
      <c r="O1105" s="49" t="str">
        <f>IF($F1105="","",IFERROR(INDEX(Batches!$B$2:$B$301,MATCH($F1105,Batches!$A$2:$A$301,0))&amp;"","(not found)"))</f>
        <v/>
      </c>
      <c r="P1105" s="49" t="str">
        <f>IF(COUNTA($A1105:$L1105)=0,"",IF($A1105="","Missing: entry ID",IF(COUNTIF($A$2:$A$2001,$A1105)&gt;1,"Duplicate entry ID",IF(NOT(ISNUMBER($B1105)),"Missing or invalid: date",IF($C1105="","Missing: type",IF($D1105="","Missing: SKU",IF(NOT(ISNUMBER($E1105)),"Missing: qty",IF($F1105="","Missing: lot",IF($I1105="","Missing: source link",IF(COUNTIF(Config!$A$15:$A$34,$C1105)=0,"Unsupported type",IF(COUNTIF(Products!$A$2:$A$101,$D1105)=0,"Unknown SKU",IF(COUNTIFS(Batches!$A$2:$A$301,$F1105,Batches!$B$2:$B$301,$D1105)=0,"Unknown lot for this SKU",IF(AND($C1105="Adjustment",$G1105=""),"Missing: reason",IF(AND($G1105&lt;&gt;"",COUNTIF(Config!$B$15:$B$34,$G1105)=0),"Unsupported reason",IF(OR(INT($E1105)&lt;&gt;$E1105,AND(OR($C1105="Receipt",$C1105="Shipment"),$E1105&lt;=0),AND($C1105="Adjustment",$E1105=0)),"Invalid qty",IF($B1105&gt;Config!$B$4,"Date after the as-of date",IF($B1105&lt;Config!$B$5,"Date before the opening balance date","OK")))))))))))))))))</f>
        <v/>
      </c>
    </row>
    <row r="1106">
      <c r="A1106" s="46" t="n"/>
      <c r="B1106" s="54" t="n"/>
      <c r="C1106" s="46" t="n"/>
      <c r="D1106" s="46" t="n"/>
      <c r="E1106" s="55" t="n"/>
      <c r="F1106" s="46" t="n"/>
      <c r="G1106" s="46" t="n"/>
      <c r="H1106" s="46" t="n"/>
      <c r="I1106" s="46" t="n"/>
      <c r="J1106" s="46" t="n"/>
      <c r="K1106" s="46" t="n"/>
      <c r="L1106" s="46" t="n"/>
      <c r="M1106" s="51" t="str">
        <f>IF(NOT(ISNUMBER($E1106)),"",IF($C1106="Receipt",$E1106,IF($C1106="Shipment",-$E1106,IF($C1106="Adjustment",$E1106,0))))</f>
        <v/>
      </c>
      <c r="N1106" s="49" t="str">
        <f>IF($D1106="","",IFERROR(INDEX(Products!$B$2:$B$101,MATCH($D1106,Products!$A$2:$A$101,0))&amp;"","(not found)"))</f>
        <v/>
      </c>
      <c r="O1106" s="49" t="str">
        <f>IF($F1106="","",IFERROR(INDEX(Batches!$B$2:$B$301,MATCH($F1106,Batches!$A$2:$A$301,0))&amp;"","(not found)"))</f>
        <v/>
      </c>
      <c r="P1106" s="49" t="str">
        <f>IF(COUNTA($A1106:$L1106)=0,"",IF($A1106="","Missing: entry ID",IF(COUNTIF($A$2:$A$2001,$A1106)&gt;1,"Duplicate entry ID",IF(NOT(ISNUMBER($B1106)),"Missing or invalid: date",IF($C1106="","Missing: type",IF($D1106="","Missing: SKU",IF(NOT(ISNUMBER($E1106)),"Missing: qty",IF($F1106="","Missing: lot",IF($I1106="","Missing: source link",IF(COUNTIF(Config!$A$15:$A$34,$C1106)=0,"Unsupported type",IF(COUNTIF(Products!$A$2:$A$101,$D1106)=0,"Unknown SKU",IF(COUNTIFS(Batches!$A$2:$A$301,$F1106,Batches!$B$2:$B$301,$D1106)=0,"Unknown lot for this SKU",IF(AND($C1106="Adjustment",$G1106=""),"Missing: reason",IF(AND($G1106&lt;&gt;"",COUNTIF(Config!$B$15:$B$34,$G1106)=0),"Unsupported reason",IF(OR(INT($E1106)&lt;&gt;$E1106,AND(OR($C1106="Receipt",$C1106="Shipment"),$E1106&lt;=0),AND($C1106="Adjustment",$E1106=0)),"Invalid qty",IF($B1106&gt;Config!$B$4,"Date after the as-of date",IF($B1106&lt;Config!$B$5,"Date before the opening balance date","OK")))))))))))))))))</f>
        <v/>
      </c>
    </row>
    <row r="1107">
      <c r="A1107" s="46" t="n"/>
      <c r="B1107" s="54" t="n"/>
      <c r="C1107" s="46" t="n"/>
      <c r="D1107" s="46" t="n"/>
      <c r="E1107" s="55" t="n"/>
      <c r="F1107" s="46" t="n"/>
      <c r="G1107" s="46" t="n"/>
      <c r="H1107" s="46" t="n"/>
      <c r="I1107" s="46" t="n"/>
      <c r="J1107" s="46" t="n"/>
      <c r="K1107" s="46" t="n"/>
      <c r="L1107" s="46" t="n"/>
      <c r="M1107" s="51" t="str">
        <f>IF(NOT(ISNUMBER($E1107)),"",IF($C1107="Receipt",$E1107,IF($C1107="Shipment",-$E1107,IF($C1107="Adjustment",$E1107,0))))</f>
        <v/>
      </c>
      <c r="N1107" s="49" t="str">
        <f>IF($D1107="","",IFERROR(INDEX(Products!$B$2:$B$101,MATCH($D1107,Products!$A$2:$A$101,0))&amp;"","(not found)"))</f>
        <v/>
      </c>
      <c r="O1107" s="49" t="str">
        <f>IF($F1107="","",IFERROR(INDEX(Batches!$B$2:$B$301,MATCH($F1107,Batches!$A$2:$A$301,0))&amp;"","(not found)"))</f>
        <v/>
      </c>
      <c r="P1107" s="49" t="str">
        <f>IF(COUNTA($A1107:$L1107)=0,"",IF($A1107="","Missing: entry ID",IF(COUNTIF($A$2:$A$2001,$A1107)&gt;1,"Duplicate entry ID",IF(NOT(ISNUMBER($B1107)),"Missing or invalid: date",IF($C1107="","Missing: type",IF($D1107="","Missing: SKU",IF(NOT(ISNUMBER($E1107)),"Missing: qty",IF($F1107="","Missing: lot",IF($I1107="","Missing: source link",IF(COUNTIF(Config!$A$15:$A$34,$C1107)=0,"Unsupported type",IF(COUNTIF(Products!$A$2:$A$101,$D1107)=0,"Unknown SKU",IF(COUNTIFS(Batches!$A$2:$A$301,$F1107,Batches!$B$2:$B$301,$D1107)=0,"Unknown lot for this SKU",IF(AND($C1107="Adjustment",$G1107=""),"Missing: reason",IF(AND($G1107&lt;&gt;"",COUNTIF(Config!$B$15:$B$34,$G1107)=0),"Unsupported reason",IF(OR(INT($E1107)&lt;&gt;$E1107,AND(OR($C1107="Receipt",$C1107="Shipment"),$E1107&lt;=0),AND($C1107="Adjustment",$E1107=0)),"Invalid qty",IF($B1107&gt;Config!$B$4,"Date after the as-of date",IF($B1107&lt;Config!$B$5,"Date before the opening balance date","OK")))))))))))))))))</f>
        <v/>
      </c>
    </row>
    <row r="1108">
      <c r="A1108" s="46" t="n"/>
      <c r="B1108" s="54" t="n"/>
      <c r="C1108" s="46" t="n"/>
      <c r="D1108" s="46" t="n"/>
      <c r="E1108" s="55" t="n"/>
      <c r="F1108" s="46" t="n"/>
      <c r="G1108" s="46" t="n"/>
      <c r="H1108" s="46" t="n"/>
      <c r="I1108" s="46" t="n"/>
      <c r="J1108" s="46" t="n"/>
      <c r="K1108" s="46" t="n"/>
      <c r="L1108" s="46" t="n"/>
      <c r="M1108" s="51" t="str">
        <f>IF(NOT(ISNUMBER($E1108)),"",IF($C1108="Receipt",$E1108,IF($C1108="Shipment",-$E1108,IF($C1108="Adjustment",$E1108,0))))</f>
        <v/>
      </c>
      <c r="N1108" s="49" t="str">
        <f>IF($D1108="","",IFERROR(INDEX(Products!$B$2:$B$101,MATCH($D1108,Products!$A$2:$A$101,0))&amp;"","(not found)"))</f>
        <v/>
      </c>
      <c r="O1108" s="49" t="str">
        <f>IF($F1108="","",IFERROR(INDEX(Batches!$B$2:$B$301,MATCH($F1108,Batches!$A$2:$A$301,0))&amp;"","(not found)"))</f>
        <v/>
      </c>
      <c r="P1108" s="49" t="str">
        <f>IF(COUNTA($A1108:$L1108)=0,"",IF($A1108="","Missing: entry ID",IF(COUNTIF($A$2:$A$2001,$A1108)&gt;1,"Duplicate entry ID",IF(NOT(ISNUMBER($B1108)),"Missing or invalid: date",IF($C1108="","Missing: type",IF($D1108="","Missing: SKU",IF(NOT(ISNUMBER($E1108)),"Missing: qty",IF($F1108="","Missing: lot",IF($I1108="","Missing: source link",IF(COUNTIF(Config!$A$15:$A$34,$C1108)=0,"Unsupported type",IF(COUNTIF(Products!$A$2:$A$101,$D1108)=0,"Unknown SKU",IF(COUNTIFS(Batches!$A$2:$A$301,$F1108,Batches!$B$2:$B$301,$D1108)=0,"Unknown lot for this SKU",IF(AND($C1108="Adjustment",$G1108=""),"Missing: reason",IF(AND($G1108&lt;&gt;"",COUNTIF(Config!$B$15:$B$34,$G1108)=0),"Unsupported reason",IF(OR(INT($E1108)&lt;&gt;$E1108,AND(OR($C1108="Receipt",$C1108="Shipment"),$E1108&lt;=0),AND($C1108="Adjustment",$E1108=0)),"Invalid qty",IF($B1108&gt;Config!$B$4,"Date after the as-of date",IF($B1108&lt;Config!$B$5,"Date before the opening balance date","OK")))))))))))))))))</f>
        <v/>
      </c>
    </row>
    <row r="1109">
      <c r="A1109" s="46" t="n"/>
      <c r="B1109" s="54" t="n"/>
      <c r="C1109" s="46" t="n"/>
      <c r="D1109" s="46" t="n"/>
      <c r="E1109" s="55" t="n"/>
      <c r="F1109" s="46" t="n"/>
      <c r="G1109" s="46" t="n"/>
      <c r="H1109" s="46" t="n"/>
      <c r="I1109" s="46" t="n"/>
      <c r="J1109" s="46" t="n"/>
      <c r="K1109" s="46" t="n"/>
      <c r="L1109" s="46" t="n"/>
      <c r="M1109" s="51" t="str">
        <f>IF(NOT(ISNUMBER($E1109)),"",IF($C1109="Receipt",$E1109,IF($C1109="Shipment",-$E1109,IF($C1109="Adjustment",$E1109,0))))</f>
        <v/>
      </c>
      <c r="N1109" s="49" t="str">
        <f>IF($D1109="","",IFERROR(INDEX(Products!$B$2:$B$101,MATCH($D1109,Products!$A$2:$A$101,0))&amp;"","(not found)"))</f>
        <v/>
      </c>
      <c r="O1109" s="49" t="str">
        <f>IF($F1109="","",IFERROR(INDEX(Batches!$B$2:$B$301,MATCH($F1109,Batches!$A$2:$A$301,0))&amp;"","(not found)"))</f>
        <v/>
      </c>
      <c r="P1109" s="49" t="str">
        <f>IF(COUNTA($A1109:$L1109)=0,"",IF($A1109="","Missing: entry ID",IF(COUNTIF($A$2:$A$2001,$A1109)&gt;1,"Duplicate entry ID",IF(NOT(ISNUMBER($B1109)),"Missing or invalid: date",IF($C1109="","Missing: type",IF($D1109="","Missing: SKU",IF(NOT(ISNUMBER($E1109)),"Missing: qty",IF($F1109="","Missing: lot",IF($I1109="","Missing: source link",IF(COUNTIF(Config!$A$15:$A$34,$C1109)=0,"Unsupported type",IF(COUNTIF(Products!$A$2:$A$101,$D1109)=0,"Unknown SKU",IF(COUNTIFS(Batches!$A$2:$A$301,$F1109,Batches!$B$2:$B$301,$D1109)=0,"Unknown lot for this SKU",IF(AND($C1109="Adjustment",$G1109=""),"Missing: reason",IF(AND($G1109&lt;&gt;"",COUNTIF(Config!$B$15:$B$34,$G1109)=0),"Unsupported reason",IF(OR(INT($E1109)&lt;&gt;$E1109,AND(OR($C1109="Receipt",$C1109="Shipment"),$E1109&lt;=0),AND($C1109="Adjustment",$E1109=0)),"Invalid qty",IF($B1109&gt;Config!$B$4,"Date after the as-of date",IF($B1109&lt;Config!$B$5,"Date before the opening balance date","OK")))))))))))))))))</f>
        <v/>
      </c>
    </row>
    <row r="1110">
      <c r="A1110" s="46" t="n"/>
      <c r="B1110" s="54" t="n"/>
      <c r="C1110" s="46" t="n"/>
      <c r="D1110" s="46" t="n"/>
      <c r="E1110" s="55" t="n"/>
      <c r="F1110" s="46" t="n"/>
      <c r="G1110" s="46" t="n"/>
      <c r="H1110" s="46" t="n"/>
      <c r="I1110" s="46" t="n"/>
      <c r="J1110" s="46" t="n"/>
      <c r="K1110" s="46" t="n"/>
      <c r="L1110" s="46" t="n"/>
      <c r="M1110" s="51" t="str">
        <f>IF(NOT(ISNUMBER($E1110)),"",IF($C1110="Receipt",$E1110,IF($C1110="Shipment",-$E1110,IF($C1110="Adjustment",$E1110,0))))</f>
        <v/>
      </c>
      <c r="N1110" s="49" t="str">
        <f>IF($D1110="","",IFERROR(INDEX(Products!$B$2:$B$101,MATCH($D1110,Products!$A$2:$A$101,0))&amp;"","(not found)"))</f>
        <v/>
      </c>
      <c r="O1110" s="49" t="str">
        <f>IF($F1110="","",IFERROR(INDEX(Batches!$B$2:$B$301,MATCH($F1110,Batches!$A$2:$A$301,0))&amp;"","(not found)"))</f>
        <v/>
      </c>
      <c r="P1110" s="49" t="str">
        <f>IF(COUNTA($A1110:$L1110)=0,"",IF($A1110="","Missing: entry ID",IF(COUNTIF($A$2:$A$2001,$A1110)&gt;1,"Duplicate entry ID",IF(NOT(ISNUMBER($B1110)),"Missing or invalid: date",IF($C1110="","Missing: type",IF($D1110="","Missing: SKU",IF(NOT(ISNUMBER($E1110)),"Missing: qty",IF($F1110="","Missing: lot",IF($I1110="","Missing: source link",IF(COUNTIF(Config!$A$15:$A$34,$C1110)=0,"Unsupported type",IF(COUNTIF(Products!$A$2:$A$101,$D1110)=0,"Unknown SKU",IF(COUNTIFS(Batches!$A$2:$A$301,$F1110,Batches!$B$2:$B$301,$D1110)=0,"Unknown lot for this SKU",IF(AND($C1110="Adjustment",$G1110=""),"Missing: reason",IF(AND($G1110&lt;&gt;"",COUNTIF(Config!$B$15:$B$34,$G1110)=0),"Unsupported reason",IF(OR(INT($E1110)&lt;&gt;$E1110,AND(OR($C1110="Receipt",$C1110="Shipment"),$E1110&lt;=0),AND($C1110="Adjustment",$E1110=0)),"Invalid qty",IF($B1110&gt;Config!$B$4,"Date after the as-of date",IF($B1110&lt;Config!$B$5,"Date before the opening balance date","OK")))))))))))))))))</f>
        <v/>
      </c>
    </row>
    <row r="1111">
      <c r="A1111" s="46" t="n"/>
      <c r="B1111" s="54" t="n"/>
      <c r="C1111" s="46" t="n"/>
      <c r="D1111" s="46" t="n"/>
      <c r="E1111" s="55" t="n"/>
      <c r="F1111" s="46" t="n"/>
      <c r="G1111" s="46" t="n"/>
      <c r="H1111" s="46" t="n"/>
      <c r="I1111" s="46" t="n"/>
      <c r="J1111" s="46" t="n"/>
      <c r="K1111" s="46" t="n"/>
      <c r="L1111" s="46" t="n"/>
      <c r="M1111" s="51" t="str">
        <f>IF(NOT(ISNUMBER($E1111)),"",IF($C1111="Receipt",$E1111,IF($C1111="Shipment",-$E1111,IF($C1111="Adjustment",$E1111,0))))</f>
        <v/>
      </c>
      <c r="N1111" s="49" t="str">
        <f>IF($D1111="","",IFERROR(INDEX(Products!$B$2:$B$101,MATCH($D1111,Products!$A$2:$A$101,0))&amp;"","(not found)"))</f>
        <v/>
      </c>
      <c r="O1111" s="49" t="str">
        <f>IF($F1111="","",IFERROR(INDEX(Batches!$B$2:$B$301,MATCH($F1111,Batches!$A$2:$A$301,0))&amp;"","(not found)"))</f>
        <v/>
      </c>
      <c r="P1111" s="49" t="str">
        <f>IF(COUNTA($A1111:$L1111)=0,"",IF($A1111="","Missing: entry ID",IF(COUNTIF($A$2:$A$2001,$A1111)&gt;1,"Duplicate entry ID",IF(NOT(ISNUMBER($B1111)),"Missing or invalid: date",IF($C1111="","Missing: type",IF($D1111="","Missing: SKU",IF(NOT(ISNUMBER($E1111)),"Missing: qty",IF($F1111="","Missing: lot",IF($I1111="","Missing: source link",IF(COUNTIF(Config!$A$15:$A$34,$C1111)=0,"Unsupported type",IF(COUNTIF(Products!$A$2:$A$101,$D1111)=0,"Unknown SKU",IF(COUNTIFS(Batches!$A$2:$A$301,$F1111,Batches!$B$2:$B$301,$D1111)=0,"Unknown lot for this SKU",IF(AND($C1111="Adjustment",$G1111=""),"Missing: reason",IF(AND($G1111&lt;&gt;"",COUNTIF(Config!$B$15:$B$34,$G1111)=0),"Unsupported reason",IF(OR(INT($E1111)&lt;&gt;$E1111,AND(OR($C1111="Receipt",$C1111="Shipment"),$E1111&lt;=0),AND($C1111="Adjustment",$E1111=0)),"Invalid qty",IF($B1111&gt;Config!$B$4,"Date after the as-of date",IF($B1111&lt;Config!$B$5,"Date before the opening balance date","OK")))))))))))))))))</f>
        <v/>
      </c>
    </row>
    <row r="1112">
      <c r="A1112" s="46" t="n"/>
      <c r="B1112" s="54" t="n"/>
      <c r="C1112" s="46" t="n"/>
      <c r="D1112" s="46" t="n"/>
      <c r="E1112" s="55" t="n"/>
      <c r="F1112" s="46" t="n"/>
      <c r="G1112" s="46" t="n"/>
      <c r="H1112" s="46" t="n"/>
      <c r="I1112" s="46" t="n"/>
      <c r="J1112" s="46" t="n"/>
      <c r="K1112" s="46" t="n"/>
      <c r="L1112" s="46" t="n"/>
      <c r="M1112" s="51" t="str">
        <f>IF(NOT(ISNUMBER($E1112)),"",IF($C1112="Receipt",$E1112,IF($C1112="Shipment",-$E1112,IF($C1112="Adjustment",$E1112,0))))</f>
        <v/>
      </c>
      <c r="N1112" s="49" t="str">
        <f>IF($D1112="","",IFERROR(INDEX(Products!$B$2:$B$101,MATCH($D1112,Products!$A$2:$A$101,0))&amp;"","(not found)"))</f>
        <v/>
      </c>
      <c r="O1112" s="49" t="str">
        <f>IF($F1112="","",IFERROR(INDEX(Batches!$B$2:$B$301,MATCH($F1112,Batches!$A$2:$A$301,0))&amp;"","(not found)"))</f>
        <v/>
      </c>
      <c r="P1112" s="49" t="str">
        <f>IF(COUNTA($A1112:$L1112)=0,"",IF($A1112="","Missing: entry ID",IF(COUNTIF($A$2:$A$2001,$A1112)&gt;1,"Duplicate entry ID",IF(NOT(ISNUMBER($B1112)),"Missing or invalid: date",IF($C1112="","Missing: type",IF($D1112="","Missing: SKU",IF(NOT(ISNUMBER($E1112)),"Missing: qty",IF($F1112="","Missing: lot",IF($I1112="","Missing: source link",IF(COUNTIF(Config!$A$15:$A$34,$C1112)=0,"Unsupported type",IF(COUNTIF(Products!$A$2:$A$101,$D1112)=0,"Unknown SKU",IF(COUNTIFS(Batches!$A$2:$A$301,$F1112,Batches!$B$2:$B$301,$D1112)=0,"Unknown lot for this SKU",IF(AND($C1112="Adjustment",$G1112=""),"Missing: reason",IF(AND($G1112&lt;&gt;"",COUNTIF(Config!$B$15:$B$34,$G1112)=0),"Unsupported reason",IF(OR(INT($E1112)&lt;&gt;$E1112,AND(OR($C1112="Receipt",$C1112="Shipment"),$E1112&lt;=0),AND($C1112="Adjustment",$E1112=0)),"Invalid qty",IF($B1112&gt;Config!$B$4,"Date after the as-of date",IF($B1112&lt;Config!$B$5,"Date before the opening balance date","OK")))))))))))))))))</f>
        <v/>
      </c>
    </row>
    <row r="1113">
      <c r="A1113" s="46" t="n"/>
      <c r="B1113" s="54" t="n"/>
      <c r="C1113" s="46" t="n"/>
      <c r="D1113" s="46" t="n"/>
      <c r="E1113" s="55" t="n"/>
      <c r="F1113" s="46" t="n"/>
      <c r="G1113" s="46" t="n"/>
      <c r="H1113" s="46" t="n"/>
      <c r="I1113" s="46" t="n"/>
      <c r="J1113" s="46" t="n"/>
      <c r="K1113" s="46" t="n"/>
      <c r="L1113" s="46" t="n"/>
      <c r="M1113" s="51" t="str">
        <f>IF(NOT(ISNUMBER($E1113)),"",IF($C1113="Receipt",$E1113,IF($C1113="Shipment",-$E1113,IF($C1113="Adjustment",$E1113,0))))</f>
        <v/>
      </c>
      <c r="N1113" s="49" t="str">
        <f>IF($D1113="","",IFERROR(INDEX(Products!$B$2:$B$101,MATCH($D1113,Products!$A$2:$A$101,0))&amp;"","(not found)"))</f>
        <v/>
      </c>
      <c r="O1113" s="49" t="str">
        <f>IF($F1113="","",IFERROR(INDEX(Batches!$B$2:$B$301,MATCH($F1113,Batches!$A$2:$A$301,0))&amp;"","(not found)"))</f>
        <v/>
      </c>
      <c r="P1113" s="49" t="str">
        <f>IF(COUNTA($A1113:$L1113)=0,"",IF($A1113="","Missing: entry ID",IF(COUNTIF($A$2:$A$2001,$A1113)&gt;1,"Duplicate entry ID",IF(NOT(ISNUMBER($B1113)),"Missing or invalid: date",IF($C1113="","Missing: type",IF($D1113="","Missing: SKU",IF(NOT(ISNUMBER($E1113)),"Missing: qty",IF($F1113="","Missing: lot",IF($I1113="","Missing: source link",IF(COUNTIF(Config!$A$15:$A$34,$C1113)=0,"Unsupported type",IF(COUNTIF(Products!$A$2:$A$101,$D1113)=0,"Unknown SKU",IF(COUNTIFS(Batches!$A$2:$A$301,$F1113,Batches!$B$2:$B$301,$D1113)=0,"Unknown lot for this SKU",IF(AND($C1113="Adjustment",$G1113=""),"Missing: reason",IF(AND($G1113&lt;&gt;"",COUNTIF(Config!$B$15:$B$34,$G1113)=0),"Unsupported reason",IF(OR(INT($E1113)&lt;&gt;$E1113,AND(OR($C1113="Receipt",$C1113="Shipment"),$E1113&lt;=0),AND($C1113="Adjustment",$E1113=0)),"Invalid qty",IF($B1113&gt;Config!$B$4,"Date after the as-of date",IF($B1113&lt;Config!$B$5,"Date before the opening balance date","OK")))))))))))))))))</f>
        <v/>
      </c>
    </row>
    <row r="1114">
      <c r="A1114" s="46" t="n"/>
      <c r="B1114" s="54" t="n"/>
      <c r="C1114" s="46" t="n"/>
      <c r="D1114" s="46" t="n"/>
      <c r="E1114" s="55" t="n"/>
      <c r="F1114" s="46" t="n"/>
      <c r="G1114" s="46" t="n"/>
      <c r="H1114" s="46" t="n"/>
      <c r="I1114" s="46" t="n"/>
      <c r="J1114" s="46" t="n"/>
      <c r="K1114" s="46" t="n"/>
      <c r="L1114" s="46" t="n"/>
      <c r="M1114" s="51" t="str">
        <f>IF(NOT(ISNUMBER($E1114)),"",IF($C1114="Receipt",$E1114,IF($C1114="Shipment",-$E1114,IF($C1114="Adjustment",$E1114,0))))</f>
        <v/>
      </c>
      <c r="N1114" s="49" t="str">
        <f>IF($D1114="","",IFERROR(INDEX(Products!$B$2:$B$101,MATCH($D1114,Products!$A$2:$A$101,0))&amp;"","(not found)"))</f>
        <v/>
      </c>
      <c r="O1114" s="49" t="str">
        <f>IF($F1114="","",IFERROR(INDEX(Batches!$B$2:$B$301,MATCH($F1114,Batches!$A$2:$A$301,0))&amp;"","(not found)"))</f>
        <v/>
      </c>
      <c r="P1114" s="49" t="str">
        <f>IF(COUNTA($A1114:$L1114)=0,"",IF($A1114="","Missing: entry ID",IF(COUNTIF($A$2:$A$2001,$A1114)&gt;1,"Duplicate entry ID",IF(NOT(ISNUMBER($B1114)),"Missing or invalid: date",IF($C1114="","Missing: type",IF($D1114="","Missing: SKU",IF(NOT(ISNUMBER($E1114)),"Missing: qty",IF($F1114="","Missing: lot",IF($I1114="","Missing: source link",IF(COUNTIF(Config!$A$15:$A$34,$C1114)=0,"Unsupported type",IF(COUNTIF(Products!$A$2:$A$101,$D1114)=0,"Unknown SKU",IF(COUNTIFS(Batches!$A$2:$A$301,$F1114,Batches!$B$2:$B$301,$D1114)=0,"Unknown lot for this SKU",IF(AND($C1114="Adjustment",$G1114=""),"Missing: reason",IF(AND($G1114&lt;&gt;"",COUNTIF(Config!$B$15:$B$34,$G1114)=0),"Unsupported reason",IF(OR(INT($E1114)&lt;&gt;$E1114,AND(OR($C1114="Receipt",$C1114="Shipment"),$E1114&lt;=0),AND($C1114="Adjustment",$E1114=0)),"Invalid qty",IF($B1114&gt;Config!$B$4,"Date after the as-of date",IF($B1114&lt;Config!$B$5,"Date before the opening balance date","OK")))))))))))))))))</f>
        <v/>
      </c>
    </row>
    <row r="1115">
      <c r="A1115" s="46" t="n"/>
      <c r="B1115" s="54" t="n"/>
      <c r="C1115" s="46" t="n"/>
      <c r="D1115" s="46" t="n"/>
      <c r="E1115" s="55" t="n"/>
      <c r="F1115" s="46" t="n"/>
      <c r="G1115" s="46" t="n"/>
      <c r="H1115" s="46" t="n"/>
      <c r="I1115" s="46" t="n"/>
      <c r="J1115" s="46" t="n"/>
      <c r="K1115" s="46" t="n"/>
      <c r="L1115" s="46" t="n"/>
      <c r="M1115" s="51" t="str">
        <f>IF(NOT(ISNUMBER($E1115)),"",IF($C1115="Receipt",$E1115,IF($C1115="Shipment",-$E1115,IF($C1115="Adjustment",$E1115,0))))</f>
        <v/>
      </c>
      <c r="N1115" s="49" t="str">
        <f>IF($D1115="","",IFERROR(INDEX(Products!$B$2:$B$101,MATCH($D1115,Products!$A$2:$A$101,0))&amp;"","(not found)"))</f>
        <v/>
      </c>
      <c r="O1115" s="49" t="str">
        <f>IF($F1115="","",IFERROR(INDEX(Batches!$B$2:$B$301,MATCH($F1115,Batches!$A$2:$A$301,0))&amp;"","(not found)"))</f>
        <v/>
      </c>
      <c r="P1115" s="49" t="str">
        <f>IF(COUNTA($A1115:$L1115)=0,"",IF($A1115="","Missing: entry ID",IF(COUNTIF($A$2:$A$2001,$A1115)&gt;1,"Duplicate entry ID",IF(NOT(ISNUMBER($B1115)),"Missing or invalid: date",IF($C1115="","Missing: type",IF($D1115="","Missing: SKU",IF(NOT(ISNUMBER($E1115)),"Missing: qty",IF($F1115="","Missing: lot",IF($I1115="","Missing: source link",IF(COUNTIF(Config!$A$15:$A$34,$C1115)=0,"Unsupported type",IF(COUNTIF(Products!$A$2:$A$101,$D1115)=0,"Unknown SKU",IF(COUNTIFS(Batches!$A$2:$A$301,$F1115,Batches!$B$2:$B$301,$D1115)=0,"Unknown lot for this SKU",IF(AND($C1115="Adjustment",$G1115=""),"Missing: reason",IF(AND($G1115&lt;&gt;"",COUNTIF(Config!$B$15:$B$34,$G1115)=0),"Unsupported reason",IF(OR(INT($E1115)&lt;&gt;$E1115,AND(OR($C1115="Receipt",$C1115="Shipment"),$E1115&lt;=0),AND($C1115="Adjustment",$E1115=0)),"Invalid qty",IF($B1115&gt;Config!$B$4,"Date after the as-of date",IF($B1115&lt;Config!$B$5,"Date before the opening balance date","OK")))))))))))))))))</f>
        <v/>
      </c>
    </row>
    <row r="1116">
      <c r="A1116" s="46" t="n"/>
      <c r="B1116" s="54" t="n"/>
      <c r="C1116" s="46" t="n"/>
      <c r="D1116" s="46" t="n"/>
      <c r="E1116" s="55" t="n"/>
      <c r="F1116" s="46" t="n"/>
      <c r="G1116" s="46" t="n"/>
      <c r="H1116" s="46" t="n"/>
      <c r="I1116" s="46" t="n"/>
      <c r="J1116" s="46" t="n"/>
      <c r="K1116" s="46" t="n"/>
      <c r="L1116" s="46" t="n"/>
      <c r="M1116" s="51" t="str">
        <f>IF(NOT(ISNUMBER($E1116)),"",IF($C1116="Receipt",$E1116,IF($C1116="Shipment",-$E1116,IF($C1116="Adjustment",$E1116,0))))</f>
        <v/>
      </c>
      <c r="N1116" s="49" t="str">
        <f>IF($D1116="","",IFERROR(INDEX(Products!$B$2:$B$101,MATCH($D1116,Products!$A$2:$A$101,0))&amp;"","(not found)"))</f>
        <v/>
      </c>
      <c r="O1116" s="49" t="str">
        <f>IF($F1116="","",IFERROR(INDEX(Batches!$B$2:$B$301,MATCH($F1116,Batches!$A$2:$A$301,0))&amp;"","(not found)"))</f>
        <v/>
      </c>
      <c r="P1116" s="49" t="str">
        <f>IF(COUNTA($A1116:$L1116)=0,"",IF($A1116="","Missing: entry ID",IF(COUNTIF($A$2:$A$2001,$A1116)&gt;1,"Duplicate entry ID",IF(NOT(ISNUMBER($B1116)),"Missing or invalid: date",IF($C1116="","Missing: type",IF($D1116="","Missing: SKU",IF(NOT(ISNUMBER($E1116)),"Missing: qty",IF($F1116="","Missing: lot",IF($I1116="","Missing: source link",IF(COUNTIF(Config!$A$15:$A$34,$C1116)=0,"Unsupported type",IF(COUNTIF(Products!$A$2:$A$101,$D1116)=0,"Unknown SKU",IF(COUNTIFS(Batches!$A$2:$A$301,$F1116,Batches!$B$2:$B$301,$D1116)=0,"Unknown lot for this SKU",IF(AND($C1116="Adjustment",$G1116=""),"Missing: reason",IF(AND($G1116&lt;&gt;"",COUNTIF(Config!$B$15:$B$34,$G1116)=0),"Unsupported reason",IF(OR(INT($E1116)&lt;&gt;$E1116,AND(OR($C1116="Receipt",$C1116="Shipment"),$E1116&lt;=0),AND($C1116="Adjustment",$E1116=0)),"Invalid qty",IF($B1116&gt;Config!$B$4,"Date after the as-of date",IF($B1116&lt;Config!$B$5,"Date before the opening balance date","OK")))))))))))))))))</f>
        <v/>
      </c>
    </row>
    <row r="1117">
      <c r="A1117" s="46" t="n"/>
      <c r="B1117" s="54" t="n"/>
      <c r="C1117" s="46" t="n"/>
      <c r="D1117" s="46" t="n"/>
      <c r="E1117" s="55" t="n"/>
      <c r="F1117" s="46" t="n"/>
      <c r="G1117" s="46" t="n"/>
      <c r="H1117" s="46" t="n"/>
      <c r="I1117" s="46" t="n"/>
      <c r="J1117" s="46" t="n"/>
      <c r="K1117" s="46" t="n"/>
      <c r="L1117" s="46" t="n"/>
      <c r="M1117" s="51" t="str">
        <f>IF(NOT(ISNUMBER($E1117)),"",IF($C1117="Receipt",$E1117,IF($C1117="Shipment",-$E1117,IF($C1117="Adjustment",$E1117,0))))</f>
        <v/>
      </c>
      <c r="N1117" s="49" t="str">
        <f>IF($D1117="","",IFERROR(INDEX(Products!$B$2:$B$101,MATCH($D1117,Products!$A$2:$A$101,0))&amp;"","(not found)"))</f>
        <v/>
      </c>
      <c r="O1117" s="49" t="str">
        <f>IF($F1117="","",IFERROR(INDEX(Batches!$B$2:$B$301,MATCH($F1117,Batches!$A$2:$A$301,0))&amp;"","(not found)"))</f>
        <v/>
      </c>
      <c r="P1117" s="49" t="str">
        <f>IF(COUNTA($A1117:$L1117)=0,"",IF($A1117="","Missing: entry ID",IF(COUNTIF($A$2:$A$2001,$A1117)&gt;1,"Duplicate entry ID",IF(NOT(ISNUMBER($B1117)),"Missing or invalid: date",IF($C1117="","Missing: type",IF($D1117="","Missing: SKU",IF(NOT(ISNUMBER($E1117)),"Missing: qty",IF($F1117="","Missing: lot",IF($I1117="","Missing: source link",IF(COUNTIF(Config!$A$15:$A$34,$C1117)=0,"Unsupported type",IF(COUNTIF(Products!$A$2:$A$101,$D1117)=0,"Unknown SKU",IF(COUNTIFS(Batches!$A$2:$A$301,$F1117,Batches!$B$2:$B$301,$D1117)=0,"Unknown lot for this SKU",IF(AND($C1117="Adjustment",$G1117=""),"Missing: reason",IF(AND($G1117&lt;&gt;"",COUNTIF(Config!$B$15:$B$34,$G1117)=0),"Unsupported reason",IF(OR(INT($E1117)&lt;&gt;$E1117,AND(OR($C1117="Receipt",$C1117="Shipment"),$E1117&lt;=0),AND($C1117="Adjustment",$E1117=0)),"Invalid qty",IF($B1117&gt;Config!$B$4,"Date after the as-of date",IF($B1117&lt;Config!$B$5,"Date before the opening balance date","OK")))))))))))))))))</f>
        <v/>
      </c>
    </row>
    <row r="1118">
      <c r="A1118" s="46" t="n"/>
      <c r="B1118" s="54" t="n"/>
      <c r="C1118" s="46" t="n"/>
      <c r="D1118" s="46" t="n"/>
      <c r="E1118" s="55" t="n"/>
      <c r="F1118" s="46" t="n"/>
      <c r="G1118" s="46" t="n"/>
      <c r="H1118" s="46" t="n"/>
      <c r="I1118" s="46" t="n"/>
      <c r="J1118" s="46" t="n"/>
      <c r="K1118" s="46" t="n"/>
      <c r="L1118" s="46" t="n"/>
      <c r="M1118" s="51" t="str">
        <f>IF(NOT(ISNUMBER($E1118)),"",IF($C1118="Receipt",$E1118,IF($C1118="Shipment",-$E1118,IF($C1118="Adjustment",$E1118,0))))</f>
        <v/>
      </c>
      <c r="N1118" s="49" t="str">
        <f>IF($D1118="","",IFERROR(INDEX(Products!$B$2:$B$101,MATCH($D1118,Products!$A$2:$A$101,0))&amp;"","(not found)"))</f>
        <v/>
      </c>
      <c r="O1118" s="49" t="str">
        <f>IF($F1118="","",IFERROR(INDEX(Batches!$B$2:$B$301,MATCH($F1118,Batches!$A$2:$A$301,0))&amp;"","(not found)"))</f>
        <v/>
      </c>
      <c r="P1118" s="49" t="str">
        <f>IF(COUNTA($A1118:$L1118)=0,"",IF($A1118="","Missing: entry ID",IF(COUNTIF($A$2:$A$2001,$A1118)&gt;1,"Duplicate entry ID",IF(NOT(ISNUMBER($B1118)),"Missing or invalid: date",IF($C1118="","Missing: type",IF($D1118="","Missing: SKU",IF(NOT(ISNUMBER($E1118)),"Missing: qty",IF($F1118="","Missing: lot",IF($I1118="","Missing: source link",IF(COUNTIF(Config!$A$15:$A$34,$C1118)=0,"Unsupported type",IF(COUNTIF(Products!$A$2:$A$101,$D1118)=0,"Unknown SKU",IF(COUNTIFS(Batches!$A$2:$A$301,$F1118,Batches!$B$2:$B$301,$D1118)=0,"Unknown lot for this SKU",IF(AND($C1118="Adjustment",$G1118=""),"Missing: reason",IF(AND($G1118&lt;&gt;"",COUNTIF(Config!$B$15:$B$34,$G1118)=0),"Unsupported reason",IF(OR(INT($E1118)&lt;&gt;$E1118,AND(OR($C1118="Receipt",$C1118="Shipment"),$E1118&lt;=0),AND($C1118="Adjustment",$E1118=0)),"Invalid qty",IF($B1118&gt;Config!$B$4,"Date after the as-of date",IF($B1118&lt;Config!$B$5,"Date before the opening balance date","OK")))))))))))))))))</f>
        <v/>
      </c>
    </row>
    <row r="1119">
      <c r="A1119" s="46" t="n"/>
      <c r="B1119" s="54" t="n"/>
      <c r="C1119" s="46" t="n"/>
      <c r="D1119" s="46" t="n"/>
      <c r="E1119" s="55" t="n"/>
      <c r="F1119" s="46" t="n"/>
      <c r="G1119" s="46" t="n"/>
      <c r="H1119" s="46" t="n"/>
      <c r="I1119" s="46" t="n"/>
      <c r="J1119" s="46" t="n"/>
      <c r="K1119" s="46" t="n"/>
      <c r="L1119" s="46" t="n"/>
      <c r="M1119" s="51" t="str">
        <f>IF(NOT(ISNUMBER($E1119)),"",IF($C1119="Receipt",$E1119,IF($C1119="Shipment",-$E1119,IF($C1119="Adjustment",$E1119,0))))</f>
        <v/>
      </c>
      <c r="N1119" s="49" t="str">
        <f>IF($D1119="","",IFERROR(INDEX(Products!$B$2:$B$101,MATCH($D1119,Products!$A$2:$A$101,0))&amp;"","(not found)"))</f>
        <v/>
      </c>
      <c r="O1119" s="49" t="str">
        <f>IF($F1119="","",IFERROR(INDEX(Batches!$B$2:$B$301,MATCH($F1119,Batches!$A$2:$A$301,0))&amp;"","(not found)"))</f>
        <v/>
      </c>
      <c r="P1119" s="49" t="str">
        <f>IF(COUNTA($A1119:$L1119)=0,"",IF($A1119="","Missing: entry ID",IF(COUNTIF($A$2:$A$2001,$A1119)&gt;1,"Duplicate entry ID",IF(NOT(ISNUMBER($B1119)),"Missing or invalid: date",IF($C1119="","Missing: type",IF($D1119="","Missing: SKU",IF(NOT(ISNUMBER($E1119)),"Missing: qty",IF($F1119="","Missing: lot",IF($I1119="","Missing: source link",IF(COUNTIF(Config!$A$15:$A$34,$C1119)=0,"Unsupported type",IF(COUNTIF(Products!$A$2:$A$101,$D1119)=0,"Unknown SKU",IF(COUNTIFS(Batches!$A$2:$A$301,$F1119,Batches!$B$2:$B$301,$D1119)=0,"Unknown lot for this SKU",IF(AND($C1119="Adjustment",$G1119=""),"Missing: reason",IF(AND($G1119&lt;&gt;"",COUNTIF(Config!$B$15:$B$34,$G1119)=0),"Unsupported reason",IF(OR(INT($E1119)&lt;&gt;$E1119,AND(OR($C1119="Receipt",$C1119="Shipment"),$E1119&lt;=0),AND($C1119="Adjustment",$E1119=0)),"Invalid qty",IF($B1119&gt;Config!$B$4,"Date after the as-of date",IF($B1119&lt;Config!$B$5,"Date before the opening balance date","OK")))))))))))))))))</f>
        <v/>
      </c>
    </row>
    <row r="1120">
      <c r="A1120" s="46" t="n"/>
      <c r="B1120" s="54" t="n"/>
      <c r="C1120" s="46" t="n"/>
      <c r="D1120" s="46" t="n"/>
      <c r="E1120" s="55" t="n"/>
      <c r="F1120" s="46" t="n"/>
      <c r="G1120" s="46" t="n"/>
      <c r="H1120" s="46" t="n"/>
      <c r="I1120" s="46" t="n"/>
      <c r="J1120" s="46" t="n"/>
      <c r="K1120" s="46" t="n"/>
      <c r="L1120" s="46" t="n"/>
      <c r="M1120" s="51" t="str">
        <f>IF(NOT(ISNUMBER($E1120)),"",IF($C1120="Receipt",$E1120,IF($C1120="Shipment",-$E1120,IF($C1120="Adjustment",$E1120,0))))</f>
        <v/>
      </c>
      <c r="N1120" s="49" t="str">
        <f>IF($D1120="","",IFERROR(INDEX(Products!$B$2:$B$101,MATCH($D1120,Products!$A$2:$A$101,0))&amp;"","(not found)"))</f>
        <v/>
      </c>
      <c r="O1120" s="49" t="str">
        <f>IF($F1120="","",IFERROR(INDEX(Batches!$B$2:$B$301,MATCH($F1120,Batches!$A$2:$A$301,0))&amp;"","(not found)"))</f>
        <v/>
      </c>
      <c r="P1120" s="49" t="str">
        <f>IF(COUNTA($A1120:$L1120)=0,"",IF($A1120="","Missing: entry ID",IF(COUNTIF($A$2:$A$2001,$A1120)&gt;1,"Duplicate entry ID",IF(NOT(ISNUMBER($B1120)),"Missing or invalid: date",IF($C1120="","Missing: type",IF($D1120="","Missing: SKU",IF(NOT(ISNUMBER($E1120)),"Missing: qty",IF($F1120="","Missing: lot",IF($I1120="","Missing: source link",IF(COUNTIF(Config!$A$15:$A$34,$C1120)=0,"Unsupported type",IF(COUNTIF(Products!$A$2:$A$101,$D1120)=0,"Unknown SKU",IF(COUNTIFS(Batches!$A$2:$A$301,$F1120,Batches!$B$2:$B$301,$D1120)=0,"Unknown lot for this SKU",IF(AND($C1120="Adjustment",$G1120=""),"Missing: reason",IF(AND($G1120&lt;&gt;"",COUNTIF(Config!$B$15:$B$34,$G1120)=0),"Unsupported reason",IF(OR(INT($E1120)&lt;&gt;$E1120,AND(OR($C1120="Receipt",$C1120="Shipment"),$E1120&lt;=0),AND($C1120="Adjustment",$E1120=0)),"Invalid qty",IF($B1120&gt;Config!$B$4,"Date after the as-of date",IF($B1120&lt;Config!$B$5,"Date before the opening balance date","OK")))))))))))))))))</f>
        <v/>
      </c>
    </row>
    <row r="1121">
      <c r="A1121" s="46" t="n"/>
      <c r="B1121" s="54" t="n"/>
      <c r="C1121" s="46" t="n"/>
      <c r="D1121" s="46" t="n"/>
      <c r="E1121" s="55" t="n"/>
      <c r="F1121" s="46" t="n"/>
      <c r="G1121" s="46" t="n"/>
      <c r="H1121" s="46" t="n"/>
      <c r="I1121" s="46" t="n"/>
      <c r="J1121" s="46" t="n"/>
      <c r="K1121" s="46" t="n"/>
      <c r="L1121" s="46" t="n"/>
      <c r="M1121" s="51" t="str">
        <f>IF(NOT(ISNUMBER($E1121)),"",IF($C1121="Receipt",$E1121,IF($C1121="Shipment",-$E1121,IF($C1121="Adjustment",$E1121,0))))</f>
        <v/>
      </c>
      <c r="N1121" s="49" t="str">
        <f>IF($D1121="","",IFERROR(INDEX(Products!$B$2:$B$101,MATCH($D1121,Products!$A$2:$A$101,0))&amp;"","(not found)"))</f>
        <v/>
      </c>
      <c r="O1121" s="49" t="str">
        <f>IF($F1121="","",IFERROR(INDEX(Batches!$B$2:$B$301,MATCH($F1121,Batches!$A$2:$A$301,0))&amp;"","(not found)"))</f>
        <v/>
      </c>
      <c r="P1121" s="49" t="str">
        <f>IF(COUNTA($A1121:$L1121)=0,"",IF($A1121="","Missing: entry ID",IF(COUNTIF($A$2:$A$2001,$A1121)&gt;1,"Duplicate entry ID",IF(NOT(ISNUMBER($B1121)),"Missing or invalid: date",IF($C1121="","Missing: type",IF($D1121="","Missing: SKU",IF(NOT(ISNUMBER($E1121)),"Missing: qty",IF($F1121="","Missing: lot",IF($I1121="","Missing: source link",IF(COUNTIF(Config!$A$15:$A$34,$C1121)=0,"Unsupported type",IF(COUNTIF(Products!$A$2:$A$101,$D1121)=0,"Unknown SKU",IF(COUNTIFS(Batches!$A$2:$A$301,$F1121,Batches!$B$2:$B$301,$D1121)=0,"Unknown lot for this SKU",IF(AND($C1121="Adjustment",$G1121=""),"Missing: reason",IF(AND($G1121&lt;&gt;"",COUNTIF(Config!$B$15:$B$34,$G1121)=0),"Unsupported reason",IF(OR(INT($E1121)&lt;&gt;$E1121,AND(OR($C1121="Receipt",$C1121="Shipment"),$E1121&lt;=0),AND($C1121="Adjustment",$E1121=0)),"Invalid qty",IF($B1121&gt;Config!$B$4,"Date after the as-of date",IF($B1121&lt;Config!$B$5,"Date before the opening balance date","OK")))))))))))))))))</f>
        <v/>
      </c>
    </row>
    <row r="1122">
      <c r="A1122" s="46" t="n"/>
      <c r="B1122" s="54" t="n"/>
      <c r="C1122" s="46" t="n"/>
      <c r="D1122" s="46" t="n"/>
      <c r="E1122" s="55" t="n"/>
      <c r="F1122" s="46" t="n"/>
      <c r="G1122" s="46" t="n"/>
      <c r="H1122" s="46" t="n"/>
      <c r="I1122" s="46" t="n"/>
      <c r="J1122" s="46" t="n"/>
      <c r="K1122" s="46" t="n"/>
      <c r="L1122" s="46" t="n"/>
      <c r="M1122" s="51" t="str">
        <f>IF(NOT(ISNUMBER($E1122)),"",IF($C1122="Receipt",$E1122,IF($C1122="Shipment",-$E1122,IF($C1122="Adjustment",$E1122,0))))</f>
        <v/>
      </c>
      <c r="N1122" s="49" t="str">
        <f>IF($D1122="","",IFERROR(INDEX(Products!$B$2:$B$101,MATCH($D1122,Products!$A$2:$A$101,0))&amp;"","(not found)"))</f>
        <v/>
      </c>
      <c r="O1122" s="49" t="str">
        <f>IF($F1122="","",IFERROR(INDEX(Batches!$B$2:$B$301,MATCH($F1122,Batches!$A$2:$A$301,0))&amp;"","(not found)"))</f>
        <v/>
      </c>
      <c r="P1122" s="49" t="str">
        <f>IF(COUNTA($A1122:$L1122)=0,"",IF($A1122="","Missing: entry ID",IF(COUNTIF($A$2:$A$2001,$A1122)&gt;1,"Duplicate entry ID",IF(NOT(ISNUMBER($B1122)),"Missing or invalid: date",IF($C1122="","Missing: type",IF($D1122="","Missing: SKU",IF(NOT(ISNUMBER($E1122)),"Missing: qty",IF($F1122="","Missing: lot",IF($I1122="","Missing: source link",IF(COUNTIF(Config!$A$15:$A$34,$C1122)=0,"Unsupported type",IF(COUNTIF(Products!$A$2:$A$101,$D1122)=0,"Unknown SKU",IF(COUNTIFS(Batches!$A$2:$A$301,$F1122,Batches!$B$2:$B$301,$D1122)=0,"Unknown lot for this SKU",IF(AND($C1122="Adjustment",$G1122=""),"Missing: reason",IF(AND($G1122&lt;&gt;"",COUNTIF(Config!$B$15:$B$34,$G1122)=0),"Unsupported reason",IF(OR(INT($E1122)&lt;&gt;$E1122,AND(OR($C1122="Receipt",$C1122="Shipment"),$E1122&lt;=0),AND($C1122="Adjustment",$E1122=0)),"Invalid qty",IF($B1122&gt;Config!$B$4,"Date after the as-of date",IF($B1122&lt;Config!$B$5,"Date before the opening balance date","OK")))))))))))))))))</f>
        <v/>
      </c>
    </row>
    <row r="1123">
      <c r="A1123" s="46" t="n"/>
      <c r="B1123" s="54" t="n"/>
      <c r="C1123" s="46" t="n"/>
      <c r="D1123" s="46" t="n"/>
      <c r="E1123" s="55" t="n"/>
      <c r="F1123" s="46" t="n"/>
      <c r="G1123" s="46" t="n"/>
      <c r="H1123" s="46" t="n"/>
      <c r="I1123" s="46" t="n"/>
      <c r="J1123" s="46" t="n"/>
      <c r="K1123" s="46" t="n"/>
      <c r="L1123" s="46" t="n"/>
      <c r="M1123" s="51" t="str">
        <f>IF(NOT(ISNUMBER($E1123)),"",IF($C1123="Receipt",$E1123,IF($C1123="Shipment",-$E1123,IF($C1123="Adjustment",$E1123,0))))</f>
        <v/>
      </c>
      <c r="N1123" s="49" t="str">
        <f>IF($D1123="","",IFERROR(INDEX(Products!$B$2:$B$101,MATCH($D1123,Products!$A$2:$A$101,0))&amp;"","(not found)"))</f>
        <v/>
      </c>
      <c r="O1123" s="49" t="str">
        <f>IF($F1123="","",IFERROR(INDEX(Batches!$B$2:$B$301,MATCH($F1123,Batches!$A$2:$A$301,0))&amp;"","(not found)"))</f>
        <v/>
      </c>
      <c r="P1123" s="49" t="str">
        <f>IF(COUNTA($A1123:$L1123)=0,"",IF($A1123="","Missing: entry ID",IF(COUNTIF($A$2:$A$2001,$A1123)&gt;1,"Duplicate entry ID",IF(NOT(ISNUMBER($B1123)),"Missing or invalid: date",IF($C1123="","Missing: type",IF($D1123="","Missing: SKU",IF(NOT(ISNUMBER($E1123)),"Missing: qty",IF($F1123="","Missing: lot",IF($I1123="","Missing: source link",IF(COUNTIF(Config!$A$15:$A$34,$C1123)=0,"Unsupported type",IF(COUNTIF(Products!$A$2:$A$101,$D1123)=0,"Unknown SKU",IF(COUNTIFS(Batches!$A$2:$A$301,$F1123,Batches!$B$2:$B$301,$D1123)=0,"Unknown lot for this SKU",IF(AND($C1123="Adjustment",$G1123=""),"Missing: reason",IF(AND($G1123&lt;&gt;"",COUNTIF(Config!$B$15:$B$34,$G1123)=0),"Unsupported reason",IF(OR(INT($E1123)&lt;&gt;$E1123,AND(OR($C1123="Receipt",$C1123="Shipment"),$E1123&lt;=0),AND($C1123="Adjustment",$E1123=0)),"Invalid qty",IF($B1123&gt;Config!$B$4,"Date after the as-of date",IF($B1123&lt;Config!$B$5,"Date before the opening balance date","OK")))))))))))))))))</f>
        <v/>
      </c>
    </row>
    <row r="1124">
      <c r="A1124" s="46" t="n"/>
      <c r="B1124" s="54" t="n"/>
      <c r="C1124" s="46" t="n"/>
      <c r="D1124" s="46" t="n"/>
      <c r="E1124" s="55" t="n"/>
      <c r="F1124" s="46" t="n"/>
      <c r="G1124" s="46" t="n"/>
      <c r="H1124" s="46" t="n"/>
      <c r="I1124" s="46" t="n"/>
      <c r="J1124" s="46" t="n"/>
      <c r="K1124" s="46" t="n"/>
      <c r="L1124" s="46" t="n"/>
      <c r="M1124" s="51" t="str">
        <f>IF(NOT(ISNUMBER($E1124)),"",IF($C1124="Receipt",$E1124,IF($C1124="Shipment",-$E1124,IF($C1124="Adjustment",$E1124,0))))</f>
        <v/>
      </c>
      <c r="N1124" s="49" t="str">
        <f>IF($D1124="","",IFERROR(INDEX(Products!$B$2:$B$101,MATCH($D1124,Products!$A$2:$A$101,0))&amp;"","(not found)"))</f>
        <v/>
      </c>
      <c r="O1124" s="49" t="str">
        <f>IF($F1124="","",IFERROR(INDEX(Batches!$B$2:$B$301,MATCH($F1124,Batches!$A$2:$A$301,0))&amp;"","(not found)"))</f>
        <v/>
      </c>
      <c r="P1124" s="49" t="str">
        <f>IF(COUNTA($A1124:$L1124)=0,"",IF($A1124="","Missing: entry ID",IF(COUNTIF($A$2:$A$2001,$A1124)&gt;1,"Duplicate entry ID",IF(NOT(ISNUMBER($B1124)),"Missing or invalid: date",IF($C1124="","Missing: type",IF($D1124="","Missing: SKU",IF(NOT(ISNUMBER($E1124)),"Missing: qty",IF($F1124="","Missing: lot",IF($I1124="","Missing: source link",IF(COUNTIF(Config!$A$15:$A$34,$C1124)=0,"Unsupported type",IF(COUNTIF(Products!$A$2:$A$101,$D1124)=0,"Unknown SKU",IF(COUNTIFS(Batches!$A$2:$A$301,$F1124,Batches!$B$2:$B$301,$D1124)=0,"Unknown lot for this SKU",IF(AND($C1124="Adjustment",$G1124=""),"Missing: reason",IF(AND($G1124&lt;&gt;"",COUNTIF(Config!$B$15:$B$34,$G1124)=0),"Unsupported reason",IF(OR(INT($E1124)&lt;&gt;$E1124,AND(OR($C1124="Receipt",$C1124="Shipment"),$E1124&lt;=0),AND($C1124="Adjustment",$E1124=0)),"Invalid qty",IF($B1124&gt;Config!$B$4,"Date after the as-of date",IF($B1124&lt;Config!$B$5,"Date before the opening balance date","OK")))))))))))))))))</f>
        <v/>
      </c>
    </row>
    <row r="1125">
      <c r="A1125" s="46" t="n"/>
      <c r="B1125" s="54" t="n"/>
      <c r="C1125" s="46" t="n"/>
      <c r="D1125" s="46" t="n"/>
      <c r="E1125" s="55" t="n"/>
      <c r="F1125" s="46" t="n"/>
      <c r="G1125" s="46" t="n"/>
      <c r="H1125" s="46" t="n"/>
      <c r="I1125" s="46" t="n"/>
      <c r="J1125" s="46" t="n"/>
      <c r="K1125" s="46" t="n"/>
      <c r="L1125" s="46" t="n"/>
      <c r="M1125" s="51" t="str">
        <f>IF(NOT(ISNUMBER($E1125)),"",IF($C1125="Receipt",$E1125,IF($C1125="Shipment",-$E1125,IF($C1125="Adjustment",$E1125,0))))</f>
        <v/>
      </c>
      <c r="N1125" s="49" t="str">
        <f>IF($D1125="","",IFERROR(INDEX(Products!$B$2:$B$101,MATCH($D1125,Products!$A$2:$A$101,0))&amp;"","(not found)"))</f>
        <v/>
      </c>
      <c r="O1125" s="49" t="str">
        <f>IF($F1125="","",IFERROR(INDEX(Batches!$B$2:$B$301,MATCH($F1125,Batches!$A$2:$A$301,0))&amp;"","(not found)"))</f>
        <v/>
      </c>
      <c r="P1125" s="49" t="str">
        <f>IF(COUNTA($A1125:$L1125)=0,"",IF($A1125="","Missing: entry ID",IF(COUNTIF($A$2:$A$2001,$A1125)&gt;1,"Duplicate entry ID",IF(NOT(ISNUMBER($B1125)),"Missing or invalid: date",IF($C1125="","Missing: type",IF($D1125="","Missing: SKU",IF(NOT(ISNUMBER($E1125)),"Missing: qty",IF($F1125="","Missing: lot",IF($I1125="","Missing: source link",IF(COUNTIF(Config!$A$15:$A$34,$C1125)=0,"Unsupported type",IF(COUNTIF(Products!$A$2:$A$101,$D1125)=0,"Unknown SKU",IF(COUNTIFS(Batches!$A$2:$A$301,$F1125,Batches!$B$2:$B$301,$D1125)=0,"Unknown lot for this SKU",IF(AND($C1125="Adjustment",$G1125=""),"Missing: reason",IF(AND($G1125&lt;&gt;"",COUNTIF(Config!$B$15:$B$34,$G1125)=0),"Unsupported reason",IF(OR(INT($E1125)&lt;&gt;$E1125,AND(OR($C1125="Receipt",$C1125="Shipment"),$E1125&lt;=0),AND($C1125="Adjustment",$E1125=0)),"Invalid qty",IF($B1125&gt;Config!$B$4,"Date after the as-of date",IF($B1125&lt;Config!$B$5,"Date before the opening balance date","OK")))))))))))))))))</f>
        <v/>
      </c>
    </row>
    <row r="1126">
      <c r="A1126" s="46" t="n"/>
      <c r="B1126" s="54" t="n"/>
      <c r="C1126" s="46" t="n"/>
      <c r="D1126" s="46" t="n"/>
      <c r="E1126" s="55" t="n"/>
      <c r="F1126" s="46" t="n"/>
      <c r="G1126" s="46" t="n"/>
      <c r="H1126" s="46" t="n"/>
      <c r="I1126" s="46" t="n"/>
      <c r="J1126" s="46" t="n"/>
      <c r="K1126" s="46" t="n"/>
      <c r="L1126" s="46" t="n"/>
      <c r="M1126" s="51" t="str">
        <f>IF(NOT(ISNUMBER($E1126)),"",IF($C1126="Receipt",$E1126,IF($C1126="Shipment",-$E1126,IF($C1126="Adjustment",$E1126,0))))</f>
        <v/>
      </c>
      <c r="N1126" s="49" t="str">
        <f>IF($D1126="","",IFERROR(INDEX(Products!$B$2:$B$101,MATCH($D1126,Products!$A$2:$A$101,0))&amp;"","(not found)"))</f>
        <v/>
      </c>
      <c r="O1126" s="49" t="str">
        <f>IF($F1126="","",IFERROR(INDEX(Batches!$B$2:$B$301,MATCH($F1126,Batches!$A$2:$A$301,0))&amp;"","(not found)"))</f>
        <v/>
      </c>
      <c r="P1126" s="49" t="str">
        <f>IF(COUNTA($A1126:$L1126)=0,"",IF($A1126="","Missing: entry ID",IF(COUNTIF($A$2:$A$2001,$A1126)&gt;1,"Duplicate entry ID",IF(NOT(ISNUMBER($B1126)),"Missing or invalid: date",IF($C1126="","Missing: type",IF($D1126="","Missing: SKU",IF(NOT(ISNUMBER($E1126)),"Missing: qty",IF($F1126="","Missing: lot",IF($I1126="","Missing: source link",IF(COUNTIF(Config!$A$15:$A$34,$C1126)=0,"Unsupported type",IF(COUNTIF(Products!$A$2:$A$101,$D1126)=0,"Unknown SKU",IF(COUNTIFS(Batches!$A$2:$A$301,$F1126,Batches!$B$2:$B$301,$D1126)=0,"Unknown lot for this SKU",IF(AND($C1126="Adjustment",$G1126=""),"Missing: reason",IF(AND($G1126&lt;&gt;"",COUNTIF(Config!$B$15:$B$34,$G1126)=0),"Unsupported reason",IF(OR(INT($E1126)&lt;&gt;$E1126,AND(OR($C1126="Receipt",$C1126="Shipment"),$E1126&lt;=0),AND($C1126="Adjustment",$E1126=0)),"Invalid qty",IF($B1126&gt;Config!$B$4,"Date after the as-of date",IF($B1126&lt;Config!$B$5,"Date before the opening balance date","OK")))))))))))))))))</f>
        <v/>
      </c>
    </row>
    <row r="1127">
      <c r="A1127" s="46" t="n"/>
      <c r="B1127" s="54" t="n"/>
      <c r="C1127" s="46" t="n"/>
      <c r="D1127" s="46" t="n"/>
      <c r="E1127" s="55" t="n"/>
      <c r="F1127" s="46" t="n"/>
      <c r="G1127" s="46" t="n"/>
      <c r="H1127" s="46" t="n"/>
      <c r="I1127" s="46" t="n"/>
      <c r="J1127" s="46" t="n"/>
      <c r="K1127" s="46" t="n"/>
      <c r="L1127" s="46" t="n"/>
      <c r="M1127" s="51" t="str">
        <f>IF(NOT(ISNUMBER($E1127)),"",IF($C1127="Receipt",$E1127,IF($C1127="Shipment",-$E1127,IF($C1127="Adjustment",$E1127,0))))</f>
        <v/>
      </c>
      <c r="N1127" s="49" t="str">
        <f>IF($D1127="","",IFERROR(INDEX(Products!$B$2:$B$101,MATCH($D1127,Products!$A$2:$A$101,0))&amp;"","(not found)"))</f>
        <v/>
      </c>
      <c r="O1127" s="49" t="str">
        <f>IF($F1127="","",IFERROR(INDEX(Batches!$B$2:$B$301,MATCH($F1127,Batches!$A$2:$A$301,0))&amp;"","(not found)"))</f>
        <v/>
      </c>
      <c r="P1127" s="49" t="str">
        <f>IF(COUNTA($A1127:$L1127)=0,"",IF($A1127="","Missing: entry ID",IF(COUNTIF($A$2:$A$2001,$A1127)&gt;1,"Duplicate entry ID",IF(NOT(ISNUMBER($B1127)),"Missing or invalid: date",IF($C1127="","Missing: type",IF($D1127="","Missing: SKU",IF(NOT(ISNUMBER($E1127)),"Missing: qty",IF($F1127="","Missing: lot",IF($I1127="","Missing: source link",IF(COUNTIF(Config!$A$15:$A$34,$C1127)=0,"Unsupported type",IF(COUNTIF(Products!$A$2:$A$101,$D1127)=0,"Unknown SKU",IF(COUNTIFS(Batches!$A$2:$A$301,$F1127,Batches!$B$2:$B$301,$D1127)=0,"Unknown lot for this SKU",IF(AND($C1127="Adjustment",$G1127=""),"Missing: reason",IF(AND($G1127&lt;&gt;"",COUNTIF(Config!$B$15:$B$34,$G1127)=0),"Unsupported reason",IF(OR(INT($E1127)&lt;&gt;$E1127,AND(OR($C1127="Receipt",$C1127="Shipment"),$E1127&lt;=0),AND($C1127="Adjustment",$E1127=0)),"Invalid qty",IF($B1127&gt;Config!$B$4,"Date after the as-of date",IF($B1127&lt;Config!$B$5,"Date before the opening balance date","OK")))))))))))))))))</f>
        <v/>
      </c>
    </row>
    <row r="1128">
      <c r="A1128" s="46" t="n"/>
      <c r="B1128" s="54" t="n"/>
      <c r="C1128" s="46" t="n"/>
      <c r="D1128" s="46" t="n"/>
      <c r="E1128" s="55" t="n"/>
      <c r="F1128" s="46" t="n"/>
      <c r="G1128" s="46" t="n"/>
      <c r="H1128" s="46" t="n"/>
      <c r="I1128" s="46" t="n"/>
      <c r="J1128" s="46" t="n"/>
      <c r="K1128" s="46" t="n"/>
      <c r="L1128" s="46" t="n"/>
      <c r="M1128" s="51" t="str">
        <f>IF(NOT(ISNUMBER($E1128)),"",IF($C1128="Receipt",$E1128,IF($C1128="Shipment",-$E1128,IF($C1128="Adjustment",$E1128,0))))</f>
        <v/>
      </c>
      <c r="N1128" s="49" t="str">
        <f>IF($D1128="","",IFERROR(INDEX(Products!$B$2:$B$101,MATCH($D1128,Products!$A$2:$A$101,0))&amp;"","(not found)"))</f>
        <v/>
      </c>
      <c r="O1128" s="49" t="str">
        <f>IF($F1128="","",IFERROR(INDEX(Batches!$B$2:$B$301,MATCH($F1128,Batches!$A$2:$A$301,0))&amp;"","(not found)"))</f>
        <v/>
      </c>
      <c r="P1128" s="49" t="str">
        <f>IF(COUNTA($A1128:$L1128)=0,"",IF($A1128="","Missing: entry ID",IF(COUNTIF($A$2:$A$2001,$A1128)&gt;1,"Duplicate entry ID",IF(NOT(ISNUMBER($B1128)),"Missing or invalid: date",IF($C1128="","Missing: type",IF($D1128="","Missing: SKU",IF(NOT(ISNUMBER($E1128)),"Missing: qty",IF($F1128="","Missing: lot",IF($I1128="","Missing: source link",IF(COUNTIF(Config!$A$15:$A$34,$C1128)=0,"Unsupported type",IF(COUNTIF(Products!$A$2:$A$101,$D1128)=0,"Unknown SKU",IF(COUNTIFS(Batches!$A$2:$A$301,$F1128,Batches!$B$2:$B$301,$D1128)=0,"Unknown lot for this SKU",IF(AND($C1128="Adjustment",$G1128=""),"Missing: reason",IF(AND($G1128&lt;&gt;"",COUNTIF(Config!$B$15:$B$34,$G1128)=0),"Unsupported reason",IF(OR(INT($E1128)&lt;&gt;$E1128,AND(OR($C1128="Receipt",$C1128="Shipment"),$E1128&lt;=0),AND($C1128="Adjustment",$E1128=0)),"Invalid qty",IF($B1128&gt;Config!$B$4,"Date after the as-of date",IF($B1128&lt;Config!$B$5,"Date before the opening balance date","OK")))))))))))))))))</f>
        <v/>
      </c>
    </row>
    <row r="1129">
      <c r="A1129" s="46" t="n"/>
      <c r="B1129" s="54" t="n"/>
      <c r="C1129" s="46" t="n"/>
      <c r="D1129" s="46" t="n"/>
      <c r="E1129" s="55" t="n"/>
      <c r="F1129" s="46" t="n"/>
      <c r="G1129" s="46" t="n"/>
      <c r="H1129" s="46" t="n"/>
      <c r="I1129" s="46" t="n"/>
      <c r="J1129" s="46" t="n"/>
      <c r="K1129" s="46" t="n"/>
      <c r="L1129" s="46" t="n"/>
      <c r="M1129" s="51" t="str">
        <f>IF(NOT(ISNUMBER($E1129)),"",IF($C1129="Receipt",$E1129,IF($C1129="Shipment",-$E1129,IF($C1129="Adjustment",$E1129,0))))</f>
        <v/>
      </c>
      <c r="N1129" s="49" t="str">
        <f>IF($D1129="","",IFERROR(INDEX(Products!$B$2:$B$101,MATCH($D1129,Products!$A$2:$A$101,0))&amp;"","(not found)"))</f>
        <v/>
      </c>
      <c r="O1129" s="49" t="str">
        <f>IF($F1129="","",IFERROR(INDEX(Batches!$B$2:$B$301,MATCH($F1129,Batches!$A$2:$A$301,0))&amp;"","(not found)"))</f>
        <v/>
      </c>
      <c r="P1129" s="49" t="str">
        <f>IF(COUNTA($A1129:$L1129)=0,"",IF($A1129="","Missing: entry ID",IF(COUNTIF($A$2:$A$2001,$A1129)&gt;1,"Duplicate entry ID",IF(NOT(ISNUMBER($B1129)),"Missing or invalid: date",IF($C1129="","Missing: type",IF($D1129="","Missing: SKU",IF(NOT(ISNUMBER($E1129)),"Missing: qty",IF($F1129="","Missing: lot",IF($I1129="","Missing: source link",IF(COUNTIF(Config!$A$15:$A$34,$C1129)=0,"Unsupported type",IF(COUNTIF(Products!$A$2:$A$101,$D1129)=0,"Unknown SKU",IF(COUNTIFS(Batches!$A$2:$A$301,$F1129,Batches!$B$2:$B$301,$D1129)=0,"Unknown lot for this SKU",IF(AND($C1129="Adjustment",$G1129=""),"Missing: reason",IF(AND($G1129&lt;&gt;"",COUNTIF(Config!$B$15:$B$34,$G1129)=0),"Unsupported reason",IF(OR(INT($E1129)&lt;&gt;$E1129,AND(OR($C1129="Receipt",$C1129="Shipment"),$E1129&lt;=0),AND($C1129="Adjustment",$E1129=0)),"Invalid qty",IF($B1129&gt;Config!$B$4,"Date after the as-of date",IF($B1129&lt;Config!$B$5,"Date before the opening balance date","OK")))))))))))))))))</f>
        <v/>
      </c>
    </row>
    <row r="1130">
      <c r="A1130" s="46" t="n"/>
      <c r="B1130" s="54" t="n"/>
      <c r="C1130" s="46" t="n"/>
      <c r="D1130" s="46" t="n"/>
      <c r="E1130" s="55" t="n"/>
      <c r="F1130" s="46" t="n"/>
      <c r="G1130" s="46" t="n"/>
      <c r="H1130" s="46" t="n"/>
      <c r="I1130" s="46" t="n"/>
      <c r="J1130" s="46" t="n"/>
      <c r="K1130" s="46" t="n"/>
      <c r="L1130" s="46" t="n"/>
      <c r="M1130" s="51" t="str">
        <f>IF(NOT(ISNUMBER($E1130)),"",IF($C1130="Receipt",$E1130,IF($C1130="Shipment",-$E1130,IF($C1130="Adjustment",$E1130,0))))</f>
        <v/>
      </c>
      <c r="N1130" s="49" t="str">
        <f>IF($D1130="","",IFERROR(INDEX(Products!$B$2:$B$101,MATCH($D1130,Products!$A$2:$A$101,0))&amp;"","(not found)"))</f>
        <v/>
      </c>
      <c r="O1130" s="49" t="str">
        <f>IF($F1130="","",IFERROR(INDEX(Batches!$B$2:$B$301,MATCH($F1130,Batches!$A$2:$A$301,0))&amp;"","(not found)"))</f>
        <v/>
      </c>
      <c r="P1130" s="49" t="str">
        <f>IF(COUNTA($A1130:$L1130)=0,"",IF($A1130="","Missing: entry ID",IF(COUNTIF($A$2:$A$2001,$A1130)&gt;1,"Duplicate entry ID",IF(NOT(ISNUMBER($B1130)),"Missing or invalid: date",IF($C1130="","Missing: type",IF($D1130="","Missing: SKU",IF(NOT(ISNUMBER($E1130)),"Missing: qty",IF($F1130="","Missing: lot",IF($I1130="","Missing: source link",IF(COUNTIF(Config!$A$15:$A$34,$C1130)=0,"Unsupported type",IF(COUNTIF(Products!$A$2:$A$101,$D1130)=0,"Unknown SKU",IF(COUNTIFS(Batches!$A$2:$A$301,$F1130,Batches!$B$2:$B$301,$D1130)=0,"Unknown lot for this SKU",IF(AND($C1130="Adjustment",$G1130=""),"Missing: reason",IF(AND($G1130&lt;&gt;"",COUNTIF(Config!$B$15:$B$34,$G1130)=0),"Unsupported reason",IF(OR(INT($E1130)&lt;&gt;$E1130,AND(OR($C1130="Receipt",$C1130="Shipment"),$E1130&lt;=0),AND($C1130="Adjustment",$E1130=0)),"Invalid qty",IF($B1130&gt;Config!$B$4,"Date after the as-of date",IF($B1130&lt;Config!$B$5,"Date before the opening balance date","OK")))))))))))))))))</f>
        <v/>
      </c>
    </row>
    <row r="1131">
      <c r="A1131" s="46" t="n"/>
      <c r="B1131" s="54" t="n"/>
      <c r="C1131" s="46" t="n"/>
      <c r="D1131" s="46" t="n"/>
      <c r="E1131" s="55" t="n"/>
      <c r="F1131" s="46" t="n"/>
      <c r="G1131" s="46" t="n"/>
      <c r="H1131" s="46" t="n"/>
      <c r="I1131" s="46" t="n"/>
      <c r="J1131" s="46" t="n"/>
      <c r="K1131" s="46" t="n"/>
      <c r="L1131" s="46" t="n"/>
      <c r="M1131" s="51" t="str">
        <f>IF(NOT(ISNUMBER($E1131)),"",IF($C1131="Receipt",$E1131,IF($C1131="Shipment",-$E1131,IF($C1131="Adjustment",$E1131,0))))</f>
        <v/>
      </c>
      <c r="N1131" s="49" t="str">
        <f>IF($D1131="","",IFERROR(INDEX(Products!$B$2:$B$101,MATCH($D1131,Products!$A$2:$A$101,0))&amp;"","(not found)"))</f>
        <v/>
      </c>
      <c r="O1131" s="49" t="str">
        <f>IF($F1131="","",IFERROR(INDEX(Batches!$B$2:$B$301,MATCH($F1131,Batches!$A$2:$A$301,0))&amp;"","(not found)"))</f>
        <v/>
      </c>
      <c r="P1131" s="49" t="str">
        <f>IF(COUNTA($A1131:$L1131)=0,"",IF($A1131="","Missing: entry ID",IF(COUNTIF($A$2:$A$2001,$A1131)&gt;1,"Duplicate entry ID",IF(NOT(ISNUMBER($B1131)),"Missing or invalid: date",IF($C1131="","Missing: type",IF($D1131="","Missing: SKU",IF(NOT(ISNUMBER($E1131)),"Missing: qty",IF($F1131="","Missing: lot",IF($I1131="","Missing: source link",IF(COUNTIF(Config!$A$15:$A$34,$C1131)=0,"Unsupported type",IF(COUNTIF(Products!$A$2:$A$101,$D1131)=0,"Unknown SKU",IF(COUNTIFS(Batches!$A$2:$A$301,$F1131,Batches!$B$2:$B$301,$D1131)=0,"Unknown lot for this SKU",IF(AND($C1131="Adjustment",$G1131=""),"Missing: reason",IF(AND($G1131&lt;&gt;"",COUNTIF(Config!$B$15:$B$34,$G1131)=0),"Unsupported reason",IF(OR(INT($E1131)&lt;&gt;$E1131,AND(OR($C1131="Receipt",$C1131="Shipment"),$E1131&lt;=0),AND($C1131="Adjustment",$E1131=0)),"Invalid qty",IF($B1131&gt;Config!$B$4,"Date after the as-of date",IF($B1131&lt;Config!$B$5,"Date before the opening balance date","OK")))))))))))))))))</f>
        <v/>
      </c>
    </row>
    <row r="1132">
      <c r="A1132" s="46" t="n"/>
      <c r="B1132" s="54" t="n"/>
      <c r="C1132" s="46" t="n"/>
      <c r="D1132" s="46" t="n"/>
      <c r="E1132" s="55" t="n"/>
      <c r="F1132" s="46" t="n"/>
      <c r="G1132" s="46" t="n"/>
      <c r="H1132" s="46" t="n"/>
      <c r="I1132" s="46" t="n"/>
      <c r="J1132" s="46" t="n"/>
      <c r="K1132" s="46" t="n"/>
      <c r="L1132" s="46" t="n"/>
      <c r="M1132" s="51" t="str">
        <f>IF(NOT(ISNUMBER($E1132)),"",IF($C1132="Receipt",$E1132,IF($C1132="Shipment",-$E1132,IF($C1132="Adjustment",$E1132,0))))</f>
        <v/>
      </c>
      <c r="N1132" s="49" t="str">
        <f>IF($D1132="","",IFERROR(INDEX(Products!$B$2:$B$101,MATCH($D1132,Products!$A$2:$A$101,0))&amp;"","(not found)"))</f>
        <v/>
      </c>
      <c r="O1132" s="49" t="str">
        <f>IF($F1132="","",IFERROR(INDEX(Batches!$B$2:$B$301,MATCH($F1132,Batches!$A$2:$A$301,0))&amp;"","(not found)"))</f>
        <v/>
      </c>
      <c r="P1132" s="49" t="str">
        <f>IF(COUNTA($A1132:$L1132)=0,"",IF($A1132="","Missing: entry ID",IF(COUNTIF($A$2:$A$2001,$A1132)&gt;1,"Duplicate entry ID",IF(NOT(ISNUMBER($B1132)),"Missing or invalid: date",IF($C1132="","Missing: type",IF($D1132="","Missing: SKU",IF(NOT(ISNUMBER($E1132)),"Missing: qty",IF($F1132="","Missing: lot",IF($I1132="","Missing: source link",IF(COUNTIF(Config!$A$15:$A$34,$C1132)=0,"Unsupported type",IF(COUNTIF(Products!$A$2:$A$101,$D1132)=0,"Unknown SKU",IF(COUNTIFS(Batches!$A$2:$A$301,$F1132,Batches!$B$2:$B$301,$D1132)=0,"Unknown lot for this SKU",IF(AND($C1132="Adjustment",$G1132=""),"Missing: reason",IF(AND($G1132&lt;&gt;"",COUNTIF(Config!$B$15:$B$34,$G1132)=0),"Unsupported reason",IF(OR(INT($E1132)&lt;&gt;$E1132,AND(OR($C1132="Receipt",$C1132="Shipment"),$E1132&lt;=0),AND($C1132="Adjustment",$E1132=0)),"Invalid qty",IF($B1132&gt;Config!$B$4,"Date after the as-of date",IF($B1132&lt;Config!$B$5,"Date before the opening balance date","OK")))))))))))))))))</f>
        <v/>
      </c>
    </row>
    <row r="1133">
      <c r="A1133" s="46" t="n"/>
      <c r="B1133" s="54" t="n"/>
      <c r="C1133" s="46" t="n"/>
      <c r="D1133" s="46" t="n"/>
      <c r="E1133" s="55" t="n"/>
      <c r="F1133" s="46" t="n"/>
      <c r="G1133" s="46" t="n"/>
      <c r="H1133" s="46" t="n"/>
      <c r="I1133" s="46" t="n"/>
      <c r="J1133" s="46" t="n"/>
      <c r="K1133" s="46" t="n"/>
      <c r="L1133" s="46" t="n"/>
      <c r="M1133" s="51" t="str">
        <f>IF(NOT(ISNUMBER($E1133)),"",IF($C1133="Receipt",$E1133,IF($C1133="Shipment",-$E1133,IF($C1133="Adjustment",$E1133,0))))</f>
        <v/>
      </c>
      <c r="N1133" s="49" t="str">
        <f>IF($D1133="","",IFERROR(INDEX(Products!$B$2:$B$101,MATCH($D1133,Products!$A$2:$A$101,0))&amp;"","(not found)"))</f>
        <v/>
      </c>
      <c r="O1133" s="49" t="str">
        <f>IF($F1133="","",IFERROR(INDEX(Batches!$B$2:$B$301,MATCH($F1133,Batches!$A$2:$A$301,0))&amp;"","(not found)"))</f>
        <v/>
      </c>
      <c r="P1133" s="49" t="str">
        <f>IF(COUNTA($A1133:$L1133)=0,"",IF($A1133="","Missing: entry ID",IF(COUNTIF($A$2:$A$2001,$A1133)&gt;1,"Duplicate entry ID",IF(NOT(ISNUMBER($B1133)),"Missing or invalid: date",IF($C1133="","Missing: type",IF($D1133="","Missing: SKU",IF(NOT(ISNUMBER($E1133)),"Missing: qty",IF($F1133="","Missing: lot",IF($I1133="","Missing: source link",IF(COUNTIF(Config!$A$15:$A$34,$C1133)=0,"Unsupported type",IF(COUNTIF(Products!$A$2:$A$101,$D1133)=0,"Unknown SKU",IF(COUNTIFS(Batches!$A$2:$A$301,$F1133,Batches!$B$2:$B$301,$D1133)=0,"Unknown lot for this SKU",IF(AND($C1133="Adjustment",$G1133=""),"Missing: reason",IF(AND($G1133&lt;&gt;"",COUNTIF(Config!$B$15:$B$34,$G1133)=0),"Unsupported reason",IF(OR(INT($E1133)&lt;&gt;$E1133,AND(OR($C1133="Receipt",$C1133="Shipment"),$E1133&lt;=0),AND($C1133="Adjustment",$E1133=0)),"Invalid qty",IF($B1133&gt;Config!$B$4,"Date after the as-of date",IF($B1133&lt;Config!$B$5,"Date before the opening balance date","OK")))))))))))))))))</f>
        <v/>
      </c>
    </row>
    <row r="1134">
      <c r="A1134" s="46" t="n"/>
      <c r="B1134" s="54" t="n"/>
      <c r="C1134" s="46" t="n"/>
      <c r="D1134" s="46" t="n"/>
      <c r="E1134" s="55" t="n"/>
      <c r="F1134" s="46" t="n"/>
      <c r="G1134" s="46" t="n"/>
      <c r="H1134" s="46" t="n"/>
      <c r="I1134" s="46" t="n"/>
      <c r="J1134" s="46" t="n"/>
      <c r="K1134" s="46" t="n"/>
      <c r="L1134" s="46" t="n"/>
      <c r="M1134" s="51" t="str">
        <f>IF(NOT(ISNUMBER($E1134)),"",IF($C1134="Receipt",$E1134,IF($C1134="Shipment",-$E1134,IF($C1134="Adjustment",$E1134,0))))</f>
        <v/>
      </c>
      <c r="N1134" s="49" t="str">
        <f>IF($D1134="","",IFERROR(INDEX(Products!$B$2:$B$101,MATCH($D1134,Products!$A$2:$A$101,0))&amp;"","(not found)"))</f>
        <v/>
      </c>
      <c r="O1134" s="49" t="str">
        <f>IF($F1134="","",IFERROR(INDEX(Batches!$B$2:$B$301,MATCH($F1134,Batches!$A$2:$A$301,0))&amp;"","(not found)"))</f>
        <v/>
      </c>
      <c r="P1134" s="49" t="str">
        <f>IF(COUNTA($A1134:$L1134)=0,"",IF($A1134="","Missing: entry ID",IF(COUNTIF($A$2:$A$2001,$A1134)&gt;1,"Duplicate entry ID",IF(NOT(ISNUMBER($B1134)),"Missing or invalid: date",IF($C1134="","Missing: type",IF($D1134="","Missing: SKU",IF(NOT(ISNUMBER($E1134)),"Missing: qty",IF($F1134="","Missing: lot",IF($I1134="","Missing: source link",IF(COUNTIF(Config!$A$15:$A$34,$C1134)=0,"Unsupported type",IF(COUNTIF(Products!$A$2:$A$101,$D1134)=0,"Unknown SKU",IF(COUNTIFS(Batches!$A$2:$A$301,$F1134,Batches!$B$2:$B$301,$D1134)=0,"Unknown lot for this SKU",IF(AND($C1134="Adjustment",$G1134=""),"Missing: reason",IF(AND($G1134&lt;&gt;"",COUNTIF(Config!$B$15:$B$34,$G1134)=0),"Unsupported reason",IF(OR(INT($E1134)&lt;&gt;$E1134,AND(OR($C1134="Receipt",$C1134="Shipment"),$E1134&lt;=0),AND($C1134="Adjustment",$E1134=0)),"Invalid qty",IF($B1134&gt;Config!$B$4,"Date after the as-of date",IF($B1134&lt;Config!$B$5,"Date before the opening balance date","OK")))))))))))))))))</f>
        <v/>
      </c>
    </row>
    <row r="1135">
      <c r="A1135" s="46" t="n"/>
      <c r="B1135" s="54" t="n"/>
      <c r="C1135" s="46" t="n"/>
      <c r="D1135" s="46" t="n"/>
      <c r="E1135" s="55" t="n"/>
      <c r="F1135" s="46" t="n"/>
      <c r="G1135" s="46" t="n"/>
      <c r="H1135" s="46" t="n"/>
      <c r="I1135" s="46" t="n"/>
      <c r="J1135" s="46" t="n"/>
      <c r="K1135" s="46" t="n"/>
      <c r="L1135" s="46" t="n"/>
      <c r="M1135" s="51" t="str">
        <f>IF(NOT(ISNUMBER($E1135)),"",IF($C1135="Receipt",$E1135,IF($C1135="Shipment",-$E1135,IF($C1135="Adjustment",$E1135,0))))</f>
        <v/>
      </c>
      <c r="N1135" s="49" t="str">
        <f>IF($D1135="","",IFERROR(INDEX(Products!$B$2:$B$101,MATCH($D1135,Products!$A$2:$A$101,0))&amp;"","(not found)"))</f>
        <v/>
      </c>
      <c r="O1135" s="49" t="str">
        <f>IF($F1135="","",IFERROR(INDEX(Batches!$B$2:$B$301,MATCH($F1135,Batches!$A$2:$A$301,0))&amp;"","(not found)"))</f>
        <v/>
      </c>
      <c r="P1135" s="49" t="str">
        <f>IF(COUNTA($A1135:$L1135)=0,"",IF($A1135="","Missing: entry ID",IF(COUNTIF($A$2:$A$2001,$A1135)&gt;1,"Duplicate entry ID",IF(NOT(ISNUMBER($B1135)),"Missing or invalid: date",IF($C1135="","Missing: type",IF($D1135="","Missing: SKU",IF(NOT(ISNUMBER($E1135)),"Missing: qty",IF($F1135="","Missing: lot",IF($I1135="","Missing: source link",IF(COUNTIF(Config!$A$15:$A$34,$C1135)=0,"Unsupported type",IF(COUNTIF(Products!$A$2:$A$101,$D1135)=0,"Unknown SKU",IF(COUNTIFS(Batches!$A$2:$A$301,$F1135,Batches!$B$2:$B$301,$D1135)=0,"Unknown lot for this SKU",IF(AND($C1135="Adjustment",$G1135=""),"Missing: reason",IF(AND($G1135&lt;&gt;"",COUNTIF(Config!$B$15:$B$34,$G1135)=0),"Unsupported reason",IF(OR(INT($E1135)&lt;&gt;$E1135,AND(OR($C1135="Receipt",$C1135="Shipment"),$E1135&lt;=0),AND($C1135="Adjustment",$E1135=0)),"Invalid qty",IF($B1135&gt;Config!$B$4,"Date after the as-of date",IF($B1135&lt;Config!$B$5,"Date before the opening balance date","OK")))))))))))))))))</f>
        <v/>
      </c>
    </row>
    <row r="1136">
      <c r="A1136" s="46" t="n"/>
      <c r="B1136" s="54" t="n"/>
      <c r="C1136" s="46" t="n"/>
      <c r="D1136" s="46" t="n"/>
      <c r="E1136" s="55" t="n"/>
      <c r="F1136" s="46" t="n"/>
      <c r="G1136" s="46" t="n"/>
      <c r="H1136" s="46" t="n"/>
      <c r="I1136" s="46" t="n"/>
      <c r="J1136" s="46" t="n"/>
      <c r="K1136" s="46" t="n"/>
      <c r="L1136" s="46" t="n"/>
      <c r="M1136" s="51" t="str">
        <f>IF(NOT(ISNUMBER($E1136)),"",IF($C1136="Receipt",$E1136,IF($C1136="Shipment",-$E1136,IF($C1136="Adjustment",$E1136,0))))</f>
        <v/>
      </c>
      <c r="N1136" s="49" t="str">
        <f>IF($D1136="","",IFERROR(INDEX(Products!$B$2:$B$101,MATCH($D1136,Products!$A$2:$A$101,0))&amp;"","(not found)"))</f>
        <v/>
      </c>
      <c r="O1136" s="49" t="str">
        <f>IF($F1136="","",IFERROR(INDEX(Batches!$B$2:$B$301,MATCH($F1136,Batches!$A$2:$A$301,0))&amp;"","(not found)"))</f>
        <v/>
      </c>
      <c r="P1136" s="49" t="str">
        <f>IF(COUNTA($A1136:$L1136)=0,"",IF($A1136="","Missing: entry ID",IF(COUNTIF($A$2:$A$2001,$A1136)&gt;1,"Duplicate entry ID",IF(NOT(ISNUMBER($B1136)),"Missing or invalid: date",IF($C1136="","Missing: type",IF($D1136="","Missing: SKU",IF(NOT(ISNUMBER($E1136)),"Missing: qty",IF($F1136="","Missing: lot",IF($I1136="","Missing: source link",IF(COUNTIF(Config!$A$15:$A$34,$C1136)=0,"Unsupported type",IF(COUNTIF(Products!$A$2:$A$101,$D1136)=0,"Unknown SKU",IF(COUNTIFS(Batches!$A$2:$A$301,$F1136,Batches!$B$2:$B$301,$D1136)=0,"Unknown lot for this SKU",IF(AND($C1136="Adjustment",$G1136=""),"Missing: reason",IF(AND($G1136&lt;&gt;"",COUNTIF(Config!$B$15:$B$34,$G1136)=0),"Unsupported reason",IF(OR(INT($E1136)&lt;&gt;$E1136,AND(OR($C1136="Receipt",$C1136="Shipment"),$E1136&lt;=0),AND($C1136="Adjustment",$E1136=0)),"Invalid qty",IF($B1136&gt;Config!$B$4,"Date after the as-of date",IF($B1136&lt;Config!$B$5,"Date before the opening balance date","OK")))))))))))))))))</f>
        <v/>
      </c>
    </row>
    <row r="1137">
      <c r="A1137" s="46" t="n"/>
      <c r="B1137" s="54" t="n"/>
      <c r="C1137" s="46" t="n"/>
      <c r="D1137" s="46" t="n"/>
      <c r="E1137" s="55" t="n"/>
      <c r="F1137" s="46" t="n"/>
      <c r="G1137" s="46" t="n"/>
      <c r="H1137" s="46" t="n"/>
      <c r="I1137" s="46" t="n"/>
      <c r="J1137" s="46" t="n"/>
      <c r="K1137" s="46" t="n"/>
      <c r="L1137" s="46" t="n"/>
      <c r="M1137" s="51" t="str">
        <f>IF(NOT(ISNUMBER($E1137)),"",IF($C1137="Receipt",$E1137,IF($C1137="Shipment",-$E1137,IF($C1137="Adjustment",$E1137,0))))</f>
        <v/>
      </c>
      <c r="N1137" s="49" t="str">
        <f>IF($D1137="","",IFERROR(INDEX(Products!$B$2:$B$101,MATCH($D1137,Products!$A$2:$A$101,0))&amp;"","(not found)"))</f>
        <v/>
      </c>
      <c r="O1137" s="49" t="str">
        <f>IF($F1137="","",IFERROR(INDEX(Batches!$B$2:$B$301,MATCH($F1137,Batches!$A$2:$A$301,0))&amp;"","(not found)"))</f>
        <v/>
      </c>
      <c r="P1137" s="49" t="str">
        <f>IF(COUNTA($A1137:$L1137)=0,"",IF($A1137="","Missing: entry ID",IF(COUNTIF($A$2:$A$2001,$A1137)&gt;1,"Duplicate entry ID",IF(NOT(ISNUMBER($B1137)),"Missing or invalid: date",IF($C1137="","Missing: type",IF($D1137="","Missing: SKU",IF(NOT(ISNUMBER($E1137)),"Missing: qty",IF($F1137="","Missing: lot",IF($I1137="","Missing: source link",IF(COUNTIF(Config!$A$15:$A$34,$C1137)=0,"Unsupported type",IF(COUNTIF(Products!$A$2:$A$101,$D1137)=0,"Unknown SKU",IF(COUNTIFS(Batches!$A$2:$A$301,$F1137,Batches!$B$2:$B$301,$D1137)=0,"Unknown lot for this SKU",IF(AND($C1137="Adjustment",$G1137=""),"Missing: reason",IF(AND($G1137&lt;&gt;"",COUNTIF(Config!$B$15:$B$34,$G1137)=0),"Unsupported reason",IF(OR(INT($E1137)&lt;&gt;$E1137,AND(OR($C1137="Receipt",$C1137="Shipment"),$E1137&lt;=0),AND($C1137="Adjustment",$E1137=0)),"Invalid qty",IF($B1137&gt;Config!$B$4,"Date after the as-of date",IF($B1137&lt;Config!$B$5,"Date before the opening balance date","OK")))))))))))))))))</f>
        <v/>
      </c>
    </row>
    <row r="1138">
      <c r="A1138" s="46" t="n"/>
      <c r="B1138" s="54" t="n"/>
      <c r="C1138" s="46" t="n"/>
      <c r="D1138" s="46" t="n"/>
      <c r="E1138" s="55" t="n"/>
      <c r="F1138" s="46" t="n"/>
      <c r="G1138" s="46" t="n"/>
      <c r="H1138" s="46" t="n"/>
      <c r="I1138" s="46" t="n"/>
      <c r="J1138" s="46" t="n"/>
      <c r="K1138" s="46" t="n"/>
      <c r="L1138" s="46" t="n"/>
      <c r="M1138" s="51" t="str">
        <f>IF(NOT(ISNUMBER($E1138)),"",IF($C1138="Receipt",$E1138,IF($C1138="Shipment",-$E1138,IF($C1138="Adjustment",$E1138,0))))</f>
        <v/>
      </c>
      <c r="N1138" s="49" t="str">
        <f>IF($D1138="","",IFERROR(INDEX(Products!$B$2:$B$101,MATCH($D1138,Products!$A$2:$A$101,0))&amp;"","(not found)"))</f>
        <v/>
      </c>
      <c r="O1138" s="49" t="str">
        <f>IF($F1138="","",IFERROR(INDEX(Batches!$B$2:$B$301,MATCH($F1138,Batches!$A$2:$A$301,0))&amp;"","(not found)"))</f>
        <v/>
      </c>
      <c r="P1138" s="49" t="str">
        <f>IF(COUNTA($A1138:$L1138)=0,"",IF($A1138="","Missing: entry ID",IF(COUNTIF($A$2:$A$2001,$A1138)&gt;1,"Duplicate entry ID",IF(NOT(ISNUMBER($B1138)),"Missing or invalid: date",IF($C1138="","Missing: type",IF($D1138="","Missing: SKU",IF(NOT(ISNUMBER($E1138)),"Missing: qty",IF($F1138="","Missing: lot",IF($I1138="","Missing: source link",IF(COUNTIF(Config!$A$15:$A$34,$C1138)=0,"Unsupported type",IF(COUNTIF(Products!$A$2:$A$101,$D1138)=0,"Unknown SKU",IF(COUNTIFS(Batches!$A$2:$A$301,$F1138,Batches!$B$2:$B$301,$D1138)=0,"Unknown lot for this SKU",IF(AND($C1138="Adjustment",$G1138=""),"Missing: reason",IF(AND($G1138&lt;&gt;"",COUNTIF(Config!$B$15:$B$34,$G1138)=0),"Unsupported reason",IF(OR(INT($E1138)&lt;&gt;$E1138,AND(OR($C1138="Receipt",$C1138="Shipment"),$E1138&lt;=0),AND($C1138="Adjustment",$E1138=0)),"Invalid qty",IF($B1138&gt;Config!$B$4,"Date after the as-of date",IF($B1138&lt;Config!$B$5,"Date before the opening balance date","OK")))))))))))))))))</f>
        <v/>
      </c>
    </row>
    <row r="1139">
      <c r="A1139" s="46" t="n"/>
      <c r="B1139" s="54" t="n"/>
      <c r="C1139" s="46" t="n"/>
      <c r="D1139" s="46" t="n"/>
      <c r="E1139" s="55" t="n"/>
      <c r="F1139" s="46" t="n"/>
      <c r="G1139" s="46" t="n"/>
      <c r="H1139" s="46" t="n"/>
      <c r="I1139" s="46" t="n"/>
      <c r="J1139" s="46" t="n"/>
      <c r="K1139" s="46" t="n"/>
      <c r="L1139" s="46" t="n"/>
      <c r="M1139" s="51" t="str">
        <f>IF(NOT(ISNUMBER($E1139)),"",IF($C1139="Receipt",$E1139,IF($C1139="Shipment",-$E1139,IF($C1139="Adjustment",$E1139,0))))</f>
        <v/>
      </c>
      <c r="N1139" s="49" t="str">
        <f>IF($D1139="","",IFERROR(INDEX(Products!$B$2:$B$101,MATCH($D1139,Products!$A$2:$A$101,0))&amp;"","(not found)"))</f>
        <v/>
      </c>
      <c r="O1139" s="49" t="str">
        <f>IF($F1139="","",IFERROR(INDEX(Batches!$B$2:$B$301,MATCH($F1139,Batches!$A$2:$A$301,0))&amp;"","(not found)"))</f>
        <v/>
      </c>
      <c r="P1139" s="49" t="str">
        <f>IF(COUNTA($A1139:$L1139)=0,"",IF($A1139="","Missing: entry ID",IF(COUNTIF($A$2:$A$2001,$A1139)&gt;1,"Duplicate entry ID",IF(NOT(ISNUMBER($B1139)),"Missing or invalid: date",IF($C1139="","Missing: type",IF($D1139="","Missing: SKU",IF(NOT(ISNUMBER($E1139)),"Missing: qty",IF($F1139="","Missing: lot",IF($I1139="","Missing: source link",IF(COUNTIF(Config!$A$15:$A$34,$C1139)=0,"Unsupported type",IF(COUNTIF(Products!$A$2:$A$101,$D1139)=0,"Unknown SKU",IF(COUNTIFS(Batches!$A$2:$A$301,$F1139,Batches!$B$2:$B$301,$D1139)=0,"Unknown lot for this SKU",IF(AND($C1139="Adjustment",$G1139=""),"Missing: reason",IF(AND($G1139&lt;&gt;"",COUNTIF(Config!$B$15:$B$34,$G1139)=0),"Unsupported reason",IF(OR(INT($E1139)&lt;&gt;$E1139,AND(OR($C1139="Receipt",$C1139="Shipment"),$E1139&lt;=0),AND($C1139="Adjustment",$E1139=0)),"Invalid qty",IF($B1139&gt;Config!$B$4,"Date after the as-of date",IF($B1139&lt;Config!$B$5,"Date before the opening balance date","OK")))))))))))))))))</f>
        <v/>
      </c>
    </row>
    <row r="1140">
      <c r="A1140" s="46" t="n"/>
      <c r="B1140" s="54" t="n"/>
      <c r="C1140" s="46" t="n"/>
      <c r="D1140" s="46" t="n"/>
      <c r="E1140" s="55" t="n"/>
      <c r="F1140" s="46" t="n"/>
      <c r="G1140" s="46" t="n"/>
      <c r="H1140" s="46" t="n"/>
      <c r="I1140" s="46" t="n"/>
      <c r="J1140" s="46" t="n"/>
      <c r="K1140" s="46" t="n"/>
      <c r="L1140" s="46" t="n"/>
      <c r="M1140" s="51" t="str">
        <f>IF(NOT(ISNUMBER($E1140)),"",IF($C1140="Receipt",$E1140,IF($C1140="Shipment",-$E1140,IF($C1140="Adjustment",$E1140,0))))</f>
        <v/>
      </c>
      <c r="N1140" s="49" t="str">
        <f>IF($D1140="","",IFERROR(INDEX(Products!$B$2:$B$101,MATCH($D1140,Products!$A$2:$A$101,0))&amp;"","(not found)"))</f>
        <v/>
      </c>
      <c r="O1140" s="49" t="str">
        <f>IF($F1140="","",IFERROR(INDEX(Batches!$B$2:$B$301,MATCH($F1140,Batches!$A$2:$A$301,0))&amp;"","(not found)"))</f>
        <v/>
      </c>
      <c r="P1140" s="49" t="str">
        <f>IF(COUNTA($A1140:$L1140)=0,"",IF($A1140="","Missing: entry ID",IF(COUNTIF($A$2:$A$2001,$A1140)&gt;1,"Duplicate entry ID",IF(NOT(ISNUMBER($B1140)),"Missing or invalid: date",IF($C1140="","Missing: type",IF($D1140="","Missing: SKU",IF(NOT(ISNUMBER($E1140)),"Missing: qty",IF($F1140="","Missing: lot",IF($I1140="","Missing: source link",IF(COUNTIF(Config!$A$15:$A$34,$C1140)=0,"Unsupported type",IF(COUNTIF(Products!$A$2:$A$101,$D1140)=0,"Unknown SKU",IF(COUNTIFS(Batches!$A$2:$A$301,$F1140,Batches!$B$2:$B$301,$D1140)=0,"Unknown lot for this SKU",IF(AND($C1140="Adjustment",$G1140=""),"Missing: reason",IF(AND($G1140&lt;&gt;"",COUNTIF(Config!$B$15:$B$34,$G1140)=0),"Unsupported reason",IF(OR(INT($E1140)&lt;&gt;$E1140,AND(OR($C1140="Receipt",$C1140="Shipment"),$E1140&lt;=0),AND($C1140="Adjustment",$E1140=0)),"Invalid qty",IF($B1140&gt;Config!$B$4,"Date after the as-of date",IF($B1140&lt;Config!$B$5,"Date before the opening balance date","OK")))))))))))))))))</f>
        <v/>
      </c>
    </row>
    <row r="1141">
      <c r="A1141" s="46" t="n"/>
      <c r="B1141" s="54" t="n"/>
      <c r="C1141" s="46" t="n"/>
      <c r="D1141" s="46" t="n"/>
      <c r="E1141" s="55" t="n"/>
      <c r="F1141" s="46" t="n"/>
      <c r="G1141" s="46" t="n"/>
      <c r="H1141" s="46" t="n"/>
      <c r="I1141" s="46" t="n"/>
      <c r="J1141" s="46" t="n"/>
      <c r="K1141" s="46" t="n"/>
      <c r="L1141" s="46" t="n"/>
      <c r="M1141" s="51" t="str">
        <f>IF(NOT(ISNUMBER($E1141)),"",IF($C1141="Receipt",$E1141,IF($C1141="Shipment",-$E1141,IF($C1141="Adjustment",$E1141,0))))</f>
        <v/>
      </c>
      <c r="N1141" s="49" t="str">
        <f>IF($D1141="","",IFERROR(INDEX(Products!$B$2:$B$101,MATCH($D1141,Products!$A$2:$A$101,0))&amp;"","(not found)"))</f>
        <v/>
      </c>
      <c r="O1141" s="49" t="str">
        <f>IF($F1141="","",IFERROR(INDEX(Batches!$B$2:$B$301,MATCH($F1141,Batches!$A$2:$A$301,0))&amp;"","(not found)"))</f>
        <v/>
      </c>
      <c r="P1141" s="49" t="str">
        <f>IF(COUNTA($A1141:$L1141)=0,"",IF($A1141="","Missing: entry ID",IF(COUNTIF($A$2:$A$2001,$A1141)&gt;1,"Duplicate entry ID",IF(NOT(ISNUMBER($B1141)),"Missing or invalid: date",IF($C1141="","Missing: type",IF($D1141="","Missing: SKU",IF(NOT(ISNUMBER($E1141)),"Missing: qty",IF($F1141="","Missing: lot",IF($I1141="","Missing: source link",IF(COUNTIF(Config!$A$15:$A$34,$C1141)=0,"Unsupported type",IF(COUNTIF(Products!$A$2:$A$101,$D1141)=0,"Unknown SKU",IF(COUNTIFS(Batches!$A$2:$A$301,$F1141,Batches!$B$2:$B$301,$D1141)=0,"Unknown lot for this SKU",IF(AND($C1141="Adjustment",$G1141=""),"Missing: reason",IF(AND($G1141&lt;&gt;"",COUNTIF(Config!$B$15:$B$34,$G1141)=0),"Unsupported reason",IF(OR(INT($E1141)&lt;&gt;$E1141,AND(OR($C1141="Receipt",$C1141="Shipment"),$E1141&lt;=0),AND($C1141="Adjustment",$E1141=0)),"Invalid qty",IF($B1141&gt;Config!$B$4,"Date after the as-of date",IF($B1141&lt;Config!$B$5,"Date before the opening balance date","OK")))))))))))))))))</f>
        <v/>
      </c>
    </row>
    <row r="1142">
      <c r="A1142" s="46" t="n"/>
      <c r="B1142" s="54" t="n"/>
      <c r="C1142" s="46" t="n"/>
      <c r="D1142" s="46" t="n"/>
      <c r="E1142" s="55" t="n"/>
      <c r="F1142" s="46" t="n"/>
      <c r="G1142" s="46" t="n"/>
      <c r="H1142" s="46" t="n"/>
      <c r="I1142" s="46" t="n"/>
      <c r="J1142" s="46" t="n"/>
      <c r="K1142" s="46" t="n"/>
      <c r="L1142" s="46" t="n"/>
      <c r="M1142" s="51" t="str">
        <f>IF(NOT(ISNUMBER($E1142)),"",IF($C1142="Receipt",$E1142,IF($C1142="Shipment",-$E1142,IF($C1142="Adjustment",$E1142,0))))</f>
        <v/>
      </c>
      <c r="N1142" s="49" t="str">
        <f>IF($D1142="","",IFERROR(INDEX(Products!$B$2:$B$101,MATCH($D1142,Products!$A$2:$A$101,0))&amp;"","(not found)"))</f>
        <v/>
      </c>
      <c r="O1142" s="49" t="str">
        <f>IF($F1142="","",IFERROR(INDEX(Batches!$B$2:$B$301,MATCH($F1142,Batches!$A$2:$A$301,0))&amp;"","(not found)"))</f>
        <v/>
      </c>
      <c r="P1142" s="49" t="str">
        <f>IF(COUNTA($A1142:$L1142)=0,"",IF($A1142="","Missing: entry ID",IF(COUNTIF($A$2:$A$2001,$A1142)&gt;1,"Duplicate entry ID",IF(NOT(ISNUMBER($B1142)),"Missing or invalid: date",IF($C1142="","Missing: type",IF($D1142="","Missing: SKU",IF(NOT(ISNUMBER($E1142)),"Missing: qty",IF($F1142="","Missing: lot",IF($I1142="","Missing: source link",IF(COUNTIF(Config!$A$15:$A$34,$C1142)=0,"Unsupported type",IF(COUNTIF(Products!$A$2:$A$101,$D1142)=0,"Unknown SKU",IF(COUNTIFS(Batches!$A$2:$A$301,$F1142,Batches!$B$2:$B$301,$D1142)=0,"Unknown lot for this SKU",IF(AND($C1142="Adjustment",$G1142=""),"Missing: reason",IF(AND($G1142&lt;&gt;"",COUNTIF(Config!$B$15:$B$34,$G1142)=0),"Unsupported reason",IF(OR(INT($E1142)&lt;&gt;$E1142,AND(OR($C1142="Receipt",$C1142="Shipment"),$E1142&lt;=0),AND($C1142="Adjustment",$E1142=0)),"Invalid qty",IF($B1142&gt;Config!$B$4,"Date after the as-of date",IF($B1142&lt;Config!$B$5,"Date before the opening balance date","OK")))))))))))))))))</f>
        <v/>
      </c>
    </row>
    <row r="1143">
      <c r="A1143" s="46" t="n"/>
      <c r="B1143" s="54" t="n"/>
      <c r="C1143" s="46" t="n"/>
      <c r="D1143" s="46" t="n"/>
      <c r="E1143" s="55" t="n"/>
      <c r="F1143" s="46" t="n"/>
      <c r="G1143" s="46" t="n"/>
      <c r="H1143" s="46" t="n"/>
      <c r="I1143" s="46" t="n"/>
      <c r="J1143" s="46" t="n"/>
      <c r="K1143" s="46" t="n"/>
      <c r="L1143" s="46" t="n"/>
      <c r="M1143" s="51" t="str">
        <f>IF(NOT(ISNUMBER($E1143)),"",IF($C1143="Receipt",$E1143,IF($C1143="Shipment",-$E1143,IF($C1143="Adjustment",$E1143,0))))</f>
        <v/>
      </c>
      <c r="N1143" s="49" t="str">
        <f>IF($D1143="","",IFERROR(INDEX(Products!$B$2:$B$101,MATCH($D1143,Products!$A$2:$A$101,0))&amp;"","(not found)"))</f>
        <v/>
      </c>
      <c r="O1143" s="49" t="str">
        <f>IF($F1143="","",IFERROR(INDEX(Batches!$B$2:$B$301,MATCH($F1143,Batches!$A$2:$A$301,0))&amp;"","(not found)"))</f>
        <v/>
      </c>
      <c r="P1143" s="49" t="str">
        <f>IF(COUNTA($A1143:$L1143)=0,"",IF($A1143="","Missing: entry ID",IF(COUNTIF($A$2:$A$2001,$A1143)&gt;1,"Duplicate entry ID",IF(NOT(ISNUMBER($B1143)),"Missing or invalid: date",IF($C1143="","Missing: type",IF($D1143="","Missing: SKU",IF(NOT(ISNUMBER($E1143)),"Missing: qty",IF($F1143="","Missing: lot",IF($I1143="","Missing: source link",IF(COUNTIF(Config!$A$15:$A$34,$C1143)=0,"Unsupported type",IF(COUNTIF(Products!$A$2:$A$101,$D1143)=0,"Unknown SKU",IF(COUNTIFS(Batches!$A$2:$A$301,$F1143,Batches!$B$2:$B$301,$D1143)=0,"Unknown lot for this SKU",IF(AND($C1143="Adjustment",$G1143=""),"Missing: reason",IF(AND($G1143&lt;&gt;"",COUNTIF(Config!$B$15:$B$34,$G1143)=0),"Unsupported reason",IF(OR(INT($E1143)&lt;&gt;$E1143,AND(OR($C1143="Receipt",$C1143="Shipment"),$E1143&lt;=0),AND($C1143="Adjustment",$E1143=0)),"Invalid qty",IF($B1143&gt;Config!$B$4,"Date after the as-of date",IF($B1143&lt;Config!$B$5,"Date before the opening balance date","OK")))))))))))))))))</f>
        <v/>
      </c>
    </row>
    <row r="1144">
      <c r="A1144" s="46" t="n"/>
      <c r="B1144" s="54" t="n"/>
      <c r="C1144" s="46" t="n"/>
      <c r="D1144" s="46" t="n"/>
      <c r="E1144" s="55" t="n"/>
      <c r="F1144" s="46" t="n"/>
      <c r="G1144" s="46" t="n"/>
      <c r="H1144" s="46" t="n"/>
      <c r="I1144" s="46" t="n"/>
      <c r="J1144" s="46" t="n"/>
      <c r="K1144" s="46" t="n"/>
      <c r="L1144" s="46" t="n"/>
      <c r="M1144" s="51" t="str">
        <f>IF(NOT(ISNUMBER($E1144)),"",IF($C1144="Receipt",$E1144,IF($C1144="Shipment",-$E1144,IF($C1144="Adjustment",$E1144,0))))</f>
        <v/>
      </c>
      <c r="N1144" s="49" t="str">
        <f>IF($D1144="","",IFERROR(INDEX(Products!$B$2:$B$101,MATCH($D1144,Products!$A$2:$A$101,0))&amp;"","(not found)"))</f>
        <v/>
      </c>
      <c r="O1144" s="49" t="str">
        <f>IF($F1144="","",IFERROR(INDEX(Batches!$B$2:$B$301,MATCH($F1144,Batches!$A$2:$A$301,0))&amp;"","(not found)"))</f>
        <v/>
      </c>
      <c r="P1144" s="49" t="str">
        <f>IF(COUNTA($A1144:$L1144)=0,"",IF($A1144="","Missing: entry ID",IF(COUNTIF($A$2:$A$2001,$A1144)&gt;1,"Duplicate entry ID",IF(NOT(ISNUMBER($B1144)),"Missing or invalid: date",IF($C1144="","Missing: type",IF($D1144="","Missing: SKU",IF(NOT(ISNUMBER($E1144)),"Missing: qty",IF($F1144="","Missing: lot",IF($I1144="","Missing: source link",IF(COUNTIF(Config!$A$15:$A$34,$C1144)=0,"Unsupported type",IF(COUNTIF(Products!$A$2:$A$101,$D1144)=0,"Unknown SKU",IF(COUNTIFS(Batches!$A$2:$A$301,$F1144,Batches!$B$2:$B$301,$D1144)=0,"Unknown lot for this SKU",IF(AND($C1144="Adjustment",$G1144=""),"Missing: reason",IF(AND($G1144&lt;&gt;"",COUNTIF(Config!$B$15:$B$34,$G1144)=0),"Unsupported reason",IF(OR(INT($E1144)&lt;&gt;$E1144,AND(OR($C1144="Receipt",$C1144="Shipment"),$E1144&lt;=0),AND($C1144="Adjustment",$E1144=0)),"Invalid qty",IF($B1144&gt;Config!$B$4,"Date after the as-of date",IF($B1144&lt;Config!$B$5,"Date before the opening balance date","OK")))))))))))))))))</f>
        <v/>
      </c>
    </row>
    <row r="1145">
      <c r="A1145" s="46" t="n"/>
      <c r="B1145" s="54" t="n"/>
      <c r="C1145" s="46" t="n"/>
      <c r="D1145" s="46" t="n"/>
      <c r="E1145" s="55" t="n"/>
      <c r="F1145" s="46" t="n"/>
      <c r="G1145" s="46" t="n"/>
      <c r="H1145" s="46" t="n"/>
      <c r="I1145" s="46" t="n"/>
      <c r="J1145" s="46" t="n"/>
      <c r="K1145" s="46" t="n"/>
      <c r="L1145" s="46" t="n"/>
      <c r="M1145" s="51" t="str">
        <f>IF(NOT(ISNUMBER($E1145)),"",IF($C1145="Receipt",$E1145,IF($C1145="Shipment",-$E1145,IF($C1145="Adjustment",$E1145,0))))</f>
        <v/>
      </c>
      <c r="N1145" s="49" t="str">
        <f>IF($D1145="","",IFERROR(INDEX(Products!$B$2:$B$101,MATCH($D1145,Products!$A$2:$A$101,0))&amp;"","(not found)"))</f>
        <v/>
      </c>
      <c r="O1145" s="49" t="str">
        <f>IF($F1145="","",IFERROR(INDEX(Batches!$B$2:$B$301,MATCH($F1145,Batches!$A$2:$A$301,0))&amp;"","(not found)"))</f>
        <v/>
      </c>
      <c r="P1145" s="49" t="str">
        <f>IF(COUNTA($A1145:$L1145)=0,"",IF($A1145="","Missing: entry ID",IF(COUNTIF($A$2:$A$2001,$A1145)&gt;1,"Duplicate entry ID",IF(NOT(ISNUMBER($B1145)),"Missing or invalid: date",IF($C1145="","Missing: type",IF($D1145="","Missing: SKU",IF(NOT(ISNUMBER($E1145)),"Missing: qty",IF($F1145="","Missing: lot",IF($I1145="","Missing: source link",IF(COUNTIF(Config!$A$15:$A$34,$C1145)=0,"Unsupported type",IF(COUNTIF(Products!$A$2:$A$101,$D1145)=0,"Unknown SKU",IF(COUNTIFS(Batches!$A$2:$A$301,$F1145,Batches!$B$2:$B$301,$D1145)=0,"Unknown lot for this SKU",IF(AND($C1145="Adjustment",$G1145=""),"Missing: reason",IF(AND($G1145&lt;&gt;"",COUNTIF(Config!$B$15:$B$34,$G1145)=0),"Unsupported reason",IF(OR(INT($E1145)&lt;&gt;$E1145,AND(OR($C1145="Receipt",$C1145="Shipment"),$E1145&lt;=0),AND($C1145="Adjustment",$E1145=0)),"Invalid qty",IF($B1145&gt;Config!$B$4,"Date after the as-of date",IF($B1145&lt;Config!$B$5,"Date before the opening balance date","OK")))))))))))))))))</f>
        <v/>
      </c>
    </row>
    <row r="1146">
      <c r="A1146" s="46" t="n"/>
      <c r="B1146" s="54" t="n"/>
      <c r="C1146" s="46" t="n"/>
      <c r="D1146" s="46" t="n"/>
      <c r="E1146" s="55" t="n"/>
      <c r="F1146" s="46" t="n"/>
      <c r="G1146" s="46" t="n"/>
      <c r="H1146" s="46" t="n"/>
      <c r="I1146" s="46" t="n"/>
      <c r="J1146" s="46" t="n"/>
      <c r="K1146" s="46" t="n"/>
      <c r="L1146" s="46" t="n"/>
      <c r="M1146" s="51" t="str">
        <f>IF(NOT(ISNUMBER($E1146)),"",IF($C1146="Receipt",$E1146,IF($C1146="Shipment",-$E1146,IF($C1146="Adjustment",$E1146,0))))</f>
        <v/>
      </c>
      <c r="N1146" s="49" t="str">
        <f>IF($D1146="","",IFERROR(INDEX(Products!$B$2:$B$101,MATCH($D1146,Products!$A$2:$A$101,0))&amp;"","(not found)"))</f>
        <v/>
      </c>
      <c r="O1146" s="49" t="str">
        <f>IF($F1146="","",IFERROR(INDEX(Batches!$B$2:$B$301,MATCH($F1146,Batches!$A$2:$A$301,0))&amp;"","(not found)"))</f>
        <v/>
      </c>
      <c r="P1146" s="49" t="str">
        <f>IF(COUNTA($A1146:$L1146)=0,"",IF($A1146="","Missing: entry ID",IF(COUNTIF($A$2:$A$2001,$A1146)&gt;1,"Duplicate entry ID",IF(NOT(ISNUMBER($B1146)),"Missing or invalid: date",IF($C1146="","Missing: type",IF($D1146="","Missing: SKU",IF(NOT(ISNUMBER($E1146)),"Missing: qty",IF($F1146="","Missing: lot",IF($I1146="","Missing: source link",IF(COUNTIF(Config!$A$15:$A$34,$C1146)=0,"Unsupported type",IF(COUNTIF(Products!$A$2:$A$101,$D1146)=0,"Unknown SKU",IF(COUNTIFS(Batches!$A$2:$A$301,$F1146,Batches!$B$2:$B$301,$D1146)=0,"Unknown lot for this SKU",IF(AND($C1146="Adjustment",$G1146=""),"Missing: reason",IF(AND($G1146&lt;&gt;"",COUNTIF(Config!$B$15:$B$34,$G1146)=0),"Unsupported reason",IF(OR(INT($E1146)&lt;&gt;$E1146,AND(OR($C1146="Receipt",$C1146="Shipment"),$E1146&lt;=0),AND($C1146="Adjustment",$E1146=0)),"Invalid qty",IF($B1146&gt;Config!$B$4,"Date after the as-of date",IF($B1146&lt;Config!$B$5,"Date before the opening balance date","OK")))))))))))))))))</f>
        <v/>
      </c>
    </row>
    <row r="1147">
      <c r="A1147" s="46" t="n"/>
      <c r="B1147" s="54" t="n"/>
      <c r="C1147" s="46" t="n"/>
      <c r="D1147" s="46" t="n"/>
      <c r="E1147" s="55" t="n"/>
      <c r="F1147" s="46" t="n"/>
      <c r="G1147" s="46" t="n"/>
      <c r="H1147" s="46" t="n"/>
      <c r="I1147" s="46" t="n"/>
      <c r="J1147" s="46" t="n"/>
      <c r="K1147" s="46" t="n"/>
      <c r="L1147" s="46" t="n"/>
      <c r="M1147" s="51" t="str">
        <f>IF(NOT(ISNUMBER($E1147)),"",IF($C1147="Receipt",$E1147,IF($C1147="Shipment",-$E1147,IF($C1147="Adjustment",$E1147,0))))</f>
        <v/>
      </c>
      <c r="N1147" s="49" t="str">
        <f>IF($D1147="","",IFERROR(INDEX(Products!$B$2:$B$101,MATCH($D1147,Products!$A$2:$A$101,0))&amp;"","(not found)"))</f>
        <v/>
      </c>
      <c r="O1147" s="49" t="str">
        <f>IF($F1147="","",IFERROR(INDEX(Batches!$B$2:$B$301,MATCH($F1147,Batches!$A$2:$A$301,0))&amp;"","(not found)"))</f>
        <v/>
      </c>
      <c r="P1147" s="49" t="str">
        <f>IF(COUNTA($A1147:$L1147)=0,"",IF($A1147="","Missing: entry ID",IF(COUNTIF($A$2:$A$2001,$A1147)&gt;1,"Duplicate entry ID",IF(NOT(ISNUMBER($B1147)),"Missing or invalid: date",IF($C1147="","Missing: type",IF($D1147="","Missing: SKU",IF(NOT(ISNUMBER($E1147)),"Missing: qty",IF($F1147="","Missing: lot",IF($I1147="","Missing: source link",IF(COUNTIF(Config!$A$15:$A$34,$C1147)=0,"Unsupported type",IF(COUNTIF(Products!$A$2:$A$101,$D1147)=0,"Unknown SKU",IF(COUNTIFS(Batches!$A$2:$A$301,$F1147,Batches!$B$2:$B$301,$D1147)=0,"Unknown lot for this SKU",IF(AND($C1147="Adjustment",$G1147=""),"Missing: reason",IF(AND($G1147&lt;&gt;"",COUNTIF(Config!$B$15:$B$34,$G1147)=0),"Unsupported reason",IF(OR(INT($E1147)&lt;&gt;$E1147,AND(OR($C1147="Receipt",$C1147="Shipment"),$E1147&lt;=0),AND($C1147="Adjustment",$E1147=0)),"Invalid qty",IF($B1147&gt;Config!$B$4,"Date after the as-of date",IF($B1147&lt;Config!$B$5,"Date before the opening balance date","OK")))))))))))))))))</f>
        <v/>
      </c>
    </row>
    <row r="1148">
      <c r="A1148" s="46" t="n"/>
      <c r="B1148" s="54" t="n"/>
      <c r="C1148" s="46" t="n"/>
      <c r="D1148" s="46" t="n"/>
      <c r="E1148" s="55" t="n"/>
      <c r="F1148" s="46" t="n"/>
      <c r="G1148" s="46" t="n"/>
      <c r="H1148" s="46" t="n"/>
      <c r="I1148" s="46" t="n"/>
      <c r="J1148" s="46" t="n"/>
      <c r="K1148" s="46" t="n"/>
      <c r="L1148" s="46" t="n"/>
      <c r="M1148" s="51" t="str">
        <f>IF(NOT(ISNUMBER($E1148)),"",IF($C1148="Receipt",$E1148,IF($C1148="Shipment",-$E1148,IF($C1148="Adjustment",$E1148,0))))</f>
        <v/>
      </c>
      <c r="N1148" s="49" t="str">
        <f>IF($D1148="","",IFERROR(INDEX(Products!$B$2:$B$101,MATCH($D1148,Products!$A$2:$A$101,0))&amp;"","(not found)"))</f>
        <v/>
      </c>
      <c r="O1148" s="49" t="str">
        <f>IF($F1148="","",IFERROR(INDEX(Batches!$B$2:$B$301,MATCH($F1148,Batches!$A$2:$A$301,0))&amp;"","(not found)"))</f>
        <v/>
      </c>
      <c r="P1148" s="49" t="str">
        <f>IF(COUNTA($A1148:$L1148)=0,"",IF($A1148="","Missing: entry ID",IF(COUNTIF($A$2:$A$2001,$A1148)&gt;1,"Duplicate entry ID",IF(NOT(ISNUMBER($B1148)),"Missing or invalid: date",IF($C1148="","Missing: type",IF($D1148="","Missing: SKU",IF(NOT(ISNUMBER($E1148)),"Missing: qty",IF($F1148="","Missing: lot",IF($I1148="","Missing: source link",IF(COUNTIF(Config!$A$15:$A$34,$C1148)=0,"Unsupported type",IF(COUNTIF(Products!$A$2:$A$101,$D1148)=0,"Unknown SKU",IF(COUNTIFS(Batches!$A$2:$A$301,$F1148,Batches!$B$2:$B$301,$D1148)=0,"Unknown lot for this SKU",IF(AND($C1148="Adjustment",$G1148=""),"Missing: reason",IF(AND($G1148&lt;&gt;"",COUNTIF(Config!$B$15:$B$34,$G1148)=0),"Unsupported reason",IF(OR(INT($E1148)&lt;&gt;$E1148,AND(OR($C1148="Receipt",$C1148="Shipment"),$E1148&lt;=0),AND($C1148="Adjustment",$E1148=0)),"Invalid qty",IF($B1148&gt;Config!$B$4,"Date after the as-of date",IF($B1148&lt;Config!$B$5,"Date before the opening balance date","OK")))))))))))))))))</f>
        <v/>
      </c>
    </row>
    <row r="1149">
      <c r="A1149" s="46" t="n"/>
      <c r="B1149" s="54" t="n"/>
      <c r="C1149" s="46" t="n"/>
      <c r="D1149" s="46" t="n"/>
      <c r="E1149" s="55" t="n"/>
      <c r="F1149" s="46" t="n"/>
      <c r="G1149" s="46" t="n"/>
      <c r="H1149" s="46" t="n"/>
      <c r="I1149" s="46" t="n"/>
      <c r="J1149" s="46" t="n"/>
      <c r="K1149" s="46" t="n"/>
      <c r="L1149" s="46" t="n"/>
      <c r="M1149" s="51" t="str">
        <f>IF(NOT(ISNUMBER($E1149)),"",IF($C1149="Receipt",$E1149,IF($C1149="Shipment",-$E1149,IF($C1149="Adjustment",$E1149,0))))</f>
        <v/>
      </c>
      <c r="N1149" s="49" t="str">
        <f>IF($D1149="","",IFERROR(INDEX(Products!$B$2:$B$101,MATCH($D1149,Products!$A$2:$A$101,0))&amp;"","(not found)"))</f>
        <v/>
      </c>
      <c r="O1149" s="49" t="str">
        <f>IF($F1149="","",IFERROR(INDEX(Batches!$B$2:$B$301,MATCH($F1149,Batches!$A$2:$A$301,0))&amp;"","(not found)"))</f>
        <v/>
      </c>
      <c r="P1149" s="49" t="str">
        <f>IF(COUNTA($A1149:$L1149)=0,"",IF($A1149="","Missing: entry ID",IF(COUNTIF($A$2:$A$2001,$A1149)&gt;1,"Duplicate entry ID",IF(NOT(ISNUMBER($B1149)),"Missing or invalid: date",IF($C1149="","Missing: type",IF($D1149="","Missing: SKU",IF(NOT(ISNUMBER($E1149)),"Missing: qty",IF($F1149="","Missing: lot",IF($I1149="","Missing: source link",IF(COUNTIF(Config!$A$15:$A$34,$C1149)=0,"Unsupported type",IF(COUNTIF(Products!$A$2:$A$101,$D1149)=0,"Unknown SKU",IF(COUNTIFS(Batches!$A$2:$A$301,$F1149,Batches!$B$2:$B$301,$D1149)=0,"Unknown lot for this SKU",IF(AND($C1149="Adjustment",$G1149=""),"Missing: reason",IF(AND($G1149&lt;&gt;"",COUNTIF(Config!$B$15:$B$34,$G1149)=0),"Unsupported reason",IF(OR(INT($E1149)&lt;&gt;$E1149,AND(OR($C1149="Receipt",$C1149="Shipment"),$E1149&lt;=0),AND($C1149="Adjustment",$E1149=0)),"Invalid qty",IF($B1149&gt;Config!$B$4,"Date after the as-of date",IF($B1149&lt;Config!$B$5,"Date before the opening balance date","OK")))))))))))))))))</f>
        <v/>
      </c>
    </row>
    <row r="1150">
      <c r="A1150" s="46" t="n"/>
      <c r="B1150" s="54" t="n"/>
      <c r="C1150" s="46" t="n"/>
      <c r="D1150" s="46" t="n"/>
      <c r="E1150" s="55" t="n"/>
      <c r="F1150" s="46" t="n"/>
      <c r="G1150" s="46" t="n"/>
      <c r="H1150" s="46" t="n"/>
      <c r="I1150" s="46" t="n"/>
      <c r="J1150" s="46" t="n"/>
      <c r="K1150" s="46" t="n"/>
      <c r="L1150" s="46" t="n"/>
      <c r="M1150" s="51" t="str">
        <f>IF(NOT(ISNUMBER($E1150)),"",IF($C1150="Receipt",$E1150,IF($C1150="Shipment",-$E1150,IF($C1150="Adjustment",$E1150,0))))</f>
        <v/>
      </c>
      <c r="N1150" s="49" t="str">
        <f>IF($D1150="","",IFERROR(INDEX(Products!$B$2:$B$101,MATCH($D1150,Products!$A$2:$A$101,0))&amp;"","(not found)"))</f>
        <v/>
      </c>
      <c r="O1150" s="49" t="str">
        <f>IF($F1150="","",IFERROR(INDEX(Batches!$B$2:$B$301,MATCH($F1150,Batches!$A$2:$A$301,0))&amp;"","(not found)"))</f>
        <v/>
      </c>
      <c r="P1150" s="49" t="str">
        <f>IF(COUNTA($A1150:$L1150)=0,"",IF($A1150="","Missing: entry ID",IF(COUNTIF($A$2:$A$2001,$A1150)&gt;1,"Duplicate entry ID",IF(NOT(ISNUMBER($B1150)),"Missing or invalid: date",IF($C1150="","Missing: type",IF($D1150="","Missing: SKU",IF(NOT(ISNUMBER($E1150)),"Missing: qty",IF($F1150="","Missing: lot",IF($I1150="","Missing: source link",IF(COUNTIF(Config!$A$15:$A$34,$C1150)=0,"Unsupported type",IF(COUNTIF(Products!$A$2:$A$101,$D1150)=0,"Unknown SKU",IF(COUNTIFS(Batches!$A$2:$A$301,$F1150,Batches!$B$2:$B$301,$D1150)=0,"Unknown lot for this SKU",IF(AND($C1150="Adjustment",$G1150=""),"Missing: reason",IF(AND($G1150&lt;&gt;"",COUNTIF(Config!$B$15:$B$34,$G1150)=0),"Unsupported reason",IF(OR(INT($E1150)&lt;&gt;$E1150,AND(OR($C1150="Receipt",$C1150="Shipment"),$E1150&lt;=0),AND($C1150="Adjustment",$E1150=0)),"Invalid qty",IF($B1150&gt;Config!$B$4,"Date after the as-of date",IF($B1150&lt;Config!$B$5,"Date before the opening balance date","OK")))))))))))))))))</f>
        <v/>
      </c>
    </row>
    <row r="1151">
      <c r="A1151" s="46" t="n"/>
      <c r="B1151" s="54" t="n"/>
      <c r="C1151" s="46" t="n"/>
      <c r="D1151" s="46" t="n"/>
      <c r="E1151" s="55" t="n"/>
      <c r="F1151" s="46" t="n"/>
      <c r="G1151" s="46" t="n"/>
      <c r="H1151" s="46" t="n"/>
      <c r="I1151" s="46" t="n"/>
      <c r="J1151" s="46" t="n"/>
      <c r="K1151" s="46" t="n"/>
      <c r="L1151" s="46" t="n"/>
      <c r="M1151" s="51" t="str">
        <f>IF(NOT(ISNUMBER($E1151)),"",IF($C1151="Receipt",$E1151,IF($C1151="Shipment",-$E1151,IF($C1151="Adjustment",$E1151,0))))</f>
        <v/>
      </c>
      <c r="N1151" s="49" t="str">
        <f>IF($D1151="","",IFERROR(INDEX(Products!$B$2:$B$101,MATCH($D1151,Products!$A$2:$A$101,0))&amp;"","(not found)"))</f>
        <v/>
      </c>
      <c r="O1151" s="49" t="str">
        <f>IF($F1151="","",IFERROR(INDEX(Batches!$B$2:$B$301,MATCH($F1151,Batches!$A$2:$A$301,0))&amp;"","(not found)"))</f>
        <v/>
      </c>
      <c r="P1151" s="49" t="str">
        <f>IF(COUNTA($A1151:$L1151)=0,"",IF($A1151="","Missing: entry ID",IF(COUNTIF($A$2:$A$2001,$A1151)&gt;1,"Duplicate entry ID",IF(NOT(ISNUMBER($B1151)),"Missing or invalid: date",IF($C1151="","Missing: type",IF($D1151="","Missing: SKU",IF(NOT(ISNUMBER($E1151)),"Missing: qty",IF($F1151="","Missing: lot",IF($I1151="","Missing: source link",IF(COUNTIF(Config!$A$15:$A$34,$C1151)=0,"Unsupported type",IF(COUNTIF(Products!$A$2:$A$101,$D1151)=0,"Unknown SKU",IF(COUNTIFS(Batches!$A$2:$A$301,$F1151,Batches!$B$2:$B$301,$D1151)=0,"Unknown lot for this SKU",IF(AND($C1151="Adjustment",$G1151=""),"Missing: reason",IF(AND($G1151&lt;&gt;"",COUNTIF(Config!$B$15:$B$34,$G1151)=0),"Unsupported reason",IF(OR(INT($E1151)&lt;&gt;$E1151,AND(OR($C1151="Receipt",$C1151="Shipment"),$E1151&lt;=0),AND($C1151="Adjustment",$E1151=0)),"Invalid qty",IF($B1151&gt;Config!$B$4,"Date after the as-of date",IF($B1151&lt;Config!$B$5,"Date before the opening balance date","OK")))))))))))))))))</f>
        <v/>
      </c>
    </row>
    <row r="1152">
      <c r="A1152" s="46" t="n"/>
      <c r="B1152" s="54" t="n"/>
      <c r="C1152" s="46" t="n"/>
      <c r="D1152" s="46" t="n"/>
      <c r="E1152" s="55" t="n"/>
      <c r="F1152" s="46" t="n"/>
      <c r="G1152" s="46" t="n"/>
      <c r="H1152" s="46" t="n"/>
      <c r="I1152" s="46" t="n"/>
      <c r="J1152" s="46" t="n"/>
      <c r="K1152" s="46" t="n"/>
      <c r="L1152" s="46" t="n"/>
      <c r="M1152" s="51" t="str">
        <f>IF(NOT(ISNUMBER($E1152)),"",IF($C1152="Receipt",$E1152,IF($C1152="Shipment",-$E1152,IF($C1152="Adjustment",$E1152,0))))</f>
        <v/>
      </c>
      <c r="N1152" s="49" t="str">
        <f>IF($D1152="","",IFERROR(INDEX(Products!$B$2:$B$101,MATCH($D1152,Products!$A$2:$A$101,0))&amp;"","(not found)"))</f>
        <v/>
      </c>
      <c r="O1152" s="49" t="str">
        <f>IF($F1152="","",IFERROR(INDEX(Batches!$B$2:$B$301,MATCH($F1152,Batches!$A$2:$A$301,0))&amp;"","(not found)"))</f>
        <v/>
      </c>
      <c r="P1152" s="49" t="str">
        <f>IF(COUNTA($A1152:$L1152)=0,"",IF($A1152="","Missing: entry ID",IF(COUNTIF($A$2:$A$2001,$A1152)&gt;1,"Duplicate entry ID",IF(NOT(ISNUMBER($B1152)),"Missing or invalid: date",IF($C1152="","Missing: type",IF($D1152="","Missing: SKU",IF(NOT(ISNUMBER($E1152)),"Missing: qty",IF($F1152="","Missing: lot",IF($I1152="","Missing: source link",IF(COUNTIF(Config!$A$15:$A$34,$C1152)=0,"Unsupported type",IF(COUNTIF(Products!$A$2:$A$101,$D1152)=0,"Unknown SKU",IF(COUNTIFS(Batches!$A$2:$A$301,$F1152,Batches!$B$2:$B$301,$D1152)=0,"Unknown lot for this SKU",IF(AND($C1152="Adjustment",$G1152=""),"Missing: reason",IF(AND($G1152&lt;&gt;"",COUNTIF(Config!$B$15:$B$34,$G1152)=0),"Unsupported reason",IF(OR(INT($E1152)&lt;&gt;$E1152,AND(OR($C1152="Receipt",$C1152="Shipment"),$E1152&lt;=0),AND($C1152="Adjustment",$E1152=0)),"Invalid qty",IF($B1152&gt;Config!$B$4,"Date after the as-of date",IF($B1152&lt;Config!$B$5,"Date before the opening balance date","OK")))))))))))))))))</f>
        <v/>
      </c>
    </row>
    <row r="1153">
      <c r="A1153" s="46" t="n"/>
      <c r="B1153" s="54" t="n"/>
      <c r="C1153" s="46" t="n"/>
      <c r="D1153" s="46" t="n"/>
      <c r="E1153" s="55" t="n"/>
      <c r="F1153" s="46" t="n"/>
      <c r="G1153" s="46" t="n"/>
      <c r="H1153" s="46" t="n"/>
      <c r="I1153" s="46" t="n"/>
      <c r="J1153" s="46" t="n"/>
      <c r="K1153" s="46" t="n"/>
      <c r="L1153" s="46" t="n"/>
      <c r="M1153" s="51" t="str">
        <f>IF(NOT(ISNUMBER($E1153)),"",IF($C1153="Receipt",$E1153,IF($C1153="Shipment",-$E1153,IF($C1153="Adjustment",$E1153,0))))</f>
        <v/>
      </c>
      <c r="N1153" s="49" t="str">
        <f>IF($D1153="","",IFERROR(INDEX(Products!$B$2:$B$101,MATCH($D1153,Products!$A$2:$A$101,0))&amp;"","(not found)"))</f>
        <v/>
      </c>
      <c r="O1153" s="49" t="str">
        <f>IF($F1153="","",IFERROR(INDEX(Batches!$B$2:$B$301,MATCH($F1153,Batches!$A$2:$A$301,0))&amp;"","(not found)"))</f>
        <v/>
      </c>
      <c r="P1153" s="49" t="str">
        <f>IF(COUNTA($A1153:$L1153)=0,"",IF($A1153="","Missing: entry ID",IF(COUNTIF($A$2:$A$2001,$A1153)&gt;1,"Duplicate entry ID",IF(NOT(ISNUMBER($B1153)),"Missing or invalid: date",IF($C1153="","Missing: type",IF($D1153="","Missing: SKU",IF(NOT(ISNUMBER($E1153)),"Missing: qty",IF($F1153="","Missing: lot",IF($I1153="","Missing: source link",IF(COUNTIF(Config!$A$15:$A$34,$C1153)=0,"Unsupported type",IF(COUNTIF(Products!$A$2:$A$101,$D1153)=0,"Unknown SKU",IF(COUNTIFS(Batches!$A$2:$A$301,$F1153,Batches!$B$2:$B$301,$D1153)=0,"Unknown lot for this SKU",IF(AND($C1153="Adjustment",$G1153=""),"Missing: reason",IF(AND($G1153&lt;&gt;"",COUNTIF(Config!$B$15:$B$34,$G1153)=0),"Unsupported reason",IF(OR(INT($E1153)&lt;&gt;$E1153,AND(OR($C1153="Receipt",$C1153="Shipment"),$E1153&lt;=0),AND($C1153="Adjustment",$E1153=0)),"Invalid qty",IF($B1153&gt;Config!$B$4,"Date after the as-of date",IF($B1153&lt;Config!$B$5,"Date before the opening balance date","OK")))))))))))))))))</f>
        <v/>
      </c>
    </row>
    <row r="1154">
      <c r="A1154" s="46" t="n"/>
      <c r="B1154" s="54" t="n"/>
      <c r="C1154" s="46" t="n"/>
      <c r="D1154" s="46" t="n"/>
      <c r="E1154" s="55" t="n"/>
      <c r="F1154" s="46" t="n"/>
      <c r="G1154" s="46" t="n"/>
      <c r="H1154" s="46" t="n"/>
      <c r="I1154" s="46" t="n"/>
      <c r="J1154" s="46" t="n"/>
      <c r="K1154" s="46" t="n"/>
      <c r="L1154" s="46" t="n"/>
      <c r="M1154" s="51" t="str">
        <f>IF(NOT(ISNUMBER($E1154)),"",IF($C1154="Receipt",$E1154,IF($C1154="Shipment",-$E1154,IF($C1154="Adjustment",$E1154,0))))</f>
        <v/>
      </c>
      <c r="N1154" s="49" t="str">
        <f>IF($D1154="","",IFERROR(INDEX(Products!$B$2:$B$101,MATCH($D1154,Products!$A$2:$A$101,0))&amp;"","(not found)"))</f>
        <v/>
      </c>
      <c r="O1154" s="49" t="str">
        <f>IF($F1154="","",IFERROR(INDEX(Batches!$B$2:$B$301,MATCH($F1154,Batches!$A$2:$A$301,0))&amp;"","(not found)"))</f>
        <v/>
      </c>
      <c r="P1154" s="49" t="str">
        <f>IF(COUNTA($A1154:$L1154)=0,"",IF($A1154="","Missing: entry ID",IF(COUNTIF($A$2:$A$2001,$A1154)&gt;1,"Duplicate entry ID",IF(NOT(ISNUMBER($B1154)),"Missing or invalid: date",IF($C1154="","Missing: type",IF($D1154="","Missing: SKU",IF(NOT(ISNUMBER($E1154)),"Missing: qty",IF($F1154="","Missing: lot",IF($I1154="","Missing: source link",IF(COUNTIF(Config!$A$15:$A$34,$C1154)=0,"Unsupported type",IF(COUNTIF(Products!$A$2:$A$101,$D1154)=0,"Unknown SKU",IF(COUNTIFS(Batches!$A$2:$A$301,$F1154,Batches!$B$2:$B$301,$D1154)=0,"Unknown lot for this SKU",IF(AND($C1154="Adjustment",$G1154=""),"Missing: reason",IF(AND($G1154&lt;&gt;"",COUNTIF(Config!$B$15:$B$34,$G1154)=0),"Unsupported reason",IF(OR(INT($E1154)&lt;&gt;$E1154,AND(OR($C1154="Receipt",$C1154="Shipment"),$E1154&lt;=0),AND($C1154="Adjustment",$E1154=0)),"Invalid qty",IF($B1154&gt;Config!$B$4,"Date after the as-of date",IF($B1154&lt;Config!$B$5,"Date before the opening balance date","OK")))))))))))))))))</f>
        <v/>
      </c>
    </row>
    <row r="1155">
      <c r="A1155" s="46" t="n"/>
      <c r="B1155" s="54" t="n"/>
      <c r="C1155" s="46" t="n"/>
      <c r="D1155" s="46" t="n"/>
      <c r="E1155" s="55" t="n"/>
      <c r="F1155" s="46" t="n"/>
      <c r="G1155" s="46" t="n"/>
      <c r="H1155" s="46" t="n"/>
      <c r="I1155" s="46" t="n"/>
      <c r="J1155" s="46" t="n"/>
      <c r="K1155" s="46" t="n"/>
      <c r="L1155" s="46" t="n"/>
      <c r="M1155" s="51" t="str">
        <f>IF(NOT(ISNUMBER($E1155)),"",IF($C1155="Receipt",$E1155,IF($C1155="Shipment",-$E1155,IF($C1155="Adjustment",$E1155,0))))</f>
        <v/>
      </c>
      <c r="N1155" s="49" t="str">
        <f>IF($D1155="","",IFERROR(INDEX(Products!$B$2:$B$101,MATCH($D1155,Products!$A$2:$A$101,0))&amp;"","(not found)"))</f>
        <v/>
      </c>
      <c r="O1155" s="49" t="str">
        <f>IF($F1155="","",IFERROR(INDEX(Batches!$B$2:$B$301,MATCH($F1155,Batches!$A$2:$A$301,0))&amp;"","(not found)"))</f>
        <v/>
      </c>
      <c r="P1155" s="49" t="str">
        <f>IF(COUNTA($A1155:$L1155)=0,"",IF($A1155="","Missing: entry ID",IF(COUNTIF($A$2:$A$2001,$A1155)&gt;1,"Duplicate entry ID",IF(NOT(ISNUMBER($B1155)),"Missing or invalid: date",IF($C1155="","Missing: type",IF($D1155="","Missing: SKU",IF(NOT(ISNUMBER($E1155)),"Missing: qty",IF($F1155="","Missing: lot",IF($I1155="","Missing: source link",IF(COUNTIF(Config!$A$15:$A$34,$C1155)=0,"Unsupported type",IF(COUNTIF(Products!$A$2:$A$101,$D1155)=0,"Unknown SKU",IF(COUNTIFS(Batches!$A$2:$A$301,$F1155,Batches!$B$2:$B$301,$D1155)=0,"Unknown lot for this SKU",IF(AND($C1155="Adjustment",$G1155=""),"Missing: reason",IF(AND($G1155&lt;&gt;"",COUNTIF(Config!$B$15:$B$34,$G1155)=0),"Unsupported reason",IF(OR(INT($E1155)&lt;&gt;$E1155,AND(OR($C1155="Receipt",$C1155="Shipment"),$E1155&lt;=0),AND($C1155="Adjustment",$E1155=0)),"Invalid qty",IF($B1155&gt;Config!$B$4,"Date after the as-of date",IF($B1155&lt;Config!$B$5,"Date before the opening balance date","OK")))))))))))))))))</f>
        <v/>
      </c>
    </row>
    <row r="1156">
      <c r="A1156" s="46" t="n"/>
      <c r="B1156" s="54" t="n"/>
      <c r="C1156" s="46" t="n"/>
      <c r="D1156" s="46" t="n"/>
      <c r="E1156" s="55" t="n"/>
      <c r="F1156" s="46" t="n"/>
      <c r="G1156" s="46" t="n"/>
      <c r="H1156" s="46" t="n"/>
      <c r="I1156" s="46" t="n"/>
      <c r="J1156" s="46" t="n"/>
      <c r="K1156" s="46" t="n"/>
      <c r="L1156" s="46" t="n"/>
      <c r="M1156" s="51" t="str">
        <f>IF(NOT(ISNUMBER($E1156)),"",IF($C1156="Receipt",$E1156,IF($C1156="Shipment",-$E1156,IF($C1156="Adjustment",$E1156,0))))</f>
        <v/>
      </c>
      <c r="N1156" s="49" t="str">
        <f>IF($D1156="","",IFERROR(INDEX(Products!$B$2:$B$101,MATCH($D1156,Products!$A$2:$A$101,0))&amp;"","(not found)"))</f>
        <v/>
      </c>
      <c r="O1156" s="49" t="str">
        <f>IF($F1156="","",IFERROR(INDEX(Batches!$B$2:$B$301,MATCH($F1156,Batches!$A$2:$A$301,0))&amp;"","(not found)"))</f>
        <v/>
      </c>
      <c r="P1156" s="49" t="str">
        <f>IF(COUNTA($A1156:$L1156)=0,"",IF($A1156="","Missing: entry ID",IF(COUNTIF($A$2:$A$2001,$A1156)&gt;1,"Duplicate entry ID",IF(NOT(ISNUMBER($B1156)),"Missing or invalid: date",IF($C1156="","Missing: type",IF($D1156="","Missing: SKU",IF(NOT(ISNUMBER($E1156)),"Missing: qty",IF($F1156="","Missing: lot",IF($I1156="","Missing: source link",IF(COUNTIF(Config!$A$15:$A$34,$C1156)=0,"Unsupported type",IF(COUNTIF(Products!$A$2:$A$101,$D1156)=0,"Unknown SKU",IF(COUNTIFS(Batches!$A$2:$A$301,$F1156,Batches!$B$2:$B$301,$D1156)=0,"Unknown lot for this SKU",IF(AND($C1156="Adjustment",$G1156=""),"Missing: reason",IF(AND($G1156&lt;&gt;"",COUNTIF(Config!$B$15:$B$34,$G1156)=0),"Unsupported reason",IF(OR(INT($E1156)&lt;&gt;$E1156,AND(OR($C1156="Receipt",$C1156="Shipment"),$E1156&lt;=0),AND($C1156="Adjustment",$E1156=0)),"Invalid qty",IF($B1156&gt;Config!$B$4,"Date after the as-of date",IF($B1156&lt;Config!$B$5,"Date before the opening balance date","OK")))))))))))))))))</f>
        <v/>
      </c>
    </row>
    <row r="1157">
      <c r="A1157" s="46" t="n"/>
      <c r="B1157" s="54" t="n"/>
      <c r="C1157" s="46" t="n"/>
      <c r="D1157" s="46" t="n"/>
      <c r="E1157" s="55" t="n"/>
      <c r="F1157" s="46" t="n"/>
      <c r="G1157" s="46" t="n"/>
      <c r="H1157" s="46" t="n"/>
      <c r="I1157" s="46" t="n"/>
      <c r="J1157" s="46" t="n"/>
      <c r="K1157" s="46" t="n"/>
      <c r="L1157" s="46" t="n"/>
      <c r="M1157" s="51" t="str">
        <f>IF(NOT(ISNUMBER($E1157)),"",IF($C1157="Receipt",$E1157,IF($C1157="Shipment",-$E1157,IF($C1157="Adjustment",$E1157,0))))</f>
        <v/>
      </c>
      <c r="N1157" s="49" t="str">
        <f>IF($D1157="","",IFERROR(INDEX(Products!$B$2:$B$101,MATCH($D1157,Products!$A$2:$A$101,0))&amp;"","(not found)"))</f>
        <v/>
      </c>
      <c r="O1157" s="49" t="str">
        <f>IF($F1157="","",IFERROR(INDEX(Batches!$B$2:$B$301,MATCH($F1157,Batches!$A$2:$A$301,0))&amp;"","(not found)"))</f>
        <v/>
      </c>
      <c r="P1157" s="49" t="str">
        <f>IF(COUNTA($A1157:$L1157)=0,"",IF($A1157="","Missing: entry ID",IF(COUNTIF($A$2:$A$2001,$A1157)&gt;1,"Duplicate entry ID",IF(NOT(ISNUMBER($B1157)),"Missing or invalid: date",IF($C1157="","Missing: type",IF($D1157="","Missing: SKU",IF(NOT(ISNUMBER($E1157)),"Missing: qty",IF($F1157="","Missing: lot",IF($I1157="","Missing: source link",IF(COUNTIF(Config!$A$15:$A$34,$C1157)=0,"Unsupported type",IF(COUNTIF(Products!$A$2:$A$101,$D1157)=0,"Unknown SKU",IF(COUNTIFS(Batches!$A$2:$A$301,$F1157,Batches!$B$2:$B$301,$D1157)=0,"Unknown lot for this SKU",IF(AND($C1157="Adjustment",$G1157=""),"Missing: reason",IF(AND($G1157&lt;&gt;"",COUNTIF(Config!$B$15:$B$34,$G1157)=0),"Unsupported reason",IF(OR(INT($E1157)&lt;&gt;$E1157,AND(OR($C1157="Receipt",$C1157="Shipment"),$E1157&lt;=0),AND($C1157="Adjustment",$E1157=0)),"Invalid qty",IF($B1157&gt;Config!$B$4,"Date after the as-of date",IF($B1157&lt;Config!$B$5,"Date before the opening balance date","OK")))))))))))))))))</f>
        <v/>
      </c>
    </row>
    <row r="1158">
      <c r="A1158" s="46" t="n"/>
      <c r="B1158" s="54" t="n"/>
      <c r="C1158" s="46" t="n"/>
      <c r="D1158" s="46" t="n"/>
      <c r="E1158" s="55" t="n"/>
      <c r="F1158" s="46" t="n"/>
      <c r="G1158" s="46" t="n"/>
      <c r="H1158" s="46" t="n"/>
      <c r="I1158" s="46" t="n"/>
      <c r="J1158" s="46" t="n"/>
      <c r="K1158" s="46" t="n"/>
      <c r="L1158" s="46" t="n"/>
      <c r="M1158" s="51" t="str">
        <f>IF(NOT(ISNUMBER($E1158)),"",IF($C1158="Receipt",$E1158,IF($C1158="Shipment",-$E1158,IF($C1158="Adjustment",$E1158,0))))</f>
        <v/>
      </c>
      <c r="N1158" s="49" t="str">
        <f>IF($D1158="","",IFERROR(INDEX(Products!$B$2:$B$101,MATCH($D1158,Products!$A$2:$A$101,0))&amp;"","(not found)"))</f>
        <v/>
      </c>
      <c r="O1158" s="49" t="str">
        <f>IF($F1158="","",IFERROR(INDEX(Batches!$B$2:$B$301,MATCH($F1158,Batches!$A$2:$A$301,0))&amp;"","(not found)"))</f>
        <v/>
      </c>
      <c r="P1158" s="49" t="str">
        <f>IF(COUNTA($A1158:$L1158)=0,"",IF($A1158="","Missing: entry ID",IF(COUNTIF($A$2:$A$2001,$A1158)&gt;1,"Duplicate entry ID",IF(NOT(ISNUMBER($B1158)),"Missing or invalid: date",IF($C1158="","Missing: type",IF($D1158="","Missing: SKU",IF(NOT(ISNUMBER($E1158)),"Missing: qty",IF($F1158="","Missing: lot",IF($I1158="","Missing: source link",IF(COUNTIF(Config!$A$15:$A$34,$C1158)=0,"Unsupported type",IF(COUNTIF(Products!$A$2:$A$101,$D1158)=0,"Unknown SKU",IF(COUNTIFS(Batches!$A$2:$A$301,$F1158,Batches!$B$2:$B$301,$D1158)=0,"Unknown lot for this SKU",IF(AND($C1158="Adjustment",$G1158=""),"Missing: reason",IF(AND($G1158&lt;&gt;"",COUNTIF(Config!$B$15:$B$34,$G1158)=0),"Unsupported reason",IF(OR(INT($E1158)&lt;&gt;$E1158,AND(OR($C1158="Receipt",$C1158="Shipment"),$E1158&lt;=0),AND($C1158="Adjustment",$E1158=0)),"Invalid qty",IF($B1158&gt;Config!$B$4,"Date after the as-of date",IF($B1158&lt;Config!$B$5,"Date before the opening balance date","OK")))))))))))))))))</f>
        <v/>
      </c>
    </row>
    <row r="1159">
      <c r="A1159" s="46" t="n"/>
      <c r="B1159" s="54" t="n"/>
      <c r="C1159" s="46" t="n"/>
      <c r="D1159" s="46" t="n"/>
      <c r="E1159" s="55" t="n"/>
      <c r="F1159" s="46" t="n"/>
      <c r="G1159" s="46" t="n"/>
      <c r="H1159" s="46" t="n"/>
      <c r="I1159" s="46" t="n"/>
      <c r="J1159" s="46" t="n"/>
      <c r="K1159" s="46" t="n"/>
      <c r="L1159" s="46" t="n"/>
      <c r="M1159" s="51" t="str">
        <f>IF(NOT(ISNUMBER($E1159)),"",IF($C1159="Receipt",$E1159,IF($C1159="Shipment",-$E1159,IF($C1159="Adjustment",$E1159,0))))</f>
        <v/>
      </c>
      <c r="N1159" s="49" t="str">
        <f>IF($D1159="","",IFERROR(INDEX(Products!$B$2:$B$101,MATCH($D1159,Products!$A$2:$A$101,0))&amp;"","(not found)"))</f>
        <v/>
      </c>
      <c r="O1159" s="49" t="str">
        <f>IF($F1159="","",IFERROR(INDEX(Batches!$B$2:$B$301,MATCH($F1159,Batches!$A$2:$A$301,0))&amp;"","(not found)"))</f>
        <v/>
      </c>
      <c r="P1159" s="49" t="str">
        <f>IF(COUNTA($A1159:$L1159)=0,"",IF($A1159="","Missing: entry ID",IF(COUNTIF($A$2:$A$2001,$A1159)&gt;1,"Duplicate entry ID",IF(NOT(ISNUMBER($B1159)),"Missing or invalid: date",IF($C1159="","Missing: type",IF($D1159="","Missing: SKU",IF(NOT(ISNUMBER($E1159)),"Missing: qty",IF($F1159="","Missing: lot",IF($I1159="","Missing: source link",IF(COUNTIF(Config!$A$15:$A$34,$C1159)=0,"Unsupported type",IF(COUNTIF(Products!$A$2:$A$101,$D1159)=0,"Unknown SKU",IF(COUNTIFS(Batches!$A$2:$A$301,$F1159,Batches!$B$2:$B$301,$D1159)=0,"Unknown lot for this SKU",IF(AND($C1159="Adjustment",$G1159=""),"Missing: reason",IF(AND($G1159&lt;&gt;"",COUNTIF(Config!$B$15:$B$34,$G1159)=0),"Unsupported reason",IF(OR(INT($E1159)&lt;&gt;$E1159,AND(OR($C1159="Receipt",$C1159="Shipment"),$E1159&lt;=0),AND($C1159="Adjustment",$E1159=0)),"Invalid qty",IF($B1159&gt;Config!$B$4,"Date after the as-of date",IF($B1159&lt;Config!$B$5,"Date before the opening balance date","OK")))))))))))))))))</f>
        <v/>
      </c>
    </row>
    <row r="1160">
      <c r="A1160" s="46" t="n"/>
      <c r="B1160" s="54" t="n"/>
      <c r="C1160" s="46" t="n"/>
      <c r="D1160" s="46" t="n"/>
      <c r="E1160" s="55" t="n"/>
      <c r="F1160" s="46" t="n"/>
      <c r="G1160" s="46" t="n"/>
      <c r="H1160" s="46" t="n"/>
      <c r="I1160" s="46" t="n"/>
      <c r="J1160" s="46" t="n"/>
      <c r="K1160" s="46" t="n"/>
      <c r="L1160" s="46" t="n"/>
      <c r="M1160" s="51" t="str">
        <f>IF(NOT(ISNUMBER($E1160)),"",IF($C1160="Receipt",$E1160,IF($C1160="Shipment",-$E1160,IF($C1160="Adjustment",$E1160,0))))</f>
        <v/>
      </c>
      <c r="N1160" s="49" t="str">
        <f>IF($D1160="","",IFERROR(INDEX(Products!$B$2:$B$101,MATCH($D1160,Products!$A$2:$A$101,0))&amp;"","(not found)"))</f>
        <v/>
      </c>
      <c r="O1160" s="49" t="str">
        <f>IF($F1160="","",IFERROR(INDEX(Batches!$B$2:$B$301,MATCH($F1160,Batches!$A$2:$A$301,0))&amp;"","(not found)"))</f>
        <v/>
      </c>
      <c r="P1160" s="49" t="str">
        <f>IF(COUNTA($A1160:$L1160)=0,"",IF($A1160="","Missing: entry ID",IF(COUNTIF($A$2:$A$2001,$A1160)&gt;1,"Duplicate entry ID",IF(NOT(ISNUMBER($B1160)),"Missing or invalid: date",IF($C1160="","Missing: type",IF($D1160="","Missing: SKU",IF(NOT(ISNUMBER($E1160)),"Missing: qty",IF($F1160="","Missing: lot",IF($I1160="","Missing: source link",IF(COUNTIF(Config!$A$15:$A$34,$C1160)=0,"Unsupported type",IF(COUNTIF(Products!$A$2:$A$101,$D1160)=0,"Unknown SKU",IF(COUNTIFS(Batches!$A$2:$A$301,$F1160,Batches!$B$2:$B$301,$D1160)=0,"Unknown lot for this SKU",IF(AND($C1160="Adjustment",$G1160=""),"Missing: reason",IF(AND($G1160&lt;&gt;"",COUNTIF(Config!$B$15:$B$34,$G1160)=0),"Unsupported reason",IF(OR(INT($E1160)&lt;&gt;$E1160,AND(OR($C1160="Receipt",$C1160="Shipment"),$E1160&lt;=0),AND($C1160="Adjustment",$E1160=0)),"Invalid qty",IF($B1160&gt;Config!$B$4,"Date after the as-of date",IF($B1160&lt;Config!$B$5,"Date before the opening balance date","OK")))))))))))))))))</f>
        <v/>
      </c>
    </row>
    <row r="1161">
      <c r="A1161" s="46" t="n"/>
      <c r="B1161" s="54" t="n"/>
      <c r="C1161" s="46" t="n"/>
      <c r="D1161" s="46" t="n"/>
      <c r="E1161" s="55" t="n"/>
      <c r="F1161" s="46" t="n"/>
      <c r="G1161" s="46" t="n"/>
      <c r="H1161" s="46" t="n"/>
      <c r="I1161" s="46" t="n"/>
      <c r="J1161" s="46" t="n"/>
      <c r="K1161" s="46" t="n"/>
      <c r="L1161" s="46" t="n"/>
      <c r="M1161" s="51" t="str">
        <f>IF(NOT(ISNUMBER($E1161)),"",IF($C1161="Receipt",$E1161,IF($C1161="Shipment",-$E1161,IF($C1161="Adjustment",$E1161,0))))</f>
        <v/>
      </c>
      <c r="N1161" s="49" t="str">
        <f>IF($D1161="","",IFERROR(INDEX(Products!$B$2:$B$101,MATCH($D1161,Products!$A$2:$A$101,0))&amp;"","(not found)"))</f>
        <v/>
      </c>
      <c r="O1161" s="49" t="str">
        <f>IF($F1161="","",IFERROR(INDEX(Batches!$B$2:$B$301,MATCH($F1161,Batches!$A$2:$A$301,0))&amp;"","(not found)"))</f>
        <v/>
      </c>
      <c r="P1161" s="49" t="str">
        <f>IF(COUNTA($A1161:$L1161)=0,"",IF($A1161="","Missing: entry ID",IF(COUNTIF($A$2:$A$2001,$A1161)&gt;1,"Duplicate entry ID",IF(NOT(ISNUMBER($B1161)),"Missing or invalid: date",IF($C1161="","Missing: type",IF($D1161="","Missing: SKU",IF(NOT(ISNUMBER($E1161)),"Missing: qty",IF($F1161="","Missing: lot",IF($I1161="","Missing: source link",IF(COUNTIF(Config!$A$15:$A$34,$C1161)=0,"Unsupported type",IF(COUNTIF(Products!$A$2:$A$101,$D1161)=0,"Unknown SKU",IF(COUNTIFS(Batches!$A$2:$A$301,$F1161,Batches!$B$2:$B$301,$D1161)=0,"Unknown lot for this SKU",IF(AND($C1161="Adjustment",$G1161=""),"Missing: reason",IF(AND($G1161&lt;&gt;"",COUNTIF(Config!$B$15:$B$34,$G1161)=0),"Unsupported reason",IF(OR(INT($E1161)&lt;&gt;$E1161,AND(OR($C1161="Receipt",$C1161="Shipment"),$E1161&lt;=0),AND($C1161="Adjustment",$E1161=0)),"Invalid qty",IF($B1161&gt;Config!$B$4,"Date after the as-of date",IF($B1161&lt;Config!$B$5,"Date before the opening balance date","OK")))))))))))))))))</f>
        <v/>
      </c>
    </row>
    <row r="1162">
      <c r="A1162" s="46" t="n"/>
      <c r="B1162" s="54" t="n"/>
      <c r="C1162" s="46" t="n"/>
      <c r="D1162" s="46" t="n"/>
      <c r="E1162" s="55" t="n"/>
      <c r="F1162" s="46" t="n"/>
      <c r="G1162" s="46" t="n"/>
      <c r="H1162" s="46" t="n"/>
      <c r="I1162" s="46" t="n"/>
      <c r="J1162" s="46" t="n"/>
      <c r="K1162" s="46" t="n"/>
      <c r="L1162" s="46" t="n"/>
      <c r="M1162" s="51" t="str">
        <f>IF(NOT(ISNUMBER($E1162)),"",IF($C1162="Receipt",$E1162,IF($C1162="Shipment",-$E1162,IF($C1162="Adjustment",$E1162,0))))</f>
        <v/>
      </c>
      <c r="N1162" s="49" t="str">
        <f>IF($D1162="","",IFERROR(INDEX(Products!$B$2:$B$101,MATCH($D1162,Products!$A$2:$A$101,0))&amp;"","(not found)"))</f>
        <v/>
      </c>
      <c r="O1162" s="49" t="str">
        <f>IF($F1162="","",IFERROR(INDEX(Batches!$B$2:$B$301,MATCH($F1162,Batches!$A$2:$A$301,0))&amp;"","(not found)"))</f>
        <v/>
      </c>
      <c r="P1162" s="49" t="str">
        <f>IF(COUNTA($A1162:$L1162)=0,"",IF($A1162="","Missing: entry ID",IF(COUNTIF($A$2:$A$2001,$A1162)&gt;1,"Duplicate entry ID",IF(NOT(ISNUMBER($B1162)),"Missing or invalid: date",IF($C1162="","Missing: type",IF($D1162="","Missing: SKU",IF(NOT(ISNUMBER($E1162)),"Missing: qty",IF($F1162="","Missing: lot",IF($I1162="","Missing: source link",IF(COUNTIF(Config!$A$15:$A$34,$C1162)=0,"Unsupported type",IF(COUNTIF(Products!$A$2:$A$101,$D1162)=0,"Unknown SKU",IF(COUNTIFS(Batches!$A$2:$A$301,$F1162,Batches!$B$2:$B$301,$D1162)=0,"Unknown lot for this SKU",IF(AND($C1162="Adjustment",$G1162=""),"Missing: reason",IF(AND($G1162&lt;&gt;"",COUNTIF(Config!$B$15:$B$34,$G1162)=0),"Unsupported reason",IF(OR(INT($E1162)&lt;&gt;$E1162,AND(OR($C1162="Receipt",$C1162="Shipment"),$E1162&lt;=0),AND($C1162="Adjustment",$E1162=0)),"Invalid qty",IF($B1162&gt;Config!$B$4,"Date after the as-of date",IF($B1162&lt;Config!$B$5,"Date before the opening balance date","OK")))))))))))))))))</f>
        <v/>
      </c>
    </row>
    <row r="1163">
      <c r="A1163" s="46" t="n"/>
      <c r="B1163" s="54" t="n"/>
      <c r="C1163" s="46" t="n"/>
      <c r="D1163" s="46" t="n"/>
      <c r="E1163" s="55" t="n"/>
      <c r="F1163" s="46" t="n"/>
      <c r="G1163" s="46" t="n"/>
      <c r="H1163" s="46" t="n"/>
      <c r="I1163" s="46" t="n"/>
      <c r="J1163" s="46" t="n"/>
      <c r="K1163" s="46" t="n"/>
      <c r="L1163" s="46" t="n"/>
      <c r="M1163" s="51" t="str">
        <f>IF(NOT(ISNUMBER($E1163)),"",IF($C1163="Receipt",$E1163,IF($C1163="Shipment",-$E1163,IF($C1163="Adjustment",$E1163,0))))</f>
        <v/>
      </c>
      <c r="N1163" s="49" t="str">
        <f>IF($D1163="","",IFERROR(INDEX(Products!$B$2:$B$101,MATCH($D1163,Products!$A$2:$A$101,0))&amp;"","(not found)"))</f>
        <v/>
      </c>
      <c r="O1163" s="49" t="str">
        <f>IF($F1163="","",IFERROR(INDEX(Batches!$B$2:$B$301,MATCH($F1163,Batches!$A$2:$A$301,0))&amp;"","(not found)"))</f>
        <v/>
      </c>
      <c r="P1163" s="49" t="str">
        <f>IF(COUNTA($A1163:$L1163)=0,"",IF($A1163="","Missing: entry ID",IF(COUNTIF($A$2:$A$2001,$A1163)&gt;1,"Duplicate entry ID",IF(NOT(ISNUMBER($B1163)),"Missing or invalid: date",IF($C1163="","Missing: type",IF($D1163="","Missing: SKU",IF(NOT(ISNUMBER($E1163)),"Missing: qty",IF($F1163="","Missing: lot",IF($I1163="","Missing: source link",IF(COUNTIF(Config!$A$15:$A$34,$C1163)=0,"Unsupported type",IF(COUNTIF(Products!$A$2:$A$101,$D1163)=0,"Unknown SKU",IF(COUNTIFS(Batches!$A$2:$A$301,$F1163,Batches!$B$2:$B$301,$D1163)=0,"Unknown lot for this SKU",IF(AND($C1163="Adjustment",$G1163=""),"Missing: reason",IF(AND($G1163&lt;&gt;"",COUNTIF(Config!$B$15:$B$34,$G1163)=0),"Unsupported reason",IF(OR(INT($E1163)&lt;&gt;$E1163,AND(OR($C1163="Receipt",$C1163="Shipment"),$E1163&lt;=0),AND($C1163="Adjustment",$E1163=0)),"Invalid qty",IF($B1163&gt;Config!$B$4,"Date after the as-of date",IF($B1163&lt;Config!$B$5,"Date before the opening balance date","OK")))))))))))))))))</f>
        <v/>
      </c>
    </row>
    <row r="1164">
      <c r="A1164" s="46" t="n"/>
      <c r="B1164" s="54" t="n"/>
      <c r="C1164" s="46" t="n"/>
      <c r="D1164" s="46" t="n"/>
      <c r="E1164" s="55" t="n"/>
      <c r="F1164" s="46" t="n"/>
      <c r="G1164" s="46" t="n"/>
      <c r="H1164" s="46" t="n"/>
      <c r="I1164" s="46" t="n"/>
      <c r="J1164" s="46" t="n"/>
      <c r="K1164" s="46" t="n"/>
      <c r="L1164" s="46" t="n"/>
      <c r="M1164" s="51" t="str">
        <f>IF(NOT(ISNUMBER($E1164)),"",IF($C1164="Receipt",$E1164,IF($C1164="Shipment",-$E1164,IF($C1164="Adjustment",$E1164,0))))</f>
        <v/>
      </c>
      <c r="N1164" s="49" t="str">
        <f>IF($D1164="","",IFERROR(INDEX(Products!$B$2:$B$101,MATCH($D1164,Products!$A$2:$A$101,0))&amp;"","(not found)"))</f>
        <v/>
      </c>
      <c r="O1164" s="49" t="str">
        <f>IF($F1164="","",IFERROR(INDEX(Batches!$B$2:$B$301,MATCH($F1164,Batches!$A$2:$A$301,0))&amp;"","(not found)"))</f>
        <v/>
      </c>
      <c r="P1164" s="49" t="str">
        <f>IF(COUNTA($A1164:$L1164)=0,"",IF($A1164="","Missing: entry ID",IF(COUNTIF($A$2:$A$2001,$A1164)&gt;1,"Duplicate entry ID",IF(NOT(ISNUMBER($B1164)),"Missing or invalid: date",IF($C1164="","Missing: type",IF($D1164="","Missing: SKU",IF(NOT(ISNUMBER($E1164)),"Missing: qty",IF($F1164="","Missing: lot",IF($I1164="","Missing: source link",IF(COUNTIF(Config!$A$15:$A$34,$C1164)=0,"Unsupported type",IF(COUNTIF(Products!$A$2:$A$101,$D1164)=0,"Unknown SKU",IF(COUNTIFS(Batches!$A$2:$A$301,$F1164,Batches!$B$2:$B$301,$D1164)=0,"Unknown lot for this SKU",IF(AND($C1164="Adjustment",$G1164=""),"Missing: reason",IF(AND($G1164&lt;&gt;"",COUNTIF(Config!$B$15:$B$34,$G1164)=0),"Unsupported reason",IF(OR(INT($E1164)&lt;&gt;$E1164,AND(OR($C1164="Receipt",$C1164="Shipment"),$E1164&lt;=0),AND($C1164="Adjustment",$E1164=0)),"Invalid qty",IF($B1164&gt;Config!$B$4,"Date after the as-of date",IF($B1164&lt;Config!$B$5,"Date before the opening balance date","OK")))))))))))))))))</f>
        <v/>
      </c>
    </row>
    <row r="1165">
      <c r="A1165" s="46" t="n"/>
      <c r="B1165" s="54" t="n"/>
      <c r="C1165" s="46" t="n"/>
      <c r="D1165" s="46" t="n"/>
      <c r="E1165" s="55" t="n"/>
      <c r="F1165" s="46" t="n"/>
      <c r="G1165" s="46" t="n"/>
      <c r="H1165" s="46" t="n"/>
      <c r="I1165" s="46" t="n"/>
      <c r="J1165" s="46" t="n"/>
      <c r="K1165" s="46" t="n"/>
      <c r="L1165" s="46" t="n"/>
      <c r="M1165" s="51" t="str">
        <f>IF(NOT(ISNUMBER($E1165)),"",IF($C1165="Receipt",$E1165,IF($C1165="Shipment",-$E1165,IF($C1165="Adjustment",$E1165,0))))</f>
        <v/>
      </c>
      <c r="N1165" s="49" t="str">
        <f>IF($D1165="","",IFERROR(INDEX(Products!$B$2:$B$101,MATCH($D1165,Products!$A$2:$A$101,0))&amp;"","(not found)"))</f>
        <v/>
      </c>
      <c r="O1165" s="49" t="str">
        <f>IF($F1165="","",IFERROR(INDEX(Batches!$B$2:$B$301,MATCH($F1165,Batches!$A$2:$A$301,0))&amp;"","(not found)"))</f>
        <v/>
      </c>
      <c r="P1165" s="49" t="str">
        <f>IF(COUNTA($A1165:$L1165)=0,"",IF($A1165="","Missing: entry ID",IF(COUNTIF($A$2:$A$2001,$A1165)&gt;1,"Duplicate entry ID",IF(NOT(ISNUMBER($B1165)),"Missing or invalid: date",IF($C1165="","Missing: type",IF($D1165="","Missing: SKU",IF(NOT(ISNUMBER($E1165)),"Missing: qty",IF($F1165="","Missing: lot",IF($I1165="","Missing: source link",IF(COUNTIF(Config!$A$15:$A$34,$C1165)=0,"Unsupported type",IF(COUNTIF(Products!$A$2:$A$101,$D1165)=0,"Unknown SKU",IF(COUNTIFS(Batches!$A$2:$A$301,$F1165,Batches!$B$2:$B$301,$D1165)=0,"Unknown lot for this SKU",IF(AND($C1165="Adjustment",$G1165=""),"Missing: reason",IF(AND($G1165&lt;&gt;"",COUNTIF(Config!$B$15:$B$34,$G1165)=0),"Unsupported reason",IF(OR(INT($E1165)&lt;&gt;$E1165,AND(OR($C1165="Receipt",$C1165="Shipment"),$E1165&lt;=0),AND($C1165="Adjustment",$E1165=0)),"Invalid qty",IF($B1165&gt;Config!$B$4,"Date after the as-of date",IF($B1165&lt;Config!$B$5,"Date before the opening balance date","OK")))))))))))))))))</f>
        <v/>
      </c>
    </row>
    <row r="1166">
      <c r="A1166" s="46" t="n"/>
      <c r="B1166" s="54" t="n"/>
      <c r="C1166" s="46" t="n"/>
      <c r="D1166" s="46" t="n"/>
      <c r="E1166" s="55" t="n"/>
      <c r="F1166" s="46" t="n"/>
      <c r="G1166" s="46" t="n"/>
      <c r="H1166" s="46" t="n"/>
      <c r="I1166" s="46" t="n"/>
      <c r="J1166" s="46" t="n"/>
      <c r="K1166" s="46" t="n"/>
      <c r="L1166" s="46" t="n"/>
      <c r="M1166" s="51" t="str">
        <f>IF(NOT(ISNUMBER($E1166)),"",IF($C1166="Receipt",$E1166,IF($C1166="Shipment",-$E1166,IF($C1166="Adjustment",$E1166,0))))</f>
        <v/>
      </c>
      <c r="N1166" s="49" t="str">
        <f>IF($D1166="","",IFERROR(INDEX(Products!$B$2:$B$101,MATCH($D1166,Products!$A$2:$A$101,0))&amp;"","(not found)"))</f>
        <v/>
      </c>
      <c r="O1166" s="49" t="str">
        <f>IF($F1166="","",IFERROR(INDEX(Batches!$B$2:$B$301,MATCH($F1166,Batches!$A$2:$A$301,0))&amp;"","(not found)"))</f>
        <v/>
      </c>
      <c r="P1166" s="49" t="str">
        <f>IF(COUNTA($A1166:$L1166)=0,"",IF($A1166="","Missing: entry ID",IF(COUNTIF($A$2:$A$2001,$A1166)&gt;1,"Duplicate entry ID",IF(NOT(ISNUMBER($B1166)),"Missing or invalid: date",IF($C1166="","Missing: type",IF($D1166="","Missing: SKU",IF(NOT(ISNUMBER($E1166)),"Missing: qty",IF($F1166="","Missing: lot",IF($I1166="","Missing: source link",IF(COUNTIF(Config!$A$15:$A$34,$C1166)=0,"Unsupported type",IF(COUNTIF(Products!$A$2:$A$101,$D1166)=0,"Unknown SKU",IF(COUNTIFS(Batches!$A$2:$A$301,$F1166,Batches!$B$2:$B$301,$D1166)=0,"Unknown lot for this SKU",IF(AND($C1166="Adjustment",$G1166=""),"Missing: reason",IF(AND($G1166&lt;&gt;"",COUNTIF(Config!$B$15:$B$34,$G1166)=0),"Unsupported reason",IF(OR(INT($E1166)&lt;&gt;$E1166,AND(OR($C1166="Receipt",$C1166="Shipment"),$E1166&lt;=0),AND($C1166="Adjustment",$E1166=0)),"Invalid qty",IF($B1166&gt;Config!$B$4,"Date after the as-of date",IF($B1166&lt;Config!$B$5,"Date before the opening balance date","OK")))))))))))))))))</f>
        <v/>
      </c>
    </row>
    <row r="1167">
      <c r="A1167" s="46" t="n"/>
      <c r="B1167" s="54" t="n"/>
      <c r="C1167" s="46" t="n"/>
      <c r="D1167" s="46" t="n"/>
      <c r="E1167" s="55" t="n"/>
      <c r="F1167" s="46" t="n"/>
      <c r="G1167" s="46" t="n"/>
      <c r="H1167" s="46" t="n"/>
      <c r="I1167" s="46" t="n"/>
      <c r="J1167" s="46" t="n"/>
      <c r="K1167" s="46" t="n"/>
      <c r="L1167" s="46" t="n"/>
      <c r="M1167" s="51" t="str">
        <f>IF(NOT(ISNUMBER($E1167)),"",IF($C1167="Receipt",$E1167,IF($C1167="Shipment",-$E1167,IF($C1167="Adjustment",$E1167,0))))</f>
        <v/>
      </c>
      <c r="N1167" s="49" t="str">
        <f>IF($D1167="","",IFERROR(INDEX(Products!$B$2:$B$101,MATCH($D1167,Products!$A$2:$A$101,0))&amp;"","(not found)"))</f>
        <v/>
      </c>
      <c r="O1167" s="49" t="str">
        <f>IF($F1167="","",IFERROR(INDEX(Batches!$B$2:$B$301,MATCH($F1167,Batches!$A$2:$A$301,0))&amp;"","(not found)"))</f>
        <v/>
      </c>
      <c r="P1167" s="49" t="str">
        <f>IF(COUNTA($A1167:$L1167)=0,"",IF($A1167="","Missing: entry ID",IF(COUNTIF($A$2:$A$2001,$A1167)&gt;1,"Duplicate entry ID",IF(NOT(ISNUMBER($B1167)),"Missing or invalid: date",IF($C1167="","Missing: type",IF($D1167="","Missing: SKU",IF(NOT(ISNUMBER($E1167)),"Missing: qty",IF($F1167="","Missing: lot",IF($I1167="","Missing: source link",IF(COUNTIF(Config!$A$15:$A$34,$C1167)=0,"Unsupported type",IF(COUNTIF(Products!$A$2:$A$101,$D1167)=0,"Unknown SKU",IF(COUNTIFS(Batches!$A$2:$A$301,$F1167,Batches!$B$2:$B$301,$D1167)=0,"Unknown lot for this SKU",IF(AND($C1167="Adjustment",$G1167=""),"Missing: reason",IF(AND($G1167&lt;&gt;"",COUNTIF(Config!$B$15:$B$34,$G1167)=0),"Unsupported reason",IF(OR(INT($E1167)&lt;&gt;$E1167,AND(OR($C1167="Receipt",$C1167="Shipment"),$E1167&lt;=0),AND($C1167="Adjustment",$E1167=0)),"Invalid qty",IF($B1167&gt;Config!$B$4,"Date after the as-of date",IF($B1167&lt;Config!$B$5,"Date before the opening balance date","OK")))))))))))))))))</f>
        <v/>
      </c>
    </row>
    <row r="1168">
      <c r="A1168" s="46" t="n"/>
      <c r="B1168" s="54" t="n"/>
      <c r="C1168" s="46" t="n"/>
      <c r="D1168" s="46" t="n"/>
      <c r="E1168" s="55" t="n"/>
      <c r="F1168" s="46" t="n"/>
      <c r="G1168" s="46" t="n"/>
      <c r="H1168" s="46" t="n"/>
      <c r="I1168" s="46" t="n"/>
      <c r="J1168" s="46" t="n"/>
      <c r="K1168" s="46" t="n"/>
      <c r="L1168" s="46" t="n"/>
      <c r="M1168" s="51" t="str">
        <f>IF(NOT(ISNUMBER($E1168)),"",IF($C1168="Receipt",$E1168,IF($C1168="Shipment",-$E1168,IF($C1168="Adjustment",$E1168,0))))</f>
        <v/>
      </c>
      <c r="N1168" s="49" t="str">
        <f>IF($D1168="","",IFERROR(INDEX(Products!$B$2:$B$101,MATCH($D1168,Products!$A$2:$A$101,0))&amp;"","(not found)"))</f>
        <v/>
      </c>
      <c r="O1168" s="49" t="str">
        <f>IF($F1168="","",IFERROR(INDEX(Batches!$B$2:$B$301,MATCH($F1168,Batches!$A$2:$A$301,0))&amp;"","(not found)"))</f>
        <v/>
      </c>
      <c r="P1168" s="49" t="str">
        <f>IF(COUNTA($A1168:$L1168)=0,"",IF($A1168="","Missing: entry ID",IF(COUNTIF($A$2:$A$2001,$A1168)&gt;1,"Duplicate entry ID",IF(NOT(ISNUMBER($B1168)),"Missing or invalid: date",IF($C1168="","Missing: type",IF($D1168="","Missing: SKU",IF(NOT(ISNUMBER($E1168)),"Missing: qty",IF($F1168="","Missing: lot",IF($I1168="","Missing: source link",IF(COUNTIF(Config!$A$15:$A$34,$C1168)=0,"Unsupported type",IF(COUNTIF(Products!$A$2:$A$101,$D1168)=0,"Unknown SKU",IF(COUNTIFS(Batches!$A$2:$A$301,$F1168,Batches!$B$2:$B$301,$D1168)=0,"Unknown lot for this SKU",IF(AND($C1168="Adjustment",$G1168=""),"Missing: reason",IF(AND($G1168&lt;&gt;"",COUNTIF(Config!$B$15:$B$34,$G1168)=0),"Unsupported reason",IF(OR(INT($E1168)&lt;&gt;$E1168,AND(OR($C1168="Receipt",$C1168="Shipment"),$E1168&lt;=0),AND($C1168="Adjustment",$E1168=0)),"Invalid qty",IF($B1168&gt;Config!$B$4,"Date after the as-of date",IF($B1168&lt;Config!$B$5,"Date before the opening balance date","OK")))))))))))))))))</f>
        <v/>
      </c>
    </row>
    <row r="1169">
      <c r="A1169" s="46" t="n"/>
      <c r="B1169" s="54" t="n"/>
      <c r="C1169" s="46" t="n"/>
      <c r="D1169" s="46" t="n"/>
      <c r="E1169" s="55" t="n"/>
      <c r="F1169" s="46" t="n"/>
      <c r="G1169" s="46" t="n"/>
      <c r="H1169" s="46" t="n"/>
      <c r="I1169" s="46" t="n"/>
      <c r="J1169" s="46" t="n"/>
      <c r="K1169" s="46" t="n"/>
      <c r="L1169" s="46" t="n"/>
      <c r="M1169" s="51" t="str">
        <f>IF(NOT(ISNUMBER($E1169)),"",IF($C1169="Receipt",$E1169,IF($C1169="Shipment",-$E1169,IF($C1169="Adjustment",$E1169,0))))</f>
        <v/>
      </c>
      <c r="N1169" s="49" t="str">
        <f>IF($D1169="","",IFERROR(INDEX(Products!$B$2:$B$101,MATCH($D1169,Products!$A$2:$A$101,0))&amp;"","(not found)"))</f>
        <v/>
      </c>
      <c r="O1169" s="49" t="str">
        <f>IF($F1169="","",IFERROR(INDEX(Batches!$B$2:$B$301,MATCH($F1169,Batches!$A$2:$A$301,0))&amp;"","(not found)"))</f>
        <v/>
      </c>
      <c r="P1169" s="49" t="str">
        <f>IF(COUNTA($A1169:$L1169)=0,"",IF($A1169="","Missing: entry ID",IF(COUNTIF($A$2:$A$2001,$A1169)&gt;1,"Duplicate entry ID",IF(NOT(ISNUMBER($B1169)),"Missing or invalid: date",IF($C1169="","Missing: type",IF($D1169="","Missing: SKU",IF(NOT(ISNUMBER($E1169)),"Missing: qty",IF($F1169="","Missing: lot",IF($I1169="","Missing: source link",IF(COUNTIF(Config!$A$15:$A$34,$C1169)=0,"Unsupported type",IF(COUNTIF(Products!$A$2:$A$101,$D1169)=0,"Unknown SKU",IF(COUNTIFS(Batches!$A$2:$A$301,$F1169,Batches!$B$2:$B$301,$D1169)=0,"Unknown lot for this SKU",IF(AND($C1169="Adjustment",$G1169=""),"Missing: reason",IF(AND($G1169&lt;&gt;"",COUNTIF(Config!$B$15:$B$34,$G1169)=0),"Unsupported reason",IF(OR(INT($E1169)&lt;&gt;$E1169,AND(OR($C1169="Receipt",$C1169="Shipment"),$E1169&lt;=0),AND($C1169="Adjustment",$E1169=0)),"Invalid qty",IF($B1169&gt;Config!$B$4,"Date after the as-of date",IF($B1169&lt;Config!$B$5,"Date before the opening balance date","OK")))))))))))))))))</f>
        <v/>
      </c>
    </row>
    <row r="1170">
      <c r="A1170" s="46" t="n"/>
      <c r="B1170" s="54" t="n"/>
      <c r="C1170" s="46" t="n"/>
      <c r="D1170" s="46" t="n"/>
      <c r="E1170" s="55" t="n"/>
      <c r="F1170" s="46" t="n"/>
      <c r="G1170" s="46" t="n"/>
      <c r="H1170" s="46" t="n"/>
      <c r="I1170" s="46" t="n"/>
      <c r="J1170" s="46" t="n"/>
      <c r="K1170" s="46" t="n"/>
      <c r="L1170" s="46" t="n"/>
      <c r="M1170" s="51" t="str">
        <f>IF(NOT(ISNUMBER($E1170)),"",IF($C1170="Receipt",$E1170,IF($C1170="Shipment",-$E1170,IF($C1170="Adjustment",$E1170,0))))</f>
        <v/>
      </c>
      <c r="N1170" s="49" t="str">
        <f>IF($D1170="","",IFERROR(INDEX(Products!$B$2:$B$101,MATCH($D1170,Products!$A$2:$A$101,0))&amp;"","(not found)"))</f>
        <v/>
      </c>
      <c r="O1170" s="49" t="str">
        <f>IF($F1170="","",IFERROR(INDEX(Batches!$B$2:$B$301,MATCH($F1170,Batches!$A$2:$A$301,0))&amp;"","(not found)"))</f>
        <v/>
      </c>
      <c r="P1170" s="49" t="str">
        <f>IF(COUNTA($A1170:$L1170)=0,"",IF($A1170="","Missing: entry ID",IF(COUNTIF($A$2:$A$2001,$A1170)&gt;1,"Duplicate entry ID",IF(NOT(ISNUMBER($B1170)),"Missing or invalid: date",IF($C1170="","Missing: type",IF($D1170="","Missing: SKU",IF(NOT(ISNUMBER($E1170)),"Missing: qty",IF($F1170="","Missing: lot",IF($I1170="","Missing: source link",IF(COUNTIF(Config!$A$15:$A$34,$C1170)=0,"Unsupported type",IF(COUNTIF(Products!$A$2:$A$101,$D1170)=0,"Unknown SKU",IF(COUNTIFS(Batches!$A$2:$A$301,$F1170,Batches!$B$2:$B$301,$D1170)=0,"Unknown lot for this SKU",IF(AND($C1170="Adjustment",$G1170=""),"Missing: reason",IF(AND($G1170&lt;&gt;"",COUNTIF(Config!$B$15:$B$34,$G1170)=0),"Unsupported reason",IF(OR(INT($E1170)&lt;&gt;$E1170,AND(OR($C1170="Receipt",$C1170="Shipment"),$E1170&lt;=0),AND($C1170="Adjustment",$E1170=0)),"Invalid qty",IF($B1170&gt;Config!$B$4,"Date after the as-of date",IF($B1170&lt;Config!$B$5,"Date before the opening balance date","OK")))))))))))))))))</f>
        <v/>
      </c>
    </row>
    <row r="1171">
      <c r="A1171" s="46" t="n"/>
      <c r="B1171" s="54" t="n"/>
      <c r="C1171" s="46" t="n"/>
      <c r="D1171" s="46" t="n"/>
      <c r="E1171" s="55" t="n"/>
      <c r="F1171" s="46" t="n"/>
      <c r="G1171" s="46" t="n"/>
      <c r="H1171" s="46" t="n"/>
      <c r="I1171" s="46" t="n"/>
      <c r="J1171" s="46" t="n"/>
      <c r="K1171" s="46" t="n"/>
      <c r="L1171" s="46" t="n"/>
      <c r="M1171" s="51" t="str">
        <f>IF(NOT(ISNUMBER($E1171)),"",IF($C1171="Receipt",$E1171,IF($C1171="Shipment",-$E1171,IF($C1171="Adjustment",$E1171,0))))</f>
        <v/>
      </c>
      <c r="N1171" s="49" t="str">
        <f>IF($D1171="","",IFERROR(INDEX(Products!$B$2:$B$101,MATCH($D1171,Products!$A$2:$A$101,0))&amp;"","(not found)"))</f>
        <v/>
      </c>
      <c r="O1171" s="49" t="str">
        <f>IF($F1171="","",IFERROR(INDEX(Batches!$B$2:$B$301,MATCH($F1171,Batches!$A$2:$A$301,0))&amp;"","(not found)"))</f>
        <v/>
      </c>
      <c r="P1171" s="49" t="str">
        <f>IF(COUNTA($A1171:$L1171)=0,"",IF($A1171="","Missing: entry ID",IF(COUNTIF($A$2:$A$2001,$A1171)&gt;1,"Duplicate entry ID",IF(NOT(ISNUMBER($B1171)),"Missing or invalid: date",IF($C1171="","Missing: type",IF($D1171="","Missing: SKU",IF(NOT(ISNUMBER($E1171)),"Missing: qty",IF($F1171="","Missing: lot",IF($I1171="","Missing: source link",IF(COUNTIF(Config!$A$15:$A$34,$C1171)=0,"Unsupported type",IF(COUNTIF(Products!$A$2:$A$101,$D1171)=0,"Unknown SKU",IF(COUNTIFS(Batches!$A$2:$A$301,$F1171,Batches!$B$2:$B$301,$D1171)=0,"Unknown lot for this SKU",IF(AND($C1171="Adjustment",$G1171=""),"Missing: reason",IF(AND($G1171&lt;&gt;"",COUNTIF(Config!$B$15:$B$34,$G1171)=0),"Unsupported reason",IF(OR(INT($E1171)&lt;&gt;$E1171,AND(OR($C1171="Receipt",$C1171="Shipment"),$E1171&lt;=0),AND($C1171="Adjustment",$E1171=0)),"Invalid qty",IF($B1171&gt;Config!$B$4,"Date after the as-of date",IF($B1171&lt;Config!$B$5,"Date before the opening balance date","OK")))))))))))))))))</f>
        <v/>
      </c>
    </row>
    <row r="1172">
      <c r="A1172" s="46" t="n"/>
      <c r="B1172" s="54" t="n"/>
      <c r="C1172" s="46" t="n"/>
      <c r="D1172" s="46" t="n"/>
      <c r="E1172" s="55" t="n"/>
      <c r="F1172" s="46" t="n"/>
      <c r="G1172" s="46" t="n"/>
      <c r="H1172" s="46" t="n"/>
      <c r="I1172" s="46" t="n"/>
      <c r="J1172" s="46" t="n"/>
      <c r="K1172" s="46" t="n"/>
      <c r="L1172" s="46" t="n"/>
      <c r="M1172" s="51" t="str">
        <f>IF(NOT(ISNUMBER($E1172)),"",IF($C1172="Receipt",$E1172,IF($C1172="Shipment",-$E1172,IF($C1172="Adjustment",$E1172,0))))</f>
        <v/>
      </c>
      <c r="N1172" s="49" t="str">
        <f>IF($D1172="","",IFERROR(INDEX(Products!$B$2:$B$101,MATCH($D1172,Products!$A$2:$A$101,0))&amp;"","(not found)"))</f>
        <v/>
      </c>
      <c r="O1172" s="49" t="str">
        <f>IF($F1172="","",IFERROR(INDEX(Batches!$B$2:$B$301,MATCH($F1172,Batches!$A$2:$A$301,0))&amp;"","(not found)"))</f>
        <v/>
      </c>
      <c r="P1172" s="49" t="str">
        <f>IF(COUNTA($A1172:$L1172)=0,"",IF($A1172="","Missing: entry ID",IF(COUNTIF($A$2:$A$2001,$A1172)&gt;1,"Duplicate entry ID",IF(NOT(ISNUMBER($B1172)),"Missing or invalid: date",IF($C1172="","Missing: type",IF($D1172="","Missing: SKU",IF(NOT(ISNUMBER($E1172)),"Missing: qty",IF($F1172="","Missing: lot",IF($I1172="","Missing: source link",IF(COUNTIF(Config!$A$15:$A$34,$C1172)=0,"Unsupported type",IF(COUNTIF(Products!$A$2:$A$101,$D1172)=0,"Unknown SKU",IF(COUNTIFS(Batches!$A$2:$A$301,$F1172,Batches!$B$2:$B$301,$D1172)=0,"Unknown lot for this SKU",IF(AND($C1172="Adjustment",$G1172=""),"Missing: reason",IF(AND($G1172&lt;&gt;"",COUNTIF(Config!$B$15:$B$34,$G1172)=0),"Unsupported reason",IF(OR(INT($E1172)&lt;&gt;$E1172,AND(OR($C1172="Receipt",$C1172="Shipment"),$E1172&lt;=0),AND($C1172="Adjustment",$E1172=0)),"Invalid qty",IF($B1172&gt;Config!$B$4,"Date after the as-of date",IF($B1172&lt;Config!$B$5,"Date before the opening balance date","OK")))))))))))))))))</f>
        <v/>
      </c>
    </row>
    <row r="1173">
      <c r="A1173" s="46" t="n"/>
      <c r="B1173" s="54" t="n"/>
      <c r="C1173" s="46" t="n"/>
      <c r="D1173" s="46" t="n"/>
      <c r="E1173" s="55" t="n"/>
      <c r="F1173" s="46" t="n"/>
      <c r="G1173" s="46" t="n"/>
      <c r="H1173" s="46" t="n"/>
      <c r="I1173" s="46" t="n"/>
      <c r="J1173" s="46" t="n"/>
      <c r="K1173" s="46" t="n"/>
      <c r="L1173" s="46" t="n"/>
      <c r="M1173" s="51" t="str">
        <f>IF(NOT(ISNUMBER($E1173)),"",IF($C1173="Receipt",$E1173,IF($C1173="Shipment",-$E1173,IF($C1173="Adjustment",$E1173,0))))</f>
        <v/>
      </c>
      <c r="N1173" s="49" t="str">
        <f>IF($D1173="","",IFERROR(INDEX(Products!$B$2:$B$101,MATCH($D1173,Products!$A$2:$A$101,0))&amp;"","(not found)"))</f>
        <v/>
      </c>
      <c r="O1173" s="49" t="str">
        <f>IF($F1173="","",IFERROR(INDEX(Batches!$B$2:$B$301,MATCH($F1173,Batches!$A$2:$A$301,0))&amp;"","(not found)"))</f>
        <v/>
      </c>
      <c r="P1173" s="49" t="str">
        <f>IF(COUNTA($A1173:$L1173)=0,"",IF($A1173="","Missing: entry ID",IF(COUNTIF($A$2:$A$2001,$A1173)&gt;1,"Duplicate entry ID",IF(NOT(ISNUMBER($B1173)),"Missing or invalid: date",IF($C1173="","Missing: type",IF($D1173="","Missing: SKU",IF(NOT(ISNUMBER($E1173)),"Missing: qty",IF($F1173="","Missing: lot",IF($I1173="","Missing: source link",IF(COUNTIF(Config!$A$15:$A$34,$C1173)=0,"Unsupported type",IF(COUNTIF(Products!$A$2:$A$101,$D1173)=0,"Unknown SKU",IF(COUNTIFS(Batches!$A$2:$A$301,$F1173,Batches!$B$2:$B$301,$D1173)=0,"Unknown lot for this SKU",IF(AND($C1173="Adjustment",$G1173=""),"Missing: reason",IF(AND($G1173&lt;&gt;"",COUNTIF(Config!$B$15:$B$34,$G1173)=0),"Unsupported reason",IF(OR(INT($E1173)&lt;&gt;$E1173,AND(OR($C1173="Receipt",$C1173="Shipment"),$E1173&lt;=0),AND($C1173="Adjustment",$E1173=0)),"Invalid qty",IF($B1173&gt;Config!$B$4,"Date after the as-of date",IF($B1173&lt;Config!$B$5,"Date before the opening balance date","OK")))))))))))))))))</f>
        <v/>
      </c>
    </row>
    <row r="1174">
      <c r="A1174" s="46" t="n"/>
      <c r="B1174" s="54" t="n"/>
      <c r="C1174" s="46" t="n"/>
      <c r="D1174" s="46" t="n"/>
      <c r="E1174" s="55" t="n"/>
      <c r="F1174" s="46" t="n"/>
      <c r="G1174" s="46" t="n"/>
      <c r="H1174" s="46" t="n"/>
      <c r="I1174" s="46" t="n"/>
      <c r="J1174" s="46" t="n"/>
      <c r="K1174" s="46" t="n"/>
      <c r="L1174" s="46" t="n"/>
      <c r="M1174" s="51" t="str">
        <f>IF(NOT(ISNUMBER($E1174)),"",IF($C1174="Receipt",$E1174,IF($C1174="Shipment",-$E1174,IF($C1174="Adjustment",$E1174,0))))</f>
        <v/>
      </c>
      <c r="N1174" s="49" t="str">
        <f>IF($D1174="","",IFERROR(INDEX(Products!$B$2:$B$101,MATCH($D1174,Products!$A$2:$A$101,0))&amp;"","(not found)"))</f>
        <v/>
      </c>
      <c r="O1174" s="49" t="str">
        <f>IF($F1174="","",IFERROR(INDEX(Batches!$B$2:$B$301,MATCH($F1174,Batches!$A$2:$A$301,0))&amp;"","(not found)"))</f>
        <v/>
      </c>
      <c r="P1174" s="49" t="str">
        <f>IF(COUNTA($A1174:$L1174)=0,"",IF($A1174="","Missing: entry ID",IF(COUNTIF($A$2:$A$2001,$A1174)&gt;1,"Duplicate entry ID",IF(NOT(ISNUMBER($B1174)),"Missing or invalid: date",IF($C1174="","Missing: type",IF($D1174="","Missing: SKU",IF(NOT(ISNUMBER($E1174)),"Missing: qty",IF($F1174="","Missing: lot",IF($I1174="","Missing: source link",IF(COUNTIF(Config!$A$15:$A$34,$C1174)=0,"Unsupported type",IF(COUNTIF(Products!$A$2:$A$101,$D1174)=0,"Unknown SKU",IF(COUNTIFS(Batches!$A$2:$A$301,$F1174,Batches!$B$2:$B$301,$D1174)=0,"Unknown lot for this SKU",IF(AND($C1174="Adjustment",$G1174=""),"Missing: reason",IF(AND($G1174&lt;&gt;"",COUNTIF(Config!$B$15:$B$34,$G1174)=0),"Unsupported reason",IF(OR(INT($E1174)&lt;&gt;$E1174,AND(OR($C1174="Receipt",$C1174="Shipment"),$E1174&lt;=0),AND($C1174="Adjustment",$E1174=0)),"Invalid qty",IF($B1174&gt;Config!$B$4,"Date after the as-of date",IF($B1174&lt;Config!$B$5,"Date before the opening balance date","OK")))))))))))))))))</f>
        <v/>
      </c>
    </row>
    <row r="1175">
      <c r="A1175" s="46" t="n"/>
      <c r="B1175" s="54" t="n"/>
      <c r="C1175" s="46" t="n"/>
      <c r="D1175" s="46" t="n"/>
      <c r="E1175" s="55" t="n"/>
      <c r="F1175" s="46" t="n"/>
      <c r="G1175" s="46" t="n"/>
      <c r="H1175" s="46" t="n"/>
      <c r="I1175" s="46" t="n"/>
      <c r="J1175" s="46" t="n"/>
      <c r="K1175" s="46" t="n"/>
      <c r="L1175" s="46" t="n"/>
      <c r="M1175" s="51" t="str">
        <f>IF(NOT(ISNUMBER($E1175)),"",IF($C1175="Receipt",$E1175,IF($C1175="Shipment",-$E1175,IF($C1175="Adjustment",$E1175,0))))</f>
        <v/>
      </c>
      <c r="N1175" s="49" t="str">
        <f>IF($D1175="","",IFERROR(INDEX(Products!$B$2:$B$101,MATCH($D1175,Products!$A$2:$A$101,0))&amp;"","(not found)"))</f>
        <v/>
      </c>
      <c r="O1175" s="49" t="str">
        <f>IF($F1175="","",IFERROR(INDEX(Batches!$B$2:$B$301,MATCH($F1175,Batches!$A$2:$A$301,0))&amp;"","(not found)"))</f>
        <v/>
      </c>
      <c r="P1175" s="49" t="str">
        <f>IF(COUNTA($A1175:$L1175)=0,"",IF($A1175="","Missing: entry ID",IF(COUNTIF($A$2:$A$2001,$A1175)&gt;1,"Duplicate entry ID",IF(NOT(ISNUMBER($B1175)),"Missing or invalid: date",IF($C1175="","Missing: type",IF($D1175="","Missing: SKU",IF(NOT(ISNUMBER($E1175)),"Missing: qty",IF($F1175="","Missing: lot",IF($I1175="","Missing: source link",IF(COUNTIF(Config!$A$15:$A$34,$C1175)=0,"Unsupported type",IF(COUNTIF(Products!$A$2:$A$101,$D1175)=0,"Unknown SKU",IF(COUNTIFS(Batches!$A$2:$A$301,$F1175,Batches!$B$2:$B$301,$D1175)=0,"Unknown lot for this SKU",IF(AND($C1175="Adjustment",$G1175=""),"Missing: reason",IF(AND($G1175&lt;&gt;"",COUNTIF(Config!$B$15:$B$34,$G1175)=0),"Unsupported reason",IF(OR(INT($E1175)&lt;&gt;$E1175,AND(OR($C1175="Receipt",$C1175="Shipment"),$E1175&lt;=0),AND($C1175="Adjustment",$E1175=0)),"Invalid qty",IF($B1175&gt;Config!$B$4,"Date after the as-of date",IF($B1175&lt;Config!$B$5,"Date before the opening balance date","OK")))))))))))))))))</f>
        <v/>
      </c>
    </row>
    <row r="1176">
      <c r="A1176" s="46" t="n"/>
      <c r="B1176" s="54" t="n"/>
      <c r="C1176" s="46" t="n"/>
      <c r="D1176" s="46" t="n"/>
      <c r="E1176" s="55" t="n"/>
      <c r="F1176" s="46" t="n"/>
      <c r="G1176" s="46" t="n"/>
      <c r="H1176" s="46" t="n"/>
      <c r="I1176" s="46" t="n"/>
      <c r="J1176" s="46" t="n"/>
      <c r="K1176" s="46" t="n"/>
      <c r="L1176" s="46" t="n"/>
      <c r="M1176" s="51" t="str">
        <f>IF(NOT(ISNUMBER($E1176)),"",IF($C1176="Receipt",$E1176,IF($C1176="Shipment",-$E1176,IF($C1176="Adjustment",$E1176,0))))</f>
        <v/>
      </c>
      <c r="N1176" s="49" t="str">
        <f>IF($D1176="","",IFERROR(INDEX(Products!$B$2:$B$101,MATCH($D1176,Products!$A$2:$A$101,0))&amp;"","(not found)"))</f>
        <v/>
      </c>
      <c r="O1176" s="49" t="str">
        <f>IF($F1176="","",IFERROR(INDEX(Batches!$B$2:$B$301,MATCH($F1176,Batches!$A$2:$A$301,0))&amp;"","(not found)"))</f>
        <v/>
      </c>
      <c r="P1176" s="49" t="str">
        <f>IF(COUNTA($A1176:$L1176)=0,"",IF($A1176="","Missing: entry ID",IF(COUNTIF($A$2:$A$2001,$A1176)&gt;1,"Duplicate entry ID",IF(NOT(ISNUMBER($B1176)),"Missing or invalid: date",IF($C1176="","Missing: type",IF($D1176="","Missing: SKU",IF(NOT(ISNUMBER($E1176)),"Missing: qty",IF($F1176="","Missing: lot",IF($I1176="","Missing: source link",IF(COUNTIF(Config!$A$15:$A$34,$C1176)=0,"Unsupported type",IF(COUNTIF(Products!$A$2:$A$101,$D1176)=0,"Unknown SKU",IF(COUNTIFS(Batches!$A$2:$A$301,$F1176,Batches!$B$2:$B$301,$D1176)=0,"Unknown lot for this SKU",IF(AND($C1176="Adjustment",$G1176=""),"Missing: reason",IF(AND($G1176&lt;&gt;"",COUNTIF(Config!$B$15:$B$34,$G1176)=0),"Unsupported reason",IF(OR(INT($E1176)&lt;&gt;$E1176,AND(OR($C1176="Receipt",$C1176="Shipment"),$E1176&lt;=0),AND($C1176="Adjustment",$E1176=0)),"Invalid qty",IF($B1176&gt;Config!$B$4,"Date after the as-of date",IF($B1176&lt;Config!$B$5,"Date before the opening balance date","OK")))))))))))))))))</f>
        <v/>
      </c>
    </row>
    <row r="1177">
      <c r="A1177" s="46" t="n"/>
      <c r="B1177" s="54" t="n"/>
      <c r="C1177" s="46" t="n"/>
      <c r="D1177" s="46" t="n"/>
      <c r="E1177" s="55" t="n"/>
      <c r="F1177" s="46" t="n"/>
      <c r="G1177" s="46" t="n"/>
      <c r="H1177" s="46" t="n"/>
      <c r="I1177" s="46" t="n"/>
      <c r="J1177" s="46" t="n"/>
      <c r="K1177" s="46" t="n"/>
      <c r="L1177" s="46" t="n"/>
      <c r="M1177" s="51" t="str">
        <f>IF(NOT(ISNUMBER($E1177)),"",IF($C1177="Receipt",$E1177,IF($C1177="Shipment",-$E1177,IF($C1177="Adjustment",$E1177,0))))</f>
        <v/>
      </c>
      <c r="N1177" s="49" t="str">
        <f>IF($D1177="","",IFERROR(INDEX(Products!$B$2:$B$101,MATCH($D1177,Products!$A$2:$A$101,0))&amp;"","(not found)"))</f>
        <v/>
      </c>
      <c r="O1177" s="49" t="str">
        <f>IF($F1177="","",IFERROR(INDEX(Batches!$B$2:$B$301,MATCH($F1177,Batches!$A$2:$A$301,0))&amp;"","(not found)"))</f>
        <v/>
      </c>
      <c r="P1177" s="49" t="str">
        <f>IF(COUNTA($A1177:$L1177)=0,"",IF($A1177="","Missing: entry ID",IF(COUNTIF($A$2:$A$2001,$A1177)&gt;1,"Duplicate entry ID",IF(NOT(ISNUMBER($B1177)),"Missing or invalid: date",IF($C1177="","Missing: type",IF($D1177="","Missing: SKU",IF(NOT(ISNUMBER($E1177)),"Missing: qty",IF($F1177="","Missing: lot",IF($I1177="","Missing: source link",IF(COUNTIF(Config!$A$15:$A$34,$C1177)=0,"Unsupported type",IF(COUNTIF(Products!$A$2:$A$101,$D1177)=0,"Unknown SKU",IF(COUNTIFS(Batches!$A$2:$A$301,$F1177,Batches!$B$2:$B$301,$D1177)=0,"Unknown lot for this SKU",IF(AND($C1177="Adjustment",$G1177=""),"Missing: reason",IF(AND($G1177&lt;&gt;"",COUNTIF(Config!$B$15:$B$34,$G1177)=0),"Unsupported reason",IF(OR(INT($E1177)&lt;&gt;$E1177,AND(OR($C1177="Receipt",$C1177="Shipment"),$E1177&lt;=0),AND($C1177="Adjustment",$E1177=0)),"Invalid qty",IF($B1177&gt;Config!$B$4,"Date after the as-of date",IF($B1177&lt;Config!$B$5,"Date before the opening balance date","OK")))))))))))))))))</f>
        <v/>
      </c>
    </row>
    <row r="1178">
      <c r="A1178" s="46" t="n"/>
      <c r="B1178" s="54" t="n"/>
      <c r="C1178" s="46" t="n"/>
      <c r="D1178" s="46" t="n"/>
      <c r="E1178" s="55" t="n"/>
      <c r="F1178" s="46" t="n"/>
      <c r="G1178" s="46" t="n"/>
      <c r="H1178" s="46" t="n"/>
      <c r="I1178" s="46" t="n"/>
      <c r="J1178" s="46" t="n"/>
      <c r="K1178" s="46" t="n"/>
      <c r="L1178" s="46" t="n"/>
      <c r="M1178" s="51" t="str">
        <f>IF(NOT(ISNUMBER($E1178)),"",IF($C1178="Receipt",$E1178,IF($C1178="Shipment",-$E1178,IF($C1178="Adjustment",$E1178,0))))</f>
        <v/>
      </c>
      <c r="N1178" s="49" t="str">
        <f>IF($D1178="","",IFERROR(INDEX(Products!$B$2:$B$101,MATCH($D1178,Products!$A$2:$A$101,0))&amp;"","(not found)"))</f>
        <v/>
      </c>
      <c r="O1178" s="49" t="str">
        <f>IF($F1178="","",IFERROR(INDEX(Batches!$B$2:$B$301,MATCH($F1178,Batches!$A$2:$A$301,0))&amp;"","(not found)"))</f>
        <v/>
      </c>
      <c r="P1178" s="49" t="str">
        <f>IF(COUNTA($A1178:$L1178)=0,"",IF($A1178="","Missing: entry ID",IF(COUNTIF($A$2:$A$2001,$A1178)&gt;1,"Duplicate entry ID",IF(NOT(ISNUMBER($B1178)),"Missing or invalid: date",IF($C1178="","Missing: type",IF($D1178="","Missing: SKU",IF(NOT(ISNUMBER($E1178)),"Missing: qty",IF($F1178="","Missing: lot",IF($I1178="","Missing: source link",IF(COUNTIF(Config!$A$15:$A$34,$C1178)=0,"Unsupported type",IF(COUNTIF(Products!$A$2:$A$101,$D1178)=0,"Unknown SKU",IF(COUNTIFS(Batches!$A$2:$A$301,$F1178,Batches!$B$2:$B$301,$D1178)=0,"Unknown lot for this SKU",IF(AND($C1178="Adjustment",$G1178=""),"Missing: reason",IF(AND($G1178&lt;&gt;"",COUNTIF(Config!$B$15:$B$34,$G1178)=0),"Unsupported reason",IF(OR(INT($E1178)&lt;&gt;$E1178,AND(OR($C1178="Receipt",$C1178="Shipment"),$E1178&lt;=0),AND($C1178="Adjustment",$E1178=0)),"Invalid qty",IF($B1178&gt;Config!$B$4,"Date after the as-of date",IF($B1178&lt;Config!$B$5,"Date before the opening balance date","OK")))))))))))))))))</f>
        <v/>
      </c>
    </row>
    <row r="1179">
      <c r="A1179" s="46" t="n"/>
      <c r="B1179" s="54" t="n"/>
      <c r="C1179" s="46" t="n"/>
      <c r="D1179" s="46" t="n"/>
      <c r="E1179" s="55" t="n"/>
      <c r="F1179" s="46" t="n"/>
      <c r="G1179" s="46" t="n"/>
      <c r="H1179" s="46" t="n"/>
      <c r="I1179" s="46" t="n"/>
      <c r="J1179" s="46" t="n"/>
      <c r="K1179" s="46" t="n"/>
      <c r="L1179" s="46" t="n"/>
      <c r="M1179" s="51" t="str">
        <f>IF(NOT(ISNUMBER($E1179)),"",IF($C1179="Receipt",$E1179,IF($C1179="Shipment",-$E1179,IF($C1179="Adjustment",$E1179,0))))</f>
        <v/>
      </c>
      <c r="N1179" s="49" t="str">
        <f>IF($D1179="","",IFERROR(INDEX(Products!$B$2:$B$101,MATCH($D1179,Products!$A$2:$A$101,0))&amp;"","(not found)"))</f>
        <v/>
      </c>
      <c r="O1179" s="49" t="str">
        <f>IF($F1179="","",IFERROR(INDEX(Batches!$B$2:$B$301,MATCH($F1179,Batches!$A$2:$A$301,0))&amp;"","(not found)"))</f>
        <v/>
      </c>
      <c r="P1179" s="49" t="str">
        <f>IF(COUNTA($A1179:$L1179)=0,"",IF($A1179="","Missing: entry ID",IF(COUNTIF($A$2:$A$2001,$A1179)&gt;1,"Duplicate entry ID",IF(NOT(ISNUMBER($B1179)),"Missing or invalid: date",IF($C1179="","Missing: type",IF($D1179="","Missing: SKU",IF(NOT(ISNUMBER($E1179)),"Missing: qty",IF($F1179="","Missing: lot",IF($I1179="","Missing: source link",IF(COUNTIF(Config!$A$15:$A$34,$C1179)=0,"Unsupported type",IF(COUNTIF(Products!$A$2:$A$101,$D1179)=0,"Unknown SKU",IF(COUNTIFS(Batches!$A$2:$A$301,$F1179,Batches!$B$2:$B$301,$D1179)=0,"Unknown lot for this SKU",IF(AND($C1179="Adjustment",$G1179=""),"Missing: reason",IF(AND($G1179&lt;&gt;"",COUNTIF(Config!$B$15:$B$34,$G1179)=0),"Unsupported reason",IF(OR(INT($E1179)&lt;&gt;$E1179,AND(OR($C1179="Receipt",$C1179="Shipment"),$E1179&lt;=0),AND($C1179="Adjustment",$E1179=0)),"Invalid qty",IF($B1179&gt;Config!$B$4,"Date after the as-of date",IF($B1179&lt;Config!$B$5,"Date before the opening balance date","OK")))))))))))))))))</f>
        <v/>
      </c>
    </row>
    <row r="1180">
      <c r="A1180" s="46" t="n"/>
      <c r="B1180" s="54" t="n"/>
      <c r="C1180" s="46" t="n"/>
      <c r="D1180" s="46" t="n"/>
      <c r="E1180" s="55" t="n"/>
      <c r="F1180" s="46" t="n"/>
      <c r="G1180" s="46" t="n"/>
      <c r="H1180" s="46" t="n"/>
      <c r="I1180" s="46" t="n"/>
      <c r="J1180" s="46" t="n"/>
      <c r="K1180" s="46" t="n"/>
      <c r="L1180" s="46" t="n"/>
      <c r="M1180" s="51" t="str">
        <f>IF(NOT(ISNUMBER($E1180)),"",IF($C1180="Receipt",$E1180,IF($C1180="Shipment",-$E1180,IF($C1180="Adjustment",$E1180,0))))</f>
        <v/>
      </c>
      <c r="N1180" s="49" t="str">
        <f>IF($D1180="","",IFERROR(INDEX(Products!$B$2:$B$101,MATCH($D1180,Products!$A$2:$A$101,0))&amp;"","(not found)"))</f>
        <v/>
      </c>
      <c r="O1180" s="49" t="str">
        <f>IF($F1180="","",IFERROR(INDEX(Batches!$B$2:$B$301,MATCH($F1180,Batches!$A$2:$A$301,0))&amp;"","(not found)"))</f>
        <v/>
      </c>
      <c r="P1180" s="49" t="str">
        <f>IF(COUNTA($A1180:$L1180)=0,"",IF($A1180="","Missing: entry ID",IF(COUNTIF($A$2:$A$2001,$A1180)&gt;1,"Duplicate entry ID",IF(NOT(ISNUMBER($B1180)),"Missing or invalid: date",IF($C1180="","Missing: type",IF($D1180="","Missing: SKU",IF(NOT(ISNUMBER($E1180)),"Missing: qty",IF($F1180="","Missing: lot",IF($I1180="","Missing: source link",IF(COUNTIF(Config!$A$15:$A$34,$C1180)=0,"Unsupported type",IF(COUNTIF(Products!$A$2:$A$101,$D1180)=0,"Unknown SKU",IF(COUNTIFS(Batches!$A$2:$A$301,$F1180,Batches!$B$2:$B$301,$D1180)=0,"Unknown lot for this SKU",IF(AND($C1180="Adjustment",$G1180=""),"Missing: reason",IF(AND($G1180&lt;&gt;"",COUNTIF(Config!$B$15:$B$34,$G1180)=0),"Unsupported reason",IF(OR(INT($E1180)&lt;&gt;$E1180,AND(OR($C1180="Receipt",$C1180="Shipment"),$E1180&lt;=0),AND($C1180="Adjustment",$E1180=0)),"Invalid qty",IF($B1180&gt;Config!$B$4,"Date after the as-of date",IF($B1180&lt;Config!$B$5,"Date before the opening balance date","OK")))))))))))))))))</f>
        <v/>
      </c>
    </row>
    <row r="1181">
      <c r="A1181" s="46" t="n"/>
      <c r="B1181" s="54" t="n"/>
      <c r="C1181" s="46" t="n"/>
      <c r="D1181" s="46" t="n"/>
      <c r="E1181" s="55" t="n"/>
      <c r="F1181" s="46" t="n"/>
      <c r="G1181" s="46" t="n"/>
      <c r="H1181" s="46" t="n"/>
      <c r="I1181" s="46" t="n"/>
      <c r="J1181" s="46" t="n"/>
      <c r="K1181" s="46" t="n"/>
      <c r="L1181" s="46" t="n"/>
      <c r="M1181" s="51" t="str">
        <f>IF(NOT(ISNUMBER($E1181)),"",IF($C1181="Receipt",$E1181,IF($C1181="Shipment",-$E1181,IF($C1181="Adjustment",$E1181,0))))</f>
        <v/>
      </c>
      <c r="N1181" s="49" t="str">
        <f>IF($D1181="","",IFERROR(INDEX(Products!$B$2:$B$101,MATCH($D1181,Products!$A$2:$A$101,0))&amp;"","(not found)"))</f>
        <v/>
      </c>
      <c r="O1181" s="49" t="str">
        <f>IF($F1181="","",IFERROR(INDEX(Batches!$B$2:$B$301,MATCH($F1181,Batches!$A$2:$A$301,0))&amp;"","(not found)"))</f>
        <v/>
      </c>
      <c r="P1181" s="49" t="str">
        <f>IF(COUNTA($A1181:$L1181)=0,"",IF($A1181="","Missing: entry ID",IF(COUNTIF($A$2:$A$2001,$A1181)&gt;1,"Duplicate entry ID",IF(NOT(ISNUMBER($B1181)),"Missing or invalid: date",IF($C1181="","Missing: type",IF($D1181="","Missing: SKU",IF(NOT(ISNUMBER($E1181)),"Missing: qty",IF($F1181="","Missing: lot",IF($I1181="","Missing: source link",IF(COUNTIF(Config!$A$15:$A$34,$C1181)=0,"Unsupported type",IF(COUNTIF(Products!$A$2:$A$101,$D1181)=0,"Unknown SKU",IF(COUNTIFS(Batches!$A$2:$A$301,$F1181,Batches!$B$2:$B$301,$D1181)=0,"Unknown lot for this SKU",IF(AND($C1181="Adjustment",$G1181=""),"Missing: reason",IF(AND($G1181&lt;&gt;"",COUNTIF(Config!$B$15:$B$34,$G1181)=0),"Unsupported reason",IF(OR(INT($E1181)&lt;&gt;$E1181,AND(OR($C1181="Receipt",$C1181="Shipment"),$E1181&lt;=0),AND($C1181="Adjustment",$E1181=0)),"Invalid qty",IF($B1181&gt;Config!$B$4,"Date after the as-of date",IF($B1181&lt;Config!$B$5,"Date before the opening balance date","OK")))))))))))))))))</f>
        <v/>
      </c>
    </row>
    <row r="1182">
      <c r="A1182" s="46" t="n"/>
      <c r="B1182" s="54" t="n"/>
      <c r="C1182" s="46" t="n"/>
      <c r="D1182" s="46" t="n"/>
      <c r="E1182" s="55" t="n"/>
      <c r="F1182" s="46" t="n"/>
      <c r="G1182" s="46" t="n"/>
      <c r="H1182" s="46" t="n"/>
      <c r="I1182" s="46" t="n"/>
      <c r="J1182" s="46" t="n"/>
      <c r="K1182" s="46" t="n"/>
      <c r="L1182" s="46" t="n"/>
      <c r="M1182" s="51" t="str">
        <f>IF(NOT(ISNUMBER($E1182)),"",IF($C1182="Receipt",$E1182,IF($C1182="Shipment",-$E1182,IF($C1182="Adjustment",$E1182,0))))</f>
        <v/>
      </c>
      <c r="N1182" s="49" t="str">
        <f>IF($D1182="","",IFERROR(INDEX(Products!$B$2:$B$101,MATCH($D1182,Products!$A$2:$A$101,0))&amp;"","(not found)"))</f>
        <v/>
      </c>
      <c r="O1182" s="49" t="str">
        <f>IF($F1182="","",IFERROR(INDEX(Batches!$B$2:$B$301,MATCH($F1182,Batches!$A$2:$A$301,0))&amp;"","(not found)"))</f>
        <v/>
      </c>
      <c r="P1182" s="49" t="str">
        <f>IF(COUNTA($A1182:$L1182)=0,"",IF($A1182="","Missing: entry ID",IF(COUNTIF($A$2:$A$2001,$A1182)&gt;1,"Duplicate entry ID",IF(NOT(ISNUMBER($B1182)),"Missing or invalid: date",IF($C1182="","Missing: type",IF($D1182="","Missing: SKU",IF(NOT(ISNUMBER($E1182)),"Missing: qty",IF($F1182="","Missing: lot",IF($I1182="","Missing: source link",IF(COUNTIF(Config!$A$15:$A$34,$C1182)=0,"Unsupported type",IF(COUNTIF(Products!$A$2:$A$101,$D1182)=0,"Unknown SKU",IF(COUNTIFS(Batches!$A$2:$A$301,$F1182,Batches!$B$2:$B$301,$D1182)=0,"Unknown lot for this SKU",IF(AND($C1182="Adjustment",$G1182=""),"Missing: reason",IF(AND($G1182&lt;&gt;"",COUNTIF(Config!$B$15:$B$34,$G1182)=0),"Unsupported reason",IF(OR(INT($E1182)&lt;&gt;$E1182,AND(OR($C1182="Receipt",$C1182="Shipment"),$E1182&lt;=0),AND($C1182="Adjustment",$E1182=0)),"Invalid qty",IF($B1182&gt;Config!$B$4,"Date after the as-of date",IF($B1182&lt;Config!$B$5,"Date before the opening balance date","OK")))))))))))))))))</f>
        <v/>
      </c>
    </row>
    <row r="1183">
      <c r="A1183" s="46" t="n"/>
      <c r="B1183" s="54" t="n"/>
      <c r="C1183" s="46" t="n"/>
      <c r="D1183" s="46" t="n"/>
      <c r="E1183" s="55" t="n"/>
      <c r="F1183" s="46" t="n"/>
      <c r="G1183" s="46" t="n"/>
      <c r="H1183" s="46" t="n"/>
      <c r="I1183" s="46" t="n"/>
      <c r="J1183" s="46" t="n"/>
      <c r="K1183" s="46" t="n"/>
      <c r="L1183" s="46" t="n"/>
      <c r="M1183" s="51" t="str">
        <f>IF(NOT(ISNUMBER($E1183)),"",IF($C1183="Receipt",$E1183,IF($C1183="Shipment",-$E1183,IF($C1183="Adjustment",$E1183,0))))</f>
        <v/>
      </c>
      <c r="N1183" s="49" t="str">
        <f>IF($D1183="","",IFERROR(INDEX(Products!$B$2:$B$101,MATCH($D1183,Products!$A$2:$A$101,0))&amp;"","(not found)"))</f>
        <v/>
      </c>
      <c r="O1183" s="49" t="str">
        <f>IF($F1183="","",IFERROR(INDEX(Batches!$B$2:$B$301,MATCH($F1183,Batches!$A$2:$A$301,0))&amp;"","(not found)"))</f>
        <v/>
      </c>
      <c r="P1183" s="49" t="str">
        <f>IF(COUNTA($A1183:$L1183)=0,"",IF($A1183="","Missing: entry ID",IF(COUNTIF($A$2:$A$2001,$A1183)&gt;1,"Duplicate entry ID",IF(NOT(ISNUMBER($B1183)),"Missing or invalid: date",IF($C1183="","Missing: type",IF($D1183="","Missing: SKU",IF(NOT(ISNUMBER($E1183)),"Missing: qty",IF($F1183="","Missing: lot",IF($I1183="","Missing: source link",IF(COUNTIF(Config!$A$15:$A$34,$C1183)=0,"Unsupported type",IF(COUNTIF(Products!$A$2:$A$101,$D1183)=0,"Unknown SKU",IF(COUNTIFS(Batches!$A$2:$A$301,$F1183,Batches!$B$2:$B$301,$D1183)=0,"Unknown lot for this SKU",IF(AND($C1183="Adjustment",$G1183=""),"Missing: reason",IF(AND($G1183&lt;&gt;"",COUNTIF(Config!$B$15:$B$34,$G1183)=0),"Unsupported reason",IF(OR(INT($E1183)&lt;&gt;$E1183,AND(OR($C1183="Receipt",$C1183="Shipment"),$E1183&lt;=0),AND($C1183="Adjustment",$E1183=0)),"Invalid qty",IF($B1183&gt;Config!$B$4,"Date after the as-of date",IF($B1183&lt;Config!$B$5,"Date before the opening balance date","OK")))))))))))))))))</f>
        <v/>
      </c>
    </row>
    <row r="1184">
      <c r="A1184" s="46" t="n"/>
      <c r="B1184" s="54" t="n"/>
      <c r="C1184" s="46" t="n"/>
      <c r="D1184" s="46" t="n"/>
      <c r="E1184" s="55" t="n"/>
      <c r="F1184" s="46" t="n"/>
      <c r="G1184" s="46" t="n"/>
      <c r="H1184" s="46" t="n"/>
      <c r="I1184" s="46" t="n"/>
      <c r="J1184" s="46" t="n"/>
      <c r="K1184" s="46" t="n"/>
      <c r="L1184" s="46" t="n"/>
      <c r="M1184" s="51" t="str">
        <f>IF(NOT(ISNUMBER($E1184)),"",IF($C1184="Receipt",$E1184,IF($C1184="Shipment",-$E1184,IF($C1184="Adjustment",$E1184,0))))</f>
        <v/>
      </c>
      <c r="N1184" s="49" t="str">
        <f>IF($D1184="","",IFERROR(INDEX(Products!$B$2:$B$101,MATCH($D1184,Products!$A$2:$A$101,0))&amp;"","(not found)"))</f>
        <v/>
      </c>
      <c r="O1184" s="49" t="str">
        <f>IF($F1184="","",IFERROR(INDEX(Batches!$B$2:$B$301,MATCH($F1184,Batches!$A$2:$A$301,0))&amp;"","(not found)"))</f>
        <v/>
      </c>
      <c r="P1184" s="49" t="str">
        <f>IF(COUNTA($A1184:$L1184)=0,"",IF($A1184="","Missing: entry ID",IF(COUNTIF($A$2:$A$2001,$A1184)&gt;1,"Duplicate entry ID",IF(NOT(ISNUMBER($B1184)),"Missing or invalid: date",IF($C1184="","Missing: type",IF($D1184="","Missing: SKU",IF(NOT(ISNUMBER($E1184)),"Missing: qty",IF($F1184="","Missing: lot",IF($I1184="","Missing: source link",IF(COUNTIF(Config!$A$15:$A$34,$C1184)=0,"Unsupported type",IF(COUNTIF(Products!$A$2:$A$101,$D1184)=0,"Unknown SKU",IF(COUNTIFS(Batches!$A$2:$A$301,$F1184,Batches!$B$2:$B$301,$D1184)=0,"Unknown lot for this SKU",IF(AND($C1184="Adjustment",$G1184=""),"Missing: reason",IF(AND($G1184&lt;&gt;"",COUNTIF(Config!$B$15:$B$34,$G1184)=0),"Unsupported reason",IF(OR(INT($E1184)&lt;&gt;$E1184,AND(OR($C1184="Receipt",$C1184="Shipment"),$E1184&lt;=0),AND($C1184="Adjustment",$E1184=0)),"Invalid qty",IF($B1184&gt;Config!$B$4,"Date after the as-of date",IF($B1184&lt;Config!$B$5,"Date before the opening balance date","OK")))))))))))))))))</f>
        <v/>
      </c>
    </row>
    <row r="1185">
      <c r="A1185" s="46" t="n"/>
      <c r="B1185" s="54" t="n"/>
      <c r="C1185" s="46" t="n"/>
      <c r="D1185" s="46" t="n"/>
      <c r="E1185" s="55" t="n"/>
      <c r="F1185" s="46" t="n"/>
      <c r="G1185" s="46" t="n"/>
      <c r="H1185" s="46" t="n"/>
      <c r="I1185" s="46" t="n"/>
      <c r="J1185" s="46" t="n"/>
      <c r="K1185" s="46" t="n"/>
      <c r="L1185" s="46" t="n"/>
      <c r="M1185" s="51" t="str">
        <f>IF(NOT(ISNUMBER($E1185)),"",IF($C1185="Receipt",$E1185,IF($C1185="Shipment",-$E1185,IF($C1185="Adjustment",$E1185,0))))</f>
        <v/>
      </c>
      <c r="N1185" s="49" t="str">
        <f>IF($D1185="","",IFERROR(INDEX(Products!$B$2:$B$101,MATCH($D1185,Products!$A$2:$A$101,0))&amp;"","(not found)"))</f>
        <v/>
      </c>
      <c r="O1185" s="49" t="str">
        <f>IF($F1185="","",IFERROR(INDEX(Batches!$B$2:$B$301,MATCH($F1185,Batches!$A$2:$A$301,0))&amp;"","(not found)"))</f>
        <v/>
      </c>
      <c r="P1185" s="49" t="str">
        <f>IF(COUNTA($A1185:$L1185)=0,"",IF($A1185="","Missing: entry ID",IF(COUNTIF($A$2:$A$2001,$A1185)&gt;1,"Duplicate entry ID",IF(NOT(ISNUMBER($B1185)),"Missing or invalid: date",IF($C1185="","Missing: type",IF($D1185="","Missing: SKU",IF(NOT(ISNUMBER($E1185)),"Missing: qty",IF($F1185="","Missing: lot",IF($I1185="","Missing: source link",IF(COUNTIF(Config!$A$15:$A$34,$C1185)=0,"Unsupported type",IF(COUNTIF(Products!$A$2:$A$101,$D1185)=0,"Unknown SKU",IF(COUNTIFS(Batches!$A$2:$A$301,$F1185,Batches!$B$2:$B$301,$D1185)=0,"Unknown lot for this SKU",IF(AND($C1185="Adjustment",$G1185=""),"Missing: reason",IF(AND($G1185&lt;&gt;"",COUNTIF(Config!$B$15:$B$34,$G1185)=0),"Unsupported reason",IF(OR(INT($E1185)&lt;&gt;$E1185,AND(OR($C1185="Receipt",$C1185="Shipment"),$E1185&lt;=0),AND($C1185="Adjustment",$E1185=0)),"Invalid qty",IF($B1185&gt;Config!$B$4,"Date after the as-of date",IF($B1185&lt;Config!$B$5,"Date before the opening balance date","OK")))))))))))))))))</f>
        <v/>
      </c>
    </row>
    <row r="1186">
      <c r="A1186" s="46" t="n"/>
      <c r="B1186" s="54" t="n"/>
      <c r="C1186" s="46" t="n"/>
      <c r="D1186" s="46" t="n"/>
      <c r="E1186" s="55" t="n"/>
      <c r="F1186" s="46" t="n"/>
      <c r="G1186" s="46" t="n"/>
      <c r="H1186" s="46" t="n"/>
      <c r="I1186" s="46" t="n"/>
      <c r="J1186" s="46" t="n"/>
      <c r="K1186" s="46" t="n"/>
      <c r="L1186" s="46" t="n"/>
      <c r="M1186" s="51" t="str">
        <f>IF(NOT(ISNUMBER($E1186)),"",IF($C1186="Receipt",$E1186,IF($C1186="Shipment",-$E1186,IF($C1186="Adjustment",$E1186,0))))</f>
        <v/>
      </c>
      <c r="N1186" s="49" t="str">
        <f>IF($D1186="","",IFERROR(INDEX(Products!$B$2:$B$101,MATCH($D1186,Products!$A$2:$A$101,0))&amp;"","(not found)"))</f>
        <v/>
      </c>
      <c r="O1186" s="49" t="str">
        <f>IF($F1186="","",IFERROR(INDEX(Batches!$B$2:$B$301,MATCH($F1186,Batches!$A$2:$A$301,0))&amp;"","(not found)"))</f>
        <v/>
      </c>
      <c r="P1186" s="49" t="str">
        <f>IF(COUNTA($A1186:$L1186)=0,"",IF($A1186="","Missing: entry ID",IF(COUNTIF($A$2:$A$2001,$A1186)&gt;1,"Duplicate entry ID",IF(NOT(ISNUMBER($B1186)),"Missing or invalid: date",IF($C1186="","Missing: type",IF($D1186="","Missing: SKU",IF(NOT(ISNUMBER($E1186)),"Missing: qty",IF($F1186="","Missing: lot",IF($I1186="","Missing: source link",IF(COUNTIF(Config!$A$15:$A$34,$C1186)=0,"Unsupported type",IF(COUNTIF(Products!$A$2:$A$101,$D1186)=0,"Unknown SKU",IF(COUNTIFS(Batches!$A$2:$A$301,$F1186,Batches!$B$2:$B$301,$D1186)=0,"Unknown lot for this SKU",IF(AND($C1186="Adjustment",$G1186=""),"Missing: reason",IF(AND($G1186&lt;&gt;"",COUNTIF(Config!$B$15:$B$34,$G1186)=0),"Unsupported reason",IF(OR(INT($E1186)&lt;&gt;$E1186,AND(OR($C1186="Receipt",$C1186="Shipment"),$E1186&lt;=0),AND($C1186="Adjustment",$E1186=0)),"Invalid qty",IF($B1186&gt;Config!$B$4,"Date after the as-of date",IF($B1186&lt;Config!$B$5,"Date before the opening balance date","OK")))))))))))))))))</f>
        <v/>
      </c>
    </row>
    <row r="1187">
      <c r="A1187" s="46" t="n"/>
      <c r="B1187" s="54" t="n"/>
      <c r="C1187" s="46" t="n"/>
      <c r="D1187" s="46" t="n"/>
      <c r="E1187" s="55" t="n"/>
      <c r="F1187" s="46" t="n"/>
      <c r="G1187" s="46" t="n"/>
      <c r="H1187" s="46" t="n"/>
      <c r="I1187" s="46" t="n"/>
      <c r="J1187" s="46" t="n"/>
      <c r="K1187" s="46" t="n"/>
      <c r="L1187" s="46" t="n"/>
      <c r="M1187" s="51" t="str">
        <f>IF(NOT(ISNUMBER($E1187)),"",IF($C1187="Receipt",$E1187,IF($C1187="Shipment",-$E1187,IF($C1187="Adjustment",$E1187,0))))</f>
        <v/>
      </c>
      <c r="N1187" s="49" t="str">
        <f>IF($D1187="","",IFERROR(INDEX(Products!$B$2:$B$101,MATCH($D1187,Products!$A$2:$A$101,0))&amp;"","(not found)"))</f>
        <v/>
      </c>
      <c r="O1187" s="49" t="str">
        <f>IF($F1187="","",IFERROR(INDEX(Batches!$B$2:$B$301,MATCH($F1187,Batches!$A$2:$A$301,0))&amp;"","(not found)"))</f>
        <v/>
      </c>
      <c r="P1187" s="49" t="str">
        <f>IF(COUNTA($A1187:$L1187)=0,"",IF($A1187="","Missing: entry ID",IF(COUNTIF($A$2:$A$2001,$A1187)&gt;1,"Duplicate entry ID",IF(NOT(ISNUMBER($B1187)),"Missing or invalid: date",IF($C1187="","Missing: type",IF($D1187="","Missing: SKU",IF(NOT(ISNUMBER($E1187)),"Missing: qty",IF($F1187="","Missing: lot",IF($I1187="","Missing: source link",IF(COUNTIF(Config!$A$15:$A$34,$C1187)=0,"Unsupported type",IF(COUNTIF(Products!$A$2:$A$101,$D1187)=0,"Unknown SKU",IF(COUNTIFS(Batches!$A$2:$A$301,$F1187,Batches!$B$2:$B$301,$D1187)=0,"Unknown lot for this SKU",IF(AND($C1187="Adjustment",$G1187=""),"Missing: reason",IF(AND($G1187&lt;&gt;"",COUNTIF(Config!$B$15:$B$34,$G1187)=0),"Unsupported reason",IF(OR(INT($E1187)&lt;&gt;$E1187,AND(OR($C1187="Receipt",$C1187="Shipment"),$E1187&lt;=0),AND($C1187="Adjustment",$E1187=0)),"Invalid qty",IF($B1187&gt;Config!$B$4,"Date after the as-of date",IF($B1187&lt;Config!$B$5,"Date before the opening balance date","OK")))))))))))))))))</f>
        <v/>
      </c>
    </row>
    <row r="1188">
      <c r="A1188" s="46" t="n"/>
      <c r="B1188" s="54" t="n"/>
      <c r="C1188" s="46" t="n"/>
      <c r="D1188" s="46" t="n"/>
      <c r="E1188" s="55" t="n"/>
      <c r="F1188" s="46" t="n"/>
      <c r="G1188" s="46" t="n"/>
      <c r="H1188" s="46" t="n"/>
      <c r="I1188" s="46" t="n"/>
      <c r="J1188" s="46" t="n"/>
      <c r="K1188" s="46" t="n"/>
      <c r="L1188" s="46" t="n"/>
      <c r="M1188" s="51" t="str">
        <f>IF(NOT(ISNUMBER($E1188)),"",IF($C1188="Receipt",$E1188,IF($C1188="Shipment",-$E1188,IF($C1188="Adjustment",$E1188,0))))</f>
        <v/>
      </c>
      <c r="N1188" s="49" t="str">
        <f>IF($D1188="","",IFERROR(INDEX(Products!$B$2:$B$101,MATCH($D1188,Products!$A$2:$A$101,0))&amp;"","(not found)"))</f>
        <v/>
      </c>
      <c r="O1188" s="49" t="str">
        <f>IF($F1188="","",IFERROR(INDEX(Batches!$B$2:$B$301,MATCH($F1188,Batches!$A$2:$A$301,0))&amp;"","(not found)"))</f>
        <v/>
      </c>
      <c r="P1188" s="49" t="str">
        <f>IF(COUNTA($A1188:$L1188)=0,"",IF($A1188="","Missing: entry ID",IF(COUNTIF($A$2:$A$2001,$A1188)&gt;1,"Duplicate entry ID",IF(NOT(ISNUMBER($B1188)),"Missing or invalid: date",IF($C1188="","Missing: type",IF($D1188="","Missing: SKU",IF(NOT(ISNUMBER($E1188)),"Missing: qty",IF($F1188="","Missing: lot",IF($I1188="","Missing: source link",IF(COUNTIF(Config!$A$15:$A$34,$C1188)=0,"Unsupported type",IF(COUNTIF(Products!$A$2:$A$101,$D1188)=0,"Unknown SKU",IF(COUNTIFS(Batches!$A$2:$A$301,$F1188,Batches!$B$2:$B$301,$D1188)=0,"Unknown lot for this SKU",IF(AND($C1188="Adjustment",$G1188=""),"Missing: reason",IF(AND($G1188&lt;&gt;"",COUNTIF(Config!$B$15:$B$34,$G1188)=0),"Unsupported reason",IF(OR(INT($E1188)&lt;&gt;$E1188,AND(OR($C1188="Receipt",$C1188="Shipment"),$E1188&lt;=0),AND($C1188="Adjustment",$E1188=0)),"Invalid qty",IF($B1188&gt;Config!$B$4,"Date after the as-of date",IF($B1188&lt;Config!$B$5,"Date before the opening balance date","OK")))))))))))))))))</f>
        <v/>
      </c>
    </row>
    <row r="1189">
      <c r="A1189" s="46" t="n"/>
      <c r="B1189" s="54" t="n"/>
      <c r="C1189" s="46" t="n"/>
      <c r="D1189" s="46" t="n"/>
      <c r="E1189" s="55" t="n"/>
      <c r="F1189" s="46" t="n"/>
      <c r="G1189" s="46" t="n"/>
      <c r="H1189" s="46" t="n"/>
      <c r="I1189" s="46" t="n"/>
      <c r="J1189" s="46" t="n"/>
      <c r="K1189" s="46" t="n"/>
      <c r="L1189" s="46" t="n"/>
      <c r="M1189" s="51" t="str">
        <f>IF(NOT(ISNUMBER($E1189)),"",IF($C1189="Receipt",$E1189,IF($C1189="Shipment",-$E1189,IF($C1189="Adjustment",$E1189,0))))</f>
        <v/>
      </c>
      <c r="N1189" s="49" t="str">
        <f>IF($D1189="","",IFERROR(INDEX(Products!$B$2:$B$101,MATCH($D1189,Products!$A$2:$A$101,0))&amp;"","(not found)"))</f>
        <v/>
      </c>
      <c r="O1189" s="49" t="str">
        <f>IF($F1189="","",IFERROR(INDEX(Batches!$B$2:$B$301,MATCH($F1189,Batches!$A$2:$A$301,0))&amp;"","(not found)"))</f>
        <v/>
      </c>
      <c r="P1189" s="49" t="str">
        <f>IF(COUNTA($A1189:$L1189)=0,"",IF($A1189="","Missing: entry ID",IF(COUNTIF($A$2:$A$2001,$A1189)&gt;1,"Duplicate entry ID",IF(NOT(ISNUMBER($B1189)),"Missing or invalid: date",IF($C1189="","Missing: type",IF($D1189="","Missing: SKU",IF(NOT(ISNUMBER($E1189)),"Missing: qty",IF($F1189="","Missing: lot",IF($I1189="","Missing: source link",IF(COUNTIF(Config!$A$15:$A$34,$C1189)=0,"Unsupported type",IF(COUNTIF(Products!$A$2:$A$101,$D1189)=0,"Unknown SKU",IF(COUNTIFS(Batches!$A$2:$A$301,$F1189,Batches!$B$2:$B$301,$D1189)=0,"Unknown lot for this SKU",IF(AND($C1189="Adjustment",$G1189=""),"Missing: reason",IF(AND($G1189&lt;&gt;"",COUNTIF(Config!$B$15:$B$34,$G1189)=0),"Unsupported reason",IF(OR(INT($E1189)&lt;&gt;$E1189,AND(OR($C1189="Receipt",$C1189="Shipment"),$E1189&lt;=0),AND($C1189="Adjustment",$E1189=0)),"Invalid qty",IF($B1189&gt;Config!$B$4,"Date after the as-of date",IF($B1189&lt;Config!$B$5,"Date before the opening balance date","OK")))))))))))))))))</f>
        <v/>
      </c>
    </row>
    <row r="1190">
      <c r="A1190" s="46" t="n"/>
      <c r="B1190" s="54" t="n"/>
      <c r="C1190" s="46" t="n"/>
      <c r="D1190" s="46" t="n"/>
      <c r="E1190" s="55" t="n"/>
      <c r="F1190" s="46" t="n"/>
      <c r="G1190" s="46" t="n"/>
      <c r="H1190" s="46" t="n"/>
      <c r="I1190" s="46" t="n"/>
      <c r="J1190" s="46" t="n"/>
      <c r="K1190" s="46" t="n"/>
      <c r="L1190" s="46" t="n"/>
      <c r="M1190" s="51" t="str">
        <f>IF(NOT(ISNUMBER($E1190)),"",IF($C1190="Receipt",$E1190,IF($C1190="Shipment",-$E1190,IF($C1190="Adjustment",$E1190,0))))</f>
        <v/>
      </c>
      <c r="N1190" s="49" t="str">
        <f>IF($D1190="","",IFERROR(INDEX(Products!$B$2:$B$101,MATCH($D1190,Products!$A$2:$A$101,0))&amp;"","(not found)"))</f>
        <v/>
      </c>
      <c r="O1190" s="49" t="str">
        <f>IF($F1190="","",IFERROR(INDEX(Batches!$B$2:$B$301,MATCH($F1190,Batches!$A$2:$A$301,0))&amp;"","(not found)"))</f>
        <v/>
      </c>
      <c r="P1190" s="49" t="str">
        <f>IF(COUNTA($A1190:$L1190)=0,"",IF($A1190="","Missing: entry ID",IF(COUNTIF($A$2:$A$2001,$A1190)&gt;1,"Duplicate entry ID",IF(NOT(ISNUMBER($B1190)),"Missing or invalid: date",IF($C1190="","Missing: type",IF($D1190="","Missing: SKU",IF(NOT(ISNUMBER($E1190)),"Missing: qty",IF($F1190="","Missing: lot",IF($I1190="","Missing: source link",IF(COUNTIF(Config!$A$15:$A$34,$C1190)=0,"Unsupported type",IF(COUNTIF(Products!$A$2:$A$101,$D1190)=0,"Unknown SKU",IF(COUNTIFS(Batches!$A$2:$A$301,$F1190,Batches!$B$2:$B$301,$D1190)=0,"Unknown lot for this SKU",IF(AND($C1190="Adjustment",$G1190=""),"Missing: reason",IF(AND($G1190&lt;&gt;"",COUNTIF(Config!$B$15:$B$34,$G1190)=0),"Unsupported reason",IF(OR(INT($E1190)&lt;&gt;$E1190,AND(OR($C1190="Receipt",$C1190="Shipment"),$E1190&lt;=0),AND($C1190="Adjustment",$E1190=0)),"Invalid qty",IF($B1190&gt;Config!$B$4,"Date after the as-of date",IF($B1190&lt;Config!$B$5,"Date before the opening balance date","OK")))))))))))))))))</f>
        <v/>
      </c>
    </row>
    <row r="1191">
      <c r="A1191" s="46" t="n"/>
      <c r="B1191" s="54" t="n"/>
      <c r="C1191" s="46" t="n"/>
      <c r="D1191" s="46" t="n"/>
      <c r="E1191" s="55" t="n"/>
      <c r="F1191" s="46" t="n"/>
      <c r="G1191" s="46" t="n"/>
      <c r="H1191" s="46" t="n"/>
      <c r="I1191" s="46" t="n"/>
      <c r="J1191" s="46" t="n"/>
      <c r="K1191" s="46" t="n"/>
      <c r="L1191" s="46" t="n"/>
      <c r="M1191" s="51" t="str">
        <f>IF(NOT(ISNUMBER($E1191)),"",IF($C1191="Receipt",$E1191,IF($C1191="Shipment",-$E1191,IF($C1191="Adjustment",$E1191,0))))</f>
        <v/>
      </c>
      <c r="N1191" s="49" t="str">
        <f>IF($D1191="","",IFERROR(INDEX(Products!$B$2:$B$101,MATCH($D1191,Products!$A$2:$A$101,0))&amp;"","(not found)"))</f>
        <v/>
      </c>
      <c r="O1191" s="49" t="str">
        <f>IF($F1191="","",IFERROR(INDEX(Batches!$B$2:$B$301,MATCH($F1191,Batches!$A$2:$A$301,0))&amp;"","(not found)"))</f>
        <v/>
      </c>
      <c r="P1191" s="49" t="str">
        <f>IF(COUNTA($A1191:$L1191)=0,"",IF($A1191="","Missing: entry ID",IF(COUNTIF($A$2:$A$2001,$A1191)&gt;1,"Duplicate entry ID",IF(NOT(ISNUMBER($B1191)),"Missing or invalid: date",IF($C1191="","Missing: type",IF($D1191="","Missing: SKU",IF(NOT(ISNUMBER($E1191)),"Missing: qty",IF($F1191="","Missing: lot",IF($I1191="","Missing: source link",IF(COUNTIF(Config!$A$15:$A$34,$C1191)=0,"Unsupported type",IF(COUNTIF(Products!$A$2:$A$101,$D1191)=0,"Unknown SKU",IF(COUNTIFS(Batches!$A$2:$A$301,$F1191,Batches!$B$2:$B$301,$D1191)=0,"Unknown lot for this SKU",IF(AND($C1191="Adjustment",$G1191=""),"Missing: reason",IF(AND($G1191&lt;&gt;"",COUNTIF(Config!$B$15:$B$34,$G1191)=0),"Unsupported reason",IF(OR(INT($E1191)&lt;&gt;$E1191,AND(OR($C1191="Receipt",$C1191="Shipment"),$E1191&lt;=0),AND($C1191="Adjustment",$E1191=0)),"Invalid qty",IF($B1191&gt;Config!$B$4,"Date after the as-of date",IF($B1191&lt;Config!$B$5,"Date before the opening balance date","OK")))))))))))))))))</f>
        <v/>
      </c>
    </row>
    <row r="1192">
      <c r="A1192" s="46" t="n"/>
      <c r="B1192" s="54" t="n"/>
      <c r="C1192" s="46" t="n"/>
      <c r="D1192" s="46" t="n"/>
      <c r="E1192" s="55" t="n"/>
      <c r="F1192" s="46" t="n"/>
      <c r="G1192" s="46" t="n"/>
      <c r="H1192" s="46" t="n"/>
      <c r="I1192" s="46" t="n"/>
      <c r="J1192" s="46" t="n"/>
      <c r="K1192" s="46" t="n"/>
      <c r="L1192" s="46" t="n"/>
      <c r="M1192" s="51" t="str">
        <f>IF(NOT(ISNUMBER($E1192)),"",IF($C1192="Receipt",$E1192,IF($C1192="Shipment",-$E1192,IF($C1192="Adjustment",$E1192,0))))</f>
        <v/>
      </c>
      <c r="N1192" s="49" t="str">
        <f>IF($D1192="","",IFERROR(INDEX(Products!$B$2:$B$101,MATCH($D1192,Products!$A$2:$A$101,0))&amp;"","(not found)"))</f>
        <v/>
      </c>
      <c r="O1192" s="49" t="str">
        <f>IF($F1192="","",IFERROR(INDEX(Batches!$B$2:$B$301,MATCH($F1192,Batches!$A$2:$A$301,0))&amp;"","(not found)"))</f>
        <v/>
      </c>
      <c r="P1192" s="49" t="str">
        <f>IF(COUNTA($A1192:$L1192)=0,"",IF($A1192="","Missing: entry ID",IF(COUNTIF($A$2:$A$2001,$A1192)&gt;1,"Duplicate entry ID",IF(NOT(ISNUMBER($B1192)),"Missing or invalid: date",IF($C1192="","Missing: type",IF($D1192="","Missing: SKU",IF(NOT(ISNUMBER($E1192)),"Missing: qty",IF($F1192="","Missing: lot",IF($I1192="","Missing: source link",IF(COUNTIF(Config!$A$15:$A$34,$C1192)=0,"Unsupported type",IF(COUNTIF(Products!$A$2:$A$101,$D1192)=0,"Unknown SKU",IF(COUNTIFS(Batches!$A$2:$A$301,$F1192,Batches!$B$2:$B$301,$D1192)=0,"Unknown lot for this SKU",IF(AND($C1192="Adjustment",$G1192=""),"Missing: reason",IF(AND($G1192&lt;&gt;"",COUNTIF(Config!$B$15:$B$34,$G1192)=0),"Unsupported reason",IF(OR(INT($E1192)&lt;&gt;$E1192,AND(OR($C1192="Receipt",$C1192="Shipment"),$E1192&lt;=0),AND($C1192="Adjustment",$E1192=0)),"Invalid qty",IF($B1192&gt;Config!$B$4,"Date after the as-of date",IF($B1192&lt;Config!$B$5,"Date before the opening balance date","OK")))))))))))))))))</f>
        <v/>
      </c>
    </row>
    <row r="1193">
      <c r="A1193" s="46" t="n"/>
      <c r="B1193" s="54" t="n"/>
      <c r="C1193" s="46" t="n"/>
      <c r="D1193" s="46" t="n"/>
      <c r="E1193" s="55" t="n"/>
      <c r="F1193" s="46" t="n"/>
      <c r="G1193" s="46" t="n"/>
      <c r="H1193" s="46" t="n"/>
      <c r="I1193" s="46" t="n"/>
      <c r="J1193" s="46" t="n"/>
      <c r="K1193" s="46" t="n"/>
      <c r="L1193" s="46" t="n"/>
      <c r="M1193" s="51" t="str">
        <f>IF(NOT(ISNUMBER($E1193)),"",IF($C1193="Receipt",$E1193,IF($C1193="Shipment",-$E1193,IF($C1193="Adjustment",$E1193,0))))</f>
        <v/>
      </c>
      <c r="N1193" s="49" t="str">
        <f>IF($D1193="","",IFERROR(INDEX(Products!$B$2:$B$101,MATCH($D1193,Products!$A$2:$A$101,0))&amp;"","(not found)"))</f>
        <v/>
      </c>
      <c r="O1193" s="49" t="str">
        <f>IF($F1193="","",IFERROR(INDEX(Batches!$B$2:$B$301,MATCH($F1193,Batches!$A$2:$A$301,0))&amp;"","(not found)"))</f>
        <v/>
      </c>
      <c r="P1193" s="49" t="str">
        <f>IF(COUNTA($A1193:$L1193)=0,"",IF($A1193="","Missing: entry ID",IF(COUNTIF($A$2:$A$2001,$A1193)&gt;1,"Duplicate entry ID",IF(NOT(ISNUMBER($B1193)),"Missing or invalid: date",IF($C1193="","Missing: type",IF($D1193="","Missing: SKU",IF(NOT(ISNUMBER($E1193)),"Missing: qty",IF($F1193="","Missing: lot",IF($I1193="","Missing: source link",IF(COUNTIF(Config!$A$15:$A$34,$C1193)=0,"Unsupported type",IF(COUNTIF(Products!$A$2:$A$101,$D1193)=0,"Unknown SKU",IF(COUNTIFS(Batches!$A$2:$A$301,$F1193,Batches!$B$2:$B$301,$D1193)=0,"Unknown lot for this SKU",IF(AND($C1193="Adjustment",$G1193=""),"Missing: reason",IF(AND($G1193&lt;&gt;"",COUNTIF(Config!$B$15:$B$34,$G1193)=0),"Unsupported reason",IF(OR(INT($E1193)&lt;&gt;$E1193,AND(OR($C1193="Receipt",$C1193="Shipment"),$E1193&lt;=0),AND($C1193="Adjustment",$E1193=0)),"Invalid qty",IF($B1193&gt;Config!$B$4,"Date after the as-of date",IF($B1193&lt;Config!$B$5,"Date before the opening balance date","OK")))))))))))))))))</f>
        <v/>
      </c>
    </row>
    <row r="1194">
      <c r="A1194" s="46" t="n"/>
      <c r="B1194" s="54" t="n"/>
      <c r="C1194" s="46" t="n"/>
      <c r="D1194" s="46" t="n"/>
      <c r="E1194" s="55" t="n"/>
      <c r="F1194" s="46" t="n"/>
      <c r="G1194" s="46" t="n"/>
      <c r="H1194" s="46" t="n"/>
      <c r="I1194" s="46" t="n"/>
      <c r="J1194" s="46" t="n"/>
      <c r="K1194" s="46" t="n"/>
      <c r="L1194" s="46" t="n"/>
      <c r="M1194" s="51" t="str">
        <f>IF(NOT(ISNUMBER($E1194)),"",IF($C1194="Receipt",$E1194,IF($C1194="Shipment",-$E1194,IF($C1194="Adjustment",$E1194,0))))</f>
        <v/>
      </c>
      <c r="N1194" s="49" t="str">
        <f>IF($D1194="","",IFERROR(INDEX(Products!$B$2:$B$101,MATCH($D1194,Products!$A$2:$A$101,0))&amp;"","(not found)"))</f>
        <v/>
      </c>
      <c r="O1194" s="49" t="str">
        <f>IF($F1194="","",IFERROR(INDEX(Batches!$B$2:$B$301,MATCH($F1194,Batches!$A$2:$A$301,0))&amp;"","(not found)"))</f>
        <v/>
      </c>
      <c r="P1194" s="49" t="str">
        <f>IF(COUNTA($A1194:$L1194)=0,"",IF($A1194="","Missing: entry ID",IF(COUNTIF($A$2:$A$2001,$A1194)&gt;1,"Duplicate entry ID",IF(NOT(ISNUMBER($B1194)),"Missing or invalid: date",IF($C1194="","Missing: type",IF($D1194="","Missing: SKU",IF(NOT(ISNUMBER($E1194)),"Missing: qty",IF($F1194="","Missing: lot",IF($I1194="","Missing: source link",IF(COUNTIF(Config!$A$15:$A$34,$C1194)=0,"Unsupported type",IF(COUNTIF(Products!$A$2:$A$101,$D1194)=0,"Unknown SKU",IF(COUNTIFS(Batches!$A$2:$A$301,$F1194,Batches!$B$2:$B$301,$D1194)=0,"Unknown lot for this SKU",IF(AND($C1194="Adjustment",$G1194=""),"Missing: reason",IF(AND($G1194&lt;&gt;"",COUNTIF(Config!$B$15:$B$34,$G1194)=0),"Unsupported reason",IF(OR(INT($E1194)&lt;&gt;$E1194,AND(OR($C1194="Receipt",$C1194="Shipment"),$E1194&lt;=0),AND($C1194="Adjustment",$E1194=0)),"Invalid qty",IF($B1194&gt;Config!$B$4,"Date after the as-of date",IF($B1194&lt;Config!$B$5,"Date before the opening balance date","OK")))))))))))))))))</f>
        <v/>
      </c>
    </row>
    <row r="1195">
      <c r="A1195" s="46" t="n"/>
      <c r="B1195" s="54" t="n"/>
      <c r="C1195" s="46" t="n"/>
      <c r="D1195" s="46" t="n"/>
      <c r="E1195" s="55" t="n"/>
      <c r="F1195" s="46" t="n"/>
      <c r="G1195" s="46" t="n"/>
      <c r="H1195" s="46" t="n"/>
      <c r="I1195" s="46" t="n"/>
      <c r="J1195" s="46" t="n"/>
      <c r="K1195" s="46" t="n"/>
      <c r="L1195" s="46" t="n"/>
      <c r="M1195" s="51" t="str">
        <f>IF(NOT(ISNUMBER($E1195)),"",IF($C1195="Receipt",$E1195,IF($C1195="Shipment",-$E1195,IF($C1195="Adjustment",$E1195,0))))</f>
        <v/>
      </c>
      <c r="N1195" s="49" t="str">
        <f>IF($D1195="","",IFERROR(INDEX(Products!$B$2:$B$101,MATCH($D1195,Products!$A$2:$A$101,0))&amp;"","(not found)"))</f>
        <v/>
      </c>
      <c r="O1195" s="49" t="str">
        <f>IF($F1195="","",IFERROR(INDEX(Batches!$B$2:$B$301,MATCH($F1195,Batches!$A$2:$A$301,0))&amp;"","(not found)"))</f>
        <v/>
      </c>
      <c r="P1195" s="49" t="str">
        <f>IF(COUNTA($A1195:$L1195)=0,"",IF($A1195="","Missing: entry ID",IF(COUNTIF($A$2:$A$2001,$A1195)&gt;1,"Duplicate entry ID",IF(NOT(ISNUMBER($B1195)),"Missing or invalid: date",IF($C1195="","Missing: type",IF($D1195="","Missing: SKU",IF(NOT(ISNUMBER($E1195)),"Missing: qty",IF($F1195="","Missing: lot",IF($I1195="","Missing: source link",IF(COUNTIF(Config!$A$15:$A$34,$C1195)=0,"Unsupported type",IF(COUNTIF(Products!$A$2:$A$101,$D1195)=0,"Unknown SKU",IF(COUNTIFS(Batches!$A$2:$A$301,$F1195,Batches!$B$2:$B$301,$D1195)=0,"Unknown lot for this SKU",IF(AND($C1195="Adjustment",$G1195=""),"Missing: reason",IF(AND($G1195&lt;&gt;"",COUNTIF(Config!$B$15:$B$34,$G1195)=0),"Unsupported reason",IF(OR(INT($E1195)&lt;&gt;$E1195,AND(OR($C1195="Receipt",$C1195="Shipment"),$E1195&lt;=0),AND($C1195="Adjustment",$E1195=0)),"Invalid qty",IF($B1195&gt;Config!$B$4,"Date after the as-of date",IF($B1195&lt;Config!$B$5,"Date before the opening balance date","OK")))))))))))))))))</f>
        <v/>
      </c>
    </row>
    <row r="1196">
      <c r="A1196" s="46" t="n"/>
      <c r="B1196" s="54" t="n"/>
      <c r="C1196" s="46" t="n"/>
      <c r="D1196" s="46" t="n"/>
      <c r="E1196" s="55" t="n"/>
      <c r="F1196" s="46" t="n"/>
      <c r="G1196" s="46" t="n"/>
      <c r="H1196" s="46" t="n"/>
      <c r="I1196" s="46" t="n"/>
      <c r="J1196" s="46" t="n"/>
      <c r="K1196" s="46" t="n"/>
      <c r="L1196" s="46" t="n"/>
      <c r="M1196" s="51" t="str">
        <f>IF(NOT(ISNUMBER($E1196)),"",IF($C1196="Receipt",$E1196,IF($C1196="Shipment",-$E1196,IF($C1196="Adjustment",$E1196,0))))</f>
        <v/>
      </c>
      <c r="N1196" s="49" t="str">
        <f>IF($D1196="","",IFERROR(INDEX(Products!$B$2:$B$101,MATCH($D1196,Products!$A$2:$A$101,0))&amp;"","(not found)"))</f>
        <v/>
      </c>
      <c r="O1196" s="49" t="str">
        <f>IF($F1196="","",IFERROR(INDEX(Batches!$B$2:$B$301,MATCH($F1196,Batches!$A$2:$A$301,0))&amp;"","(not found)"))</f>
        <v/>
      </c>
      <c r="P1196" s="49" t="str">
        <f>IF(COUNTA($A1196:$L1196)=0,"",IF($A1196="","Missing: entry ID",IF(COUNTIF($A$2:$A$2001,$A1196)&gt;1,"Duplicate entry ID",IF(NOT(ISNUMBER($B1196)),"Missing or invalid: date",IF($C1196="","Missing: type",IF($D1196="","Missing: SKU",IF(NOT(ISNUMBER($E1196)),"Missing: qty",IF($F1196="","Missing: lot",IF($I1196="","Missing: source link",IF(COUNTIF(Config!$A$15:$A$34,$C1196)=0,"Unsupported type",IF(COUNTIF(Products!$A$2:$A$101,$D1196)=0,"Unknown SKU",IF(COUNTIFS(Batches!$A$2:$A$301,$F1196,Batches!$B$2:$B$301,$D1196)=0,"Unknown lot for this SKU",IF(AND($C1196="Adjustment",$G1196=""),"Missing: reason",IF(AND($G1196&lt;&gt;"",COUNTIF(Config!$B$15:$B$34,$G1196)=0),"Unsupported reason",IF(OR(INT($E1196)&lt;&gt;$E1196,AND(OR($C1196="Receipt",$C1196="Shipment"),$E1196&lt;=0),AND($C1196="Adjustment",$E1196=0)),"Invalid qty",IF($B1196&gt;Config!$B$4,"Date after the as-of date",IF($B1196&lt;Config!$B$5,"Date before the opening balance date","OK")))))))))))))))))</f>
        <v/>
      </c>
    </row>
    <row r="1197">
      <c r="A1197" s="46" t="n"/>
      <c r="B1197" s="54" t="n"/>
      <c r="C1197" s="46" t="n"/>
      <c r="D1197" s="46" t="n"/>
      <c r="E1197" s="55" t="n"/>
      <c r="F1197" s="46" t="n"/>
      <c r="G1197" s="46" t="n"/>
      <c r="H1197" s="46" t="n"/>
      <c r="I1197" s="46" t="n"/>
      <c r="J1197" s="46" t="n"/>
      <c r="K1197" s="46" t="n"/>
      <c r="L1197" s="46" t="n"/>
      <c r="M1197" s="51" t="str">
        <f>IF(NOT(ISNUMBER($E1197)),"",IF($C1197="Receipt",$E1197,IF($C1197="Shipment",-$E1197,IF($C1197="Adjustment",$E1197,0))))</f>
        <v/>
      </c>
      <c r="N1197" s="49" t="str">
        <f>IF($D1197="","",IFERROR(INDEX(Products!$B$2:$B$101,MATCH($D1197,Products!$A$2:$A$101,0))&amp;"","(not found)"))</f>
        <v/>
      </c>
      <c r="O1197" s="49" t="str">
        <f>IF($F1197="","",IFERROR(INDEX(Batches!$B$2:$B$301,MATCH($F1197,Batches!$A$2:$A$301,0))&amp;"","(not found)"))</f>
        <v/>
      </c>
      <c r="P1197" s="49" t="str">
        <f>IF(COUNTA($A1197:$L1197)=0,"",IF($A1197="","Missing: entry ID",IF(COUNTIF($A$2:$A$2001,$A1197)&gt;1,"Duplicate entry ID",IF(NOT(ISNUMBER($B1197)),"Missing or invalid: date",IF($C1197="","Missing: type",IF($D1197="","Missing: SKU",IF(NOT(ISNUMBER($E1197)),"Missing: qty",IF($F1197="","Missing: lot",IF($I1197="","Missing: source link",IF(COUNTIF(Config!$A$15:$A$34,$C1197)=0,"Unsupported type",IF(COUNTIF(Products!$A$2:$A$101,$D1197)=0,"Unknown SKU",IF(COUNTIFS(Batches!$A$2:$A$301,$F1197,Batches!$B$2:$B$301,$D1197)=0,"Unknown lot for this SKU",IF(AND($C1197="Adjustment",$G1197=""),"Missing: reason",IF(AND($G1197&lt;&gt;"",COUNTIF(Config!$B$15:$B$34,$G1197)=0),"Unsupported reason",IF(OR(INT($E1197)&lt;&gt;$E1197,AND(OR($C1197="Receipt",$C1197="Shipment"),$E1197&lt;=0),AND($C1197="Adjustment",$E1197=0)),"Invalid qty",IF($B1197&gt;Config!$B$4,"Date after the as-of date",IF($B1197&lt;Config!$B$5,"Date before the opening balance date","OK")))))))))))))))))</f>
        <v/>
      </c>
    </row>
    <row r="1198">
      <c r="A1198" s="46" t="n"/>
      <c r="B1198" s="54" t="n"/>
      <c r="C1198" s="46" t="n"/>
      <c r="D1198" s="46" t="n"/>
      <c r="E1198" s="55" t="n"/>
      <c r="F1198" s="46" t="n"/>
      <c r="G1198" s="46" t="n"/>
      <c r="H1198" s="46" t="n"/>
      <c r="I1198" s="46" t="n"/>
      <c r="J1198" s="46" t="n"/>
      <c r="K1198" s="46" t="n"/>
      <c r="L1198" s="46" t="n"/>
      <c r="M1198" s="51" t="str">
        <f>IF(NOT(ISNUMBER($E1198)),"",IF($C1198="Receipt",$E1198,IF($C1198="Shipment",-$E1198,IF($C1198="Adjustment",$E1198,0))))</f>
        <v/>
      </c>
      <c r="N1198" s="49" t="str">
        <f>IF($D1198="","",IFERROR(INDEX(Products!$B$2:$B$101,MATCH($D1198,Products!$A$2:$A$101,0))&amp;"","(not found)"))</f>
        <v/>
      </c>
      <c r="O1198" s="49" t="str">
        <f>IF($F1198="","",IFERROR(INDEX(Batches!$B$2:$B$301,MATCH($F1198,Batches!$A$2:$A$301,0))&amp;"","(not found)"))</f>
        <v/>
      </c>
      <c r="P1198" s="49" t="str">
        <f>IF(COUNTA($A1198:$L1198)=0,"",IF($A1198="","Missing: entry ID",IF(COUNTIF($A$2:$A$2001,$A1198)&gt;1,"Duplicate entry ID",IF(NOT(ISNUMBER($B1198)),"Missing or invalid: date",IF($C1198="","Missing: type",IF($D1198="","Missing: SKU",IF(NOT(ISNUMBER($E1198)),"Missing: qty",IF($F1198="","Missing: lot",IF($I1198="","Missing: source link",IF(COUNTIF(Config!$A$15:$A$34,$C1198)=0,"Unsupported type",IF(COUNTIF(Products!$A$2:$A$101,$D1198)=0,"Unknown SKU",IF(COUNTIFS(Batches!$A$2:$A$301,$F1198,Batches!$B$2:$B$301,$D1198)=0,"Unknown lot for this SKU",IF(AND($C1198="Adjustment",$G1198=""),"Missing: reason",IF(AND($G1198&lt;&gt;"",COUNTIF(Config!$B$15:$B$34,$G1198)=0),"Unsupported reason",IF(OR(INT($E1198)&lt;&gt;$E1198,AND(OR($C1198="Receipt",$C1198="Shipment"),$E1198&lt;=0),AND($C1198="Adjustment",$E1198=0)),"Invalid qty",IF($B1198&gt;Config!$B$4,"Date after the as-of date",IF($B1198&lt;Config!$B$5,"Date before the opening balance date","OK")))))))))))))))))</f>
        <v/>
      </c>
    </row>
    <row r="1199">
      <c r="A1199" s="46" t="n"/>
      <c r="B1199" s="54" t="n"/>
      <c r="C1199" s="46" t="n"/>
      <c r="D1199" s="46" t="n"/>
      <c r="E1199" s="55" t="n"/>
      <c r="F1199" s="46" t="n"/>
      <c r="G1199" s="46" t="n"/>
      <c r="H1199" s="46" t="n"/>
      <c r="I1199" s="46" t="n"/>
      <c r="J1199" s="46" t="n"/>
      <c r="K1199" s="46" t="n"/>
      <c r="L1199" s="46" t="n"/>
      <c r="M1199" s="51" t="str">
        <f>IF(NOT(ISNUMBER($E1199)),"",IF($C1199="Receipt",$E1199,IF($C1199="Shipment",-$E1199,IF($C1199="Adjustment",$E1199,0))))</f>
        <v/>
      </c>
      <c r="N1199" s="49" t="str">
        <f>IF($D1199="","",IFERROR(INDEX(Products!$B$2:$B$101,MATCH($D1199,Products!$A$2:$A$101,0))&amp;"","(not found)"))</f>
        <v/>
      </c>
      <c r="O1199" s="49" t="str">
        <f>IF($F1199="","",IFERROR(INDEX(Batches!$B$2:$B$301,MATCH($F1199,Batches!$A$2:$A$301,0))&amp;"","(not found)"))</f>
        <v/>
      </c>
      <c r="P1199" s="49" t="str">
        <f>IF(COUNTA($A1199:$L1199)=0,"",IF($A1199="","Missing: entry ID",IF(COUNTIF($A$2:$A$2001,$A1199)&gt;1,"Duplicate entry ID",IF(NOT(ISNUMBER($B1199)),"Missing or invalid: date",IF($C1199="","Missing: type",IF($D1199="","Missing: SKU",IF(NOT(ISNUMBER($E1199)),"Missing: qty",IF($F1199="","Missing: lot",IF($I1199="","Missing: source link",IF(COUNTIF(Config!$A$15:$A$34,$C1199)=0,"Unsupported type",IF(COUNTIF(Products!$A$2:$A$101,$D1199)=0,"Unknown SKU",IF(COUNTIFS(Batches!$A$2:$A$301,$F1199,Batches!$B$2:$B$301,$D1199)=0,"Unknown lot for this SKU",IF(AND($C1199="Adjustment",$G1199=""),"Missing: reason",IF(AND($G1199&lt;&gt;"",COUNTIF(Config!$B$15:$B$34,$G1199)=0),"Unsupported reason",IF(OR(INT($E1199)&lt;&gt;$E1199,AND(OR($C1199="Receipt",$C1199="Shipment"),$E1199&lt;=0),AND($C1199="Adjustment",$E1199=0)),"Invalid qty",IF($B1199&gt;Config!$B$4,"Date after the as-of date",IF($B1199&lt;Config!$B$5,"Date before the opening balance date","OK")))))))))))))))))</f>
        <v/>
      </c>
    </row>
    <row r="1200">
      <c r="A1200" s="46" t="n"/>
      <c r="B1200" s="54" t="n"/>
      <c r="C1200" s="46" t="n"/>
      <c r="D1200" s="46" t="n"/>
      <c r="E1200" s="55" t="n"/>
      <c r="F1200" s="46" t="n"/>
      <c r="G1200" s="46" t="n"/>
      <c r="H1200" s="46" t="n"/>
      <c r="I1200" s="46" t="n"/>
      <c r="J1200" s="46" t="n"/>
      <c r="K1200" s="46" t="n"/>
      <c r="L1200" s="46" t="n"/>
      <c r="M1200" s="51" t="str">
        <f>IF(NOT(ISNUMBER($E1200)),"",IF($C1200="Receipt",$E1200,IF($C1200="Shipment",-$E1200,IF($C1200="Adjustment",$E1200,0))))</f>
        <v/>
      </c>
      <c r="N1200" s="49" t="str">
        <f>IF($D1200="","",IFERROR(INDEX(Products!$B$2:$B$101,MATCH($D1200,Products!$A$2:$A$101,0))&amp;"","(not found)"))</f>
        <v/>
      </c>
      <c r="O1200" s="49" t="str">
        <f>IF($F1200="","",IFERROR(INDEX(Batches!$B$2:$B$301,MATCH($F1200,Batches!$A$2:$A$301,0))&amp;"","(not found)"))</f>
        <v/>
      </c>
      <c r="P1200" s="49" t="str">
        <f>IF(COUNTA($A1200:$L1200)=0,"",IF($A1200="","Missing: entry ID",IF(COUNTIF($A$2:$A$2001,$A1200)&gt;1,"Duplicate entry ID",IF(NOT(ISNUMBER($B1200)),"Missing or invalid: date",IF($C1200="","Missing: type",IF($D1200="","Missing: SKU",IF(NOT(ISNUMBER($E1200)),"Missing: qty",IF($F1200="","Missing: lot",IF($I1200="","Missing: source link",IF(COUNTIF(Config!$A$15:$A$34,$C1200)=0,"Unsupported type",IF(COUNTIF(Products!$A$2:$A$101,$D1200)=0,"Unknown SKU",IF(COUNTIFS(Batches!$A$2:$A$301,$F1200,Batches!$B$2:$B$301,$D1200)=0,"Unknown lot for this SKU",IF(AND($C1200="Adjustment",$G1200=""),"Missing: reason",IF(AND($G1200&lt;&gt;"",COUNTIF(Config!$B$15:$B$34,$G1200)=0),"Unsupported reason",IF(OR(INT($E1200)&lt;&gt;$E1200,AND(OR($C1200="Receipt",$C1200="Shipment"),$E1200&lt;=0),AND($C1200="Adjustment",$E1200=0)),"Invalid qty",IF($B1200&gt;Config!$B$4,"Date after the as-of date",IF($B1200&lt;Config!$B$5,"Date before the opening balance date","OK")))))))))))))))))</f>
        <v/>
      </c>
    </row>
    <row r="1201">
      <c r="A1201" s="46" t="n"/>
      <c r="B1201" s="54" t="n"/>
      <c r="C1201" s="46" t="n"/>
      <c r="D1201" s="46" t="n"/>
      <c r="E1201" s="55" t="n"/>
      <c r="F1201" s="46" t="n"/>
      <c r="G1201" s="46" t="n"/>
      <c r="H1201" s="46" t="n"/>
      <c r="I1201" s="46" t="n"/>
      <c r="J1201" s="46" t="n"/>
      <c r="K1201" s="46" t="n"/>
      <c r="L1201" s="46" t="n"/>
      <c r="M1201" s="51" t="str">
        <f>IF(NOT(ISNUMBER($E1201)),"",IF($C1201="Receipt",$E1201,IF($C1201="Shipment",-$E1201,IF($C1201="Adjustment",$E1201,0))))</f>
        <v/>
      </c>
      <c r="N1201" s="49" t="str">
        <f>IF($D1201="","",IFERROR(INDEX(Products!$B$2:$B$101,MATCH($D1201,Products!$A$2:$A$101,0))&amp;"","(not found)"))</f>
        <v/>
      </c>
      <c r="O1201" s="49" t="str">
        <f>IF($F1201="","",IFERROR(INDEX(Batches!$B$2:$B$301,MATCH($F1201,Batches!$A$2:$A$301,0))&amp;"","(not found)"))</f>
        <v/>
      </c>
      <c r="P1201" s="49" t="str">
        <f>IF(COUNTA($A1201:$L1201)=0,"",IF($A1201="","Missing: entry ID",IF(COUNTIF($A$2:$A$2001,$A1201)&gt;1,"Duplicate entry ID",IF(NOT(ISNUMBER($B1201)),"Missing or invalid: date",IF($C1201="","Missing: type",IF($D1201="","Missing: SKU",IF(NOT(ISNUMBER($E1201)),"Missing: qty",IF($F1201="","Missing: lot",IF($I1201="","Missing: source link",IF(COUNTIF(Config!$A$15:$A$34,$C1201)=0,"Unsupported type",IF(COUNTIF(Products!$A$2:$A$101,$D1201)=0,"Unknown SKU",IF(COUNTIFS(Batches!$A$2:$A$301,$F1201,Batches!$B$2:$B$301,$D1201)=0,"Unknown lot for this SKU",IF(AND($C1201="Adjustment",$G1201=""),"Missing: reason",IF(AND($G1201&lt;&gt;"",COUNTIF(Config!$B$15:$B$34,$G1201)=0),"Unsupported reason",IF(OR(INT($E1201)&lt;&gt;$E1201,AND(OR($C1201="Receipt",$C1201="Shipment"),$E1201&lt;=0),AND($C1201="Adjustment",$E1201=0)),"Invalid qty",IF($B1201&gt;Config!$B$4,"Date after the as-of date",IF($B1201&lt;Config!$B$5,"Date before the opening balance date","OK")))))))))))))))))</f>
        <v/>
      </c>
    </row>
    <row r="1202">
      <c r="A1202" s="46" t="n"/>
      <c r="B1202" s="54" t="n"/>
      <c r="C1202" s="46" t="n"/>
      <c r="D1202" s="46" t="n"/>
      <c r="E1202" s="55" t="n"/>
      <c r="F1202" s="46" t="n"/>
      <c r="G1202" s="46" t="n"/>
      <c r="H1202" s="46" t="n"/>
      <c r="I1202" s="46" t="n"/>
      <c r="J1202" s="46" t="n"/>
      <c r="K1202" s="46" t="n"/>
      <c r="L1202" s="46" t="n"/>
      <c r="M1202" s="51" t="str">
        <f>IF(NOT(ISNUMBER($E1202)),"",IF($C1202="Receipt",$E1202,IF($C1202="Shipment",-$E1202,IF($C1202="Adjustment",$E1202,0))))</f>
        <v/>
      </c>
      <c r="N1202" s="49" t="str">
        <f>IF($D1202="","",IFERROR(INDEX(Products!$B$2:$B$101,MATCH($D1202,Products!$A$2:$A$101,0))&amp;"","(not found)"))</f>
        <v/>
      </c>
      <c r="O1202" s="49" t="str">
        <f>IF($F1202="","",IFERROR(INDEX(Batches!$B$2:$B$301,MATCH($F1202,Batches!$A$2:$A$301,0))&amp;"","(not found)"))</f>
        <v/>
      </c>
      <c r="P1202" s="49" t="str">
        <f>IF(COUNTA($A1202:$L1202)=0,"",IF($A1202="","Missing: entry ID",IF(COUNTIF($A$2:$A$2001,$A1202)&gt;1,"Duplicate entry ID",IF(NOT(ISNUMBER($B1202)),"Missing or invalid: date",IF($C1202="","Missing: type",IF($D1202="","Missing: SKU",IF(NOT(ISNUMBER($E1202)),"Missing: qty",IF($F1202="","Missing: lot",IF($I1202="","Missing: source link",IF(COUNTIF(Config!$A$15:$A$34,$C1202)=0,"Unsupported type",IF(COUNTIF(Products!$A$2:$A$101,$D1202)=0,"Unknown SKU",IF(COUNTIFS(Batches!$A$2:$A$301,$F1202,Batches!$B$2:$B$301,$D1202)=0,"Unknown lot for this SKU",IF(AND($C1202="Adjustment",$G1202=""),"Missing: reason",IF(AND($G1202&lt;&gt;"",COUNTIF(Config!$B$15:$B$34,$G1202)=0),"Unsupported reason",IF(OR(INT($E1202)&lt;&gt;$E1202,AND(OR($C1202="Receipt",$C1202="Shipment"),$E1202&lt;=0),AND($C1202="Adjustment",$E1202=0)),"Invalid qty",IF($B1202&gt;Config!$B$4,"Date after the as-of date",IF($B1202&lt;Config!$B$5,"Date before the opening balance date","OK")))))))))))))))))</f>
        <v/>
      </c>
    </row>
    <row r="1203">
      <c r="A1203" s="46" t="n"/>
      <c r="B1203" s="54" t="n"/>
      <c r="C1203" s="46" t="n"/>
      <c r="D1203" s="46" t="n"/>
      <c r="E1203" s="55" t="n"/>
      <c r="F1203" s="46" t="n"/>
      <c r="G1203" s="46" t="n"/>
      <c r="H1203" s="46" t="n"/>
      <c r="I1203" s="46" t="n"/>
      <c r="J1203" s="46" t="n"/>
      <c r="K1203" s="46" t="n"/>
      <c r="L1203" s="46" t="n"/>
      <c r="M1203" s="51" t="str">
        <f>IF(NOT(ISNUMBER($E1203)),"",IF($C1203="Receipt",$E1203,IF($C1203="Shipment",-$E1203,IF($C1203="Adjustment",$E1203,0))))</f>
        <v/>
      </c>
      <c r="N1203" s="49" t="str">
        <f>IF($D1203="","",IFERROR(INDEX(Products!$B$2:$B$101,MATCH($D1203,Products!$A$2:$A$101,0))&amp;"","(not found)"))</f>
        <v/>
      </c>
      <c r="O1203" s="49" t="str">
        <f>IF($F1203="","",IFERROR(INDEX(Batches!$B$2:$B$301,MATCH($F1203,Batches!$A$2:$A$301,0))&amp;"","(not found)"))</f>
        <v/>
      </c>
      <c r="P1203" s="49" t="str">
        <f>IF(COUNTA($A1203:$L1203)=0,"",IF($A1203="","Missing: entry ID",IF(COUNTIF($A$2:$A$2001,$A1203)&gt;1,"Duplicate entry ID",IF(NOT(ISNUMBER($B1203)),"Missing or invalid: date",IF($C1203="","Missing: type",IF($D1203="","Missing: SKU",IF(NOT(ISNUMBER($E1203)),"Missing: qty",IF($F1203="","Missing: lot",IF($I1203="","Missing: source link",IF(COUNTIF(Config!$A$15:$A$34,$C1203)=0,"Unsupported type",IF(COUNTIF(Products!$A$2:$A$101,$D1203)=0,"Unknown SKU",IF(COUNTIFS(Batches!$A$2:$A$301,$F1203,Batches!$B$2:$B$301,$D1203)=0,"Unknown lot for this SKU",IF(AND($C1203="Adjustment",$G1203=""),"Missing: reason",IF(AND($G1203&lt;&gt;"",COUNTIF(Config!$B$15:$B$34,$G1203)=0),"Unsupported reason",IF(OR(INT($E1203)&lt;&gt;$E1203,AND(OR($C1203="Receipt",$C1203="Shipment"),$E1203&lt;=0),AND($C1203="Adjustment",$E1203=0)),"Invalid qty",IF($B1203&gt;Config!$B$4,"Date after the as-of date",IF($B1203&lt;Config!$B$5,"Date before the opening balance date","OK")))))))))))))))))</f>
        <v/>
      </c>
    </row>
    <row r="1204">
      <c r="A1204" s="46" t="n"/>
      <c r="B1204" s="54" t="n"/>
      <c r="C1204" s="46" t="n"/>
      <c r="D1204" s="46" t="n"/>
      <c r="E1204" s="55" t="n"/>
      <c r="F1204" s="46" t="n"/>
      <c r="G1204" s="46" t="n"/>
      <c r="H1204" s="46" t="n"/>
      <c r="I1204" s="46" t="n"/>
      <c r="J1204" s="46" t="n"/>
      <c r="K1204" s="46" t="n"/>
      <c r="L1204" s="46" t="n"/>
      <c r="M1204" s="51" t="str">
        <f>IF(NOT(ISNUMBER($E1204)),"",IF($C1204="Receipt",$E1204,IF($C1204="Shipment",-$E1204,IF($C1204="Adjustment",$E1204,0))))</f>
        <v/>
      </c>
      <c r="N1204" s="49" t="str">
        <f>IF($D1204="","",IFERROR(INDEX(Products!$B$2:$B$101,MATCH($D1204,Products!$A$2:$A$101,0))&amp;"","(not found)"))</f>
        <v/>
      </c>
      <c r="O1204" s="49" t="str">
        <f>IF($F1204="","",IFERROR(INDEX(Batches!$B$2:$B$301,MATCH($F1204,Batches!$A$2:$A$301,0))&amp;"","(not found)"))</f>
        <v/>
      </c>
      <c r="P1204" s="49" t="str">
        <f>IF(COUNTA($A1204:$L1204)=0,"",IF($A1204="","Missing: entry ID",IF(COUNTIF($A$2:$A$2001,$A1204)&gt;1,"Duplicate entry ID",IF(NOT(ISNUMBER($B1204)),"Missing or invalid: date",IF($C1204="","Missing: type",IF($D1204="","Missing: SKU",IF(NOT(ISNUMBER($E1204)),"Missing: qty",IF($F1204="","Missing: lot",IF($I1204="","Missing: source link",IF(COUNTIF(Config!$A$15:$A$34,$C1204)=0,"Unsupported type",IF(COUNTIF(Products!$A$2:$A$101,$D1204)=0,"Unknown SKU",IF(COUNTIFS(Batches!$A$2:$A$301,$F1204,Batches!$B$2:$B$301,$D1204)=0,"Unknown lot for this SKU",IF(AND($C1204="Adjustment",$G1204=""),"Missing: reason",IF(AND($G1204&lt;&gt;"",COUNTIF(Config!$B$15:$B$34,$G1204)=0),"Unsupported reason",IF(OR(INT($E1204)&lt;&gt;$E1204,AND(OR($C1204="Receipt",$C1204="Shipment"),$E1204&lt;=0),AND($C1204="Adjustment",$E1204=0)),"Invalid qty",IF($B1204&gt;Config!$B$4,"Date after the as-of date",IF($B1204&lt;Config!$B$5,"Date before the opening balance date","OK")))))))))))))))))</f>
        <v/>
      </c>
    </row>
    <row r="1205">
      <c r="A1205" s="46" t="n"/>
      <c r="B1205" s="54" t="n"/>
      <c r="C1205" s="46" t="n"/>
      <c r="D1205" s="46" t="n"/>
      <c r="E1205" s="55" t="n"/>
      <c r="F1205" s="46" t="n"/>
      <c r="G1205" s="46" t="n"/>
      <c r="H1205" s="46" t="n"/>
      <c r="I1205" s="46" t="n"/>
      <c r="J1205" s="46" t="n"/>
      <c r="K1205" s="46" t="n"/>
      <c r="L1205" s="46" t="n"/>
      <c r="M1205" s="51" t="str">
        <f>IF(NOT(ISNUMBER($E1205)),"",IF($C1205="Receipt",$E1205,IF($C1205="Shipment",-$E1205,IF($C1205="Adjustment",$E1205,0))))</f>
        <v/>
      </c>
      <c r="N1205" s="49" t="str">
        <f>IF($D1205="","",IFERROR(INDEX(Products!$B$2:$B$101,MATCH($D1205,Products!$A$2:$A$101,0))&amp;"","(not found)"))</f>
        <v/>
      </c>
      <c r="O1205" s="49" t="str">
        <f>IF($F1205="","",IFERROR(INDEX(Batches!$B$2:$B$301,MATCH($F1205,Batches!$A$2:$A$301,0))&amp;"","(not found)"))</f>
        <v/>
      </c>
      <c r="P1205" s="49" t="str">
        <f>IF(COUNTA($A1205:$L1205)=0,"",IF($A1205="","Missing: entry ID",IF(COUNTIF($A$2:$A$2001,$A1205)&gt;1,"Duplicate entry ID",IF(NOT(ISNUMBER($B1205)),"Missing or invalid: date",IF($C1205="","Missing: type",IF($D1205="","Missing: SKU",IF(NOT(ISNUMBER($E1205)),"Missing: qty",IF($F1205="","Missing: lot",IF($I1205="","Missing: source link",IF(COUNTIF(Config!$A$15:$A$34,$C1205)=0,"Unsupported type",IF(COUNTIF(Products!$A$2:$A$101,$D1205)=0,"Unknown SKU",IF(COUNTIFS(Batches!$A$2:$A$301,$F1205,Batches!$B$2:$B$301,$D1205)=0,"Unknown lot for this SKU",IF(AND($C1205="Adjustment",$G1205=""),"Missing: reason",IF(AND($G1205&lt;&gt;"",COUNTIF(Config!$B$15:$B$34,$G1205)=0),"Unsupported reason",IF(OR(INT($E1205)&lt;&gt;$E1205,AND(OR($C1205="Receipt",$C1205="Shipment"),$E1205&lt;=0),AND($C1205="Adjustment",$E1205=0)),"Invalid qty",IF($B1205&gt;Config!$B$4,"Date after the as-of date",IF($B1205&lt;Config!$B$5,"Date before the opening balance date","OK")))))))))))))))))</f>
        <v/>
      </c>
    </row>
    <row r="1206">
      <c r="A1206" s="46" t="n"/>
      <c r="B1206" s="54" t="n"/>
      <c r="C1206" s="46" t="n"/>
      <c r="D1206" s="46" t="n"/>
      <c r="E1206" s="55" t="n"/>
      <c r="F1206" s="46" t="n"/>
      <c r="G1206" s="46" t="n"/>
      <c r="H1206" s="46" t="n"/>
      <c r="I1206" s="46" t="n"/>
      <c r="J1206" s="46" t="n"/>
      <c r="K1206" s="46" t="n"/>
      <c r="L1206" s="46" t="n"/>
      <c r="M1206" s="51" t="str">
        <f>IF(NOT(ISNUMBER($E1206)),"",IF($C1206="Receipt",$E1206,IF($C1206="Shipment",-$E1206,IF($C1206="Adjustment",$E1206,0))))</f>
        <v/>
      </c>
      <c r="N1206" s="49" t="str">
        <f>IF($D1206="","",IFERROR(INDEX(Products!$B$2:$B$101,MATCH($D1206,Products!$A$2:$A$101,0))&amp;"","(not found)"))</f>
        <v/>
      </c>
      <c r="O1206" s="49" t="str">
        <f>IF($F1206="","",IFERROR(INDEX(Batches!$B$2:$B$301,MATCH($F1206,Batches!$A$2:$A$301,0))&amp;"","(not found)"))</f>
        <v/>
      </c>
      <c r="P1206" s="49" t="str">
        <f>IF(COUNTA($A1206:$L1206)=0,"",IF($A1206="","Missing: entry ID",IF(COUNTIF($A$2:$A$2001,$A1206)&gt;1,"Duplicate entry ID",IF(NOT(ISNUMBER($B1206)),"Missing or invalid: date",IF($C1206="","Missing: type",IF($D1206="","Missing: SKU",IF(NOT(ISNUMBER($E1206)),"Missing: qty",IF($F1206="","Missing: lot",IF($I1206="","Missing: source link",IF(COUNTIF(Config!$A$15:$A$34,$C1206)=0,"Unsupported type",IF(COUNTIF(Products!$A$2:$A$101,$D1206)=0,"Unknown SKU",IF(COUNTIFS(Batches!$A$2:$A$301,$F1206,Batches!$B$2:$B$301,$D1206)=0,"Unknown lot for this SKU",IF(AND($C1206="Adjustment",$G1206=""),"Missing: reason",IF(AND($G1206&lt;&gt;"",COUNTIF(Config!$B$15:$B$34,$G1206)=0),"Unsupported reason",IF(OR(INT($E1206)&lt;&gt;$E1206,AND(OR($C1206="Receipt",$C1206="Shipment"),$E1206&lt;=0),AND($C1206="Adjustment",$E1206=0)),"Invalid qty",IF($B1206&gt;Config!$B$4,"Date after the as-of date",IF($B1206&lt;Config!$B$5,"Date before the opening balance date","OK")))))))))))))))))</f>
        <v/>
      </c>
    </row>
    <row r="1207">
      <c r="A1207" s="46" t="n"/>
      <c r="B1207" s="54" t="n"/>
      <c r="C1207" s="46" t="n"/>
      <c r="D1207" s="46" t="n"/>
      <c r="E1207" s="55" t="n"/>
      <c r="F1207" s="46" t="n"/>
      <c r="G1207" s="46" t="n"/>
      <c r="H1207" s="46" t="n"/>
      <c r="I1207" s="46" t="n"/>
      <c r="J1207" s="46" t="n"/>
      <c r="K1207" s="46" t="n"/>
      <c r="L1207" s="46" t="n"/>
      <c r="M1207" s="51" t="str">
        <f>IF(NOT(ISNUMBER($E1207)),"",IF($C1207="Receipt",$E1207,IF($C1207="Shipment",-$E1207,IF($C1207="Adjustment",$E1207,0))))</f>
        <v/>
      </c>
      <c r="N1207" s="49" t="str">
        <f>IF($D1207="","",IFERROR(INDEX(Products!$B$2:$B$101,MATCH($D1207,Products!$A$2:$A$101,0))&amp;"","(not found)"))</f>
        <v/>
      </c>
      <c r="O1207" s="49" t="str">
        <f>IF($F1207="","",IFERROR(INDEX(Batches!$B$2:$B$301,MATCH($F1207,Batches!$A$2:$A$301,0))&amp;"","(not found)"))</f>
        <v/>
      </c>
      <c r="P1207" s="49" t="str">
        <f>IF(COUNTA($A1207:$L1207)=0,"",IF($A1207="","Missing: entry ID",IF(COUNTIF($A$2:$A$2001,$A1207)&gt;1,"Duplicate entry ID",IF(NOT(ISNUMBER($B1207)),"Missing or invalid: date",IF($C1207="","Missing: type",IF($D1207="","Missing: SKU",IF(NOT(ISNUMBER($E1207)),"Missing: qty",IF($F1207="","Missing: lot",IF($I1207="","Missing: source link",IF(COUNTIF(Config!$A$15:$A$34,$C1207)=0,"Unsupported type",IF(COUNTIF(Products!$A$2:$A$101,$D1207)=0,"Unknown SKU",IF(COUNTIFS(Batches!$A$2:$A$301,$F1207,Batches!$B$2:$B$301,$D1207)=0,"Unknown lot for this SKU",IF(AND($C1207="Adjustment",$G1207=""),"Missing: reason",IF(AND($G1207&lt;&gt;"",COUNTIF(Config!$B$15:$B$34,$G1207)=0),"Unsupported reason",IF(OR(INT($E1207)&lt;&gt;$E1207,AND(OR($C1207="Receipt",$C1207="Shipment"),$E1207&lt;=0),AND($C1207="Adjustment",$E1207=0)),"Invalid qty",IF($B1207&gt;Config!$B$4,"Date after the as-of date",IF($B1207&lt;Config!$B$5,"Date before the opening balance date","OK")))))))))))))))))</f>
        <v/>
      </c>
    </row>
    <row r="1208">
      <c r="A1208" s="46" t="n"/>
      <c r="B1208" s="54" t="n"/>
      <c r="C1208" s="46" t="n"/>
      <c r="D1208" s="46" t="n"/>
      <c r="E1208" s="55" t="n"/>
      <c r="F1208" s="46" t="n"/>
      <c r="G1208" s="46" t="n"/>
      <c r="H1208" s="46" t="n"/>
      <c r="I1208" s="46" t="n"/>
      <c r="J1208" s="46" t="n"/>
      <c r="K1208" s="46" t="n"/>
      <c r="L1208" s="46" t="n"/>
      <c r="M1208" s="51" t="str">
        <f>IF(NOT(ISNUMBER($E1208)),"",IF($C1208="Receipt",$E1208,IF($C1208="Shipment",-$E1208,IF($C1208="Adjustment",$E1208,0))))</f>
        <v/>
      </c>
      <c r="N1208" s="49" t="str">
        <f>IF($D1208="","",IFERROR(INDEX(Products!$B$2:$B$101,MATCH($D1208,Products!$A$2:$A$101,0))&amp;"","(not found)"))</f>
        <v/>
      </c>
      <c r="O1208" s="49" t="str">
        <f>IF($F1208="","",IFERROR(INDEX(Batches!$B$2:$B$301,MATCH($F1208,Batches!$A$2:$A$301,0))&amp;"","(not found)"))</f>
        <v/>
      </c>
      <c r="P1208" s="49" t="str">
        <f>IF(COUNTA($A1208:$L1208)=0,"",IF($A1208="","Missing: entry ID",IF(COUNTIF($A$2:$A$2001,$A1208)&gt;1,"Duplicate entry ID",IF(NOT(ISNUMBER($B1208)),"Missing or invalid: date",IF($C1208="","Missing: type",IF($D1208="","Missing: SKU",IF(NOT(ISNUMBER($E1208)),"Missing: qty",IF($F1208="","Missing: lot",IF($I1208="","Missing: source link",IF(COUNTIF(Config!$A$15:$A$34,$C1208)=0,"Unsupported type",IF(COUNTIF(Products!$A$2:$A$101,$D1208)=0,"Unknown SKU",IF(COUNTIFS(Batches!$A$2:$A$301,$F1208,Batches!$B$2:$B$301,$D1208)=0,"Unknown lot for this SKU",IF(AND($C1208="Adjustment",$G1208=""),"Missing: reason",IF(AND($G1208&lt;&gt;"",COUNTIF(Config!$B$15:$B$34,$G1208)=0),"Unsupported reason",IF(OR(INT($E1208)&lt;&gt;$E1208,AND(OR($C1208="Receipt",$C1208="Shipment"),$E1208&lt;=0),AND($C1208="Adjustment",$E1208=0)),"Invalid qty",IF($B1208&gt;Config!$B$4,"Date after the as-of date",IF($B1208&lt;Config!$B$5,"Date before the opening balance date","OK")))))))))))))))))</f>
        <v/>
      </c>
    </row>
    <row r="1209">
      <c r="A1209" s="46" t="n"/>
      <c r="B1209" s="54" t="n"/>
      <c r="C1209" s="46" t="n"/>
      <c r="D1209" s="46" t="n"/>
      <c r="E1209" s="55" t="n"/>
      <c r="F1209" s="46" t="n"/>
      <c r="G1209" s="46" t="n"/>
      <c r="H1209" s="46" t="n"/>
      <c r="I1209" s="46" t="n"/>
      <c r="J1209" s="46" t="n"/>
      <c r="K1209" s="46" t="n"/>
      <c r="L1209" s="46" t="n"/>
      <c r="M1209" s="51" t="str">
        <f>IF(NOT(ISNUMBER($E1209)),"",IF($C1209="Receipt",$E1209,IF($C1209="Shipment",-$E1209,IF($C1209="Adjustment",$E1209,0))))</f>
        <v/>
      </c>
      <c r="N1209" s="49" t="str">
        <f>IF($D1209="","",IFERROR(INDEX(Products!$B$2:$B$101,MATCH($D1209,Products!$A$2:$A$101,0))&amp;"","(not found)"))</f>
        <v/>
      </c>
      <c r="O1209" s="49" t="str">
        <f>IF($F1209="","",IFERROR(INDEX(Batches!$B$2:$B$301,MATCH($F1209,Batches!$A$2:$A$301,0))&amp;"","(not found)"))</f>
        <v/>
      </c>
      <c r="P1209" s="49" t="str">
        <f>IF(COUNTA($A1209:$L1209)=0,"",IF($A1209="","Missing: entry ID",IF(COUNTIF($A$2:$A$2001,$A1209)&gt;1,"Duplicate entry ID",IF(NOT(ISNUMBER($B1209)),"Missing or invalid: date",IF($C1209="","Missing: type",IF($D1209="","Missing: SKU",IF(NOT(ISNUMBER($E1209)),"Missing: qty",IF($F1209="","Missing: lot",IF($I1209="","Missing: source link",IF(COUNTIF(Config!$A$15:$A$34,$C1209)=0,"Unsupported type",IF(COUNTIF(Products!$A$2:$A$101,$D1209)=0,"Unknown SKU",IF(COUNTIFS(Batches!$A$2:$A$301,$F1209,Batches!$B$2:$B$301,$D1209)=0,"Unknown lot for this SKU",IF(AND($C1209="Adjustment",$G1209=""),"Missing: reason",IF(AND($G1209&lt;&gt;"",COUNTIF(Config!$B$15:$B$34,$G1209)=0),"Unsupported reason",IF(OR(INT($E1209)&lt;&gt;$E1209,AND(OR($C1209="Receipt",$C1209="Shipment"),$E1209&lt;=0),AND($C1209="Adjustment",$E1209=0)),"Invalid qty",IF($B1209&gt;Config!$B$4,"Date after the as-of date",IF($B1209&lt;Config!$B$5,"Date before the opening balance date","OK")))))))))))))))))</f>
        <v/>
      </c>
    </row>
    <row r="1210">
      <c r="A1210" s="46" t="n"/>
      <c r="B1210" s="54" t="n"/>
      <c r="C1210" s="46" t="n"/>
      <c r="D1210" s="46" t="n"/>
      <c r="E1210" s="55" t="n"/>
      <c r="F1210" s="46" t="n"/>
      <c r="G1210" s="46" t="n"/>
      <c r="H1210" s="46" t="n"/>
      <c r="I1210" s="46" t="n"/>
      <c r="J1210" s="46" t="n"/>
      <c r="K1210" s="46" t="n"/>
      <c r="L1210" s="46" t="n"/>
      <c r="M1210" s="51" t="str">
        <f>IF(NOT(ISNUMBER($E1210)),"",IF($C1210="Receipt",$E1210,IF($C1210="Shipment",-$E1210,IF($C1210="Adjustment",$E1210,0))))</f>
        <v/>
      </c>
      <c r="N1210" s="49" t="str">
        <f>IF($D1210="","",IFERROR(INDEX(Products!$B$2:$B$101,MATCH($D1210,Products!$A$2:$A$101,0))&amp;"","(not found)"))</f>
        <v/>
      </c>
      <c r="O1210" s="49" t="str">
        <f>IF($F1210="","",IFERROR(INDEX(Batches!$B$2:$B$301,MATCH($F1210,Batches!$A$2:$A$301,0))&amp;"","(not found)"))</f>
        <v/>
      </c>
      <c r="P1210" s="49" t="str">
        <f>IF(COUNTA($A1210:$L1210)=0,"",IF($A1210="","Missing: entry ID",IF(COUNTIF($A$2:$A$2001,$A1210)&gt;1,"Duplicate entry ID",IF(NOT(ISNUMBER($B1210)),"Missing or invalid: date",IF($C1210="","Missing: type",IF($D1210="","Missing: SKU",IF(NOT(ISNUMBER($E1210)),"Missing: qty",IF($F1210="","Missing: lot",IF($I1210="","Missing: source link",IF(COUNTIF(Config!$A$15:$A$34,$C1210)=0,"Unsupported type",IF(COUNTIF(Products!$A$2:$A$101,$D1210)=0,"Unknown SKU",IF(COUNTIFS(Batches!$A$2:$A$301,$F1210,Batches!$B$2:$B$301,$D1210)=0,"Unknown lot for this SKU",IF(AND($C1210="Adjustment",$G1210=""),"Missing: reason",IF(AND($G1210&lt;&gt;"",COUNTIF(Config!$B$15:$B$34,$G1210)=0),"Unsupported reason",IF(OR(INT($E1210)&lt;&gt;$E1210,AND(OR($C1210="Receipt",$C1210="Shipment"),$E1210&lt;=0),AND($C1210="Adjustment",$E1210=0)),"Invalid qty",IF($B1210&gt;Config!$B$4,"Date after the as-of date",IF($B1210&lt;Config!$B$5,"Date before the opening balance date","OK")))))))))))))))))</f>
        <v/>
      </c>
    </row>
    <row r="1211">
      <c r="A1211" s="46" t="n"/>
      <c r="B1211" s="54" t="n"/>
      <c r="C1211" s="46" t="n"/>
      <c r="D1211" s="46" t="n"/>
      <c r="E1211" s="55" t="n"/>
      <c r="F1211" s="46" t="n"/>
      <c r="G1211" s="46" t="n"/>
      <c r="H1211" s="46" t="n"/>
      <c r="I1211" s="46" t="n"/>
      <c r="J1211" s="46" t="n"/>
      <c r="K1211" s="46" t="n"/>
      <c r="L1211" s="46" t="n"/>
      <c r="M1211" s="51" t="str">
        <f>IF(NOT(ISNUMBER($E1211)),"",IF($C1211="Receipt",$E1211,IF($C1211="Shipment",-$E1211,IF($C1211="Adjustment",$E1211,0))))</f>
        <v/>
      </c>
      <c r="N1211" s="49" t="str">
        <f>IF($D1211="","",IFERROR(INDEX(Products!$B$2:$B$101,MATCH($D1211,Products!$A$2:$A$101,0))&amp;"","(not found)"))</f>
        <v/>
      </c>
      <c r="O1211" s="49" t="str">
        <f>IF($F1211="","",IFERROR(INDEX(Batches!$B$2:$B$301,MATCH($F1211,Batches!$A$2:$A$301,0))&amp;"","(not found)"))</f>
        <v/>
      </c>
      <c r="P1211" s="49" t="str">
        <f>IF(COUNTA($A1211:$L1211)=0,"",IF($A1211="","Missing: entry ID",IF(COUNTIF($A$2:$A$2001,$A1211)&gt;1,"Duplicate entry ID",IF(NOT(ISNUMBER($B1211)),"Missing or invalid: date",IF($C1211="","Missing: type",IF($D1211="","Missing: SKU",IF(NOT(ISNUMBER($E1211)),"Missing: qty",IF($F1211="","Missing: lot",IF($I1211="","Missing: source link",IF(COUNTIF(Config!$A$15:$A$34,$C1211)=0,"Unsupported type",IF(COUNTIF(Products!$A$2:$A$101,$D1211)=0,"Unknown SKU",IF(COUNTIFS(Batches!$A$2:$A$301,$F1211,Batches!$B$2:$B$301,$D1211)=0,"Unknown lot for this SKU",IF(AND($C1211="Adjustment",$G1211=""),"Missing: reason",IF(AND($G1211&lt;&gt;"",COUNTIF(Config!$B$15:$B$34,$G1211)=0),"Unsupported reason",IF(OR(INT($E1211)&lt;&gt;$E1211,AND(OR($C1211="Receipt",$C1211="Shipment"),$E1211&lt;=0),AND($C1211="Adjustment",$E1211=0)),"Invalid qty",IF($B1211&gt;Config!$B$4,"Date after the as-of date",IF($B1211&lt;Config!$B$5,"Date before the opening balance date","OK")))))))))))))))))</f>
        <v/>
      </c>
    </row>
    <row r="1212">
      <c r="A1212" s="46" t="n"/>
      <c r="B1212" s="54" t="n"/>
      <c r="C1212" s="46" t="n"/>
      <c r="D1212" s="46" t="n"/>
      <c r="E1212" s="55" t="n"/>
      <c r="F1212" s="46" t="n"/>
      <c r="G1212" s="46" t="n"/>
      <c r="H1212" s="46" t="n"/>
      <c r="I1212" s="46" t="n"/>
      <c r="J1212" s="46" t="n"/>
      <c r="K1212" s="46" t="n"/>
      <c r="L1212" s="46" t="n"/>
      <c r="M1212" s="51" t="str">
        <f>IF(NOT(ISNUMBER($E1212)),"",IF($C1212="Receipt",$E1212,IF($C1212="Shipment",-$E1212,IF($C1212="Adjustment",$E1212,0))))</f>
        <v/>
      </c>
      <c r="N1212" s="49" t="str">
        <f>IF($D1212="","",IFERROR(INDEX(Products!$B$2:$B$101,MATCH($D1212,Products!$A$2:$A$101,0))&amp;"","(not found)"))</f>
        <v/>
      </c>
      <c r="O1212" s="49" t="str">
        <f>IF($F1212="","",IFERROR(INDEX(Batches!$B$2:$B$301,MATCH($F1212,Batches!$A$2:$A$301,0))&amp;"","(not found)"))</f>
        <v/>
      </c>
      <c r="P1212" s="49" t="str">
        <f>IF(COUNTA($A1212:$L1212)=0,"",IF($A1212="","Missing: entry ID",IF(COUNTIF($A$2:$A$2001,$A1212)&gt;1,"Duplicate entry ID",IF(NOT(ISNUMBER($B1212)),"Missing or invalid: date",IF($C1212="","Missing: type",IF($D1212="","Missing: SKU",IF(NOT(ISNUMBER($E1212)),"Missing: qty",IF($F1212="","Missing: lot",IF($I1212="","Missing: source link",IF(COUNTIF(Config!$A$15:$A$34,$C1212)=0,"Unsupported type",IF(COUNTIF(Products!$A$2:$A$101,$D1212)=0,"Unknown SKU",IF(COUNTIFS(Batches!$A$2:$A$301,$F1212,Batches!$B$2:$B$301,$D1212)=0,"Unknown lot for this SKU",IF(AND($C1212="Adjustment",$G1212=""),"Missing: reason",IF(AND($G1212&lt;&gt;"",COUNTIF(Config!$B$15:$B$34,$G1212)=0),"Unsupported reason",IF(OR(INT($E1212)&lt;&gt;$E1212,AND(OR($C1212="Receipt",$C1212="Shipment"),$E1212&lt;=0),AND($C1212="Adjustment",$E1212=0)),"Invalid qty",IF($B1212&gt;Config!$B$4,"Date after the as-of date",IF($B1212&lt;Config!$B$5,"Date before the opening balance date","OK")))))))))))))))))</f>
        <v/>
      </c>
    </row>
    <row r="1213">
      <c r="A1213" s="46" t="n"/>
      <c r="B1213" s="54" t="n"/>
      <c r="C1213" s="46" t="n"/>
      <c r="D1213" s="46" t="n"/>
      <c r="E1213" s="55" t="n"/>
      <c r="F1213" s="46" t="n"/>
      <c r="G1213" s="46" t="n"/>
      <c r="H1213" s="46" t="n"/>
      <c r="I1213" s="46" t="n"/>
      <c r="J1213" s="46" t="n"/>
      <c r="K1213" s="46" t="n"/>
      <c r="L1213" s="46" t="n"/>
      <c r="M1213" s="51" t="str">
        <f>IF(NOT(ISNUMBER($E1213)),"",IF($C1213="Receipt",$E1213,IF($C1213="Shipment",-$E1213,IF($C1213="Adjustment",$E1213,0))))</f>
        <v/>
      </c>
      <c r="N1213" s="49" t="str">
        <f>IF($D1213="","",IFERROR(INDEX(Products!$B$2:$B$101,MATCH($D1213,Products!$A$2:$A$101,0))&amp;"","(not found)"))</f>
        <v/>
      </c>
      <c r="O1213" s="49" t="str">
        <f>IF($F1213="","",IFERROR(INDEX(Batches!$B$2:$B$301,MATCH($F1213,Batches!$A$2:$A$301,0))&amp;"","(not found)"))</f>
        <v/>
      </c>
      <c r="P1213" s="49" t="str">
        <f>IF(COUNTA($A1213:$L1213)=0,"",IF($A1213="","Missing: entry ID",IF(COUNTIF($A$2:$A$2001,$A1213)&gt;1,"Duplicate entry ID",IF(NOT(ISNUMBER($B1213)),"Missing or invalid: date",IF($C1213="","Missing: type",IF($D1213="","Missing: SKU",IF(NOT(ISNUMBER($E1213)),"Missing: qty",IF($F1213="","Missing: lot",IF($I1213="","Missing: source link",IF(COUNTIF(Config!$A$15:$A$34,$C1213)=0,"Unsupported type",IF(COUNTIF(Products!$A$2:$A$101,$D1213)=0,"Unknown SKU",IF(COUNTIFS(Batches!$A$2:$A$301,$F1213,Batches!$B$2:$B$301,$D1213)=0,"Unknown lot for this SKU",IF(AND($C1213="Adjustment",$G1213=""),"Missing: reason",IF(AND($G1213&lt;&gt;"",COUNTIF(Config!$B$15:$B$34,$G1213)=0),"Unsupported reason",IF(OR(INT($E1213)&lt;&gt;$E1213,AND(OR($C1213="Receipt",$C1213="Shipment"),$E1213&lt;=0),AND($C1213="Adjustment",$E1213=0)),"Invalid qty",IF($B1213&gt;Config!$B$4,"Date after the as-of date",IF($B1213&lt;Config!$B$5,"Date before the opening balance date","OK")))))))))))))))))</f>
        <v/>
      </c>
    </row>
    <row r="1214">
      <c r="A1214" s="46" t="n"/>
      <c r="B1214" s="54" t="n"/>
      <c r="C1214" s="46" t="n"/>
      <c r="D1214" s="46" t="n"/>
      <c r="E1214" s="55" t="n"/>
      <c r="F1214" s="46" t="n"/>
      <c r="G1214" s="46" t="n"/>
      <c r="H1214" s="46" t="n"/>
      <c r="I1214" s="46" t="n"/>
      <c r="J1214" s="46" t="n"/>
      <c r="K1214" s="46" t="n"/>
      <c r="L1214" s="46" t="n"/>
      <c r="M1214" s="51" t="str">
        <f>IF(NOT(ISNUMBER($E1214)),"",IF($C1214="Receipt",$E1214,IF($C1214="Shipment",-$E1214,IF($C1214="Adjustment",$E1214,0))))</f>
        <v/>
      </c>
      <c r="N1214" s="49" t="str">
        <f>IF($D1214="","",IFERROR(INDEX(Products!$B$2:$B$101,MATCH($D1214,Products!$A$2:$A$101,0))&amp;"","(not found)"))</f>
        <v/>
      </c>
      <c r="O1214" s="49" t="str">
        <f>IF($F1214="","",IFERROR(INDEX(Batches!$B$2:$B$301,MATCH($F1214,Batches!$A$2:$A$301,0))&amp;"","(not found)"))</f>
        <v/>
      </c>
      <c r="P1214" s="49" t="str">
        <f>IF(COUNTA($A1214:$L1214)=0,"",IF($A1214="","Missing: entry ID",IF(COUNTIF($A$2:$A$2001,$A1214)&gt;1,"Duplicate entry ID",IF(NOT(ISNUMBER($B1214)),"Missing or invalid: date",IF($C1214="","Missing: type",IF($D1214="","Missing: SKU",IF(NOT(ISNUMBER($E1214)),"Missing: qty",IF($F1214="","Missing: lot",IF($I1214="","Missing: source link",IF(COUNTIF(Config!$A$15:$A$34,$C1214)=0,"Unsupported type",IF(COUNTIF(Products!$A$2:$A$101,$D1214)=0,"Unknown SKU",IF(COUNTIFS(Batches!$A$2:$A$301,$F1214,Batches!$B$2:$B$301,$D1214)=0,"Unknown lot for this SKU",IF(AND($C1214="Adjustment",$G1214=""),"Missing: reason",IF(AND($G1214&lt;&gt;"",COUNTIF(Config!$B$15:$B$34,$G1214)=0),"Unsupported reason",IF(OR(INT($E1214)&lt;&gt;$E1214,AND(OR($C1214="Receipt",$C1214="Shipment"),$E1214&lt;=0),AND($C1214="Adjustment",$E1214=0)),"Invalid qty",IF($B1214&gt;Config!$B$4,"Date after the as-of date",IF($B1214&lt;Config!$B$5,"Date before the opening balance date","OK")))))))))))))))))</f>
        <v/>
      </c>
    </row>
    <row r="1215">
      <c r="A1215" s="46" t="n"/>
      <c r="B1215" s="54" t="n"/>
      <c r="C1215" s="46" t="n"/>
      <c r="D1215" s="46" t="n"/>
      <c r="E1215" s="55" t="n"/>
      <c r="F1215" s="46" t="n"/>
      <c r="G1215" s="46" t="n"/>
      <c r="H1215" s="46" t="n"/>
      <c r="I1215" s="46" t="n"/>
      <c r="J1215" s="46" t="n"/>
      <c r="K1215" s="46" t="n"/>
      <c r="L1215" s="46" t="n"/>
      <c r="M1215" s="51" t="str">
        <f>IF(NOT(ISNUMBER($E1215)),"",IF($C1215="Receipt",$E1215,IF($C1215="Shipment",-$E1215,IF($C1215="Adjustment",$E1215,0))))</f>
        <v/>
      </c>
      <c r="N1215" s="49" t="str">
        <f>IF($D1215="","",IFERROR(INDEX(Products!$B$2:$B$101,MATCH($D1215,Products!$A$2:$A$101,0))&amp;"","(not found)"))</f>
        <v/>
      </c>
      <c r="O1215" s="49" t="str">
        <f>IF($F1215="","",IFERROR(INDEX(Batches!$B$2:$B$301,MATCH($F1215,Batches!$A$2:$A$301,0))&amp;"","(not found)"))</f>
        <v/>
      </c>
      <c r="P1215" s="49" t="str">
        <f>IF(COUNTA($A1215:$L1215)=0,"",IF($A1215="","Missing: entry ID",IF(COUNTIF($A$2:$A$2001,$A1215)&gt;1,"Duplicate entry ID",IF(NOT(ISNUMBER($B1215)),"Missing or invalid: date",IF($C1215="","Missing: type",IF($D1215="","Missing: SKU",IF(NOT(ISNUMBER($E1215)),"Missing: qty",IF($F1215="","Missing: lot",IF($I1215="","Missing: source link",IF(COUNTIF(Config!$A$15:$A$34,$C1215)=0,"Unsupported type",IF(COUNTIF(Products!$A$2:$A$101,$D1215)=0,"Unknown SKU",IF(COUNTIFS(Batches!$A$2:$A$301,$F1215,Batches!$B$2:$B$301,$D1215)=0,"Unknown lot for this SKU",IF(AND($C1215="Adjustment",$G1215=""),"Missing: reason",IF(AND($G1215&lt;&gt;"",COUNTIF(Config!$B$15:$B$34,$G1215)=0),"Unsupported reason",IF(OR(INT($E1215)&lt;&gt;$E1215,AND(OR($C1215="Receipt",$C1215="Shipment"),$E1215&lt;=0),AND($C1215="Adjustment",$E1215=0)),"Invalid qty",IF($B1215&gt;Config!$B$4,"Date after the as-of date",IF($B1215&lt;Config!$B$5,"Date before the opening balance date","OK")))))))))))))))))</f>
        <v/>
      </c>
    </row>
    <row r="1216">
      <c r="A1216" s="46" t="n"/>
      <c r="B1216" s="54" t="n"/>
      <c r="C1216" s="46" t="n"/>
      <c r="D1216" s="46" t="n"/>
      <c r="E1216" s="55" t="n"/>
      <c r="F1216" s="46" t="n"/>
      <c r="G1216" s="46" t="n"/>
      <c r="H1216" s="46" t="n"/>
      <c r="I1216" s="46" t="n"/>
      <c r="J1216" s="46" t="n"/>
      <c r="K1216" s="46" t="n"/>
      <c r="L1216" s="46" t="n"/>
      <c r="M1216" s="51" t="str">
        <f>IF(NOT(ISNUMBER($E1216)),"",IF($C1216="Receipt",$E1216,IF($C1216="Shipment",-$E1216,IF($C1216="Adjustment",$E1216,0))))</f>
        <v/>
      </c>
      <c r="N1216" s="49" t="str">
        <f>IF($D1216="","",IFERROR(INDEX(Products!$B$2:$B$101,MATCH($D1216,Products!$A$2:$A$101,0))&amp;"","(not found)"))</f>
        <v/>
      </c>
      <c r="O1216" s="49" t="str">
        <f>IF($F1216="","",IFERROR(INDEX(Batches!$B$2:$B$301,MATCH($F1216,Batches!$A$2:$A$301,0))&amp;"","(not found)"))</f>
        <v/>
      </c>
      <c r="P1216" s="49" t="str">
        <f>IF(COUNTA($A1216:$L1216)=0,"",IF($A1216="","Missing: entry ID",IF(COUNTIF($A$2:$A$2001,$A1216)&gt;1,"Duplicate entry ID",IF(NOT(ISNUMBER($B1216)),"Missing or invalid: date",IF($C1216="","Missing: type",IF($D1216="","Missing: SKU",IF(NOT(ISNUMBER($E1216)),"Missing: qty",IF($F1216="","Missing: lot",IF($I1216="","Missing: source link",IF(COUNTIF(Config!$A$15:$A$34,$C1216)=0,"Unsupported type",IF(COUNTIF(Products!$A$2:$A$101,$D1216)=0,"Unknown SKU",IF(COUNTIFS(Batches!$A$2:$A$301,$F1216,Batches!$B$2:$B$301,$D1216)=0,"Unknown lot for this SKU",IF(AND($C1216="Adjustment",$G1216=""),"Missing: reason",IF(AND($G1216&lt;&gt;"",COUNTIF(Config!$B$15:$B$34,$G1216)=0),"Unsupported reason",IF(OR(INT($E1216)&lt;&gt;$E1216,AND(OR($C1216="Receipt",$C1216="Shipment"),$E1216&lt;=0),AND($C1216="Adjustment",$E1216=0)),"Invalid qty",IF($B1216&gt;Config!$B$4,"Date after the as-of date",IF($B1216&lt;Config!$B$5,"Date before the opening balance date","OK")))))))))))))))))</f>
        <v/>
      </c>
    </row>
    <row r="1217">
      <c r="A1217" s="46" t="n"/>
      <c r="B1217" s="54" t="n"/>
      <c r="C1217" s="46" t="n"/>
      <c r="D1217" s="46" t="n"/>
      <c r="E1217" s="55" t="n"/>
      <c r="F1217" s="46" t="n"/>
      <c r="G1217" s="46" t="n"/>
      <c r="H1217" s="46" t="n"/>
      <c r="I1217" s="46" t="n"/>
      <c r="J1217" s="46" t="n"/>
      <c r="K1217" s="46" t="n"/>
      <c r="L1217" s="46" t="n"/>
      <c r="M1217" s="51" t="str">
        <f>IF(NOT(ISNUMBER($E1217)),"",IF($C1217="Receipt",$E1217,IF($C1217="Shipment",-$E1217,IF($C1217="Adjustment",$E1217,0))))</f>
        <v/>
      </c>
      <c r="N1217" s="49" t="str">
        <f>IF($D1217="","",IFERROR(INDEX(Products!$B$2:$B$101,MATCH($D1217,Products!$A$2:$A$101,0))&amp;"","(not found)"))</f>
        <v/>
      </c>
      <c r="O1217" s="49" t="str">
        <f>IF($F1217="","",IFERROR(INDEX(Batches!$B$2:$B$301,MATCH($F1217,Batches!$A$2:$A$301,0))&amp;"","(not found)"))</f>
        <v/>
      </c>
      <c r="P1217" s="49" t="str">
        <f>IF(COUNTA($A1217:$L1217)=0,"",IF($A1217="","Missing: entry ID",IF(COUNTIF($A$2:$A$2001,$A1217)&gt;1,"Duplicate entry ID",IF(NOT(ISNUMBER($B1217)),"Missing or invalid: date",IF($C1217="","Missing: type",IF($D1217="","Missing: SKU",IF(NOT(ISNUMBER($E1217)),"Missing: qty",IF($F1217="","Missing: lot",IF($I1217="","Missing: source link",IF(COUNTIF(Config!$A$15:$A$34,$C1217)=0,"Unsupported type",IF(COUNTIF(Products!$A$2:$A$101,$D1217)=0,"Unknown SKU",IF(COUNTIFS(Batches!$A$2:$A$301,$F1217,Batches!$B$2:$B$301,$D1217)=0,"Unknown lot for this SKU",IF(AND($C1217="Adjustment",$G1217=""),"Missing: reason",IF(AND($G1217&lt;&gt;"",COUNTIF(Config!$B$15:$B$34,$G1217)=0),"Unsupported reason",IF(OR(INT($E1217)&lt;&gt;$E1217,AND(OR($C1217="Receipt",$C1217="Shipment"),$E1217&lt;=0),AND($C1217="Adjustment",$E1217=0)),"Invalid qty",IF($B1217&gt;Config!$B$4,"Date after the as-of date",IF($B1217&lt;Config!$B$5,"Date before the opening balance date","OK")))))))))))))))))</f>
        <v/>
      </c>
    </row>
    <row r="1218">
      <c r="A1218" s="46" t="n"/>
      <c r="B1218" s="54" t="n"/>
      <c r="C1218" s="46" t="n"/>
      <c r="D1218" s="46" t="n"/>
      <c r="E1218" s="55" t="n"/>
      <c r="F1218" s="46" t="n"/>
      <c r="G1218" s="46" t="n"/>
      <c r="H1218" s="46" t="n"/>
      <c r="I1218" s="46" t="n"/>
      <c r="J1218" s="46" t="n"/>
      <c r="K1218" s="46" t="n"/>
      <c r="L1218" s="46" t="n"/>
      <c r="M1218" s="51" t="str">
        <f>IF(NOT(ISNUMBER($E1218)),"",IF($C1218="Receipt",$E1218,IF($C1218="Shipment",-$E1218,IF($C1218="Adjustment",$E1218,0))))</f>
        <v/>
      </c>
      <c r="N1218" s="49" t="str">
        <f>IF($D1218="","",IFERROR(INDEX(Products!$B$2:$B$101,MATCH($D1218,Products!$A$2:$A$101,0))&amp;"","(not found)"))</f>
        <v/>
      </c>
      <c r="O1218" s="49" t="str">
        <f>IF($F1218="","",IFERROR(INDEX(Batches!$B$2:$B$301,MATCH($F1218,Batches!$A$2:$A$301,0))&amp;"","(not found)"))</f>
        <v/>
      </c>
      <c r="P1218" s="49" t="str">
        <f>IF(COUNTA($A1218:$L1218)=0,"",IF($A1218="","Missing: entry ID",IF(COUNTIF($A$2:$A$2001,$A1218)&gt;1,"Duplicate entry ID",IF(NOT(ISNUMBER($B1218)),"Missing or invalid: date",IF($C1218="","Missing: type",IF($D1218="","Missing: SKU",IF(NOT(ISNUMBER($E1218)),"Missing: qty",IF($F1218="","Missing: lot",IF($I1218="","Missing: source link",IF(COUNTIF(Config!$A$15:$A$34,$C1218)=0,"Unsupported type",IF(COUNTIF(Products!$A$2:$A$101,$D1218)=0,"Unknown SKU",IF(COUNTIFS(Batches!$A$2:$A$301,$F1218,Batches!$B$2:$B$301,$D1218)=0,"Unknown lot for this SKU",IF(AND($C1218="Adjustment",$G1218=""),"Missing: reason",IF(AND($G1218&lt;&gt;"",COUNTIF(Config!$B$15:$B$34,$G1218)=0),"Unsupported reason",IF(OR(INT($E1218)&lt;&gt;$E1218,AND(OR($C1218="Receipt",$C1218="Shipment"),$E1218&lt;=0),AND($C1218="Adjustment",$E1218=0)),"Invalid qty",IF($B1218&gt;Config!$B$4,"Date after the as-of date",IF($B1218&lt;Config!$B$5,"Date before the opening balance date","OK")))))))))))))))))</f>
        <v/>
      </c>
    </row>
    <row r="1219">
      <c r="A1219" s="46" t="n"/>
      <c r="B1219" s="54" t="n"/>
      <c r="C1219" s="46" t="n"/>
      <c r="D1219" s="46" t="n"/>
      <c r="E1219" s="55" t="n"/>
      <c r="F1219" s="46" t="n"/>
      <c r="G1219" s="46" t="n"/>
      <c r="H1219" s="46" t="n"/>
      <c r="I1219" s="46" t="n"/>
      <c r="J1219" s="46" t="n"/>
      <c r="K1219" s="46" t="n"/>
      <c r="L1219" s="46" t="n"/>
      <c r="M1219" s="51" t="str">
        <f>IF(NOT(ISNUMBER($E1219)),"",IF($C1219="Receipt",$E1219,IF($C1219="Shipment",-$E1219,IF($C1219="Adjustment",$E1219,0))))</f>
        <v/>
      </c>
      <c r="N1219" s="49" t="str">
        <f>IF($D1219="","",IFERROR(INDEX(Products!$B$2:$B$101,MATCH($D1219,Products!$A$2:$A$101,0))&amp;"","(not found)"))</f>
        <v/>
      </c>
      <c r="O1219" s="49" t="str">
        <f>IF($F1219="","",IFERROR(INDEX(Batches!$B$2:$B$301,MATCH($F1219,Batches!$A$2:$A$301,0))&amp;"","(not found)"))</f>
        <v/>
      </c>
      <c r="P1219" s="49" t="str">
        <f>IF(COUNTA($A1219:$L1219)=0,"",IF($A1219="","Missing: entry ID",IF(COUNTIF($A$2:$A$2001,$A1219)&gt;1,"Duplicate entry ID",IF(NOT(ISNUMBER($B1219)),"Missing or invalid: date",IF($C1219="","Missing: type",IF($D1219="","Missing: SKU",IF(NOT(ISNUMBER($E1219)),"Missing: qty",IF($F1219="","Missing: lot",IF($I1219="","Missing: source link",IF(COUNTIF(Config!$A$15:$A$34,$C1219)=0,"Unsupported type",IF(COUNTIF(Products!$A$2:$A$101,$D1219)=0,"Unknown SKU",IF(COUNTIFS(Batches!$A$2:$A$301,$F1219,Batches!$B$2:$B$301,$D1219)=0,"Unknown lot for this SKU",IF(AND($C1219="Adjustment",$G1219=""),"Missing: reason",IF(AND($G1219&lt;&gt;"",COUNTIF(Config!$B$15:$B$34,$G1219)=0),"Unsupported reason",IF(OR(INT($E1219)&lt;&gt;$E1219,AND(OR($C1219="Receipt",$C1219="Shipment"),$E1219&lt;=0),AND($C1219="Adjustment",$E1219=0)),"Invalid qty",IF($B1219&gt;Config!$B$4,"Date after the as-of date",IF($B1219&lt;Config!$B$5,"Date before the opening balance date","OK")))))))))))))))))</f>
        <v/>
      </c>
    </row>
    <row r="1220">
      <c r="A1220" s="46" t="n"/>
      <c r="B1220" s="54" t="n"/>
      <c r="C1220" s="46" t="n"/>
      <c r="D1220" s="46" t="n"/>
      <c r="E1220" s="55" t="n"/>
      <c r="F1220" s="46" t="n"/>
      <c r="G1220" s="46" t="n"/>
      <c r="H1220" s="46" t="n"/>
      <c r="I1220" s="46" t="n"/>
      <c r="J1220" s="46" t="n"/>
      <c r="K1220" s="46" t="n"/>
      <c r="L1220" s="46" t="n"/>
      <c r="M1220" s="51" t="str">
        <f>IF(NOT(ISNUMBER($E1220)),"",IF($C1220="Receipt",$E1220,IF($C1220="Shipment",-$E1220,IF($C1220="Adjustment",$E1220,0))))</f>
        <v/>
      </c>
      <c r="N1220" s="49" t="str">
        <f>IF($D1220="","",IFERROR(INDEX(Products!$B$2:$B$101,MATCH($D1220,Products!$A$2:$A$101,0))&amp;"","(not found)"))</f>
        <v/>
      </c>
      <c r="O1220" s="49" t="str">
        <f>IF($F1220="","",IFERROR(INDEX(Batches!$B$2:$B$301,MATCH($F1220,Batches!$A$2:$A$301,0))&amp;"","(not found)"))</f>
        <v/>
      </c>
      <c r="P1220" s="49" t="str">
        <f>IF(COUNTA($A1220:$L1220)=0,"",IF($A1220="","Missing: entry ID",IF(COUNTIF($A$2:$A$2001,$A1220)&gt;1,"Duplicate entry ID",IF(NOT(ISNUMBER($B1220)),"Missing or invalid: date",IF($C1220="","Missing: type",IF($D1220="","Missing: SKU",IF(NOT(ISNUMBER($E1220)),"Missing: qty",IF($F1220="","Missing: lot",IF($I1220="","Missing: source link",IF(COUNTIF(Config!$A$15:$A$34,$C1220)=0,"Unsupported type",IF(COUNTIF(Products!$A$2:$A$101,$D1220)=0,"Unknown SKU",IF(COUNTIFS(Batches!$A$2:$A$301,$F1220,Batches!$B$2:$B$301,$D1220)=0,"Unknown lot for this SKU",IF(AND($C1220="Adjustment",$G1220=""),"Missing: reason",IF(AND($G1220&lt;&gt;"",COUNTIF(Config!$B$15:$B$34,$G1220)=0),"Unsupported reason",IF(OR(INT($E1220)&lt;&gt;$E1220,AND(OR($C1220="Receipt",$C1220="Shipment"),$E1220&lt;=0),AND($C1220="Adjustment",$E1220=0)),"Invalid qty",IF($B1220&gt;Config!$B$4,"Date after the as-of date",IF($B1220&lt;Config!$B$5,"Date before the opening balance date","OK")))))))))))))))))</f>
        <v/>
      </c>
    </row>
    <row r="1221">
      <c r="A1221" s="46" t="n"/>
      <c r="B1221" s="54" t="n"/>
      <c r="C1221" s="46" t="n"/>
      <c r="D1221" s="46" t="n"/>
      <c r="E1221" s="55" t="n"/>
      <c r="F1221" s="46" t="n"/>
      <c r="G1221" s="46" t="n"/>
      <c r="H1221" s="46" t="n"/>
      <c r="I1221" s="46" t="n"/>
      <c r="J1221" s="46" t="n"/>
      <c r="K1221" s="46" t="n"/>
      <c r="L1221" s="46" t="n"/>
      <c r="M1221" s="51" t="str">
        <f>IF(NOT(ISNUMBER($E1221)),"",IF($C1221="Receipt",$E1221,IF($C1221="Shipment",-$E1221,IF($C1221="Adjustment",$E1221,0))))</f>
        <v/>
      </c>
      <c r="N1221" s="49" t="str">
        <f>IF($D1221="","",IFERROR(INDEX(Products!$B$2:$B$101,MATCH($D1221,Products!$A$2:$A$101,0))&amp;"","(not found)"))</f>
        <v/>
      </c>
      <c r="O1221" s="49" t="str">
        <f>IF($F1221="","",IFERROR(INDEX(Batches!$B$2:$B$301,MATCH($F1221,Batches!$A$2:$A$301,0))&amp;"","(not found)"))</f>
        <v/>
      </c>
      <c r="P1221" s="49" t="str">
        <f>IF(COUNTA($A1221:$L1221)=0,"",IF($A1221="","Missing: entry ID",IF(COUNTIF($A$2:$A$2001,$A1221)&gt;1,"Duplicate entry ID",IF(NOT(ISNUMBER($B1221)),"Missing or invalid: date",IF($C1221="","Missing: type",IF($D1221="","Missing: SKU",IF(NOT(ISNUMBER($E1221)),"Missing: qty",IF($F1221="","Missing: lot",IF($I1221="","Missing: source link",IF(COUNTIF(Config!$A$15:$A$34,$C1221)=0,"Unsupported type",IF(COUNTIF(Products!$A$2:$A$101,$D1221)=0,"Unknown SKU",IF(COUNTIFS(Batches!$A$2:$A$301,$F1221,Batches!$B$2:$B$301,$D1221)=0,"Unknown lot for this SKU",IF(AND($C1221="Adjustment",$G1221=""),"Missing: reason",IF(AND($G1221&lt;&gt;"",COUNTIF(Config!$B$15:$B$34,$G1221)=0),"Unsupported reason",IF(OR(INT($E1221)&lt;&gt;$E1221,AND(OR($C1221="Receipt",$C1221="Shipment"),$E1221&lt;=0),AND($C1221="Adjustment",$E1221=0)),"Invalid qty",IF($B1221&gt;Config!$B$4,"Date after the as-of date",IF($B1221&lt;Config!$B$5,"Date before the opening balance date","OK")))))))))))))))))</f>
        <v/>
      </c>
    </row>
    <row r="1222">
      <c r="A1222" s="46" t="n"/>
      <c r="B1222" s="54" t="n"/>
      <c r="C1222" s="46" t="n"/>
      <c r="D1222" s="46" t="n"/>
      <c r="E1222" s="55" t="n"/>
      <c r="F1222" s="46" t="n"/>
      <c r="G1222" s="46" t="n"/>
      <c r="H1222" s="46" t="n"/>
      <c r="I1222" s="46" t="n"/>
      <c r="J1222" s="46" t="n"/>
      <c r="K1222" s="46" t="n"/>
      <c r="L1222" s="46" t="n"/>
      <c r="M1222" s="51" t="str">
        <f>IF(NOT(ISNUMBER($E1222)),"",IF($C1222="Receipt",$E1222,IF($C1222="Shipment",-$E1222,IF($C1222="Adjustment",$E1222,0))))</f>
        <v/>
      </c>
      <c r="N1222" s="49" t="str">
        <f>IF($D1222="","",IFERROR(INDEX(Products!$B$2:$B$101,MATCH($D1222,Products!$A$2:$A$101,0))&amp;"","(not found)"))</f>
        <v/>
      </c>
      <c r="O1222" s="49" t="str">
        <f>IF($F1222="","",IFERROR(INDEX(Batches!$B$2:$B$301,MATCH($F1222,Batches!$A$2:$A$301,0))&amp;"","(not found)"))</f>
        <v/>
      </c>
      <c r="P1222" s="49" t="str">
        <f>IF(COUNTA($A1222:$L1222)=0,"",IF($A1222="","Missing: entry ID",IF(COUNTIF($A$2:$A$2001,$A1222)&gt;1,"Duplicate entry ID",IF(NOT(ISNUMBER($B1222)),"Missing or invalid: date",IF($C1222="","Missing: type",IF($D1222="","Missing: SKU",IF(NOT(ISNUMBER($E1222)),"Missing: qty",IF($F1222="","Missing: lot",IF($I1222="","Missing: source link",IF(COUNTIF(Config!$A$15:$A$34,$C1222)=0,"Unsupported type",IF(COUNTIF(Products!$A$2:$A$101,$D1222)=0,"Unknown SKU",IF(COUNTIFS(Batches!$A$2:$A$301,$F1222,Batches!$B$2:$B$301,$D1222)=0,"Unknown lot for this SKU",IF(AND($C1222="Adjustment",$G1222=""),"Missing: reason",IF(AND($G1222&lt;&gt;"",COUNTIF(Config!$B$15:$B$34,$G1222)=0),"Unsupported reason",IF(OR(INT($E1222)&lt;&gt;$E1222,AND(OR($C1222="Receipt",$C1222="Shipment"),$E1222&lt;=0),AND($C1222="Adjustment",$E1222=0)),"Invalid qty",IF($B1222&gt;Config!$B$4,"Date after the as-of date",IF($B1222&lt;Config!$B$5,"Date before the opening balance date","OK")))))))))))))))))</f>
        <v/>
      </c>
    </row>
    <row r="1223">
      <c r="A1223" s="46" t="n"/>
      <c r="B1223" s="54" t="n"/>
      <c r="C1223" s="46" t="n"/>
      <c r="D1223" s="46" t="n"/>
      <c r="E1223" s="55" t="n"/>
      <c r="F1223" s="46" t="n"/>
      <c r="G1223" s="46" t="n"/>
      <c r="H1223" s="46" t="n"/>
      <c r="I1223" s="46" t="n"/>
      <c r="J1223" s="46" t="n"/>
      <c r="K1223" s="46" t="n"/>
      <c r="L1223" s="46" t="n"/>
      <c r="M1223" s="51" t="str">
        <f>IF(NOT(ISNUMBER($E1223)),"",IF($C1223="Receipt",$E1223,IF($C1223="Shipment",-$E1223,IF($C1223="Adjustment",$E1223,0))))</f>
        <v/>
      </c>
      <c r="N1223" s="49" t="str">
        <f>IF($D1223="","",IFERROR(INDEX(Products!$B$2:$B$101,MATCH($D1223,Products!$A$2:$A$101,0))&amp;"","(not found)"))</f>
        <v/>
      </c>
      <c r="O1223" s="49" t="str">
        <f>IF($F1223="","",IFERROR(INDEX(Batches!$B$2:$B$301,MATCH($F1223,Batches!$A$2:$A$301,0))&amp;"","(not found)"))</f>
        <v/>
      </c>
      <c r="P1223" s="49" t="str">
        <f>IF(COUNTA($A1223:$L1223)=0,"",IF($A1223="","Missing: entry ID",IF(COUNTIF($A$2:$A$2001,$A1223)&gt;1,"Duplicate entry ID",IF(NOT(ISNUMBER($B1223)),"Missing or invalid: date",IF($C1223="","Missing: type",IF($D1223="","Missing: SKU",IF(NOT(ISNUMBER($E1223)),"Missing: qty",IF($F1223="","Missing: lot",IF($I1223="","Missing: source link",IF(COUNTIF(Config!$A$15:$A$34,$C1223)=0,"Unsupported type",IF(COUNTIF(Products!$A$2:$A$101,$D1223)=0,"Unknown SKU",IF(COUNTIFS(Batches!$A$2:$A$301,$F1223,Batches!$B$2:$B$301,$D1223)=0,"Unknown lot for this SKU",IF(AND($C1223="Adjustment",$G1223=""),"Missing: reason",IF(AND($G1223&lt;&gt;"",COUNTIF(Config!$B$15:$B$34,$G1223)=0),"Unsupported reason",IF(OR(INT($E1223)&lt;&gt;$E1223,AND(OR($C1223="Receipt",$C1223="Shipment"),$E1223&lt;=0),AND($C1223="Adjustment",$E1223=0)),"Invalid qty",IF($B1223&gt;Config!$B$4,"Date after the as-of date",IF($B1223&lt;Config!$B$5,"Date before the opening balance date","OK")))))))))))))))))</f>
        <v/>
      </c>
    </row>
    <row r="1224">
      <c r="A1224" s="46" t="n"/>
      <c r="B1224" s="54" t="n"/>
      <c r="C1224" s="46" t="n"/>
      <c r="D1224" s="46" t="n"/>
      <c r="E1224" s="55" t="n"/>
      <c r="F1224" s="46" t="n"/>
      <c r="G1224" s="46" t="n"/>
      <c r="H1224" s="46" t="n"/>
      <c r="I1224" s="46" t="n"/>
      <c r="J1224" s="46" t="n"/>
      <c r="K1224" s="46" t="n"/>
      <c r="L1224" s="46" t="n"/>
      <c r="M1224" s="51" t="str">
        <f>IF(NOT(ISNUMBER($E1224)),"",IF($C1224="Receipt",$E1224,IF($C1224="Shipment",-$E1224,IF($C1224="Adjustment",$E1224,0))))</f>
        <v/>
      </c>
      <c r="N1224" s="49" t="str">
        <f>IF($D1224="","",IFERROR(INDEX(Products!$B$2:$B$101,MATCH($D1224,Products!$A$2:$A$101,0))&amp;"","(not found)"))</f>
        <v/>
      </c>
      <c r="O1224" s="49" t="str">
        <f>IF($F1224="","",IFERROR(INDEX(Batches!$B$2:$B$301,MATCH($F1224,Batches!$A$2:$A$301,0))&amp;"","(not found)"))</f>
        <v/>
      </c>
      <c r="P1224" s="49" t="str">
        <f>IF(COUNTA($A1224:$L1224)=0,"",IF($A1224="","Missing: entry ID",IF(COUNTIF($A$2:$A$2001,$A1224)&gt;1,"Duplicate entry ID",IF(NOT(ISNUMBER($B1224)),"Missing or invalid: date",IF($C1224="","Missing: type",IF($D1224="","Missing: SKU",IF(NOT(ISNUMBER($E1224)),"Missing: qty",IF($F1224="","Missing: lot",IF($I1224="","Missing: source link",IF(COUNTIF(Config!$A$15:$A$34,$C1224)=0,"Unsupported type",IF(COUNTIF(Products!$A$2:$A$101,$D1224)=0,"Unknown SKU",IF(COUNTIFS(Batches!$A$2:$A$301,$F1224,Batches!$B$2:$B$301,$D1224)=0,"Unknown lot for this SKU",IF(AND($C1224="Adjustment",$G1224=""),"Missing: reason",IF(AND($G1224&lt;&gt;"",COUNTIF(Config!$B$15:$B$34,$G1224)=0),"Unsupported reason",IF(OR(INT($E1224)&lt;&gt;$E1224,AND(OR($C1224="Receipt",$C1224="Shipment"),$E1224&lt;=0),AND($C1224="Adjustment",$E1224=0)),"Invalid qty",IF($B1224&gt;Config!$B$4,"Date after the as-of date",IF($B1224&lt;Config!$B$5,"Date before the opening balance date","OK")))))))))))))))))</f>
        <v/>
      </c>
    </row>
    <row r="1225">
      <c r="A1225" s="46" t="n"/>
      <c r="B1225" s="54" t="n"/>
      <c r="C1225" s="46" t="n"/>
      <c r="D1225" s="46" t="n"/>
      <c r="E1225" s="55" t="n"/>
      <c r="F1225" s="46" t="n"/>
      <c r="G1225" s="46" t="n"/>
      <c r="H1225" s="46" t="n"/>
      <c r="I1225" s="46" t="n"/>
      <c r="J1225" s="46" t="n"/>
      <c r="K1225" s="46" t="n"/>
      <c r="L1225" s="46" t="n"/>
      <c r="M1225" s="51" t="str">
        <f>IF(NOT(ISNUMBER($E1225)),"",IF($C1225="Receipt",$E1225,IF($C1225="Shipment",-$E1225,IF($C1225="Adjustment",$E1225,0))))</f>
        <v/>
      </c>
      <c r="N1225" s="49" t="str">
        <f>IF($D1225="","",IFERROR(INDEX(Products!$B$2:$B$101,MATCH($D1225,Products!$A$2:$A$101,0))&amp;"","(not found)"))</f>
        <v/>
      </c>
      <c r="O1225" s="49" t="str">
        <f>IF($F1225="","",IFERROR(INDEX(Batches!$B$2:$B$301,MATCH($F1225,Batches!$A$2:$A$301,0))&amp;"","(not found)"))</f>
        <v/>
      </c>
      <c r="P1225" s="49" t="str">
        <f>IF(COUNTA($A1225:$L1225)=0,"",IF($A1225="","Missing: entry ID",IF(COUNTIF($A$2:$A$2001,$A1225)&gt;1,"Duplicate entry ID",IF(NOT(ISNUMBER($B1225)),"Missing or invalid: date",IF($C1225="","Missing: type",IF($D1225="","Missing: SKU",IF(NOT(ISNUMBER($E1225)),"Missing: qty",IF($F1225="","Missing: lot",IF($I1225="","Missing: source link",IF(COUNTIF(Config!$A$15:$A$34,$C1225)=0,"Unsupported type",IF(COUNTIF(Products!$A$2:$A$101,$D1225)=0,"Unknown SKU",IF(COUNTIFS(Batches!$A$2:$A$301,$F1225,Batches!$B$2:$B$301,$D1225)=0,"Unknown lot for this SKU",IF(AND($C1225="Adjustment",$G1225=""),"Missing: reason",IF(AND($G1225&lt;&gt;"",COUNTIF(Config!$B$15:$B$34,$G1225)=0),"Unsupported reason",IF(OR(INT($E1225)&lt;&gt;$E1225,AND(OR($C1225="Receipt",$C1225="Shipment"),$E1225&lt;=0),AND($C1225="Adjustment",$E1225=0)),"Invalid qty",IF($B1225&gt;Config!$B$4,"Date after the as-of date",IF($B1225&lt;Config!$B$5,"Date before the opening balance date","OK")))))))))))))))))</f>
        <v/>
      </c>
    </row>
    <row r="1226">
      <c r="A1226" s="46" t="n"/>
      <c r="B1226" s="54" t="n"/>
      <c r="C1226" s="46" t="n"/>
      <c r="D1226" s="46" t="n"/>
      <c r="E1226" s="55" t="n"/>
      <c r="F1226" s="46" t="n"/>
      <c r="G1226" s="46" t="n"/>
      <c r="H1226" s="46" t="n"/>
      <c r="I1226" s="46" t="n"/>
      <c r="J1226" s="46" t="n"/>
      <c r="K1226" s="46" t="n"/>
      <c r="L1226" s="46" t="n"/>
      <c r="M1226" s="51" t="str">
        <f>IF(NOT(ISNUMBER($E1226)),"",IF($C1226="Receipt",$E1226,IF($C1226="Shipment",-$E1226,IF($C1226="Adjustment",$E1226,0))))</f>
        <v/>
      </c>
      <c r="N1226" s="49" t="str">
        <f>IF($D1226="","",IFERROR(INDEX(Products!$B$2:$B$101,MATCH($D1226,Products!$A$2:$A$101,0))&amp;"","(not found)"))</f>
        <v/>
      </c>
      <c r="O1226" s="49" t="str">
        <f>IF($F1226="","",IFERROR(INDEX(Batches!$B$2:$B$301,MATCH($F1226,Batches!$A$2:$A$301,0))&amp;"","(not found)"))</f>
        <v/>
      </c>
      <c r="P1226" s="49" t="str">
        <f>IF(COUNTA($A1226:$L1226)=0,"",IF($A1226="","Missing: entry ID",IF(COUNTIF($A$2:$A$2001,$A1226)&gt;1,"Duplicate entry ID",IF(NOT(ISNUMBER($B1226)),"Missing or invalid: date",IF($C1226="","Missing: type",IF($D1226="","Missing: SKU",IF(NOT(ISNUMBER($E1226)),"Missing: qty",IF($F1226="","Missing: lot",IF($I1226="","Missing: source link",IF(COUNTIF(Config!$A$15:$A$34,$C1226)=0,"Unsupported type",IF(COUNTIF(Products!$A$2:$A$101,$D1226)=0,"Unknown SKU",IF(COUNTIFS(Batches!$A$2:$A$301,$F1226,Batches!$B$2:$B$301,$D1226)=0,"Unknown lot for this SKU",IF(AND($C1226="Adjustment",$G1226=""),"Missing: reason",IF(AND($G1226&lt;&gt;"",COUNTIF(Config!$B$15:$B$34,$G1226)=0),"Unsupported reason",IF(OR(INT($E1226)&lt;&gt;$E1226,AND(OR($C1226="Receipt",$C1226="Shipment"),$E1226&lt;=0),AND($C1226="Adjustment",$E1226=0)),"Invalid qty",IF($B1226&gt;Config!$B$4,"Date after the as-of date",IF($B1226&lt;Config!$B$5,"Date before the opening balance date","OK")))))))))))))))))</f>
        <v/>
      </c>
    </row>
    <row r="1227">
      <c r="A1227" s="46" t="n"/>
      <c r="B1227" s="54" t="n"/>
      <c r="C1227" s="46" t="n"/>
      <c r="D1227" s="46" t="n"/>
      <c r="E1227" s="55" t="n"/>
      <c r="F1227" s="46" t="n"/>
      <c r="G1227" s="46" t="n"/>
      <c r="H1227" s="46" t="n"/>
      <c r="I1227" s="46" t="n"/>
      <c r="J1227" s="46" t="n"/>
      <c r="K1227" s="46" t="n"/>
      <c r="L1227" s="46" t="n"/>
      <c r="M1227" s="51" t="str">
        <f>IF(NOT(ISNUMBER($E1227)),"",IF($C1227="Receipt",$E1227,IF($C1227="Shipment",-$E1227,IF($C1227="Adjustment",$E1227,0))))</f>
        <v/>
      </c>
      <c r="N1227" s="49" t="str">
        <f>IF($D1227="","",IFERROR(INDEX(Products!$B$2:$B$101,MATCH($D1227,Products!$A$2:$A$101,0))&amp;"","(not found)"))</f>
        <v/>
      </c>
      <c r="O1227" s="49" t="str">
        <f>IF($F1227="","",IFERROR(INDEX(Batches!$B$2:$B$301,MATCH($F1227,Batches!$A$2:$A$301,0))&amp;"","(not found)"))</f>
        <v/>
      </c>
      <c r="P1227" s="49" t="str">
        <f>IF(COUNTA($A1227:$L1227)=0,"",IF($A1227="","Missing: entry ID",IF(COUNTIF($A$2:$A$2001,$A1227)&gt;1,"Duplicate entry ID",IF(NOT(ISNUMBER($B1227)),"Missing or invalid: date",IF($C1227="","Missing: type",IF($D1227="","Missing: SKU",IF(NOT(ISNUMBER($E1227)),"Missing: qty",IF($F1227="","Missing: lot",IF($I1227="","Missing: source link",IF(COUNTIF(Config!$A$15:$A$34,$C1227)=0,"Unsupported type",IF(COUNTIF(Products!$A$2:$A$101,$D1227)=0,"Unknown SKU",IF(COUNTIFS(Batches!$A$2:$A$301,$F1227,Batches!$B$2:$B$301,$D1227)=0,"Unknown lot for this SKU",IF(AND($C1227="Adjustment",$G1227=""),"Missing: reason",IF(AND($G1227&lt;&gt;"",COUNTIF(Config!$B$15:$B$34,$G1227)=0),"Unsupported reason",IF(OR(INT($E1227)&lt;&gt;$E1227,AND(OR($C1227="Receipt",$C1227="Shipment"),$E1227&lt;=0),AND($C1227="Adjustment",$E1227=0)),"Invalid qty",IF($B1227&gt;Config!$B$4,"Date after the as-of date",IF($B1227&lt;Config!$B$5,"Date before the opening balance date","OK")))))))))))))))))</f>
        <v/>
      </c>
    </row>
    <row r="1228">
      <c r="A1228" s="46" t="n"/>
      <c r="B1228" s="54" t="n"/>
      <c r="C1228" s="46" t="n"/>
      <c r="D1228" s="46" t="n"/>
      <c r="E1228" s="55" t="n"/>
      <c r="F1228" s="46" t="n"/>
      <c r="G1228" s="46" t="n"/>
      <c r="H1228" s="46" t="n"/>
      <c r="I1228" s="46" t="n"/>
      <c r="J1228" s="46" t="n"/>
      <c r="K1228" s="46" t="n"/>
      <c r="L1228" s="46" t="n"/>
      <c r="M1228" s="51" t="str">
        <f>IF(NOT(ISNUMBER($E1228)),"",IF($C1228="Receipt",$E1228,IF($C1228="Shipment",-$E1228,IF($C1228="Adjustment",$E1228,0))))</f>
        <v/>
      </c>
      <c r="N1228" s="49" t="str">
        <f>IF($D1228="","",IFERROR(INDEX(Products!$B$2:$B$101,MATCH($D1228,Products!$A$2:$A$101,0))&amp;"","(not found)"))</f>
        <v/>
      </c>
      <c r="O1228" s="49" t="str">
        <f>IF($F1228="","",IFERROR(INDEX(Batches!$B$2:$B$301,MATCH($F1228,Batches!$A$2:$A$301,0))&amp;"","(not found)"))</f>
        <v/>
      </c>
      <c r="P1228" s="49" t="str">
        <f>IF(COUNTA($A1228:$L1228)=0,"",IF($A1228="","Missing: entry ID",IF(COUNTIF($A$2:$A$2001,$A1228)&gt;1,"Duplicate entry ID",IF(NOT(ISNUMBER($B1228)),"Missing or invalid: date",IF($C1228="","Missing: type",IF($D1228="","Missing: SKU",IF(NOT(ISNUMBER($E1228)),"Missing: qty",IF($F1228="","Missing: lot",IF($I1228="","Missing: source link",IF(COUNTIF(Config!$A$15:$A$34,$C1228)=0,"Unsupported type",IF(COUNTIF(Products!$A$2:$A$101,$D1228)=0,"Unknown SKU",IF(COUNTIFS(Batches!$A$2:$A$301,$F1228,Batches!$B$2:$B$301,$D1228)=0,"Unknown lot for this SKU",IF(AND($C1228="Adjustment",$G1228=""),"Missing: reason",IF(AND($G1228&lt;&gt;"",COUNTIF(Config!$B$15:$B$34,$G1228)=0),"Unsupported reason",IF(OR(INT($E1228)&lt;&gt;$E1228,AND(OR($C1228="Receipt",$C1228="Shipment"),$E1228&lt;=0),AND($C1228="Adjustment",$E1228=0)),"Invalid qty",IF($B1228&gt;Config!$B$4,"Date after the as-of date",IF($B1228&lt;Config!$B$5,"Date before the opening balance date","OK")))))))))))))))))</f>
        <v/>
      </c>
    </row>
    <row r="1229">
      <c r="A1229" s="46" t="n"/>
      <c r="B1229" s="54" t="n"/>
      <c r="C1229" s="46" t="n"/>
      <c r="D1229" s="46" t="n"/>
      <c r="E1229" s="55" t="n"/>
      <c r="F1229" s="46" t="n"/>
      <c r="G1229" s="46" t="n"/>
      <c r="H1229" s="46" t="n"/>
      <c r="I1229" s="46" t="n"/>
      <c r="J1229" s="46" t="n"/>
      <c r="K1229" s="46" t="n"/>
      <c r="L1229" s="46" t="n"/>
      <c r="M1229" s="51" t="str">
        <f>IF(NOT(ISNUMBER($E1229)),"",IF($C1229="Receipt",$E1229,IF($C1229="Shipment",-$E1229,IF($C1229="Adjustment",$E1229,0))))</f>
        <v/>
      </c>
      <c r="N1229" s="49" t="str">
        <f>IF($D1229="","",IFERROR(INDEX(Products!$B$2:$B$101,MATCH($D1229,Products!$A$2:$A$101,0))&amp;"","(not found)"))</f>
        <v/>
      </c>
      <c r="O1229" s="49" t="str">
        <f>IF($F1229="","",IFERROR(INDEX(Batches!$B$2:$B$301,MATCH($F1229,Batches!$A$2:$A$301,0))&amp;"","(not found)"))</f>
        <v/>
      </c>
      <c r="P1229" s="49" t="str">
        <f>IF(COUNTA($A1229:$L1229)=0,"",IF($A1229="","Missing: entry ID",IF(COUNTIF($A$2:$A$2001,$A1229)&gt;1,"Duplicate entry ID",IF(NOT(ISNUMBER($B1229)),"Missing or invalid: date",IF($C1229="","Missing: type",IF($D1229="","Missing: SKU",IF(NOT(ISNUMBER($E1229)),"Missing: qty",IF($F1229="","Missing: lot",IF($I1229="","Missing: source link",IF(COUNTIF(Config!$A$15:$A$34,$C1229)=0,"Unsupported type",IF(COUNTIF(Products!$A$2:$A$101,$D1229)=0,"Unknown SKU",IF(COUNTIFS(Batches!$A$2:$A$301,$F1229,Batches!$B$2:$B$301,$D1229)=0,"Unknown lot for this SKU",IF(AND($C1229="Adjustment",$G1229=""),"Missing: reason",IF(AND($G1229&lt;&gt;"",COUNTIF(Config!$B$15:$B$34,$G1229)=0),"Unsupported reason",IF(OR(INT($E1229)&lt;&gt;$E1229,AND(OR($C1229="Receipt",$C1229="Shipment"),$E1229&lt;=0),AND($C1229="Adjustment",$E1229=0)),"Invalid qty",IF($B1229&gt;Config!$B$4,"Date after the as-of date",IF($B1229&lt;Config!$B$5,"Date before the opening balance date","OK")))))))))))))))))</f>
        <v/>
      </c>
    </row>
    <row r="1230">
      <c r="A1230" s="46" t="n"/>
      <c r="B1230" s="54" t="n"/>
      <c r="C1230" s="46" t="n"/>
      <c r="D1230" s="46" t="n"/>
      <c r="E1230" s="55" t="n"/>
      <c r="F1230" s="46" t="n"/>
      <c r="G1230" s="46" t="n"/>
      <c r="H1230" s="46" t="n"/>
      <c r="I1230" s="46" t="n"/>
      <c r="J1230" s="46" t="n"/>
      <c r="K1230" s="46" t="n"/>
      <c r="L1230" s="46" t="n"/>
      <c r="M1230" s="51" t="str">
        <f>IF(NOT(ISNUMBER($E1230)),"",IF($C1230="Receipt",$E1230,IF($C1230="Shipment",-$E1230,IF($C1230="Adjustment",$E1230,0))))</f>
        <v/>
      </c>
      <c r="N1230" s="49" t="str">
        <f>IF($D1230="","",IFERROR(INDEX(Products!$B$2:$B$101,MATCH($D1230,Products!$A$2:$A$101,0))&amp;"","(not found)"))</f>
        <v/>
      </c>
      <c r="O1230" s="49" t="str">
        <f>IF($F1230="","",IFERROR(INDEX(Batches!$B$2:$B$301,MATCH($F1230,Batches!$A$2:$A$301,0))&amp;"","(not found)"))</f>
        <v/>
      </c>
      <c r="P1230" s="49" t="str">
        <f>IF(COUNTA($A1230:$L1230)=0,"",IF($A1230="","Missing: entry ID",IF(COUNTIF($A$2:$A$2001,$A1230)&gt;1,"Duplicate entry ID",IF(NOT(ISNUMBER($B1230)),"Missing or invalid: date",IF($C1230="","Missing: type",IF($D1230="","Missing: SKU",IF(NOT(ISNUMBER($E1230)),"Missing: qty",IF($F1230="","Missing: lot",IF($I1230="","Missing: source link",IF(COUNTIF(Config!$A$15:$A$34,$C1230)=0,"Unsupported type",IF(COUNTIF(Products!$A$2:$A$101,$D1230)=0,"Unknown SKU",IF(COUNTIFS(Batches!$A$2:$A$301,$F1230,Batches!$B$2:$B$301,$D1230)=0,"Unknown lot for this SKU",IF(AND($C1230="Adjustment",$G1230=""),"Missing: reason",IF(AND($G1230&lt;&gt;"",COUNTIF(Config!$B$15:$B$34,$G1230)=0),"Unsupported reason",IF(OR(INT($E1230)&lt;&gt;$E1230,AND(OR($C1230="Receipt",$C1230="Shipment"),$E1230&lt;=0),AND($C1230="Adjustment",$E1230=0)),"Invalid qty",IF($B1230&gt;Config!$B$4,"Date after the as-of date",IF($B1230&lt;Config!$B$5,"Date before the opening balance date","OK")))))))))))))))))</f>
        <v/>
      </c>
    </row>
    <row r="1231">
      <c r="A1231" s="46" t="n"/>
      <c r="B1231" s="54" t="n"/>
      <c r="C1231" s="46" t="n"/>
      <c r="D1231" s="46" t="n"/>
      <c r="E1231" s="55" t="n"/>
      <c r="F1231" s="46" t="n"/>
      <c r="G1231" s="46" t="n"/>
      <c r="H1231" s="46" t="n"/>
      <c r="I1231" s="46" t="n"/>
      <c r="J1231" s="46" t="n"/>
      <c r="K1231" s="46" t="n"/>
      <c r="L1231" s="46" t="n"/>
      <c r="M1231" s="51" t="str">
        <f>IF(NOT(ISNUMBER($E1231)),"",IF($C1231="Receipt",$E1231,IF($C1231="Shipment",-$E1231,IF($C1231="Adjustment",$E1231,0))))</f>
        <v/>
      </c>
      <c r="N1231" s="49" t="str">
        <f>IF($D1231="","",IFERROR(INDEX(Products!$B$2:$B$101,MATCH($D1231,Products!$A$2:$A$101,0))&amp;"","(not found)"))</f>
        <v/>
      </c>
      <c r="O1231" s="49" t="str">
        <f>IF($F1231="","",IFERROR(INDEX(Batches!$B$2:$B$301,MATCH($F1231,Batches!$A$2:$A$301,0))&amp;"","(not found)"))</f>
        <v/>
      </c>
      <c r="P1231" s="49" t="str">
        <f>IF(COUNTA($A1231:$L1231)=0,"",IF($A1231="","Missing: entry ID",IF(COUNTIF($A$2:$A$2001,$A1231)&gt;1,"Duplicate entry ID",IF(NOT(ISNUMBER($B1231)),"Missing or invalid: date",IF($C1231="","Missing: type",IF($D1231="","Missing: SKU",IF(NOT(ISNUMBER($E1231)),"Missing: qty",IF($F1231="","Missing: lot",IF($I1231="","Missing: source link",IF(COUNTIF(Config!$A$15:$A$34,$C1231)=0,"Unsupported type",IF(COUNTIF(Products!$A$2:$A$101,$D1231)=0,"Unknown SKU",IF(COUNTIFS(Batches!$A$2:$A$301,$F1231,Batches!$B$2:$B$301,$D1231)=0,"Unknown lot for this SKU",IF(AND($C1231="Adjustment",$G1231=""),"Missing: reason",IF(AND($G1231&lt;&gt;"",COUNTIF(Config!$B$15:$B$34,$G1231)=0),"Unsupported reason",IF(OR(INT($E1231)&lt;&gt;$E1231,AND(OR($C1231="Receipt",$C1231="Shipment"),$E1231&lt;=0),AND($C1231="Adjustment",$E1231=0)),"Invalid qty",IF($B1231&gt;Config!$B$4,"Date after the as-of date",IF($B1231&lt;Config!$B$5,"Date before the opening balance date","OK")))))))))))))))))</f>
        <v/>
      </c>
    </row>
    <row r="1232">
      <c r="A1232" s="46" t="n"/>
      <c r="B1232" s="54" t="n"/>
      <c r="C1232" s="46" t="n"/>
      <c r="D1232" s="46" t="n"/>
      <c r="E1232" s="55" t="n"/>
      <c r="F1232" s="46" t="n"/>
      <c r="G1232" s="46" t="n"/>
      <c r="H1232" s="46" t="n"/>
      <c r="I1232" s="46" t="n"/>
      <c r="J1232" s="46" t="n"/>
      <c r="K1232" s="46" t="n"/>
      <c r="L1232" s="46" t="n"/>
      <c r="M1232" s="51" t="str">
        <f>IF(NOT(ISNUMBER($E1232)),"",IF($C1232="Receipt",$E1232,IF($C1232="Shipment",-$E1232,IF($C1232="Adjustment",$E1232,0))))</f>
        <v/>
      </c>
      <c r="N1232" s="49" t="str">
        <f>IF($D1232="","",IFERROR(INDEX(Products!$B$2:$B$101,MATCH($D1232,Products!$A$2:$A$101,0))&amp;"","(not found)"))</f>
        <v/>
      </c>
      <c r="O1232" s="49" t="str">
        <f>IF($F1232="","",IFERROR(INDEX(Batches!$B$2:$B$301,MATCH($F1232,Batches!$A$2:$A$301,0))&amp;"","(not found)"))</f>
        <v/>
      </c>
      <c r="P1232" s="49" t="str">
        <f>IF(COUNTA($A1232:$L1232)=0,"",IF($A1232="","Missing: entry ID",IF(COUNTIF($A$2:$A$2001,$A1232)&gt;1,"Duplicate entry ID",IF(NOT(ISNUMBER($B1232)),"Missing or invalid: date",IF($C1232="","Missing: type",IF($D1232="","Missing: SKU",IF(NOT(ISNUMBER($E1232)),"Missing: qty",IF($F1232="","Missing: lot",IF($I1232="","Missing: source link",IF(COUNTIF(Config!$A$15:$A$34,$C1232)=0,"Unsupported type",IF(COUNTIF(Products!$A$2:$A$101,$D1232)=0,"Unknown SKU",IF(COUNTIFS(Batches!$A$2:$A$301,$F1232,Batches!$B$2:$B$301,$D1232)=0,"Unknown lot for this SKU",IF(AND($C1232="Adjustment",$G1232=""),"Missing: reason",IF(AND($G1232&lt;&gt;"",COUNTIF(Config!$B$15:$B$34,$G1232)=0),"Unsupported reason",IF(OR(INT($E1232)&lt;&gt;$E1232,AND(OR($C1232="Receipt",$C1232="Shipment"),$E1232&lt;=0),AND($C1232="Adjustment",$E1232=0)),"Invalid qty",IF($B1232&gt;Config!$B$4,"Date after the as-of date",IF($B1232&lt;Config!$B$5,"Date before the opening balance date","OK")))))))))))))))))</f>
        <v/>
      </c>
    </row>
    <row r="1233">
      <c r="A1233" s="46" t="n"/>
      <c r="B1233" s="54" t="n"/>
      <c r="C1233" s="46" t="n"/>
      <c r="D1233" s="46" t="n"/>
      <c r="E1233" s="55" t="n"/>
      <c r="F1233" s="46" t="n"/>
      <c r="G1233" s="46" t="n"/>
      <c r="H1233" s="46" t="n"/>
      <c r="I1233" s="46" t="n"/>
      <c r="J1233" s="46" t="n"/>
      <c r="K1233" s="46" t="n"/>
      <c r="L1233" s="46" t="n"/>
      <c r="M1233" s="51" t="str">
        <f>IF(NOT(ISNUMBER($E1233)),"",IF($C1233="Receipt",$E1233,IF($C1233="Shipment",-$E1233,IF($C1233="Adjustment",$E1233,0))))</f>
        <v/>
      </c>
      <c r="N1233" s="49" t="str">
        <f>IF($D1233="","",IFERROR(INDEX(Products!$B$2:$B$101,MATCH($D1233,Products!$A$2:$A$101,0))&amp;"","(not found)"))</f>
        <v/>
      </c>
      <c r="O1233" s="49" t="str">
        <f>IF($F1233="","",IFERROR(INDEX(Batches!$B$2:$B$301,MATCH($F1233,Batches!$A$2:$A$301,0))&amp;"","(not found)"))</f>
        <v/>
      </c>
      <c r="P1233" s="49" t="str">
        <f>IF(COUNTA($A1233:$L1233)=0,"",IF($A1233="","Missing: entry ID",IF(COUNTIF($A$2:$A$2001,$A1233)&gt;1,"Duplicate entry ID",IF(NOT(ISNUMBER($B1233)),"Missing or invalid: date",IF($C1233="","Missing: type",IF($D1233="","Missing: SKU",IF(NOT(ISNUMBER($E1233)),"Missing: qty",IF($F1233="","Missing: lot",IF($I1233="","Missing: source link",IF(COUNTIF(Config!$A$15:$A$34,$C1233)=0,"Unsupported type",IF(COUNTIF(Products!$A$2:$A$101,$D1233)=0,"Unknown SKU",IF(COUNTIFS(Batches!$A$2:$A$301,$F1233,Batches!$B$2:$B$301,$D1233)=0,"Unknown lot for this SKU",IF(AND($C1233="Adjustment",$G1233=""),"Missing: reason",IF(AND($G1233&lt;&gt;"",COUNTIF(Config!$B$15:$B$34,$G1233)=0),"Unsupported reason",IF(OR(INT($E1233)&lt;&gt;$E1233,AND(OR($C1233="Receipt",$C1233="Shipment"),$E1233&lt;=0),AND($C1233="Adjustment",$E1233=0)),"Invalid qty",IF($B1233&gt;Config!$B$4,"Date after the as-of date",IF($B1233&lt;Config!$B$5,"Date before the opening balance date","OK")))))))))))))))))</f>
        <v/>
      </c>
    </row>
    <row r="1234">
      <c r="A1234" s="46" t="n"/>
      <c r="B1234" s="54" t="n"/>
      <c r="C1234" s="46" t="n"/>
      <c r="D1234" s="46" t="n"/>
      <c r="E1234" s="55" t="n"/>
      <c r="F1234" s="46" t="n"/>
      <c r="G1234" s="46" t="n"/>
      <c r="H1234" s="46" t="n"/>
      <c r="I1234" s="46" t="n"/>
      <c r="J1234" s="46" t="n"/>
      <c r="K1234" s="46" t="n"/>
      <c r="L1234" s="46" t="n"/>
      <c r="M1234" s="51" t="str">
        <f>IF(NOT(ISNUMBER($E1234)),"",IF($C1234="Receipt",$E1234,IF($C1234="Shipment",-$E1234,IF($C1234="Adjustment",$E1234,0))))</f>
        <v/>
      </c>
      <c r="N1234" s="49" t="str">
        <f>IF($D1234="","",IFERROR(INDEX(Products!$B$2:$B$101,MATCH($D1234,Products!$A$2:$A$101,0))&amp;"","(not found)"))</f>
        <v/>
      </c>
      <c r="O1234" s="49" t="str">
        <f>IF($F1234="","",IFERROR(INDEX(Batches!$B$2:$B$301,MATCH($F1234,Batches!$A$2:$A$301,0))&amp;"","(not found)"))</f>
        <v/>
      </c>
      <c r="P1234" s="49" t="str">
        <f>IF(COUNTA($A1234:$L1234)=0,"",IF($A1234="","Missing: entry ID",IF(COUNTIF($A$2:$A$2001,$A1234)&gt;1,"Duplicate entry ID",IF(NOT(ISNUMBER($B1234)),"Missing or invalid: date",IF($C1234="","Missing: type",IF($D1234="","Missing: SKU",IF(NOT(ISNUMBER($E1234)),"Missing: qty",IF($F1234="","Missing: lot",IF($I1234="","Missing: source link",IF(COUNTIF(Config!$A$15:$A$34,$C1234)=0,"Unsupported type",IF(COUNTIF(Products!$A$2:$A$101,$D1234)=0,"Unknown SKU",IF(COUNTIFS(Batches!$A$2:$A$301,$F1234,Batches!$B$2:$B$301,$D1234)=0,"Unknown lot for this SKU",IF(AND($C1234="Adjustment",$G1234=""),"Missing: reason",IF(AND($G1234&lt;&gt;"",COUNTIF(Config!$B$15:$B$34,$G1234)=0),"Unsupported reason",IF(OR(INT($E1234)&lt;&gt;$E1234,AND(OR($C1234="Receipt",$C1234="Shipment"),$E1234&lt;=0),AND($C1234="Adjustment",$E1234=0)),"Invalid qty",IF($B1234&gt;Config!$B$4,"Date after the as-of date",IF($B1234&lt;Config!$B$5,"Date before the opening balance date","OK")))))))))))))))))</f>
        <v/>
      </c>
    </row>
    <row r="1235">
      <c r="A1235" s="46" t="n"/>
      <c r="B1235" s="54" t="n"/>
      <c r="C1235" s="46" t="n"/>
      <c r="D1235" s="46" t="n"/>
      <c r="E1235" s="55" t="n"/>
      <c r="F1235" s="46" t="n"/>
      <c r="G1235" s="46" t="n"/>
      <c r="H1235" s="46" t="n"/>
      <c r="I1235" s="46" t="n"/>
      <c r="J1235" s="46" t="n"/>
      <c r="K1235" s="46" t="n"/>
      <c r="L1235" s="46" t="n"/>
      <c r="M1235" s="51" t="str">
        <f>IF(NOT(ISNUMBER($E1235)),"",IF($C1235="Receipt",$E1235,IF($C1235="Shipment",-$E1235,IF($C1235="Adjustment",$E1235,0))))</f>
        <v/>
      </c>
      <c r="N1235" s="49" t="str">
        <f>IF($D1235="","",IFERROR(INDEX(Products!$B$2:$B$101,MATCH($D1235,Products!$A$2:$A$101,0))&amp;"","(not found)"))</f>
        <v/>
      </c>
      <c r="O1235" s="49" t="str">
        <f>IF($F1235="","",IFERROR(INDEX(Batches!$B$2:$B$301,MATCH($F1235,Batches!$A$2:$A$301,0))&amp;"","(not found)"))</f>
        <v/>
      </c>
      <c r="P1235" s="49" t="str">
        <f>IF(COUNTA($A1235:$L1235)=0,"",IF($A1235="","Missing: entry ID",IF(COUNTIF($A$2:$A$2001,$A1235)&gt;1,"Duplicate entry ID",IF(NOT(ISNUMBER($B1235)),"Missing or invalid: date",IF($C1235="","Missing: type",IF($D1235="","Missing: SKU",IF(NOT(ISNUMBER($E1235)),"Missing: qty",IF($F1235="","Missing: lot",IF($I1235="","Missing: source link",IF(COUNTIF(Config!$A$15:$A$34,$C1235)=0,"Unsupported type",IF(COUNTIF(Products!$A$2:$A$101,$D1235)=0,"Unknown SKU",IF(COUNTIFS(Batches!$A$2:$A$301,$F1235,Batches!$B$2:$B$301,$D1235)=0,"Unknown lot for this SKU",IF(AND($C1235="Adjustment",$G1235=""),"Missing: reason",IF(AND($G1235&lt;&gt;"",COUNTIF(Config!$B$15:$B$34,$G1235)=0),"Unsupported reason",IF(OR(INT($E1235)&lt;&gt;$E1235,AND(OR($C1235="Receipt",$C1235="Shipment"),$E1235&lt;=0),AND($C1235="Adjustment",$E1235=0)),"Invalid qty",IF($B1235&gt;Config!$B$4,"Date after the as-of date",IF($B1235&lt;Config!$B$5,"Date before the opening balance date","OK")))))))))))))))))</f>
        <v/>
      </c>
    </row>
    <row r="1236">
      <c r="A1236" s="46" t="n"/>
      <c r="B1236" s="54" t="n"/>
      <c r="C1236" s="46" t="n"/>
      <c r="D1236" s="46" t="n"/>
      <c r="E1236" s="55" t="n"/>
      <c r="F1236" s="46" t="n"/>
      <c r="G1236" s="46" t="n"/>
      <c r="H1236" s="46" t="n"/>
      <c r="I1236" s="46" t="n"/>
      <c r="J1236" s="46" t="n"/>
      <c r="K1236" s="46" t="n"/>
      <c r="L1236" s="46" t="n"/>
      <c r="M1236" s="51" t="str">
        <f>IF(NOT(ISNUMBER($E1236)),"",IF($C1236="Receipt",$E1236,IF($C1236="Shipment",-$E1236,IF($C1236="Adjustment",$E1236,0))))</f>
        <v/>
      </c>
      <c r="N1236" s="49" t="str">
        <f>IF($D1236="","",IFERROR(INDEX(Products!$B$2:$B$101,MATCH($D1236,Products!$A$2:$A$101,0))&amp;"","(not found)"))</f>
        <v/>
      </c>
      <c r="O1236" s="49" t="str">
        <f>IF($F1236="","",IFERROR(INDEX(Batches!$B$2:$B$301,MATCH($F1236,Batches!$A$2:$A$301,0))&amp;"","(not found)"))</f>
        <v/>
      </c>
      <c r="P1236" s="49" t="str">
        <f>IF(COUNTA($A1236:$L1236)=0,"",IF($A1236="","Missing: entry ID",IF(COUNTIF($A$2:$A$2001,$A1236)&gt;1,"Duplicate entry ID",IF(NOT(ISNUMBER($B1236)),"Missing or invalid: date",IF($C1236="","Missing: type",IF($D1236="","Missing: SKU",IF(NOT(ISNUMBER($E1236)),"Missing: qty",IF($F1236="","Missing: lot",IF($I1236="","Missing: source link",IF(COUNTIF(Config!$A$15:$A$34,$C1236)=0,"Unsupported type",IF(COUNTIF(Products!$A$2:$A$101,$D1236)=0,"Unknown SKU",IF(COUNTIFS(Batches!$A$2:$A$301,$F1236,Batches!$B$2:$B$301,$D1236)=0,"Unknown lot for this SKU",IF(AND($C1236="Adjustment",$G1236=""),"Missing: reason",IF(AND($G1236&lt;&gt;"",COUNTIF(Config!$B$15:$B$34,$G1236)=0),"Unsupported reason",IF(OR(INT($E1236)&lt;&gt;$E1236,AND(OR($C1236="Receipt",$C1236="Shipment"),$E1236&lt;=0),AND($C1236="Adjustment",$E1236=0)),"Invalid qty",IF($B1236&gt;Config!$B$4,"Date after the as-of date",IF($B1236&lt;Config!$B$5,"Date before the opening balance date","OK")))))))))))))))))</f>
        <v/>
      </c>
    </row>
    <row r="1237">
      <c r="A1237" s="46" t="n"/>
      <c r="B1237" s="54" t="n"/>
      <c r="C1237" s="46" t="n"/>
      <c r="D1237" s="46" t="n"/>
      <c r="E1237" s="55" t="n"/>
      <c r="F1237" s="46" t="n"/>
      <c r="G1237" s="46" t="n"/>
      <c r="H1237" s="46" t="n"/>
      <c r="I1237" s="46" t="n"/>
      <c r="J1237" s="46" t="n"/>
      <c r="K1237" s="46" t="n"/>
      <c r="L1237" s="46" t="n"/>
      <c r="M1237" s="51" t="str">
        <f>IF(NOT(ISNUMBER($E1237)),"",IF($C1237="Receipt",$E1237,IF($C1237="Shipment",-$E1237,IF($C1237="Adjustment",$E1237,0))))</f>
        <v/>
      </c>
      <c r="N1237" s="49" t="str">
        <f>IF($D1237="","",IFERROR(INDEX(Products!$B$2:$B$101,MATCH($D1237,Products!$A$2:$A$101,0))&amp;"","(not found)"))</f>
        <v/>
      </c>
      <c r="O1237" s="49" t="str">
        <f>IF($F1237="","",IFERROR(INDEX(Batches!$B$2:$B$301,MATCH($F1237,Batches!$A$2:$A$301,0))&amp;"","(not found)"))</f>
        <v/>
      </c>
      <c r="P1237" s="49" t="str">
        <f>IF(COUNTA($A1237:$L1237)=0,"",IF($A1237="","Missing: entry ID",IF(COUNTIF($A$2:$A$2001,$A1237)&gt;1,"Duplicate entry ID",IF(NOT(ISNUMBER($B1237)),"Missing or invalid: date",IF($C1237="","Missing: type",IF($D1237="","Missing: SKU",IF(NOT(ISNUMBER($E1237)),"Missing: qty",IF($F1237="","Missing: lot",IF($I1237="","Missing: source link",IF(COUNTIF(Config!$A$15:$A$34,$C1237)=0,"Unsupported type",IF(COUNTIF(Products!$A$2:$A$101,$D1237)=0,"Unknown SKU",IF(COUNTIFS(Batches!$A$2:$A$301,$F1237,Batches!$B$2:$B$301,$D1237)=0,"Unknown lot for this SKU",IF(AND($C1237="Adjustment",$G1237=""),"Missing: reason",IF(AND($G1237&lt;&gt;"",COUNTIF(Config!$B$15:$B$34,$G1237)=0),"Unsupported reason",IF(OR(INT($E1237)&lt;&gt;$E1237,AND(OR($C1237="Receipt",$C1237="Shipment"),$E1237&lt;=0),AND($C1237="Adjustment",$E1237=0)),"Invalid qty",IF($B1237&gt;Config!$B$4,"Date after the as-of date",IF($B1237&lt;Config!$B$5,"Date before the opening balance date","OK")))))))))))))))))</f>
        <v/>
      </c>
    </row>
    <row r="1238">
      <c r="A1238" s="46" t="n"/>
      <c r="B1238" s="54" t="n"/>
      <c r="C1238" s="46" t="n"/>
      <c r="D1238" s="46" t="n"/>
      <c r="E1238" s="55" t="n"/>
      <c r="F1238" s="46" t="n"/>
      <c r="G1238" s="46" t="n"/>
      <c r="H1238" s="46" t="n"/>
      <c r="I1238" s="46" t="n"/>
      <c r="J1238" s="46" t="n"/>
      <c r="K1238" s="46" t="n"/>
      <c r="L1238" s="46" t="n"/>
      <c r="M1238" s="51" t="str">
        <f>IF(NOT(ISNUMBER($E1238)),"",IF($C1238="Receipt",$E1238,IF($C1238="Shipment",-$E1238,IF($C1238="Adjustment",$E1238,0))))</f>
        <v/>
      </c>
      <c r="N1238" s="49" t="str">
        <f>IF($D1238="","",IFERROR(INDEX(Products!$B$2:$B$101,MATCH($D1238,Products!$A$2:$A$101,0))&amp;"","(not found)"))</f>
        <v/>
      </c>
      <c r="O1238" s="49" t="str">
        <f>IF($F1238="","",IFERROR(INDEX(Batches!$B$2:$B$301,MATCH($F1238,Batches!$A$2:$A$301,0))&amp;"","(not found)"))</f>
        <v/>
      </c>
      <c r="P1238" s="49" t="str">
        <f>IF(COUNTA($A1238:$L1238)=0,"",IF($A1238="","Missing: entry ID",IF(COUNTIF($A$2:$A$2001,$A1238)&gt;1,"Duplicate entry ID",IF(NOT(ISNUMBER($B1238)),"Missing or invalid: date",IF($C1238="","Missing: type",IF($D1238="","Missing: SKU",IF(NOT(ISNUMBER($E1238)),"Missing: qty",IF($F1238="","Missing: lot",IF($I1238="","Missing: source link",IF(COUNTIF(Config!$A$15:$A$34,$C1238)=0,"Unsupported type",IF(COUNTIF(Products!$A$2:$A$101,$D1238)=0,"Unknown SKU",IF(COUNTIFS(Batches!$A$2:$A$301,$F1238,Batches!$B$2:$B$301,$D1238)=0,"Unknown lot for this SKU",IF(AND($C1238="Adjustment",$G1238=""),"Missing: reason",IF(AND($G1238&lt;&gt;"",COUNTIF(Config!$B$15:$B$34,$G1238)=0),"Unsupported reason",IF(OR(INT($E1238)&lt;&gt;$E1238,AND(OR($C1238="Receipt",$C1238="Shipment"),$E1238&lt;=0),AND($C1238="Adjustment",$E1238=0)),"Invalid qty",IF($B1238&gt;Config!$B$4,"Date after the as-of date",IF($B1238&lt;Config!$B$5,"Date before the opening balance date","OK")))))))))))))))))</f>
        <v/>
      </c>
    </row>
    <row r="1239">
      <c r="A1239" s="46" t="n"/>
      <c r="B1239" s="54" t="n"/>
      <c r="C1239" s="46" t="n"/>
      <c r="D1239" s="46" t="n"/>
      <c r="E1239" s="55" t="n"/>
      <c r="F1239" s="46" t="n"/>
      <c r="G1239" s="46" t="n"/>
      <c r="H1239" s="46" t="n"/>
      <c r="I1239" s="46" t="n"/>
      <c r="J1239" s="46" t="n"/>
      <c r="K1239" s="46" t="n"/>
      <c r="L1239" s="46" t="n"/>
      <c r="M1239" s="51" t="str">
        <f>IF(NOT(ISNUMBER($E1239)),"",IF($C1239="Receipt",$E1239,IF($C1239="Shipment",-$E1239,IF($C1239="Adjustment",$E1239,0))))</f>
        <v/>
      </c>
      <c r="N1239" s="49" t="str">
        <f>IF($D1239="","",IFERROR(INDEX(Products!$B$2:$B$101,MATCH($D1239,Products!$A$2:$A$101,0))&amp;"","(not found)"))</f>
        <v/>
      </c>
      <c r="O1239" s="49" t="str">
        <f>IF($F1239="","",IFERROR(INDEX(Batches!$B$2:$B$301,MATCH($F1239,Batches!$A$2:$A$301,0))&amp;"","(not found)"))</f>
        <v/>
      </c>
      <c r="P1239" s="49" t="str">
        <f>IF(COUNTA($A1239:$L1239)=0,"",IF($A1239="","Missing: entry ID",IF(COUNTIF($A$2:$A$2001,$A1239)&gt;1,"Duplicate entry ID",IF(NOT(ISNUMBER($B1239)),"Missing or invalid: date",IF($C1239="","Missing: type",IF($D1239="","Missing: SKU",IF(NOT(ISNUMBER($E1239)),"Missing: qty",IF($F1239="","Missing: lot",IF($I1239="","Missing: source link",IF(COUNTIF(Config!$A$15:$A$34,$C1239)=0,"Unsupported type",IF(COUNTIF(Products!$A$2:$A$101,$D1239)=0,"Unknown SKU",IF(COUNTIFS(Batches!$A$2:$A$301,$F1239,Batches!$B$2:$B$301,$D1239)=0,"Unknown lot for this SKU",IF(AND($C1239="Adjustment",$G1239=""),"Missing: reason",IF(AND($G1239&lt;&gt;"",COUNTIF(Config!$B$15:$B$34,$G1239)=0),"Unsupported reason",IF(OR(INT($E1239)&lt;&gt;$E1239,AND(OR($C1239="Receipt",$C1239="Shipment"),$E1239&lt;=0),AND($C1239="Adjustment",$E1239=0)),"Invalid qty",IF($B1239&gt;Config!$B$4,"Date after the as-of date",IF($B1239&lt;Config!$B$5,"Date before the opening balance date","OK")))))))))))))))))</f>
        <v/>
      </c>
    </row>
    <row r="1240">
      <c r="A1240" s="46" t="n"/>
      <c r="B1240" s="54" t="n"/>
      <c r="C1240" s="46" t="n"/>
      <c r="D1240" s="46" t="n"/>
      <c r="E1240" s="55" t="n"/>
      <c r="F1240" s="46" t="n"/>
      <c r="G1240" s="46" t="n"/>
      <c r="H1240" s="46" t="n"/>
      <c r="I1240" s="46" t="n"/>
      <c r="J1240" s="46" t="n"/>
      <c r="K1240" s="46" t="n"/>
      <c r="L1240" s="46" t="n"/>
      <c r="M1240" s="51" t="str">
        <f>IF(NOT(ISNUMBER($E1240)),"",IF($C1240="Receipt",$E1240,IF($C1240="Shipment",-$E1240,IF($C1240="Adjustment",$E1240,0))))</f>
        <v/>
      </c>
      <c r="N1240" s="49" t="str">
        <f>IF($D1240="","",IFERROR(INDEX(Products!$B$2:$B$101,MATCH($D1240,Products!$A$2:$A$101,0))&amp;"","(not found)"))</f>
        <v/>
      </c>
      <c r="O1240" s="49" t="str">
        <f>IF($F1240="","",IFERROR(INDEX(Batches!$B$2:$B$301,MATCH($F1240,Batches!$A$2:$A$301,0))&amp;"","(not found)"))</f>
        <v/>
      </c>
      <c r="P1240" s="49" t="str">
        <f>IF(COUNTA($A1240:$L1240)=0,"",IF($A1240="","Missing: entry ID",IF(COUNTIF($A$2:$A$2001,$A1240)&gt;1,"Duplicate entry ID",IF(NOT(ISNUMBER($B1240)),"Missing or invalid: date",IF($C1240="","Missing: type",IF($D1240="","Missing: SKU",IF(NOT(ISNUMBER($E1240)),"Missing: qty",IF($F1240="","Missing: lot",IF($I1240="","Missing: source link",IF(COUNTIF(Config!$A$15:$A$34,$C1240)=0,"Unsupported type",IF(COUNTIF(Products!$A$2:$A$101,$D1240)=0,"Unknown SKU",IF(COUNTIFS(Batches!$A$2:$A$301,$F1240,Batches!$B$2:$B$301,$D1240)=0,"Unknown lot for this SKU",IF(AND($C1240="Adjustment",$G1240=""),"Missing: reason",IF(AND($G1240&lt;&gt;"",COUNTIF(Config!$B$15:$B$34,$G1240)=0),"Unsupported reason",IF(OR(INT($E1240)&lt;&gt;$E1240,AND(OR($C1240="Receipt",$C1240="Shipment"),$E1240&lt;=0),AND($C1240="Adjustment",$E1240=0)),"Invalid qty",IF($B1240&gt;Config!$B$4,"Date after the as-of date",IF($B1240&lt;Config!$B$5,"Date before the opening balance date","OK")))))))))))))))))</f>
        <v/>
      </c>
    </row>
    <row r="1241">
      <c r="A1241" s="46" t="n"/>
      <c r="B1241" s="54" t="n"/>
      <c r="C1241" s="46" t="n"/>
      <c r="D1241" s="46" t="n"/>
      <c r="E1241" s="55" t="n"/>
      <c r="F1241" s="46" t="n"/>
      <c r="G1241" s="46" t="n"/>
      <c r="H1241" s="46" t="n"/>
      <c r="I1241" s="46" t="n"/>
      <c r="J1241" s="46" t="n"/>
      <c r="K1241" s="46" t="n"/>
      <c r="L1241" s="46" t="n"/>
      <c r="M1241" s="51" t="str">
        <f>IF(NOT(ISNUMBER($E1241)),"",IF($C1241="Receipt",$E1241,IF($C1241="Shipment",-$E1241,IF($C1241="Adjustment",$E1241,0))))</f>
        <v/>
      </c>
      <c r="N1241" s="49" t="str">
        <f>IF($D1241="","",IFERROR(INDEX(Products!$B$2:$B$101,MATCH($D1241,Products!$A$2:$A$101,0))&amp;"","(not found)"))</f>
        <v/>
      </c>
      <c r="O1241" s="49" t="str">
        <f>IF($F1241="","",IFERROR(INDEX(Batches!$B$2:$B$301,MATCH($F1241,Batches!$A$2:$A$301,0))&amp;"","(not found)"))</f>
        <v/>
      </c>
      <c r="P1241" s="49" t="str">
        <f>IF(COUNTA($A1241:$L1241)=0,"",IF($A1241="","Missing: entry ID",IF(COUNTIF($A$2:$A$2001,$A1241)&gt;1,"Duplicate entry ID",IF(NOT(ISNUMBER($B1241)),"Missing or invalid: date",IF($C1241="","Missing: type",IF($D1241="","Missing: SKU",IF(NOT(ISNUMBER($E1241)),"Missing: qty",IF($F1241="","Missing: lot",IF($I1241="","Missing: source link",IF(COUNTIF(Config!$A$15:$A$34,$C1241)=0,"Unsupported type",IF(COUNTIF(Products!$A$2:$A$101,$D1241)=0,"Unknown SKU",IF(COUNTIFS(Batches!$A$2:$A$301,$F1241,Batches!$B$2:$B$301,$D1241)=0,"Unknown lot for this SKU",IF(AND($C1241="Adjustment",$G1241=""),"Missing: reason",IF(AND($G1241&lt;&gt;"",COUNTIF(Config!$B$15:$B$34,$G1241)=0),"Unsupported reason",IF(OR(INT($E1241)&lt;&gt;$E1241,AND(OR($C1241="Receipt",$C1241="Shipment"),$E1241&lt;=0),AND($C1241="Adjustment",$E1241=0)),"Invalid qty",IF($B1241&gt;Config!$B$4,"Date after the as-of date",IF($B1241&lt;Config!$B$5,"Date before the opening balance date","OK")))))))))))))))))</f>
        <v/>
      </c>
    </row>
    <row r="1242">
      <c r="A1242" s="46" t="n"/>
      <c r="B1242" s="54" t="n"/>
      <c r="C1242" s="46" t="n"/>
      <c r="D1242" s="46" t="n"/>
      <c r="E1242" s="55" t="n"/>
      <c r="F1242" s="46" t="n"/>
      <c r="G1242" s="46" t="n"/>
      <c r="H1242" s="46" t="n"/>
      <c r="I1242" s="46" t="n"/>
      <c r="J1242" s="46" t="n"/>
      <c r="K1242" s="46" t="n"/>
      <c r="L1242" s="46" t="n"/>
      <c r="M1242" s="51" t="str">
        <f>IF(NOT(ISNUMBER($E1242)),"",IF($C1242="Receipt",$E1242,IF($C1242="Shipment",-$E1242,IF($C1242="Adjustment",$E1242,0))))</f>
        <v/>
      </c>
      <c r="N1242" s="49" t="str">
        <f>IF($D1242="","",IFERROR(INDEX(Products!$B$2:$B$101,MATCH($D1242,Products!$A$2:$A$101,0))&amp;"","(not found)"))</f>
        <v/>
      </c>
      <c r="O1242" s="49" t="str">
        <f>IF($F1242="","",IFERROR(INDEX(Batches!$B$2:$B$301,MATCH($F1242,Batches!$A$2:$A$301,0))&amp;"","(not found)"))</f>
        <v/>
      </c>
      <c r="P1242" s="49" t="str">
        <f>IF(COUNTA($A1242:$L1242)=0,"",IF($A1242="","Missing: entry ID",IF(COUNTIF($A$2:$A$2001,$A1242)&gt;1,"Duplicate entry ID",IF(NOT(ISNUMBER($B1242)),"Missing or invalid: date",IF($C1242="","Missing: type",IF($D1242="","Missing: SKU",IF(NOT(ISNUMBER($E1242)),"Missing: qty",IF($F1242="","Missing: lot",IF($I1242="","Missing: source link",IF(COUNTIF(Config!$A$15:$A$34,$C1242)=0,"Unsupported type",IF(COUNTIF(Products!$A$2:$A$101,$D1242)=0,"Unknown SKU",IF(COUNTIFS(Batches!$A$2:$A$301,$F1242,Batches!$B$2:$B$301,$D1242)=0,"Unknown lot for this SKU",IF(AND($C1242="Adjustment",$G1242=""),"Missing: reason",IF(AND($G1242&lt;&gt;"",COUNTIF(Config!$B$15:$B$34,$G1242)=0),"Unsupported reason",IF(OR(INT($E1242)&lt;&gt;$E1242,AND(OR($C1242="Receipt",$C1242="Shipment"),$E1242&lt;=0),AND($C1242="Adjustment",$E1242=0)),"Invalid qty",IF($B1242&gt;Config!$B$4,"Date after the as-of date",IF($B1242&lt;Config!$B$5,"Date before the opening balance date","OK")))))))))))))))))</f>
        <v/>
      </c>
    </row>
    <row r="1243">
      <c r="A1243" s="46" t="n"/>
      <c r="B1243" s="54" t="n"/>
      <c r="C1243" s="46" t="n"/>
      <c r="D1243" s="46" t="n"/>
      <c r="E1243" s="55" t="n"/>
      <c r="F1243" s="46" t="n"/>
      <c r="G1243" s="46" t="n"/>
      <c r="H1243" s="46" t="n"/>
      <c r="I1243" s="46" t="n"/>
      <c r="J1243" s="46" t="n"/>
      <c r="K1243" s="46" t="n"/>
      <c r="L1243" s="46" t="n"/>
      <c r="M1243" s="51" t="str">
        <f>IF(NOT(ISNUMBER($E1243)),"",IF($C1243="Receipt",$E1243,IF($C1243="Shipment",-$E1243,IF($C1243="Adjustment",$E1243,0))))</f>
        <v/>
      </c>
      <c r="N1243" s="49" t="str">
        <f>IF($D1243="","",IFERROR(INDEX(Products!$B$2:$B$101,MATCH($D1243,Products!$A$2:$A$101,0))&amp;"","(not found)"))</f>
        <v/>
      </c>
      <c r="O1243" s="49" t="str">
        <f>IF($F1243="","",IFERROR(INDEX(Batches!$B$2:$B$301,MATCH($F1243,Batches!$A$2:$A$301,0))&amp;"","(not found)"))</f>
        <v/>
      </c>
      <c r="P1243" s="49" t="str">
        <f>IF(COUNTA($A1243:$L1243)=0,"",IF($A1243="","Missing: entry ID",IF(COUNTIF($A$2:$A$2001,$A1243)&gt;1,"Duplicate entry ID",IF(NOT(ISNUMBER($B1243)),"Missing or invalid: date",IF($C1243="","Missing: type",IF($D1243="","Missing: SKU",IF(NOT(ISNUMBER($E1243)),"Missing: qty",IF($F1243="","Missing: lot",IF($I1243="","Missing: source link",IF(COUNTIF(Config!$A$15:$A$34,$C1243)=0,"Unsupported type",IF(COUNTIF(Products!$A$2:$A$101,$D1243)=0,"Unknown SKU",IF(COUNTIFS(Batches!$A$2:$A$301,$F1243,Batches!$B$2:$B$301,$D1243)=0,"Unknown lot for this SKU",IF(AND($C1243="Adjustment",$G1243=""),"Missing: reason",IF(AND($G1243&lt;&gt;"",COUNTIF(Config!$B$15:$B$34,$G1243)=0),"Unsupported reason",IF(OR(INT($E1243)&lt;&gt;$E1243,AND(OR($C1243="Receipt",$C1243="Shipment"),$E1243&lt;=0),AND($C1243="Adjustment",$E1243=0)),"Invalid qty",IF($B1243&gt;Config!$B$4,"Date after the as-of date",IF($B1243&lt;Config!$B$5,"Date before the opening balance date","OK")))))))))))))))))</f>
        <v/>
      </c>
    </row>
    <row r="1244">
      <c r="A1244" s="46" t="n"/>
      <c r="B1244" s="54" t="n"/>
      <c r="C1244" s="46" t="n"/>
      <c r="D1244" s="46" t="n"/>
      <c r="E1244" s="55" t="n"/>
      <c r="F1244" s="46" t="n"/>
      <c r="G1244" s="46" t="n"/>
      <c r="H1244" s="46" t="n"/>
      <c r="I1244" s="46" t="n"/>
      <c r="J1244" s="46" t="n"/>
      <c r="K1244" s="46" t="n"/>
      <c r="L1244" s="46" t="n"/>
      <c r="M1244" s="51" t="str">
        <f>IF(NOT(ISNUMBER($E1244)),"",IF($C1244="Receipt",$E1244,IF($C1244="Shipment",-$E1244,IF($C1244="Adjustment",$E1244,0))))</f>
        <v/>
      </c>
      <c r="N1244" s="49" t="str">
        <f>IF($D1244="","",IFERROR(INDEX(Products!$B$2:$B$101,MATCH($D1244,Products!$A$2:$A$101,0))&amp;"","(not found)"))</f>
        <v/>
      </c>
      <c r="O1244" s="49" t="str">
        <f>IF($F1244="","",IFERROR(INDEX(Batches!$B$2:$B$301,MATCH($F1244,Batches!$A$2:$A$301,0))&amp;"","(not found)"))</f>
        <v/>
      </c>
      <c r="P1244" s="49" t="str">
        <f>IF(COUNTA($A1244:$L1244)=0,"",IF($A1244="","Missing: entry ID",IF(COUNTIF($A$2:$A$2001,$A1244)&gt;1,"Duplicate entry ID",IF(NOT(ISNUMBER($B1244)),"Missing or invalid: date",IF($C1244="","Missing: type",IF($D1244="","Missing: SKU",IF(NOT(ISNUMBER($E1244)),"Missing: qty",IF($F1244="","Missing: lot",IF($I1244="","Missing: source link",IF(COUNTIF(Config!$A$15:$A$34,$C1244)=0,"Unsupported type",IF(COUNTIF(Products!$A$2:$A$101,$D1244)=0,"Unknown SKU",IF(COUNTIFS(Batches!$A$2:$A$301,$F1244,Batches!$B$2:$B$301,$D1244)=0,"Unknown lot for this SKU",IF(AND($C1244="Adjustment",$G1244=""),"Missing: reason",IF(AND($G1244&lt;&gt;"",COUNTIF(Config!$B$15:$B$34,$G1244)=0),"Unsupported reason",IF(OR(INT($E1244)&lt;&gt;$E1244,AND(OR($C1244="Receipt",$C1244="Shipment"),$E1244&lt;=0),AND($C1244="Adjustment",$E1244=0)),"Invalid qty",IF($B1244&gt;Config!$B$4,"Date after the as-of date",IF($B1244&lt;Config!$B$5,"Date before the opening balance date","OK")))))))))))))))))</f>
        <v/>
      </c>
    </row>
    <row r="1245">
      <c r="A1245" s="46" t="n"/>
      <c r="B1245" s="54" t="n"/>
      <c r="C1245" s="46" t="n"/>
      <c r="D1245" s="46" t="n"/>
      <c r="E1245" s="55" t="n"/>
      <c r="F1245" s="46" t="n"/>
      <c r="G1245" s="46" t="n"/>
      <c r="H1245" s="46" t="n"/>
      <c r="I1245" s="46" t="n"/>
      <c r="J1245" s="46" t="n"/>
      <c r="K1245" s="46" t="n"/>
      <c r="L1245" s="46" t="n"/>
      <c r="M1245" s="51" t="str">
        <f>IF(NOT(ISNUMBER($E1245)),"",IF($C1245="Receipt",$E1245,IF($C1245="Shipment",-$E1245,IF($C1245="Adjustment",$E1245,0))))</f>
        <v/>
      </c>
      <c r="N1245" s="49" t="str">
        <f>IF($D1245="","",IFERROR(INDEX(Products!$B$2:$B$101,MATCH($D1245,Products!$A$2:$A$101,0))&amp;"","(not found)"))</f>
        <v/>
      </c>
      <c r="O1245" s="49" t="str">
        <f>IF($F1245="","",IFERROR(INDEX(Batches!$B$2:$B$301,MATCH($F1245,Batches!$A$2:$A$301,0))&amp;"","(not found)"))</f>
        <v/>
      </c>
      <c r="P1245" s="49" t="str">
        <f>IF(COUNTA($A1245:$L1245)=0,"",IF($A1245="","Missing: entry ID",IF(COUNTIF($A$2:$A$2001,$A1245)&gt;1,"Duplicate entry ID",IF(NOT(ISNUMBER($B1245)),"Missing or invalid: date",IF($C1245="","Missing: type",IF($D1245="","Missing: SKU",IF(NOT(ISNUMBER($E1245)),"Missing: qty",IF($F1245="","Missing: lot",IF($I1245="","Missing: source link",IF(COUNTIF(Config!$A$15:$A$34,$C1245)=0,"Unsupported type",IF(COUNTIF(Products!$A$2:$A$101,$D1245)=0,"Unknown SKU",IF(COUNTIFS(Batches!$A$2:$A$301,$F1245,Batches!$B$2:$B$301,$D1245)=0,"Unknown lot for this SKU",IF(AND($C1245="Adjustment",$G1245=""),"Missing: reason",IF(AND($G1245&lt;&gt;"",COUNTIF(Config!$B$15:$B$34,$G1245)=0),"Unsupported reason",IF(OR(INT($E1245)&lt;&gt;$E1245,AND(OR($C1245="Receipt",$C1245="Shipment"),$E1245&lt;=0),AND($C1245="Adjustment",$E1245=0)),"Invalid qty",IF($B1245&gt;Config!$B$4,"Date after the as-of date",IF($B1245&lt;Config!$B$5,"Date before the opening balance date","OK")))))))))))))))))</f>
        <v/>
      </c>
    </row>
    <row r="1246">
      <c r="A1246" s="46" t="n"/>
      <c r="B1246" s="54" t="n"/>
      <c r="C1246" s="46" t="n"/>
      <c r="D1246" s="46" t="n"/>
      <c r="E1246" s="55" t="n"/>
      <c r="F1246" s="46" t="n"/>
      <c r="G1246" s="46" t="n"/>
      <c r="H1246" s="46" t="n"/>
      <c r="I1246" s="46" t="n"/>
      <c r="J1246" s="46" t="n"/>
      <c r="K1246" s="46" t="n"/>
      <c r="L1246" s="46" t="n"/>
      <c r="M1246" s="51" t="str">
        <f>IF(NOT(ISNUMBER($E1246)),"",IF($C1246="Receipt",$E1246,IF($C1246="Shipment",-$E1246,IF($C1246="Adjustment",$E1246,0))))</f>
        <v/>
      </c>
      <c r="N1246" s="49" t="str">
        <f>IF($D1246="","",IFERROR(INDEX(Products!$B$2:$B$101,MATCH($D1246,Products!$A$2:$A$101,0))&amp;"","(not found)"))</f>
        <v/>
      </c>
      <c r="O1246" s="49" t="str">
        <f>IF($F1246="","",IFERROR(INDEX(Batches!$B$2:$B$301,MATCH($F1246,Batches!$A$2:$A$301,0))&amp;"","(not found)"))</f>
        <v/>
      </c>
      <c r="P1246" s="49" t="str">
        <f>IF(COUNTA($A1246:$L1246)=0,"",IF($A1246="","Missing: entry ID",IF(COUNTIF($A$2:$A$2001,$A1246)&gt;1,"Duplicate entry ID",IF(NOT(ISNUMBER($B1246)),"Missing or invalid: date",IF($C1246="","Missing: type",IF($D1246="","Missing: SKU",IF(NOT(ISNUMBER($E1246)),"Missing: qty",IF($F1246="","Missing: lot",IF($I1246="","Missing: source link",IF(COUNTIF(Config!$A$15:$A$34,$C1246)=0,"Unsupported type",IF(COUNTIF(Products!$A$2:$A$101,$D1246)=0,"Unknown SKU",IF(COUNTIFS(Batches!$A$2:$A$301,$F1246,Batches!$B$2:$B$301,$D1246)=0,"Unknown lot for this SKU",IF(AND($C1246="Adjustment",$G1246=""),"Missing: reason",IF(AND($G1246&lt;&gt;"",COUNTIF(Config!$B$15:$B$34,$G1246)=0),"Unsupported reason",IF(OR(INT($E1246)&lt;&gt;$E1246,AND(OR($C1246="Receipt",$C1246="Shipment"),$E1246&lt;=0),AND($C1246="Adjustment",$E1246=0)),"Invalid qty",IF($B1246&gt;Config!$B$4,"Date after the as-of date",IF($B1246&lt;Config!$B$5,"Date before the opening balance date","OK")))))))))))))))))</f>
        <v/>
      </c>
    </row>
    <row r="1247">
      <c r="A1247" s="46" t="n"/>
      <c r="B1247" s="54" t="n"/>
      <c r="C1247" s="46" t="n"/>
      <c r="D1247" s="46" t="n"/>
      <c r="E1247" s="55" t="n"/>
      <c r="F1247" s="46" t="n"/>
      <c r="G1247" s="46" t="n"/>
      <c r="H1247" s="46" t="n"/>
      <c r="I1247" s="46" t="n"/>
      <c r="J1247" s="46" t="n"/>
      <c r="K1247" s="46" t="n"/>
      <c r="L1247" s="46" t="n"/>
      <c r="M1247" s="51" t="str">
        <f>IF(NOT(ISNUMBER($E1247)),"",IF($C1247="Receipt",$E1247,IF($C1247="Shipment",-$E1247,IF($C1247="Adjustment",$E1247,0))))</f>
        <v/>
      </c>
      <c r="N1247" s="49" t="str">
        <f>IF($D1247="","",IFERROR(INDEX(Products!$B$2:$B$101,MATCH($D1247,Products!$A$2:$A$101,0))&amp;"","(not found)"))</f>
        <v/>
      </c>
      <c r="O1247" s="49" t="str">
        <f>IF($F1247="","",IFERROR(INDEX(Batches!$B$2:$B$301,MATCH($F1247,Batches!$A$2:$A$301,0))&amp;"","(not found)"))</f>
        <v/>
      </c>
      <c r="P1247" s="49" t="str">
        <f>IF(COUNTA($A1247:$L1247)=0,"",IF($A1247="","Missing: entry ID",IF(COUNTIF($A$2:$A$2001,$A1247)&gt;1,"Duplicate entry ID",IF(NOT(ISNUMBER($B1247)),"Missing or invalid: date",IF($C1247="","Missing: type",IF($D1247="","Missing: SKU",IF(NOT(ISNUMBER($E1247)),"Missing: qty",IF($F1247="","Missing: lot",IF($I1247="","Missing: source link",IF(COUNTIF(Config!$A$15:$A$34,$C1247)=0,"Unsupported type",IF(COUNTIF(Products!$A$2:$A$101,$D1247)=0,"Unknown SKU",IF(COUNTIFS(Batches!$A$2:$A$301,$F1247,Batches!$B$2:$B$301,$D1247)=0,"Unknown lot for this SKU",IF(AND($C1247="Adjustment",$G1247=""),"Missing: reason",IF(AND($G1247&lt;&gt;"",COUNTIF(Config!$B$15:$B$34,$G1247)=0),"Unsupported reason",IF(OR(INT($E1247)&lt;&gt;$E1247,AND(OR($C1247="Receipt",$C1247="Shipment"),$E1247&lt;=0),AND($C1247="Adjustment",$E1247=0)),"Invalid qty",IF($B1247&gt;Config!$B$4,"Date after the as-of date",IF($B1247&lt;Config!$B$5,"Date before the opening balance date","OK")))))))))))))))))</f>
        <v/>
      </c>
    </row>
    <row r="1248">
      <c r="A1248" s="46" t="n"/>
      <c r="B1248" s="54" t="n"/>
      <c r="C1248" s="46" t="n"/>
      <c r="D1248" s="46" t="n"/>
      <c r="E1248" s="55" t="n"/>
      <c r="F1248" s="46" t="n"/>
      <c r="G1248" s="46" t="n"/>
      <c r="H1248" s="46" t="n"/>
      <c r="I1248" s="46" t="n"/>
      <c r="J1248" s="46" t="n"/>
      <c r="K1248" s="46" t="n"/>
      <c r="L1248" s="46" t="n"/>
      <c r="M1248" s="51" t="str">
        <f>IF(NOT(ISNUMBER($E1248)),"",IF($C1248="Receipt",$E1248,IF($C1248="Shipment",-$E1248,IF($C1248="Adjustment",$E1248,0))))</f>
        <v/>
      </c>
      <c r="N1248" s="49" t="str">
        <f>IF($D1248="","",IFERROR(INDEX(Products!$B$2:$B$101,MATCH($D1248,Products!$A$2:$A$101,0))&amp;"","(not found)"))</f>
        <v/>
      </c>
      <c r="O1248" s="49" t="str">
        <f>IF($F1248="","",IFERROR(INDEX(Batches!$B$2:$B$301,MATCH($F1248,Batches!$A$2:$A$301,0))&amp;"","(not found)"))</f>
        <v/>
      </c>
      <c r="P1248" s="49" t="str">
        <f>IF(COUNTA($A1248:$L1248)=0,"",IF($A1248="","Missing: entry ID",IF(COUNTIF($A$2:$A$2001,$A1248)&gt;1,"Duplicate entry ID",IF(NOT(ISNUMBER($B1248)),"Missing or invalid: date",IF($C1248="","Missing: type",IF($D1248="","Missing: SKU",IF(NOT(ISNUMBER($E1248)),"Missing: qty",IF($F1248="","Missing: lot",IF($I1248="","Missing: source link",IF(COUNTIF(Config!$A$15:$A$34,$C1248)=0,"Unsupported type",IF(COUNTIF(Products!$A$2:$A$101,$D1248)=0,"Unknown SKU",IF(COUNTIFS(Batches!$A$2:$A$301,$F1248,Batches!$B$2:$B$301,$D1248)=0,"Unknown lot for this SKU",IF(AND($C1248="Adjustment",$G1248=""),"Missing: reason",IF(AND($G1248&lt;&gt;"",COUNTIF(Config!$B$15:$B$34,$G1248)=0),"Unsupported reason",IF(OR(INT($E1248)&lt;&gt;$E1248,AND(OR($C1248="Receipt",$C1248="Shipment"),$E1248&lt;=0),AND($C1248="Adjustment",$E1248=0)),"Invalid qty",IF($B1248&gt;Config!$B$4,"Date after the as-of date",IF($B1248&lt;Config!$B$5,"Date before the opening balance date","OK")))))))))))))))))</f>
        <v/>
      </c>
    </row>
    <row r="1249">
      <c r="A1249" s="46" t="n"/>
      <c r="B1249" s="54" t="n"/>
      <c r="C1249" s="46" t="n"/>
      <c r="D1249" s="46" t="n"/>
      <c r="E1249" s="55" t="n"/>
      <c r="F1249" s="46" t="n"/>
      <c r="G1249" s="46" t="n"/>
      <c r="H1249" s="46" t="n"/>
      <c r="I1249" s="46" t="n"/>
      <c r="J1249" s="46" t="n"/>
      <c r="K1249" s="46" t="n"/>
      <c r="L1249" s="46" t="n"/>
      <c r="M1249" s="51" t="str">
        <f>IF(NOT(ISNUMBER($E1249)),"",IF($C1249="Receipt",$E1249,IF($C1249="Shipment",-$E1249,IF($C1249="Adjustment",$E1249,0))))</f>
        <v/>
      </c>
      <c r="N1249" s="49" t="str">
        <f>IF($D1249="","",IFERROR(INDEX(Products!$B$2:$B$101,MATCH($D1249,Products!$A$2:$A$101,0))&amp;"","(not found)"))</f>
        <v/>
      </c>
      <c r="O1249" s="49" t="str">
        <f>IF($F1249="","",IFERROR(INDEX(Batches!$B$2:$B$301,MATCH($F1249,Batches!$A$2:$A$301,0))&amp;"","(not found)"))</f>
        <v/>
      </c>
      <c r="P1249" s="49" t="str">
        <f>IF(COUNTA($A1249:$L1249)=0,"",IF($A1249="","Missing: entry ID",IF(COUNTIF($A$2:$A$2001,$A1249)&gt;1,"Duplicate entry ID",IF(NOT(ISNUMBER($B1249)),"Missing or invalid: date",IF($C1249="","Missing: type",IF($D1249="","Missing: SKU",IF(NOT(ISNUMBER($E1249)),"Missing: qty",IF($F1249="","Missing: lot",IF($I1249="","Missing: source link",IF(COUNTIF(Config!$A$15:$A$34,$C1249)=0,"Unsupported type",IF(COUNTIF(Products!$A$2:$A$101,$D1249)=0,"Unknown SKU",IF(COUNTIFS(Batches!$A$2:$A$301,$F1249,Batches!$B$2:$B$301,$D1249)=0,"Unknown lot for this SKU",IF(AND($C1249="Adjustment",$G1249=""),"Missing: reason",IF(AND($G1249&lt;&gt;"",COUNTIF(Config!$B$15:$B$34,$G1249)=0),"Unsupported reason",IF(OR(INT($E1249)&lt;&gt;$E1249,AND(OR($C1249="Receipt",$C1249="Shipment"),$E1249&lt;=0),AND($C1249="Adjustment",$E1249=0)),"Invalid qty",IF($B1249&gt;Config!$B$4,"Date after the as-of date",IF($B1249&lt;Config!$B$5,"Date before the opening balance date","OK")))))))))))))))))</f>
        <v/>
      </c>
    </row>
    <row r="1250">
      <c r="A1250" s="46" t="n"/>
      <c r="B1250" s="54" t="n"/>
      <c r="C1250" s="46" t="n"/>
      <c r="D1250" s="46" t="n"/>
      <c r="E1250" s="55" t="n"/>
      <c r="F1250" s="46" t="n"/>
      <c r="G1250" s="46" t="n"/>
      <c r="H1250" s="46" t="n"/>
      <c r="I1250" s="46" t="n"/>
      <c r="J1250" s="46" t="n"/>
      <c r="K1250" s="46" t="n"/>
      <c r="L1250" s="46" t="n"/>
      <c r="M1250" s="51" t="str">
        <f>IF(NOT(ISNUMBER($E1250)),"",IF($C1250="Receipt",$E1250,IF($C1250="Shipment",-$E1250,IF($C1250="Adjustment",$E1250,0))))</f>
        <v/>
      </c>
      <c r="N1250" s="49" t="str">
        <f>IF($D1250="","",IFERROR(INDEX(Products!$B$2:$B$101,MATCH($D1250,Products!$A$2:$A$101,0))&amp;"","(not found)"))</f>
        <v/>
      </c>
      <c r="O1250" s="49" t="str">
        <f>IF($F1250="","",IFERROR(INDEX(Batches!$B$2:$B$301,MATCH($F1250,Batches!$A$2:$A$301,0))&amp;"","(not found)"))</f>
        <v/>
      </c>
      <c r="P1250" s="49" t="str">
        <f>IF(COUNTA($A1250:$L1250)=0,"",IF($A1250="","Missing: entry ID",IF(COUNTIF($A$2:$A$2001,$A1250)&gt;1,"Duplicate entry ID",IF(NOT(ISNUMBER($B1250)),"Missing or invalid: date",IF($C1250="","Missing: type",IF($D1250="","Missing: SKU",IF(NOT(ISNUMBER($E1250)),"Missing: qty",IF($F1250="","Missing: lot",IF($I1250="","Missing: source link",IF(COUNTIF(Config!$A$15:$A$34,$C1250)=0,"Unsupported type",IF(COUNTIF(Products!$A$2:$A$101,$D1250)=0,"Unknown SKU",IF(COUNTIFS(Batches!$A$2:$A$301,$F1250,Batches!$B$2:$B$301,$D1250)=0,"Unknown lot for this SKU",IF(AND($C1250="Adjustment",$G1250=""),"Missing: reason",IF(AND($G1250&lt;&gt;"",COUNTIF(Config!$B$15:$B$34,$G1250)=0),"Unsupported reason",IF(OR(INT($E1250)&lt;&gt;$E1250,AND(OR($C1250="Receipt",$C1250="Shipment"),$E1250&lt;=0),AND($C1250="Adjustment",$E1250=0)),"Invalid qty",IF($B1250&gt;Config!$B$4,"Date after the as-of date",IF($B1250&lt;Config!$B$5,"Date before the opening balance date","OK")))))))))))))))))</f>
        <v/>
      </c>
    </row>
    <row r="1251">
      <c r="A1251" s="46" t="n"/>
      <c r="B1251" s="54" t="n"/>
      <c r="C1251" s="46" t="n"/>
      <c r="D1251" s="46" t="n"/>
      <c r="E1251" s="55" t="n"/>
      <c r="F1251" s="46" t="n"/>
      <c r="G1251" s="46" t="n"/>
      <c r="H1251" s="46" t="n"/>
      <c r="I1251" s="46" t="n"/>
      <c r="J1251" s="46" t="n"/>
      <c r="K1251" s="46" t="n"/>
      <c r="L1251" s="46" t="n"/>
      <c r="M1251" s="51" t="str">
        <f>IF(NOT(ISNUMBER($E1251)),"",IF($C1251="Receipt",$E1251,IF($C1251="Shipment",-$E1251,IF($C1251="Adjustment",$E1251,0))))</f>
        <v/>
      </c>
      <c r="N1251" s="49" t="str">
        <f>IF($D1251="","",IFERROR(INDEX(Products!$B$2:$B$101,MATCH($D1251,Products!$A$2:$A$101,0))&amp;"","(not found)"))</f>
        <v/>
      </c>
      <c r="O1251" s="49" t="str">
        <f>IF($F1251="","",IFERROR(INDEX(Batches!$B$2:$B$301,MATCH($F1251,Batches!$A$2:$A$301,0))&amp;"","(not found)"))</f>
        <v/>
      </c>
      <c r="P1251" s="49" t="str">
        <f>IF(COUNTA($A1251:$L1251)=0,"",IF($A1251="","Missing: entry ID",IF(COUNTIF($A$2:$A$2001,$A1251)&gt;1,"Duplicate entry ID",IF(NOT(ISNUMBER($B1251)),"Missing or invalid: date",IF($C1251="","Missing: type",IF($D1251="","Missing: SKU",IF(NOT(ISNUMBER($E1251)),"Missing: qty",IF($F1251="","Missing: lot",IF($I1251="","Missing: source link",IF(COUNTIF(Config!$A$15:$A$34,$C1251)=0,"Unsupported type",IF(COUNTIF(Products!$A$2:$A$101,$D1251)=0,"Unknown SKU",IF(COUNTIFS(Batches!$A$2:$A$301,$F1251,Batches!$B$2:$B$301,$D1251)=0,"Unknown lot for this SKU",IF(AND($C1251="Adjustment",$G1251=""),"Missing: reason",IF(AND($G1251&lt;&gt;"",COUNTIF(Config!$B$15:$B$34,$G1251)=0),"Unsupported reason",IF(OR(INT($E1251)&lt;&gt;$E1251,AND(OR($C1251="Receipt",$C1251="Shipment"),$E1251&lt;=0),AND($C1251="Adjustment",$E1251=0)),"Invalid qty",IF($B1251&gt;Config!$B$4,"Date after the as-of date",IF($B1251&lt;Config!$B$5,"Date before the opening balance date","OK")))))))))))))))))</f>
        <v/>
      </c>
    </row>
    <row r="1252">
      <c r="A1252" s="46" t="n"/>
      <c r="B1252" s="54" t="n"/>
      <c r="C1252" s="46" t="n"/>
      <c r="D1252" s="46" t="n"/>
      <c r="E1252" s="55" t="n"/>
      <c r="F1252" s="46" t="n"/>
      <c r="G1252" s="46" t="n"/>
      <c r="H1252" s="46" t="n"/>
      <c r="I1252" s="46" t="n"/>
      <c r="J1252" s="46" t="n"/>
      <c r="K1252" s="46" t="n"/>
      <c r="L1252" s="46" t="n"/>
      <c r="M1252" s="51" t="str">
        <f>IF(NOT(ISNUMBER($E1252)),"",IF($C1252="Receipt",$E1252,IF($C1252="Shipment",-$E1252,IF($C1252="Adjustment",$E1252,0))))</f>
        <v/>
      </c>
      <c r="N1252" s="49" t="str">
        <f>IF($D1252="","",IFERROR(INDEX(Products!$B$2:$B$101,MATCH($D1252,Products!$A$2:$A$101,0))&amp;"","(not found)"))</f>
        <v/>
      </c>
      <c r="O1252" s="49" t="str">
        <f>IF($F1252="","",IFERROR(INDEX(Batches!$B$2:$B$301,MATCH($F1252,Batches!$A$2:$A$301,0))&amp;"","(not found)"))</f>
        <v/>
      </c>
      <c r="P1252" s="49" t="str">
        <f>IF(COUNTA($A1252:$L1252)=0,"",IF($A1252="","Missing: entry ID",IF(COUNTIF($A$2:$A$2001,$A1252)&gt;1,"Duplicate entry ID",IF(NOT(ISNUMBER($B1252)),"Missing or invalid: date",IF($C1252="","Missing: type",IF($D1252="","Missing: SKU",IF(NOT(ISNUMBER($E1252)),"Missing: qty",IF($F1252="","Missing: lot",IF($I1252="","Missing: source link",IF(COUNTIF(Config!$A$15:$A$34,$C1252)=0,"Unsupported type",IF(COUNTIF(Products!$A$2:$A$101,$D1252)=0,"Unknown SKU",IF(COUNTIFS(Batches!$A$2:$A$301,$F1252,Batches!$B$2:$B$301,$D1252)=0,"Unknown lot for this SKU",IF(AND($C1252="Adjustment",$G1252=""),"Missing: reason",IF(AND($G1252&lt;&gt;"",COUNTIF(Config!$B$15:$B$34,$G1252)=0),"Unsupported reason",IF(OR(INT($E1252)&lt;&gt;$E1252,AND(OR($C1252="Receipt",$C1252="Shipment"),$E1252&lt;=0),AND($C1252="Adjustment",$E1252=0)),"Invalid qty",IF($B1252&gt;Config!$B$4,"Date after the as-of date",IF($B1252&lt;Config!$B$5,"Date before the opening balance date","OK")))))))))))))))))</f>
        <v/>
      </c>
    </row>
    <row r="1253">
      <c r="A1253" s="46" t="n"/>
      <c r="B1253" s="54" t="n"/>
      <c r="C1253" s="46" t="n"/>
      <c r="D1253" s="46" t="n"/>
      <c r="E1253" s="55" t="n"/>
      <c r="F1253" s="46" t="n"/>
      <c r="G1253" s="46" t="n"/>
      <c r="H1253" s="46" t="n"/>
      <c r="I1253" s="46" t="n"/>
      <c r="J1253" s="46" t="n"/>
      <c r="K1253" s="46" t="n"/>
      <c r="L1253" s="46" t="n"/>
      <c r="M1253" s="51" t="str">
        <f>IF(NOT(ISNUMBER($E1253)),"",IF($C1253="Receipt",$E1253,IF($C1253="Shipment",-$E1253,IF($C1253="Adjustment",$E1253,0))))</f>
        <v/>
      </c>
      <c r="N1253" s="49" t="str">
        <f>IF($D1253="","",IFERROR(INDEX(Products!$B$2:$B$101,MATCH($D1253,Products!$A$2:$A$101,0))&amp;"","(not found)"))</f>
        <v/>
      </c>
      <c r="O1253" s="49" t="str">
        <f>IF($F1253="","",IFERROR(INDEX(Batches!$B$2:$B$301,MATCH($F1253,Batches!$A$2:$A$301,0))&amp;"","(not found)"))</f>
        <v/>
      </c>
      <c r="P1253" s="49" t="str">
        <f>IF(COUNTA($A1253:$L1253)=0,"",IF($A1253="","Missing: entry ID",IF(COUNTIF($A$2:$A$2001,$A1253)&gt;1,"Duplicate entry ID",IF(NOT(ISNUMBER($B1253)),"Missing or invalid: date",IF($C1253="","Missing: type",IF($D1253="","Missing: SKU",IF(NOT(ISNUMBER($E1253)),"Missing: qty",IF($F1253="","Missing: lot",IF($I1253="","Missing: source link",IF(COUNTIF(Config!$A$15:$A$34,$C1253)=0,"Unsupported type",IF(COUNTIF(Products!$A$2:$A$101,$D1253)=0,"Unknown SKU",IF(COUNTIFS(Batches!$A$2:$A$301,$F1253,Batches!$B$2:$B$301,$D1253)=0,"Unknown lot for this SKU",IF(AND($C1253="Adjustment",$G1253=""),"Missing: reason",IF(AND($G1253&lt;&gt;"",COUNTIF(Config!$B$15:$B$34,$G1253)=0),"Unsupported reason",IF(OR(INT($E1253)&lt;&gt;$E1253,AND(OR($C1253="Receipt",$C1253="Shipment"),$E1253&lt;=0),AND($C1253="Adjustment",$E1253=0)),"Invalid qty",IF($B1253&gt;Config!$B$4,"Date after the as-of date",IF($B1253&lt;Config!$B$5,"Date before the opening balance date","OK")))))))))))))))))</f>
        <v/>
      </c>
    </row>
    <row r="1254">
      <c r="A1254" s="46" t="n"/>
      <c r="B1254" s="54" t="n"/>
      <c r="C1254" s="46" t="n"/>
      <c r="D1254" s="46" t="n"/>
      <c r="E1254" s="55" t="n"/>
      <c r="F1254" s="46" t="n"/>
      <c r="G1254" s="46" t="n"/>
      <c r="H1254" s="46" t="n"/>
      <c r="I1254" s="46" t="n"/>
      <c r="J1254" s="46" t="n"/>
      <c r="K1254" s="46" t="n"/>
      <c r="L1254" s="46" t="n"/>
      <c r="M1254" s="51" t="str">
        <f>IF(NOT(ISNUMBER($E1254)),"",IF($C1254="Receipt",$E1254,IF($C1254="Shipment",-$E1254,IF($C1254="Adjustment",$E1254,0))))</f>
        <v/>
      </c>
      <c r="N1254" s="49" t="str">
        <f>IF($D1254="","",IFERROR(INDEX(Products!$B$2:$B$101,MATCH($D1254,Products!$A$2:$A$101,0))&amp;"","(not found)"))</f>
        <v/>
      </c>
      <c r="O1254" s="49" t="str">
        <f>IF($F1254="","",IFERROR(INDEX(Batches!$B$2:$B$301,MATCH($F1254,Batches!$A$2:$A$301,0))&amp;"","(not found)"))</f>
        <v/>
      </c>
      <c r="P1254" s="49" t="str">
        <f>IF(COUNTA($A1254:$L1254)=0,"",IF($A1254="","Missing: entry ID",IF(COUNTIF($A$2:$A$2001,$A1254)&gt;1,"Duplicate entry ID",IF(NOT(ISNUMBER($B1254)),"Missing or invalid: date",IF($C1254="","Missing: type",IF($D1254="","Missing: SKU",IF(NOT(ISNUMBER($E1254)),"Missing: qty",IF($F1254="","Missing: lot",IF($I1254="","Missing: source link",IF(COUNTIF(Config!$A$15:$A$34,$C1254)=0,"Unsupported type",IF(COUNTIF(Products!$A$2:$A$101,$D1254)=0,"Unknown SKU",IF(COUNTIFS(Batches!$A$2:$A$301,$F1254,Batches!$B$2:$B$301,$D1254)=0,"Unknown lot for this SKU",IF(AND($C1254="Adjustment",$G1254=""),"Missing: reason",IF(AND($G1254&lt;&gt;"",COUNTIF(Config!$B$15:$B$34,$G1254)=0),"Unsupported reason",IF(OR(INT($E1254)&lt;&gt;$E1254,AND(OR($C1254="Receipt",$C1254="Shipment"),$E1254&lt;=0),AND($C1254="Adjustment",$E1254=0)),"Invalid qty",IF($B1254&gt;Config!$B$4,"Date after the as-of date",IF($B1254&lt;Config!$B$5,"Date before the opening balance date","OK")))))))))))))))))</f>
        <v/>
      </c>
    </row>
    <row r="1255">
      <c r="A1255" s="46" t="n"/>
      <c r="B1255" s="54" t="n"/>
      <c r="C1255" s="46" t="n"/>
      <c r="D1255" s="46" t="n"/>
      <c r="E1255" s="55" t="n"/>
      <c r="F1255" s="46" t="n"/>
      <c r="G1255" s="46" t="n"/>
      <c r="H1255" s="46" t="n"/>
      <c r="I1255" s="46" t="n"/>
      <c r="J1255" s="46" t="n"/>
      <c r="K1255" s="46" t="n"/>
      <c r="L1255" s="46" t="n"/>
      <c r="M1255" s="51" t="str">
        <f>IF(NOT(ISNUMBER($E1255)),"",IF($C1255="Receipt",$E1255,IF($C1255="Shipment",-$E1255,IF($C1255="Adjustment",$E1255,0))))</f>
        <v/>
      </c>
      <c r="N1255" s="49" t="str">
        <f>IF($D1255="","",IFERROR(INDEX(Products!$B$2:$B$101,MATCH($D1255,Products!$A$2:$A$101,0))&amp;"","(not found)"))</f>
        <v/>
      </c>
      <c r="O1255" s="49" t="str">
        <f>IF($F1255="","",IFERROR(INDEX(Batches!$B$2:$B$301,MATCH($F1255,Batches!$A$2:$A$301,0))&amp;"","(not found)"))</f>
        <v/>
      </c>
      <c r="P1255" s="49" t="str">
        <f>IF(COUNTA($A1255:$L1255)=0,"",IF($A1255="","Missing: entry ID",IF(COUNTIF($A$2:$A$2001,$A1255)&gt;1,"Duplicate entry ID",IF(NOT(ISNUMBER($B1255)),"Missing or invalid: date",IF($C1255="","Missing: type",IF($D1255="","Missing: SKU",IF(NOT(ISNUMBER($E1255)),"Missing: qty",IF($F1255="","Missing: lot",IF($I1255="","Missing: source link",IF(COUNTIF(Config!$A$15:$A$34,$C1255)=0,"Unsupported type",IF(COUNTIF(Products!$A$2:$A$101,$D1255)=0,"Unknown SKU",IF(COUNTIFS(Batches!$A$2:$A$301,$F1255,Batches!$B$2:$B$301,$D1255)=0,"Unknown lot for this SKU",IF(AND($C1255="Adjustment",$G1255=""),"Missing: reason",IF(AND($G1255&lt;&gt;"",COUNTIF(Config!$B$15:$B$34,$G1255)=0),"Unsupported reason",IF(OR(INT($E1255)&lt;&gt;$E1255,AND(OR($C1255="Receipt",$C1255="Shipment"),$E1255&lt;=0),AND($C1255="Adjustment",$E1255=0)),"Invalid qty",IF($B1255&gt;Config!$B$4,"Date after the as-of date",IF($B1255&lt;Config!$B$5,"Date before the opening balance date","OK")))))))))))))))))</f>
        <v/>
      </c>
    </row>
    <row r="1256">
      <c r="A1256" s="46" t="n"/>
      <c r="B1256" s="54" t="n"/>
      <c r="C1256" s="46" t="n"/>
      <c r="D1256" s="46" t="n"/>
      <c r="E1256" s="55" t="n"/>
      <c r="F1256" s="46" t="n"/>
      <c r="G1256" s="46" t="n"/>
      <c r="H1256" s="46" t="n"/>
      <c r="I1256" s="46" t="n"/>
      <c r="J1256" s="46" t="n"/>
      <c r="K1256" s="46" t="n"/>
      <c r="L1256" s="46" t="n"/>
      <c r="M1256" s="51" t="str">
        <f>IF(NOT(ISNUMBER($E1256)),"",IF($C1256="Receipt",$E1256,IF($C1256="Shipment",-$E1256,IF($C1256="Adjustment",$E1256,0))))</f>
        <v/>
      </c>
      <c r="N1256" s="49" t="str">
        <f>IF($D1256="","",IFERROR(INDEX(Products!$B$2:$B$101,MATCH($D1256,Products!$A$2:$A$101,0))&amp;"","(not found)"))</f>
        <v/>
      </c>
      <c r="O1256" s="49" t="str">
        <f>IF($F1256="","",IFERROR(INDEX(Batches!$B$2:$B$301,MATCH($F1256,Batches!$A$2:$A$301,0))&amp;"","(not found)"))</f>
        <v/>
      </c>
      <c r="P1256" s="49" t="str">
        <f>IF(COUNTA($A1256:$L1256)=0,"",IF($A1256="","Missing: entry ID",IF(COUNTIF($A$2:$A$2001,$A1256)&gt;1,"Duplicate entry ID",IF(NOT(ISNUMBER($B1256)),"Missing or invalid: date",IF($C1256="","Missing: type",IF($D1256="","Missing: SKU",IF(NOT(ISNUMBER($E1256)),"Missing: qty",IF($F1256="","Missing: lot",IF($I1256="","Missing: source link",IF(COUNTIF(Config!$A$15:$A$34,$C1256)=0,"Unsupported type",IF(COUNTIF(Products!$A$2:$A$101,$D1256)=0,"Unknown SKU",IF(COUNTIFS(Batches!$A$2:$A$301,$F1256,Batches!$B$2:$B$301,$D1256)=0,"Unknown lot for this SKU",IF(AND($C1256="Adjustment",$G1256=""),"Missing: reason",IF(AND($G1256&lt;&gt;"",COUNTIF(Config!$B$15:$B$34,$G1256)=0),"Unsupported reason",IF(OR(INT($E1256)&lt;&gt;$E1256,AND(OR($C1256="Receipt",$C1256="Shipment"),$E1256&lt;=0),AND($C1256="Adjustment",$E1256=0)),"Invalid qty",IF($B1256&gt;Config!$B$4,"Date after the as-of date",IF($B1256&lt;Config!$B$5,"Date before the opening balance date","OK")))))))))))))))))</f>
        <v/>
      </c>
    </row>
    <row r="1257">
      <c r="A1257" s="46" t="n"/>
      <c r="B1257" s="54" t="n"/>
      <c r="C1257" s="46" t="n"/>
      <c r="D1257" s="46" t="n"/>
      <c r="E1257" s="55" t="n"/>
      <c r="F1257" s="46" t="n"/>
      <c r="G1257" s="46" t="n"/>
      <c r="H1257" s="46" t="n"/>
      <c r="I1257" s="46" t="n"/>
      <c r="J1257" s="46" t="n"/>
      <c r="K1257" s="46" t="n"/>
      <c r="L1257" s="46" t="n"/>
      <c r="M1257" s="51" t="str">
        <f>IF(NOT(ISNUMBER($E1257)),"",IF($C1257="Receipt",$E1257,IF($C1257="Shipment",-$E1257,IF($C1257="Adjustment",$E1257,0))))</f>
        <v/>
      </c>
      <c r="N1257" s="49" t="str">
        <f>IF($D1257="","",IFERROR(INDEX(Products!$B$2:$B$101,MATCH($D1257,Products!$A$2:$A$101,0))&amp;"","(not found)"))</f>
        <v/>
      </c>
      <c r="O1257" s="49" t="str">
        <f>IF($F1257="","",IFERROR(INDEX(Batches!$B$2:$B$301,MATCH($F1257,Batches!$A$2:$A$301,0))&amp;"","(not found)"))</f>
        <v/>
      </c>
      <c r="P1257" s="49" t="str">
        <f>IF(COUNTA($A1257:$L1257)=0,"",IF($A1257="","Missing: entry ID",IF(COUNTIF($A$2:$A$2001,$A1257)&gt;1,"Duplicate entry ID",IF(NOT(ISNUMBER($B1257)),"Missing or invalid: date",IF($C1257="","Missing: type",IF($D1257="","Missing: SKU",IF(NOT(ISNUMBER($E1257)),"Missing: qty",IF($F1257="","Missing: lot",IF($I1257="","Missing: source link",IF(COUNTIF(Config!$A$15:$A$34,$C1257)=0,"Unsupported type",IF(COUNTIF(Products!$A$2:$A$101,$D1257)=0,"Unknown SKU",IF(COUNTIFS(Batches!$A$2:$A$301,$F1257,Batches!$B$2:$B$301,$D1257)=0,"Unknown lot for this SKU",IF(AND($C1257="Adjustment",$G1257=""),"Missing: reason",IF(AND($G1257&lt;&gt;"",COUNTIF(Config!$B$15:$B$34,$G1257)=0),"Unsupported reason",IF(OR(INT($E1257)&lt;&gt;$E1257,AND(OR($C1257="Receipt",$C1257="Shipment"),$E1257&lt;=0),AND($C1257="Adjustment",$E1257=0)),"Invalid qty",IF($B1257&gt;Config!$B$4,"Date after the as-of date",IF($B1257&lt;Config!$B$5,"Date before the opening balance date","OK")))))))))))))))))</f>
        <v/>
      </c>
    </row>
    <row r="1258">
      <c r="A1258" s="46" t="n"/>
      <c r="B1258" s="54" t="n"/>
      <c r="C1258" s="46" t="n"/>
      <c r="D1258" s="46" t="n"/>
      <c r="E1258" s="55" t="n"/>
      <c r="F1258" s="46" t="n"/>
      <c r="G1258" s="46" t="n"/>
      <c r="H1258" s="46" t="n"/>
      <c r="I1258" s="46" t="n"/>
      <c r="J1258" s="46" t="n"/>
      <c r="K1258" s="46" t="n"/>
      <c r="L1258" s="46" t="n"/>
      <c r="M1258" s="51" t="str">
        <f>IF(NOT(ISNUMBER($E1258)),"",IF($C1258="Receipt",$E1258,IF($C1258="Shipment",-$E1258,IF($C1258="Adjustment",$E1258,0))))</f>
        <v/>
      </c>
      <c r="N1258" s="49" t="str">
        <f>IF($D1258="","",IFERROR(INDEX(Products!$B$2:$B$101,MATCH($D1258,Products!$A$2:$A$101,0))&amp;"","(not found)"))</f>
        <v/>
      </c>
      <c r="O1258" s="49" t="str">
        <f>IF($F1258="","",IFERROR(INDEX(Batches!$B$2:$B$301,MATCH($F1258,Batches!$A$2:$A$301,0))&amp;"","(not found)"))</f>
        <v/>
      </c>
      <c r="P1258" s="49" t="str">
        <f>IF(COUNTA($A1258:$L1258)=0,"",IF($A1258="","Missing: entry ID",IF(COUNTIF($A$2:$A$2001,$A1258)&gt;1,"Duplicate entry ID",IF(NOT(ISNUMBER($B1258)),"Missing or invalid: date",IF($C1258="","Missing: type",IF($D1258="","Missing: SKU",IF(NOT(ISNUMBER($E1258)),"Missing: qty",IF($F1258="","Missing: lot",IF($I1258="","Missing: source link",IF(COUNTIF(Config!$A$15:$A$34,$C1258)=0,"Unsupported type",IF(COUNTIF(Products!$A$2:$A$101,$D1258)=0,"Unknown SKU",IF(COUNTIFS(Batches!$A$2:$A$301,$F1258,Batches!$B$2:$B$301,$D1258)=0,"Unknown lot for this SKU",IF(AND($C1258="Adjustment",$G1258=""),"Missing: reason",IF(AND($G1258&lt;&gt;"",COUNTIF(Config!$B$15:$B$34,$G1258)=0),"Unsupported reason",IF(OR(INT($E1258)&lt;&gt;$E1258,AND(OR($C1258="Receipt",$C1258="Shipment"),$E1258&lt;=0),AND($C1258="Adjustment",$E1258=0)),"Invalid qty",IF($B1258&gt;Config!$B$4,"Date after the as-of date",IF($B1258&lt;Config!$B$5,"Date before the opening balance date","OK")))))))))))))))))</f>
        <v/>
      </c>
    </row>
    <row r="1259">
      <c r="A1259" s="46" t="n"/>
      <c r="B1259" s="54" t="n"/>
      <c r="C1259" s="46" t="n"/>
      <c r="D1259" s="46" t="n"/>
      <c r="E1259" s="55" t="n"/>
      <c r="F1259" s="46" t="n"/>
      <c r="G1259" s="46" t="n"/>
      <c r="H1259" s="46" t="n"/>
      <c r="I1259" s="46" t="n"/>
      <c r="J1259" s="46" t="n"/>
      <c r="K1259" s="46" t="n"/>
      <c r="L1259" s="46" t="n"/>
      <c r="M1259" s="51" t="str">
        <f>IF(NOT(ISNUMBER($E1259)),"",IF($C1259="Receipt",$E1259,IF($C1259="Shipment",-$E1259,IF($C1259="Adjustment",$E1259,0))))</f>
        <v/>
      </c>
      <c r="N1259" s="49" t="str">
        <f>IF($D1259="","",IFERROR(INDEX(Products!$B$2:$B$101,MATCH($D1259,Products!$A$2:$A$101,0))&amp;"","(not found)"))</f>
        <v/>
      </c>
      <c r="O1259" s="49" t="str">
        <f>IF($F1259="","",IFERROR(INDEX(Batches!$B$2:$B$301,MATCH($F1259,Batches!$A$2:$A$301,0))&amp;"","(not found)"))</f>
        <v/>
      </c>
      <c r="P1259" s="49" t="str">
        <f>IF(COUNTA($A1259:$L1259)=0,"",IF($A1259="","Missing: entry ID",IF(COUNTIF($A$2:$A$2001,$A1259)&gt;1,"Duplicate entry ID",IF(NOT(ISNUMBER($B1259)),"Missing or invalid: date",IF($C1259="","Missing: type",IF($D1259="","Missing: SKU",IF(NOT(ISNUMBER($E1259)),"Missing: qty",IF($F1259="","Missing: lot",IF($I1259="","Missing: source link",IF(COUNTIF(Config!$A$15:$A$34,$C1259)=0,"Unsupported type",IF(COUNTIF(Products!$A$2:$A$101,$D1259)=0,"Unknown SKU",IF(COUNTIFS(Batches!$A$2:$A$301,$F1259,Batches!$B$2:$B$301,$D1259)=0,"Unknown lot for this SKU",IF(AND($C1259="Adjustment",$G1259=""),"Missing: reason",IF(AND($G1259&lt;&gt;"",COUNTIF(Config!$B$15:$B$34,$G1259)=0),"Unsupported reason",IF(OR(INT($E1259)&lt;&gt;$E1259,AND(OR($C1259="Receipt",$C1259="Shipment"),$E1259&lt;=0),AND($C1259="Adjustment",$E1259=0)),"Invalid qty",IF($B1259&gt;Config!$B$4,"Date after the as-of date",IF($B1259&lt;Config!$B$5,"Date before the opening balance date","OK")))))))))))))))))</f>
        <v/>
      </c>
    </row>
    <row r="1260">
      <c r="A1260" s="46" t="n"/>
      <c r="B1260" s="54" t="n"/>
      <c r="C1260" s="46" t="n"/>
      <c r="D1260" s="46" t="n"/>
      <c r="E1260" s="55" t="n"/>
      <c r="F1260" s="46" t="n"/>
      <c r="G1260" s="46" t="n"/>
      <c r="H1260" s="46" t="n"/>
      <c r="I1260" s="46" t="n"/>
      <c r="J1260" s="46" t="n"/>
      <c r="K1260" s="46" t="n"/>
      <c r="L1260" s="46" t="n"/>
      <c r="M1260" s="51" t="str">
        <f>IF(NOT(ISNUMBER($E1260)),"",IF($C1260="Receipt",$E1260,IF($C1260="Shipment",-$E1260,IF($C1260="Adjustment",$E1260,0))))</f>
        <v/>
      </c>
      <c r="N1260" s="49" t="str">
        <f>IF($D1260="","",IFERROR(INDEX(Products!$B$2:$B$101,MATCH($D1260,Products!$A$2:$A$101,0))&amp;"","(not found)"))</f>
        <v/>
      </c>
      <c r="O1260" s="49" t="str">
        <f>IF($F1260="","",IFERROR(INDEX(Batches!$B$2:$B$301,MATCH($F1260,Batches!$A$2:$A$301,0))&amp;"","(not found)"))</f>
        <v/>
      </c>
      <c r="P1260" s="49" t="str">
        <f>IF(COUNTA($A1260:$L1260)=0,"",IF($A1260="","Missing: entry ID",IF(COUNTIF($A$2:$A$2001,$A1260)&gt;1,"Duplicate entry ID",IF(NOT(ISNUMBER($B1260)),"Missing or invalid: date",IF($C1260="","Missing: type",IF($D1260="","Missing: SKU",IF(NOT(ISNUMBER($E1260)),"Missing: qty",IF($F1260="","Missing: lot",IF($I1260="","Missing: source link",IF(COUNTIF(Config!$A$15:$A$34,$C1260)=0,"Unsupported type",IF(COUNTIF(Products!$A$2:$A$101,$D1260)=0,"Unknown SKU",IF(COUNTIFS(Batches!$A$2:$A$301,$F1260,Batches!$B$2:$B$301,$D1260)=0,"Unknown lot for this SKU",IF(AND($C1260="Adjustment",$G1260=""),"Missing: reason",IF(AND($G1260&lt;&gt;"",COUNTIF(Config!$B$15:$B$34,$G1260)=0),"Unsupported reason",IF(OR(INT($E1260)&lt;&gt;$E1260,AND(OR($C1260="Receipt",$C1260="Shipment"),$E1260&lt;=0),AND($C1260="Adjustment",$E1260=0)),"Invalid qty",IF($B1260&gt;Config!$B$4,"Date after the as-of date",IF($B1260&lt;Config!$B$5,"Date before the opening balance date","OK")))))))))))))))))</f>
        <v/>
      </c>
    </row>
    <row r="1261">
      <c r="A1261" s="46" t="n"/>
      <c r="B1261" s="54" t="n"/>
      <c r="C1261" s="46" t="n"/>
      <c r="D1261" s="46" t="n"/>
      <c r="E1261" s="55" t="n"/>
      <c r="F1261" s="46" t="n"/>
      <c r="G1261" s="46" t="n"/>
      <c r="H1261" s="46" t="n"/>
      <c r="I1261" s="46" t="n"/>
      <c r="J1261" s="46" t="n"/>
      <c r="K1261" s="46" t="n"/>
      <c r="L1261" s="46" t="n"/>
      <c r="M1261" s="51" t="str">
        <f>IF(NOT(ISNUMBER($E1261)),"",IF($C1261="Receipt",$E1261,IF($C1261="Shipment",-$E1261,IF($C1261="Adjustment",$E1261,0))))</f>
        <v/>
      </c>
      <c r="N1261" s="49" t="str">
        <f>IF($D1261="","",IFERROR(INDEX(Products!$B$2:$B$101,MATCH($D1261,Products!$A$2:$A$101,0))&amp;"","(not found)"))</f>
        <v/>
      </c>
      <c r="O1261" s="49" t="str">
        <f>IF($F1261="","",IFERROR(INDEX(Batches!$B$2:$B$301,MATCH($F1261,Batches!$A$2:$A$301,0))&amp;"","(not found)"))</f>
        <v/>
      </c>
      <c r="P1261" s="49" t="str">
        <f>IF(COUNTA($A1261:$L1261)=0,"",IF($A1261="","Missing: entry ID",IF(COUNTIF($A$2:$A$2001,$A1261)&gt;1,"Duplicate entry ID",IF(NOT(ISNUMBER($B1261)),"Missing or invalid: date",IF($C1261="","Missing: type",IF($D1261="","Missing: SKU",IF(NOT(ISNUMBER($E1261)),"Missing: qty",IF($F1261="","Missing: lot",IF($I1261="","Missing: source link",IF(COUNTIF(Config!$A$15:$A$34,$C1261)=0,"Unsupported type",IF(COUNTIF(Products!$A$2:$A$101,$D1261)=0,"Unknown SKU",IF(COUNTIFS(Batches!$A$2:$A$301,$F1261,Batches!$B$2:$B$301,$D1261)=0,"Unknown lot for this SKU",IF(AND($C1261="Adjustment",$G1261=""),"Missing: reason",IF(AND($G1261&lt;&gt;"",COUNTIF(Config!$B$15:$B$34,$G1261)=0),"Unsupported reason",IF(OR(INT($E1261)&lt;&gt;$E1261,AND(OR($C1261="Receipt",$C1261="Shipment"),$E1261&lt;=0),AND($C1261="Adjustment",$E1261=0)),"Invalid qty",IF($B1261&gt;Config!$B$4,"Date after the as-of date",IF($B1261&lt;Config!$B$5,"Date before the opening balance date","OK")))))))))))))))))</f>
        <v/>
      </c>
    </row>
    <row r="1262">
      <c r="A1262" s="46" t="n"/>
      <c r="B1262" s="54" t="n"/>
      <c r="C1262" s="46" t="n"/>
      <c r="D1262" s="46" t="n"/>
      <c r="E1262" s="55" t="n"/>
      <c r="F1262" s="46" t="n"/>
      <c r="G1262" s="46" t="n"/>
      <c r="H1262" s="46" t="n"/>
      <c r="I1262" s="46" t="n"/>
      <c r="J1262" s="46" t="n"/>
      <c r="K1262" s="46" t="n"/>
      <c r="L1262" s="46" t="n"/>
      <c r="M1262" s="51" t="str">
        <f>IF(NOT(ISNUMBER($E1262)),"",IF($C1262="Receipt",$E1262,IF($C1262="Shipment",-$E1262,IF($C1262="Adjustment",$E1262,0))))</f>
        <v/>
      </c>
      <c r="N1262" s="49" t="str">
        <f>IF($D1262="","",IFERROR(INDEX(Products!$B$2:$B$101,MATCH($D1262,Products!$A$2:$A$101,0))&amp;"","(not found)"))</f>
        <v/>
      </c>
      <c r="O1262" s="49" t="str">
        <f>IF($F1262="","",IFERROR(INDEX(Batches!$B$2:$B$301,MATCH($F1262,Batches!$A$2:$A$301,0))&amp;"","(not found)"))</f>
        <v/>
      </c>
      <c r="P1262" s="49" t="str">
        <f>IF(COUNTA($A1262:$L1262)=0,"",IF($A1262="","Missing: entry ID",IF(COUNTIF($A$2:$A$2001,$A1262)&gt;1,"Duplicate entry ID",IF(NOT(ISNUMBER($B1262)),"Missing or invalid: date",IF($C1262="","Missing: type",IF($D1262="","Missing: SKU",IF(NOT(ISNUMBER($E1262)),"Missing: qty",IF($F1262="","Missing: lot",IF($I1262="","Missing: source link",IF(COUNTIF(Config!$A$15:$A$34,$C1262)=0,"Unsupported type",IF(COUNTIF(Products!$A$2:$A$101,$D1262)=0,"Unknown SKU",IF(COUNTIFS(Batches!$A$2:$A$301,$F1262,Batches!$B$2:$B$301,$D1262)=0,"Unknown lot for this SKU",IF(AND($C1262="Adjustment",$G1262=""),"Missing: reason",IF(AND($G1262&lt;&gt;"",COUNTIF(Config!$B$15:$B$34,$G1262)=0),"Unsupported reason",IF(OR(INT($E1262)&lt;&gt;$E1262,AND(OR($C1262="Receipt",$C1262="Shipment"),$E1262&lt;=0),AND($C1262="Adjustment",$E1262=0)),"Invalid qty",IF($B1262&gt;Config!$B$4,"Date after the as-of date",IF($B1262&lt;Config!$B$5,"Date before the opening balance date","OK")))))))))))))))))</f>
        <v/>
      </c>
    </row>
    <row r="1263">
      <c r="A1263" s="46" t="n"/>
      <c r="B1263" s="54" t="n"/>
      <c r="C1263" s="46" t="n"/>
      <c r="D1263" s="46" t="n"/>
      <c r="E1263" s="55" t="n"/>
      <c r="F1263" s="46" t="n"/>
      <c r="G1263" s="46" t="n"/>
      <c r="H1263" s="46" t="n"/>
      <c r="I1263" s="46" t="n"/>
      <c r="J1263" s="46" t="n"/>
      <c r="K1263" s="46" t="n"/>
      <c r="L1263" s="46" t="n"/>
      <c r="M1263" s="51" t="str">
        <f>IF(NOT(ISNUMBER($E1263)),"",IF($C1263="Receipt",$E1263,IF($C1263="Shipment",-$E1263,IF($C1263="Adjustment",$E1263,0))))</f>
        <v/>
      </c>
      <c r="N1263" s="49" t="str">
        <f>IF($D1263="","",IFERROR(INDEX(Products!$B$2:$B$101,MATCH($D1263,Products!$A$2:$A$101,0))&amp;"","(not found)"))</f>
        <v/>
      </c>
      <c r="O1263" s="49" t="str">
        <f>IF($F1263="","",IFERROR(INDEX(Batches!$B$2:$B$301,MATCH($F1263,Batches!$A$2:$A$301,0))&amp;"","(not found)"))</f>
        <v/>
      </c>
      <c r="P1263" s="49" t="str">
        <f>IF(COUNTA($A1263:$L1263)=0,"",IF($A1263="","Missing: entry ID",IF(COUNTIF($A$2:$A$2001,$A1263)&gt;1,"Duplicate entry ID",IF(NOT(ISNUMBER($B1263)),"Missing or invalid: date",IF($C1263="","Missing: type",IF($D1263="","Missing: SKU",IF(NOT(ISNUMBER($E1263)),"Missing: qty",IF($F1263="","Missing: lot",IF($I1263="","Missing: source link",IF(COUNTIF(Config!$A$15:$A$34,$C1263)=0,"Unsupported type",IF(COUNTIF(Products!$A$2:$A$101,$D1263)=0,"Unknown SKU",IF(COUNTIFS(Batches!$A$2:$A$301,$F1263,Batches!$B$2:$B$301,$D1263)=0,"Unknown lot for this SKU",IF(AND($C1263="Adjustment",$G1263=""),"Missing: reason",IF(AND($G1263&lt;&gt;"",COUNTIF(Config!$B$15:$B$34,$G1263)=0),"Unsupported reason",IF(OR(INT($E1263)&lt;&gt;$E1263,AND(OR($C1263="Receipt",$C1263="Shipment"),$E1263&lt;=0),AND($C1263="Adjustment",$E1263=0)),"Invalid qty",IF($B1263&gt;Config!$B$4,"Date after the as-of date",IF($B1263&lt;Config!$B$5,"Date before the opening balance date","OK")))))))))))))))))</f>
        <v/>
      </c>
    </row>
    <row r="1264">
      <c r="A1264" s="46" t="n"/>
      <c r="B1264" s="54" t="n"/>
      <c r="C1264" s="46" t="n"/>
      <c r="D1264" s="46" t="n"/>
      <c r="E1264" s="55" t="n"/>
      <c r="F1264" s="46" t="n"/>
      <c r="G1264" s="46" t="n"/>
      <c r="H1264" s="46" t="n"/>
      <c r="I1264" s="46" t="n"/>
      <c r="J1264" s="46" t="n"/>
      <c r="K1264" s="46" t="n"/>
      <c r="L1264" s="46" t="n"/>
      <c r="M1264" s="51" t="str">
        <f>IF(NOT(ISNUMBER($E1264)),"",IF($C1264="Receipt",$E1264,IF($C1264="Shipment",-$E1264,IF($C1264="Adjustment",$E1264,0))))</f>
        <v/>
      </c>
      <c r="N1264" s="49" t="str">
        <f>IF($D1264="","",IFERROR(INDEX(Products!$B$2:$B$101,MATCH($D1264,Products!$A$2:$A$101,0))&amp;"","(not found)"))</f>
        <v/>
      </c>
      <c r="O1264" s="49" t="str">
        <f>IF($F1264="","",IFERROR(INDEX(Batches!$B$2:$B$301,MATCH($F1264,Batches!$A$2:$A$301,0))&amp;"","(not found)"))</f>
        <v/>
      </c>
      <c r="P1264" s="49" t="str">
        <f>IF(COUNTA($A1264:$L1264)=0,"",IF($A1264="","Missing: entry ID",IF(COUNTIF($A$2:$A$2001,$A1264)&gt;1,"Duplicate entry ID",IF(NOT(ISNUMBER($B1264)),"Missing or invalid: date",IF($C1264="","Missing: type",IF($D1264="","Missing: SKU",IF(NOT(ISNUMBER($E1264)),"Missing: qty",IF($F1264="","Missing: lot",IF($I1264="","Missing: source link",IF(COUNTIF(Config!$A$15:$A$34,$C1264)=0,"Unsupported type",IF(COUNTIF(Products!$A$2:$A$101,$D1264)=0,"Unknown SKU",IF(COUNTIFS(Batches!$A$2:$A$301,$F1264,Batches!$B$2:$B$301,$D1264)=0,"Unknown lot for this SKU",IF(AND($C1264="Adjustment",$G1264=""),"Missing: reason",IF(AND($G1264&lt;&gt;"",COUNTIF(Config!$B$15:$B$34,$G1264)=0),"Unsupported reason",IF(OR(INT($E1264)&lt;&gt;$E1264,AND(OR($C1264="Receipt",$C1264="Shipment"),$E1264&lt;=0),AND($C1264="Adjustment",$E1264=0)),"Invalid qty",IF($B1264&gt;Config!$B$4,"Date after the as-of date",IF($B1264&lt;Config!$B$5,"Date before the opening balance date","OK")))))))))))))))))</f>
        <v/>
      </c>
    </row>
    <row r="1265">
      <c r="A1265" s="46" t="n"/>
      <c r="B1265" s="54" t="n"/>
      <c r="C1265" s="46" t="n"/>
      <c r="D1265" s="46" t="n"/>
      <c r="E1265" s="55" t="n"/>
      <c r="F1265" s="46" t="n"/>
      <c r="G1265" s="46" t="n"/>
      <c r="H1265" s="46" t="n"/>
      <c r="I1265" s="46" t="n"/>
      <c r="J1265" s="46" t="n"/>
      <c r="K1265" s="46" t="n"/>
      <c r="L1265" s="46" t="n"/>
      <c r="M1265" s="51" t="str">
        <f>IF(NOT(ISNUMBER($E1265)),"",IF($C1265="Receipt",$E1265,IF($C1265="Shipment",-$E1265,IF($C1265="Adjustment",$E1265,0))))</f>
        <v/>
      </c>
      <c r="N1265" s="49" t="str">
        <f>IF($D1265="","",IFERROR(INDEX(Products!$B$2:$B$101,MATCH($D1265,Products!$A$2:$A$101,0))&amp;"","(not found)"))</f>
        <v/>
      </c>
      <c r="O1265" s="49" t="str">
        <f>IF($F1265="","",IFERROR(INDEX(Batches!$B$2:$B$301,MATCH($F1265,Batches!$A$2:$A$301,0))&amp;"","(not found)"))</f>
        <v/>
      </c>
      <c r="P1265" s="49" t="str">
        <f>IF(COUNTA($A1265:$L1265)=0,"",IF($A1265="","Missing: entry ID",IF(COUNTIF($A$2:$A$2001,$A1265)&gt;1,"Duplicate entry ID",IF(NOT(ISNUMBER($B1265)),"Missing or invalid: date",IF($C1265="","Missing: type",IF($D1265="","Missing: SKU",IF(NOT(ISNUMBER($E1265)),"Missing: qty",IF($F1265="","Missing: lot",IF($I1265="","Missing: source link",IF(COUNTIF(Config!$A$15:$A$34,$C1265)=0,"Unsupported type",IF(COUNTIF(Products!$A$2:$A$101,$D1265)=0,"Unknown SKU",IF(COUNTIFS(Batches!$A$2:$A$301,$F1265,Batches!$B$2:$B$301,$D1265)=0,"Unknown lot for this SKU",IF(AND($C1265="Adjustment",$G1265=""),"Missing: reason",IF(AND($G1265&lt;&gt;"",COUNTIF(Config!$B$15:$B$34,$G1265)=0),"Unsupported reason",IF(OR(INT($E1265)&lt;&gt;$E1265,AND(OR($C1265="Receipt",$C1265="Shipment"),$E1265&lt;=0),AND($C1265="Adjustment",$E1265=0)),"Invalid qty",IF($B1265&gt;Config!$B$4,"Date after the as-of date",IF($B1265&lt;Config!$B$5,"Date before the opening balance date","OK")))))))))))))))))</f>
        <v/>
      </c>
    </row>
    <row r="1266">
      <c r="A1266" s="46" t="n"/>
      <c r="B1266" s="54" t="n"/>
      <c r="C1266" s="46" t="n"/>
      <c r="D1266" s="46" t="n"/>
      <c r="E1266" s="55" t="n"/>
      <c r="F1266" s="46" t="n"/>
      <c r="G1266" s="46" t="n"/>
      <c r="H1266" s="46" t="n"/>
      <c r="I1266" s="46" t="n"/>
      <c r="J1266" s="46" t="n"/>
      <c r="K1266" s="46" t="n"/>
      <c r="L1266" s="46" t="n"/>
      <c r="M1266" s="51" t="str">
        <f>IF(NOT(ISNUMBER($E1266)),"",IF($C1266="Receipt",$E1266,IF($C1266="Shipment",-$E1266,IF($C1266="Adjustment",$E1266,0))))</f>
        <v/>
      </c>
      <c r="N1266" s="49" t="str">
        <f>IF($D1266="","",IFERROR(INDEX(Products!$B$2:$B$101,MATCH($D1266,Products!$A$2:$A$101,0))&amp;"","(not found)"))</f>
        <v/>
      </c>
      <c r="O1266" s="49" t="str">
        <f>IF($F1266="","",IFERROR(INDEX(Batches!$B$2:$B$301,MATCH($F1266,Batches!$A$2:$A$301,0))&amp;"","(not found)"))</f>
        <v/>
      </c>
      <c r="P1266" s="49" t="str">
        <f>IF(COUNTA($A1266:$L1266)=0,"",IF($A1266="","Missing: entry ID",IF(COUNTIF($A$2:$A$2001,$A1266)&gt;1,"Duplicate entry ID",IF(NOT(ISNUMBER($B1266)),"Missing or invalid: date",IF($C1266="","Missing: type",IF($D1266="","Missing: SKU",IF(NOT(ISNUMBER($E1266)),"Missing: qty",IF($F1266="","Missing: lot",IF($I1266="","Missing: source link",IF(COUNTIF(Config!$A$15:$A$34,$C1266)=0,"Unsupported type",IF(COUNTIF(Products!$A$2:$A$101,$D1266)=0,"Unknown SKU",IF(COUNTIFS(Batches!$A$2:$A$301,$F1266,Batches!$B$2:$B$301,$D1266)=0,"Unknown lot for this SKU",IF(AND($C1266="Adjustment",$G1266=""),"Missing: reason",IF(AND($G1266&lt;&gt;"",COUNTIF(Config!$B$15:$B$34,$G1266)=0),"Unsupported reason",IF(OR(INT($E1266)&lt;&gt;$E1266,AND(OR($C1266="Receipt",$C1266="Shipment"),$E1266&lt;=0),AND($C1266="Adjustment",$E1266=0)),"Invalid qty",IF($B1266&gt;Config!$B$4,"Date after the as-of date",IF($B1266&lt;Config!$B$5,"Date before the opening balance date","OK")))))))))))))))))</f>
        <v/>
      </c>
    </row>
    <row r="1267">
      <c r="A1267" s="46" t="n"/>
      <c r="B1267" s="54" t="n"/>
      <c r="C1267" s="46" t="n"/>
      <c r="D1267" s="46" t="n"/>
      <c r="E1267" s="55" t="n"/>
      <c r="F1267" s="46" t="n"/>
      <c r="G1267" s="46" t="n"/>
      <c r="H1267" s="46" t="n"/>
      <c r="I1267" s="46" t="n"/>
      <c r="J1267" s="46" t="n"/>
      <c r="K1267" s="46" t="n"/>
      <c r="L1267" s="46" t="n"/>
      <c r="M1267" s="51" t="str">
        <f>IF(NOT(ISNUMBER($E1267)),"",IF($C1267="Receipt",$E1267,IF($C1267="Shipment",-$E1267,IF($C1267="Adjustment",$E1267,0))))</f>
        <v/>
      </c>
      <c r="N1267" s="49" t="str">
        <f>IF($D1267="","",IFERROR(INDEX(Products!$B$2:$B$101,MATCH($D1267,Products!$A$2:$A$101,0))&amp;"","(not found)"))</f>
        <v/>
      </c>
      <c r="O1267" s="49" t="str">
        <f>IF($F1267="","",IFERROR(INDEX(Batches!$B$2:$B$301,MATCH($F1267,Batches!$A$2:$A$301,0))&amp;"","(not found)"))</f>
        <v/>
      </c>
      <c r="P1267" s="49" t="str">
        <f>IF(COUNTA($A1267:$L1267)=0,"",IF($A1267="","Missing: entry ID",IF(COUNTIF($A$2:$A$2001,$A1267)&gt;1,"Duplicate entry ID",IF(NOT(ISNUMBER($B1267)),"Missing or invalid: date",IF($C1267="","Missing: type",IF($D1267="","Missing: SKU",IF(NOT(ISNUMBER($E1267)),"Missing: qty",IF($F1267="","Missing: lot",IF($I1267="","Missing: source link",IF(COUNTIF(Config!$A$15:$A$34,$C1267)=0,"Unsupported type",IF(COUNTIF(Products!$A$2:$A$101,$D1267)=0,"Unknown SKU",IF(COUNTIFS(Batches!$A$2:$A$301,$F1267,Batches!$B$2:$B$301,$D1267)=0,"Unknown lot for this SKU",IF(AND($C1267="Adjustment",$G1267=""),"Missing: reason",IF(AND($G1267&lt;&gt;"",COUNTIF(Config!$B$15:$B$34,$G1267)=0),"Unsupported reason",IF(OR(INT($E1267)&lt;&gt;$E1267,AND(OR($C1267="Receipt",$C1267="Shipment"),$E1267&lt;=0),AND($C1267="Adjustment",$E1267=0)),"Invalid qty",IF($B1267&gt;Config!$B$4,"Date after the as-of date",IF($B1267&lt;Config!$B$5,"Date before the opening balance date","OK")))))))))))))))))</f>
        <v/>
      </c>
    </row>
    <row r="1268">
      <c r="A1268" s="46" t="n"/>
      <c r="B1268" s="54" t="n"/>
      <c r="C1268" s="46" t="n"/>
      <c r="D1268" s="46" t="n"/>
      <c r="E1268" s="55" t="n"/>
      <c r="F1268" s="46" t="n"/>
      <c r="G1268" s="46" t="n"/>
      <c r="H1268" s="46" t="n"/>
      <c r="I1268" s="46" t="n"/>
      <c r="J1268" s="46" t="n"/>
      <c r="K1268" s="46" t="n"/>
      <c r="L1268" s="46" t="n"/>
      <c r="M1268" s="51" t="str">
        <f>IF(NOT(ISNUMBER($E1268)),"",IF($C1268="Receipt",$E1268,IF($C1268="Shipment",-$E1268,IF($C1268="Adjustment",$E1268,0))))</f>
        <v/>
      </c>
      <c r="N1268" s="49" t="str">
        <f>IF($D1268="","",IFERROR(INDEX(Products!$B$2:$B$101,MATCH($D1268,Products!$A$2:$A$101,0))&amp;"","(not found)"))</f>
        <v/>
      </c>
      <c r="O1268" s="49" t="str">
        <f>IF($F1268="","",IFERROR(INDEX(Batches!$B$2:$B$301,MATCH($F1268,Batches!$A$2:$A$301,0))&amp;"","(not found)"))</f>
        <v/>
      </c>
      <c r="P1268" s="49" t="str">
        <f>IF(COUNTA($A1268:$L1268)=0,"",IF($A1268="","Missing: entry ID",IF(COUNTIF($A$2:$A$2001,$A1268)&gt;1,"Duplicate entry ID",IF(NOT(ISNUMBER($B1268)),"Missing or invalid: date",IF($C1268="","Missing: type",IF($D1268="","Missing: SKU",IF(NOT(ISNUMBER($E1268)),"Missing: qty",IF($F1268="","Missing: lot",IF($I1268="","Missing: source link",IF(COUNTIF(Config!$A$15:$A$34,$C1268)=0,"Unsupported type",IF(COUNTIF(Products!$A$2:$A$101,$D1268)=0,"Unknown SKU",IF(COUNTIFS(Batches!$A$2:$A$301,$F1268,Batches!$B$2:$B$301,$D1268)=0,"Unknown lot for this SKU",IF(AND($C1268="Adjustment",$G1268=""),"Missing: reason",IF(AND($G1268&lt;&gt;"",COUNTIF(Config!$B$15:$B$34,$G1268)=0),"Unsupported reason",IF(OR(INT($E1268)&lt;&gt;$E1268,AND(OR($C1268="Receipt",$C1268="Shipment"),$E1268&lt;=0),AND($C1268="Adjustment",$E1268=0)),"Invalid qty",IF($B1268&gt;Config!$B$4,"Date after the as-of date",IF($B1268&lt;Config!$B$5,"Date before the opening balance date","OK")))))))))))))))))</f>
        <v/>
      </c>
    </row>
    <row r="1269">
      <c r="A1269" s="46" t="n"/>
      <c r="B1269" s="54" t="n"/>
      <c r="C1269" s="46" t="n"/>
      <c r="D1269" s="46" t="n"/>
      <c r="E1269" s="55" t="n"/>
      <c r="F1269" s="46" t="n"/>
      <c r="G1269" s="46" t="n"/>
      <c r="H1269" s="46" t="n"/>
      <c r="I1269" s="46" t="n"/>
      <c r="J1269" s="46" t="n"/>
      <c r="K1269" s="46" t="n"/>
      <c r="L1269" s="46" t="n"/>
      <c r="M1269" s="51" t="str">
        <f>IF(NOT(ISNUMBER($E1269)),"",IF($C1269="Receipt",$E1269,IF($C1269="Shipment",-$E1269,IF($C1269="Adjustment",$E1269,0))))</f>
        <v/>
      </c>
      <c r="N1269" s="49" t="str">
        <f>IF($D1269="","",IFERROR(INDEX(Products!$B$2:$B$101,MATCH($D1269,Products!$A$2:$A$101,0))&amp;"","(not found)"))</f>
        <v/>
      </c>
      <c r="O1269" s="49" t="str">
        <f>IF($F1269="","",IFERROR(INDEX(Batches!$B$2:$B$301,MATCH($F1269,Batches!$A$2:$A$301,0))&amp;"","(not found)"))</f>
        <v/>
      </c>
      <c r="P1269" s="49" t="str">
        <f>IF(COUNTA($A1269:$L1269)=0,"",IF($A1269="","Missing: entry ID",IF(COUNTIF($A$2:$A$2001,$A1269)&gt;1,"Duplicate entry ID",IF(NOT(ISNUMBER($B1269)),"Missing or invalid: date",IF($C1269="","Missing: type",IF($D1269="","Missing: SKU",IF(NOT(ISNUMBER($E1269)),"Missing: qty",IF($F1269="","Missing: lot",IF($I1269="","Missing: source link",IF(COUNTIF(Config!$A$15:$A$34,$C1269)=0,"Unsupported type",IF(COUNTIF(Products!$A$2:$A$101,$D1269)=0,"Unknown SKU",IF(COUNTIFS(Batches!$A$2:$A$301,$F1269,Batches!$B$2:$B$301,$D1269)=0,"Unknown lot for this SKU",IF(AND($C1269="Adjustment",$G1269=""),"Missing: reason",IF(AND($G1269&lt;&gt;"",COUNTIF(Config!$B$15:$B$34,$G1269)=0),"Unsupported reason",IF(OR(INT($E1269)&lt;&gt;$E1269,AND(OR($C1269="Receipt",$C1269="Shipment"),$E1269&lt;=0),AND($C1269="Adjustment",$E1269=0)),"Invalid qty",IF($B1269&gt;Config!$B$4,"Date after the as-of date",IF($B1269&lt;Config!$B$5,"Date before the opening balance date","OK")))))))))))))))))</f>
        <v/>
      </c>
    </row>
    <row r="1270">
      <c r="A1270" s="46" t="n"/>
      <c r="B1270" s="54" t="n"/>
      <c r="C1270" s="46" t="n"/>
      <c r="D1270" s="46" t="n"/>
      <c r="E1270" s="55" t="n"/>
      <c r="F1270" s="46" t="n"/>
      <c r="G1270" s="46" t="n"/>
      <c r="H1270" s="46" t="n"/>
      <c r="I1270" s="46" t="n"/>
      <c r="J1270" s="46" t="n"/>
      <c r="K1270" s="46" t="n"/>
      <c r="L1270" s="46" t="n"/>
      <c r="M1270" s="51" t="str">
        <f>IF(NOT(ISNUMBER($E1270)),"",IF($C1270="Receipt",$E1270,IF($C1270="Shipment",-$E1270,IF($C1270="Adjustment",$E1270,0))))</f>
        <v/>
      </c>
      <c r="N1270" s="49" t="str">
        <f>IF($D1270="","",IFERROR(INDEX(Products!$B$2:$B$101,MATCH($D1270,Products!$A$2:$A$101,0))&amp;"","(not found)"))</f>
        <v/>
      </c>
      <c r="O1270" s="49" t="str">
        <f>IF($F1270="","",IFERROR(INDEX(Batches!$B$2:$B$301,MATCH($F1270,Batches!$A$2:$A$301,0))&amp;"","(not found)"))</f>
        <v/>
      </c>
      <c r="P1270" s="49" t="str">
        <f>IF(COUNTA($A1270:$L1270)=0,"",IF($A1270="","Missing: entry ID",IF(COUNTIF($A$2:$A$2001,$A1270)&gt;1,"Duplicate entry ID",IF(NOT(ISNUMBER($B1270)),"Missing or invalid: date",IF($C1270="","Missing: type",IF($D1270="","Missing: SKU",IF(NOT(ISNUMBER($E1270)),"Missing: qty",IF($F1270="","Missing: lot",IF($I1270="","Missing: source link",IF(COUNTIF(Config!$A$15:$A$34,$C1270)=0,"Unsupported type",IF(COUNTIF(Products!$A$2:$A$101,$D1270)=0,"Unknown SKU",IF(COUNTIFS(Batches!$A$2:$A$301,$F1270,Batches!$B$2:$B$301,$D1270)=0,"Unknown lot for this SKU",IF(AND($C1270="Adjustment",$G1270=""),"Missing: reason",IF(AND($G1270&lt;&gt;"",COUNTIF(Config!$B$15:$B$34,$G1270)=0),"Unsupported reason",IF(OR(INT($E1270)&lt;&gt;$E1270,AND(OR($C1270="Receipt",$C1270="Shipment"),$E1270&lt;=0),AND($C1270="Adjustment",$E1270=0)),"Invalid qty",IF($B1270&gt;Config!$B$4,"Date after the as-of date",IF($B1270&lt;Config!$B$5,"Date before the opening balance date","OK")))))))))))))))))</f>
        <v/>
      </c>
    </row>
    <row r="1271">
      <c r="A1271" s="46" t="n"/>
      <c r="B1271" s="54" t="n"/>
      <c r="C1271" s="46" t="n"/>
      <c r="D1271" s="46" t="n"/>
      <c r="E1271" s="55" t="n"/>
      <c r="F1271" s="46" t="n"/>
      <c r="G1271" s="46" t="n"/>
      <c r="H1271" s="46" t="n"/>
      <c r="I1271" s="46" t="n"/>
      <c r="J1271" s="46" t="n"/>
      <c r="K1271" s="46" t="n"/>
      <c r="L1271" s="46" t="n"/>
      <c r="M1271" s="51" t="str">
        <f>IF(NOT(ISNUMBER($E1271)),"",IF($C1271="Receipt",$E1271,IF($C1271="Shipment",-$E1271,IF($C1271="Adjustment",$E1271,0))))</f>
        <v/>
      </c>
      <c r="N1271" s="49" t="str">
        <f>IF($D1271="","",IFERROR(INDEX(Products!$B$2:$B$101,MATCH($D1271,Products!$A$2:$A$101,0))&amp;"","(not found)"))</f>
        <v/>
      </c>
      <c r="O1271" s="49" t="str">
        <f>IF($F1271="","",IFERROR(INDEX(Batches!$B$2:$B$301,MATCH($F1271,Batches!$A$2:$A$301,0))&amp;"","(not found)"))</f>
        <v/>
      </c>
      <c r="P1271" s="49" t="str">
        <f>IF(COUNTA($A1271:$L1271)=0,"",IF($A1271="","Missing: entry ID",IF(COUNTIF($A$2:$A$2001,$A1271)&gt;1,"Duplicate entry ID",IF(NOT(ISNUMBER($B1271)),"Missing or invalid: date",IF($C1271="","Missing: type",IF($D1271="","Missing: SKU",IF(NOT(ISNUMBER($E1271)),"Missing: qty",IF($F1271="","Missing: lot",IF($I1271="","Missing: source link",IF(COUNTIF(Config!$A$15:$A$34,$C1271)=0,"Unsupported type",IF(COUNTIF(Products!$A$2:$A$101,$D1271)=0,"Unknown SKU",IF(COUNTIFS(Batches!$A$2:$A$301,$F1271,Batches!$B$2:$B$301,$D1271)=0,"Unknown lot for this SKU",IF(AND($C1271="Adjustment",$G1271=""),"Missing: reason",IF(AND($G1271&lt;&gt;"",COUNTIF(Config!$B$15:$B$34,$G1271)=0),"Unsupported reason",IF(OR(INT($E1271)&lt;&gt;$E1271,AND(OR($C1271="Receipt",$C1271="Shipment"),$E1271&lt;=0),AND($C1271="Adjustment",$E1271=0)),"Invalid qty",IF($B1271&gt;Config!$B$4,"Date after the as-of date",IF($B1271&lt;Config!$B$5,"Date before the opening balance date","OK")))))))))))))))))</f>
        <v/>
      </c>
    </row>
    <row r="1272">
      <c r="A1272" s="46" t="n"/>
      <c r="B1272" s="54" t="n"/>
      <c r="C1272" s="46" t="n"/>
      <c r="D1272" s="46" t="n"/>
      <c r="E1272" s="55" t="n"/>
      <c r="F1272" s="46" t="n"/>
      <c r="G1272" s="46" t="n"/>
      <c r="H1272" s="46" t="n"/>
      <c r="I1272" s="46" t="n"/>
      <c r="J1272" s="46" t="n"/>
      <c r="K1272" s="46" t="n"/>
      <c r="L1272" s="46" t="n"/>
      <c r="M1272" s="51" t="str">
        <f>IF(NOT(ISNUMBER($E1272)),"",IF($C1272="Receipt",$E1272,IF($C1272="Shipment",-$E1272,IF($C1272="Adjustment",$E1272,0))))</f>
        <v/>
      </c>
      <c r="N1272" s="49" t="str">
        <f>IF($D1272="","",IFERROR(INDEX(Products!$B$2:$B$101,MATCH($D1272,Products!$A$2:$A$101,0))&amp;"","(not found)"))</f>
        <v/>
      </c>
      <c r="O1272" s="49" t="str">
        <f>IF($F1272="","",IFERROR(INDEX(Batches!$B$2:$B$301,MATCH($F1272,Batches!$A$2:$A$301,0))&amp;"","(not found)"))</f>
        <v/>
      </c>
      <c r="P1272" s="49" t="str">
        <f>IF(COUNTA($A1272:$L1272)=0,"",IF($A1272="","Missing: entry ID",IF(COUNTIF($A$2:$A$2001,$A1272)&gt;1,"Duplicate entry ID",IF(NOT(ISNUMBER($B1272)),"Missing or invalid: date",IF($C1272="","Missing: type",IF($D1272="","Missing: SKU",IF(NOT(ISNUMBER($E1272)),"Missing: qty",IF($F1272="","Missing: lot",IF($I1272="","Missing: source link",IF(COUNTIF(Config!$A$15:$A$34,$C1272)=0,"Unsupported type",IF(COUNTIF(Products!$A$2:$A$101,$D1272)=0,"Unknown SKU",IF(COUNTIFS(Batches!$A$2:$A$301,$F1272,Batches!$B$2:$B$301,$D1272)=0,"Unknown lot for this SKU",IF(AND($C1272="Adjustment",$G1272=""),"Missing: reason",IF(AND($G1272&lt;&gt;"",COUNTIF(Config!$B$15:$B$34,$G1272)=0),"Unsupported reason",IF(OR(INT($E1272)&lt;&gt;$E1272,AND(OR($C1272="Receipt",$C1272="Shipment"),$E1272&lt;=0),AND($C1272="Adjustment",$E1272=0)),"Invalid qty",IF($B1272&gt;Config!$B$4,"Date after the as-of date",IF($B1272&lt;Config!$B$5,"Date before the opening balance date","OK")))))))))))))))))</f>
        <v/>
      </c>
    </row>
    <row r="1273">
      <c r="A1273" s="46" t="n"/>
      <c r="B1273" s="54" t="n"/>
      <c r="C1273" s="46" t="n"/>
      <c r="D1273" s="46" t="n"/>
      <c r="E1273" s="55" t="n"/>
      <c r="F1273" s="46" t="n"/>
      <c r="G1273" s="46" t="n"/>
      <c r="H1273" s="46" t="n"/>
      <c r="I1273" s="46" t="n"/>
      <c r="J1273" s="46" t="n"/>
      <c r="K1273" s="46" t="n"/>
      <c r="L1273" s="46" t="n"/>
      <c r="M1273" s="51" t="str">
        <f>IF(NOT(ISNUMBER($E1273)),"",IF($C1273="Receipt",$E1273,IF($C1273="Shipment",-$E1273,IF($C1273="Adjustment",$E1273,0))))</f>
        <v/>
      </c>
      <c r="N1273" s="49" t="str">
        <f>IF($D1273="","",IFERROR(INDEX(Products!$B$2:$B$101,MATCH($D1273,Products!$A$2:$A$101,0))&amp;"","(not found)"))</f>
        <v/>
      </c>
      <c r="O1273" s="49" t="str">
        <f>IF($F1273="","",IFERROR(INDEX(Batches!$B$2:$B$301,MATCH($F1273,Batches!$A$2:$A$301,0))&amp;"","(not found)"))</f>
        <v/>
      </c>
      <c r="P1273" s="49" t="str">
        <f>IF(COUNTA($A1273:$L1273)=0,"",IF($A1273="","Missing: entry ID",IF(COUNTIF($A$2:$A$2001,$A1273)&gt;1,"Duplicate entry ID",IF(NOT(ISNUMBER($B1273)),"Missing or invalid: date",IF($C1273="","Missing: type",IF($D1273="","Missing: SKU",IF(NOT(ISNUMBER($E1273)),"Missing: qty",IF($F1273="","Missing: lot",IF($I1273="","Missing: source link",IF(COUNTIF(Config!$A$15:$A$34,$C1273)=0,"Unsupported type",IF(COUNTIF(Products!$A$2:$A$101,$D1273)=0,"Unknown SKU",IF(COUNTIFS(Batches!$A$2:$A$301,$F1273,Batches!$B$2:$B$301,$D1273)=0,"Unknown lot for this SKU",IF(AND($C1273="Adjustment",$G1273=""),"Missing: reason",IF(AND($G1273&lt;&gt;"",COUNTIF(Config!$B$15:$B$34,$G1273)=0),"Unsupported reason",IF(OR(INT($E1273)&lt;&gt;$E1273,AND(OR($C1273="Receipt",$C1273="Shipment"),$E1273&lt;=0),AND($C1273="Adjustment",$E1273=0)),"Invalid qty",IF($B1273&gt;Config!$B$4,"Date after the as-of date",IF($B1273&lt;Config!$B$5,"Date before the opening balance date","OK")))))))))))))))))</f>
        <v/>
      </c>
    </row>
    <row r="1274">
      <c r="A1274" s="46" t="n"/>
      <c r="B1274" s="54" t="n"/>
      <c r="C1274" s="46" t="n"/>
      <c r="D1274" s="46" t="n"/>
      <c r="E1274" s="55" t="n"/>
      <c r="F1274" s="46" t="n"/>
      <c r="G1274" s="46" t="n"/>
      <c r="H1274" s="46" t="n"/>
      <c r="I1274" s="46" t="n"/>
      <c r="J1274" s="46" t="n"/>
      <c r="K1274" s="46" t="n"/>
      <c r="L1274" s="46" t="n"/>
      <c r="M1274" s="51" t="str">
        <f>IF(NOT(ISNUMBER($E1274)),"",IF($C1274="Receipt",$E1274,IF($C1274="Shipment",-$E1274,IF($C1274="Adjustment",$E1274,0))))</f>
        <v/>
      </c>
      <c r="N1274" s="49" t="str">
        <f>IF($D1274="","",IFERROR(INDEX(Products!$B$2:$B$101,MATCH($D1274,Products!$A$2:$A$101,0))&amp;"","(not found)"))</f>
        <v/>
      </c>
      <c r="O1274" s="49" t="str">
        <f>IF($F1274="","",IFERROR(INDEX(Batches!$B$2:$B$301,MATCH($F1274,Batches!$A$2:$A$301,0))&amp;"","(not found)"))</f>
        <v/>
      </c>
      <c r="P1274" s="49" t="str">
        <f>IF(COUNTA($A1274:$L1274)=0,"",IF($A1274="","Missing: entry ID",IF(COUNTIF($A$2:$A$2001,$A1274)&gt;1,"Duplicate entry ID",IF(NOT(ISNUMBER($B1274)),"Missing or invalid: date",IF($C1274="","Missing: type",IF($D1274="","Missing: SKU",IF(NOT(ISNUMBER($E1274)),"Missing: qty",IF($F1274="","Missing: lot",IF($I1274="","Missing: source link",IF(COUNTIF(Config!$A$15:$A$34,$C1274)=0,"Unsupported type",IF(COUNTIF(Products!$A$2:$A$101,$D1274)=0,"Unknown SKU",IF(COUNTIFS(Batches!$A$2:$A$301,$F1274,Batches!$B$2:$B$301,$D1274)=0,"Unknown lot for this SKU",IF(AND($C1274="Adjustment",$G1274=""),"Missing: reason",IF(AND($G1274&lt;&gt;"",COUNTIF(Config!$B$15:$B$34,$G1274)=0),"Unsupported reason",IF(OR(INT($E1274)&lt;&gt;$E1274,AND(OR($C1274="Receipt",$C1274="Shipment"),$E1274&lt;=0),AND($C1274="Adjustment",$E1274=0)),"Invalid qty",IF($B1274&gt;Config!$B$4,"Date after the as-of date",IF($B1274&lt;Config!$B$5,"Date before the opening balance date","OK")))))))))))))))))</f>
        <v/>
      </c>
    </row>
    <row r="1275">
      <c r="A1275" s="46" t="n"/>
      <c r="B1275" s="54" t="n"/>
      <c r="C1275" s="46" t="n"/>
      <c r="D1275" s="46" t="n"/>
      <c r="E1275" s="55" t="n"/>
      <c r="F1275" s="46" t="n"/>
      <c r="G1275" s="46" t="n"/>
      <c r="H1275" s="46" t="n"/>
      <c r="I1275" s="46" t="n"/>
      <c r="J1275" s="46" t="n"/>
      <c r="K1275" s="46" t="n"/>
      <c r="L1275" s="46" t="n"/>
      <c r="M1275" s="51" t="str">
        <f>IF(NOT(ISNUMBER($E1275)),"",IF($C1275="Receipt",$E1275,IF($C1275="Shipment",-$E1275,IF($C1275="Adjustment",$E1275,0))))</f>
        <v/>
      </c>
      <c r="N1275" s="49" t="str">
        <f>IF($D1275="","",IFERROR(INDEX(Products!$B$2:$B$101,MATCH($D1275,Products!$A$2:$A$101,0))&amp;"","(not found)"))</f>
        <v/>
      </c>
      <c r="O1275" s="49" t="str">
        <f>IF($F1275="","",IFERROR(INDEX(Batches!$B$2:$B$301,MATCH($F1275,Batches!$A$2:$A$301,0))&amp;"","(not found)"))</f>
        <v/>
      </c>
      <c r="P1275" s="49" t="str">
        <f>IF(COUNTA($A1275:$L1275)=0,"",IF($A1275="","Missing: entry ID",IF(COUNTIF($A$2:$A$2001,$A1275)&gt;1,"Duplicate entry ID",IF(NOT(ISNUMBER($B1275)),"Missing or invalid: date",IF($C1275="","Missing: type",IF($D1275="","Missing: SKU",IF(NOT(ISNUMBER($E1275)),"Missing: qty",IF($F1275="","Missing: lot",IF($I1275="","Missing: source link",IF(COUNTIF(Config!$A$15:$A$34,$C1275)=0,"Unsupported type",IF(COUNTIF(Products!$A$2:$A$101,$D1275)=0,"Unknown SKU",IF(COUNTIFS(Batches!$A$2:$A$301,$F1275,Batches!$B$2:$B$301,$D1275)=0,"Unknown lot for this SKU",IF(AND($C1275="Adjustment",$G1275=""),"Missing: reason",IF(AND($G1275&lt;&gt;"",COUNTIF(Config!$B$15:$B$34,$G1275)=0),"Unsupported reason",IF(OR(INT($E1275)&lt;&gt;$E1275,AND(OR($C1275="Receipt",$C1275="Shipment"),$E1275&lt;=0),AND($C1275="Adjustment",$E1275=0)),"Invalid qty",IF($B1275&gt;Config!$B$4,"Date after the as-of date",IF($B1275&lt;Config!$B$5,"Date before the opening balance date","OK")))))))))))))))))</f>
        <v/>
      </c>
    </row>
    <row r="1276">
      <c r="A1276" s="46" t="n"/>
      <c r="B1276" s="54" t="n"/>
      <c r="C1276" s="46" t="n"/>
      <c r="D1276" s="46" t="n"/>
      <c r="E1276" s="55" t="n"/>
      <c r="F1276" s="46" t="n"/>
      <c r="G1276" s="46" t="n"/>
      <c r="H1276" s="46" t="n"/>
      <c r="I1276" s="46" t="n"/>
      <c r="J1276" s="46" t="n"/>
      <c r="K1276" s="46" t="n"/>
      <c r="L1276" s="46" t="n"/>
      <c r="M1276" s="51" t="str">
        <f>IF(NOT(ISNUMBER($E1276)),"",IF($C1276="Receipt",$E1276,IF($C1276="Shipment",-$E1276,IF($C1276="Adjustment",$E1276,0))))</f>
        <v/>
      </c>
      <c r="N1276" s="49" t="str">
        <f>IF($D1276="","",IFERROR(INDEX(Products!$B$2:$B$101,MATCH($D1276,Products!$A$2:$A$101,0))&amp;"","(not found)"))</f>
        <v/>
      </c>
      <c r="O1276" s="49" t="str">
        <f>IF($F1276="","",IFERROR(INDEX(Batches!$B$2:$B$301,MATCH($F1276,Batches!$A$2:$A$301,0))&amp;"","(not found)"))</f>
        <v/>
      </c>
      <c r="P1276" s="49" t="str">
        <f>IF(COUNTA($A1276:$L1276)=0,"",IF($A1276="","Missing: entry ID",IF(COUNTIF($A$2:$A$2001,$A1276)&gt;1,"Duplicate entry ID",IF(NOT(ISNUMBER($B1276)),"Missing or invalid: date",IF($C1276="","Missing: type",IF($D1276="","Missing: SKU",IF(NOT(ISNUMBER($E1276)),"Missing: qty",IF($F1276="","Missing: lot",IF($I1276="","Missing: source link",IF(COUNTIF(Config!$A$15:$A$34,$C1276)=0,"Unsupported type",IF(COUNTIF(Products!$A$2:$A$101,$D1276)=0,"Unknown SKU",IF(COUNTIFS(Batches!$A$2:$A$301,$F1276,Batches!$B$2:$B$301,$D1276)=0,"Unknown lot for this SKU",IF(AND($C1276="Adjustment",$G1276=""),"Missing: reason",IF(AND($G1276&lt;&gt;"",COUNTIF(Config!$B$15:$B$34,$G1276)=0),"Unsupported reason",IF(OR(INT($E1276)&lt;&gt;$E1276,AND(OR($C1276="Receipt",$C1276="Shipment"),$E1276&lt;=0),AND($C1276="Adjustment",$E1276=0)),"Invalid qty",IF($B1276&gt;Config!$B$4,"Date after the as-of date",IF($B1276&lt;Config!$B$5,"Date before the opening balance date","OK")))))))))))))))))</f>
        <v/>
      </c>
    </row>
    <row r="1277">
      <c r="A1277" s="46" t="n"/>
      <c r="B1277" s="54" t="n"/>
      <c r="C1277" s="46" t="n"/>
      <c r="D1277" s="46" t="n"/>
      <c r="E1277" s="55" t="n"/>
      <c r="F1277" s="46" t="n"/>
      <c r="G1277" s="46" t="n"/>
      <c r="H1277" s="46" t="n"/>
      <c r="I1277" s="46" t="n"/>
      <c r="J1277" s="46" t="n"/>
      <c r="K1277" s="46" t="n"/>
      <c r="L1277" s="46" t="n"/>
      <c r="M1277" s="51" t="str">
        <f>IF(NOT(ISNUMBER($E1277)),"",IF($C1277="Receipt",$E1277,IF($C1277="Shipment",-$E1277,IF($C1277="Adjustment",$E1277,0))))</f>
        <v/>
      </c>
      <c r="N1277" s="49" t="str">
        <f>IF($D1277="","",IFERROR(INDEX(Products!$B$2:$B$101,MATCH($D1277,Products!$A$2:$A$101,0))&amp;"","(not found)"))</f>
        <v/>
      </c>
      <c r="O1277" s="49" t="str">
        <f>IF($F1277="","",IFERROR(INDEX(Batches!$B$2:$B$301,MATCH($F1277,Batches!$A$2:$A$301,0))&amp;"","(not found)"))</f>
        <v/>
      </c>
      <c r="P1277" s="49" t="str">
        <f>IF(COUNTA($A1277:$L1277)=0,"",IF($A1277="","Missing: entry ID",IF(COUNTIF($A$2:$A$2001,$A1277)&gt;1,"Duplicate entry ID",IF(NOT(ISNUMBER($B1277)),"Missing or invalid: date",IF($C1277="","Missing: type",IF($D1277="","Missing: SKU",IF(NOT(ISNUMBER($E1277)),"Missing: qty",IF($F1277="","Missing: lot",IF($I1277="","Missing: source link",IF(COUNTIF(Config!$A$15:$A$34,$C1277)=0,"Unsupported type",IF(COUNTIF(Products!$A$2:$A$101,$D1277)=0,"Unknown SKU",IF(COUNTIFS(Batches!$A$2:$A$301,$F1277,Batches!$B$2:$B$301,$D1277)=0,"Unknown lot for this SKU",IF(AND($C1277="Adjustment",$G1277=""),"Missing: reason",IF(AND($G1277&lt;&gt;"",COUNTIF(Config!$B$15:$B$34,$G1277)=0),"Unsupported reason",IF(OR(INT($E1277)&lt;&gt;$E1277,AND(OR($C1277="Receipt",$C1277="Shipment"),$E1277&lt;=0),AND($C1277="Adjustment",$E1277=0)),"Invalid qty",IF($B1277&gt;Config!$B$4,"Date after the as-of date",IF($B1277&lt;Config!$B$5,"Date before the opening balance date","OK")))))))))))))))))</f>
        <v/>
      </c>
    </row>
    <row r="1278">
      <c r="A1278" s="46" t="n"/>
      <c r="B1278" s="54" t="n"/>
      <c r="C1278" s="46" t="n"/>
      <c r="D1278" s="46" t="n"/>
      <c r="E1278" s="55" t="n"/>
      <c r="F1278" s="46" t="n"/>
      <c r="G1278" s="46" t="n"/>
      <c r="H1278" s="46" t="n"/>
      <c r="I1278" s="46" t="n"/>
      <c r="J1278" s="46" t="n"/>
      <c r="K1278" s="46" t="n"/>
      <c r="L1278" s="46" t="n"/>
      <c r="M1278" s="51" t="str">
        <f>IF(NOT(ISNUMBER($E1278)),"",IF($C1278="Receipt",$E1278,IF($C1278="Shipment",-$E1278,IF($C1278="Adjustment",$E1278,0))))</f>
        <v/>
      </c>
      <c r="N1278" s="49" t="str">
        <f>IF($D1278="","",IFERROR(INDEX(Products!$B$2:$B$101,MATCH($D1278,Products!$A$2:$A$101,0))&amp;"","(not found)"))</f>
        <v/>
      </c>
      <c r="O1278" s="49" t="str">
        <f>IF($F1278="","",IFERROR(INDEX(Batches!$B$2:$B$301,MATCH($F1278,Batches!$A$2:$A$301,0))&amp;"","(not found)"))</f>
        <v/>
      </c>
      <c r="P1278" s="49" t="str">
        <f>IF(COUNTA($A1278:$L1278)=0,"",IF($A1278="","Missing: entry ID",IF(COUNTIF($A$2:$A$2001,$A1278)&gt;1,"Duplicate entry ID",IF(NOT(ISNUMBER($B1278)),"Missing or invalid: date",IF($C1278="","Missing: type",IF($D1278="","Missing: SKU",IF(NOT(ISNUMBER($E1278)),"Missing: qty",IF($F1278="","Missing: lot",IF($I1278="","Missing: source link",IF(COUNTIF(Config!$A$15:$A$34,$C1278)=0,"Unsupported type",IF(COUNTIF(Products!$A$2:$A$101,$D1278)=0,"Unknown SKU",IF(COUNTIFS(Batches!$A$2:$A$301,$F1278,Batches!$B$2:$B$301,$D1278)=0,"Unknown lot for this SKU",IF(AND($C1278="Adjustment",$G1278=""),"Missing: reason",IF(AND($G1278&lt;&gt;"",COUNTIF(Config!$B$15:$B$34,$G1278)=0),"Unsupported reason",IF(OR(INT($E1278)&lt;&gt;$E1278,AND(OR($C1278="Receipt",$C1278="Shipment"),$E1278&lt;=0),AND($C1278="Adjustment",$E1278=0)),"Invalid qty",IF($B1278&gt;Config!$B$4,"Date after the as-of date",IF($B1278&lt;Config!$B$5,"Date before the opening balance date","OK")))))))))))))))))</f>
        <v/>
      </c>
    </row>
    <row r="1279">
      <c r="A1279" s="46" t="n"/>
      <c r="B1279" s="54" t="n"/>
      <c r="C1279" s="46" t="n"/>
      <c r="D1279" s="46" t="n"/>
      <c r="E1279" s="55" t="n"/>
      <c r="F1279" s="46" t="n"/>
      <c r="G1279" s="46" t="n"/>
      <c r="H1279" s="46" t="n"/>
      <c r="I1279" s="46" t="n"/>
      <c r="J1279" s="46" t="n"/>
      <c r="K1279" s="46" t="n"/>
      <c r="L1279" s="46" t="n"/>
      <c r="M1279" s="51" t="str">
        <f>IF(NOT(ISNUMBER($E1279)),"",IF($C1279="Receipt",$E1279,IF($C1279="Shipment",-$E1279,IF($C1279="Adjustment",$E1279,0))))</f>
        <v/>
      </c>
      <c r="N1279" s="49" t="str">
        <f>IF($D1279="","",IFERROR(INDEX(Products!$B$2:$B$101,MATCH($D1279,Products!$A$2:$A$101,0))&amp;"","(not found)"))</f>
        <v/>
      </c>
      <c r="O1279" s="49" t="str">
        <f>IF($F1279="","",IFERROR(INDEX(Batches!$B$2:$B$301,MATCH($F1279,Batches!$A$2:$A$301,0))&amp;"","(not found)"))</f>
        <v/>
      </c>
      <c r="P1279" s="49" t="str">
        <f>IF(COUNTA($A1279:$L1279)=0,"",IF($A1279="","Missing: entry ID",IF(COUNTIF($A$2:$A$2001,$A1279)&gt;1,"Duplicate entry ID",IF(NOT(ISNUMBER($B1279)),"Missing or invalid: date",IF($C1279="","Missing: type",IF($D1279="","Missing: SKU",IF(NOT(ISNUMBER($E1279)),"Missing: qty",IF($F1279="","Missing: lot",IF($I1279="","Missing: source link",IF(COUNTIF(Config!$A$15:$A$34,$C1279)=0,"Unsupported type",IF(COUNTIF(Products!$A$2:$A$101,$D1279)=0,"Unknown SKU",IF(COUNTIFS(Batches!$A$2:$A$301,$F1279,Batches!$B$2:$B$301,$D1279)=0,"Unknown lot for this SKU",IF(AND($C1279="Adjustment",$G1279=""),"Missing: reason",IF(AND($G1279&lt;&gt;"",COUNTIF(Config!$B$15:$B$34,$G1279)=0),"Unsupported reason",IF(OR(INT($E1279)&lt;&gt;$E1279,AND(OR($C1279="Receipt",$C1279="Shipment"),$E1279&lt;=0),AND($C1279="Adjustment",$E1279=0)),"Invalid qty",IF($B1279&gt;Config!$B$4,"Date after the as-of date",IF($B1279&lt;Config!$B$5,"Date before the opening balance date","OK")))))))))))))))))</f>
        <v/>
      </c>
    </row>
    <row r="1280">
      <c r="A1280" s="46" t="n"/>
      <c r="B1280" s="54" t="n"/>
      <c r="C1280" s="46" t="n"/>
      <c r="D1280" s="46" t="n"/>
      <c r="E1280" s="55" t="n"/>
      <c r="F1280" s="46" t="n"/>
      <c r="G1280" s="46" t="n"/>
      <c r="H1280" s="46" t="n"/>
      <c r="I1280" s="46" t="n"/>
      <c r="J1280" s="46" t="n"/>
      <c r="K1280" s="46" t="n"/>
      <c r="L1280" s="46" t="n"/>
      <c r="M1280" s="51" t="str">
        <f>IF(NOT(ISNUMBER($E1280)),"",IF($C1280="Receipt",$E1280,IF($C1280="Shipment",-$E1280,IF($C1280="Adjustment",$E1280,0))))</f>
        <v/>
      </c>
      <c r="N1280" s="49" t="str">
        <f>IF($D1280="","",IFERROR(INDEX(Products!$B$2:$B$101,MATCH($D1280,Products!$A$2:$A$101,0))&amp;"","(not found)"))</f>
        <v/>
      </c>
      <c r="O1280" s="49" t="str">
        <f>IF($F1280="","",IFERROR(INDEX(Batches!$B$2:$B$301,MATCH($F1280,Batches!$A$2:$A$301,0))&amp;"","(not found)"))</f>
        <v/>
      </c>
      <c r="P1280" s="49" t="str">
        <f>IF(COUNTA($A1280:$L1280)=0,"",IF($A1280="","Missing: entry ID",IF(COUNTIF($A$2:$A$2001,$A1280)&gt;1,"Duplicate entry ID",IF(NOT(ISNUMBER($B1280)),"Missing or invalid: date",IF($C1280="","Missing: type",IF($D1280="","Missing: SKU",IF(NOT(ISNUMBER($E1280)),"Missing: qty",IF($F1280="","Missing: lot",IF($I1280="","Missing: source link",IF(COUNTIF(Config!$A$15:$A$34,$C1280)=0,"Unsupported type",IF(COUNTIF(Products!$A$2:$A$101,$D1280)=0,"Unknown SKU",IF(COUNTIFS(Batches!$A$2:$A$301,$F1280,Batches!$B$2:$B$301,$D1280)=0,"Unknown lot for this SKU",IF(AND($C1280="Adjustment",$G1280=""),"Missing: reason",IF(AND($G1280&lt;&gt;"",COUNTIF(Config!$B$15:$B$34,$G1280)=0),"Unsupported reason",IF(OR(INT($E1280)&lt;&gt;$E1280,AND(OR($C1280="Receipt",$C1280="Shipment"),$E1280&lt;=0),AND($C1280="Adjustment",$E1280=0)),"Invalid qty",IF($B1280&gt;Config!$B$4,"Date after the as-of date",IF($B1280&lt;Config!$B$5,"Date before the opening balance date","OK")))))))))))))))))</f>
        <v/>
      </c>
    </row>
    <row r="1281">
      <c r="A1281" s="46" t="n"/>
      <c r="B1281" s="54" t="n"/>
      <c r="C1281" s="46" t="n"/>
      <c r="D1281" s="46" t="n"/>
      <c r="E1281" s="55" t="n"/>
      <c r="F1281" s="46" t="n"/>
      <c r="G1281" s="46" t="n"/>
      <c r="H1281" s="46" t="n"/>
      <c r="I1281" s="46" t="n"/>
      <c r="J1281" s="46" t="n"/>
      <c r="K1281" s="46" t="n"/>
      <c r="L1281" s="46" t="n"/>
      <c r="M1281" s="51" t="str">
        <f>IF(NOT(ISNUMBER($E1281)),"",IF($C1281="Receipt",$E1281,IF($C1281="Shipment",-$E1281,IF($C1281="Adjustment",$E1281,0))))</f>
        <v/>
      </c>
      <c r="N1281" s="49" t="str">
        <f>IF($D1281="","",IFERROR(INDEX(Products!$B$2:$B$101,MATCH($D1281,Products!$A$2:$A$101,0))&amp;"","(not found)"))</f>
        <v/>
      </c>
      <c r="O1281" s="49" t="str">
        <f>IF($F1281="","",IFERROR(INDEX(Batches!$B$2:$B$301,MATCH($F1281,Batches!$A$2:$A$301,0))&amp;"","(not found)"))</f>
        <v/>
      </c>
      <c r="P1281" s="49" t="str">
        <f>IF(COUNTA($A1281:$L1281)=0,"",IF($A1281="","Missing: entry ID",IF(COUNTIF($A$2:$A$2001,$A1281)&gt;1,"Duplicate entry ID",IF(NOT(ISNUMBER($B1281)),"Missing or invalid: date",IF($C1281="","Missing: type",IF($D1281="","Missing: SKU",IF(NOT(ISNUMBER($E1281)),"Missing: qty",IF($F1281="","Missing: lot",IF($I1281="","Missing: source link",IF(COUNTIF(Config!$A$15:$A$34,$C1281)=0,"Unsupported type",IF(COUNTIF(Products!$A$2:$A$101,$D1281)=0,"Unknown SKU",IF(COUNTIFS(Batches!$A$2:$A$301,$F1281,Batches!$B$2:$B$301,$D1281)=0,"Unknown lot for this SKU",IF(AND($C1281="Adjustment",$G1281=""),"Missing: reason",IF(AND($G1281&lt;&gt;"",COUNTIF(Config!$B$15:$B$34,$G1281)=0),"Unsupported reason",IF(OR(INT($E1281)&lt;&gt;$E1281,AND(OR($C1281="Receipt",$C1281="Shipment"),$E1281&lt;=0),AND($C1281="Adjustment",$E1281=0)),"Invalid qty",IF($B1281&gt;Config!$B$4,"Date after the as-of date",IF($B1281&lt;Config!$B$5,"Date before the opening balance date","OK")))))))))))))))))</f>
        <v/>
      </c>
    </row>
    <row r="1282">
      <c r="A1282" s="46" t="n"/>
      <c r="B1282" s="54" t="n"/>
      <c r="C1282" s="46" t="n"/>
      <c r="D1282" s="46" t="n"/>
      <c r="E1282" s="55" t="n"/>
      <c r="F1282" s="46" t="n"/>
      <c r="G1282" s="46" t="n"/>
      <c r="H1282" s="46" t="n"/>
      <c r="I1282" s="46" t="n"/>
      <c r="J1282" s="46" t="n"/>
      <c r="K1282" s="46" t="n"/>
      <c r="L1282" s="46" t="n"/>
      <c r="M1282" s="51" t="str">
        <f>IF(NOT(ISNUMBER($E1282)),"",IF($C1282="Receipt",$E1282,IF($C1282="Shipment",-$E1282,IF($C1282="Adjustment",$E1282,0))))</f>
        <v/>
      </c>
      <c r="N1282" s="49" t="str">
        <f>IF($D1282="","",IFERROR(INDEX(Products!$B$2:$B$101,MATCH($D1282,Products!$A$2:$A$101,0))&amp;"","(not found)"))</f>
        <v/>
      </c>
      <c r="O1282" s="49" t="str">
        <f>IF($F1282="","",IFERROR(INDEX(Batches!$B$2:$B$301,MATCH($F1282,Batches!$A$2:$A$301,0))&amp;"","(not found)"))</f>
        <v/>
      </c>
      <c r="P1282" s="49" t="str">
        <f>IF(COUNTA($A1282:$L1282)=0,"",IF($A1282="","Missing: entry ID",IF(COUNTIF($A$2:$A$2001,$A1282)&gt;1,"Duplicate entry ID",IF(NOT(ISNUMBER($B1282)),"Missing or invalid: date",IF($C1282="","Missing: type",IF($D1282="","Missing: SKU",IF(NOT(ISNUMBER($E1282)),"Missing: qty",IF($F1282="","Missing: lot",IF($I1282="","Missing: source link",IF(COUNTIF(Config!$A$15:$A$34,$C1282)=0,"Unsupported type",IF(COUNTIF(Products!$A$2:$A$101,$D1282)=0,"Unknown SKU",IF(COUNTIFS(Batches!$A$2:$A$301,$F1282,Batches!$B$2:$B$301,$D1282)=0,"Unknown lot for this SKU",IF(AND($C1282="Adjustment",$G1282=""),"Missing: reason",IF(AND($G1282&lt;&gt;"",COUNTIF(Config!$B$15:$B$34,$G1282)=0),"Unsupported reason",IF(OR(INT($E1282)&lt;&gt;$E1282,AND(OR($C1282="Receipt",$C1282="Shipment"),$E1282&lt;=0),AND($C1282="Adjustment",$E1282=0)),"Invalid qty",IF($B1282&gt;Config!$B$4,"Date after the as-of date",IF($B1282&lt;Config!$B$5,"Date before the opening balance date","OK")))))))))))))))))</f>
        <v/>
      </c>
    </row>
    <row r="1283">
      <c r="A1283" s="46" t="n"/>
      <c r="B1283" s="54" t="n"/>
      <c r="C1283" s="46" t="n"/>
      <c r="D1283" s="46" t="n"/>
      <c r="E1283" s="55" t="n"/>
      <c r="F1283" s="46" t="n"/>
      <c r="G1283" s="46" t="n"/>
      <c r="H1283" s="46" t="n"/>
      <c r="I1283" s="46" t="n"/>
      <c r="J1283" s="46" t="n"/>
      <c r="K1283" s="46" t="n"/>
      <c r="L1283" s="46" t="n"/>
      <c r="M1283" s="51" t="str">
        <f>IF(NOT(ISNUMBER($E1283)),"",IF($C1283="Receipt",$E1283,IF($C1283="Shipment",-$E1283,IF($C1283="Adjustment",$E1283,0))))</f>
        <v/>
      </c>
      <c r="N1283" s="49" t="str">
        <f>IF($D1283="","",IFERROR(INDEX(Products!$B$2:$B$101,MATCH($D1283,Products!$A$2:$A$101,0))&amp;"","(not found)"))</f>
        <v/>
      </c>
      <c r="O1283" s="49" t="str">
        <f>IF($F1283="","",IFERROR(INDEX(Batches!$B$2:$B$301,MATCH($F1283,Batches!$A$2:$A$301,0))&amp;"","(not found)"))</f>
        <v/>
      </c>
      <c r="P1283" s="49" t="str">
        <f>IF(COUNTA($A1283:$L1283)=0,"",IF($A1283="","Missing: entry ID",IF(COUNTIF($A$2:$A$2001,$A1283)&gt;1,"Duplicate entry ID",IF(NOT(ISNUMBER($B1283)),"Missing or invalid: date",IF($C1283="","Missing: type",IF($D1283="","Missing: SKU",IF(NOT(ISNUMBER($E1283)),"Missing: qty",IF($F1283="","Missing: lot",IF($I1283="","Missing: source link",IF(COUNTIF(Config!$A$15:$A$34,$C1283)=0,"Unsupported type",IF(COUNTIF(Products!$A$2:$A$101,$D1283)=0,"Unknown SKU",IF(COUNTIFS(Batches!$A$2:$A$301,$F1283,Batches!$B$2:$B$301,$D1283)=0,"Unknown lot for this SKU",IF(AND($C1283="Adjustment",$G1283=""),"Missing: reason",IF(AND($G1283&lt;&gt;"",COUNTIF(Config!$B$15:$B$34,$G1283)=0),"Unsupported reason",IF(OR(INT($E1283)&lt;&gt;$E1283,AND(OR($C1283="Receipt",$C1283="Shipment"),$E1283&lt;=0),AND($C1283="Adjustment",$E1283=0)),"Invalid qty",IF($B1283&gt;Config!$B$4,"Date after the as-of date",IF($B1283&lt;Config!$B$5,"Date before the opening balance date","OK")))))))))))))))))</f>
        <v/>
      </c>
    </row>
    <row r="1284">
      <c r="A1284" s="46" t="n"/>
      <c r="B1284" s="54" t="n"/>
      <c r="C1284" s="46" t="n"/>
      <c r="D1284" s="46" t="n"/>
      <c r="E1284" s="55" t="n"/>
      <c r="F1284" s="46" t="n"/>
      <c r="G1284" s="46" t="n"/>
      <c r="H1284" s="46" t="n"/>
      <c r="I1284" s="46" t="n"/>
      <c r="J1284" s="46" t="n"/>
      <c r="K1284" s="46" t="n"/>
      <c r="L1284" s="46" t="n"/>
      <c r="M1284" s="51" t="str">
        <f>IF(NOT(ISNUMBER($E1284)),"",IF($C1284="Receipt",$E1284,IF($C1284="Shipment",-$E1284,IF($C1284="Adjustment",$E1284,0))))</f>
        <v/>
      </c>
      <c r="N1284" s="49" t="str">
        <f>IF($D1284="","",IFERROR(INDEX(Products!$B$2:$B$101,MATCH($D1284,Products!$A$2:$A$101,0))&amp;"","(not found)"))</f>
        <v/>
      </c>
      <c r="O1284" s="49" t="str">
        <f>IF($F1284="","",IFERROR(INDEX(Batches!$B$2:$B$301,MATCH($F1284,Batches!$A$2:$A$301,0))&amp;"","(not found)"))</f>
        <v/>
      </c>
      <c r="P1284" s="49" t="str">
        <f>IF(COUNTA($A1284:$L1284)=0,"",IF($A1284="","Missing: entry ID",IF(COUNTIF($A$2:$A$2001,$A1284)&gt;1,"Duplicate entry ID",IF(NOT(ISNUMBER($B1284)),"Missing or invalid: date",IF($C1284="","Missing: type",IF($D1284="","Missing: SKU",IF(NOT(ISNUMBER($E1284)),"Missing: qty",IF($F1284="","Missing: lot",IF($I1284="","Missing: source link",IF(COUNTIF(Config!$A$15:$A$34,$C1284)=0,"Unsupported type",IF(COUNTIF(Products!$A$2:$A$101,$D1284)=0,"Unknown SKU",IF(COUNTIFS(Batches!$A$2:$A$301,$F1284,Batches!$B$2:$B$301,$D1284)=0,"Unknown lot for this SKU",IF(AND($C1284="Adjustment",$G1284=""),"Missing: reason",IF(AND($G1284&lt;&gt;"",COUNTIF(Config!$B$15:$B$34,$G1284)=0),"Unsupported reason",IF(OR(INT($E1284)&lt;&gt;$E1284,AND(OR($C1284="Receipt",$C1284="Shipment"),$E1284&lt;=0),AND($C1284="Adjustment",$E1284=0)),"Invalid qty",IF($B1284&gt;Config!$B$4,"Date after the as-of date",IF($B1284&lt;Config!$B$5,"Date before the opening balance date","OK")))))))))))))))))</f>
        <v/>
      </c>
    </row>
    <row r="1285">
      <c r="A1285" s="46" t="n"/>
      <c r="B1285" s="54" t="n"/>
      <c r="C1285" s="46" t="n"/>
      <c r="D1285" s="46" t="n"/>
      <c r="E1285" s="55" t="n"/>
      <c r="F1285" s="46" t="n"/>
      <c r="G1285" s="46" t="n"/>
      <c r="H1285" s="46" t="n"/>
      <c r="I1285" s="46" t="n"/>
      <c r="J1285" s="46" t="n"/>
      <c r="K1285" s="46" t="n"/>
      <c r="L1285" s="46" t="n"/>
      <c r="M1285" s="51" t="str">
        <f>IF(NOT(ISNUMBER($E1285)),"",IF($C1285="Receipt",$E1285,IF($C1285="Shipment",-$E1285,IF($C1285="Adjustment",$E1285,0))))</f>
        <v/>
      </c>
      <c r="N1285" s="49" t="str">
        <f>IF($D1285="","",IFERROR(INDEX(Products!$B$2:$B$101,MATCH($D1285,Products!$A$2:$A$101,0))&amp;"","(not found)"))</f>
        <v/>
      </c>
      <c r="O1285" s="49" t="str">
        <f>IF($F1285="","",IFERROR(INDEX(Batches!$B$2:$B$301,MATCH($F1285,Batches!$A$2:$A$301,0))&amp;"","(not found)"))</f>
        <v/>
      </c>
      <c r="P1285" s="49" t="str">
        <f>IF(COUNTA($A1285:$L1285)=0,"",IF($A1285="","Missing: entry ID",IF(COUNTIF($A$2:$A$2001,$A1285)&gt;1,"Duplicate entry ID",IF(NOT(ISNUMBER($B1285)),"Missing or invalid: date",IF($C1285="","Missing: type",IF($D1285="","Missing: SKU",IF(NOT(ISNUMBER($E1285)),"Missing: qty",IF($F1285="","Missing: lot",IF($I1285="","Missing: source link",IF(COUNTIF(Config!$A$15:$A$34,$C1285)=0,"Unsupported type",IF(COUNTIF(Products!$A$2:$A$101,$D1285)=0,"Unknown SKU",IF(COUNTIFS(Batches!$A$2:$A$301,$F1285,Batches!$B$2:$B$301,$D1285)=0,"Unknown lot for this SKU",IF(AND($C1285="Adjustment",$G1285=""),"Missing: reason",IF(AND($G1285&lt;&gt;"",COUNTIF(Config!$B$15:$B$34,$G1285)=0),"Unsupported reason",IF(OR(INT($E1285)&lt;&gt;$E1285,AND(OR($C1285="Receipt",$C1285="Shipment"),$E1285&lt;=0),AND($C1285="Adjustment",$E1285=0)),"Invalid qty",IF($B1285&gt;Config!$B$4,"Date after the as-of date",IF($B1285&lt;Config!$B$5,"Date before the opening balance date","OK")))))))))))))))))</f>
        <v/>
      </c>
    </row>
    <row r="1286">
      <c r="A1286" s="46" t="n"/>
      <c r="B1286" s="54" t="n"/>
      <c r="C1286" s="46" t="n"/>
      <c r="D1286" s="46" t="n"/>
      <c r="E1286" s="55" t="n"/>
      <c r="F1286" s="46" t="n"/>
      <c r="G1286" s="46" t="n"/>
      <c r="H1286" s="46" t="n"/>
      <c r="I1286" s="46" t="n"/>
      <c r="J1286" s="46" t="n"/>
      <c r="K1286" s="46" t="n"/>
      <c r="L1286" s="46" t="n"/>
      <c r="M1286" s="51" t="str">
        <f>IF(NOT(ISNUMBER($E1286)),"",IF($C1286="Receipt",$E1286,IF($C1286="Shipment",-$E1286,IF($C1286="Adjustment",$E1286,0))))</f>
        <v/>
      </c>
      <c r="N1286" s="49" t="str">
        <f>IF($D1286="","",IFERROR(INDEX(Products!$B$2:$B$101,MATCH($D1286,Products!$A$2:$A$101,0))&amp;"","(not found)"))</f>
        <v/>
      </c>
      <c r="O1286" s="49" t="str">
        <f>IF($F1286="","",IFERROR(INDEX(Batches!$B$2:$B$301,MATCH($F1286,Batches!$A$2:$A$301,0))&amp;"","(not found)"))</f>
        <v/>
      </c>
      <c r="P1286" s="49" t="str">
        <f>IF(COUNTA($A1286:$L1286)=0,"",IF($A1286="","Missing: entry ID",IF(COUNTIF($A$2:$A$2001,$A1286)&gt;1,"Duplicate entry ID",IF(NOT(ISNUMBER($B1286)),"Missing or invalid: date",IF($C1286="","Missing: type",IF($D1286="","Missing: SKU",IF(NOT(ISNUMBER($E1286)),"Missing: qty",IF($F1286="","Missing: lot",IF($I1286="","Missing: source link",IF(COUNTIF(Config!$A$15:$A$34,$C1286)=0,"Unsupported type",IF(COUNTIF(Products!$A$2:$A$101,$D1286)=0,"Unknown SKU",IF(COUNTIFS(Batches!$A$2:$A$301,$F1286,Batches!$B$2:$B$301,$D1286)=0,"Unknown lot for this SKU",IF(AND($C1286="Adjustment",$G1286=""),"Missing: reason",IF(AND($G1286&lt;&gt;"",COUNTIF(Config!$B$15:$B$34,$G1286)=0),"Unsupported reason",IF(OR(INT($E1286)&lt;&gt;$E1286,AND(OR($C1286="Receipt",$C1286="Shipment"),$E1286&lt;=0),AND($C1286="Adjustment",$E1286=0)),"Invalid qty",IF($B1286&gt;Config!$B$4,"Date after the as-of date",IF($B1286&lt;Config!$B$5,"Date before the opening balance date","OK")))))))))))))))))</f>
        <v/>
      </c>
    </row>
    <row r="1287">
      <c r="A1287" s="46" t="n"/>
      <c r="B1287" s="54" t="n"/>
      <c r="C1287" s="46" t="n"/>
      <c r="D1287" s="46" t="n"/>
      <c r="E1287" s="55" t="n"/>
      <c r="F1287" s="46" t="n"/>
      <c r="G1287" s="46" t="n"/>
      <c r="H1287" s="46" t="n"/>
      <c r="I1287" s="46" t="n"/>
      <c r="J1287" s="46" t="n"/>
      <c r="K1287" s="46" t="n"/>
      <c r="L1287" s="46" t="n"/>
      <c r="M1287" s="51" t="str">
        <f>IF(NOT(ISNUMBER($E1287)),"",IF($C1287="Receipt",$E1287,IF($C1287="Shipment",-$E1287,IF($C1287="Adjustment",$E1287,0))))</f>
        <v/>
      </c>
      <c r="N1287" s="49" t="str">
        <f>IF($D1287="","",IFERROR(INDEX(Products!$B$2:$B$101,MATCH($D1287,Products!$A$2:$A$101,0))&amp;"","(not found)"))</f>
        <v/>
      </c>
      <c r="O1287" s="49" t="str">
        <f>IF($F1287="","",IFERROR(INDEX(Batches!$B$2:$B$301,MATCH($F1287,Batches!$A$2:$A$301,0))&amp;"","(not found)"))</f>
        <v/>
      </c>
      <c r="P1287" s="49" t="str">
        <f>IF(COUNTA($A1287:$L1287)=0,"",IF($A1287="","Missing: entry ID",IF(COUNTIF($A$2:$A$2001,$A1287)&gt;1,"Duplicate entry ID",IF(NOT(ISNUMBER($B1287)),"Missing or invalid: date",IF($C1287="","Missing: type",IF($D1287="","Missing: SKU",IF(NOT(ISNUMBER($E1287)),"Missing: qty",IF($F1287="","Missing: lot",IF($I1287="","Missing: source link",IF(COUNTIF(Config!$A$15:$A$34,$C1287)=0,"Unsupported type",IF(COUNTIF(Products!$A$2:$A$101,$D1287)=0,"Unknown SKU",IF(COUNTIFS(Batches!$A$2:$A$301,$F1287,Batches!$B$2:$B$301,$D1287)=0,"Unknown lot for this SKU",IF(AND($C1287="Adjustment",$G1287=""),"Missing: reason",IF(AND($G1287&lt;&gt;"",COUNTIF(Config!$B$15:$B$34,$G1287)=0),"Unsupported reason",IF(OR(INT($E1287)&lt;&gt;$E1287,AND(OR($C1287="Receipt",$C1287="Shipment"),$E1287&lt;=0),AND($C1287="Adjustment",$E1287=0)),"Invalid qty",IF($B1287&gt;Config!$B$4,"Date after the as-of date",IF($B1287&lt;Config!$B$5,"Date before the opening balance date","OK")))))))))))))))))</f>
        <v/>
      </c>
    </row>
    <row r="1288">
      <c r="A1288" s="46" t="n"/>
      <c r="B1288" s="54" t="n"/>
      <c r="C1288" s="46" t="n"/>
      <c r="D1288" s="46" t="n"/>
      <c r="E1288" s="55" t="n"/>
      <c r="F1288" s="46" t="n"/>
      <c r="G1288" s="46" t="n"/>
      <c r="H1288" s="46" t="n"/>
      <c r="I1288" s="46" t="n"/>
      <c r="J1288" s="46" t="n"/>
      <c r="K1288" s="46" t="n"/>
      <c r="L1288" s="46" t="n"/>
      <c r="M1288" s="51" t="str">
        <f>IF(NOT(ISNUMBER($E1288)),"",IF($C1288="Receipt",$E1288,IF($C1288="Shipment",-$E1288,IF($C1288="Adjustment",$E1288,0))))</f>
        <v/>
      </c>
      <c r="N1288" s="49" t="str">
        <f>IF($D1288="","",IFERROR(INDEX(Products!$B$2:$B$101,MATCH($D1288,Products!$A$2:$A$101,0))&amp;"","(not found)"))</f>
        <v/>
      </c>
      <c r="O1288" s="49" t="str">
        <f>IF($F1288="","",IFERROR(INDEX(Batches!$B$2:$B$301,MATCH($F1288,Batches!$A$2:$A$301,0))&amp;"","(not found)"))</f>
        <v/>
      </c>
      <c r="P1288" s="49" t="str">
        <f>IF(COUNTA($A1288:$L1288)=0,"",IF($A1288="","Missing: entry ID",IF(COUNTIF($A$2:$A$2001,$A1288)&gt;1,"Duplicate entry ID",IF(NOT(ISNUMBER($B1288)),"Missing or invalid: date",IF($C1288="","Missing: type",IF($D1288="","Missing: SKU",IF(NOT(ISNUMBER($E1288)),"Missing: qty",IF($F1288="","Missing: lot",IF($I1288="","Missing: source link",IF(COUNTIF(Config!$A$15:$A$34,$C1288)=0,"Unsupported type",IF(COUNTIF(Products!$A$2:$A$101,$D1288)=0,"Unknown SKU",IF(COUNTIFS(Batches!$A$2:$A$301,$F1288,Batches!$B$2:$B$301,$D1288)=0,"Unknown lot for this SKU",IF(AND($C1288="Adjustment",$G1288=""),"Missing: reason",IF(AND($G1288&lt;&gt;"",COUNTIF(Config!$B$15:$B$34,$G1288)=0),"Unsupported reason",IF(OR(INT($E1288)&lt;&gt;$E1288,AND(OR($C1288="Receipt",$C1288="Shipment"),$E1288&lt;=0),AND($C1288="Adjustment",$E1288=0)),"Invalid qty",IF($B1288&gt;Config!$B$4,"Date after the as-of date",IF($B1288&lt;Config!$B$5,"Date before the opening balance date","OK")))))))))))))))))</f>
        <v/>
      </c>
    </row>
    <row r="1289">
      <c r="A1289" s="46" t="n"/>
      <c r="B1289" s="54" t="n"/>
      <c r="C1289" s="46" t="n"/>
      <c r="D1289" s="46" t="n"/>
      <c r="E1289" s="55" t="n"/>
      <c r="F1289" s="46" t="n"/>
      <c r="G1289" s="46" t="n"/>
      <c r="H1289" s="46" t="n"/>
      <c r="I1289" s="46" t="n"/>
      <c r="J1289" s="46" t="n"/>
      <c r="K1289" s="46" t="n"/>
      <c r="L1289" s="46" t="n"/>
      <c r="M1289" s="51" t="str">
        <f>IF(NOT(ISNUMBER($E1289)),"",IF($C1289="Receipt",$E1289,IF($C1289="Shipment",-$E1289,IF($C1289="Adjustment",$E1289,0))))</f>
        <v/>
      </c>
      <c r="N1289" s="49" t="str">
        <f>IF($D1289="","",IFERROR(INDEX(Products!$B$2:$B$101,MATCH($D1289,Products!$A$2:$A$101,0))&amp;"","(not found)"))</f>
        <v/>
      </c>
      <c r="O1289" s="49" t="str">
        <f>IF($F1289="","",IFERROR(INDEX(Batches!$B$2:$B$301,MATCH($F1289,Batches!$A$2:$A$301,0))&amp;"","(not found)"))</f>
        <v/>
      </c>
      <c r="P1289" s="49" t="str">
        <f>IF(COUNTA($A1289:$L1289)=0,"",IF($A1289="","Missing: entry ID",IF(COUNTIF($A$2:$A$2001,$A1289)&gt;1,"Duplicate entry ID",IF(NOT(ISNUMBER($B1289)),"Missing or invalid: date",IF($C1289="","Missing: type",IF($D1289="","Missing: SKU",IF(NOT(ISNUMBER($E1289)),"Missing: qty",IF($F1289="","Missing: lot",IF($I1289="","Missing: source link",IF(COUNTIF(Config!$A$15:$A$34,$C1289)=0,"Unsupported type",IF(COUNTIF(Products!$A$2:$A$101,$D1289)=0,"Unknown SKU",IF(COUNTIFS(Batches!$A$2:$A$301,$F1289,Batches!$B$2:$B$301,$D1289)=0,"Unknown lot for this SKU",IF(AND($C1289="Adjustment",$G1289=""),"Missing: reason",IF(AND($G1289&lt;&gt;"",COUNTIF(Config!$B$15:$B$34,$G1289)=0),"Unsupported reason",IF(OR(INT($E1289)&lt;&gt;$E1289,AND(OR($C1289="Receipt",$C1289="Shipment"),$E1289&lt;=0),AND($C1289="Adjustment",$E1289=0)),"Invalid qty",IF($B1289&gt;Config!$B$4,"Date after the as-of date",IF($B1289&lt;Config!$B$5,"Date before the opening balance date","OK")))))))))))))))))</f>
        <v/>
      </c>
    </row>
    <row r="1290">
      <c r="A1290" s="46" t="n"/>
      <c r="B1290" s="54" t="n"/>
      <c r="C1290" s="46" t="n"/>
      <c r="D1290" s="46" t="n"/>
      <c r="E1290" s="55" t="n"/>
      <c r="F1290" s="46" t="n"/>
      <c r="G1290" s="46" t="n"/>
      <c r="H1290" s="46" t="n"/>
      <c r="I1290" s="46" t="n"/>
      <c r="J1290" s="46" t="n"/>
      <c r="K1290" s="46" t="n"/>
      <c r="L1290" s="46" t="n"/>
      <c r="M1290" s="51" t="str">
        <f>IF(NOT(ISNUMBER($E1290)),"",IF($C1290="Receipt",$E1290,IF($C1290="Shipment",-$E1290,IF($C1290="Adjustment",$E1290,0))))</f>
        <v/>
      </c>
      <c r="N1290" s="49" t="str">
        <f>IF($D1290="","",IFERROR(INDEX(Products!$B$2:$B$101,MATCH($D1290,Products!$A$2:$A$101,0))&amp;"","(not found)"))</f>
        <v/>
      </c>
      <c r="O1290" s="49" t="str">
        <f>IF($F1290="","",IFERROR(INDEX(Batches!$B$2:$B$301,MATCH($F1290,Batches!$A$2:$A$301,0))&amp;"","(not found)"))</f>
        <v/>
      </c>
      <c r="P1290" s="49" t="str">
        <f>IF(COUNTA($A1290:$L1290)=0,"",IF($A1290="","Missing: entry ID",IF(COUNTIF($A$2:$A$2001,$A1290)&gt;1,"Duplicate entry ID",IF(NOT(ISNUMBER($B1290)),"Missing or invalid: date",IF($C1290="","Missing: type",IF($D1290="","Missing: SKU",IF(NOT(ISNUMBER($E1290)),"Missing: qty",IF($F1290="","Missing: lot",IF($I1290="","Missing: source link",IF(COUNTIF(Config!$A$15:$A$34,$C1290)=0,"Unsupported type",IF(COUNTIF(Products!$A$2:$A$101,$D1290)=0,"Unknown SKU",IF(COUNTIFS(Batches!$A$2:$A$301,$F1290,Batches!$B$2:$B$301,$D1290)=0,"Unknown lot for this SKU",IF(AND($C1290="Adjustment",$G1290=""),"Missing: reason",IF(AND($G1290&lt;&gt;"",COUNTIF(Config!$B$15:$B$34,$G1290)=0),"Unsupported reason",IF(OR(INT($E1290)&lt;&gt;$E1290,AND(OR($C1290="Receipt",$C1290="Shipment"),$E1290&lt;=0),AND($C1290="Adjustment",$E1290=0)),"Invalid qty",IF($B1290&gt;Config!$B$4,"Date after the as-of date",IF($B1290&lt;Config!$B$5,"Date before the opening balance date","OK")))))))))))))))))</f>
        <v/>
      </c>
    </row>
    <row r="1291">
      <c r="A1291" s="46" t="n"/>
      <c r="B1291" s="54" t="n"/>
      <c r="C1291" s="46" t="n"/>
      <c r="D1291" s="46" t="n"/>
      <c r="E1291" s="55" t="n"/>
      <c r="F1291" s="46" t="n"/>
      <c r="G1291" s="46" t="n"/>
      <c r="H1291" s="46" t="n"/>
      <c r="I1291" s="46" t="n"/>
      <c r="J1291" s="46" t="n"/>
      <c r="K1291" s="46" t="n"/>
      <c r="L1291" s="46" t="n"/>
      <c r="M1291" s="51" t="str">
        <f>IF(NOT(ISNUMBER($E1291)),"",IF($C1291="Receipt",$E1291,IF($C1291="Shipment",-$E1291,IF($C1291="Adjustment",$E1291,0))))</f>
        <v/>
      </c>
      <c r="N1291" s="49" t="str">
        <f>IF($D1291="","",IFERROR(INDEX(Products!$B$2:$B$101,MATCH($D1291,Products!$A$2:$A$101,0))&amp;"","(not found)"))</f>
        <v/>
      </c>
      <c r="O1291" s="49" t="str">
        <f>IF($F1291="","",IFERROR(INDEX(Batches!$B$2:$B$301,MATCH($F1291,Batches!$A$2:$A$301,0))&amp;"","(not found)"))</f>
        <v/>
      </c>
      <c r="P1291" s="49" t="str">
        <f>IF(COUNTA($A1291:$L1291)=0,"",IF($A1291="","Missing: entry ID",IF(COUNTIF($A$2:$A$2001,$A1291)&gt;1,"Duplicate entry ID",IF(NOT(ISNUMBER($B1291)),"Missing or invalid: date",IF($C1291="","Missing: type",IF($D1291="","Missing: SKU",IF(NOT(ISNUMBER($E1291)),"Missing: qty",IF($F1291="","Missing: lot",IF($I1291="","Missing: source link",IF(COUNTIF(Config!$A$15:$A$34,$C1291)=0,"Unsupported type",IF(COUNTIF(Products!$A$2:$A$101,$D1291)=0,"Unknown SKU",IF(COUNTIFS(Batches!$A$2:$A$301,$F1291,Batches!$B$2:$B$301,$D1291)=0,"Unknown lot for this SKU",IF(AND($C1291="Adjustment",$G1291=""),"Missing: reason",IF(AND($G1291&lt;&gt;"",COUNTIF(Config!$B$15:$B$34,$G1291)=0),"Unsupported reason",IF(OR(INT($E1291)&lt;&gt;$E1291,AND(OR($C1291="Receipt",$C1291="Shipment"),$E1291&lt;=0),AND($C1291="Adjustment",$E1291=0)),"Invalid qty",IF($B1291&gt;Config!$B$4,"Date after the as-of date",IF($B1291&lt;Config!$B$5,"Date before the opening balance date","OK")))))))))))))))))</f>
        <v/>
      </c>
    </row>
    <row r="1292">
      <c r="A1292" s="46" t="n"/>
      <c r="B1292" s="54" t="n"/>
      <c r="C1292" s="46" t="n"/>
      <c r="D1292" s="46" t="n"/>
      <c r="E1292" s="55" t="n"/>
      <c r="F1292" s="46" t="n"/>
      <c r="G1292" s="46" t="n"/>
      <c r="H1292" s="46" t="n"/>
      <c r="I1292" s="46" t="n"/>
      <c r="J1292" s="46" t="n"/>
      <c r="K1292" s="46" t="n"/>
      <c r="L1292" s="46" t="n"/>
      <c r="M1292" s="51" t="str">
        <f>IF(NOT(ISNUMBER($E1292)),"",IF($C1292="Receipt",$E1292,IF($C1292="Shipment",-$E1292,IF($C1292="Adjustment",$E1292,0))))</f>
        <v/>
      </c>
      <c r="N1292" s="49" t="str">
        <f>IF($D1292="","",IFERROR(INDEX(Products!$B$2:$B$101,MATCH($D1292,Products!$A$2:$A$101,0))&amp;"","(not found)"))</f>
        <v/>
      </c>
      <c r="O1292" s="49" t="str">
        <f>IF($F1292="","",IFERROR(INDEX(Batches!$B$2:$B$301,MATCH($F1292,Batches!$A$2:$A$301,0))&amp;"","(not found)"))</f>
        <v/>
      </c>
      <c r="P1292" s="49" t="str">
        <f>IF(COUNTA($A1292:$L1292)=0,"",IF($A1292="","Missing: entry ID",IF(COUNTIF($A$2:$A$2001,$A1292)&gt;1,"Duplicate entry ID",IF(NOT(ISNUMBER($B1292)),"Missing or invalid: date",IF($C1292="","Missing: type",IF($D1292="","Missing: SKU",IF(NOT(ISNUMBER($E1292)),"Missing: qty",IF($F1292="","Missing: lot",IF($I1292="","Missing: source link",IF(COUNTIF(Config!$A$15:$A$34,$C1292)=0,"Unsupported type",IF(COUNTIF(Products!$A$2:$A$101,$D1292)=0,"Unknown SKU",IF(COUNTIFS(Batches!$A$2:$A$301,$F1292,Batches!$B$2:$B$301,$D1292)=0,"Unknown lot for this SKU",IF(AND($C1292="Adjustment",$G1292=""),"Missing: reason",IF(AND($G1292&lt;&gt;"",COUNTIF(Config!$B$15:$B$34,$G1292)=0),"Unsupported reason",IF(OR(INT($E1292)&lt;&gt;$E1292,AND(OR($C1292="Receipt",$C1292="Shipment"),$E1292&lt;=0),AND($C1292="Adjustment",$E1292=0)),"Invalid qty",IF($B1292&gt;Config!$B$4,"Date after the as-of date",IF($B1292&lt;Config!$B$5,"Date before the opening balance date","OK")))))))))))))))))</f>
        <v/>
      </c>
    </row>
    <row r="1293">
      <c r="A1293" s="46" t="n"/>
      <c r="B1293" s="54" t="n"/>
      <c r="C1293" s="46" t="n"/>
      <c r="D1293" s="46" t="n"/>
      <c r="E1293" s="55" t="n"/>
      <c r="F1293" s="46" t="n"/>
      <c r="G1293" s="46" t="n"/>
      <c r="H1293" s="46" t="n"/>
      <c r="I1293" s="46" t="n"/>
      <c r="J1293" s="46" t="n"/>
      <c r="K1293" s="46" t="n"/>
      <c r="L1293" s="46" t="n"/>
      <c r="M1293" s="51" t="str">
        <f>IF(NOT(ISNUMBER($E1293)),"",IF($C1293="Receipt",$E1293,IF($C1293="Shipment",-$E1293,IF($C1293="Adjustment",$E1293,0))))</f>
        <v/>
      </c>
      <c r="N1293" s="49" t="str">
        <f>IF($D1293="","",IFERROR(INDEX(Products!$B$2:$B$101,MATCH($D1293,Products!$A$2:$A$101,0))&amp;"","(not found)"))</f>
        <v/>
      </c>
      <c r="O1293" s="49" t="str">
        <f>IF($F1293="","",IFERROR(INDEX(Batches!$B$2:$B$301,MATCH($F1293,Batches!$A$2:$A$301,0))&amp;"","(not found)"))</f>
        <v/>
      </c>
      <c r="P1293" s="49" t="str">
        <f>IF(COUNTA($A1293:$L1293)=0,"",IF($A1293="","Missing: entry ID",IF(COUNTIF($A$2:$A$2001,$A1293)&gt;1,"Duplicate entry ID",IF(NOT(ISNUMBER($B1293)),"Missing or invalid: date",IF($C1293="","Missing: type",IF($D1293="","Missing: SKU",IF(NOT(ISNUMBER($E1293)),"Missing: qty",IF($F1293="","Missing: lot",IF($I1293="","Missing: source link",IF(COUNTIF(Config!$A$15:$A$34,$C1293)=0,"Unsupported type",IF(COUNTIF(Products!$A$2:$A$101,$D1293)=0,"Unknown SKU",IF(COUNTIFS(Batches!$A$2:$A$301,$F1293,Batches!$B$2:$B$301,$D1293)=0,"Unknown lot for this SKU",IF(AND($C1293="Adjustment",$G1293=""),"Missing: reason",IF(AND($G1293&lt;&gt;"",COUNTIF(Config!$B$15:$B$34,$G1293)=0),"Unsupported reason",IF(OR(INT($E1293)&lt;&gt;$E1293,AND(OR($C1293="Receipt",$C1293="Shipment"),$E1293&lt;=0),AND($C1293="Adjustment",$E1293=0)),"Invalid qty",IF($B1293&gt;Config!$B$4,"Date after the as-of date",IF($B1293&lt;Config!$B$5,"Date before the opening balance date","OK")))))))))))))))))</f>
        <v/>
      </c>
    </row>
    <row r="1294">
      <c r="A1294" s="46" t="n"/>
      <c r="B1294" s="54" t="n"/>
      <c r="C1294" s="46" t="n"/>
      <c r="D1294" s="46" t="n"/>
      <c r="E1294" s="55" t="n"/>
      <c r="F1294" s="46" t="n"/>
      <c r="G1294" s="46" t="n"/>
      <c r="H1294" s="46" t="n"/>
      <c r="I1294" s="46" t="n"/>
      <c r="J1294" s="46" t="n"/>
      <c r="K1294" s="46" t="n"/>
      <c r="L1294" s="46" t="n"/>
      <c r="M1294" s="51" t="str">
        <f>IF(NOT(ISNUMBER($E1294)),"",IF($C1294="Receipt",$E1294,IF($C1294="Shipment",-$E1294,IF($C1294="Adjustment",$E1294,0))))</f>
        <v/>
      </c>
      <c r="N1294" s="49" t="str">
        <f>IF($D1294="","",IFERROR(INDEX(Products!$B$2:$B$101,MATCH($D1294,Products!$A$2:$A$101,0))&amp;"","(not found)"))</f>
        <v/>
      </c>
      <c r="O1294" s="49" t="str">
        <f>IF($F1294="","",IFERROR(INDEX(Batches!$B$2:$B$301,MATCH($F1294,Batches!$A$2:$A$301,0))&amp;"","(not found)"))</f>
        <v/>
      </c>
      <c r="P1294" s="49" t="str">
        <f>IF(COUNTA($A1294:$L1294)=0,"",IF($A1294="","Missing: entry ID",IF(COUNTIF($A$2:$A$2001,$A1294)&gt;1,"Duplicate entry ID",IF(NOT(ISNUMBER($B1294)),"Missing or invalid: date",IF($C1294="","Missing: type",IF($D1294="","Missing: SKU",IF(NOT(ISNUMBER($E1294)),"Missing: qty",IF($F1294="","Missing: lot",IF($I1294="","Missing: source link",IF(COUNTIF(Config!$A$15:$A$34,$C1294)=0,"Unsupported type",IF(COUNTIF(Products!$A$2:$A$101,$D1294)=0,"Unknown SKU",IF(COUNTIFS(Batches!$A$2:$A$301,$F1294,Batches!$B$2:$B$301,$D1294)=0,"Unknown lot for this SKU",IF(AND($C1294="Adjustment",$G1294=""),"Missing: reason",IF(AND($G1294&lt;&gt;"",COUNTIF(Config!$B$15:$B$34,$G1294)=0),"Unsupported reason",IF(OR(INT($E1294)&lt;&gt;$E1294,AND(OR($C1294="Receipt",$C1294="Shipment"),$E1294&lt;=0),AND($C1294="Adjustment",$E1294=0)),"Invalid qty",IF($B1294&gt;Config!$B$4,"Date after the as-of date",IF($B1294&lt;Config!$B$5,"Date before the opening balance date","OK")))))))))))))))))</f>
        <v/>
      </c>
    </row>
    <row r="1295">
      <c r="A1295" s="46" t="n"/>
      <c r="B1295" s="54" t="n"/>
      <c r="C1295" s="46" t="n"/>
      <c r="D1295" s="46" t="n"/>
      <c r="E1295" s="55" t="n"/>
      <c r="F1295" s="46" t="n"/>
      <c r="G1295" s="46" t="n"/>
      <c r="H1295" s="46" t="n"/>
      <c r="I1295" s="46" t="n"/>
      <c r="J1295" s="46" t="n"/>
      <c r="K1295" s="46" t="n"/>
      <c r="L1295" s="46" t="n"/>
      <c r="M1295" s="51" t="str">
        <f>IF(NOT(ISNUMBER($E1295)),"",IF($C1295="Receipt",$E1295,IF($C1295="Shipment",-$E1295,IF($C1295="Adjustment",$E1295,0))))</f>
        <v/>
      </c>
      <c r="N1295" s="49" t="str">
        <f>IF($D1295="","",IFERROR(INDEX(Products!$B$2:$B$101,MATCH($D1295,Products!$A$2:$A$101,0))&amp;"","(not found)"))</f>
        <v/>
      </c>
      <c r="O1295" s="49" t="str">
        <f>IF($F1295="","",IFERROR(INDEX(Batches!$B$2:$B$301,MATCH($F1295,Batches!$A$2:$A$301,0))&amp;"","(not found)"))</f>
        <v/>
      </c>
      <c r="P1295" s="49" t="str">
        <f>IF(COUNTA($A1295:$L1295)=0,"",IF($A1295="","Missing: entry ID",IF(COUNTIF($A$2:$A$2001,$A1295)&gt;1,"Duplicate entry ID",IF(NOT(ISNUMBER($B1295)),"Missing or invalid: date",IF($C1295="","Missing: type",IF($D1295="","Missing: SKU",IF(NOT(ISNUMBER($E1295)),"Missing: qty",IF($F1295="","Missing: lot",IF($I1295="","Missing: source link",IF(COUNTIF(Config!$A$15:$A$34,$C1295)=0,"Unsupported type",IF(COUNTIF(Products!$A$2:$A$101,$D1295)=0,"Unknown SKU",IF(COUNTIFS(Batches!$A$2:$A$301,$F1295,Batches!$B$2:$B$301,$D1295)=0,"Unknown lot for this SKU",IF(AND($C1295="Adjustment",$G1295=""),"Missing: reason",IF(AND($G1295&lt;&gt;"",COUNTIF(Config!$B$15:$B$34,$G1295)=0),"Unsupported reason",IF(OR(INT($E1295)&lt;&gt;$E1295,AND(OR($C1295="Receipt",$C1295="Shipment"),$E1295&lt;=0),AND($C1295="Adjustment",$E1295=0)),"Invalid qty",IF($B1295&gt;Config!$B$4,"Date after the as-of date",IF($B1295&lt;Config!$B$5,"Date before the opening balance date","OK")))))))))))))))))</f>
        <v/>
      </c>
    </row>
    <row r="1296">
      <c r="A1296" s="46" t="n"/>
      <c r="B1296" s="54" t="n"/>
      <c r="C1296" s="46" t="n"/>
      <c r="D1296" s="46" t="n"/>
      <c r="E1296" s="55" t="n"/>
      <c r="F1296" s="46" t="n"/>
      <c r="G1296" s="46" t="n"/>
      <c r="H1296" s="46" t="n"/>
      <c r="I1296" s="46" t="n"/>
      <c r="J1296" s="46" t="n"/>
      <c r="K1296" s="46" t="n"/>
      <c r="L1296" s="46" t="n"/>
      <c r="M1296" s="51" t="str">
        <f>IF(NOT(ISNUMBER($E1296)),"",IF($C1296="Receipt",$E1296,IF($C1296="Shipment",-$E1296,IF($C1296="Adjustment",$E1296,0))))</f>
        <v/>
      </c>
      <c r="N1296" s="49" t="str">
        <f>IF($D1296="","",IFERROR(INDEX(Products!$B$2:$B$101,MATCH($D1296,Products!$A$2:$A$101,0))&amp;"","(not found)"))</f>
        <v/>
      </c>
      <c r="O1296" s="49" t="str">
        <f>IF($F1296="","",IFERROR(INDEX(Batches!$B$2:$B$301,MATCH($F1296,Batches!$A$2:$A$301,0))&amp;"","(not found)"))</f>
        <v/>
      </c>
      <c r="P1296" s="49" t="str">
        <f>IF(COUNTA($A1296:$L1296)=0,"",IF($A1296="","Missing: entry ID",IF(COUNTIF($A$2:$A$2001,$A1296)&gt;1,"Duplicate entry ID",IF(NOT(ISNUMBER($B1296)),"Missing or invalid: date",IF($C1296="","Missing: type",IF($D1296="","Missing: SKU",IF(NOT(ISNUMBER($E1296)),"Missing: qty",IF($F1296="","Missing: lot",IF($I1296="","Missing: source link",IF(COUNTIF(Config!$A$15:$A$34,$C1296)=0,"Unsupported type",IF(COUNTIF(Products!$A$2:$A$101,$D1296)=0,"Unknown SKU",IF(COUNTIFS(Batches!$A$2:$A$301,$F1296,Batches!$B$2:$B$301,$D1296)=0,"Unknown lot for this SKU",IF(AND($C1296="Adjustment",$G1296=""),"Missing: reason",IF(AND($G1296&lt;&gt;"",COUNTIF(Config!$B$15:$B$34,$G1296)=0),"Unsupported reason",IF(OR(INT($E1296)&lt;&gt;$E1296,AND(OR($C1296="Receipt",$C1296="Shipment"),$E1296&lt;=0),AND($C1296="Adjustment",$E1296=0)),"Invalid qty",IF($B1296&gt;Config!$B$4,"Date after the as-of date",IF($B1296&lt;Config!$B$5,"Date before the opening balance date","OK")))))))))))))))))</f>
        <v/>
      </c>
    </row>
    <row r="1297">
      <c r="A1297" s="46" t="n"/>
      <c r="B1297" s="54" t="n"/>
      <c r="C1297" s="46" t="n"/>
      <c r="D1297" s="46" t="n"/>
      <c r="E1297" s="55" t="n"/>
      <c r="F1297" s="46" t="n"/>
      <c r="G1297" s="46" t="n"/>
      <c r="H1297" s="46" t="n"/>
      <c r="I1297" s="46" t="n"/>
      <c r="J1297" s="46" t="n"/>
      <c r="K1297" s="46" t="n"/>
      <c r="L1297" s="46" t="n"/>
      <c r="M1297" s="51" t="str">
        <f>IF(NOT(ISNUMBER($E1297)),"",IF($C1297="Receipt",$E1297,IF($C1297="Shipment",-$E1297,IF($C1297="Adjustment",$E1297,0))))</f>
        <v/>
      </c>
      <c r="N1297" s="49" t="str">
        <f>IF($D1297="","",IFERROR(INDEX(Products!$B$2:$B$101,MATCH($D1297,Products!$A$2:$A$101,0))&amp;"","(not found)"))</f>
        <v/>
      </c>
      <c r="O1297" s="49" t="str">
        <f>IF($F1297="","",IFERROR(INDEX(Batches!$B$2:$B$301,MATCH($F1297,Batches!$A$2:$A$301,0))&amp;"","(not found)"))</f>
        <v/>
      </c>
      <c r="P1297" s="49" t="str">
        <f>IF(COUNTA($A1297:$L1297)=0,"",IF($A1297="","Missing: entry ID",IF(COUNTIF($A$2:$A$2001,$A1297)&gt;1,"Duplicate entry ID",IF(NOT(ISNUMBER($B1297)),"Missing or invalid: date",IF($C1297="","Missing: type",IF($D1297="","Missing: SKU",IF(NOT(ISNUMBER($E1297)),"Missing: qty",IF($F1297="","Missing: lot",IF($I1297="","Missing: source link",IF(COUNTIF(Config!$A$15:$A$34,$C1297)=0,"Unsupported type",IF(COUNTIF(Products!$A$2:$A$101,$D1297)=0,"Unknown SKU",IF(COUNTIFS(Batches!$A$2:$A$301,$F1297,Batches!$B$2:$B$301,$D1297)=0,"Unknown lot for this SKU",IF(AND($C1297="Adjustment",$G1297=""),"Missing: reason",IF(AND($G1297&lt;&gt;"",COUNTIF(Config!$B$15:$B$34,$G1297)=0),"Unsupported reason",IF(OR(INT($E1297)&lt;&gt;$E1297,AND(OR($C1297="Receipt",$C1297="Shipment"),$E1297&lt;=0),AND($C1297="Adjustment",$E1297=0)),"Invalid qty",IF($B1297&gt;Config!$B$4,"Date after the as-of date",IF($B1297&lt;Config!$B$5,"Date before the opening balance date","OK")))))))))))))))))</f>
        <v/>
      </c>
    </row>
    <row r="1298">
      <c r="A1298" s="46" t="n"/>
      <c r="B1298" s="54" t="n"/>
      <c r="C1298" s="46" t="n"/>
      <c r="D1298" s="46" t="n"/>
      <c r="E1298" s="55" t="n"/>
      <c r="F1298" s="46" t="n"/>
      <c r="G1298" s="46" t="n"/>
      <c r="H1298" s="46" t="n"/>
      <c r="I1298" s="46" t="n"/>
      <c r="J1298" s="46" t="n"/>
      <c r="K1298" s="46" t="n"/>
      <c r="L1298" s="46" t="n"/>
      <c r="M1298" s="51" t="str">
        <f>IF(NOT(ISNUMBER($E1298)),"",IF($C1298="Receipt",$E1298,IF($C1298="Shipment",-$E1298,IF($C1298="Adjustment",$E1298,0))))</f>
        <v/>
      </c>
      <c r="N1298" s="49" t="str">
        <f>IF($D1298="","",IFERROR(INDEX(Products!$B$2:$B$101,MATCH($D1298,Products!$A$2:$A$101,0))&amp;"","(not found)"))</f>
        <v/>
      </c>
      <c r="O1298" s="49" t="str">
        <f>IF($F1298="","",IFERROR(INDEX(Batches!$B$2:$B$301,MATCH($F1298,Batches!$A$2:$A$301,0))&amp;"","(not found)"))</f>
        <v/>
      </c>
      <c r="P1298" s="49" t="str">
        <f>IF(COUNTA($A1298:$L1298)=0,"",IF($A1298="","Missing: entry ID",IF(COUNTIF($A$2:$A$2001,$A1298)&gt;1,"Duplicate entry ID",IF(NOT(ISNUMBER($B1298)),"Missing or invalid: date",IF($C1298="","Missing: type",IF($D1298="","Missing: SKU",IF(NOT(ISNUMBER($E1298)),"Missing: qty",IF($F1298="","Missing: lot",IF($I1298="","Missing: source link",IF(COUNTIF(Config!$A$15:$A$34,$C1298)=0,"Unsupported type",IF(COUNTIF(Products!$A$2:$A$101,$D1298)=0,"Unknown SKU",IF(COUNTIFS(Batches!$A$2:$A$301,$F1298,Batches!$B$2:$B$301,$D1298)=0,"Unknown lot for this SKU",IF(AND($C1298="Adjustment",$G1298=""),"Missing: reason",IF(AND($G1298&lt;&gt;"",COUNTIF(Config!$B$15:$B$34,$G1298)=0),"Unsupported reason",IF(OR(INT($E1298)&lt;&gt;$E1298,AND(OR($C1298="Receipt",$C1298="Shipment"),$E1298&lt;=0),AND($C1298="Adjustment",$E1298=0)),"Invalid qty",IF($B1298&gt;Config!$B$4,"Date after the as-of date",IF($B1298&lt;Config!$B$5,"Date before the opening balance date","OK")))))))))))))))))</f>
        <v/>
      </c>
    </row>
    <row r="1299">
      <c r="A1299" s="46" t="n"/>
      <c r="B1299" s="54" t="n"/>
      <c r="C1299" s="46" t="n"/>
      <c r="D1299" s="46" t="n"/>
      <c r="E1299" s="55" t="n"/>
      <c r="F1299" s="46" t="n"/>
      <c r="G1299" s="46" t="n"/>
      <c r="H1299" s="46" t="n"/>
      <c r="I1299" s="46" t="n"/>
      <c r="J1299" s="46" t="n"/>
      <c r="K1299" s="46" t="n"/>
      <c r="L1299" s="46" t="n"/>
      <c r="M1299" s="51" t="str">
        <f>IF(NOT(ISNUMBER($E1299)),"",IF($C1299="Receipt",$E1299,IF($C1299="Shipment",-$E1299,IF($C1299="Adjustment",$E1299,0))))</f>
        <v/>
      </c>
      <c r="N1299" s="49" t="str">
        <f>IF($D1299="","",IFERROR(INDEX(Products!$B$2:$B$101,MATCH($D1299,Products!$A$2:$A$101,0))&amp;"","(not found)"))</f>
        <v/>
      </c>
      <c r="O1299" s="49" t="str">
        <f>IF($F1299="","",IFERROR(INDEX(Batches!$B$2:$B$301,MATCH($F1299,Batches!$A$2:$A$301,0))&amp;"","(not found)"))</f>
        <v/>
      </c>
      <c r="P1299" s="49" t="str">
        <f>IF(COUNTA($A1299:$L1299)=0,"",IF($A1299="","Missing: entry ID",IF(COUNTIF($A$2:$A$2001,$A1299)&gt;1,"Duplicate entry ID",IF(NOT(ISNUMBER($B1299)),"Missing or invalid: date",IF($C1299="","Missing: type",IF($D1299="","Missing: SKU",IF(NOT(ISNUMBER($E1299)),"Missing: qty",IF($F1299="","Missing: lot",IF($I1299="","Missing: source link",IF(COUNTIF(Config!$A$15:$A$34,$C1299)=0,"Unsupported type",IF(COUNTIF(Products!$A$2:$A$101,$D1299)=0,"Unknown SKU",IF(COUNTIFS(Batches!$A$2:$A$301,$F1299,Batches!$B$2:$B$301,$D1299)=0,"Unknown lot for this SKU",IF(AND($C1299="Adjustment",$G1299=""),"Missing: reason",IF(AND($G1299&lt;&gt;"",COUNTIF(Config!$B$15:$B$34,$G1299)=0),"Unsupported reason",IF(OR(INT($E1299)&lt;&gt;$E1299,AND(OR($C1299="Receipt",$C1299="Shipment"),$E1299&lt;=0),AND($C1299="Adjustment",$E1299=0)),"Invalid qty",IF($B1299&gt;Config!$B$4,"Date after the as-of date",IF($B1299&lt;Config!$B$5,"Date before the opening balance date","OK")))))))))))))))))</f>
        <v/>
      </c>
    </row>
    <row r="1300">
      <c r="A1300" s="46" t="n"/>
      <c r="B1300" s="54" t="n"/>
      <c r="C1300" s="46" t="n"/>
      <c r="D1300" s="46" t="n"/>
      <c r="E1300" s="55" t="n"/>
      <c r="F1300" s="46" t="n"/>
      <c r="G1300" s="46" t="n"/>
      <c r="H1300" s="46" t="n"/>
      <c r="I1300" s="46" t="n"/>
      <c r="J1300" s="46" t="n"/>
      <c r="K1300" s="46" t="n"/>
      <c r="L1300" s="46" t="n"/>
      <c r="M1300" s="51" t="str">
        <f>IF(NOT(ISNUMBER($E1300)),"",IF($C1300="Receipt",$E1300,IF($C1300="Shipment",-$E1300,IF($C1300="Adjustment",$E1300,0))))</f>
        <v/>
      </c>
      <c r="N1300" s="49" t="str">
        <f>IF($D1300="","",IFERROR(INDEX(Products!$B$2:$B$101,MATCH($D1300,Products!$A$2:$A$101,0))&amp;"","(not found)"))</f>
        <v/>
      </c>
      <c r="O1300" s="49" t="str">
        <f>IF($F1300="","",IFERROR(INDEX(Batches!$B$2:$B$301,MATCH($F1300,Batches!$A$2:$A$301,0))&amp;"","(not found)"))</f>
        <v/>
      </c>
      <c r="P1300" s="49" t="str">
        <f>IF(COUNTA($A1300:$L1300)=0,"",IF($A1300="","Missing: entry ID",IF(COUNTIF($A$2:$A$2001,$A1300)&gt;1,"Duplicate entry ID",IF(NOT(ISNUMBER($B1300)),"Missing or invalid: date",IF($C1300="","Missing: type",IF($D1300="","Missing: SKU",IF(NOT(ISNUMBER($E1300)),"Missing: qty",IF($F1300="","Missing: lot",IF($I1300="","Missing: source link",IF(COUNTIF(Config!$A$15:$A$34,$C1300)=0,"Unsupported type",IF(COUNTIF(Products!$A$2:$A$101,$D1300)=0,"Unknown SKU",IF(COUNTIFS(Batches!$A$2:$A$301,$F1300,Batches!$B$2:$B$301,$D1300)=0,"Unknown lot for this SKU",IF(AND($C1300="Adjustment",$G1300=""),"Missing: reason",IF(AND($G1300&lt;&gt;"",COUNTIF(Config!$B$15:$B$34,$G1300)=0),"Unsupported reason",IF(OR(INT($E1300)&lt;&gt;$E1300,AND(OR($C1300="Receipt",$C1300="Shipment"),$E1300&lt;=0),AND($C1300="Adjustment",$E1300=0)),"Invalid qty",IF($B1300&gt;Config!$B$4,"Date after the as-of date",IF($B1300&lt;Config!$B$5,"Date before the opening balance date","OK")))))))))))))))))</f>
        <v/>
      </c>
    </row>
    <row r="1301">
      <c r="A1301" s="46" t="n"/>
      <c r="B1301" s="54" t="n"/>
      <c r="C1301" s="46" t="n"/>
      <c r="D1301" s="46" t="n"/>
      <c r="E1301" s="55" t="n"/>
      <c r="F1301" s="46" t="n"/>
      <c r="G1301" s="46" t="n"/>
      <c r="H1301" s="46" t="n"/>
      <c r="I1301" s="46" t="n"/>
      <c r="J1301" s="46" t="n"/>
      <c r="K1301" s="46" t="n"/>
      <c r="L1301" s="46" t="n"/>
      <c r="M1301" s="51" t="str">
        <f>IF(NOT(ISNUMBER($E1301)),"",IF($C1301="Receipt",$E1301,IF($C1301="Shipment",-$E1301,IF($C1301="Adjustment",$E1301,0))))</f>
        <v/>
      </c>
      <c r="N1301" s="49" t="str">
        <f>IF($D1301="","",IFERROR(INDEX(Products!$B$2:$B$101,MATCH($D1301,Products!$A$2:$A$101,0))&amp;"","(not found)"))</f>
        <v/>
      </c>
      <c r="O1301" s="49" t="str">
        <f>IF($F1301="","",IFERROR(INDEX(Batches!$B$2:$B$301,MATCH($F1301,Batches!$A$2:$A$301,0))&amp;"","(not found)"))</f>
        <v/>
      </c>
      <c r="P1301" s="49" t="str">
        <f>IF(COUNTA($A1301:$L1301)=0,"",IF($A1301="","Missing: entry ID",IF(COUNTIF($A$2:$A$2001,$A1301)&gt;1,"Duplicate entry ID",IF(NOT(ISNUMBER($B1301)),"Missing or invalid: date",IF($C1301="","Missing: type",IF($D1301="","Missing: SKU",IF(NOT(ISNUMBER($E1301)),"Missing: qty",IF($F1301="","Missing: lot",IF($I1301="","Missing: source link",IF(COUNTIF(Config!$A$15:$A$34,$C1301)=0,"Unsupported type",IF(COUNTIF(Products!$A$2:$A$101,$D1301)=0,"Unknown SKU",IF(COUNTIFS(Batches!$A$2:$A$301,$F1301,Batches!$B$2:$B$301,$D1301)=0,"Unknown lot for this SKU",IF(AND($C1301="Adjustment",$G1301=""),"Missing: reason",IF(AND($G1301&lt;&gt;"",COUNTIF(Config!$B$15:$B$34,$G1301)=0),"Unsupported reason",IF(OR(INT($E1301)&lt;&gt;$E1301,AND(OR($C1301="Receipt",$C1301="Shipment"),$E1301&lt;=0),AND($C1301="Adjustment",$E1301=0)),"Invalid qty",IF($B1301&gt;Config!$B$4,"Date after the as-of date",IF($B1301&lt;Config!$B$5,"Date before the opening balance date","OK")))))))))))))))))</f>
        <v/>
      </c>
    </row>
    <row r="1302">
      <c r="A1302" s="46" t="n"/>
      <c r="B1302" s="54" t="n"/>
      <c r="C1302" s="46" t="n"/>
      <c r="D1302" s="46" t="n"/>
      <c r="E1302" s="55" t="n"/>
      <c r="F1302" s="46" t="n"/>
      <c r="G1302" s="46" t="n"/>
      <c r="H1302" s="46" t="n"/>
      <c r="I1302" s="46" t="n"/>
      <c r="J1302" s="46" t="n"/>
      <c r="K1302" s="46" t="n"/>
      <c r="L1302" s="46" t="n"/>
      <c r="M1302" s="51" t="str">
        <f>IF(NOT(ISNUMBER($E1302)),"",IF($C1302="Receipt",$E1302,IF($C1302="Shipment",-$E1302,IF($C1302="Adjustment",$E1302,0))))</f>
        <v/>
      </c>
      <c r="N1302" s="49" t="str">
        <f>IF($D1302="","",IFERROR(INDEX(Products!$B$2:$B$101,MATCH($D1302,Products!$A$2:$A$101,0))&amp;"","(not found)"))</f>
        <v/>
      </c>
      <c r="O1302" s="49" t="str">
        <f>IF($F1302="","",IFERROR(INDEX(Batches!$B$2:$B$301,MATCH($F1302,Batches!$A$2:$A$301,0))&amp;"","(not found)"))</f>
        <v/>
      </c>
      <c r="P1302" s="49" t="str">
        <f>IF(COUNTA($A1302:$L1302)=0,"",IF($A1302="","Missing: entry ID",IF(COUNTIF($A$2:$A$2001,$A1302)&gt;1,"Duplicate entry ID",IF(NOT(ISNUMBER($B1302)),"Missing or invalid: date",IF($C1302="","Missing: type",IF($D1302="","Missing: SKU",IF(NOT(ISNUMBER($E1302)),"Missing: qty",IF($F1302="","Missing: lot",IF($I1302="","Missing: source link",IF(COUNTIF(Config!$A$15:$A$34,$C1302)=0,"Unsupported type",IF(COUNTIF(Products!$A$2:$A$101,$D1302)=0,"Unknown SKU",IF(COUNTIFS(Batches!$A$2:$A$301,$F1302,Batches!$B$2:$B$301,$D1302)=0,"Unknown lot for this SKU",IF(AND($C1302="Adjustment",$G1302=""),"Missing: reason",IF(AND($G1302&lt;&gt;"",COUNTIF(Config!$B$15:$B$34,$G1302)=0),"Unsupported reason",IF(OR(INT($E1302)&lt;&gt;$E1302,AND(OR($C1302="Receipt",$C1302="Shipment"),$E1302&lt;=0),AND($C1302="Adjustment",$E1302=0)),"Invalid qty",IF($B1302&gt;Config!$B$4,"Date after the as-of date",IF($B1302&lt;Config!$B$5,"Date before the opening balance date","OK")))))))))))))))))</f>
        <v/>
      </c>
    </row>
    <row r="1303">
      <c r="A1303" s="46" t="n"/>
      <c r="B1303" s="54" t="n"/>
      <c r="C1303" s="46" t="n"/>
      <c r="D1303" s="46" t="n"/>
      <c r="E1303" s="55" t="n"/>
      <c r="F1303" s="46" t="n"/>
      <c r="G1303" s="46" t="n"/>
      <c r="H1303" s="46" t="n"/>
      <c r="I1303" s="46" t="n"/>
      <c r="J1303" s="46" t="n"/>
      <c r="K1303" s="46" t="n"/>
      <c r="L1303" s="46" t="n"/>
      <c r="M1303" s="51" t="str">
        <f>IF(NOT(ISNUMBER($E1303)),"",IF($C1303="Receipt",$E1303,IF($C1303="Shipment",-$E1303,IF($C1303="Adjustment",$E1303,0))))</f>
        <v/>
      </c>
      <c r="N1303" s="49" t="str">
        <f>IF($D1303="","",IFERROR(INDEX(Products!$B$2:$B$101,MATCH($D1303,Products!$A$2:$A$101,0))&amp;"","(not found)"))</f>
        <v/>
      </c>
      <c r="O1303" s="49" t="str">
        <f>IF($F1303="","",IFERROR(INDEX(Batches!$B$2:$B$301,MATCH($F1303,Batches!$A$2:$A$301,0))&amp;"","(not found)"))</f>
        <v/>
      </c>
      <c r="P1303" s="49" t="str">
        <f>IF(COUNTA($A1303:$L1303)=0,"",IF($A1303="","Missing: entry ID",IF(COUNTIF($A$2:$A$2001,$A1303)&gt;1,"Duplicate entry ID",IF(NOT(ISNUMBER($B1303)),"Missing or invalid: date",IF($C1303="","Missing: type",IF($D1303="","Missing: SKU",IF(NOT(ISNUMBER($E1303)),"Missing: qty",IF($F1303="","Missing: lot",IF($I1303="","Missing: source link",IF(COUNTIF(Config!$A$15:$A$34,$C1303)=0,"Unsupported type",IF(COUNTIF(Products!$A$2:$A$101,$D1303)=0,"Unknown SKU",IF(COUNTIFS(Batches!$A$2:$A$301,$F1303,Batches!$B$2:$B$301,$D1303)=0,"Unknown lot for this SKU",IF(AND($C1303="Adjustment",$G1303=""),"Missing: reason",IF(AND($G1303&lt;&gt;"",COUNTIF(Config!$B$15:$B$34,$G1303)=0),"Unsupported reason",IF(OR(INT($E1303)&lt;&gt;$E1303,AND(OR($C1303="Receipt",$C1303="Shipment"),$E1303&lt;=0),AND($C1303="Adjustment",$E1303=0)),"Invalid qty",IF($B1303&gt;Config!$B$4,"Date after the as-of date",IF($B1303&lt;Config!$B$5,"Date before the opening balance date","OK")))))))))))))))))</f>
        <v/>
      </c>
    </row>
    <row r="1304">
      <c r="A1304" s="46" t="n"/>
      <c r="B1304" s="54" t="n"/>
      <c r="C1304" s="46" t="n"/>
      <c r="D1304" s="46" t="n"/>
      <c r="E1304" s="55" t="n"/>
      <c r="F1304" s="46" t="n"/>
      <c r="G1304" s="46" t="n"/>
      <c r="H1304" s="46" t="n"/>
      <c r="I1304" s="46" t="n"/>
      <c r="J1304" s="46" t="n"/>
      <c r="K1304" s="46" t="n"/>
      <c r="L1304" s="46" t="n"/>
      <c r="M1304" s="51" t="str">
        <f>IF(NOT(ISNUMBER($E1304)),"",IF($C1304="Receipt",$E1304,IF($C1304="Shipment",-$E1304,IF($C1304="Adjustment",$E1304,0))))</f>
        <v/>
      </c>
      <c r="N1304" s="49" t="str">
        <f>IF($D1304="","",IFERROR(INDEX(Products!$B$2:$B$101,MATCH($D1304,Products!$A$2:$A$101,0))&amp;"","(not found)"))</f>
        <v/>
      </c>
      <c r="O1304" s="49" t="str">
        <f>IF($F1304="","",IFERROR(INDEX(Batches!$B$2:$B$301,MATCH($F1304,Batches!$A$2:$A$301,0))&amp;"","(not found)"))</f>
        <v/>
      </c>
      <c r="P1304" s="49" t="str">
        <f>IF(COUNTA($A1304:$L1304)=0,"",IF($A1304="","Missing: entry ID",IF(COUNTIF($A$2:$A$2001,$A1304)&gt;1,"Duplicate entry ID",IF(NOT(ISNUMBER($B1304)),"Missing or invalid: date",IF($C1304="","Missing: type",IF($D1304="","Missing: SKU",IF(NOT(ISNUMBER($E1304)),"Missing: qty",IF($F1304="","Missing: lot",IF($I1304="","Missing: source link",IF(COUNTIF(Config!$A$15:$A$34,$C1304)=0,"Unsupported type",IF(COUNTIF(Products!$A$2:$A$101,$D1304)=0,"Unknown SKU",IF(COUNTIFS(Batches!$A$2:$A$301,$F1304,Batches!$B$2:$B$301,$D1304)=0,"Unknown lot for this SKU",IF(AND($C1304="Adjustment",$G1304=""),"Missing: reason",IF(AND($G1304&lt;&gt;"",COUNTIF(Config!$B$15:$B$34,$G1304)=0),"Unsupported reason",IF(OR(INT($E1304)&lt;&gt;$E1304,AND(OR($C1304="Receipt",$C1304="Shipment"),$E1304&lt;=0),AND($C1304="Adjustment",$E1304=0)),"Invalid qty",IF($B1304&gt;Config!$B$4,"Date after the as-of date",IF($B1304&lt;Config!$B$5,"Date before the opening balance date","OK")))))))))))))))))</f>
        <v/>
      </c>
    </row>
    <row r="1305">
      <c r="A1305" s="46" t="n"/>
      <c r="B1305" s="54" t="n"/>
      <c r="C1305" s="46" t="n"/>
      <c r="D1305" s="46" t="n"/>
      <c r="E1305" s="55" t="n"/>
      <c r="F1305" s="46" t="n"/>
      <c r="G1305" s="46" t="n"/>
      <c r="H1305" s="46" t="n"/>
      <c r="I1305" s="46" t="n"/>
      <c r="J1305" s="46" t="n"/>
      <c r="K1305" s="46" t="n"/>
      <c r="L1305" s="46" t="n"/>
      <c r="M1305" s="51" t="str">
        <f>IF(NOT(ISNUMBER($E1305)),"",IF($C1305="Receipt",$E1305,IF($C1305="Shipment",-$E1305,IF($C1305="Adjustment",$E1305,0))))</f>
        <v/>
      </c>
      <c r="N1305" s="49" t="str">
        <f>IF($D1305="","",IFERROR(INDEX(Products!$B$2:$B$101,MATCH($D1305,Products!$A$2:$A$101,0))&amp;"","(not found)"))</f>
        <v/>
      </c>
      <c r="O1305" s="49" t="str">
        <f>IF($F1305="","",IFERROR(INDEX(Batches!$B$2:$B$301,MATCH($F1305,Batches!$A$2:$A$301,0))&amp;"","(not found)"))</f>
        <v/>
      </c>
      <c r="P1305" s="49" t="str">
        <f>IF(COUNTA($A1305:$L1305)=0,"",IF($A1305="","Missing: entry ID",IF(COUNTIF($A$2:$A$2001,$A1305)&gt;1,"Duplicate entry ID",IF(NOT(ISNUMBER($B1305)),"Missing or invalid: date",IF($C1305="","Missing: type",IF($D1305="","Missing: SKU",IF(NOT(ISNUMBER($E1305)),"Missing: qty",IF($F1305="","Missing: lot",IF($I1305="","Missing: source link",IF(COUNTIF(Config!$A$15:$A$34,$C1305)=0,"Unsupported type",IF(COUNTIF(Products!$A$2:$A$101,$D1305)=0,"Unknown SKU",IF(COUNTIFS(Batches!$A$2:$A$301,$F1305,Batches!$B$2:$B$301,$D1305)=0,"Unknown lot for this SKU",IF(AND($C1305="Adjustment",$G1305=""),"Missing: reason",IF(AND($G1305&lt;&gt;"",COUNTIF(Config!$B$15:$B$34,$G1305)=0),"Unsupported reason",IF(OR(INT($E1305)&lt;&gt;$E1305,AND(OR($C1305="Receipt",$C1305="Shipment"),$E1305&lt;=0),AND($C1305="Adjustment",$E1305=0)),"Invalid qty",IF($B1305&gt;Config!$B$4,"Date after the as-of date",IF($B1305&lt;Config!$B$5,"Date before the opening balance date","OK")))))))))))))))))</f>
        <v/>
      </c>
    </row>
    <row r="1306">
      <c r="A1306" s="46" t="n"/>
      <c r="B1306" s="54" t="n"/>
      <c r="C1306" s="46" t="n"/>
      <c r="D1306" s="46" t="n"/>
      <c r="E1306" s="55" t="n"/>
      <c r="F1306" s="46" t="n"/>
      <c r="G1306" s="46" t="n"/>
      <c r="H1306" s="46" t="n"/>
      <c r="I1306" s="46" t="n"/>
      <c r="J1306" s="46" t="n"/>
      <c r="K1306" s="46" t="n"/>
      <c r="L1306" s="46" t="n"/>
      <c r="M1306" s="51" t="str">
        <f>IF(NOT(ISNUMBER($E1306)),"",IF($C1306="Receipt",$E1306,IF($C1306="Shipment",-$E1306,IF($C1306="Adjustment",$E1306,0))))</f>
        <v/>
      </c>
      <c r="N1306" s="49" t="str">
        <f>IF($D1306="","",IFERROR(INDEX(Products!$B$2:$B$101,MATCH($D1306,Products!$A$2:$A$101,0))&amp;"","(not found)"))</f>
        <v/>
      </c>
      <c r="O1306" s="49" t="str">
        <f>IF($F1306="","",IFERROR(INDEX(Batches!$B$2:$B$301,MATCH($F1306,Batches!$A$2:$A$301,0))&amp;"","(not found)"))</f>
        <v/>
      </c>
      <c r="P1306" s="49" t="str">
        <f>IF(COUNTA($A1306:$L1306)=0,"",IF($A1306="","Missing: entry ID",IF(COUNTIF($A$2:$A$2001,$A1306)&gt;1,"Duplicate entry ID",IF(NOT(ISNUMBER($B1306)),"Missing or invalid: date",IF($C1306="","Missing: type",IF($D1306="","Missing: SKU",IF(NOT(ISNUMBER($E1306)),"Missing: qty",IF($F1306="","Missing: lot",IF($I1306="","Missing: source link",IF(COUNTIF(Config!$A$15:$A$34,$C1306)=0,"Unsupported type",IF(COUNTIF(Products!$A$2:$A$101,$D1306)=0,"Unknown SKU",IF(COUNTIFS(Batches!$A$2:$A$301,$F1306,Batches!$B$2:$B$301,$D1306)=0,"Unknown lot for this SKU",IF(AND($C1306="Adjustment",$G1306=""),"Missing: reason",IF(AND($G1306&lt;&gt;"",COUNTIF(Config!$B$15:$B$34,$G1306)=0),"Unsupported reason",IF(OR(INT($E1306)&lt;&gt;$E1306,AND(OR($C1306="Receipt",$C1306="Shipment"),$E1306&lt;=0),AND($C1306="Adjustment",$E1306=0)),"Invalid qty",IF($B1306&gt;Config!$B$4,"Date after the as-of date",IF($B1306&lt;Config!$B$5,"Date before the opening balance date","OK")))))))))))))))))</f>
        <v/>
      </c>
    </row>
    <row r="1307">
      <c r="A1307" s="46" t="n"/>
      <c r="B1307" s="54" t="n"/>
      <c r="C1307" s="46" t="n"/>
      <c r="D1307" s="46" t="n"/>
      <c r="E1307" s="55" t="n"/>
      <c r="F1307" s="46" t="n"/>
      <c r="G1307" s="46" t="n"/>
      <c r="H1307" s="46" t="n"/>
      <c r="I1307" s="46" t="n"/>
      <c r="J1307" s="46" t="n"/>
      <c r="K1307" s="46" t="n"/>
      <c r="L1307" s="46" t="n"/>
      <c r="M1307" s="51" t="str">
        <f>IF(NOT(ISNUMBER($E1307)),"",IF($C1307="Receipt",$E1307,IF($C1307="Shipment",-$E1307,IF($C1307="Adjustment",$E1307,0))))</f>
        <v/>
      </c>
      <c r="N1307" s="49" t="str">
        <f>IF($D1307="","",IFERROR(INDEX(Products!$B$2:$B$101,MATCH($D1307,Products!$A$2:$A$101,0))&amp;"","(not found)"))</f>
        <v/>
      </c>
      <c r="O1307" s="49" t="str">
        <f>IF($F1307="","",IFERROR(INDEX(Batches!$B$2:$B$301,MATCH($F1307,Batches!$A$2:$A$301,0))&amp;"","(not found)"))</f>
        <v/>
      </c>
      <c r="P1307" s="49" t="str">
        <f>IF(COUNTA($A1307:$L1307)=0,"",IF($A1307="","Missing: entry ID",IF(COUNTIF($A$2:$A$2001,$A1307)&gt;1,"Duplicate entry ID",IF(NOT(ISNUMBER($B1307)),"Missing or invalid: date",IF($C1307="","Missing: type",IF($D1307="","Missing: SKU",IF(NOT(ISNUMBER($E1307)),"Missing: qty",IF($F1307="","Missing: lot",IF($I1307="","Missing: source link",IF(COUNTIF(Config!$A$15:$A$34,$C1307)=0,"Unsupported type",IF(COUNTIF(Products!$A$2:$A$101,$D1307)=0,"Unknown SKU",IF(COUNTIFS(Batches!$A$2:$A$301,$F1307,Batches!$B$2:$B$301,$D1307)=0,"Unknown lot for this SKU",IF(AND($C1307="Adjustment",$G1307=""),"Missing: reason",IF(AND($G1307&lt;&gt;"",COUNTIF(Config!$B$15:$B$34,$G1307)=0),"Unsupported reason",IF(OR(INT($E1307)&lt;&gt;$E1307,AND(OR($C1307="Receipt",$C1307="Shipment"),$E1307&lt;=0),AND($C1307="Adjustment",$E1307=0)),"Invalid qty",IF($B1307&gt;Config!$B$4,"Date after the as-of date",IF($B1307&lt;Config!$B$5,"Date before the opening balance date","OK")))))))))))))))))</f>
        <v/>
      </c>
    </row>
    <row r="1308">
      <c r="A1308" s="46" t="n"/>
      <c r="B1308" s="54" t="n"/>
      <c r="C1308" s="46" t="n"/>
      <c r="D1308" s="46" t="n"/>
      <c r="E1308" s="55" t="n"/>
      <c r="F1308" s="46" t="n"/>
      <c r="G1308" s="46" t="n"/>
      <c r="H1308" s="46" t="n"/>
      <c r="I1308" s="46" t="n"/>
      <c r="J1308" s="46" t="n"/>
      <c r="K1308" s="46" t="n"/>
      <c r="L1308" s="46" t="n"/>
      <c r="M1308" s="51" t="str">
        <f>IF(NOT(ISNUMBER($E1308)),"",IF($C1308="Receipt",$E1308,IF($C1308="Shipment",-$E1308,IF($C1308="Adjustment",$E1308,0))))</f>
        <v/>
      </c>
      <c r="N1308" s="49" t="str">
        <f>IF($D1308="","",IFERROR(INDEX(Products!$B$2:$B$101,MATCH($D1308,Products!$A$2:$A$101,0))&amp;"","(not found)"))</f>
        <v/>
      </c>
      <c r="O1308" s="49" t="str">
        <f>IF($F1308="","",IFERROR(INDEX(Batches!$B$2:$B$301,MATCH($F1308,Batches!$A$2:$A$301,0))&amp;"","(not found)"))</f>
        <v/>
      </c>
      <c r="P1308" s="49" t="str">
        <f>IF(COUNTA($A1308:$L1308)=0,"",IF($A1308="","Missing: entry ID",IF(COUNTIF($A$2:$A$2001,$A1308)&gt;1,"Duplicate entry ID",IF(NOT(ISNUMBER($B1308)),"Missing or invalid: date",IF($C1308="","Missing: type",IF($D1308="","Missing: SKU",IF(NOT(ISNUMBER($E1308)),"Missing: qty",IF($F1308="","Missing: lot",IF($I1308="","Missing: source link",IF(COUNTIF(Config!$A$15:$A$34,$C1308)=0,"Unsupported type",IF(COUNTIF(Products!$A$2:$A$101,$D1308)=0,"Unknown SKU",IF(COUNTIFS(Batches!$A$2:$A$301,$F1308,Batches!$B$2:$B$301,$D1308)=0,"Unknown lot for this SKU",IF(AND($C1308="Adjustment",$G1308=""),"Missing: reason",IF(AND($G1308&lt;&gt;"",COUNTIF(Config!$B$15:$B$34,$G1308)=0),"Unsupported reason",IF(OR(INT($E1308)&lt;&gt;$E1308,AND(OR($C1308="Receipt",$C1308="Shipment"),$E1308&lt;=0),AND($C1308="Adjustment",$E1308=0)),"Invalid qty",IF($B1308&gt;Config!$B$4,"Date after the as-of date",IF($B1308&lt;Config!$B$5,"Date before the opening balance date","OK")))))))))))))))))</f>
        <v/>
      </c>
    </row>
    <row r="1309">
      <c r="A1309" s="46" t="n"/>
      <c r="B1309" s="54" t="n"/>
      <c r="C1309" s="46" t="n"/>
      <c r="D1309" s="46" t="n"/>
      <c r="E1309" s="55" t="n"/>
      <c r="F1309" s="46" t="n"/>
      <c r="G1309" s="46" t="n"/>
      <c r="H1309" s="46" t="n"/>
      <c r="I1309" s="46" t="n"/>
      <c r="J1309" s="46" t="n"/>
      <c r="K1309" s="46" t="n"/>
      <c r="L1309" s="46" t="n"/>
      <c r="M1309" s="51" t="str">
        <f>IF(NOT(ISNUMBER($E1309)),"",IF($C1309="Receipt",$E1309,IF($C1309="Shipment",-$E1309,IF($C1309="Adjustment",$E1309,0))))</f>
        <v/>
      </c>
      <c r="N1309" s="49" t="str">
        <f>IF($D1309="","",IFERROR(INDEX(Products!$B$2:$B$101,MATCH($D1309,Products!$A$2:$A$101,0))&amp;"","(not found)"))</f>
        <v/>
      </c>
      <c r="O1309" s="49" t="str">
        <f>IF($F1309="","",IFERROR(INDEX(Batches!$B$2:$B$301,MATCH($F1309,Batches!$A$2:$A$301,0))&amp;"","(not found)"))</f>
        <v/>
      </c>
      <c r="P1309" s="49" t="str">
        <f>IF(COUNTA($A1309:$L1309)=0,"",IF($A1309="","Missing: entry ID",IF(COUNTIF($A$2:$A$2001,$A1309)&gt;1,"Duplicate entry ID",IF(NOT(ISNUMBER($B1309)),"Missing or invalid: date",IF($C1309="","Missing: type",IF($D1309="","Missing: SKU",IF(NOT(ISNUMBER($E1309)),"Missing: qty",IF($F1309="","Missing: lot",IF($I1309="","Missing: source link",IF(COUNTIF(Config!$A$15:$A$34,$C1309)=0,"Unsupported type",IF(COUNTIF(Products!$A$2:$A$101,$D1309)=0,"Unknown SKU",IF(COUNTIFS(Batches!$A$2:$A$301,$F1309,Batches!$B$2:$B$301,$D1309)=0,"Unknown lot for this SKU",IF(AND($C1309="Adjustment",$G1309=""),"Missing: reason",IF(AND($G1309&lt;&gt;"",COUNTIF(Config!$B$15:$B$34,$G1309)=0),"Unsupported reason",IF(OR(INT($E1309)&lt;&gt;$E1309,AND(OR($C1309="Receipt",$C1309="Shipment"),$E1309&lt;=0),AND($C1309="Adjustment",$E1309=0)),"Invalid qty",IF($B1309&gt;Config!$B$4,"Date after the as-of date",IF($B1309&lt;Config!$B$5,"Date before the opening balance date","OK")))))))))))))))))</f>
        <v/>
      </c>
    </row>
    <row r="1310">
      <c r="A1310" s="46" t="n"/>
      <c r="B1310" s="54" t="n"/>
      <c r="C1310" s="46" t="n"/>
      <c r="D1310" s="46" t="n"/>
      <c r="E1310" s="55" t="n"/>
      <c r="F1310" s="46" t="n"/>
      <c r="G1310" s="46" t="n"/>
      <c r="H1310" s="46" t="n"/>
      <c r="I1310" s="46" t="n"/>
      <c r="J1310" s="46" t="n"/>
      <c r="K1310" s="46" t="n"/>
      <c r="L1310" s="46" t="n"/>
      <c r="M1310" s="51" t="str">
        <f>IF(NOT(ISNUMBER($E1310)),"",IF($C1310="Receipt",$E1310,IF($C1310="Shipment",-$E1310,IF($C1310="Adjustment",$E1310,0))))</f>
        <v/>
      </c>
      <c r="N1310" s="49" t="str">
        <f>IF($D1310="","",IFERROR(INDEX(Products!$B$2:$B$101,MATCH($D1310,Products!$A$2:$A$101,0))&amp;"","(not found)"))</f>
        <v/>
      </c>
      <c r="O1310" s="49" t="str">
        <f>IF($F1310="","",IFERROR(INDEX(Batches!$B$2:$B$301,MATCH($F1310,Batches!$A$2:$A$301,0))&amp;"","(not found)"))</f>
        <v/>
      </c>
      <c r="P1310" s="49" t="str">
        <f>IF(COUNTA($A1310:$L1310)=0,"",IF($A1310="","Missing: entry ID",IF(COUNTIF($A$2:$A$2001,$A1310)&gt;1,"Duplicate entry ID",IF(NOT(ISNUMBER($B1310)),"Missing or invalid: date",IF($C1310="","Missing: type",IF($D1310="","Missing: SKU",IF(NOT(ISNUMBER($E1310)),"Missing: qty",IF($F1310="","Missing: lot",IF($I1310="","Missing: source link",IF(COUNTIF(Config!$A$15:$A$34,$C1310)=0,"Unsupported type",IF(COUNTIF(Products!$A$2:$A$101,$D1310)=0,"Unknown SKU",IF(COUNTIFS(Batches!$A$2:$A$301,$F1310,Batches!$B$2:$B$301,$D1310)=0,"Unknown lot for this SKU",IF(AND($C1310="Adjustment",$G1310=""),"Missing: reason",IF(AND($G1310&lt;&gt;"",COUNTIF(Config!$B$15:$B$34,$G1310)=0),"Unsupported reason",IF(OR(INT($E1310)&lt;&gt;$E1310,AND(OR($C1310="Receipt",$C1310="Shipment"),$E1310&lt;=0),AND($C1310="Adjustment",$E1310=0)),"Invalid qty",IF($B1310&gt;Config!$B$4,"Date after the as-of date",IF($B1310&lt;Config!$B$5,"Date before the opening balance date","OK")))))))))))))))))</f>
        <v/>
      </c>
    </row>
    <row r="1311">
      <c r="A1311" s="46" t="n"/>
      <c r="B1311" s="54" t="n"/>
      <c r="C1311" s="46" t="n"/>
      <c r="D1311" s="46" t="n"/>
      <c r="E1311" s="55" t="n"/>
      <c r="F1311" s="46" t="n"/>
      <c r="G1311" s="46" t="n"/>
      <c r="H1311" s="46" t="n"/>
      <c r="I1311" s="46" t="n"/>
      <c r="J1311" s="46" t="n"/>
      <c r="K1311" s="46" t="n"/>
      <c r="L1311" s="46" t="n"/>
      <c r="M1311" s="51" t="str">
        <f>IF(NOT(ISNUMBER($E1311)),"",IF($C1311="Receipt",$E1311,IF($C1311="Shipment",-$E1311,IF($C1311="Adjustment",$E1311,0))))</f>
        <v/>
      </c>
      <c r="N1311" s="49" t="str">
        <f>IF($D1311="","",IFERROR(INDEX(Products!$B$2:$B$101,MATCH($D1311,Products!$A$2:$A$101,0))&amp;"","(not found)"))</f>
        <v/>
      </c>
      <c r="O1311" s="49" t="str">
        <f>IF($F1311="","",IFERROR(INDEX(Batches!$B$2:$B$301,MATCH($F1311,Batches!$A$2:$A$301,0))&amp;"","(not found)"))</f>
        <v/>
      </c>
      <c r="P1311" s="49" t="str">
        <f>IF(COUNTA($A1311:$L1311)=0,"",IF($A1311="","Missing: entry ID",IF(COUNTIF($A$2:$A$2001,$A1311)&gt;1,"Duplicate entry ID",IF(NOT(ISNUMBER($B1311)),"Missing or invalid: date",IF($C1311="","Missing: type",IF($D1311="","Missing: SKU",IF(NOT(ISNUMBER($E1311)),"Missing: qty",IF($F1311="","Missing: lot",IF($I1311="","Missing: source link",IF(COUNTIF(Config!$A$15:$A$34,$C1311)=0,"Unsupported type",IF(COUNTIF(Products!$A$2:$A$101,$D1311)=0,"Unknown SKU",IF(COUNTIFS(Batches!$A$2:$A$301,$F1311,Batches!$B$2:$B$301,$D1311)=0,"Unknown lot for this SKU",IF(AND($C1311="Adjustment",$G1311=""),"Missing: reason",IF(AND($G1311&lt;&gt;"",COUNTIF(Config!$B$15:$B$34,$G1311)=0),"Unsupported reason",IF(OR(INT($E1311)&lt;&gt;$E1311,AND(OR($C1311="Receipt",$C1311="Shipment"),$E1311&lt;=0),AND($C1311="Adjustment",$E1311=0)),"Invalid qty",IF($B1311&gt;Config!$B$4,"Date after the as-of date",IF($B1311&lt;Config!$B$5,"Date before the opening balance date","OK")))))))))))))))))</f>
        <v/>
      </c>
    </row>
    <row r="1312">
      <c r="A1312" s="46" t="n"/>
      <c r="B1312" s="54" t="n"/>
      <c r="C1312" s="46" t="n"/>
      <c r="D1312" s="46" t="n"/>
      <c r="E1312" s="55" t="n"/>
      <c r="F1312" s="46" t="n"/>
      <c r="G1312" s="46" t="n"/>
      <c r="H1312" s="46" t="n"/>
      <c r="I1312" s="46" t="n"/>
      <c r="J1312" s="46" t="n"/>
      <c r="K1312" s="46" t="n"/>
      <c r="L1312" s="46" t="n"/>
      <c r="M1312" s="51" t="str">
        <f>IF(NOT(ISNUMBER($E1312)),"",IF($C1312="Receipt",$E1312,IF($C1312="Shipment",-$E1312,IF($C1312="Adjustment",$E1312,0))))</f>
        <v/>
      </c>
      <c r="N1312" s="49" t="str">
        <f>IF($D1312="","",IFERROR(INDEX(Products!$B$2:$B$101,MATCH($D1312,Products!$A$2:$A$101,0))&amp;"","(not found)"))</f>
        <v/>
      </c>
      <c r="O1312" s="49" t="str">
        <f>IF($F1312="","",IFERROR(INDEX(Batches!$B$2:$B$301,MATCH($F1312,Batches!$A$2:$A$301,0))&amp;"","(not found)"))</f>
        <v/>
      </c>
      <c r="P1312" s="49" t="str">
        <f>IF(COUNTA($A1312:$L1312)=0,"",IF($A1312="","Missing: entry ID",IF(COUNTIF($A$2:$A$2001,$A1312)&gt;1,"Duplicate entry ID",IF(NOT(ISNUMBER($B1312)),"Missing or invalid: date",IF($C1312="","Missing: type",IF($D1312="","Missing: SKU",IF(NOT(ISNUMBER($E1312)),"Missing: qty",IF($F1312="","Missing: lot",IF($I1312="","Missing: source link",IF(COUNTIF(Config!$A$15:$A$34,$C1312)=0,"Unsupported type",IF(COUNTIF(Products!$A$2:$A$101,$D1312)=0,"Unknown SKU",IF(COUNTIFS(Batches!$A$2:$A$301,$F1312,Batches!$B$2:$B$301,$D1312)=0,"Unknown lot for this SKU",IF(AND($C1312="Adjustment",$G1312=""),"Missing: reason",IF(AND($G1312&lt;&gt;"",COUNTIF(Config!$B$15:$B$34,$G1312)=0),"Unsupported reason",IF(OR(INT($E1312)&lt;&gt;$E1312,AND(OR($C1312="Receipt",$C1312="Shipment"),$E1312&lt;=0),AND($C1312="Adjustment",$E1312=0)),"Invalid qty",IF($B1312&gt;Config!$B$4,"Date after the as-of date",IF($B1312&lt;Config!$B$5,"Date before the opening balance date","OK")))))))))))))))))</f>
        <v/>
      </c>
    </row>
    <row r="1313">
      <c r="A1313" s="46" t="n"/>
      <c r="B1313" s="54" t="n"/>
      <c r="C1313" s="46" t="n"/>
      <c r="D1313" s="46" t="n"/>
      <c r="E1313" s="55" t="n"/>
      <c r="F1313" s="46" t="n"/>
      <c r="G1313" s="46" t="n"/>
      <c r="H1313" s="46" t="n"/>
      <c r="I1313" s="46" t="n"/>
      <c r="J1313" s="46" t="n"/>
      <c r="K1313" s="46" t="n"/>
      <c r="L1313" s="46" t="n"/>
      <c r="M1313" s="51" t="str">
        <f>IF(NOT(ISNUMBER($E1313)),"",IF($C1313="Receipt",$E1313,IF($C1313="Shipment",-$E1313,IF($C1313="Adjustment",$E1313,0))))</f>
        <v/>
      </c>
      <c r="N1313" s="49" t="str">
        <f>IF($D1313="","",IFERROR(INDEX(Products!$B$2:$B$101,MATCH($D1313,Products!$A$2:$A$101,0))&amp;"","(not found)"))</f>
        <v/>
      </c>
      <c r="O1313" s="49" t="str">
        <f>IF($F1313="","",IFERROR(INDEX(Batches!$B$2:$B$301,MATCH($F1313,Batches!$A$2:$A$301,0))&amp;"","(not found)"))</f>
        <v/>
      </c>
      <c r="P1313" s="49" t="str">
        <f>IF(COUNTA($A1313:$L1313)=0,"",IF($A1313="","Missing: entry ID",IF(COUNTIF($A$2:$A$2001,$A1313)&gt;1,"Duplicate entry ID",IF(NOT(ISNUMBER($B1313)),"Missing or invalid: date",IF($C1313="","Missing: type",IF($D1313="","Missing: SKU",IF(NOT(ISNUMBER($E1313)),"Missing: qty",IF($F1313="","Missing: lot",IF($I1313="","Missing: source link",IF(COUNTIF(Config!$A$15:$A$34,$C1313)=0,"Unsupported type",IF(COUNTIF(Products!$A$2:$A$101,$D1313)=0,"Unknown SKU",IF(COUNTIFS(Batches!$A$2:$A$301,$F1313,Batches!$B$2:$B$301,$D1313)=0,"Unknown lot for this SKU",IF(AND($C1313="Adjustment",$G1313=""),"Missing: reason",IF(AND($G1313&lt;&gt;"",COUNTIF(Config!$B$15:$B$34,$G1313)=0),"Unsupported reason",IF(OR(INT($E1313)&lt;&gt;$E1313,AND(OR($C1313="Receipt",$C1313="Shipment"),$E1313&lt;=0),AND($C1313="Adjustment",$E1313=0)),"Invalid qty",IF($B1313&gt;Config!$B$4,"Date after the as-of date",IF($B1313&lt;Config!$B$5,"Date before the opening balance date","OK")))))))))))))))))</f>
        <v/>
      </c>
    </row>
    <row r="1314">
      <c r="A1314" s="46" t="n"/>
      <c r="B1314" s="54" t="n"/>
      <c r="C1314" s="46" t="n"/>
      <c r="D1314" s="46" t="n"/>
      <c r="E1314" s="55" t="n"/>
      <c r="F1314" s="46" t="n"/>
      <c r="G1314" s="46" t="n"/>
      <c r="H1314" s="46" t="n"/>
      <c r="I1314" s="46" t="n"/>
      <c r="J1314" s="46" t="n"/>
      <c r="K1314" s="46" t="n"/>
      <c r="L1314" s="46" t="n"/>
      <c r="M1314" s="51" t="str">
        <f>IF(NOT(ISNUMBER($E1314)),"",IF($C1314="Receipt",$E1314,IF($C1314="Shipment",-$E1314,IF($C1314="Adjustment",$E1314,0))))</f>
        <v/>
      </c>
      <c r="N1314" s="49" t="str">
        <f>IF($D1314="","",IFERROR(INDEX(Products!$B$2:$B$101,MATCH($D1314,Products!$A$2:$A$101,0))&amp;"","(not found)"))</f>
        <v/>
      </c>
      <c r="O1314" s="49" t="str">
        <f>IF($F1314="","",IFERROR(INDEX(Batches!$B$2:$B$301,MATCH($F1314,Batches!$A$2:$A$301,0))&amp;"","(not found)"))</f>
        <v/>
      </c>
      <c r="P1314" s="49" t="str">
        <f>IF(COUNTA($A1314:$L1314)=0,"",IF($A1314="","Missing: entry ID",IF(COUNTIF($A$2:$A$2001,$A1314)&gt;1,"Duplicate entry ID",IF(NOT(ISNUMBER($B1314)),"Missing or invalid: date",IF($C1314="","Missing: type",IF($D1314="","Missing: SKU",IF(NOT(ISNUMBER($E1314)),"Missing: qty",IF($F1314="","Missing: lot",IF($I1314="","Missing: source link",IF(COUNTIF(Config!$A$15:$A$34,$C1314)=0,"Unsupported type",IF(COUNTIF(Products!$A$2:$A$101,$D1314)=0,"Unknown SKU",IF(COUNTIFS(Batches!$A$2:$A$301,$F1314,Batches!$B$2:$B$301,$D1314)=0,"Unknown lot for this SKU",IF(AND($C1314="Adjustment",$G1314=""),"Missing: reason",IF(AND($G1314&lt;&gt;"",COUNTIF(Config!$B$15:$B$34,$G1314)=0),"Unsupported reason",IF(OR(INT($E1314)&lt;&gt;$E1314,AND(OR($C1314="Receipt",$C1314="Shipment"),$E1314&lt;=0),AND($C1314="Adjustment",$E1314=0)),"Invalid qty",IF($B1314&gt;Config!$B$4,"Date after the as-of date",IF($B1314&lt;Config!$B$5,"Date before the opening balance date","OK")))))))))))))))))</f>
        <v/>
      </c>
    </row>
    <row r="1315">
      <c r="A1315" s="46" t="n"/>
      <c r="B1315" s="54" t="n"/>
      <c r="C1315" s="46" t="n"/>
      <c r="D1315" s="46" t="n"/>
      <c r="E1315" s="55" t="n"/>
      <c r="F1315" s="46" t="n"/>
      <c r="G1315" s="46" t="n"/>
      <c r="H1315" s="46" t="n"/>
      <c r="I1315" s="46" t="n"/>
      <c r="J1315" s="46" t="n"/>
      <c r="K1315" s="46" t="n"/>
      <c r="L1315" s="46" t="n"/>
      <c r="M1315" s="51" t="str">
        <f>IF(NOT(ISNUMBER($E1315)),"",IF($C1315="Receipt",$E1315,IF($C1315="Shipment",-$E1315,IF($C1315="Adjustment",$E1315,0))))</f>
        <v/>
      </c>
      <c r="N1315" s="49" t="str">
        <f>IF($D1315="","",IFERROR(INDEX(Products!$B$2:$B$101,MATCH($D1315,Products!$A$2:$A$101,0))&amp;"","(not found)"))</f>
        <v/>
      </c>
      <c r="O1315" s="49" t="str">
        <f>IF($F1315="","",IFERROR(INDEX(Batches!$B$2:$B$301,MATCH($F1315,Batches!$A$2:$A$301,0))&amp;"","(not found)"))</f>
        <v/>
      </c>
      <c r="P1315" s="49" t="str">
        <f>IF(COUNTA($A1315:$L1315)=0,"",IF($A1315="","Missing: entry ID",IF(COUNTIF($A$2:$A$2001,$A1315)&gt;1,"Duplicate entry ID",IF(NOT(ISNUMBER($B1315)),"Missing or invalid: date",IF($C1315="","Missing: type",IF($D1315="","Missing: SKU",IF(NOT(ISNUMBER($E1315)),"Missing: qty",IF($F1315="","Missing: lot",IF($I1315="","Missing: source link",IF(COUNTIF(Config!$A$15:$A$34,$C1315)=0,"Unsupported type",IF(COUNTIF(Products!$A$2:$A$101,$D1315)=0,"Unknown SKU",IF(COUNTIFS(Batches!$A$2:$A$301,$F1315,Batches!$B$2:$B$301,$D1315)=0,"Unknown lot for this SKU",IF(AND($C1315="Adjustment",$G1315=""),"Missing: reason",IF(AND($G1315&lt;&gt;"",COUNTIF(Config!$B$15:$B$34,$G1315)=0),"Unsupported reason",IF(OR(INT($E1315)&lt;&gt;$E1315,AND(OR($C1315="Receipt",$C1315="Shipment"),$E1315&lt;=0),AND($C1315="Adjustment",$E1315=0)),"Invalid qty",IF($B1315&gt;Config!$B$4,"Date after the as-of date",IF($B1315&lt;Config!$B$5,"Date before the opening balance date","OK")))))))))))))))))</f>
        <v/>
      </c>
    </row>
    <row r="1316">
      <c r="A1316" s="46" t="n"/>
      <c r="B1316" s="54" t="n"/>
      <c r="C1316" s="46" t="n"/>
      <c r="D1316" s="46" t="n"/>
      <c r="E1316" s="55" t="n"/>
      <c r="F1316" s="46" t="n"/>
      <c r="G1316" s="46" t="n"/>
      <c r="H1316" s="46" t="n"/>
      <c r="I1316" s="46" t="n"/>
      <c r="J1316" s="46" t="n"/>
      <c r="K1316" s="46" t="n"/>
      <c r="L1316" s="46" t="n"/>
      <c r="M1316" s="51" t="str">
        <f>IF(NOT(ISNUMBER($E1316)),"",IF($C1316="Receipt",$E1316,IF($C1316="Shipment",-$E1316,IF($C1316="Adjustment",$E1316,0))))</f>
        <v/>
      </c>
      <c r="N1316" s="49" t="str">
        <f>IF($D1316="","",IFERROR(INDEX(Products!$B$2:$B$101,MATCH($D1316,Products!$A$2:$A$101,0))&amp;"","(not found)"))</f>
        <v/>
      </c>
      <c r="O1316" s="49" t="str">
        <f>IF($F1316="","",IFERROR(INDEX(Batches!$B$2:$B$301,MATCH($F1316,Batches!$A$2:$A$301,0))&amp;"","(not found)"))</f>
        <v/>
      </c>
      <c r="P1316" s="49" t="str">
        <f>IF(COUNTA($A1316:$L1316)=0,"",IF($A1316="","Missing: entry ID",IF(COUNTIF($A$2:$A$2001,$A1316)&gt;1,"Duplicate entry ID",IF(NOT(ISNUMBER($B1316)),"Missing or invalid: date",IF($C1316="","Missing: type",IF($D1316="","Missing: SKU",IF(NOT(ISNUMBER($E1316)),"Missing: qty",IF($F1316="","Missing: lot",IF($I1316="","Missing: source link",IF(COUNTIF(Config!$A$15:$A$34,$C1316)=0,"Unsupported type",IF(COUNTIF(Products!$A$2:$A$101,$D1316)=0,"Unknown SKU",IF(COUNTIFS(Batches!$A$2:$A$301,$F1316,Batches!$B$2:$B$301,$D1316)=0,"Unknown lot for this SKU",IF(AND($C1316="Adjustment",$G1316=""),"Missing: reason",IF(AND($G1316&lt;&gt;"",COUNTIF(Config!$B$15:$B$34,$G1316)=0),"Unsupported reason",IF(OR(INT($E1316)&lt;&gt;$E1316,AND(OR($C1316="Receipt",$C1316="Shipment"),$E1316&lt;=0),AND($C1316="Adjustment",$E1316=0)),"Invalid qty",IF($B1316&gt;Config!$B$4,"Date after the as-of date",IF($B1316&lt;Config!$B$5,"Date before the opening balance date","OK")))))))))))))))))</f>
        <v/>
      </c>
    </row>
    <row r="1317">
      <c r="A1317" s="46" t="n"/>
      <c r="B1317" s="54" t="n"/>
      <c r="C1317" s="46" t="n"/>
      <c r="D1317" s="46" t="n"/>
      <c r="E1317" s="55" t="n"/>
      <c r="F1317" s="46" t="n"/>
      <c r="G1317" s="46" t="n"/>
      <c r="H1317" s="46" t="n"/>
      <c r="I1317" s="46" t="n"/>
      <c r="J1317" s="46" t="n"/>
      <c r="K1317" s="46" t="n"/>
      <c r="L1317" s="46" t="n"/>
      <c r="M1317" s="51" t="str">
        <f>IF(NOT(ISNUMBER($E1317)),"",IF($C1317="Receipt",$E1317,IF($C1317="Shipment",-$E1317,IF($C1317="Adjustment",$E1317,0))))</f>
        <v/>
      </c>
      <c r="N1317" s="49" t="str">
        <f>IF($D1317="","",IFERROR(INDEX(Products!$B$2:$B$101,MATCH($D1317,Products!$A$2:$A$101,0))&amp;"","(not found)"))</f>
        <v/>
      </c>
      <c r="O1317" s="49" t="str">
        <f>IF($F1317="","",IFERROR(INDEX(Batches!$B$2:$B$301,MATCH($F1317,Batches!$A$2:$A$301,0))&amp;"","(not found)"))</f>
        <v/>
      </c>
      <c r="P1317" s="49" t="str">
        <f>IF(COUNTA($A1317:$L1317)=0,"",IF($A1317="","Missing: entry ID",IF(COUNTIF($A$2:$A$2001,$A1317)&gt;1,"Duplicate entry ID",IF(NOT(ISNUMBER($B1317)),"Missing or invalid: date",IF($C1317="","Missing: type",IF($D1317="","Missing: SKU",IF(NOT(ISNUMBER($E1317)),"Missing: qty",IF($F1317="","Missing: lot",IF($I1317="","Missing: source link",IF(COUNTIF(Config!$A$15:$A$34,$C1317)=0,"Unsupported type",IF(COUNTIF(Products!$A$2:$A$101,$D1317)=0,"Unknown SKU",IF(COUNTIFS(Batches!$A$2:$A$301,$F1317,Batches!$B$2:$B$301,$D1317)=0,"Unknown lot for this SKU",IF(AND($C1317="Adjustment",$G1317=""),"Missing: reason",IF(AND($G1317&lt;&gt;"",COUNTIF(Config!$B$15:$B$34,$G1317)=0),"Unsupported reason",IF(OR(INT($E1317)&lt;&gt;$E1317,AND(OR($C1317="Receipt",$C1317="Shipment"),$E1317&lt;=0),AND($C1317="Adjustment",$E1317=0)),"Invalid qty",IF($B1317&gt;Config!$B$4,"Date after the as-of date",IF($B1317&lt;Config!$B$5,"Date before the opening balance date","OK")))))))))))))))))</f>
        <v/>
      </c>
    </row>
    <row r="1318">
      <c r="A1318" s="46" t="n"/>
      <c r="B1318" s="54" t="n"/>
      <c r="C1318" s="46" t="n"/>
      <c r="D1318" s="46" t="n"/>
      <c r="E1318" s="55" t="n"/>
      <c r="F1318" s="46" t="n"/>
      <c r="G1318" s="46" t="n"/>
      <c r="H1318" s="46" t="n"/>
      <c r="I1318" s="46" t="n"/>
      <c r="J1318" s="46" t="n"/>
      <c r="K1318" s="46" t="n"/>
      <c r="L1318" s="46" t="n"/>
      <c r="M1318" s="51" t="str">
        <f>IF(NOT(ISNUMBER($E1318)),"",IF($C1318="Receipt",$E1318,IF($C1318="Shipment",-$E1318,IF($C1318="Adjustment",$E1318,0))))</f>
        <v/>
      </c>
      <c r="N1318" s="49" t="str">
        <f>IF($D1318="","",IFERROR(INDEX(Products!$B$2:$B$101,MATCH($D1318,Products!$A$2:$A$101,0))&amp;"","(not found)"))</f>
        <v/>
      </c>
      <c r="O1318" s="49" t="str">
        <f>IF($F1318="","",IFERROR(INDEX(Batches!$B$2:$B$301,MATCH($F1318,Batches!$A$2:$A$301,0))&amp;"","(not found)"))</f>
        <v/>
      </c>
      <c r="P1318" s="49" t="str">
        <f>IF(COUNTA($A1318:$L1318)=0,"",IF($A1318="","Missing: entry ID",IF(COUNTIF($A$2:$A$2001,$A1318)&gt;1,"Duplicate entry ID",IF(NOT(ISNUMBER($B1318)),"Missing or invalid: date",IF($C1318="","Missing: type",IF($D1318="","Missing: SKU",IF(NOT(ISNUMBER($E1318)),"Missing: qty",IF($F1318="","Missing: lot",IF($I1318="","Missing: source link",IF(COUNTIF(Config!$A$15:$A$34,$C1318)=0,"Unsupported type",IF(COUNTIF(Products!$A$2:$A$101,$D1318)=0,"Unknown SKU",IF(COUNTIFS(Batches!$A$2:$A$301,$F1318,Batches!$B$2:$B$301,$D1318)=0,"Unknown lot for this SKU",IF(AND($C1318="Adjustment",$G1318=""),"Missing: reason",IF(AND($G1318&lt;&gt;"",COUNTIF(Config!$B$15:$B$34,$G1318)=0),"Unsupported reason",IF(OR(INT($E1318)&lt;&gt;$E1318,AND(OR($C1318="Receipt",$C1318="Shipment"),$E1318&lt;=0),AND($C1318="Adjustment",$E1318=0)),"Invalid qty",IF($B1318&gt;Config!$B$4,"Date after the as-of date",IF($B1318&lt;Config!$B$5,"Date before the opening balance date","OK")))))))))))))))))</f>
        <v/>
      </c>
    </row>
    <row r="1319">
      <c r="A1319" s="46" t="n"/>
      <c r="B1319" s="54" t="n"/>
      <c r="C1319" s="46" t="n"/>
      <c r="D1319" s="46" t="n"/>
      <c r="E1319" s="55" t="n"/>
      <c r="F1319" s="46" t="n"/>
      <c r="G1319" s="46" t="n"/>
      <c r="H1319" s="46" t="n"/>
      <c r="I1319" s="46" t="n"/>
      <c r="J1319" s="46" t="n"/>
      <c r="K1319" s="46" t="n"/>
      <c r="L1319" s="46" t="n"/>
      <c r="M1319" s="51" t="str">
        <f>IF(NOT(ISNUMBER($E1319)),"",IF($C1319="Receipt",$E1319,IF($C1319="Shipment",-$E1319,IF($C1319="Adjustment",$E1319,0))))</f>
        <v/>
      </c>
      <c r="N1319" s="49" t="str">
        <f>IF($D1319="","",IFERROR(INDEX(Products!$B$2:$B$101,MATCH($D1319,Products!$A$2:$A$101,0))&amp;"","(not found)"))</f>
        <v/>
      </c>
      <c r="O1319" s="49" t="str">
        <f>IF($F1319="","",IFERROR(INDEX(Batches!$B$2:$B$301,MATCH($F1319,Batches!$A$2:$A$301,0))&amp;"","(not found)"))</f>
        <v/>
      </c>
      <c r="P1319" s="49" t="str">
        <f>IF(COUNTA($A1319:$L1319)=0,"",IF($A1319="","Missing: entry ID",IF(COUNTIF($A$2:$A$2001,$A1319)&gt;1,"Duplicate entry ID",IF(NOT(ISNUMBER($B1319)),"Missing or invalid: date",IF($C1319="","Missing: type",IF($D1319="","Missing: SKU",IF(NOT(ISNUMBER($E1319)),"Missing: qty",IF($F1319="","Missing: lot",IF($I1319="","Missing: source link",IF(COUNTIF(Config!$A$15:$A$34,$C1319)=0,"Unsupported type",IF(COUNTIF(Products!$A$2:$A$101,$D1319)=0,"Unknown SKU",IF(COUNTIFS(Batches!$A$2:$A$301,$F1319,Batches!$B$2:$B$301,$D1319)=0,"Unknown lot for this SKU",IF(AND($C1319="Adjustment",$G1319=""),"Missing: reason",IF(AND($G1319&lt;&gt;"",COUNTIF(Config!$B$15:$B$34,$G1319)=0),"Unsupported reason",IF(OR(INT($E1319)&lt;&gt;$E1319,AND(OR($C1319="Receipt",$C1319="Shipment"),$E1319&lt;=0),AND($C1319="Adjustment",$E1319=0)),"Invalid qty",IF($B1319&gt;Config!$B$4,"Date after the as-of date",IF($B1319&lt;Config!$B$5,"Date before the opening balance date","OK")))))))))))))))))</f>
        <v/>
      </c>
    </row>
    <row r="1320">
      <c r="A1320" s="46" t="n"/>
      <c r="B1320" s="54" t="n"/>
      <c r="C1320" s="46" t="n"/>
      <c r="D1320" s="46" t="n"/>
      <c r="E1320" s="55" t="n"/>
      <c r="F1320" s="46" t="n"/>
      <c r="G1320" s="46" t="n"/>
      <c r="H1320" s="46" t="n"/>
      <c r="I1320" s="46" t="n"/>
      <c r="J1320" s="46" t="n"/>
      <c r="K1320" s="46" t="n"/>
      <c r="L1320" s="46" t="n"/>
      <c r="M1320" s="51" t="str">
        <f>IF(NOT(ISNUMBER($E1320)),"",IF($C1320="Receipt",$E1320,IF($C1320="Shipment",-$E1320,IF($C1320="Adjustment",$E1320,0))))</f>
        <v/>
      </c>
      <c r="N1320" s="49" t="str">
        <f>IF($D1320="","",IFERROR(INDEX(Products!$B$2:$B$101,MATCH($D1320,Products!$A$2:$A$101,0))&amp;"","(not found)"))</f>
        <v/>
      </c>
      <c r="O1320" s="49" t="str">
        <f>IF($F1320="","",IFERROR(INDEX(Batches!$B$2:$B$301,MATCH($F1320,Batches!$A$2:$A$301,0))&amp;"","(not found)"))</f>
        <v/>
      </c>
      <c r="P1320" s="49" t="str">
        <f>IF(COUNTA($A1320:$L1320)=0,"",IF($A1320="","Missing: entry ID",IF(COUNTIF($A$2:$A$2001,$A1320)&gt;1,"Duplicate entry ID",IF(NOT(ISNUMBER($B1320)),"Missing or invalid: date",IF($C1320="","Missing: type",IF($D1320="","Missing: SKU",IF(NOT(ISNUMBER($E1320)),"Missing: qty",IF($F1320="","Missing: lot",IF($I1320="","Missing: source link",IF(COUNTIF(Config!$A$15:$A$34,$C1320)=0,"Unsupported type",IF(COUNTIF(Products!$A$2:$A$101,$D1320)=0,"Unknown SKU",IF(COUNTIFS(Batches!$A$2:$A$301,$F1320,Batches!$B$2:$B$301,$D1320)=0,"Unknown lot for this SKU",IF(AND($C1320="Adjustment",$G1320=""),"Missing: reason",IF(AND($G1320&lt;&gt;"",COUNTIF(Config!$B$15:$B$34,$G1320)=0),"Unsupported reason",IF(OR(INT($E1320)&lt;&gt;$E1320,AND(OR($C1320="Receipt",$C1320="Shipment"),$E1320&lt;=0),AND($C1320="Adjustment",$E1320=0)),"Invalid qty",IF($B1320&gt;Config!$B$4,"Date after the as-of date",IF($B1320&lt;Config!$B$5,"Date before the opening balance date","OK")))))))))))))))))</f>
        <v/>
      </c>
    </row>
    <row r="1321">
      <c r="A1321" s="46" t="n"/>
      <c r="B1321" s="54" t="n"/>
      <c r="C1321" s="46" t="n"/>
      <c r="D1321" s="46" t="n"/>
      <c r="E1321" s="55" t="n"/>
      <c r="F1321" s="46" t="n"/>
      <c r="G1321" s="46" t="n"/>
      <c r="H1321" s="46" t="n"/>
      <c r="I1321" s="46" t="n"/>
      <c r="J1321" s="46" t="n"/>
      <c r="K1321" s="46" t="n"/>
      <c r="L1321" s="46" t="n"/>
      <c r="M1321" s="51" t="str">
        <f>IF(NOT(ISNUMBER($E1321)),"",IF($C1321="Receipt",$E1321,IF($C1321="Shipment",-$E1321,IF($C1321="Adjustment",$E1321,0))))</f>
        <v/>
      </c>
      <c r="N1321" s="49" t="str">
        <f>IF($D1321="","",IFERROR(INDEX(Products!$B$2:$B$101,MATCH($D1321,Products!$A$2:$A$101,0))&amp;"","(not found)"))</f>
        <v/>
      </c>
      <c r="O1321" s="49" t="str">
        <f>IF($F1321="","",IFERROR(INDEX(Batches!$B$2:$B$301,MATCH($F1321,Batches!$A$2:$A$301,0))&amp;"","(not found)"))</f>
        <v/>
      </c>
      <c r="P1321" s="49" t="str">
        <f>IF(COUNTA($A1321:$L1321)=0,"",IF($A1321="","Missing: entry ID",IF(COUNTIF($A$2:$A$2001,$A1321)&gt;1,"Duplicate entry ID",IF(NOT(ISNUMBER($B1321)),"Missing or invalid: date",IF($C1321="","Missing: type",IF($D1321="","Missing: SKU",IF(NOT(ISNUMBER($E1321)),"Missing: qty",IF($F1321="","Missing: lot",IF($I1321="","Missing: source link",IF(COUNTIF(Config!$A$15:$A$34,$C1321)=0,"Unsupported type",IF(COUNTIF(Products!$A$2:$A$101,$D1321)=0,"Unknown SKU",IF(COUNTIFS(Batches!$A$2:$A$301,$F1321,Batches!$B$2:$B$301,$D1321)=0,"Unknown lot for this SKU",IF(AND($C1321="Adjustment",$G1321=""),"Missing: reason",IF(AND($G1321&lt;&gt;"",COUNTIF(Config!$B$15:$B$34,$G1321)=0),"Unsupported reason",IF(OR(INT($E1321)&lt;&gt;$E1321,AND(OR($C1321="Receipt",$C1321="Shipment"),$E1321&lt;=0),AND($C1321="Adjustment",$E1321=0)),"Invalid qty",IF($B1321&gt;Config!$B$4,"Date after the as-of date",IF($B1321&lt;Config!$B$5,"Date before the opening balance date","OK")))))))))))))))))</f>
        <v/>
      </c>
    </row>
    <row r="1322">
      <c r="A1322" s="46" t="n"/>
      <c r="B1322" s="54" t="n"/>
      <c r="C1322" s="46" t="n"/>
      <c r="D1322" s="46" t="n"/>
      <c r="E1322" s="55" t="n"/>
      <c r="F1322" s="46" t="n"/>
      <c r="G1322" s="46" t="n"/>
      <c r="H1322" s="46" t="n"/>
      <c r="I1322" s="46" t="n"/>
      <c r="J1322" s="46" t="n"/>
      <c r="K1322" s="46" t="n"/>
      <c r="L1322" s="46" t="n"/>
      <c r="M1322" s="51" t="str">
        <f>IF(NOT(ISNUMBER($E1322)),"",IF($C1322="Receipt",$E1322,IF($C1322="Shipment",-$E1322,IF($C1322="Adjustment",$E1322,0))))</f>
        <v/>
      </c>
      <c r="N1322" s="49" t="str">
        <f>IF($D1322="","",IFERROR(INDEX(Products!$B$2:$B$101,MATCH($D1322,Products!$A$2:$A$101,0))&amp;"","(not found)"))</f>
        <v/>
      </c>
      <c r="O1322" s="49" t="str">
        <f>IF($F1322="","",IFERROR(INDEX(Batches!$B$2:$B$301,MATCH($F1322,Batches!$A$2:$A$301,0))&amp;"","(not found)"))</f>
        <v/>
      </c>
      <c r="P1322" s="49" t="str">
        <f>IF(COUNTA($A1322:$L1322)=0,"",IF($A1322="","Missing: entry ID",IF(COUNTIF($A$2:$A$2001,$A1322)&gt;1,"Duplicate entry ID",IF(NOT(ISNUMBER($B1322)),"Missing or invalid: date",IF($C1322="","Missing: type",IF($D1322="","Missing: SKU",IF(NOT(ISNUMBER($E1322)),"Missing: qty",IF($F1322="","Missing: lot",IF($I1322="","Missing: source link",IF(COUNTIF(Config!$A$15:$A$34,$C1322)=0,"Unsupported type",IF(COUNTIF(Products!$A$2:$A$101,$D1322)=0,"Unknown SKU",IF(COUNTIFS(Batches!$A$2:$A$301,$F1322,Batches!$B$2:$B$301,$D1322)=0,"Unknown lot for this SKU",IF(AND($C1322="Adjustment",$G1322=""),"Missing: reason",IF(AND($G1322&lt;&gt;"",COUNTIF(Config!$B$15:$B$34,$G1322)=0),"Unsupported reason",IF(OR(INT($E1322)&lt;&gt;$E1322,AND(OR($C1322="Receipt",$C1322="Shipment"),$E1322&lt;=0),AND($C1322="Adjustment",$E1322=0)),"Invalid qty",IF($B1322&gt;Config!$B$4,"Date after the as-of date",IF($B1322&lt;Config!$B$5,"Date before the opening balance date","OK")))))))))))))))))</f>
        <v/>
      </c>
    </row>
    <row r="1323">
      <c r="A1323" s="46" t="n"/>
      <c r="B1323" s="54" t="n"/>
      <c r="C1323" s="46" t="n"/>
      <c r="D1323" s="46" t="n"/>
      <c r="E1323" s="55" t="n"/>
      <c r="F1323" s="46" t="n"/>
      <c r="G1323" s="46" t="n"/>
      <c r="H1323" s="46" t="n"/>
      <c r="I1323" s="46" t="n"/>
      <c r="J1323" s="46" t="n"/>
      <c r="K1323" s="46" t="n"/>
      <c r="L1323" s="46" t="n"/>
      <c r="M1323" s="51" t="str">
        <f>IF(NOT(ISNUMBER($E1323)),"",IF($C1323="Receipt",$E1323,IF($C1323="Shipment",-$E1323,IF($C1323="Adjustment",$E1323,0))))</f>
        <v/>
      </c>
      <c r="N1323" s="49" t="str">
        <f>IF($D1323="","",IFERROR(INDEX(Products!$B$2:$B$101,MATCH($D1323,Products!$A$2:$A$101,0))&amp;"","(not found)"))</f>
        <v/>
      </c>
      <c r="O1323" s="49" t="str">
        <f>IF($F1323="","",IFERROR(INDEX(Batches!$B$2:$B$301,MATCH($F1323,Batches!$A$2:$A$301,0))&amp;"","(not found)"))</f>
        <v/>
      </c>
      <c r="P1323" s="49" t="str">
        <f>IF(COUNTA($A1323:$L1323)=0,"",IF($A1323="","Missing: entry ID",IF(COUNTIF($A$2:$A$2001,$A1323)&gt;1,"Duplicate entry ID",IF(NOT(ISNUMBER($B1323)),"Missing or invalid: date",IF($C1323="","Missing: type",IF($D1323="","Missing: SKU",IF(NOT(ISNUMBER($E1323)),"Missing: qty",IF($F1323="","Missing: lot",IF($I1323="","Missing: source link",IF(COUNTIF(Config!$A$15:$A$34,$C1323)=0,"Unsupported type",IF(COUNTIF(Products!$A$2:$A$101,$D1323)=0,"Unknown SKU",IF(COUNTIFS(Batches!$A$2:$A$301,$F1323,Batches!$B$2:$B$301,$D1323)=0,"Unknown lot for this SKU",IF(AND($C1323="Adjustment",$G1323=""),"Missing: reason",IF(AND($G1323&lt;&gt;"",COUNTIF(Config!$B$15:$B$34,$G1323)=0),"Unsupported reason",IF(OR(INT($E1323)&lt;&gt;$E1323,AND(OR($C1323="Receipt",$C1323="Shipment"),$E1323&lt;=0),AND($C1323="Adjustment",$E1323=0)),"Invalid qty",IF($B1323&gt;Config!$B$4,"Date after the as-of date",IF($B1323&lt;Config!$B$5,"Date before the opening balance date","OK")))))))))))))))))</f>
        <v/>
      </c>
    </row>
    <row r="1324">
      <c r="A1324" s="46" t="n"/>
      <c r="B1324" s="54" t="n"/>
      <c r="C1324" s="46" t="n"/>
      <c r="D1324" s="46" t="n"/>
      <c r="E1324" s="55" t="n"/>
      <c r="F1324" s="46" t="n"/>
      <c r="G1324" s="46" t="n"/>
      <c r="H1324" s="46" t="n"/>
      <c r="I1324" s="46" t="n"/>
      <c r="J1324" s="46" t="n"/>
      <c r="K1324" s="46" t="n"/>
      <c r="L1324" s="46" t="n"/>
      <c r="M1324" s="51" t="str">
        <f>IF(NOT(ISNUMBER($E1324)),"",IF($C1324="Receipt",$E1324,IF($C1324="Shipment",-$E1324,IF($C1324="Adjustment",$E1324,0))))</f>
        <v/>
      </c>
      <c r="N1324" s="49" t="str">
        <f>IF($D1324="","",IFERROR(INDEX(Products!$B$2:$B$101,MATCH($D1324,Products!$A$2:$A$101,0))&amp;"","(not found)"))</f>
        <v/>
      </c>
      <c r="O1324" s="49" t="str">
        <f>IF($F1324="","",IFERROR(INDEX(Batches!$B$2:$B$301,MATCH($F1324,Batches!$A$2:$A$301,0))&amp;"","(not found)"))</f>
        <v/>
      </c>
      <c r="P1324" s="49" t="str">
        <f>IF(COUNTA($A1324:$L1324)=0,"",IF($A1324="","Missing: entry ID",IF(COUNTIF($A$2:$A$2001,$A1324)&gt;1,"Duplicate entry ID",IF(NOT(ISNUMBER($B1324)),"Missing or invalid: date",IF($C1324="","Missing: type",IF($D1324="","Missing: SKU",IF(NOT(ISNUMBER($E1324)),"Missing: qty",IF($F1324="","Missing: lot",IF($I1324="","Missing: source link",IF(COUNTIF(Config!$A$15:$A$34,$C1324)=0,"Unsupported type",IF(COUNTIF(Products!$A$2:$A$101,$D1324)=0,"Unknown SKU",IF(COUNTIFS(Batches!$A$2:$A$301,$F1324,Batches!$B$2:$B$301,$D1324)=0,"Unknown lot for this SKU",IF(AND($C1324="Adjustment",$G1324=""),"Missing: reason",IF(AND($G1324&lt;&gt;"",COUNTIF(Config!$B$15:$B$34,$G1324)=0),"Unsupported reason",IF(OR(INT($E1324)&lt;&gt;$E1324,AND(OR($C1324="Receipt",$C1324="Shipment"),$E1324&lt;=0),AND($C1324="Adjustment",$E1324=0)),"Invalid qty",IF($B1324&gt;Config!$B$4,"Date after the as-of date",IF($B1324&lt;Config!$B$5,"Date before the opening balance date","OK")))))))))))))))))</f>
        <v/>
      </c>
    </row>
    <row r="1325">
      <c r="A1325" s="46" t="n"/>
      <c r="B1325" s="54" t="n"/>
      <c r="C1325" s="46" t="n"/>
      <c r="D1325" s="46" t="n"/>
      <c r="E1325" s="55" t="n"/>
      <c r="F1325" s="46" t="n"/>
      <c r="G1325" s="46" t="n"/>
      <c r="H1325" s="46" t="n"/>
      <c r="I1325" s="46" t="n"/>
      <c r="J1325" s="46" t="n"/>
      <c r="K1325" s="46" t="n"/>
      <c r="L1325" s="46" t="n"/>
      <c r="M1325" s="51" t="str">
        <f>IF(NOT(ISNUMBER($E1325)),"",IF($C1325="Receipt",$E1325,IF($C1325="Shipment",-$E1325,IF($C1325="Adjustment",$E1325,0))))</f>
        <v/>
      </c>
      <c r="N1325" s="49" t="str">
        <f>IF($D1325="","",IFERROR(INDEX(Products!$B$2:$B$101,MATCH($D1325,Products!$A$2:$A$101,0))&amp;"","(not found)"))</f>
        <v/>
      </c>
      <c r="O1325" s="49" t="str">
        <f>IF($F1325="","",IFERROR(INDEX(Batches!$B$2:$B$301,MATCH($F1325,Batches!$A$2:$A$301,0))&amp;"","(not found)"))</f>
        <v/>
      </c>
      <c r="P1325" s="49" t="str">
        <f>IF(COUNTA($A1325:$L1325)=0,"",IF($A1325="","Missing: entry ID",IF(COUNTIF($A$2:$A$2001,$A1325)&gt;1,"Duplicate entry ID",IF(NOT(ISNUMBER($B1325)),"Missing or invalid: date",IF($C1325="","Missing: type",IF($D1325="","Missing: SKU",IF(NOT(ISNUMBER($E1325)),"Missing: qty",IF($F1325="","Missing: lot",IF($I1325="","Missing: source link",IF(COUNTIF(Config!$A$15:$A$34,$C1325)=0,"Unsupported type",IF(COUNTIF(Products!$A$2:$A$101,$D1325)=0,"Unknown SKU",IF(COUNTIFS(Batches!$A$2:$A$301,$F1325,Batches!$B$2:$B$301,$D1325)=0,"Unknown lot for this SKU",IF(AND($C1325="Adjustment",$G1325=""),"Missing: reason",IF(AND($G1325&lt;&gt;"",COUNTIF(Config!$B$15:$B$34,$G1325)=0),"Unsupported reason",IF(OR(INT($E1325)&lt;&gt;$E1325,AND(OR($C1325="Receipt",$C1325="Shipment"),$E1325&lt;=0),AND($C1325="Adjustment",$E1325=0)),"Invalid qty",IF($B1325&gt;Config!$B$4,"Date after the as-of date",IF($B1325&lt;Config!$B$5,"Date before the opening balance date","OK")))))))))))))))))</f>
        <v/>
      </c>
    </row>
    <row r="1326">
      <c r="A1326" s="46" t="n"/>
      <c r="B1326" s="54" t="n"/>
      <c r="C1326" s="46" t="n"/>
      <c r="D1326" s="46" t="n"/>
      <c r="E1326" s="55" t="n"/>
      <c r="F1326" s="46" t="n"/>
      <c r="G1326" s="46" t="n"/>
      <c r="H1326" s="46" t="n"/>
      <c r="I1326" s="46" t="n"/>
      <c r="J1326" s="46" t="n"/>
      <c r="K1326" s="46" t="n"/>
      <c r="L1326" s="46" t="n"/>
      <c r="M1326" s="51" t="str">
        <f>IF(NOT(ISNUMBER($E1326)),"",IF($C1326="Receipt",$E1326,IF($C1326="Shipment",-$E1326,IF($C1326="Adjustment",$E1326,0))))</f>
        <v/>
      </c>
      <c r="N1326" s="49" t="str">
        <f>IF($D1326="","",IFERROR(INDEX(Products!$B$2:$B$101,MATCH($D1326,Products!$A$2:$A$101,0))&amp;"","(not found)"))</f>
        <v/>
      </c>
      <c r="O1326" s="49" t="str">
        <f>IF($F1326="","",IFERROR(INDEX(Batches!$B$2:$B$301,MATCH($F1326,Batches!$A$2:$A$301,0))&amp;"","(not found)"))</f>
        <v/>
      </c>
      <c r="P1326" s="49" t="str">
        <f>IF(COUNTA($A1326:$L1326)=0,"",IF($A1326="","Missing: entry ID",IF(COUNTIF($A$2:$A$2001,$A1326)&gt;1,"Duplicate entry ID",IF(NOT(ISNUMBER($B1326)),"Missing or invalid: date",IF($C1326="","Missing: type",IF($D1326="","Missing: SKU",IF(NOT(ISNUMBER($E1326)),"Missing: qty",IF($F1326="","Missing: lot",IF($I1326="","Missing: source link",IF(COUNTIF(Config!$A$15:$A$34,$C1326)=0,"Unsupported type",IF(COUNTIF(Products!$A$2:$A$101,$D1326)=0,"Unknown SKU",IF(COUNTIFS(Batches!$A$2:$A$301,$F1326,Batches!$B$2:$B$301,$D1326)=0,"Unknown lot for this SKU",IF(AND($C1326="Adjustment",$G1326=""),"Missing: reason",IF(AND($G1326&lt;&gt;"",COUNTIF(Config!$B$15:$B$34,$G1326)=0),"Unsupported reason",IF(OR(INT($E1326)&lt;&gt;$E1326,AND(OR($C1326="Receipt",$C1326="Shipment"),$E1326&lt;=0),AND($C1326="Adjustment",$E1326=0)),"Invalid qty",IF($B1326&gt;Config!$B$4,"Date after the as-of date",IF($B1326&lt;Config!$B$5,"Date before the opening balance date","OK")))))))))))))))))</f>
        <v/>
      </c>
    </row>
    <row r="1327">
      <c r="A1327" s="46" t="n"/>
      <c r="B1327" s="54" t="n"/>
      <c r="C1327" s="46" t="n"/>
      <c r="D1327" s="46" t="n"/>
      <c r="E1327" s="55" t="n"/>
      <c r="F1327" s="46" t="n"/>
      <c r="G1327" s="46" t="n"/>
      <c r="H1327" s="46" t="n"/>
      <c r="I1327" s="46" t="n"/>
      <c r="J1327" s="46" t="n"/>
      <c r="K1327" s="46" t="n"/>
      <c r="L1327" s="46" t="n"/>
      <c r="M1327" s="51" t="str">
        <f>IF(NOT(ISNUMBER($E1327)),"",IF($C1327="Receipt",$E1327,IF($C1327="Shipment",-$E1327,IF($C1327="Adjustment",$E1327,0))))</f>
        <v/>
      </c>
      <c r="N1327" s="49" t="str">
        <f>IF($D1327="","",IFERROR(INDEX(Products!$B$2:$B$101,MATCH($D1327,Products!$A$2:$A$101,0))&amp;"","(not found)"))</f>
        <v/>
      </c>
      <c r="O1327" s="49" t="str">
        <f>IF($F1327="","",IFERROR(INDEX(Batches!$B$2:$B$301,MATCH($F1327,Batches!$A$2:$A$301,0))&amp;"","(not found)"))</f>
        <v/>
      </c>
      <c r="P1327" s="49" t="str">
        <f>IF(COUNTA($A1327:$L1327)=0,"",IF($A1327="","Missing: entry ID",IF(COUNTIF($A$2:$A$2001,$A1327)&gt;1,"Duplicate entry ID",IF(NOT(ISNUMBER($B1327)),"Missing or invalid: date",IF($C1327="","Missing: type",IF($D1327="","Missing: SKU",IF(NOT(ISNUMBER($E1327)),"Missing: qty",IF($F1327="","Missing: lot",IF($I1327="","Missing: source link",IF(COUNTIF(Config!$A$15:$A$34,$C1327)=0,"Unsupported type",IF(COUNTIF(Products!$A$2:$A$101,$D1327)=0,"Unknown SKU",IF(COUNTIFS(Batches!$A$2:$A$301,$F1327,Batches!$B$2:$B$301,$D1327)=0,"Unknown lot for this SKU",IF(AND($C1327="Adjustment",$G1327=""),"Missing: reason",IF(AND($G1327&lt;&gt;"",COUNTIF(Config!$B$15:$B$34,$G1327)=0),"Unsupported reason",IF(OR(INT($E1327)&lt;&gt;$E1327,AND(OR($C1327="Receipt",$C1327="Shipment"),$E1327&lt;=0),AND($C1327="Adjustment",$E1327=0)),"Invalid qty",IF($B1327&gt;Config!$B$4,"Date after the as-of date",IF($B1327&lt;Config!$B$5,"Date before the opening balance date","OK")))))))))))))))))</f>
        <v/>
      </c>
    </row>
    <row r="1328">
      <c r="A1328" s="46" t="n"/>
      <c r="B1328" s="54" t="n"/>
      <c r="C1328" s="46" t="n"/>
      <c r="D1328" s="46" t="n"/>
      <c r="E1328" s="55" t="n"/>
      <c r="F1328" s="46" t="n"/>
      <c r="G1328" s="46" t="n"/>
      <c r="H1328" s="46" t="n"/>
      <c r="I1328" s="46" t="n"/>
      <c r="J1328" s="46" t="n"/>
      <c r="K1328" s="46" t="n"/>
      <c r="L1328" s="46" t="n"/>
      <c r="M1328" s="51" t="str">
        <f>IF(NOT(ISNUMBER($E1328)),"",IF($C1328="Receipt",$E1328,IF($C1328="Shipment",-$E1328,IF($C1328="Adjustment",$E1328,0))))</f>
        <v/>
      </c>
      <c r="N1328" s="49" t="str">
        <f>IF($D1328="","",IFERROR(INDEX(Products!$B$2:$B$101,MATCH($D1328,Products!$A$2:$A$101,0))&amp;"","(not found)"))</f>
        <v/>
      </c>
      <c r="O1328" s="49" t="str">
        <f>IF($F1328="","",IFERROR(INDEX(Batches!$B$2:$B$301,MATCH($F1328,Batches!$A$2:$A$301,0))&amp;"","(not found)"))</f>
        <v/>
      </c>
      <c r="P1328" s="49" t="str">
        <f>IF(COUNTA($A1328:$L1328)=0,"",IF($A1328="","Missing: entry ID",IF(COUNTIF($A$2:$A$2001,$A1328)&gt;1,"Duplicate entry ID",IF(NOT(ISNUMBER($B1328)),"Missing or invalid: date",IF($C1328="","Missing: type",IF($D1328="","Missing: SKU",IF(NOT(ISNUMBER($E1328)),"Missing: qty",IF($F1328="","Missing: lot",IF($I1328="","Missing: source link",IF(COUNTIF(Config!$A$15:$A$34,$C1328)=0,"Unsupported type",IF(COUNTIF(Products!$A$2:$A$101,$D1328)=0,"Unknown SKU",IF(COUNTIFS(Batches!$A$2:$A$301,$F1328,Batches!$B$2:$B$301,$D1328)=0,"Unknown lot for this SKU",IF(AND($C1328="Adjustment",$G1328=""),"Missing: reason",IF(AND($G1328&lt;&gt;"",COUNTIF(Config!$B$15:$B$34,$G1328)=0),"Unsupported reason",IF(OR(INT($E1328)&lt;&gt;$E1328,AND(OR($C1328="Receipt",$C1328="Shipment"),$E1328&lt;=0),AND($C1328="Adjustment",$E1328=0)),"Invalid qty",IF($B1328&gt;Config!$B$4,"Date after the as-of date",IF($B1328&lt;Config!$B$5,"Date before the opening balance date","OK")))))))))))))))))</f>
        <v/>
      </c>
    </row>
    <row r="1329">
      <c r="A1329" s="46" t="n"/>
      <c r="B1329" s="54" t="n"/>
      <c r="C1329" s="46" t="n"/>
      <c r="D1329" s="46" t="n"/>
      <c r="E1329" s="55" t="n"/>
      <c r="F1329" s="46" t="n"/>
      <c r="G1329" s="46" t="n"/>
      <c r="H1329" s="46" t="n"/>
      <c r="I1329" s="46" t="n"/>
      <c r="J1329" s="46" t="n"/>
      <c r="K1329" s="46" t="n"/>
      <c r="L1329" s="46" t="n"/>
      <c r="M1329" s="51" t="str">
        <f>IF(NOT(ISNUMBER($E1329)),"",IF($C1329="Receipt",$E1329,IF($C1329="Shipment",-$E1329,IF($C1329="Adjustment",$E1329,0))))</f>
        <v/>
      </c>
      <c r="N1329" s="49" t="str">
        <f>IF($D1329="","",IFERROR(INDEX(Products!$B$2:$B$101,MATCH($D1329,Products!$A$2:$A$101,0))&amp;"","(not found)"))</f>
        <v/>
      </c>
      <c r="O1329" s="49" t="str">
        <f>IF($F1329="","",IFERROR(INDEX(Batches!$B$2:$B$301,MATCH($F1329,Batches!$A$2:$A$301,0))&amp;"","(not found)"))</f>
        <v/>
      </c>
      <c r="P1329" s="49" t="str">
        <f>IF(COUNTA($A1329:$L1329)=0,"",IF($A1329="","Missing: entry ID",IF(COUNTIF($A$2:$A$2001,$A1329)&gt;1,"Duplicate entry ID",IF(NOT(ISNUMBER($B1329)),"Missing or invalid: date",IF($C1329="","Missing: type",IF($D1329="","Missing: SKU",IF(NOT(ISNUMBER($E1329)),"Missing: qty",IF($F1329="","Missing: lot",IF($I1329="","Missing: source link",IF(COUNTIF(Config!$A$15:$A$34,$C1329)=0,"Unsupported type",IF(COUNTIF(Products!$A$2:$A$101,$D1329)=0,"Unknown SKU",IF(COUNTIFS(Batches!$A$2:$A$301,$F1329,Batches!$B$2:$B$301,$D1329)=0,"Unknown lot for this SKU",IF(AND($C1329="Adjustment",$G1329=""),"Missing: reason",IF(AND($G1329&lt;&gt;"",COUNTIF(Config!$B$15:$B$34,$G1329)=0),"Unsupported reason",IF(OR(INT($E1329)&lt;&gt;$E1329,AND(OR($C1329="Receipt",$C1329="Shipment"),$E1329&lt;=0),AND($C1329="Adjustment",$E1329=0)),"Invalid qty",IF($B1329&gt;Config!$B$4,"Date after the as-of date",IF($B1329&lt;Config!$B$5,"Date before the opening balance date","OK")))))))))))))))))</f>
        <v/>
      </c>
    </row>
    <row r="1330">
      <c r="A1330" s="46" t="n"/>
      <c r="B1330" s="54" t="n"/>
      <c r="C1330" s="46" t="n"/>
      <c r="D1330" s="46" t="n"/>
      <c r="E1330" s="55" t="n"/>
      <c r="F1330" s="46" t="n"/>
      <c r="G1330" s="46" t="n"/>
      <c r="H1330" s="46" t="n"/>
      <c r="I1330" s="46" t="n"/>
      <c r="J1330" s="46" t="n"/>
      <c r="K1330" s="46" t="n"/>
      <c r="L1330" s="46" t="n"/>
      <c r="M1330" s="51" t="str">
        <f>IF(NOT(ISNUMBER($E1330)),"",IF($C1330="Receipt",$E1330,IF($C1330="Shipment",-$E1330,IF($C1330="Adjustment",$E1330,0))))</f>
        <v/>
      </c>
      <c r="N1330" s="49" t="str">
        <f>IF($D1330="","",IFERROR(INDEX(Products!$B$2:$B$101,MATCH($D1330,Products!$A$2:$A$101,0))&amp;"","(not found)"))</f>
        <v/>
      </c>
      <c r="O1330" s="49" t="str">
        <f>IF($F1330="","",IFERROR(INDEX(Batches!$B$2:$B$301,MATCH($F1330,Batches!$A$2:$A$301,0))&amp;"","(not found)"))</f>
        <v/>
      </c>
      <c r="P1330" s="49" t="str">
        <f>IF(COUNTA($A1330:$L1330)=0,"",IF($A1330="","Missing: entry ID",IF(COUNTIF($A$2:$A$2001,$A1330)&gt;1,"Duplicate entry ID",IF(NOT(ISNUMBER($B1330)),"Missing or invalid: date",IF($C1330="","Missing: type",IF($D1330="","Missing: SKU",IF(NOT(ISNUMBER($E1330)),"Missing: qty",IF($F1330="","Missing: lot",IF($I1330="","Missing: source link",IF(COUNTIF(Config!$A$15:$A$34,$C1330)=0,"Unsupported type",IF(COUNTIF(Products!$A$2:$A$101,$D1330)=0,"Unknown SKU",IF(COUNTIFS(Batches!$A$2:$A$301,$F1330,Batches!$B$2:$B$301,$D1330)=0,"Unknown lot for this SKU",IF(AND($C1330="Adjustment",$G1330=""),"Missing: reason",IF(AND($G1330&lt;&gt;"",COUNTIF(Config!$B$15:$B$34,$G1330)=0),"Unsupported reason",IF(OR(INT($E1330)&lt;&gt;$E1330,AND(OR($C1330="Receipt",$C1330="Shipment"),$E1330&lt;=0),AND($C1330="Adjustment",$E1330=0)),"Invalid qty",IF($B1330&gt;Config!$B$4,"Date after the as-of date",IF($B1330&lt;Config!$B$5,"Date before the opening balance date","OK")))))))))))))))))</f>
        <v/>
      </c>
    </row>
    <row r="1331">
      <c r="A1331" s="46" t="n"/>
      <c r="B1331" s="54" t="n"/>
      <c r="C1331" s="46" t="n"/>
      <c r="D1331" s="46" t="n"/>
      <c r="E1331" s="55" t="n"/>
      <c r="F1331" s="46" t="n"/>
      <c r="G1331" s="46" t="n"/>
      <c r="H1331" s="46" t="n"/>
      <c r="I1331" s="46" t="n"/>
      <c r="J1331" s="46" t="n"/>
      <c r="K1331" s="46" t="n"/>
      <c r="L1331" s="46" t="n"/>
      <c r="M1331" s="51" t="str">
        <f>IF(NOT(ISNUMBER($E1331)),"",IF($C1331="Receipt",$E1331,IF($C1331="Shipment",-$E1331,IF($C1331="Adjustment",$E1331,0))))</f>
        <v/>
      </c>
      <c r="N1331" s="49" t="str">
        <f>IF($D1331="","",IFERROR(INDEX(Products!$B$2:$B$101,MATCH($D1331,Products!$A$2:$A$101,0))&amp;"","(not found)"))</f>
        <v/>
      </c>
      <c r="O1331" s="49" t="str">
        <f>IF($F1331="","",IFERROR(INDEX(Batches!$B$2:$B$301,MATCH($F1331,Batches!$A$2:$A$301,0))&amp;"","(not found)"))</f>
        <v/>
      </c>
      <c r="P1331" s="49" t="str">
        <f>IF(COUNTA($A1331:$L1331)=0,"",IF($A1331="","Missing: entry ID",IF(COUNTIF($A$2:$A$2001,$A1331)&gt;1,"Duplicate entry ID",IF(NOT(ISNUMBER($B1331)),"Missing or invalid: date",IF($C1331="","Missing: type",IF($D1331="","Missing: SKU",IF(NOT(ISNUMBER($E1331)),"Missing: qty",IF($F1331="","Missing: lot",IF($I1331="","Missing: source link",IF(COUNTIF(Config!$A$15:$A$34,$C1331)=0,"Unsupported type",IF(COUNTIF(Products!$A$2:$A$101,$D1331)=0,"Unknown SKU",IF(COUNTIFS(Batches!$A$2:$A$301,$F1331,Batches!$B$2:$B$301,$D1331)=0,"Unknown lot for this SKU",IF(AND($C1331="Adjustment",$G1331=""),"Missing: reason",IF(AND($G1331&lt;&gt;"",COUNTIF(Config!$B$15:$B$34,$G1331)=0),"Unsupported reason",IF(OR(INT($E1331)&lt;&gt;$E1331,AND(OR($C1331="Receipt",$C1331="Shipment"),$E1331&lt;=0),AND($C1331="Adjustment",$E1331=0)),"Invalid qty",IF($B1331&gt;Config!$B$4,"Date after the as-of date",IF($B1331&lt;Config!$B$5,"Date before the opening balance date","OK")))))))))))))))))</f>
        <v/>
      </c>
    </row>
    <row r="1332">
      <c r="A1332" s="46" t="n"/>
      <c r="B1332" s="54" t="n"/>
      <c r="C1332" s="46" t="n"/>
      <c r="D1332" s="46" t="n"/>
      <c r="E1332" s="55" t="n"/>
      <c r="F1332" s="46" t="n"/>
      <c r="G1332" s="46" t="n"/>
      <c r="H1332" s="46" t="n"/>
      <c r="I1332" s="46" t="n"/>
      <c r="J1332" s="46" t="n"/>
      <c r="K1332" s="46" t="n"/>
      <c r="L1332" s="46" t="n"/>
      <c r="M1332" s="51" t="str">
        <f>IF(NOT(ISNUMBER($E1332)),"",IF($C1332="Receipt",$E1332,IF($C1332="Shipment",-$E1332,IF($C1332="Adjustment",$E1332,0))))</f>
        <v/>
      </c>
      <c r="N1332" s="49" t="str">
        <f>IF($D1332="","",IFERROR(INDEX(Products!$B$2:$B$101,MATCH($D1332,Products!$A$2:$A$101,0))&amp;"","(not found)"))</f>
        <v/>
      </c>
      <c r="O1332" s="49" t="str">
        <f>IF($F1332="","",IFERROR(INDEX(Batches!$B$2:$B$301,MATCH($F1332,Batches!$A$2:$A$301,0))&amp;"","(not found)"))</f>
        <v/>
      </c>
      <c r="P1332" s="49" t="str">
        <f>IF(COUNTA($A1332:$L1332)=0,"",IF($A1332="","Missing: entry ID",IF(COUNTIF($A$2:$A$2001,$A1332)&gt;1,"Duplicate entry ID",IF(NOT(ISNUMBER($B1332)),"Missing or invalid: date",IF($C1332="","Missing: type",IF($D1332="","Missing: SKU",IF(NOT(ISNUMBER($E1332)),"Missing: qty",IF($F1332="","Missing: lot",IF($I1332="","Missing: source link",IF(COUNTIF(Config!$A$15:$A$34,$C1332)=0,"Unsupported type",IF(COUNTIF(Products!$A$2:$A$101,$D1332)=0,"Unknown SKU",IF(COUNTIFS(Batches!$A$2:$A$301,$F1332,Batches!$B$2:$B$301,$D1332)=0,"Unknown lot for this SKU",IF(AND($C1332="Adjustment",$G1332=""),"Missing: reason",IF(AND($G1332&lt;&gt;"",COUNTIF(Config!$B$15:$B$34,$G1332)=0),"Unsupported reason",IF(OR(INT($E1332)&lt;&gt;$E1332,AND(OR($C1332="Receipt",$C1332="Shipment"),$E1332&lt;=0),AND($C1332="Adjustment",$E1332=0)),"Invalid qty",IF($B1332&gt;Config!$B$4,"Date after the as-of date",IF($B1332&lt;Config!$B$5,"Date before the opening balance date","OK")))))))))))))))))</f>
        <v/>
      </c>
    </row>
    <row r="1333">
      <c r="A1333" s="46" t="n"/>
      <c r="B1333" s="54" t="n"/>
      <c r="C1333" s="46" t="n"/>
      <c r="D1333" s="46" t="n"/>
      <c r="E1333" s="55" t="n"/>
      <c r="F1333" s="46" t="n"/>
      <c r="G1333" s="46" t="n"/>
      <c r="H1333" s="46" t="n"/>
      <c r="I1333" s="46" t="n"/>
      <c r="J1333" s="46" t="n"/>
      <c r="K1333" s="46" t="n"/>
      <c r="L1333" s="46" t="n"/>
      <c r="M1333" s="51" t="str">
        <f>IF(NOT(ISNUMBER($E1333)),"",IF($C1333="Receipt",$E1333,IF($C1333="Shipment",-$E1333,IF($C1333="Adjustment",$E1333,0))))</f>
        <v/>
      </c>
      <c r="N1333" s="49" t="str">
        <f>IF($D1333="","",IFERROR(INDEX(Products!$B$2:$B$101,MATCH($D1333,Products!$A$2:$A$101,0))&amp;"","(not found)"))</f>
        <v/>
      </c>
      <c r="O1333" s="49" t="str">
        <f>IF($F1333="","",IFERROR(INDEX(Batches!$B$2:$B$301,MATCH($F1333,Batches!$A$2:$A$301,0))&amp;"","(not found)"))</f>
        <v/>
      </c>
      <c r="P1333" s="49" t="str">
        <f>IF(COUNTA($A1333:$L1333)=0,"",IF($A1333="","Missing: entry ID",IF(COUNTIF($A$2:$A$2001,$A1333)&gt;1,"Duplicate entry ID",IF(NOT(ISNUMBER($B1333)),"Missing or invalid: date",IF($C1333="","Missing: type",IF($D1333="","Missing: SKU",IF(NOT(ISNUMBER($E1333)),"Missing: qty",IF($F1333="","Missing: lot",IF($I1333="","Missing: source link",IF(COUNTIF(Config!$A$15:$A$34,$C1333)=0,"Unsupported type",IF(COUNTIF(Products!$A$2:$A$101,$D1333)=0,"Unknown SKU",IF(COUNTIFS(Batches!$A$2:$A$301,$F1333,Batches!$B$2:$B$301,$D1333)=0,"Unknown lot for this SKU",IF(AND($C1333="Adjustment",$G1333=""),"Missing: reason",IF(AND($G1333&lt;&gt;"",COUNTIF(Config!$B$15:$B$34,$G1333)=0),"Unsupported reason",IF(OR(INT($E1333)&lt;&gt;$E1333,AND(OR($C1333="Receipt",$C1333="Shipment"),$E1333&lt;=0),AND($C1333="Adjustment",$E1333=0)),"Invalid qty",IF($B1333&gt;Config!$B$4,"Date after the as-of date",IF($B1333&lt;Config!$B$5,"Date before the opening balance date","OK")))))))))))))))))</f>
        <v/>
      </c>
    </row>
    <row r="1334">
      <c r="A1334" s="46" t="n"/>
      <c r="B1334" s="54" t="n"/>
      <c r="C1334" s="46" t="n"/>
      <c r="D1334" s="46" t="n"/>
      <c r="E1334" s="55" t="n"/>
      <c r="F1334" s="46" t="n"/>
      <c r="G1334" s="46" t="n"/>
      <c r="H1334" s="46" t="n"/>
      <c r="I1334" s="46" t="n"/>
      <c r="J1334" s="46" t="n"/>
      <c r="K1334" s="46" t="n"/>
      <c r="L1334" s="46" t="n"/>
      <c r="M1334" s="51" t="str">
        <f>IF(NOT(ISNUMBER($E1334)),"",IF($C1334="Receipt",$E1334,IF($C1334="Shipment",-$E1334,IF($C1334="Adjustment",$E1334,0))))</f>
        <v/>
      </c>
      <c r="N1334" s="49" t="str">
        <f>IF($D1334="","",IFERROR(INDEX(Products!$B$2:$B$101,MATCH($D1334,Products!$A$2:$A$101,0))&amp;"","(not found)"))</f>
        <v/>
      </c>
      <c r="O1334" s="49" t="str">
        <f>IF($F1334="","",IFERROR(INDEX(Batches!$B$2:$B$301,MATCH($F1334,Batches!$A$2:$A$301,0))&amp;"","(not found)"))</f>
        <v/>
      </c>
      <c r="P1334" s="49" t="str">
        <f>IF(COUNTA($A1334:$L1334)=0,"",IF($A1334="","Missing: entry ID",IF(COUNTIF($A$2:$A$2001,$A1334)&gt;1,"Duplicate entry ID",IF(NOT(ISNUMBER($B1334)),"Missing or invalid: date",IF($C1334="","Missing: type",IF($D1334="","Missing: SKU",IF(NOT(ISNUMBER($E1334)),"Missing: qty",IF($F1334="","Missing: lot",IF($I1334="","Missing: source link",IF(COUNTIF(Config!$A$15:$A$34,$C1334)=0,"Unsupported type",IF(COUNTIF(Products!$A$2:$A$101,$D1334)=0,"Unknown SKU",IF(COUNTIFS(Batches!$A$2:$A$301,$F1334,Batches!$B$2:$B$301,$D1334)=0,"Unknown lot for this SKU",IF(AND($C1334="Adjustment",$G1334=""),"Missing: reason",IF(AND($G1334&lt;&gt;"",COUNTIF(Config!$B$15:$B$34,$G1334)=0),"Unsupported reason",IF(OR(INT($E1334)&lt;&gt;$E1334,AND(OR($C1334="Receipt",$C1334="Shipment"),$E1334&lt;=0),AND($C1334="Adjustment",$E1334=0)),"Invalid qty",IF($B1334&gt;Config!$B$4,"Date after the as-of date",IF($B1334&lt;Config!$B$5,"Date before the opening balance date","OK")))))))))))))))))</f>
        <v/>
      </c>
    </row>
    <row r="1335">
      <c r="A1335" s="46" t="n"/>
      <c r="B1335" s="54" t="n"/>
      <c r="C1335" s="46" t="n"/>
      <c r="D1335" s="46" t="n"/>
      <c r="E1335" s="55" t="n"/>
      <c r="F1335" s="46" t="n"/>
      <c r="G1335" s="46" t="n"/>
      <c r="H1335" s="46" t="n"/>
      <c r="I1335" s="46" t="n"/>
      <c r="J1335" s="46" t="n"/>
      <c r="K1335" s="46" t="n"/>
      <c r="L1335" s="46" t="n"/>
      <c r="M1335" s="51" t="str">
        <f>IF(NOT(ISNUMBER($E1335)),"",IF($C1335="Receipt",$E1335,IF($C1335="Shipment",-$E1335,IF($C1335="Adjustment",$E1335,0))))</f>
        <v/>
      </c>
      <c r="N1335" s="49" t="str">
        <f>IF($D1335="","",IFERROR(INDEX(Products!$B$2:$B$101,MATCH($D1335,Products!$A$2:$A$101,0))&amp;"","(not found)"))</f>
        <v/>
      </c>
      <c r="O1335" s="49" t="str">
        <f>IF($F1335="","",IFERROR(INDEX(Batches!$B$2:$B$301,MATCH($F1335,Batches!$A$2:$A$301,0))&amp;"","(not found)"))</f>
        <v/>
      </c>
      <c r="P1335" s="49" t="str">
        <f>IF(COUNTA($A1335:$L1335)=0,"",IF($A1335="","Missing: entry ID",IF(COUNTIF($A$2:$A$2001,$A1335)&gt;1,"Duplicate entry ID",IF(NOT(ISNUMBER($B1335)),"Missing or invalid: date",IF($C1335="","Missing: type",IF($D1335="","Missing: SKU",IF(NOT(ISNUMBER($E1335)),"Missing: qty",IF($F1335="","Missing: lot",IF($I1335="","Missing: source link",IF(COUNTIF(Config!$A$15:$A$34,$C1335)=0,"Unsupported type",IF(COUNTIF(Products!$A$2:$A$101,$D1335)=0,"Unknown SKU",IF(COUNTIFS(Batches!$A$2:$A$301,$F1335,Batches!$B$2:$B$301,$D1335)=0,"Unknown lot for this SKU",IF(AND($C1335="Adjustment",$G1335=""),"Missing: reason",IF(AND($G1335&lt;&gt;"",COUNTIF(Config!$B$15:$B$34,$G1335)=0),"Unsupported reason",IF(OR(INT($E1335)&lt;&gt;$E1335,AND(OR($C1335="Receipt",$C1335="Shipment"),$E1335&lt;=0),AND($C1335="Adjustment",$E1335=0)),"Invalid qty",IF($B1335&gt;Config!$B$4,"Date after the as-of date",IF($B1335&lt;Config!$B$5,"Date before the opening balance date","OK")))))))))))))))))</f>
        <v/>
      </c>
    </row>
    <row r="1336">
      <c r="A1336" s="46" t="n"/>
      <c r="B1336" s="54" t="n"/>
      <c r="C1336" s="46" t="n"/>
      <c r="D1336" s="46" t="n"/>
      <c r="E1336" s="55" t="n"/>
      <c r="F1336" s="46" t="n"/>
      <c r="G1336" s="46" t="n"/>
      <c r="H1336" s="46" t="n"/>
      <c r="I1336" s="46" t="n"/>
      <c r="J1336" s="46" t="n"/>
      <c r="K1336" s="46" t="n"/>
      <c r="L1336" s="46" t="n"/>
      <c r="M1336" s="51" t="str">
        <f>IF(NOT(ISNUMBER($E1336)),"",IF($C1336="Receipt",$E1336,IF($C1336="Shipment",-$E1336,IF($C1336="Adjustment",$E1336,0))))</f>
        <v/>
      </c>
      <c r="N1336" s="49" t="str">
        <f>IF($D1336="","",IFERROR(INDEX(Products!$B$2:$B$101,MATCH($D1336,Products!$A$2:$A$101,0))&amp;"","(not found)"))</f>
        <v/>
      </c>
      <c r="O1336" s="49" t="str">
        <f>IF($F1336="","",IFERROR(INDEX(Batches!$B$2:$B$301,MATCH($F1336,Batches!$A$2:$A$301,0))&amp;"","(not found)"))</f>
        <v/>
      </c>
      <c r="P1336" s="49" t="str">
        <f>IF(COUNTA($A1336:$L1336)=0,"",IF($A1336="","Missing: entry ID",IF(COUNTIF($A$2:$A$2001,$A1336)&gt;1,"Duplicate entry ID",IF(NOT(ISNUMBER($B1336)),"Missing or invalid: date",IF($C1336="","Missing: type",IF($D1336="","Missing: SKU",IF(NOT(ISNUMBER($E1336)),"Missing: qty",IF($F1336="","Missing: lot",IF($I1336="","Missing: source link",IF(COUNTIF(Config!$A$15:$A$34,$C1336)=0,"Unsupported type",IF(COUNTIF(Products!$A$2:$A$101,$D1336)=0,"Unknown SKU",IF(COUNTIFS(Batches!$A$2:$A$301,$F1336,Batches!$B$2:$B$301,$D1336)=0,"Unknown lot for this SKU",IF(AND($C1336="Adjustment",$G1336=""),"Missing: reason",IF(AND($G1336&lt;&gt;"",COUNTIF(Config!$B$15:$B$34,$G1336)=0),"Unsupported reason",IF(OR(INT($E1336)&lt;&gt;$E1336,AND(OR($C1336="Receipt",$C1336="Shipment"),$E1336&lt;=0),AND($C1336="Adjustment",$E1336=0)),"Invalid qty",IF($B1336&gt;Config!$B$4,"Date after the as-of date",IF($B1336&lt;Config!$B$5,"Date before the opening balance date","OK")))))))))))))))))</f>
        <v/>
      </c>
    </row>
    <row r="1337">
      <c r="A1337" s="46" t="n"/>
      <c r="B1337" s="54" t="n"/>
      <c r="C1337" s="46" t="n"/>
      <c r="D1337" s="46" t="n"/>
      <c r="E1337" s="55" t="n"/>
      <c r="F1337" s="46" t="n"/>
      <c r="G1337" s="46" t="n"/>
      <c r="H1337" s="46" t="n"/>
      <c r="I1337" s="46" t="n"/>
      <c r="J1337" s="46" t="n"/>
      <c r="K1337" s="46" t="n"/>
      <c r="L1337" s="46" t="n"/>
      <c r="M1337" s="51" t="str">
        <f>IF(NOT(ISNUMBER($E1337)),"",IF($C1337="Receipt",$E1337,IF($C1337="Shipment",-$E1337,IF($C1337="Adjustment",$E1337,0))))</f>
        <v/>
      </c>
      <c r="N1337" s="49" t="str">
        <f>IF($D1337="","",IFERROR(INDEX(Products!$B$2:$B$101,MATCH($D1337,Products!$A$2:$A$101,0))&amp;"","(not found)"))</f>
        <v/>
      </c>
      <c r="O1337" s="49" t="str">
        <f>IF($F1337="","",IFERROR(INDEX(Batches!$B$2:$B$301,MATCH($F1337,Batches!$A$2:$A$301,0))&amp;"","(not found)"))</f>
        <v/>
      </c>
      <c r="P1337" s="49" t="str">
        <f>IF(COUNTA($A1337:$L1337)=0,"",IF($A1337="","Missing: entry ID",IF(COUNTIF($A$2:$A$2001,$A1337)&gt;1,"Duplicate entry ID",IF(NOT(ISNUMBER($B1337)),"Missing or invalid: date",IF($C1337="","Missing: type",IF($D1337="","Missing: SKU",IF(NOT(ISNUMBER($E1337)),"Missing: qty",IF($F1337="","Missing: lot",IF($I1337="","Missing: source link",IF(COUNTIF(Config!$A$15:$A$34,$C1337)=0,"Unsupported type",IF(COUNTIF(Products!$A$2:$A$101,$D1337)=0,"Unknown SKU",IF(COUNTIFS(Batches!$A$2:$A$301,$F1337,Batches!$B$2:$B$301,$D1337)=0,"Unknown lot for this SKU",IF(AND($C1337="Adjustment",$G1337=""),"Missing: reason",IF(AND($G1337&lt;&gt;"",COUNTIF(Config!$B$15:$B$34,$G1337)=0),"Unsupported reason",IF(OR(INT($E1337)&lt;&gt;$E1337,AND(OR($C1337="Receipt",$C1337="Shipment"),$E1337&lt;=0),AND($C1337="Adjustment",$E1337=0)),"Invalid qty",IF($B1337&gt;Config!$B$4,"Date after the as-of date",IF($B1337&lt;Config!$B$5,"Date before the opening balance date","OK")))))))))))))))))</f>
        <v/>
      </c>
    </row>
    <row r="1338">
      <c r="A1338" s="46" t="n"/>
      <c r="B1338" s="54" t="n"/>
      <c r="C1338" s="46" t="n"/>
      <c r="D1338" s="46" t="n"/>
      <c r="E1338" s="55" t="n"/>
      <c r="F1338" s="46" t="n"/>
      <c r="G1338" s="46" t="n"/>
      <c r="H1338" s="46" t="n"/>
      <c r="I1338" s="46" t="n"/>
      <c r="J1338" s="46" t="n"/>
      <c r="K1338" s="46" t="n"/>
      <c r="L1338" s="46" t="n"/>
      <c r="M1338" s="51" t="str">
        <f>IF(NOT(ISNUMBER($E1338)),"",IF($C1338="Receipt",$E1338,IF($C1338="Shipment",-$E1338,IF($C1338="Adjustment",$E1338,0))))</f>
        <v/>
      </c>
      <c r="N1338" s="49" t="str">
        <f>IF($D1338="","",IFERROR(INDEX(Products!$B$2:$B$101,MATCH($D1338,Products!$A$2:$A$101,0))&amp;"","(not found)"))</f>
        <v/>
      </c>
      <c r="O1338" s="49" t="str">
        <f>IF($F1338="","",IFERROR(INDEX(Batches!$B$2:$B$301,MATCH($F1338,Batches!$A$2:$A$301,0))&amp;"","(not found)"))</f>
        <v/>
      </c>
      <c r="P1338" s="49" t="str">
        <f>IF(COUNTA($A1338:$L1338)=0,"",IF($A1338="","Missing: entry ID",IF(COUNTIF($A$2:$A$2001,$A1338)&gt;1,"Duplicate entry ID",IF(NOT(ISNUMBER($B1338)),"Missing or invalid: date",IF($C1338="","Missing: type",IF($D1338="","Missing: SKU",IF(NOT(ISNUMBER($E1338)),"Missing: qty",IF($F1338="","Missing: lot",IF($I1338="","Missing: source link",IF(COUNTIF(Config!$A$15:$A$34,$C1338)=0,"Unsupported type",IF(COUNTIF(Products!$A$2:$A$101,$D1338)=0,"Unknown SKU",IF(COUNTIFS(Batches!$A$2:$A$301,$F1338,Batches!$B$2:$B$301,$D1338)=0,"Unknown lot for this SKU",IF(AND($C1338="Adjustment",$G1338=""),"Missing: reason",IF(AND($G1338&lt;&gt;"",COUNTIF(Config!$B$15:$B$34,$G1338)=0),"Unsupported reason",IF(OR(INT($E1338)&lt;&gt;$E1338,AND(OR($C1338="Receipt",$C1338="Shipment"),$E1338&lt;=0),AND($C1338="Adjustment",$E1338=0)),"Invalid qty",IF($B1338&gt;Config!$B$4,"Date after the as-of date",IF($B1338&lt;Config!$B$5,"Date before the opening balance date","OK")))))))))))))))))</f>
        <v/>
      </c>
    </row>
    <row r="1339">
      <c r="A1339" s="46" t="n"/>
      <c r="B1339" s="54" t="n"/>
      <c r="C1339" s="46" t="n"/>
      <c r="D1339" s="46" t="n"/>
      <c r="E1339" s="55" t="n"/>
      <c r="F1339" s="46" t="n"/>
      <c r="G1339" s="46" t="n"/>
      <c r="H1339" s="46" t="n"/>
      <c r="I1339" s="46" t="n"/>
      <c r="J1339" s="46" t="n"/>
      <c r="K1339" s="46" t="n"/>
      <c r="L1339" s="46" t="n"/>
      <c r="M1339" s="51" t="str">
        <f>IF(NOT(ISNUMBER($E1339)),"",IF($C1339="Receipt",$E1339,IF($C1339="Shipment",-$E1339,IF($C1339="Adjustment",$E1339,0))))</f>
        <v/>
      </c>
      <c r="N1339" s="49" t="str">
        <f>IF($D1339="","",IFERROR(INDEX(Products!$B$2:$B$101,MATCH($D1339,Products!$A$2:$A$101,0))&amp;"","(not found)"))</f>
        <v/>
      </c>
      <c r="O1339" s="49" t="str">
        <f>IF($F1339="","",IFERROR(INDEX(Batches!$B$2:$B$301,MATCH($F1339,Batches!$A$2:$A$301,0))&amp;"","(not found)"))</f>
        <v/>
      </c>
      <c r="P1339" s="49" t="str">
        <f>IF(COUNTA($A1339:$L1339)=0,"",IF($A1339="","Missing: entry ID",IF(COUNTIF($A$2:$A$2001,$A1339)&gt;1,"Duplicate entry ID",IF(NOT(ISNUMBER($B1339)),"Missing or invalid: date",IF($C1339="","Missing: type",IF($D1339="","Missing: SKU",IF(NOT(ISNUMBER($E1339)),"Missing: qty",IF($F1339="","Missing: lot",IF($I1339="","Missing: source link",IF(COUNTIF(Config!$A$15:$A$34,$C1339)=0,"Unsupported type",IF(COUNTIF(Products!$A$2:$A$101,$D1339)=0,"Unknown SKU",IF(COUNTIFS(Batches!$A$2:$A$301,$F1339,Batches!$B$2:$B$301,$D1339)=0,"Unknown lot for this SKU",IF(AND($C1339="Adjustment",$G1339=""),"Missing: reason",IF(AND($G1339&lt;&gt;"",COUNTIF(Config!$B$15:$B$34,$G1339)=0),"Unsupported reason",IF(OR(INT($E1339)&lt;&gt;$E1339,AND(OR($C1339="Receipt",$C1339="Shipment"),$E1339&lt;=0),AND($C1339="Adjustment",$E1339=0)),"Invalid qty",IF($B1339&gt;Config!$B$4,"Date after the as-of date",IF($B1339&lt;Config!$B$5,"Date before the opening balance date","OK")))))))))))))))))</f>
        <v/>
      </c>
    </row>
    <row r="1340">
      <c r="A1340" s="46" t="n"/>
      <c r="B1340" s="54" t="n"/>
      <c r="C1340" s="46" t="n"/>
      <c r="D1340" s="46" t="n"/>
      <c r="E1340" s="55" t="n"/>
      <c r="F1340" s="46" t="n"/>
      <c r="G1340" s="46" t="n"/>
      <c r="H1340" s="46" t="n"/>
      <c r="I1340" s="46" t="n"/>
      <c r="J1340" s="46" t="n"/>
      <c r="K1340" s="46" t="n"/>
      <c r="L1340" s="46" t="n"/>
      <c r="M1340" s="51" t="str">
        <f>IF(NOT(ISNUMBER($E1340)),"",IF($C1340="Receipt",$E1340,IF($C1340="Shipment",-$E1340,IF($C1340="Adjustment",$E1340,0))))</f>
        <v/>
      </c>
      <c r="N1340" s="49" t="str">
        <f>IF($D1340="","",IFERROR(INDEX(Products!$B$2:$B$101,MATCH($D1340,Products!$A$2:$A$101,0))&amp;"","(not found)"))</f>
        <v/>
      </c>
      <c r="O1340" s="49" t="str">
        <f>IF($F1340="","",IFERROR(INDEX(Batches!$B$2:$B$301,MATCH($F1340,Batches!$A$2:$A$301,0))&amp;"","(not found)"))</f>
        <v/>
      </c>
      <c r="P1340" s="49" t="str">
        <f>IF(COUNTA($A1340:$L1340)=0,"",IF($A1340="","Missing: entry ID",IF(COUNTIF($A$2:$A$2001,$A1340)&gt;1,"Duplicate entry ID",IF(NOT(ISNUMBER($B1340)),"Missing or invalid: date",IF($C1340="","Missing: type",IF($D1340="","Missing: SKU",IF(NOT(ISNUMBER($E1340)),"Missing: qty",IF($F1340="","Missing: lot",IF($I1340="","Missing: source link",IF(COUNTIF(Config!$A$15:$A$34,$C1340)=0,"Unsupported type",IF(COUNTIF(Products!$A$2:$A$101,$D1340)=0,"Unknown SKU",IF(COUNTIFS(Batches!$A$2:$A$301,$F1340,Batches!$B$2:$B$301,$D1340)=0,"Unknown lot for this SKU",IF(AND($C1340="Adjustment",$G1340=""),"Missing: reason",IF(AND($G1340&lt;&gt;"",COUNTIF(Config!$B$15:$B$34,$G1340)=0),"Unsupported reason",IF(OR(INT($E1340)&lt;&gt;$E1340,AND(OR($C1340="Receipt",$C1340="Shipment"),$E1340&lt;=0),AND($C1340="Adjustment",$E1340=0)),"Invalid qty",IF($B1340&gt;Config!$B$4,"Date after the as-of date",IF($B1340&lt;Config!$B$5,"Date before the opening balance date","OK")))))))))))))))))</f>
        <v/>
      </c>
    </row>
    <row r="1341">
      <c r="A1341" s="46" t="n"/>
      <c r="B1341" s="54" t="n"/>
      <c r="C1341" s="46" t="n"/>
      <c r="D1341" s="46" t="n"/>
      <c r="E1341" s="55" t="n"/>
      <c r="F1341" s="46" t="n"/>
      <c r="G1341" s="46" t="n"/>
      <c r="H1341" s="46" t="n"/>
      <c r="I1341" s="46" t="n"/>
      <c r="J1341" s="46" t="n"/>
      <c r="K1341" s="46" t="n"/>
      <c r="L1341" s="46" t="n"/>
      <c r="M1341" s="51" t="str">
        <f>IF(NOT(ISNUMBER($E1341)),"",IF($C1341="Receipt",$E1341,IF($C1341="Shipment",-$E1341,IF($C1341="Adjustment",$E1341,0))))</f>
        <v/>
      </c>
      <c r="N1341" s="49" t="str">
        <f>IF($D1341="","",IFERROR(INDEX(Products!$B$2:$B$101,MATCH($D1341,Products!$A$2:$A$101,0))&amp;"","(not found)"))</f>
        <v/>
      </c>
      <c r="O1341" s="49" t="str">
        <f>IF($F1341="","",IFERROR(INDEX(Batches!$B$2:$B$301,MATCH($F1341,Batches!$A$2:$A$301,0))&amp;"","(not found)"))</f>
        <v/>
      </c>
      <c r="P1341" s="49" t="str">
        <f>IF(COUNTA($A1341:$L1341)=0,"",IF($A1341="","Missing: entry ID",IF(COUNTIF($A$2:$A$2001,$A1341)&gt;1,"Duplicate entry ID",IF(NOT(ISNUMBER($B1341)),"Missing or invalid: date",IF($C1341="","Missing: type",IF($D1341="","Missing: SKU",IF(NOT(ISNUMBER($E1341)),"Missing: qty",IF($F1341="","Missing: lot",IF($I1341="","Missing: source link",IF(COUNTIF(Config!$A$15:$A$34,$C1341)=0,"Unsupported type",IF(COUNTIF(Products!$A$2:$A$101,$D1341)=0,"Unknown SKU",IF(COUNTIFS(Batches!$A$2:$A$301,$F1341,Batches!$B$2:$B$301,$D1341)=0,"Unknown lot for this SKU",IF(AND($C1341="Adjustment",$G1341=""),"Missing: reason",IF(AND($G1341&lt;&gt;"",COUNTIF(Config!$B$15:$B$34,$G1341)=0),"Unsupported reason",IF(OR(INT($E1341)&lt;&gt;$E1341,AND(OR($C1341="Receipt",$C1341="Shipment"),$E1341&lt;=0),AND($C1341="Adjustment",$E1341=0)),"Invalid qty",IF($B1341&gt;Config!$B$4,"Date after the as-of date",IF($B1341&lt;Config!$B$5,"Date before the opening balance date","OK")))))))))))))))))</f>
        <v/>
      </c>
    </row>
    <row r="1342">
      <c r="A1342" s="46" t="n"/>
      <c r="B1342" s="54" t="n"/>
      <c r="C1342" s="46" t="n"/>
      <c r="D1342" s="46" t="n"/>
      <c r="E1342" s="55" t="n"/>
      <c r="F1342" s="46" t="n"/>
      <c r="G1342" s="46" t="n"/>
      <c r="H1342" s="46" t="n"/>
      <c r="I1342" s="46" t="n"/>
      <c r="J1342" s="46" t="n"/>
      <c r="K1342" s="46" t="n"/>
      <c r="L1342" s="46" t="n"/>
      <c r="M1342" s="51" t="str">
        <f>IF(NOT(ISNUMBER($E1342)),"",IF($C1342="Receipt",$E1342,IF($C1342="Shipment",-$E1342,IF($C1342="Adjustment",$E1342,0))))</f>
        <v/>
      </c>
      <c r="N1342" s="49" t="str">
        <f>IF($D1342="","",IFERROR(INDEX(Products!$B$2:$B$101,MATCH($D1342,Products!$A$2:$A$101,0))&amp;"","(not found)"))</f>
        <v/>
      </c>
      <c r="O1342" s="49" t="str">
        <f>IF($F1342="","",IFERROR(INDEX(Batches!$B$2:$B$301,MATCH($F1342,Batches!$A$2:$A$301,0))&amp;"","(not found)"))</f>
        <v/>
      </c>
      <c r="P1342" s="49" t="str">
        <f>IF(COUNTA($A1342:$L1342)=0,"",IF($A1342="","Missing: entry ID",IF(COUNTIF($A$2:$A$2001,$A1342)&gt;1,"Duplicate entry ID",IF(NOT(ISNUMBER($B1342)),"Missing or invalid: date",IF($C1342="","Missing: type",IF($D1342="","Missing: SKU",IF(NOT(ISNUMBER($E1342)),"Missing: qty",IF($F1342="","Missing: lot",IF($I1342="","Missing: source link",IF(COUNTIF(Config!$A$15:$A$34,$C1342)=0,"Unsupported type",IF(COUNTIF(Products!$A$2:$A$101,$D1342)=0,"Unknown SKU",IF(COUNTIFS(Batches!$A$2:$A$301,$F1342,Batches!$B$2:$B$301,$D1342)=0,"Unknown lot for this SKU",IF(AND($C1342="Adjustment",$G1342=""),"Missing: reason",IF(AND($G1342&lt;&gt;"",COUNTIF(Config!$B$15:$B$34,$G1342)=0),"Unsupported reason",IF(OR(INT($E1342)&lt;&gt;$E1342,AND(OR($C1342="Receipt",$C1342="Shipment"),$E1342&lt;=0),AND($C1342="Adjustment",$E1342=0)),"Invalid qty",IF($B1342&gt;Config!$B$4,"Date after the as-of date",IF($B1342&lt;Config!$B$5,"Date before the opening balance date","OK")))))))))))))))))</f>
        <v/>
      </c>
    </row>
    <row r="1343">
      <c r="A1343" s="46" t="n"/>
      <c r="B1343" s="54" t="n"/>
      <c r="C1343" s="46" t="n"/>
      <c r="D1343" s="46" t="n"/>
      <c r="E1343" s="55" t="n"/>
      <c r="F1343" s="46" t="n"/>
      <c r="G1343" s="46" t="n"/>
      <c r="H1343" s="46" t="n"/>
      <c r="I1343" s="46" t="n"/>
      <c r="J1343" s="46" t="n"/>
      <c r="K1343" s="46" t="n"/>
      <c r="L1343" s="46" t="n"/>
      <c r="M1343" s="51" t="str">
        <f>IF(NOT(ISNUMBER($E1343)),"",IF($C1343="Receipt",$E1343,IF($C1343="Shipment",-$E1343,IF($C1343="Adjustment",$E1343,0))))</f>
        <v/>
      </c>
      <c r="N1343" s="49" t="str">
        <f>IF($D1343="","",IFERROR(INDEX(Products!$B$2:$B$101,MATCH($D1343,Products!$A$2:$A$101,0))&amp;"","(not found)"))</f>
        <v/>
      </c>
      <c r="O1343" s="49" t="str">
        <f>IF($F1343="","",IFERROR(INDEX(Batches!$B$2:$B$301,MATCH($F1343,Batches!$A$2:$A$301,0))&amp;"","(not found)"))</f>
        <v/>
      </c>
      <c r="P1343" s="49" t="str">
        <f>IF(COUNTA($A1343:$L1343)=0,"",IF($A1343="","Missing: entry ID",IF(COUNTIF($A$2:$A$2001,$A1343)&gt;1,"Duplicate entry ID",IF(NOT(ISNUMBER($B1343)),"Missing or invalid: date",IF($C1343="","Missing: type",IF($D1343="","Missing: SKU",IF(NOT(ISNUMBER($E1343)),"Missing: qty",IF($F1343="","Missing: lot",IF($I1343="","Missing: source link",IF(COUNTIF(Config!$A$15:$A$34,$C1343)=0,"Unsupported type",IF(COUNTIF(Products!$A$2:$A$101,$D1343)=0,"Unknown SKU",IF(COUNTIFS(Batches!$A$2:$A$301,$F1343,Batches!$B$2:$B$301,$D1343)=0,"Unknown lot for this SKU",IF(AND($C1343="Adjustment",$G1343=""),"Missing: reason",IF(AND($G1343&lt;&gt;"",COUNTIF(Config!$B$15:$B$34,$G1343)=0),"Unsupported reason",IF(OR(INT($E1343)&lt;&gt;$E1343,AND(OR($C1343="Receipt",$C1343="Shipment"),$E1343&lt;=0),AND($C1343="Adjustment",$E1343=0)),"Invalid qty",IF($B1343&gt;Config!$B$4,"Date after the as-of date",IF($B1343&lt;Config!$B$5,"Date before the opening balance date","OK")))))))))))))))))</f>
        <v/>
      </c>
    </row>
    <row r="1344">
      <c r="A1344" s="46" t="n"/>
      <c r="B1344" s="54" t="n"/>
      <c r="C1344" s="46" t="n"/>
      <c r="D1344" s="46" t="n"/>
      <c r="E1344" s="55" t="n"/>
      <c r="F1344" s="46" t="n"/>
      <c r="G1344" s="46" t="n"/>
      <c r="H1344" s="46" t="n"/>
      <c r="I1344" s="46" t="n"/>
      <c r="J1344" s="46" t="n"/>
      <c r="K1344" s="46" t="n"/>
      <c r="L1344" s="46" t="n"/>
      <c r="M1344" s="51" t="str">
        <f>IF(NOT(ISNUMBER($E1344)),"",IF($C1344="Receipt",$E1344,IF($C1344="Shipment",-$E1344,IF($C1344="Adjustment",$E1344,0))))</f>
        <v/>
      </c>
      <c r="N1344" s="49" t="str">
        <f>IF($D1344="","",IFERROR(INDEX(Products!$B$2:$B$101,MATCH($D1344,Products!$A$2:$A$101,0))&amp;"","(not found)"))</f>
        <v/>
      </c>
      <c r="O1344" s="49" t="str">
        <f>IF($F1344="","",IFERROR(INDEX(Batches!$B$2:$B$301,MATCH($F1344,Batches!$A$2:$A$301,0))&amp;"","(not found)"))</f>
        <v/>
      </c>
      <c r="P1344" s="49" t="str">
        <f>IF(COUNTA($A1344:$L1344)=0,"",IF($A1344="","Missing: entry ID",IF(COUNTIF($A$2:$A$2001,$A1344)&gt;1,"Duplicate entry ID",IF(NOT(ISNUMBER($B1344)),"Missing or invalid: date",IF($C1344="","Missing: type",IF($D1344="","Missing: SKU",IF(NOT(ISNUMBER($E1344)),"Missing: qty",IF($F1344="","Missing: lot",IF($I1344="","Missing: source link",IF(COUNTIF(Config!$A$15:$A$34,$C1344)=0,"Unsupported type",IF(COUNTIF(Products!$A$2:$A$101,$D1344)=0,"Unknown SKU",IF(COUNTIFS(Batches!$A$2:$A$301,$F1344,Batches!$B$2:$B$301,$D1344)=0,"Unknown lot for this SKU",IF(AND($C1344="Adjustment",$G1344=""),"Missing: reason",IF(AND($G1344&lt;&gt;"",COUNTIF(Config!$B$15:$B$34,$G1344)=0),"Unsupported reason",IF(OR(INT($E1344)&lt;&gt;$E1344,AND(OR($C1344="Receipt",$C1344="Shipment"),$E1344&lt;=0),AND($C1344="Adjustment",$E1344=0)),"Invalid qty",IF($B1344&gt;Config!$B$4,"Date after the as-of date",IF($B1344&lt;Config!$B$5,"Date before the opening balance date","OK")))))))))))))))))</f>
        <v/>
      </c>
    </row>
    <row r="1345">
      <c r="A1345" s="46" t="n"/>
      <c r="B1345" s="54" t="n"/>
      <c r="C1345" s="46" t="n"/>
      <c r="D1345" s="46" t="n"/>
      <c r="E1345" s="55" t="n"/>
      <c r="F1345" s="46" t="n"/>
      <c r="G1345" s="46" t="n"/>
      <c r="H1345" s="46" t="n"/>
      <c r="I1345" s="46" t="n"/>
      <c r="J1345" s="46" t="n"/>
      <c r="K1345" s="46" t="n"/>
      <c r="L1345" s="46" t="n"/>
      <c r="M1345" s="51" t="str">
        <f>IF(NOT(ISNUMBER($E1345)),"",IF($C1345="Receipt",$E1345,IF($C1345="Shipment",-$E1345,IF($C1345="Adjustment",$E1345,0))))</f>
        <v/>
      </c>
      <c r="N1345" s="49" t="str">
        <f>IF($D1345="","",IFERROR(INDEX(Products!$B$2:$B$101,MATCH($D1345,Products!$A$2:$A$101,0))&amp;"","(not found)"))</f>
        <v/>
      </c>
      <c r="O1345" s="49" t="str">
        <f>IF($F1345="","",IFERROR(INDEX(Batches!$B$2:$B$301,MATCH($F1345,Batches!$A$2:$A$301,0))&amp;"","(not found)"))</f>
        <v/>
      </c>
      <c r="P1345" s="49" t="str">
        <f>IF(COUNTA($A1345:$L1345)=0,"",IF($A1345="","Missing: entry ID",IF(COUNTIF($A$2:$A$2001,$A1345)&gt;1,"Duplicate entry ID",IF(NOT(ISNUMBER($B1345)),"Missing or invalid: date",IF($C1345="","Missing: type",IF($D1345="","Missing: SKU",IF(NOT(ISNUMBER($E1345)),"Missing: qty",IF($F1345="","Missing: lot",IF($I1345="","Missing: source link",IF(COUNTIF(Config!$A$15:$A$34,$C1345)=0,"Unsupported type",IF(COUNTIF(Products!$A$2:$A$101,$D1345)=0,"Unknown SKU",IF(COUNTIFS(Batches!$A$2:$A$301,$F1345,Batches!$B$2:$B$301,$D1345)=0,"Unknown lot for this SKU",IF(AND($C1345="Adjustment",$G1345=""),"Missing: reason",IF(AND($G1345&lt;&gt;"",COUNTIF(Config!$B$15:$B$34,$G1345)=0),"Unsupported reason",IF(OR(INT($E1345)&lt;&gt;$E1345,AND(OR($C1345="Receipt",$C1345="Shipment"),$E1345&lt;=0),AND($C1345="Adjustment",$E1345=0)),"Invalid qty",IF($B1345&gt;Config!$B$4,"Date after the as-of date",IF($B1345&lt;Config!$B$5,"Date before the opening balance date","OK")))))))))))))))))</f>
        <v/>
      </c>
    </row>
    <row r="1346">
      <c r="A1346" s="46" t="n"/>
      <c r="B1346" s="54" t="n"/>
      <c r="C1346" s="46" t="n"/>
      <c r="D1346" s="46" t="n"/>
      <c r="E1346" s="55" t="n"/>
      <c r="F1346" s="46" t="n"/>
      <c r="G1346" s="46" t="n"/>
      <c r="H1346" s="46" t="n"/>
      <c r="I1346" s="46" t="n"/>
      <c r="J1346" s="46" t="n"/>
      <c r="K1346" s="46" t="n"/>
      <c r="L1346" s="46" t="n"/>
      <c r="M1346" s="51" t="str">
        <f>IF(NOT(ISNUMBER($E1346)),"",IF($C1346="Receipt",$E1346,IF($C1346="Shipment",-$E1346,IF($C1346="Adjustment",$E1346,0))))</f>
        <v/>
      </c>
      <c r="N1346" s="49" t="str">
        <f>IF($D1346="","",IFERROR(INDEX(Products!$B$2:$B$101,MATCH($D1346,Products!$A$2:$A$101,0))&amp;"","(not found)"))</f>
        <v/>
      </c>
      <c r="O1346" s="49" t="str">
        <f>IF($F1346="","",IFERROR(INDEX(Batches!$B$2:$B$301,MATCH($F1346,Batches!$A$2:$A$301,0))&amp;"","(not found)"))</f>
        <v/>
      </c>
      <c r="P1346" s="49" t="str">
        <f>IF(COUNTA($A1346:$L1346)=0,"",IF($A1346="","Missing: entry ID",IF(COUNTIF($A$2:$A$2001,$A1346)&gt;1,"Duplicate entry ID",IF(NOT(ISNUMBER($B1346)),"Missing or invalid: date",IF($C1346="","Missing: type",IF($D1346="","Missing: SKU",IF(NOT(ISNUMBER($E1346)),"Missing: qty",IF($F1346="","Missing: lot",IF($I1346="","Missing: source link",IF(COUNTIF(Config!$A$15:$A$34,$C1346)=0,"Unsupported type",IF(COUNTIF(Products!$A$2:$A$101,$D1346)=0,"Unknown SKU",IF(COUNTIFS(Batches!$A$2:$A$301,$F1346,Batches!$B$2:$B$301,$D1346)=0,"Unknown lot for this SKU",IF(AND($C1346="Adjustment",$G1346=""),"Missing: reason",IF(AND($G1346&lt;&gt;"",COUNTIF(Config!$B$15:$B$34,$G1346)=0),"Unsupported reason",IF(OR(INT($E1346)&lt;&gt;$E1346,AND(OR($C1346="Receipt",$C1346="Shipment"),$E1346&lt;=0),AND($C1346="Adjustment",$E1346=0)),"Invalid qty",IF($B1346&gt;Config!$B$4,"Date after the as-of date",IF($B1346&lt;Config!$B$5,"Date before the opening balance date","OK")))))))))))))))))</f>
        <v/>
      </c>
    </row>
    <row r="1347">
      <c r="A1347" s="46" t="n"/>
      <c r="B1347" s="54" t="n"/>
      <c r="C1347" s="46" t="n"/>
      <c r="D1347" s="46" t="n"/>
      <c r="E1347" s="55" t="n"/>
      <c r="F1347" s="46" t="n"/>
      <c r="G1347" s="46" t="n"/>
      <c r="H1347" s="46" t="n"/>
      <c r="I1347" s="46" t="n"/>
      <c r="J1347" s="46" t="n"/>
      <c r="K1347" s="46" t="n"/>
      <c r="L1347" s="46" t="n"/>
      <c r="M1347" s="51" t="str">
        <f>IF(NOT(ISNUMBER($E1347)),"",IF($C1347="Receipt",$E1347,IF($C1347="Shipment",-$E1347,IF($C1347="Adjustment",$E1347,0))))</f>
        <v/>
      </c>
      <c r="N1347" s="49" t="str">
        <f>IF($D1347="","",IFERROR(INDEX(Products!$B$2:$B$101,MATCH($D1347,Products!$A$2:$A$101,0))&amp;"","(not found)"))</f>
        <v/>
      </c>
      <c r="O1347" s="49" t="str">
        <f>IF($F1347="","",IFERROR(INDEX(Batches!$B$2:$B$301,MATCH($F1347,Batches!$A$2:$A$301,0))&amp;"","(not found)"))</f>
        <v/>
      </c>
      <c r="P1347" s="49" t="str">
        <f>IF(COUNTA($A1347:$L1347)=0,"",IF($A1347="","Missing: entry ID",IF(COUNTIF($A$2:$A$2001,$A1347)&gt;1,"Duplicate entry ID",IF(NOT(ISNUMBER($B1347)),"Missing or invalid: date",IF($C1347="","Missing: type",IF($D1347="","Missing: SKU",IF(NOT(ISNUMBER($E1347)),"Missing: qty",IF($F1347="","Missing: lot",IF($I1347="","Missing: source link",IF(COUNTIF(Config!$A$15:$A$34,$C1347)=0,"Unsupported type",IF(COUNTIF(Products!$A$2:$A$101,$D1347)=0,"Unknown SKU",IF(COUNTIFS(Batches!$A$2:$A$301,$F1347,Batches!$B$2:$B$301,$D1347)=0,"Unknown lot for this SKU",IF(AND($C1347="Adjustment",$G1347=""),"Missing: reason",IF(AND($G1347&lt;&gt;"",COUNTIF(Config!$B$15:$B$34,$G1347)=0),"Unsupported reason",IF(OR(INT($E1347)&lt;&gt;$E1347,AND(OR($C1347="Receipt",$C1347="Shipment"),$E1347&lt;=0),AND($C1347="Adjustment",$E1347=0)),"Invalid qty",IF($B1347&gt;Config!$B$4,"Date after the as-of date",IF($B1347&lt;Config!$B$5,"Date before the opening balance date","OK")))))))))))))))))</f>
        <v/>
      </c>
    </row>
    <row r="1348">
      <c r="A1348" s="46" t="n"/>
      <c r="B1348" s="54" t="n"/>
      <c r="C1348" s="46" t="n"/>
      <c r="D1348" s="46" t="n"/>
      <c r="E1348" s="55" t="n"/>
      <c r="F1348" s="46" t="n"/>
      <c r="G1348" s="46" t="n"/>
      <c r="H1348" s="46" t="n"/>
      <c r="I1348" s="46" t="n"/>
      <c r="J1348" s="46" t="n"/>
      <c r="K1348" s="46" t="n"/>
      <c r="L1348" s="46" t="n"/>
      <c r="M1348" s="51" t="str">
        <f>IF(NOT(ISNUMBER($E1348)),"",IF($C1348="Receipt",$E1348,IF($C1348="Shipment",-$E1348,IF($C1348="Adjustment",$E1348,0))))</f>
        <v/>
      </c>
      <c r="N1348" s="49" t="str">
        <f>IF($D1348="","",IFERROR(INDEX(Products!$B$2:$B$101,MATCH($D1348,Products!$A$2:$A$101,0))&amp;"","(not found)"))</f>
        <v/>
      </c>
      <c r="O1348" s="49" t="str">
        <f>IF($F1348="","",IFERROR(INDEX(Batches!$B$2:$B$301,MATCH($F1348,Batches!$A$2:$A$301,0))&amp;"","(not found)"))</f>
        <v/>
      </c>
      <c r="P1348" s="49" t="str">
        <f>IF(COUNTA($A1348:$L1348)=0,"",IF($A1348="","Missing: entry ID",IF(COUNTIF($A$2:$A$2001,$A1348)&gt;1,"Duplicate entry ID",IF(NOT(ISNUMBER($B1348)),"Missing or invalid: date",IF($C1348="","Missing: type",IF($D1348="","Missing: SKU",IF(NOT(ISNUMBER($E1348)),"Missing: qty",IF($F1348="","Missing: lot",IF($I1348="","Missing: source link",IF(COUNTIF(Config!$A$15:$A$34,$C1348)=0,"Unsupported type",IF(COUNTIF(Products!$A$2:$A$101,$D1348)=0,"Unknown SKU",IF(COUNTIFS(Batches!$A$2:$A$301,$F1348,Batches!$B$2:$B$301,$D1348)=0,"Unknown lot for this SKU",IF(AND($C1348="Adjustment",$G1348=""),"Missing: reason",IF(AND($G1348&lt;&gt;"",COUNTIF(Config!$B$15:$B$34,$G1348)=0),"Unsupported reason",IF(OR(INT($E1348)&lt;&gt;$E1348,AND(OR($C1348="Receipt",$C1348="Shipment"),$E1348&lt;=0),AND($C1348="Adjustment",$E1348=0)),"Invalid qty",IF($B1348&gt;Config!$B$4,"Date after the as-of date",IF($B1348&lt;Config!$B$5,"Date before the opening balance date","OK")))))))))))))))))</f>
        <v/>
      </c>
    </row>
    <row r="1349">
      <c r="A1349" s="46" t="n"/>
      <c r="B1349" s="54" t="n"/>
      <c r="C1349" s="46" t="n"/>
      <c r="D1349" s="46" t="n"/>
      <c r="E1349" s="55" t="n"/>
      <c r="F1349" s="46" t="n"/>
      <c r="G1349" s="46" t="n"/>
      <c r="H1349" s="46" t="n"/>
      <c r="I1349" s="46" t="n"/>
      <c r="J1349" s="46" t="n"/>
      <c r="K1349" s="46" t="n"/>
      <c r="L1349" s="46" t="n"/>
      <c r="M1349" s="51" t="str">
        <f>IF(NOT(ISNUMBER($E1349)),"",IF($C1349="Receipt",$E1349,IF($C1349="Shipment",-$E1349,IF($C1349="Adjustment",$E1349,0))))</f>
        <v/>
      </c>
      <c r="N1349" s="49" t="str">
        <f>IF($D1349="","",IFERROR(INDEX(Products!$B$2:$B$101,MATCH($D1349,Products!$A$2:$A$101,0))&amp;"","(not found)"))</f>
        <v/>
      </c>
      <c r="O1349" s="49" t="str">
        <f>IF($F1349="","",IFERROR(INDEX(Batches!$B$2:$B$301,MATCH($F1349,Batches!$A$2:$A$301,0))&amp;"","(not found)"))</f>
        <v/>
      </c>
      <c r="P1349" s="49" t="str">
        <f>IF(COUNTA($A1349:$L1349)=0,"",IF($A1349="","Missing: entry ID",IF(COUNTIF($A$2:$A$2001,$A1349)&gt;1,"Duplicate entry ID",IF(NOT(ISNUMBER($B1349)),"Missing or invalid: date",IF($C1349="","Missing: type",IF($D1349="","Missing: SKU",IF(NOT(ISNUMBER($E1349)),"Missing: qty",IF($F1349="","Missing: lot",IF($I1349="","Missing: source link",IF(COUNTIF(Config!$A$15:$A$34,$C1349)=0,"Unsupported type",IF(COUNTIF(Products!$A$2:$A$101,$D1349)=0,"Unknown SKU",IF(COUNTIFS(Batches!$A$2:$A$301,$F1349,Batches!$B$2:$B$301,$D1349)=0,"Unknown lot for this SKU",IF(AND($C1349="Adjustment",$G1349=""),"Missing: reason",IF(AND($G1349&lt;&gt;"",COUNTIF(Config!$B$15:$B$34,$G1349)=0),"Unsupported reason",IF(OR(INT($E1349)&lt;&gt;$E1349,AND(OR($C1349="Receipt",$C1349="Shipment"),$E1349&lt;=0),AND($C1349="Adjustment",$E1349=0)),"Invalid qty",IF($B1349&gt;Config!$B$4,"Date after the as-of date",IF($B1349&lt;Config!$B$5,"Date before the opening balance date","OK")))))))))))))))))</f>
        <v/>
      </c>
    </row>
    <row r="1350">
      <c r="A1350" s="46" t="n"/>
      <c r="B1350" s="54" t="n"/>
      <c r="C1350" s="46" t="n"/>
      <c r="D1350" s="46" t="n"/>
      <c r="E1350" s="55" t="n"/>
      <c r="F1350" s="46" t="n"/>
      <c r="G1350" s="46" t="n"/>
      <c r="H1350" s="46" t="n"/>
      <c r="I1350" s="46" t="n"/>
      <c r="J1350" s="46" t="n"/>
      <c r="K1350" s="46" t="n"/>
      <c r="L1350" s="46" t="n"/>
      <c r="M1350" s="51" t="str">
        <f>IF(NOT(ISNUMBER($E1350)),"",IF($C1350="Receipt",$E1350,IF($C1350="Shipment",-$E1350,IF($C1350="Adjustment",$E1350,0))))</f>
        <v/>
      </c>
      <c r="N1350" s="49" t="str">
        <f>IF($D1350="","",IFERROR(INDEX(Products!$B$2:$B$101,MATCH($D1350,Products!$A$2:$A$101,0))&amp;"","(not found)"))</f>
        <v/>
      </c>
      <c r="O1350" s="49" t="str">
        <f>IF($F1350="","",IFERROR(INDEX(Batches!$B$2:$B$301,MATCH($F1350,Batches!$A$2:$A$301,0))&amp;"","(not found)"))</f>
        <v/>
      </c>
      <c r="P1350" s="49" t="str">
        <f>IF(COUNTA($A1350:$L1350)=0,"",IF($A1350="","Missing: entry ID",IF(COUNTIF($A$2:$A$2001,$A1350)&gt;1,"Duplicate entry ID",IF(NOT(ISNUMBER($B1350)),"Missing or invalid: date",IF($C1350="","Missing: type",IF($D1350="","Missing: SKU",IF(NOT(ISNUMBER($E1350)),"Missing: qty",IF($F1350="","Missing: lot",IF($I1350="","Missing: source link",IF(COUNTIF(Config!$A$15:$A$34,$C1350)=0,"Unsupported type",IF(COUNTIF(Products!$A$2:$A$101,$D1350)=0,"Unknown SKU",IF(COUNTIFS(Batches!$A$2:$A$301,$F1350,Batches!$B$2:$B$301,$D1350)=0,"Unknown lot for this SKU",IF(AND($C1350="Adjustment",$G1350=""),"Missing: reason",IF(AND($G1350&lt;&gt;"",COUNTIF(Config!$B$15:$B$34,$G1350)=0),"Unsupported reason",IF(OR(INT($E1350)&lt;&gt;$E1350,AND(OR($C1350="Receipt",$C1350="Shipment"),$E1350&lt;=0),AND($C1350="Adjustment",$E1350=0)),"Invalid qty",IF($B1350&gt;Config!$B$4,"Date after the as-of date",IF($B1350&lt;Config!$B$5,"Date before the opening balance date","OK")))))))))))))))))</f>
        <v/>
      </c>
    </row>
    <row r="1351">
      <c r="A1351" s="46" t="n"/>
      <c r="B1351" s="54" t="n"/>
      <c r="C1351" s="46" t="n"/>
      <c r="D1351" s="46" t="n"/>
      <c r="E1351" s="55" t="n"/>
      <c r="F1351" s="46" t="n"/>
      <c r="G1351" s="46" t="n"/>
      <c r="H1351" s="46" t="n"/>
      <c r="I1351" s="46" t="n"/>
      <c r="J1351" s="46" t="n"/>
      <c r="K1351" s="46" t="n"/>
      <c r="L1351" s="46" t="n"/>
      <c r="M1351" s="51" t="str">
        <f>IF(NOT(ISNUMBER($E1351)),"",IF($C1351="Receipt",$E1351,IF($C1351="Shipment",-$E1351,IF($C1351="Adjustment",$E1351,0))))</f>
        <v/>
      </c>
      <c r="N1351" s="49" t="str">
        <f>IF($D1351="","",IFERROR(INDEX(Products!$B$2:$B$101,MATCH($D1351,Products!$A$2:$A$101,0))&amp;"","(not found)"))</f>
        <v/>
      </c>
      <c r="O1351" s="49" t="str">
        <f>IF($F1351="","",IFERROR(INDEX(Batches!$B$2:$B$301,MATCH($F1351,Batches!$A$2:$A$301,0))&amp;"","(not found)"))</f>
        <v/>
      </c>
      <c r="P1351" s="49" t="str">
        <f>IF(COUNTA($A1351:$L1351)=0,"",IF($A1351="","Missing: entry ID",IF(COUNTIF($A$2:$A$2001,$A1351)&gt;1,"Duplicate entry ID",IF(NOT(ISNUMBER($B1351)),"Missing or invalid: date",IF($C1351="","Missing: type",IF($D1351="","Missing: SKU",IF(NOT(ISNUMBER($E1351)),"Missing: qty",IF($F1351="","Missing: lot",IF($I1351="","Missing: source link",IF(COUNTIF(Config!$A$15:$A$34,$C1351)=0,"Unsupported type",IF(COUNTIF(Products!$A$2:$A$101,$D1351)=0,"Unknown SKU",IF(COUNTIFS(Batches!$A$2:$A$301,$F1351,Batches!$B$2:$B$301,$D1351)=0,"Unknown lot for this SKU",IF(AND($C1351="Adjustment",$G1351=""),"Missing: reason",IF(AND($G1351&lt;&gt;"",COUNTIF(Config!$B$15:$B$34,$G1351)=0),"Unsupported reason",IF(OR(INT($E1351)&lt;&gt;$E1351,AND(OR($C1351="Receipt",$C1351="Shipment"),$E1351&lt;=0),AND($C1351="Adjustment",$E1351=0)),"Invalid qty",IF($B1351&gt;Config!$B$4,"Date after the as-of date",IF($B1351&lt;Config!$B$5,"Date before the opening balance date","OK")))))))))))))))))</f>
        <v/>
      </c>
    </row>
    <row r="1352">
      <c r="A1352" s="46" t="n"/>
      <c r="B1352" s="54" t="n"/>
      <c r="C1352" s="46" t="n"/>
      <c r="D1352" s="46" t="n"/>
      <c r="E1352" s="55" t="n"/>
      <c r="F1352" s="46" t="n"/>
      <c r="G1352" s="46" t="n"/>
      <c r="H1352" s="46" t="n"/>
      <c r="I1352" s="46" t="n"/>
      <c r="J1352" s="46" t="n"/>
      <c r="K1352" s="46" t="n"/>
      <c r="L1352" s="46" t="n"/>
      <c r="M1352" s="51" t="str">
        <f>IF(NOT(ISNUMBER($E1352)),"",IF($C1352="Receipt",$E1352,IF($C1352="Shipment",-$E1352,IF($C1352="Adjustment",$E1352,0))))</f>
        <v/>
      </c>
      <c r="N1352" s="49" t="str">
        <f>IF($D1352="","",IFERROR(INDEX(Products!$B$2:$B$101,MATCH($D1352,Products!$A$2:$A$101,0))&amp;"","(not found)"))</f>
        <v/>
      </c>
      <c r="O1352" s="49" t="str">
        <f>IF($F1352="","",IFERROR(INDEX(Batches!$B$2:$B$301,MATCH($F1352,Batches!$A$2:$A$301,0))&amp;"","(not found)"))</f>
        <v/>
      </c>
      <c r="P1352" s="49" t="str">
        <f>IF(COUNTA($A1352:$L1352)=0,"",IF($A1352="","Missing: entry ID",IF(COUNTIF($A$2:$A$2001,$A1352)&gt;1,"Duplicate entry ID",IF(NOT(ISNUMBER($B1352)),"Missing or invalid: date",IF($C1352="","Missing: type",IF($D1352="","Missing: SKU",IF(NOT(ISNUMBER($E1352)),"Missing: qty",IF($F1352="","Missing: lot",IF($I1352="","Missing: source link",IF(COUNTIF(Config!$A$15:$A$34,$C1352)=0,"Unsupported type",IF(COUNTIF(Products!$A$2:$A$101,$D1352)=0,"Unknown SKU",IF(COUNTIFS(Batches!$A$2:$A$301,$F1352,Batches!$B$2:$B$301,$D1352)=0,"Unknown lot for this SKU",IF(AND($C1352="Adjustment",$G1352=""),"Missing: reason",IF(AND($G1352&lt;&gt;"",COUNTIF(Config!$B$15:$B$34,$G1352)=0),"Unsupported reason",IF(OR(INT($E1352)&lt;&gt;$E1352,AND(OR($C1352="Receipt",$C1352="Shipment"),$E1352&lt;=0),AND($C1352="Adjustment",$E1352=0)),"Invalid qty",IF($B1352&gt;Config!$B$4,"Date after the as-of date",IF($B1352&lt;Config!$B$5,"Date before the opening balance date","OK")))))))))))))))))</f>
        <v/>
      </c>
    </row>
    <row r="1353">
      <c r="A1353" s="46" t="n"/>
      <c r="B1353" s="54" t="n"/>
      <c r="C1353" s="46" t="n"/>
      <c r="D1353" s="46" t="n"/>
      <c r="E1353" s="55" t="n"/>
      <c r="F1353" s="46" t="n"/>
      <c r="G1353" s="46" t="n"/>
      <c r="H1353" s="46" t="n"/>
      <c r="I1353" s="46" t="n"/>
      <c r="J1353" s="46" t="n"/>
      <c r="K1353" s="46" t="n"/>
      <c r="L1353" s="46" t="n"/>
      <c r="M1353" s="51" t="str">
        <f>IF(NOT(ISNUMBER($E1353)),"",IF($C1353="Receipt",$E1353,IF($C1353="Shipment",-$E1353,IF($C1353="Adjustment",$E1353,0))))</f>
        <v/>
      </c>
      <c r="N1353" s="49" t="str">
        <f>IF($D1353="","",IFERROR(INDEX(Products!$B$2:$B$101,MATCH($D1353,Products!$A$2:$A$101,0))&amp;"","(not found)"))</f>
        <v/>
      </c>
      <c r="O1353" s="49" t="str">
        <f>IF($F1353="","",IFERROR(INDEX(Batches!$B$2:$B$301,MATCH($F1353,Batches!$A$2:$A$301,0))&amp;"","(not found)"))</f>
        <v/>
      </c>
      <c r="P1353" s="49" t="str">
        <f>IF(COUNTA($A1353:$L1353)=0,"",IF($A1353="","Missing: entry ID",IF(COUNTIF($A$2:$A$2001,$A1353)&gt;1,"Duplicate entry ID",IF(NOT(ISNUMBER($B1353)),"Missing or invalid: date",IF($C1353="","Missing: type",IF($D1353="","Missing: SKU",IF(NOT(ISNUMBER($E1353)),"Missing: qty",IF($F1353="","Missing: lot",IF($I1353="","Missing: source link",IF(COUNTIF(Config!$A$15:$A$34,$C1353)=0,"Unsupported type",IF(COUNTIF(Products!$A$2:$A$101,$D1353)=0,"Unknown SKU",IF(COUNTIFS(Batches!$A$2:$A$301,$F1353,Batches!$B$2:$B$301,$D1353)=0,"Unknown lot for this SKU",IF(AND($C1353="Adjustment",$G1353=""),"Missing: reason",IF(AND($G1353&lt;&gt;"",COUNTIF(Config!$B$15:$B$34,$G1353)=0),"Unsupported reason",IF(OR(INT($E1353)&lt;&gt;$E1353,AND(OR($C1353="Receipt",$C1353="Shipment"),$E1353&lt;=0),AND($C1353="Adjustment",$E1353=0)),"Invalid qty",IF($B1353&gt;Config!$B$4,"Date after the as-of date",IF($B1353&lt;Config!$B$5,"Date before the opening balance date","OK")))))))))))))))))</f>
        <v/>
      </c>
    </row>
    <row r="1354">
      <c r="A1354" s="46" t="n"/>
      <c r="B1354" s="54" t="n"/>
      <c r="C1354" s="46" t="n"/>
      <c r="D1354" s="46" t="n"/>
      <c r="E1354" s="55" t="n"/>
      <c r="F1354" s="46" t="n"/>
      <c r="G1354" s="46" t="n"/>
      <c r="H1354" s="46" t="n"/>
      <c r="I1354" s="46" t="n"/>
      <c r="J1354" s="46" t="n"/>
      <c r="K1354" s="46" t="n"/>
      <c r="L1354" s="46" t="n"/>
      <c r="M1354" s="51" t="str">
        <f>IF(NOT(ISNUMBER($E1354)),"",IF($C1354="Receipt",$E1354,IF($C1354="Shipment",-$E1354,IF($C1354="Adjustment",$E1354,0))))</f>
        <v/>
      </c>
      <c r="N1354" s="49" t="str">
        <f>IF($D1354="","",IFERROR(INDEX(Products!$B$2:$B$101,MATCH($D1354,Products!$A$2:$A$101,0))&amp;"","(not found)"))</f>
        <v/>
      </c>
      <c r="O1354" s="49" t="str">
        <f>IF($F1354="","",IFERROR(INDEX(Batches!$B$2:$B$301,MATCH($F1354,Batches!$A$2:$A$301,0))&amp;"","(not found)"))</f>
        <v/>
      </c>
      <c r="P1354" s="49" t="str">
        <f>IF(COUNTA($A1354:$L1354)=0,"",IF($A1354="","Missing: entry ID",IF(COUNTIF($A$2:$A$2001,$A1354)&gt;1,"Duplicate entry ID",IF(NOT(ISNUMBER($B1354)),"Missing or invalid: date",IF($C1354="","Missing: type",IF($D1354="","Missing: SKU",IF(NOT(ISNUMBER($E1354)),"Missing: qty",IF($F1354="","Missing: lot",IF($I1354="","Missing: source link",IF(COUNTIF(Config!$A$15:$A$34,$C1354)=0,"Unsupported type",IF(COUNTIF(Products!$A$2:$A$101,$D1354)=0,"Unknown SKU",IF(COUNTIFS(Batches!$A$2:$A$301,$F1354,Batches!$B$2:$B$301,$D1354)=0,"Unknown lot for this SKU",IF(AND($C1354="Adjustment",$G1354=""),"Missing: reason",IF(AND($G1354&lt;&gt;"",COUNTIF(Config!$B$15:$B$34,$G1354)=0),"Unsupported reason",IF(OR(INT($E1354)&lt;&gt;$E1354,AND(OR($C1354="Receipt",$C1354="Shipment"),$E1354&lt;=0),AND($C1354="Adjustment",$E1354=0)),"Invalid qty",IF($B1354&gt;Config!$B$4,"Date after the as-of date",IF($B1354&lt;Config!$B$5,"Date before the opening balance date","OK")))))))))))))))))</f>
        <v/>
      </c>
    </row>
    <row r="1355">
      <c r="A1355" s="46" t="n"/>
      <c r="B1355" s="54" t="n"/>
      <c r="C1355" s="46" t="n"/>
      <c r="D1355" s="46" t="n"/>
      <c r="E1355" s="55" t="n"/>
      <c r="F1355" s="46" t="n"/>
      <c r="G1355" s="46" t="n"/>
      <c r="H1355" s="46" t="n"/>
      <c r="I1355" s="46" t="n"/>
      <c r="J1355" s="46" t="n"/>
      <c r="K1355" s="46" t="n"/>
      <c r="L1355" s="46" t="n"/>
      <c r="M1355" s="51" t="str">
        <f>IF(NOT(ISNUMBER($E1355)),"",IF($C1355="Receipt",$E1355,IF($C1355="Shipment",-$E1355,IF($C1355="Adjustment",$E1355,0))))</f>
        <v/>
      </c>
      <c r="N1355" s="49" t="str">
        <f>IF($D1355="","",IFERROR(INDEX(Products!$B$2:$B$101,MATCH($D1355,Products!$A$2:$A$101,0))&amp;"","(not found)"))</f>
        <v/>
      </c>
      <c r="O1355" s="49" t="str">
        <f>IF($F1355="","",IFERROR(INDEX(Batches!$B$2:$B$301,MATCH($F1355,Batches!$A$2:$A$301,0))&amp;"","(not found)"))</f>
        <v/>
      </c>
      <c r="P1355" s="49" t="str">
        <f>IF(COUNTA($A1355:$L1355)=0,"",IF($A1355="","Missing: entry ID",IF(COUNTIF($A$2:$A$2001,$A1355)&gt;1,"Duplicate entry ID",IF(NOT(ISNUMBER($B1355)),"Missing or invalid: date",IF($C1355="","Missing: type",IF($D1355="","Missing: SKU",IF(NOT(ISNUMBER($E1355)),"Missing: qty",IF($F1355="","Missing: lot",IF($I1355="","Missing: source link",IF(COUNTIF(Config!$A$15:$A$34,$C1355)=0,"Unsupported type",IF(COUNTIF(Products!$A$2:$A$101,$D1355)=0,"Unknown SKU",IF(COUNTIFS(Batches!$A$2:$A$301,$F1355,Batches!$B$2:$B$301,$D1355)=0,"Unknown lot for this SKU",IF(AND($C1355="Adjustment",$G1355=""),"Missing: reason",IF(AND($G1355&lt;&gt;"",COUNTIF(Config!$B$15:$B$34,$G1355)=0),"Unsupported reason",IF(OR(INT($E1355)&lt;&gt;$E1355,AND(OR($C1355="Receipt",$C1355="Shipment"),$E1355&lt;=0),AND($C1355="Adjustment",$E1355=0)),"Invalid qty",IF($B1355&gt;Config!$B$4,"Date after the as-of date",IF($B1355&lt;Config!$B$5,"Date before the opening balance date","OK")))))))))))))))))</f>
        <v/>
      </c>
    </row>
    <row r="1356">
      <c r="A1356" s="46" t="n"/>
      <c r="B1356" s="54" t="n"/>
      <c r="C1356" s="46" t="n"/>
      <c r="D1356" s="46" t="n"/>
      <c r="E1356" s="55" t="n"/>
      <c r="F1356" s="46" t="n"/>
      <c r="G1356" s="46" t="n"/>
      <c r="H1356" s="46" t="n"/>
      <c r="I1356" s="46" t="n"/>
      <c r="J1356" s="46" t="n"/>
      <c r="K1356" s="46" t="n"/>
      <c r="L1356" s="46" t="n"/>
      <c r="M1356" s="51" t="str">
        <f>IF(NOT(ISNUMBER($E1356)),"",IF($C1356="Receipt",$E1356,IF($C1356="Shipment",-$E1356,IF($C1356="Adjustment",$E1356,0))))</f>
        <v/>
      </c>
      <c r="N1356" s="49" t="str">
        <f>IF($D1356="","",IFERROR(INDEX(Products!$B$2:$B$101,MATCH($D1356,Products!$A$2:$A$101,0))&amp;"","(not found)"))</f>
        <v/>
      </c>
      <c r="O1356" s="49" t="str">
        <f>IF($F1356="","",IFERROR(INDEX(Batches!$B$2:$B$301,MATCH($F1356,Batches!$A$2:$A$301,0))&amp;"","(not found)"))</f>
        <v/>
      </c>
      <c r="P1356" s="49" t="str">
        <f>IF(COUNTA($A1356:$L1356)=0,"",IF($A1356="","Missing: entry ID",IF(COUNTIF($A$2:$A$2001,$A1356)&gt;1,"Duplicate entry ID",IF(NOT(ISNUMBER($B1356)),"Missing or invalid: date",IF($C1356="","Missing: type",IF($D1356="","Missing: SKU",IF(NOT(ISNUMBER($E1356)),"Missing: qty",IF($F1356="","Missing: lot",IF($I1356="","Missing: source link",IF(COUNTIF(Config!$A$15:$A$34,$C1356)=0,"Unsupported type",IF(COUNTIF(Products!$A$2:$A$101,$D1356)=0,"Unknown SKU",IF(COUNTIFS(Batches!$A$2:$A$301,$F1356,Batches!$B$2:$B$301,$D1356)=0,"Unknown lot for this SKU",IF(AND($C1356="Adjustment",$G1356=""),"Missing: reason",IF(AND($G1356&lt;&gt;"",COUNTIF(Config!$B$15:$B$34,$G1356)=0),"Unsupported reason",IF(OR(INT($E1356)&lt;&gt;$E1356,AND(OR($C1356="Receipt",$C1356="Shipment"),$E1356&lt;=0),AND($C1356="Adjustment",$E1356=0)),"Invalid qty",IF($B1356&gt;Config!$B$4,"Date after the as-of date",IF($B1356&lt;Config!$B$5,"Date before the opening balance date","OK")))))))))))))))))</f>
        <v/>
      </c>
    </row>
    <row r="1357">
      <c r="A1357" s="46" t="n"/>
      <c r="B1357" s="54" t="n"/>
      <c r="C1357" s="46" t="n"/>
      <c r="D1357" s="46" t="n"/>
      <c r="E1357" s="55" t="n"/>
      <c r="F1357" s="46" t="n"/>
      <c r="G1357" s="46" t="n"/>
      <c r="H1357" s="46" t="n"/>
      <c r="I1357" s="46" t="n"/>
      <c r="J1357" s="46" t="n"/>
      <c r="K1357" s="46" t="n"/>
      <c r="L1357" s="46" t="n"/>
      <c r="M1357" s="51" t="str">
        <f>IF(NOT(ISNUMBER($E1357)),"",IF($C1357="Receipt",$E1357,IF($C1357="Shipment",-$E1357,IF($C1357="Adjustment",$E1357,0))))</f>
        <v/>
      </c>
      <c r="N1357" s="49" t="str">
        <f>IF($D1357="","",IFERROR(INDEX(Products!$B$2:$B$101,MATCH($D1357,Products!$A$2:$A$101,0))&amp;"","(not found)"))</f>
        <v/>
      </c>
      <c r="O1357" s="49" t="str">
        <f>IF($F1357="","",IFERROR(INDEX(Batches!$B$2:$B$301,MATCH($F1357,Batches!$A$2:$A$301,0))&amp;"","(not found)"))</f>
        <v/>
      </c>
      <c r="P1357" s="49" t="str">
        <f>IF(COUNTA($A1357:$L1357)=0,"",IF($A1357="","Missing: entry ID",IF(COUNTIF($A$2:$A$2001,$A1357)&gt;1,"Duplicate entry ID",IF(NOT(ISNUMBER($B1357)),"Missing or invalid: date",IF($C1357="","Missing: type",IF($D1357="","Missing: SKU",IF(NOT(ISNUMBER($E1357)),"Missing: qty",IF($F1357="","Missing: lot",IF($I1357="","Missing: source link",IF(COUNTIF(Config!$A$15:$A$34,$C1357)=0,"Unsupported type",IF(COUNTIF(Products!$A$2:$A$101,$D1357)=0,"Unknown SKU",IF(COUNTIFS(Batches!$A$2:$A$301,$F1357,Batches!$B$2:$B$301,$D1357)=0,"Unknown lot for this SKU",IF(AND($C1357="Adjustment",$G1357=""),"Missing: reason",IF(AND($G1357&lt;&gt;"",COUNTIF(Config!$B$15:$B$34,$G1357)=0),"Unsupported reason",IF(OR(INT($E1357)&lt;&gt;$E1357,AND(OR($C1357="Receipt",$C1357="Shipment"),$E1357&lt;=0),AND($C1357="Adjustment",$E1357=0)),"Invalid qty",IF($B1357&gt;Config!$B$4,"Date after the as-of date",IF($B1357&lt;Config!$B$5,"Date before the opening balance date","OK")))))))))))))))))</f>
        <v/>
      </c>
    </row>
    <row r="1358">
      <c r="A1358" s="46" t="n"/>
      <c r="B1358" s="54" t="n"/>
      <c r="C1358" s="46" t="n"/>
      <c r="D1358" s="46" t="n"/>
      <c r="E1358" s="55" t="n"/>
      <c r="F1358" s="46" t="n"/>
      <c r="G1358" s="46" t="n"/>
      <c r="H1358" s="46" t="n"/>
      <c r="I1358" s="46" t="n"/>
      <c r="J1358" s="46" t="n"/>
      <c r="K1358" s="46" t="n"/>
      <c r="L1358" s="46" t="n"/>
      <c r="M1358" s="51" t="str">
        <f>IF(NOT(ISNUMBER($E1358)),"",IF($C1358="Receipt",$E1358,IF($C1358="Shipment",-$E1358,IF($C1358="Adjustment",$E1358,0))))</f>
        <v/>
      </c>
      <c r="N1358" s="49" t="str">
        <f>IF($D1358="","",IFERROR(INDEX(Products!$B$2:$B$101,MATCH($D1358,Products!$A$2:$A$101,0))&amp;"","(not found)"))</f>
        <v/>
      </c>
      <c r="O1358" s="49" t="str">
        <f>IF($F1358="","",IFERROR(INDEX(Batches!$B$2:$B$301,MATCH($F1358,Batches!$A$2:$A$301,0))&amp;"","(not found)"))</f>
        <v/>
      </c>
      <c r="P1358" s="49" t="str">
        <f>IF(COUNTA($A1358:$L1358)=0,"",IF($A1358="","Missing: entry ID",IF(COUNTIF($A$2:$A$2001,$A1358)&gt;1,"Duplicate entry ID",IF(NOT(ISNUMBER($B1358)),"Missing or invalid: date",IF($C1358="","Missing: type",IF($D1358="","Missing: SKU",IF(NOT(ISNUMBER($E1358)),"Missing: qty",IF($F1358="","Missing: lot",IF($I1358="","Missing: source link",IF(COUNTIF(Config!$A$15:$A$34,$C1358)=0,"Unsupported type",IF(COUNTIF(Products!$A$2:$A$101,$D1358)=0,"Unknown SKU",IF(COUNTIFS(Batches!$A$2:$A$301,$F1358,Batches!$B$2:$B$301,$D1358)=0,"Unknown lot for this SKU",IF(AND($C1358="Adjustment",$G1358=""),"Missing: reason",IF(AND($G1358&lt;&gt;"",COUNTIF(Config!$B$15:$B$34,$G1358)=0),"Unsupported reason",IF(OR(INT($E1358)&lt;&gt;$E1358,AND(OR($C1358="Receipt",$C1358="Shipment"),$E1358&lt;=0),AND($C1358="Adjustment",$E1358=0)),"Invalid qty",IF($B1358&gt;Config!$B$4,"Date after the as-of date",IF($B1358&lt;Config!$B$5,"Date before the opening balance date","OK")))))))))))))))))</f>
        <v/>
      </c>
    </row>
    <row r="1359">
      <c r="A1359" s="46" t="n"/>
      <c r="B1359" s="54" t="n"/>
      <c r="C1359" s="46" t="n"/>
      <c r="D1359" s="46" t="n"/>
      <c r="E1359" s="55" t="n"/>
      <c r="F1359" s="46" t="n"/>
      <c r="G1359" s="46" t="n"/>
      <c r="H1359" s="46" t="n"/>
      <c r="I1359" s="46" t="n"/>
      <c r="J1359" s="46" t="n"/>
      <c r="K1359" s="46" t="n"/>
      <c r="L1359" s="46" t="n"/>
      <c r="M1359" s="51" t="str">
        <f>IF(NOT(ISNUMBER($E1359)),"",IF($C1359="Receipt",$E1359,IF($C1359="Shipment",-$E1359,IF($C1359="Adjustment",$E1359,0))))</f>
        <v/>
      </c>
      <c r="N1359" s="49" t="str">
        <f>IF($D1359="","",IFERROR(INDEX(Products!$B$2:$B$101,MATCH($D1359,Products!$A$2:$A$101,0))&amp;"","(not found)"))</f>
        <v/>
      </c>
      <c r="O1359" s="49" t="str">
        <f>IF($F1359="","",IFERROR(INDEX(Batches!$B$2:$B$301,MATCH($F1359,Batches!$A$2:$A$301,0))&amp;"","(not found)"))</f>
        <v/>
      </c>
      <c r="P1359" s="49" t="str">
        <f>IF(COUNTA($A1359:$L1359)=0,"",IF($A1359="","Missing: entry ID",IF(COUNTIF($A$2:$A$2001,$A1359)&gt;1,"Duplicate entry ID",IF(NOT(ISNUMBER($B1359)),"Missing or invalid: date",IF($C1359="","Missing: type",IF($D1359="","Missing: SKU",IF(NOT(ISNUMBER($E1359)),"Missing: qty",IF($F1359="","Missing: lot",IF($I1359="","Missing: source link",IF(COUNTIF(Config!$A$15:$A$34,$C1359)=0,"Unsupported type",IF(COUNTIF(Products!$A$2:$A$101,$D1359)=0,"Unknown SKU",IF(COUNTIFS(Batches!$A$2:$A$301,$F1359,Batches!$B$2:$B$301,$D1359)=0,"Unknown lot for this SKU",IF(AND($C1359="Adjustment",$G1359=""),"Missing: reason",IF(AND($G1359&lt;&gt;"",COUNTIF(Config!$B$15:$B$34,$G1359)=0),"Unsupported reason",IF(OR(INT($E1359)&lt;&gt;$E1359,AND(OR($C1359="Receipt",$C1359="Shipment"),$E1359&lt;=0),AND($C1359="Adjustment",$E1359=0)),"Invalid qty",IF($B1359&gt;Config!$B$4,"Date after the as-of date",IF($B1359&lt;Config!$B$5,"Date before the opening balance date","OK")))))))))))))))))</f>
        <v/>
      </c>
    </row>
    <row r="1360">
      <c r="A1360" s="46" t="n"/>
      <c r="B1360" s="54" t="n"/>
      <c r="C1360" s="46" t="n"/>
      <c r="D1360" s="46" t="n"/>
      <c r="E1360" s="55" t="n"/>
      <c r="F1360" s="46" t="n"/>
      <c r="G1360" s="46" t="n"/>
      <c r="H1360" s="46" t="n"/>
      <c r="I1360" s="46" t="n"/>
      <c r="J1360" s="46" t="n"/>
      <c r="K1360" s="46" t="n"/>
      <c r="L1360" s="46" t="n"/>
      <c r="M1360" s="51" t="str">
        <f>IF(NOT(ISNUMBER($E1360)),"",IF($C1360="Receipt",$E1360,IF($C1360="Shipment",-$E1360,IF($C1360="Adjustment",$E1360,0))))</f>
        <v/>
      </c>
      <c r="N1360" s="49" t="str">
        <f>IF($D1360="","",IFERROR(INDEX(Products!$B$2:$B$101,MATCH($D1360,Products!$A$2:$A$101,0))&amp;"","(not found)"))</f>
        <v/>
      </c>
      <c r="O1360" s="49" t="str">
        <f>IF($F1360="","",IFERROR(INDEX(Batches!$B$2:$B$301,MATCH($F1360,Batches!$A$2:$A$301,0))&amp;"","(not found)"))</f>
        <v/>
      </c>
      <c r="P1360" s="49" t="str">
        <f>IF(COUNTA($A1360:$L1360)=0,"",IF($A1360="","Missing: entry ID",IF(COUNTIF($A$2:$A$2001,$A1360)&gt;1,"Duplicate entry ID",IF(NOT(ISNUMBER($B1360)),"Missing or invalid: date",IF($C1360="","Missing: type",IF($D1360="","Missing: SKU",IF(NOT(ISNUMBER($E1360)),"Missing: qty",IF($F1360="","Missing: lot",IF($I1360="","Missing: source link",IF(COUNTIF(Config!$A$15:$A$34,$C1360)=0,"Unsupported type",IF(COUNTIF(Products!$A$2:$A$101,$D1360)=0,"Unknown SKU",IF(COUNTIFS(Batches!$A$2:$A$301,$F1360,Batches!$B$2:$B$301,$D1360)=0,"Unknown lot for this SKU",IF(AND($C1360="Adjustment",$G1360=""),"Missing: reason",IF(AND($G1360&lt;&gt;"",COUNTIF(Config!$B$15:$B$34,$G1360)=0),"Unsupported reason",IF(OR(INT($E1360)&lt;&gt;$E1360,AND(OR($C1360="Receipt",$C1360="Shipment"),$E1360&lt;=0),AND($C1360="Adjustment",$E1360=0)),"Invalid qty",IF($B1360&gt;Config!$B$4,"Date after the as-of date",IF($B1360&lt;Config!$B$5,"Date before the opening balance date","OK")))))))))))))))))</f>
        <v/>
      </c>
    </row>
    <row r="1361">
      <c r="A1361" s="46" t="n"/>
      <c r="B1361" s="54" t="n"/>
      <c r="C1361" s="46" t="n"/>
      <c r="D1361" s="46" t="n"/>
      <c r="E1361" s="55" t="n"/>
      <c r="F1361" s="46" t="n"/>
      <c r="G1361" s="46" t="n"/>
      <c r="H1361" s="46" t="n"/>
      <c r="I1361" s="46" t="n"/>
      <c r="J1361" s="46" t="n"/>
      <c r="K1361" s="46" t="n"/>
      <c r="L1361" s="46" t="n"/>
      <c r="M1361" s="51" t="str">
        <f>IF(NOT(ISNUMBER($E1361)),"",IF($C1361="Receipt",$E1361,IF($C1361="Shipment",-$E1361,IF($C1361="Adjustment",$E1361,0))))</f>
        <v/>
      </c>
      <c r="N1361" s="49" t="str">
        <f>IF($D1361="","",IFERROR(INDEX(Products!$B$2:$B$101,MATCH($D1361,Products!$A$2:$A$101,0))&amp;"","(not found)"))</f>
        <v/>
      </c>
      <c r="O1361" s="49" t="str">
        <f>IF($F1361="","",IFERROR(INDEX(Batches!$B$2:$B$301,MATCH($F1361,Batches!$A$2:$A$301,0))&amp;"","(not found)"))</f>
        <v/>
      </c>
      <c r="P1361" s="49" t="str">
        <f>IF(COUNTA($A1361:$L1361)=0,"",IF($A1361="","Missing: entry ID",IF(COUNTIF($A$2:$A$2001,$A1361)&gt;1,"Duplicate entry ID",IF(NOT(ISNUMBER($B1361)),"Missing or invalid: date",IF($C1361="","Missing: type",IF($D1361="","Missing: SKU",IF(NOT(ISNUMBER($E1361)),"Missing: qty",IF($F1361="","Missing: lot",IF($I1361="","Missing: source link",IF(COUNTIF(Config!$A$15:$A$34,$C1361)=0,"Unsupported type",IF(COUNTIF(Products!$A$2:$A$101,$D1361)=0,"Unknown SKU",IF(COUNTIFS(Batches!$A$2:$A$301,$F1361,Batches!$B$2:$B$301,$D1361)=0,"Unknown lot for this SKU",IF(AND($C1361="Adjustment",$G1361=""),"Missing: reason",IF(AND($G1361&lt;&gt;"",COUNTIF(Config!$B$15:$B$34,$G1361)=0),"Unsupported reason",IF(OR(INT($E1361)&lt;&gt;$E1361,AND(OR($C1361="Receipt",$C1361="Shipment"),$E1361&lt;=0),AND($C1361="Adjustment",$E1361=0)),"Invalid qty",IF($B1361&gt;Config!$B$4,"Date after the as-of date",IF($B1361&lt;Config!$B$5,"Date before the opening balance date","OK")))))))))))))))))</f>
        <v/>
      </c>
    </row>
    <row r="1362">
      <c r="A1362" s="46" t="n"/>
      <c r="B1362" s="54" t="n"/>
      <c r="C1362" s="46" t="n"/>
      <c r="D1362" s="46" t="n"/>
      <c r="E1362" s="55" t="n"/>
      <c r="F1362" s="46" t="n"/>
      <c r="G1362" s="46" t="n"/>
      <c r="H1362" s="46" t="n"/>
      <c r="I1362" s="46" t="n"/>
      <c r="J1362" s="46" t="n"/>
      <c r="K1362" s="46" t="n"/>
      <c r="L1362" s="46" t="n"/>
      <c r="M1362" s="51" t="str">
        <f>IF(NOT(ISNUMBER($E1362)),"",IF($C1362="Receipt",$E1362,IF($C1362="Shipment",-$E1362,IF($C1362="Adjustment",$E1362,0))))</f>
        <v/>
      </c>
      <c r="N1362" s="49" t="str">
        <f>IF($D1362="","",IFERROR(INDEX(Products!$B$2:$B$101,MATCH($D1362,Products!$A$2:$A$101,0))&amp;"","(not found)"))</f>
        <v/>
      </c>
      <c r="O1362" s="49" t="str">
        <f>IF($F1362="","",IFERROR(INDEX(Batches!$B$2:$B$301,MATCH($F1362,Batches!$A$2:$A$301,0))&amp;"","(not found)"))</f>
        <v/>
      </c>
      <c r="P1362" s="49" t="str">
        <f>IF(COUNTA($A1362:$L1362)=0,"",IF($A1362="","Missing: entry ID",IF(COUNTIF($A$2:$A$2001,$A1362)&gt;1,"Duplicate entry ID",IF(NOT(ISNUMBER($B1362)),"Missing or invalid: date",IF($C1362="","Missing: type",IF($D1362="","Missing: SKU",IF(NOT(ISNUMBER($E1362)),"Missing: qty",IF($F1362="","Missing: lot",IF($I1362="","Missing: source link",IF(COUNTIF(Config!$A$15:$A$34,$C1362)=0,"Unsupported type",IF(COUNTIF(Products!$A$2:$A$101,$D1362)=0,"Unknown SKU",IF(COUNTIFS(Batches!$A$2:$A$301,$F1362,Batches!$B$2:$B$301,$D1362)=0,"Unknown lot for this SKU",IF(AND($C1362="Adjustment",$G1362=""),"Missing: reason",IF(AND($G1362&lt;&gt;"",COUNTIF(Config!$B$15:$B$34,$G1362)=0),"Unsupported reason",IF(OR(INT($E1362)&lt;&gt;$E1362,AND(OR($C1362="Receipt",$C1362="Shipment"),$E1362&lt;=0),AND($C1362="Adjustment",$E1362=0)),"Invalid qty",IF($B1362&gt;Config!$B$4,"Date after the as-of date",IF($B1362&lt;Config!$B$5,"Date before the opening balance date","OK")))))))))))))))))</f>
        <v/>
      </c>
    </row>
    <row r="1363">
      <c r="A1363" s="46" t="n"/>
      <c r="B1363" s="54" t="n"/>
      <c r="C1363" s="46" t="n"/>
      <c r="D1363" s="46" t="n"/>
      <c r="E1363" s="55" t="n"/>
      <c r="F1363" s="46" t="n"/>
      <c r="G1363" s="46" t="n"/>
      <c r="H1363" s="46" t="n"/>
      <c r="I1363" s="46" t="n"/>
      <c r="J1363" s="46" t="n"/>
      <c r="K1363" s="46" t="n"/>
      <c r="L1363" s="46" t="n"/>
      <c r="M1363" s="51" t="str">
        <f>IF(NOT(ISNUMBER($E1363)),"",IF($C1363="Receipt",$E1363,IF($C1363="Shipment",-$E1363,IF($C1363="Adjustment",$E1363,0))))</f>
        <v/>
      </c>
      <c r="N1363" s="49" t="str">
        <f>IF($D1363="","",IFERROR(INDEX(Products!$B$2:$B$101,MATCH($D1363,Products!$A$2:$A$101,0))&amp;"","(not found)"))</f>
        <v/>
      </c>
      <c r="O1363" s="49" t="str">
        <f>IF($F1363="","",IFERROR(INDEX(Batches!$B$2:$B$301,MATCH($F1363,Batches!$A$2:$A$301,0))&amp;"","(not found)"))</f>
        <v/>
      </c>
      <c r="P1363" s="49" t="str">
        <f>IF(COUNTA($A1363:$L1363)=0,"",IF($A1363="","Missing: entry ID",IF(COUNTIF($A$2:$A$2001,$A1363)&gt;1,"Duplicate entry ID",IF(NOT(ISNUMBER($B1363)),"Missing or invalid: date",IF($C1363="","Missing: type",IF($D1363="","Missing: SKU",IF(NOT(ISNUMBER($E1363)),"Missing: qty",IF($F1363="","Missing: lot",IF($I1363="","Missing: source link",IF(COUNTIF(Config!$A$15:$A$34,$C1363)=0,"Unsupported type",IF(COUNTIF(Products!$A$2:$A$101,$D1363)=0,"Unknown SKU",IF(COUNTIFS(Batches!$A$2:$A$301,$F1363,Batches!$B$2:$B$301,$D1363)=0,"Unknown lot for this SKU",IF(AND($C1363="Adjustment",$G1363=""),"Missing: reason",IF(AND($G1363&lt;&gt;"",COUNTIF(Config!$B$15:$B$34,$G1363)=0),"Unsupported reason",IF(OR(INT($E1363)&lt;&gt;$E1363,AND(OR($C1363="Receipt",$C1363="Shipment"),$E1363&lt;=0),AND($C1363="Adjustment",$E1363=0)),"Invalid qty",IF($B1363&gt;Config!$B$4,"Date after the as-of date",IF($B1363&lt;Config!$B$5,"Date before the opening balance date","OK")))))))))))))))))</f>
        <v/>
      </c>
    </row>
    <row r="1364">
      <c r="A1364" s="46" t="n"/>
      <c r="B1364" s="54" t="n"/>
      <c r="C1364" s="46" t="n"/>
      <c r="D1364" s="46" t="n"/>
      <c r="E1364" s="55" t="n"/>
      <c r="F1364" s="46" t="n"/>
      <c r="G1364" s="46" t="n"/>
      <c r="H1364" s="46" t="n"/>
      <c r="I1364" s="46" t="n"/>
      <c r="J1364" s="46" t="n"/>
      <c r="K1364" s="46" t="n"/>
      <c r="L1364" s="46" t="n"/>
      <c r="M1364" s="51" t="str">
        <f>IF(NOT(ISNUMBER($E1364)),"",IF($C1364="Receipt",$E1364,IF($C1364="Shipment",-$E1364,IF($C1364="Adjustment",$E1364,0))))</f>
        <v/>
      </c>
      <c r="N1364" s="49" t="str">
        <f>IF($D1364="","",IFERROR(INDEX(Products!$B$2:$B$101,MATCH($D1364,Products!$A$2:$A$101,0))&amp;"","(not found)"))</f>
        <v/>
      </c>
      <c r="O1364" s="49" t="str">
        <f>IF($F1364="","",IFERROR(INDEX(Batches!$B$2:$B$301,MATCH($F1364,Batches!$A$2:$A$301,0))&amp;"","(not found)"))</f>
        <v/>
      </c>
      <c r="P1364" s="49" t="str">
        <f>IF(COUNTA($A1364:$L1364)=0,"",IF($A1364="","Missing: entry ID",IF(COUNTIF($A$2:$A$2001,$A1364)&gt;1,"Duplicate entry ID",IF(NOT(ISNUMBER($B1364)),"Missing or invalid: date",IF($C1364="","Missing: type",IF($D1364="","Missing: SKU",IF(NOT(ISNUMBER($E1364)),"Missing: qty",IF($F1364="","Missing: lot",IF($I1364="","Missing: source link",IF(COUNTIF(Config!$A$15:$A$34,$C1364)=0,"Unsupported type",IF(COUNTIF(Products!$A$2:$A$101,$D1364)=0,"Unknown SKU",IF(COUNTIFS(Batches!$A$2:$A$301,$F1364,Batches!$B$2:$B$301,$D1364)=0,"Unknown lot for this SKU",IF(AND($C1364="Adjustment",$G1364=""),"Missing: reason",IF(AND($G1364&lt;&gt;"",COUNTIF(Config!$B$15:$B$34,$G1364)=0),"Unsupported reason",IF(OR(INT($E1364)&lt;&gt;$E1364,AND(OR($C1364="Receipt",$C1364="Shipment"),$E1364&lt;=0),AND($C1364="Adjustment",$E1364=0)),"Invalid qty",IF($B1364&gt;Config!$B$4,"Date after the as-of date",IF($B1364&lt;Config!$B$5,"Date before the opening balance date","OK")))))))))))))))))</f>
        <v/>
      </c>
    </row>
    <row r="1365">
      <c r="A1365" s="46" t="n"/>
      <c r="B1365" s="54" t="n"/>
      <c r="C1365" s="46" t="n"/>
      <c r="D1365" s="46" t="n"/>
      <c r="E1365" s="55" t="n"/>
      <c r="F1365" s="46" t="n"/>
      <c r="G1365" s="46" t="n"/>
      <c r="H1365" s="46" t="n"/>
      <c r="I1365" s="46" t="n"/>
      <c r="J1365" s="46" t="n"/>
      <c r="K1365" s="46" t="n"/>
      <c r="L1365" s="46" t="n"/>
      <c r="M1365" s="51" t="str">
        <f>IF(NOT(ISNUMBER($E1365)),"",IF($C1365="Receipt",$E1365,IF($C1365="Shipment",-$E1365,IF($C1365="Adjustment",$E1365,0))))</f>
        <v/>
      </c>
      <c r="N1365" s="49" t="str">
        <f>IF($D1365="","",IFERROR(INDEX(Products!$B$2:$B$101,MATCH($D1365,Products!$A$2:$A$101,0))&amp;"","(not found)"))</f>
        <v/>
      </c>
      <c r="O1365" s="49" t="str">
        <f>IF($F1365="","",IFERROR(INDEX(Batches!$B$2:$B$301,MATCH($F1365,Batches!$A$2:$A$301,0))&amp;"","(not found)"))</f>
        <v/>
      </c>
      <c r="P1365" s="49" t="str">
        <f>IF(COUNTA($A1365:$L1365)=0,"",IF($A1365="","Missing: entry ID",IF(COUNTIF($A$2:$A$2001,$A1365)&gt;1,"Duplicate entry ID",IF(NOT(ISNUMBER($B1365)),"Missing or invalid: date",IF($C1365="","Missing: type",IF($D1365="","Missing: SKU",IF(NOT(ISNUMBER($E1365)),"Missing: qty",IF($F1365="","Missing: lot",IF($I1365="","Missing: source link",IF(COUNTIF(Config!$A$15:$A$34,$C1365)=0,"Unsupported type",IF(COUNTIF(Products!$A$2:$A$101,$D1365)=0,"Unknown SKU",IF(COUNTIFS(Batches!$A$2:$A$301,$F1365,Batches!$B$2:$B$301,$D1365)=0,"Unknown lot for this SKU",IF(AND($C1365="Adjustment",$G1365=""),"Missing: reason",IF(AND($G1365&lt;&gt;"",COUNTIF(Config!$B$15:$B$34,$G1365)=0),"Unsupported reason",IF(OR(INT($E1365)&lt;&gt;$E1365,AND(OR($C1365="Receipt",$C1365="Shipment"),$E1365&lt;=0),AND($C1365="Adjustment",$E1365=0)),"Invalid qty",IF($B1365&gt;Config!$B$4,"Date after the as-of date",IF($B1365&lt;Config!$B$5,"Date before the opening balance date","OK")))))))))))))))))</f>
        <v/>
      </c>
    </row>
    <row r="1366">
      <c r="A1366" s="46" t="n"/>
      <c r="B1366" s="54" t="n"/>
      <c r="C1366" s="46" t="n"/>
      <c r="D1366" s="46" t="n"/>
      <c r="E1366" s="55" t="n"/>
      <c r="F1366" s="46" t="n"/>
      <c r="G1366" s="46" t="n"/>
      <c r="H1366" s="46" t="n"/>
      <c r="I1366" s="46" t="n"/>
      <c r="J1366" s="46" t="n"/>
      <c r="K1366" s="46" t="n"/>
      <c r="L1366" s="46" t="n"/>
      <c r="M1366" s="51" t="str">
        <f>IF(NOT(ISNUMBER($E1366)),"",IF($C1366="Receipt",$E1366,IF($C1366="Shipment",-$E1366,IF($C1366="Adjustment",$E1366,0))))</f>
        <v/>
      </c>
      <c r="N1366" s="49" t="str">
        <f>IF($D1366="","",IFERROR(INDEX(Products!$B$2:$B$101,MATCH($D1366,Products!$A$2:$A$101,0))&amp;"","(not found)"))</f>
        <v/>
      </c>
      <c r="O1366" s="49" t="str">
        <f>IF($F1366="","",IFERROR(INDEX(Batches!$B$2:$B$301,MATCH($F1366,Batches!$A$2:$A$301,0))&amp;"","(not found)"))</f>
        <v/>
      </c>
      <c r="P1366" s="49" t="str">
        <f>IF(COUNTA($A1366:$L1366)=0,"",IF($A1366="","Missing: entry ID",IF(COUNTIF($A$2:$A$2001,$A1366)&gt;1,"Duplicate entry ID",IF(NOT(ISNUMBER($B1366)),"Missing or invalid: date",IF($C1366="","Missing: type",IF($D1366="","Missing: SKU",IF(NOT(ISNUMBER($E1366)),"Missing: qty",IF($F1366="","Missing: lot",IF($I1366="","Missing: source link",IF(COUNTIF(Config!$A$15:$A$34,$C1366)=0,"Unsupported type",IF(COUNTIF(Products!$A$2:$A$101,$D1366)=0,"Unknown SKU",IF(COUNTIFS(Batches!$A$2:$A$301,$F1366,Batches!$B$2:$B$301,$D1366)=0,"Unknown lot for this SKU",IF(AND($C1366="Adjustment",$G1366=""),"Missing: reason",IF(AND($G1366&lt;&gt;"",COUNTIF(Config!$B$15:$B$34,$G1366)=0),"Unsupported reason",IF(OR(INT($E1366)&lt;&gt;$E1366,AND(OR($C1366="Receipt",$C1366="Shipment"),$E1366&lt;=0),AND($C1366="Adjustment",$E1366=0)),"Invalid qty",IF($B1366&gt;Config!$B$4,"Date after the as-of date",IF($B1366&lt;Config!$B$5,"Date before the opening balance date","OK")))))))))))))))))</f>
        <v/>
      </c>
    </row>
    <row r="1367">
      <c r="A1367" s="46" t="n"/>
      <c r="B1367" s="54" t="n"/>
      <c r="C1367" s="46" t="n"/>
      <c r="D1367" s="46" t="n"/>
      <c r="E1367" s="55" t="n"/>
      <c r="F1367" s="46" t="n"/>
      <c r="G1367" s="46" t="n"/>
      <c r="H1367" s="46" t="n"/>
      <c r="I1367" s="46" t="n"/>
      <c r="J1367" s="46" t="n"/>
      <c r="K1367" s="46" t="n"/>
      <c r="L1367" s="46" t="n"/>
      <c r="M1367" s="51" t="str">
        <f>IF(NOT(ISNUMBER($E1367)),"",IF($C1367="Receipt",$E1367,IF($C1367="Shipment",-$E1367,IF($C1367="Adjustment",$E1367,0))))</f>
        <v/>
      </c>
      <c r="N1367" s="49" t="str">
        <f>IF($D1367="","",IFERROR(INDEX(Products!$B$2:$B$101,MATCH($D1367,Products!$A$2:$A$101,0))&amp;"","(not found)"))</f>
        <v/>
      </c>
      <c r="O1367" s="49" t="str">
        <f>IF($F1367="","",IFERROR(INDEX(Batches!$B$2:$B$301,MATCH($F1367,Batches!$A$2:$A$301,0))&amp;"","(not found)"))</f>
        <v/>
      </c>
      <c r="P1367" s="49" t="str">
        <f>IF(COUNTA($A1367:$L1367)=0,"",IF($A1367="","Missing: entry ID",IF(COUNTIF($A$2:$A$2001,$A1367)&gt;1,"Duplicate entry ID",IF(NOT(ISNUMBER($B1367)),"Missing or invalid: date",IF($C1367="","Missing: type",IF($D1367="","Missing: SKU",IF(NOT(ISNUMBER($E1367)),"Missing: qty",IF($F1367="","Missing: lot",IF($I1367="","Missing: source link",IF(COUNTIF(Config!$A$15:$A$34,$C1367)=0,"Unsupported type",IF(COUNTIF(Products!$A$2:$A$101,$D1367)=0,"Unknown SKU",IF(COUNTIFS(Batches!$A$2:$A$301,$F1367,Batches!$B$2:$B$301,$D1367)=0,"Unknown lot for this SKU",IF(AND($C1367="Adjustment",$G1367=""),"Missing: reason",IF(AND($G1367&lt;&gt;"",COUNTIF(Config!$B$15:$B$34,$G1367)=0),"Unsupported reason",IF(OR(INT($E1367)&lt;&gt;$E1367,AND(OR($C1367="Receipt",$C1367="Shipment"),$E1367&lt;=0),AND($C1367="Adjustment",$E1367=0)),"Invalid qty",IF($B1367&gt;Config!$B$4,"Date after the as-of date",IF($B1367&lt;Config!$B$5,"Date before the opening balance date","OK")))))))))))))))))</f>
        <v/>
      </c>
    </row>
    <row r="1368">
      <c r="A1368" s="46" t="n"/>
      <c r="B1368" s="54" t="n"/>
      <c r="C1368" s="46" t="n"/>
      <c r="D1368" s="46" t="n"/>
      <c r="E1368" s="55" t="n"/>
      <c r="F1368" s="46" t="n"/>
      <c r="G1368" s="46" t="n"/>
      <c r="H1368" s="46" t="n"/>
      <c r="I1368" s="46" t="n"/>
      <c r="J1368" s="46" t="n"/>
      <c r="K1368" s="46" t="n"/>
      <c r="L1368" s="46" t="n"/>
      <c r="M1368" s="51" t="str">
        <f>IF(NOT(ISNUMBER($E1368)),"",IF($C1368="Receipt",$E1368,IF($C1368="Shipment",-$E1368,IF($C1368="Adjustment",$E1368,0))))</f>
        <v/>
      </c>
      <c r="N1368" s="49" t="str">
        <f>IF($D1368="","",IFERROR(INDEX(Products!$B$2:$B$101,MATCH($D1368,Products!$A$2:$A$101,0))&amp;"","(not found)"))</f>
        <v/>
      </c>
      <c r="O1368" s="49" t="str">
        <f>IF($F1368="","",IFERROR(INDEX(Batches!$B$2:$B$301,MATCH($F1368,Batches!$A$2:$A$301,0))&amp;"","(not found)"))</f>
        <v/>
      </c>
      <c r="P1368" s="49" t="str">
        <f>IF(COUNTA($A1368:$L1368)=0,"",IF($A1368="","Missing: entry ID",IF(COUNTIF($A$2:$A$2001,$A1368)&gt;1,"Duplicate entry ID",IF(NOT(ISNUMBER($B1368)),"Missing or invalid: date",IF($C1368="","Missing: type",IF($D1368="","Missing: SKU",IF(NOT(ISNUMBER($E1368)),"Missing: qty",IF($F1368="","Missing: lot",IF($I1368="","Missing: source link",IF(COUNTIF(Config!$A$15:$A$34,$C1368)=0,"Unsupported type",IF(COUNTIF(Products!$A$2:$A$101,$D1368)=0,"Unknown SKU",IF(COUNTIFS(Batches!$A$2:$A$301,$F1368,Batches!$B$2:$B$301,$D1368)=0,"Unknown lot for this SKU",IF(AND($C1368="Adjustment",$G1368=""),"Missing: reason",IF(AND($G1368&lt;&gt;"",COUNTIF(Config!$B$15:$B$34,$G1368)=0),"Unsupported reason",IF(OR(INT($E1368)&lt;&gt;$E1368,AND(OR($C1368="Receipt",$C1368="Shipment"),$E1368&lt;=0),AND($C1368="Adjustment",$E1368=0)),"Invalid qty",IF($B1368&gt;Config!$B$4,"Date after the as-of date",IF($B1368&lt;Config!$B$5,"Date before the opening balance date","OK")))))))))))))))))</f>
        <v/>
      </c>
    </row>
    <row r="1369">
      <c r="A1369" s="46" t="n"/>
      <c r="B1369" s="54" t="n"/>
      <c r="C1369" s="46" t="n"/>
      <c r="D1369" s="46" t="n"/>
      <c r="E1369" s="55" t="n"/>
      <c r="F1369" s="46" t="n"/>
      <c r="G1369" s="46" t="n"/>
      <c r="H1369" s="46" t="n"/>
      <c r="I1369" s="46" t="n"/>
      <c r="J1369" s="46" t="n"/>
      <c r="K1369" s="46" t="n"/>
      <c r="L1369" s="46" t="n"/>
      <c r="M1369" s="51" t="str">
        <f>IF(NOT(ISNUMBER($E1369)),"",IF($C1369="Receipt",$E1369,IF($C1369="Shipment",-$E1369,IF($C1369="Adjustment",$E1369,0))))</f>
        <v/>
      </c>
      <c r="N1369" s="49" t="str">
        <f>IF($D1369="","",IFERROR(INDEX(Products!$B$2:$B$101,MATCH($D1369,Products!$A$2:$A$101,0))&amp;"","(not found)"))</f>
        <v/>
      </c>
      <c r="O1369" s="49" t="str">
        <f>IF($F1369="","",IFERROR(INDEX(Batches!$B$2:$B$301,MATCH($F1369,Batches!$A$2:$A$301,0))&amp;"","(not found)"))</f>
        <v/>
      </c>
      <c r="P1369" s="49" t="str">
        <f>IF(COUNTA($A1369:$L1369)=0,"",IF($A1369="","Missing: entry ID",IF(COUNTIF($A$2:$A$2001,$A1369)&gt;1,"Duplicate entry ID",IF(NOT(ISNUMBER($B1369)),"Missing or invalid: date",IF($C1369="","Missing: type",IF($D1369="","Missing: SKU",IF(NOT(ISNUMBER($E1369)),"Missing: qty",IF($F1369="","Missing: lot",IF($I1369="","Missing: source link",IF(COUNTIF(Config!$A$15:$A$34,$C1369)=0,"Unsupported type",IF(COUNTIF(Products!$A$2:$A$101,$D1369)=0,"Unknown SKU",IF(COUNTIFS(Batches!$A$2:$A$301,$F1369,Batches!$B$2:$B$301,$D1369)=0,"Unknown lot for this SKU",IF(AND($C1369="Adjustment",$G1369=""),"Missing: reason",IF(AND($G1369&lt;&gt;"",COUNTIF(Config!$B$15:$B$34,$G1369)=0),"Unsupported reason",IF(OR(INT($E1369)&lt;&gt;$E1369,AND(OR($C1369="Receipt",$C1369="Shipment"),$E1369&lt;=0),AND($C1369="Adjustment",$E1369=0)),"Invalid qty",IF($B1369&gt;Config!$B$4,"Date after the as-of date",IF($B1369&lt;Config!$B$5,"Date before the opening balance date","OK")))))))))))))))))</f>
        <v/>
      </c>
    </row>
    <row r="1370">
      <c r="A1370" s="46" t="n"/>
      <c r="B1370" s="54" t="n"/>
      <c r="C1370" s="46" t="n"/>
      <c r="D1370" s="46" t="n"/>
      <c r="E1370" s="55" t="n"/>
      <c r="F1370" s="46" t="n"/>
      <c r="G1370" s="46" t="n"/>
      <c r="H1370" s="46" t="n"/>
      <c r="I1370" s="46" t="n"/>
      <c r="J1370" s="46" t="n"/>
      <c r="K1370" s="46" t="n"/>
      <c r="L1370" s="46" t="n"/>
      <c r="M1370" s="51" t="str">
        <f>IF(NOT(ISNUMBER($E1370)),"",IF($C1370="Receipt",$E1370,IF($C1370="Shipment",-$E1370,IF($C1370="Adjustment",$E1370,0))))</f>
        <v/>
      </c>
      <c r="N1370" s="49" t="str">
        <f>IF($D1370="","",IFERROR(INDEX(Products!$B$2:$B$101,MATCH($D1370,Products!$A$2:$A$101,0))&amp;"","(not found)"))</f>
        <v/>
      </c>
      <c r="O1370" s="49" t="str">
        <f>IF($F1370="","",IFERROR(INDEX(Batches!$B$2:$B$301,MATCH($F1370,Batches!$A$2:$A$301,0))&amp;"","(not found)"))</f>
        <v/>
      </c>
      <c r="P1370" s="49" t="str">
        <f>IF(COUNTA($A1370:$L1370)=0,"",IF($A1370="","Missing: entry ID",IF(COUNTIF($A$2:$A$2001,$A1370)&gt;1,"Duplicate entry ID",IF(NOT(ISNUMBER($B1370)),"Missing or invalid: date",IF($C1370="","Missing: type",IF($D1370="","Missing: SKU",IF(NOT(ISNUMBER($E1370)),"Missing: qty",IF($F1370="","Missing: lot",IF($I1370="","Missing: source link",IF(COUNTIF(Config!$A$15:$A$34,$C1370)=0,"Unsupported type",IF(COUNTIF(Products!$A$2:$A$101,$D1370)=0,"Unknown SKU",IF(COUNTIFS(Batches!$A$2:$A$301,$F1370,Batches!$B$2:$B$301,$D1370)=0,"Unknown lot for this SKU",IF(AND($C1370="Adjustment",$G1370=""),"Missing: reason",IF(AND($G1370&lt;&gt;"",COUNTIF(Config!$B$15:$B$34,$G1370)=0),"Unsupported reason",IF(OR(INT($E1370)&lt;&gt;$E1370,AND(OR($C1370="Receipt",$C1370="Shipment"),$E1370&lt;=0),AND($C1370="Adjustment",$E1370=0)),"Invalid qty",IF($B1370&gt;Config!$B$4,"Date after the as-of date",IF($B1370&lt;Config!$B$5,"Date before the opening balance date","OK")))))))))))))))))</f>
        <v/>
      </c>
    </row>
    <row r="1371">
      <c r="A1371" s="46" t="n"/>
      <c r="B1371" s="54" t="n"/>
      <c r="C1371" s="46" t="n"/>
      <c r="D1371" s="46" t="n"/>
      <c r="E1371" s="55" t="n"/>
      <c r="F1371" s="46" t="n"/>
      <c r="G1371" s="46" t="n"/>
      <c r="H1371" s="46" t="n"/>
      <c r="I1371" s="46" t="n"/>
      <c r="J1371" s="46" t="n"/>
      <c r="K1371" s="46" t="n"/>
      <c r="L1371" s="46" t="n"/>
      <c r="M1371" s="51" t="str">
        <f>IF(NOT(ISNUMBER($E1371)),"",IF($C1371="Receipt",$E1371,IF($C1371="Shipment",-$E1371,IF($C1371="Adjustment",$E1371,0))))</f>
        <v/>
      </c>
      <c r="N1371" s="49" t="str">
        <f>IF($D1371="","",IFERROR(INDEX(Products!$B$2:$B$101,MATCH($D1371,Products!$A$2:$A$101,0))&amp;"","(not found)"))</f>
        <v/>
      </c>
      <c r="O1371" s="49" t="str">
        <f>IF($F1371="","",IFERROR(INDEX(Batches!$B$2:$B$301,MATCH($F1371,Batches!$A$2:$A$301,0))&amp;"","(not found)"))</f>
        <v/>
      </c>
      <c r="P1371" s="49" t="str">
        <f>IF(COUNTA($A1371:$L1371)=0,"",IF($A1371="","Missing: entry ID",IF(COUNTIF($A$2:$A$2001,$A1371)&gt;1,"Duplicate entry ID",IF(NOT(ISNUMBER($B1371)),"Missing or invalid: date",IF($C1371="","Missing: type",IF($D1371="","Missing: SKU",IF(NOT(ISNUMBER($E1371)),"Missing: qty",IF($F1371="","Missing: lot",IF($I1371="","Missing: source link",IF(COUNTIF(Config!$A$15:$A$34,$C1371)=0,"Unsupported type",IF(COUNTIF(Products!$A$2:$A$101,$D1371)=0,"Unknown SKU",IF(COUNTIFS(Batches!$A$2:$A$301,$F1371,Batches!$B$2:$B$301,$D1371)=0,"Unknown lot for this SKU",IF(AND($C1371="Adjustment",$G1371=""),"Missing: reason",IF(AND($G1371&lt;&gt;"",COUNTIF(Config!$B$15:$B$34,$G1371)=0),"Unsupported reason",IF(OR(INT($E1371)&lt;&gt;$E1371,AND(OR($C1371="Receipt",$C1371="Shipment"),$E1371&lt;=0),AND($C1371="Adjustment",$E1371=0)),"Invalid qty",IF($B1371&gt;Config!$B$4,"Date after the as-of date",IF($B1371&lt;Config!$B$5,"Date before the opening balance date","OK")))))))))))))))))</f>
        <v/>
      </c>
    </row>
    <row r="1372">
      <c r="A1372" s="46" t="n"/>
      <c r="B1372" s="54" t="n"/>
      <c r="C1372" s="46" t="n"/>
      <c r="D1372" s="46" t="n"/>
      <c r="E1372" s="55" t="n"/>
      <c r="F1372" s="46" t="n"/>
      <c r="G1372" s="46" t="n"/>
      <c r="H1372" s="46" t="n"/>
      <c r="I1372" s="46" t="n"/>
      <c r="J1372" s="46" t="n"/>
      <c r="K1372" s="46" t="n"/>
      <c r="L1372" s="46" t="n"/>
      <c r="M1372" s="51" t="str">
        <f>IF(NOT(ISNUMBER($E1372)),"",IF($C1372="Receipt",$E1372,IF($C1372="Shipment",-$E1372,IF($C1372="Adjustment",$E1372,0))))</f>
        <v/>
      </c>
      <c r="N1372" s="49" t="str">
        <f>IF($D1372="","",IFERROR(INDEX(Products!$B$2:$B$101,MATCH($D1372,Products!$A$2:$A$101,0))&amp;"","(not found)"))</f>
        <v/>
      </c>
      <c r="O1372" s="49" t="str">
        <f>IF($F1372="","",IFERROR(INDEX(Batches!$B$2:$B$301,MATCH($F1372,Batches!$A$2:$A$301,0))&amp;"","(not found)"))</f>
        <v/>
      </c>
      <c r="P1372" s="49" t="str">
        <f>IF(COUNTA($A1372:$L1372)=0,"",IF($A1372="","Missing: entry ID",IF(COUNTIF($A$2:$A$2001,$A1372)&gt;1,"Duplicate entry ID",IF(NOT(ISNUMBER($B1372)),"Missing or invalid: date",IF($C1372="","Missing: type",IF($D1372="","Missing: SKU",IF(NOT(ISNUMBER($E1372)),"Missing: qty",IF($F1372="","Missing: lot",IF($I1372="","Missing: source link",IF(COUNTIF(Config!$A$15:$A$34,$C1372)=0,"Unsupported type",IF(COUNTIF(Products!$A$2:$A$101,$D1372)=0,"Unknown SKU",IF(COUNTIFS(Batches!$A$2:$A$301,$F1372,Batches!$B$2:$B$301,$D1372)=0,"Unknown lot for this SKU",IF(AND($C1372="Adjustment",$G1372=""),"Missing: reason",IF(AND($G1372&lt;&gt;"",COUNTIF(Config!$B$15:$B$34,$G1372)=0),"Unsupported reason",IF(OR(INT($E1372)&lt;&gt;$E1372,AND(OR($C1372="Receipt",$C1372="Shipment"),$E1372&lt;=0),AND($C1372="Adjustment",$E1372=0)),"Invalid qty",IF($B1372&gt;Config!$B$4,"Date after the as-of date",IF($B1372&lt;Config!$B$5,"Date before the opening balance date","OK")))))))))))))))))</f>
        <v/>
      </c>
    </row>
    <row r="1373">
      <c r="A1373" s="46" t="n"/>
      <c r="B1373" s="54" t="n"/>
      <c r="C1373" s="46" t="n"/>
      <c r="D1373" s="46" t="n"/>
      <c r="E1373" s="55" t="n"/>
      <c r="F1373" s="46" t="n"/>
      <c r="G1373" s="46" t="n"/>
      <c r="H1373" s="46" t="n"/>
      <c r="I1373" s="46" t="n"/>
      <c r="J1373" s="46" t="n"/>
      <c r="K1373" s="46" t="n"/>
      <c r="L1373" s="46" t="n"/>
      <c r="M1373" s="51" t="str">
        <f>IF(NOT(ISNUMBER($E1373)),"",IF($C1373="Receipt",$E1373,IF($C1373="Shipment",-$E1373,IF($C1373="Adjustment",$E1373,0))))</f>
        <v/>
      </c>
      <c r="N1373" s="49" t="str">
        <f>IF($D1373="","",IFERROR(INDEX(Products!$B$2:$B$101,MATCH($D1373,Products!$A$2:$A$101,0))&amp;"","(not found)"))</f>
        <v/>
      </c>
      <c r="O1373" s="49" t="str">
        <f>IF($F1373="","",IFERROR(INDEX(Batches!$B$2:$B$301,MATCH($F1373,Batches!$A$2:$A$301,0))&amp;"","(not found)"))</f>
        <v/>
      </c>
      <c r="P1373" s="49" t="str">
        <f>IF(COUNTA($A1373:$L1373)=0,"",IF($A1373="","Missing: entry ID",IF(COUNTIF($A$2:$A$2001,$A1373)&gt;1,"Duplicate entry ID",IF(NOT(ISNUMBER($B1373)),"Missing or invalid: date",IF($C1373="","Missing: type",IF($D1373="","Missing: SKU",IF(NOT(ISNUMBER($E1373)),"Missing: qty",IF($F1373="","Missing: lot",IF($I1373="","Missing: source link",IF(COUNTIF(Config!$A$15:$A$34,$C1373)=0,"Unsupported type",IF(COUNTIF(Products!$A$2:$A$101,$D1373)=0,"Unknown SKU",IF(COUNTIFS(Batches!$A$2:$A$301,$F1373,Batches!$B$2:$B$301,$D1373)=0,"Unknown lot for this SKU",IF(AND($C1373="Adjustment",$G1373=""),"Missing: reason",IF(AND($G1373&lt;&gt;"",COUNTIF(Config!$B$15:$B$34,$G1373)=0),"Unsupported reason",IF(OR(INT($E1373)&lt;&gt;$E1373,AND(OR($C1373="Receipt",$C1373="Shipment"),$E1373&lt;=0),AND($C1373="Adjustment",$E1373=0)),"Invalid qty",IF($B1373&gt;Config!$B$4,"Date after the as-of date",IF($B1373&lt;Config!$B$5,"Date before the opening balance date","OK")))))))))))))))))</f>
        <v/>
      </c>
    </row>
    <row r="1374">
      <c r="A1374" s="46" t="n"/>
      <c r="B1374" s="54" t="n"/>
      <c r="C1374" s="46" t="n"/>
      <c r="D1374" s="46" t="n"/>
      <c r="E1374" s="55" t="n"/>
      <c r="F1374" s="46" t="n"/>
      <c r="G1374" s="46" t="n"/>
      <c r="H1374" s="46" t="n"/>
      <c r="I1374" s="46" t="n"/>
      <c r="J1374" s="46" t="n"/>
      <c r="K1374" s="46" t="n"/>
      <c r="L1374" s="46" t="n"/>
      <c r="M1374" s="51" t="str">
        <f>IF(NOT(ISNUMBER($E1374)),"",IF($C1374="Receipt",$E1374,IF($C1374="Shipment",-$E1374,IF($C1374="Adjustment",$E1374,0))))</f>
        <v/>
      </c>
      <c r="N1374" s="49" t="str">
        <f>IF($D1374="","",IFERROR(INDEX(Products!$B$2:$B$101,MATCH($D1374,Products!$A$2:$A$101,0))&amp;"","(not found)"))</f>
        <v/>
      </c>
      <c r="O1374" s="49" t="str">
        <f>IF($F1374="","",IFERROR(INDEX(Batches!$B$2:$B$301,MATCH($F1374,Batches!$A$2:$A$301,0))&amp;"","(not found)"))</f>
        <v/>
      </c>
      <c r="P1374" s="49" t="str">
        <f>IF(COUNTA($A1374:$L1374)=0,"",IF($A1374="","Missing: entry ID",IF(COUNTIF($A$2:$A$2001,$A1374)&gt;1,"Duplicate entry ID",IF(NOT(ISNUMBER($B1374)),"Missing or invalid: date",IF($C1374="","Missing: type",IF($D1374="","Missing: SKU",IF(NOT(ISNUMBER($E1374)),"Missing: qty",IF($F1374="","Missing: lot",IF($I1374="","Missing: source link",IF(COUNTIF(Config!$A$15:$A$34,$C1374)=0,"Unsupported type",IF(COUNTIF(Products!$A$2:$A$101,$D1374)=0,"Unknown SKU",IF(COUNTIFS(Batches!$A$2:$A$301,$F1374,Batches!$B$2:$B$301,$D1374)=0,"Unknown lot for this SKU",IF(AND($C1374="Adjustment",$G1374=""),"Missing: reason",IF(AND($G1374&lt;&gt;"",COUNTIF(Config!$B$15:$B$34,$G1374)=0),"Unsupported reason",IF(OR(INT($E1374)&lt;&gt;$E1374,AND(OR($C1374="Receipt",$C1374="Shipment"),$E1374&lt;=0),AND($C1374="Adjustment",$E1374=0)),"Invalid qty",IF($B1374&gt;Config!$B$4,"Date after the as-of date",IF($B1374&lt;Config!$B$5,"Date before the opening balance date","OK")))))))))))))))))</f>
        <v/>
      </c>
    </row>
    <row r="1375">
      <c r="A1375" s="46" t="n"/>
      <c r="B1375" s="54" t="n"/>
      <c r="C1375" s="46" t="n"/>
      <c r="D1375" s="46" t="n"/>
      <c r="E1375" s="55" t="n"/>
      <c r="F1375" s="46" t="n"/>
      <c r="G1375" s="46" t="n"/>
      <c r="H1375" s="46" t="n"/>
      <c r="I1375" s="46" t="n"/>
      <c r="J1375" s="46" t="n"/>
      <c r="K1375" s="46" t="n"/>
      <c r="L1375" s="46" t="n"/>
      <c r="M1375" s="51" t="str">
        <f>IF(NOT(ISNUMBER($E1375)),"",IF($C1375="Receipt",$E1375,IF($C1375="Shipment",-$E1375,IF($C1375="Adjustment",$E1375,0))))</f>
        <v/>
      </c>
      <c r="N1375" s="49" t="str">
        <f>IF($D1375="","",IFERROR(INDEX(Products!$B$2:$B$101,MATCH($D1375,Products!$A$2:$A$101,0))&amp;"","(not found)"))</f>
        <v/>
      </c>
      <c r="O1375" s="49" t="str">
        <f>IF($F1375="","",IFERROR(INDEX(Batches!$B$2:$B$301,MATCH($F1375,Batches!$A$2:$A$301,0))&amp;"","(not found)"))</f>
        <v/>
      </c>
      <c r="P1375" s="49" t="str">
        <f>IF(COUNTA($A1375:$L1375)=0,"",IF($A1375="","Missing: entry ID",IF(COUNTIF($A$2:$A$2001,$A1375)&gt;1,"Duplicate entry ID",IF(NOT(ISNUMBER($B1375)),"Missing or invalid: date",IF($C1375="","Missing: type",IF($D1375="","Missing: SKU",IF(NOT(ISNUMBER($E1375)),"Missing: qty",IF($F1375="","Missing: lot",IF($I1375="","Missing: source link",IF(COUNTIF(Config!$A$15:$A$34,$C1375)=0,"Unsupported type",IF(COUNTIF(Products!$A$2:$A$101,$D1375)=0,"Unknown SKU",IF(COUNTIFS(Batches!$A$2:$A$301,$F1375,Batches!$B$2:$B$301,$D1375)=0,"Unknown lot for this SKU",IF(AND($C1375="Adjustment",$G1375=""),"Missing: reason",IF(AND($G1375&lt;&gt;"",COUNTIF(Config!$B$15:$B$34,$G1375)=0),"Unsupported reason",IF(OR(INT($E1375)&lt;&gt;$E1375,AND(OR($C1375="Receipt",$C1375="Shipment"),$E1375&lt;=0),AND($C1375="Adjustment",$E1375=0)),"Invalid qty",IF($B1375&gt;Config!$B$4,"Date after the as-of date",IF($B1375&lt;Config!$B$5,"Date before the opening balance date","OK")))))))))))))))))</f>
        <v/>
      </c>
    </row>
    <row r="1376">
      <c r="A1376" s="46" t="n"/>
      <c r="B1376" s="54" t="n"/>
      <c r="C1376" s="46" t="n"/>
      <c r="D1376" s="46" t="n"/>
      <c r="E1376" s="55" t="n"/>
      <c r="F1376" s="46" t="n"/>
      <c r="G1376" s="46" t="n"/>
      <c r="H1376" s="46" t="n"/>
      <c r="I1376" s="46" t="n"/>
      <c r="J1376" s="46" t="n"/>
      <c r="K1376" s="46" t="n"/>
      <c r="L1376" s="46" t="n"/>
      <c r="M1376" s="51" t="str">
        <f>IF(NOT(ISNUMBER($E1376)),"",IF($C1376="Receipt",$E1376,IF($C1376="Shipment",-$E1376,IF($C1376="Adjustment",$E1376,0))))</f>
        <v/>
      </c>
      <c r="N1376" s="49" t="str">
        <f>IF($D1376="","",IFERROR(INDEX(Products!$B$2:$B$101,MATCH($D1376,Products!$A$2:$A$101,0))&amp;"","(not found)"))</f>
        <v/>
      </c>
      <c r="O1376" s="49" t="str">
        <f>IF($F1376="","",IFERROR(INDEX(Batches!$B$2:$B$301,MATCH($F1376,Batches!$A$2:$A$301,0))&amp;"","(not found)"))</f>
        <v/>
      </c>
      <c r="P1376" s="49" t="str">
        <f>IF(COUNTA($A1376:$L1376)=0,"",IF($A1376="","Missing: entry ID",IF(COUNTIF($A$2:$A$2001,$A1376)&gt;1,"Duplicate entry ID",IF(NOT(ISNUMBER($B1376)),"Missing or invalid: date",IF($C1376="","Missing: type",IF($D1376="","Missing: SKU",IF(NOT(ISNUMBER($E1376)),"Missing: qty",IF($F1376="","Missing: lot",IF($I1376="","Missing: source link",IF(COUNTIF(Config!$A$15:$A$34,$C1376)=0,"Unsupported type",IF(COUNTIF(Products!$A$2:$A$101,$D1376)=0,"Unknown SKU",IF(COUNTIFS(Batches!$A$2:$A$301,$F1376,Batches!$B$2:$B$301,$D1376)=0,"Unknown lot for this SKU",IF(AND($C1376="Adjustment",$G1376=""),"Missing: reason",IF(AND($G1376&lt;&gt;"",COUNTIF(Config!$B$15:$B$34,$G1376)=0),"Unsupported reason",IF(OR(INT($E1376)&lt;&gt;$E1376,AND(OR($C1376="Receipt",$C1376="Shipment"),$E1376&lt;=0),AND($C1376="Adjustment",$E1376=0)),"Invalid qty",IF($B1376&gt;Config!$B$4,"Date after the as-of date",IF($B1376&lt;Config!$B$5,"Date before the opening balance date","OK")))))))))))))))))</f>
        <v/>
      </c>
    </row>
    <row r="1377">
      <c r="A1377" s="46" t="n"/>
      <c r="B1377" s="54" t="n"/>
      <c r="C1377" s="46" t="n"/>
      <c r="D1377" s="46" t="n"/>
      <c r="E1377" s="55" t="n"/>
      <c r="F1377" s="46" t="n"/>
      <c r="G1377" s="46" t="n"/>
      <c r="H1377" s="46" t="n"/>
      <c r="I1377" s="46" t="n"/>
      <c r="J1377" s="46" t="n"/>
      <c r="K1377" s="46" t="n"/>
      <c r="L1377" s="46" t="n"/>
      <c r="M1377" s="51" t="str">
        <f>IF(NOT(ISNUMBER($E1377)),"",IF($C1377="Receipt",$E1377,IF($C1377="Shipment",-$E1377,IF($C1377="Adjustment",$E1377,0))))</f>
        <v/>
      </c>
      <c r="N1377" s="49" t="str">
        <f>IF($D1377="","",IFERROR(INDEX(Products!$B$2:$B$101,MATCH($D1377,Products!$A$2:$A$101,0))&amp;"","(not found)"))</f>
        <v/>
      </c>
      <c r="O1377" s="49" t="str">
        <f>IF($F1377="","",IFERROR(INDEX(Batches!$B$2:$B$301,MATCH($F1377,Batches!$A$2:$A$301,0))&amp;"","(not found)"))</f>
        <v/>
      </c>
      <c r="P1377" s="49" t="str">
        <f>IF(COUNTA($A1377:$L1377)=0,"",IF($A1377="","Missing: entry ID",IF(COUNTIF($A$2:$A$2001,$A1377)&gt;1,"Duplicate entry ID",IF(NOT(ISNUMBER($B1377)),"Missing or invalid: date",IF($C1377="","Missing: type",IF($D1377="","Missing: SKU",IF(NOT(ISNUMBER($E1377)),"Missing: qty",IF($F1377="","Missing: lot",IF($I1377="","Missing: source link",IF(COUNTIF(Config!$A$15:$A$34,$C1377)=0,"Unsupported type",IF(COUNTIF(Products!$A$2:$A$101,$D1377)=0,"Unknown SKU",IF(COUNTIFS(Batches!$A$2:$A$301,$F1377,Batches!$B$2:$B$301,$D1377)=0,"Unknown lot for this SKU",IF(AND($C1377="Adjustment",$G1377=""),"Missing: reason",IF(AND($G1377&lt;&gt;"",COUNTIF(Config!$B$15:$B$34,$G1377)=0),"Unsupported reason",IF(OR(INT($E1377)&lt;&gt;$E1377,AND(OR($C1377="Receipt",$C1377="Shipment"),$E1377&lt;=0),AND($C1377="Adjustment",$E1377=0)),"Invalid qty",IF($B1377&gt;Config!$B$4,"Date after the as-of date",IF($B1377&lt;Config!$B$5,"Date before the opening balance date","OK")))))))))))))))))</f>
        <v/>
      </c>
    </row>
    <row r="1378">
      <c r="A1378" s="46" t="n"/>
      <c r="B1378" s="54" t="n"/>
      <c r="C1378" s="46" t="n"/>
      <c r="D1378" s="46" t="n"/>
      <c r="E1378" s="55" t="n"/>
      <c r="F1378" s="46" t="n"/>
      <c r="G1378" s="46" t="n"/>
      <c r="H1378" s="46" t="n"/>
      <c r="I1378" s="46" t="n"/>
      <c r="J1378" s="46" t="n"/>
      <c r="K1378" s="46" t="n"/>
      <c r="L1378" s="46" t="n"/>
      <c r="M1378" s="51" t="str">
        <f>IF(NOT(ISNUMBER($E1378)),"",IF($C1378="Receipt",$E1378,IF($C1378="Shipment",-$E1378,IF($C1378="Adjustment",$E1378,0))))</f>
        <v/>
      </c>
      <c r="N1378" s="49" t="str">
        <f>IF($D1378="","",IFERROR(INDEX(Products!$B$2:$B$101,MATCH($D1378,Products!$A$2:$A$101,0))&amp;"","(not found)"))</f>
        <v/>
      </c>
      <c r="O1378" s="49" t="str">
        <f>IF($F1378="","",IFERROR(INDEX(Batches!$B$2:$B$301,MATCH($F1378,Batches!$A$2:$A$301,0))&amp;"","(not found)"))</f>
        <v/>
      </c>
      <c r="P1378" s="49" t="str">
        <f>IF(COUNTA($A1378:$L1378)=0,"",IF($A1378="","Missing: entry ID",IF(COUNTIF($A$2:$A$2001,$A1378)&gt;1,"Duplicate entry ID",IF(NOT(ISNUMBER($B1378)),"Missing or invalid: date",IF($C1378="","Missing: type",IF($D1378="","Missing: SKU",IF(NOT(ISNUMBER($E1378)),"Missing: qty",IF($F1378="","Missing: lot",IF($I1378="","Missing: source link",IF(COUNTIF(Config!$A$15:$A$34,$C1378)=0,"Unsupported type",IF(COUNTIF(Products!$A$2:$A$101,$D1378)=0,"Unknown SKU",IF(COUNTIFS(Batches!$A$2:$A$301,$F1378,Batches!$B$2:$B$301,$D1378)=0,"Unknown lot for this SKU",IF(AND($C1378="Adjustment",$G1378=""),"Missing: reason",IF(AND($G1378&lt;&gt;"",COUNTIF(Config!$B$15:$B$34,$G1378)=0),"Unsupported reason",IF(OR(INT($E1378)&lt;&gt;$E1378,AND(OR($C1378="Receipt",$C1378="Shipment"),$E1378&lt;=0),AND($C1378="Adjustment",$E1378=0)),"Invalid qty",IF($B1378&gt;Config!$B$4,"Date after the as-of date",IF($B1378&lt;Config!$B$5,"Date before the opening balance date","OK")))))))))))))))))</f>
        <v/>
      </c>
    </row>
    <row r="1379">
      <c r="A1379" s="46" t="n"/>
      <c r="B1379" s="54" t="n"/>
      <c r="C1379" s="46" t="n"/>
      <c r="D1379" s="46" t="n"/>
      <c r="E1379" s="55" t="n"/>
      <c r="F1379" s="46" t="n"/>
      <c r="G1379" s="46" t="n"/>
      <c r="H1379" s="46" t="n"/>
      <c r="I1379" s="46" t="n"/>
      <c r="J1379" s="46" t="n"/>
      <c r="K1379" s="46" t="n"/>
      <c r="L1379" s="46" t="n"/>
      <c r="M1379" s="51" t="str">
        <f>IF(NOT(ISNUMBER($E1379)),"",IF($C1379="Receipt",$E1379,IF($C1379="Shipment",-$E1379,IF($C1379="Adjustment",$E1379,0))))</f>
        <v/>
      </c>
      <c r="N1379" s="49" t="str">
        <f>IF($D1379="","",IFERROR(INDEX(Products!$B$2:$B$101,MATCH($D1379,Products!$A$2:$A$101,0))&amp;"","(not found)"))</f>
        <v/>
      </c>
      <c r="O1379" s="49" t="str">
        <f>IF($F1379="","",IFERROR(INDEX(Batches!$B$2:$B$301,MATCH($F1379,Batches!$A$2:$A$301,0))&amp;"","(not found)"))</f>
        <v/>
      </c>
      <c r="P1379" s="49" t="str">
        <f>IF(COUNTA($A1379:$L1379)=0,"",IF($A1379="","Missing: entry ID",IF(COUNTIF($A$2:$A$2001,$A1379)&gt;1,"Duplicate entry ID",IF(NOT(ISNUMBER($B1379)),"Missing or invalid: date",IF($C1379="","Missing: type",IF($D1379="","Missing: SKU",IF(NOT(ISNUMBER($E1379)),"Missing: qty",IF($F1379="","Missing: lot",IF($I1379="","Missing: source link",IF(COUNTIF(Config!$A$15:$A$34,$C1379)=0,"Unsupported type",IF(COUNTIF(Products!$A$2:$A$101,$D1379)=0,"Unknown SKU",IF(COUNTIFS(Batches!$A$2:$A$301,$F1379,Batches!$B$2:$B$301,$D1379)=0,"Unknown lot for this SKU",IF(AND($C1379="Adjustment",$G1379=""),"Missing: reason",IF(AND($G1379&lt;&gt;"",COUNTIF(Config!$B$15:$B$34,$G1379)=0),"Unsupported reason",IF(OR(INT($E1379)&lt;&gt;$E1379,AND(OR($C1379="Receipt",$C1379="Shipment"),$E1379&lt;=0),AND($C1379="Adjustment",$E1379=0)),"Invalid qty",IF($B1379&gt;Config!$B$4,"Date after the as-of date",IF($B1379&lt;Config!$B$5,"Date before the opening balance date","OK")))))))))))))))))</f>
        <v/>
      </c>
    </row>
    <row r="1380">
      <c r="A1380" s="46" t="n"/>
      <c r="B1380" s="54" t="n"/>
      <c r="C1380" s="46" t="n"/>
      <c r="D1380" s="46" t="n"/>
      <c r="E1380" s="55" t="n"/>
      <c r="F1380" s="46" t="n"/>
      <c r="G1380" s="46" t="n"/>
      <c r="H1380" s="46" t="n"/>
      <c r="I1380" s="46" t="n"/>
      <c r="J1380" s="46" t="n"/>
      <c r="K1380" s="46" t="n"/>
      <c r="L1380" s="46" t="n"/>
      <c r="M1380" s="51" t="str">
        <f>IF(NOT(ISNUMBER($E1380)),"",IF($C1380="Receipt",$E1380,IF($C1380="Shipment",-$E1380,IF($C1380="Adjustment",$E1380,0))))</f>
        <v/>
      </c>
      <c r="N1380" s="49" t="str">
        <f>IF($D1380="","",IFERROR(INDEX(Products!$B$2:$B$101,MATCH($D1380,Products!$A$2:$A$101,0))&amp;"","(not found)"))</f>
        <v/>
      </c>
      <c r="O1380" s="49" t="str">
        <f>IF($F1380="","",IFERROR(INDEX(Batches!$B$2:$B$301,MATCH($F1380,Batches!$A$2:$A$301,0))&amp;"","(not found)"))</f>
        <v/>
      </c>
      <c r="P1380" s="49" t="str">
        <f>IF(COUNTA($A1380:$L1380)=0,"",IF($A1380="","Missing: entry ID",IF(COUNTIF($A$2:$A$2001,$A1380)&gt;1,"Duplicate entry ID",IF(NOT(ISNUMBER($B1380)),"Missing or invalid: date",IF($C1380="","Missing: type",IF($D1380="","Missing: SKU",IF(NOT(ISNUMBER($E1380)),"Missing: qty",IF($F1380="","Missing: lot",IF($I1380="","Missing: source link",IF(COUNTIF(Config!$A$15:$A$34,$C1380)=0,"Unsupported type",IF(COUNTIF(Products!$A$2:$A$101,$D1380)=0,"Unknown SKU",IF(COUNTIFS(Batches!$A$2:$A$301,$F1380,Batches!$B$2:$B$301,$D1380)=0,"Unknown lot for this SKU",IF(AND($C1380="Adjustment",$G1380=""),"Missing: reason",IF(AND($G1380&lt;&gt;"",COUNTIF(Config!$B$15:$B$34,$G1380)=0),"Unsupported reason",IF(OR(INT($E1380)&lt;&gt;$E1380,AND(OR($C1380="Receipt",$C1380="Shipment"),$E1380&lt;=0),AND($C1380="Adjustment",$E1380=0)),"Invalid qty",IF($B1380&gt;Config!$B$4,"Date after the as-of date",IF($B1380&lt;Config!$B$5,"Date before the opening balance date","OK")))))))))))))))))</f>
        <v/>
      </c>
    </row>
    <row r="1381">
      <c r="A1381" s="46" t="n"/>
      <c r="B1381" s="54" t="n"/>
      <c r="C1381" s="46" t="n"/>
      <c r="D1381" s="46" t="n"/>
      <c r="E1381" s="55" t="n"/>
      <c r="F1381" s="46" t="n"/>
      <c r="G1381" s="46" t="n"/>
      <c r="H1381" s="46" t="n"/>
      <c r="I1381" s="46" t="n"/>
      <c r="J1381" s="46" t="n"/>
      <c r="K1381" s="46" t="n"/>
      <c r="L1381" s="46" t="n"/>
      <c r="M1381" s="51" t="str">
        <f>IF(NOT(ISNUMBER($E1381)),"",IF($C1381="Receipt",$E1381,IF($C1381="Shipment",-$E1381,IF($C1381="Adjustment",$E1381,0))))</f>
        <v/>
      </c>
      <c r="N1381" s="49" t="str">
        <f>IF($D1381="","",IFERROR(INDEX(Products!$B$2:$B$101,MATCH($D1381,Products!$A$2:$A$101,0))&amp;"","(not found)"))</f>
        <v/>
      </c>
      <c r="O1381" s="49" t="str">
        <f>IF($F1381="","",IFERROR(INDEX(Batches!$B$2:$B$301,MATCH($F1381,Batches!$A$2:$A$301,0))&amp;"","(not found)"))</f>
        <v/>
      </c>
      <c r="P1381" s="49" t="str">
        <f>IF(COUNTA($A1381:$L1381)=0,"",IF($A1381="","Missing: entry ID",IF(COUNTIF($A$2:$A$2001,$A1381)&gt;1,"Duplicate entry ID",IF(NOT(ISNUMBER($B1381)),"Missing or invalid: date",IF($C1381="","Missing: type",IF($D1381="","Missing: SKU",IF(NOT(ISNUMBER($E1381)),"Missing: qty",IF($F1381="","Missing: lot",IF($I1381="","Missing: source link",IF(COUNTIF(Config!$A$15:$A$34,$C1381)=0,"Unsupported type",IF(COUNTIF(Products!$A$2:$A$101,$D1381)=0,"Unknown SKU",IF(COUNTIFS(Batches!$A$2:$A$301,$F1381,Batches!$B$2:$B$301,$D1381)=0,"Unknown lot for this SKU",IF(AND($C1381="Adjustment",$G1381=""),"Missing: reason",IF(AND($G1381&lt;&gt;"",COUNTIF(Config!$B$15:$B$34,$G1381)=0),"Unsupported reason",IF(OR(INT($E1381)&lt;&gt;$E1381,AND(OR($C1381="Receipt",$C1381="Shipment"),$E1381&lt;=0),AND($C1381="Adjustment",$E1381=0)),"Invalid qty",IF($B1381&gt;Config!$B$4,"Date after the as-of date",IF($B1381&lt;Config!$B$5,"Date before the opening balance date","OK")))))))))))))))))</f>
        <v/>
      </c>
    </row>
    <row r="1382">
      <c r="A1382" s="46" t="n"/>
      <c r="B1382" s="54" t="n"/>
      <c r="C1382" s="46" t="n"/>
      <c r="D1382" s="46" t="n"/>
      <c r="E1382" s="55" t="n"/>
      <c r="F1382" s="46" t="n"/>
      <c r="G1382" s="46" t="n"/>
      <c r="H1382" s="46" t="n"/>
      <c r="I1382" s="46" t="n"/>
      <c r="J1382" s="46" t="n"/>
      <c r="K1382" s="46" t="n"/>
      <c r="L1382" s="46" t="n"/>
      <c r="M1382" s="51" t="str">
        <f>IF(NOT(ISNUMBER($E1382)),"",IF($C1382="Receipt",$E1382,IF($C1382="Shipment",-$E1382,IF($C1382="Adjustment",$E1382,0))))</f>
        <v/>
      </c>
      <c r="N1382" s="49" t="str">
        <f>IF($D1382="","",IFERROR(INDEX(Products!$B$2:$B$101,MATCH($D1382,Products!$A$2:$A$101,0))&amp;"","(not found)"))</f>
        <v/>
      </c>
      <c r="O1382" s="49" t="str">
        <f>IF($F1382="","",IFERROR(INDEX(Batches!$B$2:$B$301,MATCH($F1382,Batches!$A$2:$A$301,0))&amp;"","(not found)"))</f>
        <v/>
      </c>
      <c r="P1382" s="49" t="str">
        <f>IF(COUNTA($A1382:$L1382)=0,"",IF($A1382="","Missing: entry ID",IF(COUNTIF($A$2:$A$2001,$A1382)&gt;1,"Duplicate entry ID",IF(NOT(ISNUMBER($B1382)),"Missing or invalid: date",IF($C1382="","Missing: type",IF($D1382="","Missing: SKU",IF(NOT(ISNUMBER($E1382)),"Missing: qty",IF($F1382="","Missing: lot",IF($I1382="","Missing: source link",IF(COUNTIF(Config!$A$15:$A$34,$C1382)=0,"Unsupported type",IF(COUNTIF(Products!$A$2:$A$101,$D1382)=0,"Unknown SKU",IF(COUNTIFS(Batches!$A$2:$A$301,$F1382,Batches!$B$2:$B$301,$D1382)=0,"Unknown lot for this SKU",IF(AND($C1382="Adjustment",$G1382=""),"Missing: reason",IF(AND($G1382&lt;&gt;"",COUNTIF(Config!$B$15:$B$34,$G1382)=0),"Unsupported reason",IF(OR(INT($E1382)&lt;&gt;$E1382,AND(OR($C1382="Receipt",$C1382="Shipment"),$E1382&lt;=0),AND($C1382="Adjustment",$E1382=0)),"Invalid qty",IF($B1382&gt;Config!$B$4,"Date after the as-of date",IF($B1382&lt;Config!$B$5,"Date before the opening balance date","OK")))))))))))))))))</f>
        <v/>
      </c>
    </row>
    <row r="1383">
      <c r="A1383" s="46" t="n"/>
      <c r="B1383" s="54" t="n"/>
      <c r="C1383" s="46" t="n"/>
      <c r="D1383" s="46" t="n"/>
      <c r="E1383" s="55" t="n"/>
      <c r="F1383" s="46" t="n"/>
      <c r="G1383" s="46" t="n"/>
      <c r="H1383" s="46" t="n"/>
      <c r="I1383" s="46" t="n"/>
      <c r="J1383" s="46" t="n"/>
      <c r="K1383" s="46" t="n"/>
      <c r="L1383" s="46" t="n"/>
      <c r="M1383" s="51" t="str">
        <f>IF(NOT(ISNUMBER($E1383)),"",IF($C1383="Receipt",$E1383,IF($C1383="Shipment",-$E1383,IF($C1383="Adjustment",$E1383,0))))</f>
        <v/>
      </c>
      <c r="N1383" s="49" t="str">
        <f>IF($D1383="","",IFERROR(INDEX(Products!$B$2:$B$101,MATCH($D1383,Products!$A$2:$A$101,0))&amp;"","(not found)"))</f>
        <v/>
      </c>
      <c r="O1383" s="49" t="str">
        <f>IF($F1383="","",IFERROR(INDEX(Batches!$B$2:$B$301,MATCH($F1383,Batches!$A$2:$A$301,0))&amp;"","(not found)"))</f>
        <v/>
      </c>
      <c r="P1383" s="49" t="str">
        <f>IF(COUNTA($A1383:$L1383)=0,"",IF($A1383="","Missing: entry ID",IF(COUNTIF($A$2:$A$2001,$A1383)&gt;1,"Duplicate entry ID",IF(NOT(ISNUMBER($B1383)),"Missing or invalid: date",IF($C1383="","Missing: type",IF($D1383="","Missing: SKU",IF(NOT(ISNUMBER($E1383)),"Missing: qty",IF($F1383="","Missing: lot",IF($I1383="","Missing: source link",IF(COUNTIF(Config!$A$15:$A$34,$C1383)=0,"Unsupported type",IF(COUNTIF(Products!$A$2:$A$101,$D1383)=0,"Unknown SKU",IF(COUNTIFS(Batches!$A$2:$A$301,$F1383,Batches!$B$2:$B$301,$D1383)=0,"Unknown lot for this SKU",IF(AND($C1383="Adjustment",$G1383=""),"Missing: reason",IF(AND($G1383&lt;&gt;"",COUNTIF(Config!$B$15:$B$34,$G1383)=0),"Unsupported reason",IF(OR(INT($E1383)&lt;&gt;$E1383,AND(OR($C1383="Receipt",$C1383="Shipment"),$E1383&lt;=0),AND($C1383="Adjustment",$E1383=0)),"Invalid qty",IF($B1383&gt;Config!$B$4,"Date after the as-of date",IF($B1383&lt;Config!$B$5,"Date before the opening balance date","OK")))))))))))))))))</f>
        <v/>
      </c>
    </row>
    <row r="1384">
      <c r="A1384" s="46" t="n"/>
      <c r="B1384" s="54" t="n"/>
      <c r="C1384" s="46" t="n"/>
      <c r="D1384" s="46" t="n"/>
      <c r="E1384" s="55" t="n"/>
      <c r="F1384" s="46" t="n"/>
      <c r="G1384" s="46" t="n"/>
      <c r="H1384" s="46" t="n"/>
      <c r="I1384" s="46" t="n"/>
      <c r="J1384" s="46" t="n"/>
      <c r="K1384" s="46" t="n"/>
      <c r="L1384" s="46" t="n"/>
      <c r="M1384" s="51" t="str">
        <f>IF(NOT(ISNUMBER($E1384)),"",IF($C1384="Receipt",$E1384,IF($C1384="Shipment",-$E1384,IF($C1384="Adjustment",$E1384,0))))</f>
        <v/>
      </c>
      <c r="N1384" s="49" t="str">
        <f>IF($D1384="","",IFERROR(INDEX(Products!$B$2:$B$101,MATCH($D1384,Products!$A$2:$A$101,0))&amp;"","(not found)"))</f>
        <v/>
      </c>
      <c r="O1384" s="49" t="str">
        <f>IF($F1384="","",IFERROR(INDEX(Batches!$B$2:$B$301,MATCH($F1384,Batches!$A$2:$A$301,0))&amp;"","(not found)"))</f>
        <v/>
      </c>
      <c r="P1384" s="49" t="str">
        <f>IF(COUNTA($A1384:$L1384)=0,"",IF($A1384="","Missing: entry ID",IF(COUNTIF($A$2:$A$2001,$A1384)&gt;1,"Duplicate entry ID",IF(NOT(ISNUMBER($B1384)),"Missing or invalid: date",IF($C1384="","Missing: type",IF($D1384="","Missing: SKU",IF(NOT(ISNUMBER($E1384)),"Missing: qty",IF($F1384="","Missing: lot",IF($I1384="","Missing: source link",IF(COUNTIF(Config!$A$15:$A$34,$C1384)=0,"Unsupported type",IF(COUNTIF(Products!$A$2:$A$101,$D1384)=0,"Unknown SKU",IF(COUNTIFS(Batches!$A$2:$A$301,$F1384,Batches!$B$2:$B$301,$D1384)=0,"Unknown lot for this SKU",IF(AND($C1384="Adjustment",$G1384=""),"Missing: reason",IF(AND($G1384&lt;&gt;"",COUNTIF(Config!$B$15:$B$34,$G1384)=0),"Unsupported reason",IF(OR(INT($E1384)&lt;&gt;$E1384,AND(OR($C1384="Receipt",$C1384="Shipment"),$E1384&lt;=0),AND($C1384="Adjustment",$E1384=0)),"Invalid qty",IF($B1384&gt;Config!$B$4,"Date after the as-of date",IF($B1384&lt;Config!$B$5,"Date before the opening balance date","OK")))))))))))))))))</f>
        <v/>
      </c>
    </row>
    <row r="1385">
      <c r="A1385" s="46" t="n"/>
      <c r="B1385" s="54" t="n"/>
      <c r="C1385" s="46" t="n"/>
      <c r="D1385" s="46" t="n"/>
      <c r="E1385" s="55" t="n"/>
      <c r="F1385" s="46" t="n"/>
      <c r="G1385" s="46" t="n"/>
      <c r="H1385" s="46" t="n"/>
      <c r="I1385" s="46" t="n"/>
      <c r="J1385" s="46" t="n"/>
      <c r="K1385" s="46" t="n"/>
      <c r="L1385" s="46" t="n"/>
      <c r="M1385" s="51" t="str">
        <f>IF(NOT(ISNUMBER($E1385)),"",IF($C1385="Receipt",$E1385,IF($C1385="Shipment",-$E1385,IF($C1385="Adjustment",$E1385,0))))</f>
        <v/>
      </c>
      <c r="N1385" s="49" t="str">
        <f>IF($D1385="","",IFERROR(INDEX(Products!$B$2:$B$101,MATCH($D1385,Products!$A$2:$A$101,0))&amp;"","(not found)"))</f>
        <v/>
      </c>
      <c r="O1385" s="49" t="str">
        <f>IF($F1385="","",IFERROR(INDEX(Batches!$B$2:$B$301,MATCH($F1385,Batches!$A$2:$A$301,0))&amp;"","(not found)"))</f>
        <v/>
      </c>
      <c r="P1385" s="49" t="str">
        <f>IF(COUNTA($A1385:$L1385)=0,"",IF($A1385="","Missing: entry ID",IF(COUNTIF($A$2:$A$2001,$A1385)&gt;1,"Duplicate entry ID",IF(NOT(ISNUMBER($B1385)),"Missing or invalid: date",IF($C1385="","Missing: type",IF($D1385="","Missing: SKU",IF(NOT(ISNUMBER($E1385)),"Missing: qty",IF($F1385="","Missing: lot",IF($I1385="","Missing: source link",IF(COUNTIF(Config!$A$15:$A$34,$C1385)=0,"Unsupported type",IF(COUNTIF(Products!$A$2:$A$101,$D1385)=0,"Unknown SKU",IF(COUNTIFS(Batches!$A$2:$A$301,$F1385,Batches!$B$2:$B$301,$D1385)=0,"Unknown lot for this SKU",IF(AND($C1385="Adjustment",$G1385=""),"Missing: reason",IF(AND($G1385&lt;&gt;"",COUNTIF(Config!$B$15:$B$34,$G1385)=0),"Unsupported reason",IF(OR(INT($E1385)&lt;&gt;$E1385,AND(OR($C1385="Receipt",$C1385="Shipment"),$E1385&lt;=0),AND($C1385="Adjustment",$E1385=0)),"Invalid qty",IF($B1385&gt;Config!$B$4,"Date after the as-of date",IF($B1385&lt;Config!$B$5,"Date before the opening balance date","OK")))))))))))))))))</f>
        <v/>
      </c>
    </row>
    <row r="1386">
      <c r="A1386" s="46" t="n"/>
      <c r="B1386" s="54" t="n"/>
      <c r="C1386" s="46" t="n"/>
      <c r="D1386" s="46" t="n"/>
      <c r="E1386" s="55" t="n"/>
      <c r="F1386" s="46" t="n"/>
      <c r="G1386" s="46" t="n"/>
      <c r="H1386" s="46" t="n"/>
      <c r="I1386" s="46" t="n"/>
      <c r="J1386" s="46" t="n"/>
      <c r="K1386" s="46" t="n"/>
      <c r="L1386" s="46" t="n"/>
      <c r="M1386" s="51" t="str">
        <f>IF(NOT(ISNUMBER($E1386)),"",IF($C1386="Receipt",$E1386,IF($C1386="Shipment",-$E1386,IF($C1386="Adjustment",$E1386,0))))</f>
        <v/>
      </c>
      <c r="N1386" s="49" t="str">
        <f>IF($D1386="","",IFERROR(INDEX(Products!$B$2:$B$101,MATCH($D1386,Products!$A$2:$A$101,0))&amp;"","(not found)"))</f>
        <v/>
      </c>
      <c r="O1386" s="49" t="str">
        <f>IF($F1386="","",IFERROR(INDEX(Batches!$B$2:$B$301,MATCH($F1386,Batches!$A$2:$A$301,0))&amp;"","(not found)"))</f>
        <v/>
      </c>
      <c r="P1386" s="49" t="str">
        <f>IF(COUNTA($A1386:$L1386)=0,"",IF($A1386="","Missing: entry ID",IF(COUNTIF($A$2:$A$2001,$A1386)&gt;1,"Duplicate entry ID",IF(NOT(ISNUMBER($B1386)),"Missing or invalid: date",IF($C1386="","Missing: type",IF($D1386="","Missing: SKU",IF(NOT(ISNUMBER($E1386)),"Missing: qty",IF($F1386="","Missing: lot",IF($I1386="","Missing: source link",IF(COUNTIF(Config!$A$15:$A$34,$C1386)=0,"Unsupported type",IF(COUNTIF(Products!$A$2:$A$101,$D1386)=0,"Unknown SKU",IF(COUNTIFS(Batches!$A$2:$A$301,$F1386,Batches!$B$2:$B$301,$D1386)=0,"Unknown lot for this SKU",IF(AND($C1386="Adjustment",$G1386=""),"Missing: reason",IF(AND($G1386&lt;&gt;"",COUNTIF(Config!$B$15:$B$34,$G1386)=0),"Unsupported reason",IF(OR(INT($E1386)&lt;&gt;$E1386,AND(OR($C1386="Receipt",$C1386="Shipment"),$E1386&lt;=0),AND($C1386="Adjustment",$E1386=0)),"Invalid qty",IF($B1386&gt;Config!$B$4,"Date after the as-of date",IF($B1386&lt;Config!$B$5,"Date before the opening balance date","OK")))))))))))))))))</f>
        <v/>
      </c>
    </row>
    <row r="1387">
      <c r="A1387" s="46" t="n"/>
      <c r="B1387" s="54" t="n"/>
      <c r="C1387" s="46" t="n"/>
      <c r="D1387" s="46" t="n"/>
      <c r="E1387" s="55" t="n"/>
      <c r="F1387" s="46" t="n"/>
      <c r="G1387" s="46" t="n"/>
      <c r="H1387" s="46" t="n"/>
      <c r="I1387" s="46" t="n"/>
      <c r="J1387" s="46" t="n"/>
      <c r="K1387" s="46" t="n"/>
      <c r="L1387" s="46" t="n"/>
      <c r="M1387" s="51" t="str">
        <f>IF(NOT(ISNUMBER($E1387)),"",IF($C1387="Receipt",$E1387,IF($C1387="Shipment",-$E1387,IF($C1387="Adjustment",$E1387,0))))</f>
        <v/>
      </c>
      <c r="N1387" s="49" t="str">
        <f>IF($D1387="","",IFERROR(INDEX(Products!$B$2:$B$101,MATCH($D1387,Products!$A$2:$A$101,0))&amp;"","(not found)"))</f>
        <v/>
      </c>
      <c r="O1387" s="49" t="str">
        <f>IF($F1387="","",IFERROR(INDEX(Batches!$B$2:$B$301,MATCH($F1387,Batches!$A$2:$A$301,0))&amp;"","(not found)"))</f>
        <v/>
      </c>
      <c r="P1387" s="49" t="str">
        <f>IF(COUNTA($A1387:$L1387)=0,"",IF($A1387="","Missing: entry ID",IF(COUNTIF($A$2:$A$2001,$A1387)&gt;1,"Duplicate entry ID",IF(NOT(ISNUMBER($B1387)),"Missing or invalid: date",IF($C1387="","Missing: type",IF($D1387="","Missing: SKU",IF(NOT(ISNUMBER($E1387)),"Missing: qty",IF($F1387="","Missing: lot",IF($I1387="","Missing: source link",IF(COUNTIF(Config!$A$15:$A$34,$C1387)=0,"Unsupported type",IF(COUNTIF(Products!$A$2:$A$101,$D1387)=0,"Unknown SKU",IF(COUNTIFS(Batches!$A$2:$A$301,$F1387,Batches!$B$2:$B$301,$D1387)=0,"Unknown lot for this SKU",IF(AND($C1387="Adjustment",$G1387=""),"Missing: reason",IF(AND($G1387&lt;&gt;"",COUNTIF(Config!$B$15:$B$34,$G1387)=0),"Unsupported reason",IF(OR(INT($E1387)&lt;&gt;$E1387,AND(OR($C1387="Receipt",$C1387="Shipment"),$E1387&lt;=0),AND($C1387="Adjustment",$E1387=0)),"Invalid qty",IF($B1387&gt;Config!$B$4,"Date after the as-of date",IF($B1387&lt;Config!$B$5,"Date before the opening balance date","OK")))))))))))))))))</f>
        <v/>
      </c>
    </row>
    <row r="1388">
      <c r="A1388" s="46" t="n"/>
      <c r="B1388" s="54" t="n"/>
      <c r="C1388" s="46" t="n"/>
      <c r="D1388" s="46" t="n"/>
      <c r="E1388" s="55" t="n"/>
      <c r="F1388" s="46" t="n"/>
      <c r="G1388" s="46" t="n"/>
      <c r="H1388" s="46" t="n"/>
      <c r="I1388" s="46" t="n"/>
      <c r="J1388" s="46" t="n"/>
      <c r="K1388" s="46" t="n"/>
      <c r="L1388" s="46" t="n"/>
      <c r="M1388" s="51" t="str">
        <f>IF(NOT(ISNUMBER($E1388)),"",IF($C1388="Receipt",$E1388,IF($C1388="Shipment",-$E1388,IF($C1388="Adjustment",$E1388,0))))</f>
        <v/>
      </c>
      <c r="N1388" s="49" t="str">
        <f>IF($D1388="","",IFERROR(INDEX(Products!$B$2:$B$101,MATCH($D1388,Products!$A$2:$A$101,0))&amp;"","(not found)"))</f>
        <v/>
      </c>
      <c r="O1388" s="49" t="str">
        <f>IF($F1388="","",IFERROR(INDEX(Batches!$B$2:$B$301,MATCH($F1388,Batches!$A$2:$A$301,0))&amp;"","(not found)"))</f>
        <v/>
      </c>
      <c r="P1388" s="49" t="str">
        <f>IF(COUNTA($A1388:$L1388)=0,"",IF($A1388="","Missing: entry ID",IF(COUNTIF($A$2:$A$2001,$A1388)&gt;1,"Duplicate entry ID",IF(NOT(ISNUMBER($B1388)),"Missing or invalid: date",IF($C1388="","Missing: type",IF($D1388="","Missing: SKU",IF(NOT(ISNUMBER($E1388)),"Missing: qty",IF($F1388="","Missing: lot",IF($I1388="","Missing: source link",IF(COUNTIF(Config!$A$15:$A$34,$C1388)=0,"Unsupported type",IF(COUNTIF(Products!$A$2:$A$101,$D1388)=0,"Unknown SKU",IF(COUNTIFS(Batches!$A$2:$A$301,$F1388,Batches!$B$2:$B$301,$D1388)=0,"Unknown lot for this SKU",IF(AND($C1388="Adjustment",$G1388=""),"Missing: reason",IF(AND($G1388&lt;&gt;"",COUNTIF(Config!$B$15:$B$34,$G1388)=0),"Unsupported reason",IF(OR(INT($E1388)&lt;&gt;$E1388,AND(OR($C1388="Receipt",$C1388="Shipment"),$E1388&lt;=0),AND($C1388="Adjustment",$E1388=0)),"Invalid qty",IF($B1388&gt;Config!$B$4,"Date after the as-of date",IF($B1388&lt;Config!$B$5,"Date before the opening balance date","OK")))))))))))))))))</f>
        <v/>
      </c>
    </row>
    <row r="1389">
      <c r="A1389" s="46" t="n"/>
      <c r="B1389" s="54" t="n"/>
      <c r="C1389" s="46" t="n"/>
      <c r="D1389" s="46" t="n"/>
      <c r="E1389" s="55" t="n"/>
      <c r="F1389" s="46" t="n"/>
      <c r="G1389" s="46" t="n"/>
      <c r="H1389" s="46" t="n"/>
      <c r="I1389" s="46" t="n"/>
      <c r="J1389" s="46" t="n"/>
      <c r="K1389" s="46" t="n"/>
      <c r="L1389" s="46" t="n"/>
      <c r="M1389" s="51" t="str">
        <f>IF(NOT(ISNUMBER($E1389)),"",IF($C1389="Receipt",$E1389,IF($C1389="Shipment",-$E1389,IF($C1389="Adjustment",$E1389,0))))</f>
        <v/>
      </c>
      <c r="N1389" s="49" t="str">
        <f>IF($D1389="","",IFERROR(INDEX(Products!$B$2:$B$101,MATCH($D1389,Products!$A$2:$A$101,0))&amp;"","(not found)"))</f>
        <v/>
      </c>
      <c r="O1389" s="49" t="str">
        <f>IF($F1389="","",IFERROR(INDEX(Batches!$B$2:$B$301,MATCH($F1389,Batches!$A$2:$A$301,0))&amp;"","(not found)"))</f>
        <v/>
      </c>
      <c r="P1389" s="49" t="str">
        <f>IF(COUNTA($A1389:$L1389)=0,"",IF($A1389="","Missing: entry ID",IF(COUNTIF($A$2:$A$2001,$A1389)&gt;1,"Duplicate entry ID",IF(NOT(ISNUMBER($B1389)),"Missing or invalid: date",IF($C1389="","Missing: type",IF($D1389="","Missing: SKU",IF(NOT(ISNUMBER($E1389)),"Missing: qty",IF($F1389="","Missing: lot",IF($I1389="","Missing: source link",IF(COUNTIF(Config!$A$15:$A$34,$C1389)=0,"Unsupported type",IF(COUNTIF(Products!$A$2:$A$101,$D1389)=0,"Unknown SKU",IF(COUNTIFS(Batches!$A$2:$A$301,$F1389,Batches!$B$2:$B$301,$D1389)=0,"Unknown lot for this SKU",IF(AND($C1389="Adjustment",$G1389=""),"Missing: reason",IF(AND($G1389&lt;&gt;"",COUNTIF(Config!$B$15:$B$34,$G1389)=0),"Unsupported reason",IF(OR(INT($E1389)&lt;&gt;$E1389,AND(OR($C1389="Receipt",$C1389="Shipment"),$E1389&lt;=0),AND($C1389="Adjustment",$E1389=0)),"Invalid qty",IF($B1389&gt;Config!$B$4,"Date after the as-of date",IF($B1389&lt;Config!$B$5,"Date before the opening balance date","OK")))))))))))))))))</f>
        <v/>
      </c>
    </row>
    <row r="1390">
      <c r="A1390" s="46" t="n"/>
      <c r="B1390" s="54" t="n"/>
      <c r="C1390" s="46" t="n"/>
      <c r="D1390" s="46" t="n"/>
      <c r="E1390" s="55" t="n"/>
      <c r="F1390" s="46" t="n"/>
      <c r="G1390" s="46" t="n"/>
      <c r="H1390" s="46" t="n"/>
      <c r="I1390" s="46" t="n"/>
      <c r="J1390" s="46" t="n"/>
      <c r="K1390" s="46" t="n"/>
      <c r="L1390" s="46" t="n"/>
      <c r="M1390" s="51" t="str">
        <f>IF(NOT(ISNUMBER($E1390)),"",IF($C1390="Receipt",$E1390,IF($C1390="Shipment",-$E1390,IF($C1390="Adjustment",$E1390,0))))</f>
        <v/>
      </c>
      <c r="N1390" s="49" t="str">
        <f>IF($D1390="","",IFERROR(INDEX(Products!$B$2:$B$101,MATCH($D1390,Products!$A$2:$A$101,0))&amp;"","(not found)"))</f>
        <v/>
      </c>
      <c r="O1390" s="49" t="str">
        <f>IF($F1390="","",IFERROR(INDEX(Batches!$B$2:$B$301,MATCH($F1390,Batches!$A$2:$A$301,0))&amp;"","(not found)"))</f>
        <v/>
      </c>
      <c r="P1390" s="49" t="str">
        <f>IF(COUNTA($A1390:$L1390)=0,"",IF($A1390="","Missing: entry ID",IF(COUNTIF($A$2:$A$2001,$A1390)&gt;1,"Duplicate entry ID",IF(NOT(ISNUMBER($B1390)),"Missing or invalid: date",IF($C1390="","Missing: type",IF($D1390="","Missing: SKU",IF(NOT(ISNUMBER($E1390)),"Missing: qty",IF($F1390="","Missing: lot",IF($I1390="","Missing: source link",IF(COUNTIF(Config!$A$15:$A$34,$C1390)=0,"Unsupported type",IF(COUNTIF(Products!$A$2:$A$101,$D1390)=0,"Unknown SKU",IF(COUNTIFS(Batches!$A$2:$A$301,$F1390,Batches!$B$2:$B$301,$D1390)=0,"Unknown lot for this SKU",IF(AND($C1390="Adjustment",$G1390=""),"Missing: reason",IF(AND($G1390&lt;&gt;"",COUNTIF(Config!$B$15:$B$34,$G1390)=0),"Unsupported reason",IF(OR(INT($E1390)&lt;&gt;$E1390,AND(OR($C1390="Receipt",$C1390="Shipment"),$E1390&lt;=0),AND($C1390="Adjustment",$E1390=0)),"Invalid qty",IF($B1390&gt;Config!$B$4,"Date after the as-of date",IF($B1390&lt;Config!$B$5,"Date before the opening balance date","OK")))))))))))))))))</f>
        <v/>
      </c>
    </row>
    <row r="1391">
      <c r="A1391" s="46" t="n"/>
      <c r="B1391" s="54" t="n"/>
      <c r="C1391" s="46" t="n"/>
      <c r="D1391" s="46" t="n"/>
      <c r="E1391" s="55" t="n"/>
      <c r="F1391" s="46" t="n"/>
      <c r="G1391" s="46" t="n"/>
      <c r="H1391" s="46" t="n"/>
      <c r="I1391" s="46" t="n"/>
      <c r="J1391" s="46" t="n"/>
      <c r="K1391" s="46" t="n"/>
      <c r="L1391" s="46" t="n"/>
      <c r="M1391" s="51" t="str">
        <f>IF(NOT(ISNUMBER($E1391)),"",IF($C1391="Receipt",$E1391,IF($C1391="Shipment",-$E1391,IF($C1391="Adjustment",$E1391,0))))</f>
        <v/>
      </c>
      <c r="N1391" s="49" t="str">
        <f>IF($D1391="","",IFERROR(INDEX(Products!$B$2:$B$101,MATCH($D1391,Products!$A$2:$A$101,0))&amp;"","(not found)"))</f>
        <v/>
      </c>
      <c r="O1391" s="49" t="str">
        <f>IF($F1391="","",IFERROR(INDEX(Batches!$B$2:$B$301,MATCH($F1391,Batches!$A$2:$A$301,0))&amp;"","(not found)"))</f>
        <v/>
      </c>
      <c r="P1391" s="49" t="str">
        <f>IF(COUNTA($A1391:$L1391)=0,"",IF($A1391="","Missing: entry ID",IF(COUNTIF($A$2:$A$2001,$A1391)&gt;1,"Duplicate entry ID",IF(NOT(ISNUMBER($B1391)),"Missing or invalid: date",IF($C1391="","Missing: type",IF($D1391="","Missing: SKU",IF(NOT(ISNUMBER($E1391)),"Missing: qty",IF($F1391="","Missing: lot",IF($I1391="","Missing: source link",IF(COUNTIF(Config!$A$15:$A$34,$C1391)=0,"Unsupported type",IF(COUNTIF(Products!$A$2:$A$101,$D1391)=0,"Unknown SKU",IF(COUNTIFS(Batches!$A$2:$A$301,$F1391,Batches!$B$2:$B$301,$D1391)=0,"Unknown lot for this SKU",IF(AND($C1391="Adjustment",$G1391=""),"Missing: reason",IF(AND($G1391&lt;&gt;"",COUNTIF(Config!$B$15:$B$34,$G1391)=0),"Unsupported reason",IF(OR(INT($E1391)&lt;&gt;$E1391,AND(OR($C1391="Receipt",$C1391="Shipment"),$E1391&lt;=0),AND($C1391="Adjustment",$E1391=0)),"Invalid qty",IF($B1391&gt;Config!$B$4,"Date after the as-of date",IF($B1391&lt;Config!$B$5,"Date before the opening balance date","OK")))))))))))))))))</f>
        <v/>
      </c>
    </row>
    <row r="1392">
      <c r="A1392" s="46" t="n"/>
      <c r="B1392" s="54" t="n"/>
      <c r="C1392" s="46" t="n"/>
      <c r="D1392" s="46" t="n"/>
      <c r="E1392" s="55" t="n"/>
      <c r="F1392" s="46" t="n"/>
      <c r="G1392" s="46" t="n"/>
      <c r="H1392" s="46" t="n"/>
      <c r="I1392" s="46" t="n"/>
      <c r="J1392" s="46" t="n"/>
      <c r="K1392" s="46" t="n"/>
      <c r="L1392" s="46" t="n"/>
      <c r="M1392" s="51" t="str">
        <f>IF(NOT(ISNUMBER($E1392)),"",IF($C1392="Receipt",$E1392,IF($C1392="Shipment",-$E1392,IF($C1392="Adjustment",$E1392,0))))</f>
        <v/>
      </c>
      <c r="N1392" s="49" t="str">
        <f>IF($D1392="","",IFERROR(INDEX(Products!$B$2:$B$101,MATCH($D1392,Products!$A$2:$A$101,0))&amp;"","(not found)"))</f>
        <v/>
      </c>
      <c r="O1392" s="49" t="str">
        <f>IF($F1392="","",IFERROR(INDEX(Batches!$B$2:$B$301,MATCH($F1392,Batches!$A$2:$A$301,0))&amp;"","(not found)"))</f>
        <v/>
      </c>
      <c r="P1392" s="49" t="str">
        <f>IF(COUNTA($A1392:$L1392)=0,"",IF($A1392="","Missing: entry ID",IF(COUNTIF($A$2:$A$2001,$A1392)&gt;1,"Duplicate entry ID",IF(NOT(ISNUMBER($B1392)),"Missing or invalid: date",IF($C1392="","Missing: type",IF($D1392="","Missing: SKU",IF(NOT(ISNUMBER($E1392)),"Missing: qty",IF($F1392="","Missing: lot",IF($I1392="","Missing: source link",IF(COUNTIF(Config!$A$15:$A$34,$C1392)=0,"Unsupported type",IF(COUNTIF(Products!$A$2:$A$101,$D1392)=0,"Unknown SKU",IF(COUNTIFS(Batches!$A$2:$A$301,$F1392,Batches!$B$2:$B$301,$D1392)=0,"Unknown lot for this SKU",IF(AND($C1392="Adjustment",$G1392=""),"Missing: reason",IF(AND($G1392&lt;&gt;"",COUNTIF(Config!$B$15:$B$34,$G1392)=0),"Unsupported reason",IF(OR(INT($E1392)&lt;&gt;$E1392,AND(OR($C1392="Receipt",$C1392="Shipment"),$E1392&lt;=0),AND($C1392="Adjustment",$E1392=0)),"Invalid qty",IF($B1392&gt;Config!$B$4,"Date after the as-of date",IF($B1392&lt;Config!$B$5,"Date before the opening balance date","OK")))))))))))))))))</f>
        <v/>
      </c>
    </row>
    <row r="1393">
      <c r="A1393" s="46" t="n"/>
      <c r="B1393" s="54" t="n"/>
      <c r="C1393" s="46" t="n"/>
      <c r="D1393" s="46" t="n"/>
      <c r="E1393" s="55" t="n"/>
      <c r="F1393" s="46" t="n"/>
      <c r="G1393" s="46" t="n"/>
      <c r="H1393" s="46" t="n"/>
      <c r="I1393" s="46" t="n"/>
      <c r="J1393" s="46" t="n"/>
      <c r="K1393" s="46" t="n"/>
      <c r="L1393" s="46" t="n"/>
      <c r="M1393" s="51" t="str">
        <f>IF(NOT(ISNUMBER($E1393)),"",IF($C1393="Receipt",$E1393,IF($C1393="Shipment",-$E1393,IF($C1393="Adjustment",$E1393,0))))</f>
        <v/>
      </c>
      <c r="N1393" s="49" t="str">
        <f>IF($D1393="","",IFERROR(INDEX(Products!$B$2:$B$101,MATCH($D1393,Products!$A$2:$A$101,0))&amp;"","(not found)"))</f>
        <v/>
      </c>
      <c r="O1393" s="49" t="str">
        <f>IF($F1393="","",IFERROR(INDEX(Batches!$B$2:$B$301,MATCH($F1393,Batches!$A$2:$A$301,0))&amp;"","(not found)"))</f>
        <v/>
      </c>
      <c r="P1393" s="49" t="str">
        <f>IF(COUNTA($A1393:$L1393)=0,"",IF($A1393="","Missing: entry ID",IF(COUNTIF($A$2:$A$2001,$A1393)&gt;1,"Duplicate entry ID",IF(NOT(ISNUMBER($B1393)),"Missing or invalid: date",IF($C1393="","Missing: type",IF($D1393="","Missing: SKU",IF(NOT(ISNUMBER($E1393)),"Missing: qty",IF($F1393="","Missing: lot",IF($I1393="","Missing: source link",IF(COUNTIF(Config!$A$15:$A$34,$C1393)=0,"Unsupported type",IF(COUNTIF(Products!$A$2:$A$101,$D1393)=0,"Unknown SKU",IF(COUNTIFS(Batches!$A$2:$A$301,$F1393,Batches!$B$2:$B$301,$D1393)=0,"Unknown lot for this SKU",IF(AND($C1393="Adjustment",$G1393=""),"Missing: reason",IF(AND($G1393&lt;&gt;"",COUNTIF(Config!$B$15:$B$34,$G1393)=0),"Unsupported reason",IF(OR(INT($E1393)&lt;&gt;$E1393,AND(OR($C1393="Receipt",$C1393="Shipment"),$E1393&lt;=0),AND($C1393="Adjustment",$E1393=0)),"Invalid qty",IF($B1393&gt;Config!$B$4,"Date after the as-of date",IF($B1393&lt;Config!$B$5,"Date before the opening balance date","OK")))))))))))))))))</f>
        <v/>
      </c>
    </row>
    <row r="1394">
      <c r="A1394" s="46" t="n"/>
      <c r="B1394" s="54" t="n"/>
      <c r="C1394" s="46" t="n"/>
      <c r="D1394" s="46" t="n"/>
      <c r="E1394" s="55" t="n"/>
      <c r="F1394" s="46" t="n"/>
      <c r="G1394" s="46" t="n"/>
      <c r="H1394" s="46" t="n"/>
      <c r="I1394" s="46" t="n"/>
      <c r="J1394" s="46" t="n"/>
      <c r="K1394" s="46" t="n"/>
      <c r="L1394" s="46" t="n"/>
      <c r="M1394" s="51" t="str">
        <f>IF(NOT(ISNUMBER($E1394)),"",IF($C1394="Receipt",$E1394,IF($C1394="Shipment",-$E1394,IF($C1394="Adjustment",$E1394,0))))</f>
        <v/>
      </c>
      <c r="N1394" s="49" t="str">
        <f>IF($D1394="","",IFERROR(INDEX(Products!$B$2:$B$101,MATCH($D1394,Products!$A$2:$A$101,0))&amp;"","(not found)"))</f>
        <v/>
      </c>
      <c r="O1394" s="49" t="str">
        <f>IF($F1394="","",IFERROR(INDEX(Batches!$B$2:$B$301,MATCH($F1394,Batches!$A$2:$A$301,0))&amp;"","(not found)"))</f>
        <v/>
      </c>
      <c r="P1394" s="49" t="str">
        <f>IF(COUNTA($A1394:$L1394)=0,"",IF($A1394="","Missing: entry ID",IF(COUNTIF($A$2:$A$2001,$A1394)&gt;1,"Duplicate entry ID",IF(NOT(ISNUMBER($B1394)),"Missing or invalid: date",IF($C1394="","Missing: type",IF($D1394="","Missing: SKU",IF(NOT(ISNUMBER($E1394)),"Missing: qty",IF($F1394="","Missing: lot",IF($I1394="","Missing: source link",IF(COUNTIF(Config!$A$15:$A$34,$C1394)=0,"Unsupported type",IF(COUNTIF(Products!$A$2:$A$101,$D1394)=0,"Unknown SKU",IF(COUNTIFS(Batches!$A$2:$A$301,$F1394,Batches!$B$2:$B$301,$D1394)=0,"Unknown lot for this SKU",IF(AND($C1394="Adjustment",$G1394=""),"Missing: reason",IF(AND($G1394&lt;&gt;"",COUNTIF(Config!$B$15:$B$34,$G1394)=0),"Unsupported reason",IF(OR(INT($E1394)&lt;&gt;$E1394,AND(OR($C1394="Receipt",$C1394="Shipment"),$E1394&lt;=0),AND($C1394="Adjustment",$E1394=0)),"Invalid qty",IF($B1394&gt;Config!$B$4,"Date after the as-of date",IF($B1394&lt;Config!$B$5,"Date before the opening balance date","OK")))))))))))))))))</f>
        <v/>
      </c>
    </row>
    <row r="1395">
      <c r="A1395" s="46" t="n"/>
      <c r="B1395" s="54" t="n"/>
      <c r="C1395" s="46" t="n"/>
      <c r="D1395" s="46" t="n"/>
      <c r="E1395" s="55" t="n"/>
      <c r="F1395" s="46" t="n"/>
      <c r="G1395" s="46" t="n"/>
      <c r="H1395" s="46" t="n"/>
      <c r="I1395" s="46" t="n"/>
      <c r="J1395" s="46" t="n"/>
      <c r="K1395" s="46" t="n"/>
      <c r="L1395" s="46" t="n"/>
      <c r="M1395" s="51" t="str">
        <f>IF(NOT(ISNUMBER($E1395)),"",IF($C1395="Receipt",$E1395,IF($C1395="Shipment",-$E1395,IF($C1395="Adjustment",$E1395,0))))</f>
        <v/>
      </c>
      <c r="N1395" s="49" t="str">
        <f>IF($D1395="","",IFERROR(INDEX(Products!$B$2:$B$101,MATCH($D1395,Products!$A$2:$A$101,0))&amp;"","(not found)"))</f>
        <v/>
      </c>
      <c r="O1395" s="49" t="str">
        <f>IF($F1395="","",IFERROR(INDEX(Batches!$B$2:$B$301,MATCH($F1395,Batches!$A$2:$A$301,0))&amp;"","(not found)"))</f>
        <v/>
      </c>
      <c r="P1395" s="49" t="str">
        <f>IF(COUNTA($A1395:$L1395)=0,"",IF($A1395="","Missing: entry ID",IF(COUNTIF($A$2:$A$2001,$A1395)&gt;1,"Duplicate entry ID",IF(NOT(ISNUMBER($B1395)),"Missing or invalid: date",IF($C1395="","Missing: type",IF($D1395="","Missing: SKU",IF(NOT(ISNUMBER($E1395)),"Missing: qty",IF($F1395="","Missing: lot",IF($I1395="","Missing: source link",IF(COUNTIF(Config!$A$15:$A$34,$C1395)=0,"Unsupported type",IF(COUNTIF(Products!$A$2:$A$101,$D1395)=0,"Unknown SKU",IF(COUNTIFS(Batches!$A$2:$A$301,$F1395,Batches!$B$2:$B$301,$D1395)=0,"Unknown lot for this SKU",IF(AND($C1395="Adjustment",$G1395=""),"Missing: reason",IF(AND($G1395&lt;&gt;"",COUNTIF(Config!$B$15:$B$34,$G1395)=0),"Unsupported reason",IF(OR(INT($E1395)&lt;&gt;$E1395,AND(OR($C1395="Receipt",$C1395="Shipment"),$E1395&lt;=0),AND($C1395="Adjustment",$E1395=0)),"Invalid qty",IF($B1395&gt;Config!$B$4,"Date after the as-of date",IF($B1395&lt;Config!$B$5,"Date before the opening balance date","OK")))))))))))))))))</f>
        <v/>
      </c>
    </row>
    <row r="1396">
      <c r="A1396" s="46" t="n"/>
      <c r="B1396" s="54" t="n"/>
      <c r="C1396" s="46" t="n"/>
      <c r="D1396" s="46" t="n"/>
      <c r="E1396" s="55" t="n"/>
      <c r="F1396" s="46" t="n"/>
      <c r="G1396" s="46" t="n"/>
      <c r="H1396" s="46" t="n"/>
      <c r="I1396" s="46" t="n"/>
      <c r="J1396" s="46" t="n"/>
      <c r="K1396" s="46" t="n"/>
      <c r="L1396" s="46" t="n"/>
      <c r="M1396" s="51" t="str">
        <f>IF(NOT(ISNUMBER($E1396)),"",IF($C1396="Receipt",$E1396,IF($C1396="Shipment",-$E1396,IF($C1396="Adjustment",$E1396,0))))</f>
        <v/>
      </c>
      <c r="N1396" s="49" t="str">
        <f>IF($D1396="","",IFERROR(INDEX(Products!$B$2:$B$101,MATCH($D1396,Products!$A$2:$A$101,0))&amp;"","(not found)"))</f>
        <v/>
      </c>
      <c r="O1396" s="49" t="str">
        <f>IF($F1396="","",IFERROR(INDEX(Batches!$B$2:$B$301,MATCH($F1396,Batches!$A$2:$A$301,0))&amp;"","(not found)"))</f>
        <v/>
      </c>
      <c r="P1396" s="49" t="str">
        <f>IF(COUNTA($A1396:$L1396)=0,"",IF($A1396="","Missing: entry ID",IF(COUNTIF($A$2:$A$2001,$A1396)&gt;1,"Duplicate entry ID",IF(NOT(ISNUMBER($B1396)),"Missing or invalid: date",IF($C1396="","Missing: type",IF($D1396="","Missing: SKU",IF(NOT(ISNUMBER($E1396)),"Missing: qty",IF($F1396="","Missing: lot",IF($I1396="","Missing: source link",IF(COUNTIF(Config!$A$15:$A$34,$C1396)=0,"Unsupported type",IF(COUNTIF(Products!$A$2:$A$101,$D1396)=0,"Unknown SKU",IF(COUNTIFS(Batches!$A$2:$A$301,$F1396,Batches!$B$2:$B$301,$D1396)=0,"Unknown lot for this SKU",IF(AND($C1396="Adjustment",$G1396=""),"Missing: reason",IF(AND($G1396&lt;&gt;"",COUNTIF(Config!$B$15:$B$34,$G1396)=0),"Unsupported reason",IF(OR(INT($E1396)&lt;&gt;$E1396,AND(OR($C1396="Receipt",$C1396="Shipment"),$E1396&lt;=0),AND($C1396="Adjustment",$E1396=0)),"Invalid qty",IF($B1396&gt;Config!$B$4,"Date after the as-of date",IF($B1396&lt;Config!$B$5,"Date before the opening balance date","OK")))))))))))))))))</f>
        <v/>
      </c>
    </row>
    <row r="1397">
      <c r="A1397" s="46" t="n"/>
      <c r="B1397" s="54" t="n"/>
      <c r="C1397" s="46" t="n"/>
      <c r="D1397" s="46" t="n"/>
      <c r="E1397" s="55" t="n"/>
      <c r="F1397" s="46" t="n"/>
      <c r="G1397" s="46" t="n"/>
      <c r="H1397" s="46" t="n"/>
      <c r="I1397" s="46" t="n"/>
      <c r="J1397" s="46" t="n"/>
      <c r="K1397" s="46" t="n"/>
      <c r="L1397" s="46" t="n"/>
      <c r="M1397" s="51" t="str">
        <f>IF(NOT(ISNUMBER($E1397)),"",IF($C1397="Receipt",$E1397,IF($C1397="Shipment",-$E1397,IF($C1397="Adjustment",$E1397,0))))</f>
        <v/>
      </c>
      <c r="N1397" s="49" t="str">
        <f>IF($D1397="","",IFERROR(INDEX(Products!$B$2:$B$101,MATCH($D1397,Products!$A$2:$A$101,0))&amp;"","(not found)"))</f>
        <v/>
      </c>
      <c r="O1397" s="49" t="str">
        <f>IF($F1397="","",IFERROR(INDEX(Batches!$B$2:$B$301,MATCH($F1397,Batches!$A$2:$A$301,0))&amp;"","(not found)"))</f>
        <v/>
      </c>
      <c r="P1397" s="49" t="str">
        <f>IF(COUNTA($A1397:$L1397)=0,"",IF($A1397="","Missing: entry ID",IF(COUNTIF($A$2:$A$2001,$A1397)&gt;1,"Duplicate entry ID",IF(NOT(ISNUMBER($B1397)),"Missing or invalid: date",IF($C1397="","Missing: type",IF($D1397="","Missing: SKU",IF(NOT(ISNUMBER($E1397)),"Missing: qty",IF($F1397="","Missing: lot",IF($I1397="","Missing: source link",IF(COUNTIF(Config!$A$15:$A$34,$C1397)=0,"Unsupported type",IF(COUNTIF(Products!$A$2:$A$101,$D1397)=0,"Unknown SKU",IF(COUNTIFS(Batches!$A$2:$A$301,$F1397,Batches!$B$2:$B$301,$D1397)=0,"Unknown lot for this SKU",IF(AND($C1397="Adjustment",$G1397=""),"Missing: reason",IF(AND($G1397&lt;&gt;"",COUNTIF(Config!$B$15:$B$34,$G1397)=0),"Unsupported reason",IF(OR(INT($E1397)&lt;&gt;$E1397,AND(OR($C1397="Receipt",$C1397="Shipment"),$E1397&lt;=0),AND($C1397="Adjustment",$E1397=0)),"Invalid qty",IF($B1397&gt;Config!$B$4,"Date after the as-of date",IF($B1397&lt;Config!$B$5,"Date before the opening balance date","OK")))))))))))))))))</f>
        <v/>
      </c>
    </row>
    <row r="1398">
      <c r="A1398" s="46" t="n"/>
      <c r="B1398" s="54" t="n"/>
      <c r="C1398" s="46" t="n"/>
      <c r="D1398" s="46" t="n"/>
      <c r="E1398" s="55" t="n"/>
      <c r="F1398" s="46" t="n"/>
      <c r="G1398" s="46" t="n"/>
      <c r="H1398" s="46" t="n"/>
      <c r="I1398" s="46" t="n"/>
      <c r="J1398" s="46" t="n"/>
      <c r="K1398" s="46" t="n"/>
      <c r="L1398" s="46" t="n"/>
      <c r="M1398" s="51" t="str">
        <f>IF(NOT(ISNUMBER($E1398)),"",IF($C1398="Receipt",$E1398,IF($C1398="Shipment",-$E1398,IF($C1398="Adjustment",$E1398,0))))</f>
        <v/>
      </c>
      <c r="N1398" s="49" t="str">
        <f>IF($D1398="","",IFERROR(INDEX(Products!$B$2:$B$101,MATCH($D1398,Products!$A$2:$A$101,0))&amp;"","(not found)"))</f>
        <v/>
      </c>
      <c r="O1398" s="49" t="str">
        <f>IF($F1398="","",IFERROR(INDEX(Batches!$B$2:$B$301,MATCH($F1398,Batches!$A$2:$A$301,0))&amp;"","(not found)"))</f>
        <v/>
      </c>
      <c r="P1398" s="49" t="str">
        <f>IF(COUNTA($A1398:$L1398)=0,"",IF($A1398="","Missing: entry ID",IF(COUNTIF($A$2:$A$2001,$A1398)&gt;1,"Duplicate entry ID",IF(NOT(ISNUMBER($B1398)),"Missing or invalid: date",IF($C1398="","Missing: type",IF($D1398="","Missing: SKU",IF(NOT(ISNUMBER($E1398)),"Missing: qty",IF($F1398="","Missing: lot",IF($I1398="","Missing: source link",IF(COUNTIF(Config!$A$15:$A$34,$C1398)=0,"Unsupported type",IF(COUNTIF(Products!$A$2:$A$101,$D1398)=0,"Unknown SKU",IF(COUNTIFS(Batches!$A$2:$A$301,$F1398,Batches!$B$2:$B$301,$D1398)=0,"Unknown lot for this SKU",IF(AND($C1398="Adjustment",$G1398=""),"Missing: reason",IF(AND($G1398&lt;&gt;"",COUNTIF(Config!$B$15:$B$34,$G1398)=0),"Unsupported reason",IF(OR(INT($E1398)&lt;&gt;$E1398,AND(OR($C1398="Receipt",$C1398="Shipment"),$E1398&lt;=0),AND($C1398="Adjustment",$E1398=0)),"Invalid qty",IF($B1398&gt;Config!$B$4,"Date after the as-of date",IF($B1398&lt;Config!$B$5,"Date before the opening balance date","OK")))))))))))))))))</f>
        <v/>
      </c>
    </row>
    <row r="1399">
      <c r="A1399" s="46" t="n"/>
      <c r="B1399" s="54" t="n"/>
      <c r="C1399" s="46" t="n"/>
      <c r="D1399" s="46" t="n"/>
      <c r="E1399" s="55" t="n"/>
      <c r="F1399" s="46" t="n"/>
      <c r="G1399" s="46" t="n"/>
      <c r="H1399" s="46" t="n"/>
      <c r="I1399" s="46" t="n"/>
      <c r="J1399" s="46" t="n"/>
      <c r="K1399" s="46" t="n"/>
      <c r="L1399" s="46" t="n"/>
      <c r="M1399" s="51" t="str">
        <f>IF(NOT(ISNUMBER($E1399)),"",IF($C1399="Receipt",$E1399,IF($C1399="Shipment",-$E1399,IF($C1399="Adjustment",$E1399,0))))</f>
        <v/>
      </c>
      <c r="N1399" s="49" t="str">
        <f>IF($D1399="","",IFERROR(INDEX(Products!$B$2:$B$101,MATCH($D1399,Products!$A$2:$A$101,0))&amp;"","(not found)"))</f>
        <v/>
      </c>
      <c r="O1399" s="49" t="str">
        <f>IF($F1399="","",IFERROR(INDEX(Batches!$B$2:$B$301,MATCH($F1399,Batches!$A$2:$A$301,0))&amp;"","(not found)"))</f>
        <v/>
      </c>
      <c r="P1399" s="49" t="str">
        <f>IF(COUNTA($A1399:$L1399)=0,"",IF($A1399="","Missing: entry ID",IF(COUNTIF($A$2:$A$2001,$A1399)&gt;1,"Duplicate entry ID",IF(NOT(ISNUMBER($B1399)),"Missing or invalid: date",IF($C1399="","Missing: type",IF($D1399="","Missing: SKU",IF(NOT(ISNUMBER($E1399)),"Missing: qty",IF($F1399="","Missing: lot",IF($I1399="","Missing: source link",IF(COUNTIF(Config!$A$15:$A$34,$C1399)=0,"Unsupported type",IF(COUNTIF(Products!$A$2:$A$101,$D1399)=0,"Unknown SKU",IF(COUNTIFS(Batches!$A$2:$A$301,$F1399,Batches!$B$2:$B$301,$D1399)=0,"Unknown lot for this SKU",IF(AND($C1399="Adjustment",$G1399=""),"Missing: reason",IF(AND($G1399&lt;&gt;"",COUNTIF(Config!$B$15:$B$34,$G1399)=0),"Unsupported reason",IF(OR(INT($E1399)&lt;&gt;$E1399,AND(OR($C1399="Receipt",$C1399="Shipment"),$E1399&lt;=0),AND($C1399="Adjustment",$E1399=0)),"Invalid qty",IF($B1399&gt;Config!$B$4,"Date after the as-of date",IF($B1399&lt;Config!$B$5,"Date before the opening balance date","OK")))))))))))))))))</f>
        <v/>
      </c>
    </row>
    <row r="1400">
      <c r="A1400" s="46" t="n"/>
      <c r="B1400" s="54" t="n"/>
      <c r="C1400" s="46" t="n"/>
      <c r="D1400" s="46" t="n"/>
      <c r="E1400" s="55" t="n"/>
      <c r="F1400" s="46" t="n"/>
      <c r="G1400" s="46" t="n"/>
      <c r="H1400" s="46" t="n"/>
      <c r="I1400" s="46" t="n"/>
      <c r="J1400" s="46" t="n"/>
      <c r="K1400" s="46" t="n"/>
      <c r="L1400" s="46" t="n"/>
      <c r="M1400" s="51" t="str">
        <f>IF(NOT(ISNUMBER($E1400)),"",IF($C1400="Receipt",$E1400,IF($C1400="Shipment",-$E1400,IF($C1400="Adjustment",$E1400,0))))</f>
        <v/>
      </c>
      <c r="N1400" s="49" t="str">
        <f>IF($D1400="","",IFERROR(INDEX(Products!$B$2:$B$101,MATCH($D1400,Products!$A$2:$A$101,0))&amp;"","(not found)"))</f>
        <v/>
      </c>
      <c r="O1400" s="49" t="str">
        <f>IF($F1400="","",IFERROR(INDEX(Batches!$B$2:$B$301,MATCH($F1400,Batches!$A$2:$A$301,0))&amp;"","(not found)"))</f>
        <v/>
      </c>
      <c r="P1400" s="49" t="str">
        <f>IF(COUNTA($A1400:$L1400)=0,"",IF($A1400="","Missing: entry ID",IF(COUNTIF($A$2:$A$2001,$A1400)&gt;1,"Duplicate entry ID",IF(NOT(ISNUMBER($B1400)),"Missing or invalid: date",IF($C1400="","Missing: type",IF($D1400="","Missing: SKU",IF(NOT(ISNUMBER($E1400)),"Missing: qty",IF($F1400="","Missing: lot",IF($I1400="","Missing: source link",IF(COUNTIF(Config!$A$15:$A$34,$C1400)=0,"Unsupported type",IF(COUNTIF(Products!$A$2:$A$101,$D1400)=0,"Unknown SKU",IF(COUNTIFS(Batches!$A$2:$A$301,$F1400,Batches!$B$2:$B$301,$D1400)=0,"Unknown lot for this SKU",IF(AND($C1400="Adjustment",$G1400=""),"Missing: reason",IF(AND($G1400&lt;&gt;"",COUNTIF(Config!$B$15:$B$34,$G1400)=0),"Unsupported reason",IF(OR(INT($E1400)&lt;&gt;$E1400,AND(OR($C1400="Receipt",$C1400="Shipment"),$E1400&lt;=0),AND($C1400="Adjustment",$E1400=0)),"Invalid qty",IF($B1400&gt;Config!$B$4,"Date after the as-of date",IF($B1400&lt;Config!$B$5,"Date before the opening balance date","OK")))))))))))))))))</f>
        <v/>
      </c>
    </row>
    <row r="1401">
      <c r="A1401" s="46" t="n"/>
      <c r="B1401" s="54" t="n"/>
      <c r="C1401" s="46" t="n"/>
      <c r="D1401" s="46" t="n"/>
      <c r="E1401" s="55" t="n"/>
      <c r="F1401" s="46" t="n"/>
      <c r="G1401" s="46" t="n"/>
      <c r="H1401" s="46" t="n"/>
      <c r="I1401" s="46" t="n"/>
      <c r="J1401" s="46" t="n"/>
      <c r="K1401" s="46" t="n"/>
      <c r="L1401" s="46" t="n"/>
      <c r="M1401" s="51" t="str">
        <f>IF(NOT(ISNUMBER($E1401)),"",IF($C1401="Receipt",$E1401,IF($C1401="Shipment",-$E1401,IF($C1401="Adjustment",$E1401,0))))</f>
        <v/>
      </c>
      <c r="N1401" s="49" t="str">
        <f>IF($D1401="","",IFERROR(INDEX(Products!$B$2:$B$101,MATCH($D1401,Products!$A$2:$A$101,0))&amp;"","(not found)"))</f>
        <v/>
      </c>
      <c r="O1401" s="49" t="str">
        <f>IF($F1401="","",IFERROR(INDEX(Batches!$B$2:$B$301,MATCH($F1401,Batches!$A$2:$A$301,0))&amp;"","(not found)"))</f>
        <v/>
      </c>
      <c r="P1401" s="49" t="str">
        <f>IF(COUNTA($A1401:$L1401)=0,"",IF($A1401="","Missing: entry ID",IF(COUNTIF($A$2:$A$2001,$A1401)&gt;1,"Duplicate entry ID",IF(NOT(ISNUMBER($B1401)),"Missing or invalid: date",IF($C1401="","Missing: type",IF($D1401="","Missing: SKU",IF(NOT(ISNUMBER($E1401)),"Missing: qty",IF($F1401="","Missing: lot",IF($I1401="","Missing: source link",IF(COUNTIF(Config!$A$15:$A$34,$C1401)=0,"Unsupported type",IF(COUNTIF(Products!$A$2:$A$101,$D1401)=0,"Unknown SKU",IF(COUNTIFS(Batches!$A$2:$A$301,$F1401,Batches!$B$2:$B$301,$D1401)=0,"Unknown lot for this SKU",IF(AND($C1401="Adjustment",$G1401=""),"Missing: reason",IF(AND($G1401&lt;&gt;"",COUNTIF(Config!$B$15:$B$34,$G1401)=0),"Unsupported reason",IF(OR(INT($E1401)&lt;&gt;$E1401,AND(OR($C1401="Receipt",$C1401="Shipment"),$E1401&lt;=0),AND($C1401="Adjustment",$E1401=0)),"Invalid qty",IF($B1401&gt;Config!$B$4,"Date after the as-of date",IF($B1401&lt;Config!$B$5,"Date before the opening balance date","OK")))))))))))))))))</f>
        <v/>
      </c>
    </row>
    <row r="1402">
      <c r="A1402" s="46" t="n"/>
      <c r="B1402" s="54" t="n"/>
      <c r="C1402" s="46" t="n"/>
      <c r="D1402" s="46" t="n"/>
      <c r="E1402" s="55" t="n"/>
      <c r="F1402" s="46" t="n"/>
      <c r="G1402" s="46" t="n"/>
      <c r="H1402" s="46" t="n"/>
      <c r="I1402" s="46" t="n"/>
      <c r="J1402" s="46" t="n"/>
      <c r="K1402" s="46" t="n"/>
      <c r="L1402" s="46" t="n"/>
      <c r="M1402" s="51" t="str">
        <f>IF(NOT(ISNUMBER($E1402)),"",IF($C1402="Receipt",$E1402,IF($C1402="Shipment",-$E1402,IF($C1402="Adjustment",$E1402,0))))</f>
        <v/>
      </c>
      <c r="N1402" s="49" t="str">
        <f>IF($D1402="","",IFERROR(INDEX(Products!$B$2:$B$101,MATCH($D1402,Products!$A$2:$A$101,0))&amp;"","(not found)"))</f>
        <v/>
      </c>
      <c r="O1402" s="49" t="str">
        <f>IF($F1402="","",IFERROR(INDEX(Batches!$B$2:$B$301,MATCH($F1402,Batches!$A$2:$A$301,0))&amp;"","(not found)"))</f>
        <v/>
      </c>
      <c r="P1402" s="49" t="str">
        <f>IF(COUNTA($A1402:$L1402)=0,"",IF($A1402="","Missing: entry ID",IF(COUNTIF($A$2:$A$2001,$A1402)&gt;1,"Duplicate entry ID",IF(NOT(ISNUMBER($B1402)),"Missing or invalid: date",IF($C1402="","Missing: type",IF($D1402="","Missing: SKU",IF(NOT(ISNUMBER($E1402)),"Missing: qty",IF($F1402="","Missing: lot",IF($I1402="","Missing: source link",IF(COUNTIF(Config!$A$15:$A$34,$C1402)=0,"Unsupported type",IF(COUNTIF(Products!$A$2:$A$101,$D1402)=0,"Unknown SKU",IF(COUNTIFS(Batches!$A$2:$A$301,$F1402,Batches!$B$2:$B$301,$D1402)=0,"Unknown lot for this SKU",IF(AND($C1402="Adjustment",$G1402=""),"Missing: reason",IF(AND($G1402&lt;&gt;"",COUNTIF(Config!$B$15:$B$34,$G1402)=0),"Unsupported reason",IF(OR(INT($E1402)&lt;&gt;$E1402,AND(OR($C1402="Receipt",$C1402="Shipment"),$E1402&lt;=0),AND($C1402="Adjustment",$E1402=0)),"Invalid qty",IF($B1402&gt;Config!$B$4,"Date after the as-of date",IF($B1402&lt;Config!$B$5,"Date before the opening balance date","OK")))))))))))))))))</f>
        <v/>
      </c>
    </row>
    <row r="1403">
      <c r="A1403" s="46" t="n"/>
      <c r="B1403" s="54" t="n"/>
      <c r="C1403" s="46" t="n"/>
      <c r="D1403" s="46" t="n"/>
      <c r="E1403" s="55" t="n"/>
      <c r="F1403" s="46" t="n"/>
      <c r="G1403" s="46" t="n"/>
      <c r="H1403" s="46" t="n"/>
      <c r="I1403" s="46" t="n"/>
      <c r="J1403" s="46" t="n"/>
      <c r="K1403" s="46" t="n"/>
      <c r="L1403" s="46" t="n"/>
      <c r="M1403" s="51" t="str">
        <f>IF(NOT(ISNUMBER($E1403)),"",IF($C1403="Receipt",$E1403,IF($C1403="Shipment",-$E1403,IF($C1403="Adjustment",$E1403,0))))</f>
        <v/>
      </c>
      <c r="N1403" s="49" t="str">
        <f>IF($D1403="","",IFERROR(INDEX(Products!$B$2:$B$101,MATCH($D1403,Products!$A$2:$A$101,0))&amp;"","(not found)"))</f>
        <v/>
      </c>
      <c r="O1403" s="49" t="str">
        <f>IF($F1403="","",IFERROR(INDEX(Batches!$B$2:$B$301,MATCH($F1403,Batches!$A$2:$A$301,0))&amp;"","(not found)"))</f>
        <v/>
      </c>
      <c r="P1403" s="49" t="str">
        <f>IF(COUNTA($A1403:$L1403)=0,"",IF($A1403="","Missing: entry ID",IF(COUNTIF($A$2:$A$2001,$A1403)&gt;1,"Duplicate entry ID",IF(NOT(ISNUMBER($B1403)),"Missing or invalid: date",IF($C1403="","Missing: type",IF($D1403="","Missing: SKU",IF(NOT(ISNUMBER($E1403)),"Missing: qty",IF($F1403="","Missing: lot",IF($I1403="","Missing: source link",IF(COUNTIF(Config!$A$15:$A$34,$C1403)=0,"Unsupported type",IF(COUNTIF(Products!$A$2:$A$101,$D1403)=0,"Unknown SKU",IF(COUNTIFS(Batches!$A$2:$A$301,$F1403,Batches!$B$2:$B$301,$D1403)=0,"Unknown lot for this SKU",IF(AND($C1403="Adjustment",$G1403=""),"Missing: reason",IF(AND($G1403&lt;&gt;"",COUNTIF(Config!$B$15:$B$34,$G1403)=0),"Unsupported reason",IF(OR(INT($E1403)&lt;&gt;$E1403,AND(OR($C1403="Receipt",$C1403="Shipment"),$E1403&lt;=0),AND($C1403="Adjustment",$E1403=0)),"Invalid qty",IF($B1403&gt;Config!$B$4,"Date after the as-of date",IF($B1403&lt;Config!$B$5,"Date before the opening balance date","OK")))))))))))))))))</f>
        <v/>
      </c>
    </row>
    <row r="1404">
      <c r="A1404" s="46" t="n"/>
      <c r="B1404" s="54" t="n"/>
      <c r="C1404" s="46" t="n"/>
      <c r="D1404" s="46" t="n"/>
      <c r="E1404" s="55" t="n"/>
      <c r="F1404" s="46" t="n"/>
      <c r="G1404" s="46" t="n"/>
      <c r="H1404" s="46" t="n"/>
      <c r="I1404" s="46" t="n"/>
      <c r="J1404" s="46" t="n"/>
      <c r="K1404" s="46" t="n"/>
      <c r="L1404" s="46" t="n"/>
      <c r="M1404" s="51" t="str">
        <f>IF(NOT(ISNUMBER($E1404)),"",IF($C1404="Receipt",$E1404,IF($C1404="Shipment",-$E1404,IF($C1404="Adjustment",$E1404,0))))</f>
        <v/>
      </c>
      <c r="N1404" s="49" t="str">
        <f>IF($D1404="","",IFERROR(INDEX(Products!$B$2:$B$101,MATCH($D1404,Products!$A$2:$A$101,0))&amp;"","(not found)"))</f>
        <v/>
      </c>
      <c r="O1404" s="49" t="str">
        <f>IF($F1404="","",IFERROR(INDEX(Batches!$B$2:$B$301,MATCH($F1404,Batches!$A$2:$A$301,0))&amp;"","(not found)"))</f>
        <v/>
      </c>
      <c r="P1404" s="49" t="str">
        <f>IF(COUNTA($A1404:$L1404)=0,"",IF($A1404="","Missing: entry ID",IF(COUNTIF($A$2:$A$2001,$A1404)&gt;1,"Duplicate entry ID",IF(NOT(ISNUMBER($B1404)),"Missing or invalid: date",IF($C1404="","Missing: type",IF($D1404="","Missing: SKU",IF(NOT(ISNUMBER($E1404)),"Missing: qty",IF($F1404="","Missing: lot",IF($I1404="","Missing: source link",IF(COUNTIF(Config!$A$15:$A$34,$C1404)=0,"Unsupported type",IF(COUNTIF(Products!$A$2:$A$101,$D1404)=0,"Unknown SKU",IF(COUNTIFS(Batches!$A$2:$A$301,$F1404,Batches!$B$2:$B$301,$D1404)=0,"Unknown lot for this SKU",IF(AND($C1404="Adjustment",$G1404=""),"Missing: reason",IF(AND($G1404&lt;&gt;"",COUNTIF(Config!$B$15:$B$34,$G1404)=0),"Unsupported reason",IF(OR(INT($E1404)&lt;&gt;$E1404,AND(OR($C1404="Receipt",$C1404="Shipment"),$E1404&lt;=0),AND($C1404="Adjustment",$E1404=0)),"Invalid qty",IF($B1404&gt;Config!$B$4,"Date after the as-of date",IF($B1404&lt;Config!$B$5,"Date before the opening balance date","OK")))))))))))))))))</f>
        <v/>
      </c>
    </row>
    <row r="1405">
      <c r="A1405" s="46" t="n"/>
      <c r="B1405" s="54" t="n"/>
      <c r="C1405" s="46" t="n"/>
      <c r="D1405" s="46" t="n"/>
      <c r="E1405" s="55" t="n"/>
      <c r="F1405" s="46" t="n"/>
      <c r="G1405" s="46" t="n"/>
      <c r="H1405" s="46" t="n"/>
      <c r="I1405" s="46" t="n"/>
      <c r="J1405" s="46" t="n"/>
      <c r="K1405" s="46" t="n"/>
      <c r="L1405" s="46" t="n"/>
      <c r="M1405" s="51" t="str">
        <f>IF(NOT(ISNUMBER($E1405)),"",IF($C1405="Receipt",$E1405,IF($C1405="Shipment",-$E1405,IF($C1405="Adjustment",$E1405,0))))</f>
        <v/>
      </c>
      <c r="N1405" s="49" t="str">
        <f>IF($D1405="","",IFERROR(INDEX(Products!$B$2:$B$101,MATCH($D1405,Products!$A$2:$A$101,0))&amp;"","(not found)"))</f>
        <v/>
      </c>
      <c r="O1405" s="49" t="str">
        <f>IF($F1405="","",IFERROR(INDEX(Batches!$B$2:$B$301,MATCH($F1405,Batches!$A$2:$A$301,0))&amp;"","(not found)"))</f>
        <v/>
      </c>
      <c r="P1405" s="49" t="str">
        <f>IF(COUNTA($A1405:$L1405)=0,"",IF($A1405="","Missing: entry ID",IF(COUNTIF($A$2:$A$2001,$A1405)&gt;1,"Duplicate entry ID",IF(NOT(ISNUMBER($B1405)),"Missing or invalid: date",IF($C1405="","Missing: type",IF($D1405="","Missing: SKU",IF(NOT(ISNUMBER($E1405)),"Missing: qty",IF($F1405="","Missing: lot",IF($I1405="","Missing: source link",IF(COUNTIF(Config!$A$15:$A$34,$C1405)=0,"Unsupported type",IF(COUNTIF(Products!$A$2:$A$101,$D1405)=0,"Unknown SKU",IF(COUNTIFS(Batches!$A$2:$A$301,$F1405,Batches!$B$2:$B$301,$D1405)=0,"Unknown lot for this SKU",IF(AND($C1405="Adjustment",$G1405=""),"Missing: reason",IF(AND($G1405&lt;&gt;"",COUNTIF(Config!$B$15:$B$34,$G1405)=0),"Unsupported reason",IF(OR(INT($E1405)&lt;&gt;$E1405,AND(OR($C1405="Receipt",$C1405="Shipment"),$E1405&lt;=0),AND($C1405="Adjustment",$E1405=0)),"Invalid qty",IF($B1405&gt;Config!$B$4,"Date after the as-of date",IF($B1405&lt;Config!$B$5,"Date before the opening balance date","OK")))))))))))))))))</f>
        <v/>
      </c>
    </row>
    <row r="1406">
      <c r="A1406" s="46" t="n"/>
      <c r="B1406" s="54" t="n"/>
      <c r="C1406" s="46" t="n"/>
      <c r="D1406" s="46" t="n"/>
      <c r="E1406" s="55" t="n"/>
      <c r="F1406" s="46" t="n"/>
      <c r="G1406" s="46" t="n"/>
      <c r="H1406" s="46" t="n"/>
      <c r="I1406" s="46" t="n"/>
      <c r="J1406" s="46" t="n"/>
      <c r="K1406" s="46" t="n"/>
      <c r="L1406" s="46" t="n"/>
      <c r="M1406" s="51" t="str">
        <f>IF(NOT(ISNUMBER($E1406)),"",IF($C1406="Receipt",$E1406,IF($C1406="Shipment",-$E1406,IF($C1406="Adjustment",$E1406,0))))</f>
        <v/>
      </c>
      <c r="N1406" s="49" t="str">
        <f>IF($D1406="","",IFERROR(INDEX(Products!$B$2:$B$101,MATCH($D1406,Products!$A$2:$A$101,0))&amp;"","(not found)"))</f>
        <v/>
      </c>
      <c r="O1406" s="49" t="str">
        <f>IF($F1406="","",IFERROR(INDEX(Batches!$B$2:$B$301,MATCH($F1406,Batches!$A$2:$A$301,0))&amp;"","(not found)"))</f>
        <v/>
      </c>
      <c r="P1406" s="49" t="str">
        <f>IF(COUNTA($A1406:$L1406)=0,"",IF($A1406="","Missing: entry ID",IF(COUNTIF($A$2:$A$2001,$A1406)&gt;1,"Duplicate entry ID",IF(NOT(ISNUMBER($B1406)),"Missing or invalid: date",IF($C1406="","Missing: type",IF($D1406="","Missing: SKU",IF(NOT(ISNUMBER($E1406)),"Missing: qty",IF($F1406="","Missing: lot",IF($I1406="","Missing: source link",IF(COUNTIF(Config!$A$15:$A$34,$C1406)=0,"Unsupported type",IF(COUNTIF(Products!$A$2:$A$101,$D1406)=0,"Unknown SKU",IF(COUNTIFS(Batches!$A$2:$A$301,$F1406,Batches!$B$2:$B$301,$D1406)=0,"Unknown lot for this SKU",IF(AND($C1406="Adjustment",$G1406=""),"Missing: reason",IF(AND($G1406&lt;&gt;"",COUNTIF(Config!$B$15:$B$34,$G1406)=0),"Unsupported reason",IF(OR(INT($E1406)&lt;&gt;$E1406,AND(OR($C1406="Receipt",$C1406="Shipment"),$E1406&lt;=0),AND($C1406="Adjustment",$E1406=0)),"Invalid qty",IF($B1406&gt;Config!$B$4,"Date after the as-of date",IF($B1406&lt;Config!$B$5,"Date before the opening balance date","OK")))))))))))))))))</f>
        <v/>
      </c>
    </row>
    <row r="1407">
      <c r="A1407" s="46" t="n"/>
      <c r="B1407" s="54" t="n"/>
      <c r="C1407" s="46" t="n"/>
      <c r="D1407" s="46" t="n"/>
      <c r="E1407" s="55" t="n"/>
      <c r="F1407" s="46" t="n"/>
      <c r="G1407" s="46" t="n"/>
      <c r="H1407" s="46" t="n"/>
      <c r="I1407" s="46" t="n"/>
      <c r="J1407" s="46" t="n"/>
      <c r="K1407" s="46" t="n"/>
      <c r="L1407" s="46" t="n"/>
      <c r="M1407" s="51" t="str">
        <f>IF(NOT(ISNUMBER($E1407)),"",IF($C1407="Receipt",$E1407,IF($C1407="Shipment",-$E1407,IF($C1407="Adjustment",$E1407,0))))</f>
        <v/>
      </c>
      <c r="N1407" s="49" t="str">
        <f>IF($D1407="","",IFERROR(INDEX(Products!$B$2:$B$101,MATCH($D1407,Products!$A$2:$A$101,0))&amp;"","(not found)"))</f>
        <v/>
      </c>
      <c r="O1407" s="49" t="str">
        <f>IF($F1407="","",IFERROR(INDEX(Batches!$B$2:$B$301,MATCH($F1407,Batches!$A$2:$A$301,0))&amp;"","(not found)"))</f>
        <v/>
      </c>
      <c r="P1407" s="49" t="str">
        <f>IF(COUNTA($A1407:$L1407)=0,"",IF($A1407="","Missing: entry ID",IF(COUNTIF($A$2:$A$2001,$A1407)&gt;1,"Duplicate entry ID",IF(NOT(ISNUMBER($B1407)),"Missing or invalid: date",IF($C1407="","Missing: type",IF($D1407="","Missing: SKU",IF(NOT(ISNUMBER($E1407)),"Missing: qty",IF($F1407="","Missing: lot",IF($I1407="","Missing: source link",IF(COUNTIF(Config!$A$15:$A$34,$C1407)=0,"Unsupported type",IF(COUNTIF(Products!$A$2:$A$101,$D1407)=0,"Unknown SKU",IF(COUNTIFS(Batches!$A$2:$A$301,$F1407,Batches!$B$2:$B$301,$D1407)=0,"Unknown lot for this SKU",IF(AND($C1407="Adjustment",$G1407=""),"Missing: reason",IF(AND($G1407&lt;&gt;"",COUNTIF(Config!$B$15:$B$34,$G1407)=0),"Unsupported reason",IF(OR(INT($E1407)&lt;&gt;$E1407,AND(OR($C1407="Receipt",$C1407="Shipment"),$E1407&lt;=0),AND($C1407="Adjustment",$E1407=0)),"Invalid qty",IF($B1407&gt;Config!$B$4,"Date after the as-of date",IF($B1407&lt;Config!$B$5,"Date before the opening balance date","OK")))))))))))))))))</f>
        <v/>
      </c>
    </row>
    <row r="1408">
      <c r="A1408" s="46" t="n"/>
      <c r="B1408" s="54" t="n"/>
      <c r="C1408" s="46" t="n"/>
      <c r="D1408" s="46" t="n"/>
      <c r="E1408" s="55" t="n"/>
      <c r="F1408" s="46" t="n"/>
      <c r="G1408" s="46" t="n"/>
      <c r="H1408" s="46" t="n"/>
      <c r="I1408" s="46" t="n"/>
      <c r="J1408" s="46" t="n"/>
      <c r="K1408" s="46" t="n"/>
      <c r="L1408" s="46" t="n"/>
      <c r="M1408" s="51" t="str">
        <f>IF(NOT(ISNUMBER($E1408)),"",IF($C1408="Receipt",$E1408,IF($C1408="Shipment",-$E1408,IF($C1408="Adjustment",$E1408,0))))</f>
        <v/>
      </c>
      <c r="N1408" s="49" t="str">
        <f>IF($D1408="","",IFERROR(INDEX(Products!$B$2:$B$101,MATCH($D1408,Products!$A$2:$A$101,0))&amp;"","(not found)"))</f>
        <v/>
      </c>
      <c r="O1408" s="49" t="str">
        <f>IF($F1408="","",IFERROR(INDEX(Batches!$B$2:$B$301,MATCH($F1408,Batches!$A$2:$A$301,0))&amp;"","(not found)"))</f>
        <v/>
      </c>
      <c r="P1408" s="49" t="str">
        <f>IF(COUNTA($A1408:$L1408)=0,"",IF($A1408="","Missing: entry ID",IF(COUNTIF($A$2:$A$2001,$A1408)&gt;1,"Duplicate entry ID",IF(NOT(ISNUMBER($B1408)),"Missing or invalid: date",IF($C1408="","Missing: type",IF($D1408="","Missing: SKU",IF(NOT(ISNUMBER($E1408)),"Missing: qty",IF($F1408="","Missing: lot",IF($I1408="","Missing: source link",IF(COUNTIF(Config!$A$15:$A$34,$C1408)=0,"Unsupported type",IF(COUNTIF(Products!$A$2:$A$101,$D1408)=0,"Unknown SKU",IF(COUNTIFS(Batches!$A$2:$A$301,$F1408,Batches!$B$2:$B$301,$D1408)=0,"Unknown lot for this SKU",IF(AND($C1408="Adjustment",$G1408=""),"Missing: reason",IF(AND($G1408&lt;&gt;"",COUNTIF(Config!$B$15:$B$34,$G1408)=0),"Unsupported reason",IF(OR(INT($E1408)&lt;&gt;$E1408,AND(OR($C1408="Receipt",$C1408="Shipment"),$E1408&lt;=0),AND($C1408="Adjustment",$E1408=0)),"Invalid qty",IF($B1408&gt;Config!$B$4,"Date after the as-of date",IF($B1408&lt;Config!$B$5,"Date before the opening balance date","OK")))))))))))))))))</f>
        <v/>
      </c>
    </row>
    <row r="1409">
      <c r="A1409" s="46" t="n"/>
      <c r="B1409" s="54" t="n"/>
      <c r="C1409" s="46" t="n"/>
      <c r="D1409" s="46" t="n"/>
      <c r="E1409" s="55" t="n"/>
      <c r="F1409" s="46" t="n"/>
      <c r="G1409" s="46" t="n"/>
      <c r="H1409" s="46" t="n"/>
      <c r="I1409" s="46" t="n"/>
      <c r="J1409" s="46" t="n"/>
      <c r="K1409" s="46" t="n"/>
      <c r="L1409" s="46" t="n"/>
      <c r="M1409" s="51" t="str">
        <f>IF(NOT(ISNUMBER($E1409)),"",IF($C1409="Receipt",$E1409,IF($C1409="Shipment",-$E1409,IF($C1409="Adjustment",$E1409,0))))</f>
        <v/>
      </c>
      <c r="N1409" s="49" t="str">
        <f>IF($D1409="","",IFERROR(INDEX(Products!$B$2:$B$101,MATCH($D1409,Products!$A$2:$A$101,0))&amp;"","(not found)"))</f>
        <v/>
      </c>
      <c r="O1409" s="49" t="str">
        <f>IF($F1409="","",IFERROR(INDEX(Batches!$B$2:$B$301,MATCH($F1409,Batches!$A$2:$A$301,0))&amp;"","(not found)"))</f>
        <v/>
      </c>
      <c r="P1409" s="49" t="str">
        <f>IF(COUNTA($A1409:$L1409)=0,"",IF($A1409="","Missing: entry ID",IF(COUNTIF($A$2:$A$2001,$A1409)&gt;1,"Duplicate entry ID",IF(NOT(ISNUMBER($B1409)),"Missing or invalid: date",IF($C1409="","Missing: type",IF($D1409="","Missing: SKU",IF(NOT(ISNUMBER($E1409)),"Missing: qty",IF($F1409="","Missing: lot",IF($I1409="","Missing: source link",IF(COUNTIF(Config!$A$15:$A$34,$C1409)=0,"Unsupported type",IF(COUNTIF(Products!$A$2:$A$101,$D1409)=0,"Unknown SKU",IF(COUNTIFS(Batches!$A$2:$A$301,$F1409,Batches!$B$2:$B$301,$D1409)=0,"Unknown lot for this SKU",IF(AND($C1409="Adjustment",$G1409=""),"Missing: reason",IF(AND($G1409&lt;&gt;"",COUNTIF(Config!$B$15:$B$34,$G1409)=0),"Unsupported reason",IF(OR(INT($E1409)&lt;&gt;$E1409,AND(OR($C1409="Receipt",$C1409="Shipment"),$E1409&lt;=0),AND($C1409="Adjustment",$E1409=0)),"Invalid qty",IF($B1409&gt;Config!$B$4,"Date after the as-of date",IF($B1409&lt;Config!$B$5,"Date before the opening balance date","OK")))))))))))))))))</f>
        <v/>
      </c>
    </row>
    <row r="1410">
      <c r="A1410" s="46" t="n"/>
      <c r="B1410" s="54" t="n"/>
      <c r="C1410" s="46" t="n"/>
      <c r="D1410" s="46" t="n"/>
      <c r="E1410" s="55" t="n"/>
      <c r="F1410" s="46" t="n"/>
      <c r="G1410" s="46" t="n"/>
      <c r="H1410" s="46" t="n"/>
      <c r="I1410" s="46" t="n"/>
      <c r="J1410" s="46" t="n"/>
      <c r="K1410" s="46" t="n"/>
      <c r="L1410" s="46" t="n"/>
      <c r="M1410" s="51" t="str">
        <f>IF(NOT(ISNUMBER($E1410)),"",IF($C1410="Receipt",$E1410,IF($C1410="Shipment",-$E1410,IF($C1410="Adjustment",$E1410,0))))</f>
        <v/>
      </c>
      <c r="N1410" s="49" t="str">
        <f>IF($D1410="","",IFERROR(INDEX(Products!$B$2:$B$101,MATCH($D1410,Products!$A$2:$A$101,0))&amp;"","(not found)"))</f>
        <v/>
      </c>
      <c r="O1410" s="49" t="str">
        <f>IF($F1410="","",IFERROR(INDEX(Batches!$B$2:$B$301,MATCH($F1410,Batches!$A$2:$A$301,0))&amp;"","(not found)"))</f>
        <v/>
      </c>
      <c r="P1410" s="49" t="str">
        <f>IF(COUNTA($A1410:$L1410)=0,"",IF($A1410="","Missing: entry ID",IF(COUNTIF($A$2:$A$2001,$A1410)&gt;1,"Duplicate entry ID",IF(NOT(ISNUMBER($B1410)),"Missing or invalid: date",IF($C1410="","Missing: type",IF($D1410="","Missing: SKU",IF(NOT(ISNUMBER($E1410)),"Missing: qty",IF($F1410="","Missing: lot",IF($I1410="","Missing: source link",IF(COUNTIF(Config!$A$15:$A$34,$C1410)=0,"Unsupported type",IF(COUNTIF(Products!$A$2:$A$101,$D1410)=0,"Unknown SKU",IF(COUNTIFS(Batches!$A$2:$A$301,$F1410,Batches!$B$2:$B$301,$D1410)=0,"Unknown lot for this SKU",IF(AND($C1410="Adjustment",$G1410=""),"Missing: reason",IF(AND($G1410&lt;&gt;"",COUNTIF(Config!$B$15:$B$34,$G1410)=0),"Unsupported reason",IF(OR(INT($E1410)&lt;&gt;$E1410,AND(OR($C1410="Receipt",$C1410="Shipment"),$E1410&lt;=0),AND($C1410="Adjustment",$E1410=0)),"Invalid qty",IF($B1410&gt;Config!$B$4,"Date after the as-of date",IF($B1410&lt;Config!$B$5,"Date before the opening balance date","OK")))))))))))))))))</f>
        <v/>
      </c>
    </row>
    <row r="1411">
      <c r="A1411" s="46" t="n"/>
      <c r="B1411" s="54" t="n"/>
      <c r="C1411" s="46" t="n"/>
      <c r="D1411" s="46" t="n"/>
      <c r="E1411" s="55" t="n"/>
      <c r="F1411" s="46" t="n"/>
      <c r="G1411" s="46" t="n"/>
      <c r="H1411" s="46" t="n"/>
      <c r="I1411" s="46" t="n"/>
      <c r="J1411" s="46" t="n"/>
      <c r="K1411" s="46" t="n"/>
      <c r="L1411" s="46" t="n"/>
      <c r="M1411" s="51" t="str">
        <f>IF(NOT(ISNUMBER($E1411)),"",IF($C1411="Receipt",$E1411,IF($C1411="Shipment",-$E1411,IF($C1411="Adjustment",$E1411,0))))</f>
        <v/>
      </c>
      <c r="N1411" s="49" t="str">
        <f>IF($D1411="","",IFERROR(INDEX(Products!$B$2:$B$101,MATCH($D1411,Products!$A$2:$A$101,0))&amp;"","(not found)"))</f>
        <v/>
      </c>
      <c r="O1411" s="49" t="str">
        <f>IF($F1411="","",IFERROR(INDEX(Batches!$B$2:$B$301,MATCH($F1411,Batches!$A$2:$A$301,0))&amp;"","(not found)"))</f>
        <v/>
      </c>
      <c r="P1411" s="49" t="str">
        <f>IF(COUNTA($A1411:$L1411)=0,"",IF($A1411="","Missing: entry ID",IF(COUNTIF($A$2:$A$2001,$A1411)&gt;1,"Duplicate entry ID",IF(NOT(ISNUMBER($B1411)),"Missing or invalid: date",IF($C1411="","Missing: type",IF($D1411="","Missing: SKU",IF(NOT(ISNUMBER($E1411)),"Missing: qty",IF($F1411="","Missing: lot",IF($I1411="","Missing: source link",IF(COUNTIF(Config!$A$15:$A$34,$C1411)=0,"Unsupported type",IF(COUNTIF(Products!$A$2:$A$101,$D1411)=0,"Unknown SKU",IF(COUNTIFS(Batches!$A$2:$A$301,$F1411,Batches!$B$2:$B$301,$D1411)=0,"Unknown lot for this SKU",IF(AND($C1411="Adjustment",$G1411=""),"Missing: reason",IF(AND($G1411&lt;&gt;"",COUNTIF(Config!$B$15:$B$34,$G1411)=0),"Unsupported reason",IF(OR(INT($E1411)&lt;&gt;$E1411,AND(OR($C1411="Receipt",$C1411="Shipment"),$E1411&lt;=0),AND($C1411="Adjustment",$E1411=0)),"Invalid qty",IF($B1411&gt;Config!$B$4,"Date after the as-of date",IF($B1411&lt;Config!$B$5,"Date before the opening balance date","OK")))))))))))))))))</f>
        <v/>
      </c>
    </row>
    <row r="1412">
      <c r="A1412" s="46" t="n"/>
      <c r="B1412" s="54" t="n"/>
      <c r="C1412" s="46" t="n"/>
      <c r="D1412" s="46" t="n"/>
      <c r="E1412" s="55" t="n"/>
      <c r="F1412" s="46" t="n"/>
      <c r="G1412" s="46" t="n"/>
      <c r="H1412" s="46" t="n"/>
      <c r="I1412" s="46" t="n"/>
      <c r="J1412" s="46" t="n"/>
      <c r="K1412" s="46" t="n"/>
      <c r="L1412" s="46" t="n"/>
      <c r="M1412" s="51" t="str">
        <f>IF(NOT(ISNUMBER($E1412)),"",IF($C1412="Receipt",$E1412,IF($C1412="Shipment",-$E1412,IF($C1412="Adjustment",$E1412,0))))</f>
        <v/>
      </c>
      <c r="N1412" s="49" t="str">
        <f>IF($D1412="","",IFERROR(INDEX(Products!$B$2:$B$101,MATCH($D1412,Products!$A$2:$A$101,0))&amp;"","(not found)"))</f>
        <v/>
      </c>
      <c r="O1412" s="49" t="str">
        <f>IF($F1412="","",IFERROR(INDEX(Batches!$B$2:$B$301,MATCH($F1412,Batches!$A$2:$A$301,0))&amp;"","(not found)"))</f>
        <v/>
      </c>
      <c r="P1412" s="49" t="str">
        <f>IF(COUNTA($A1412:$L1412)=0,"",IF($A1412="","Missing: entry ID",IF(COUNTIF($A$2:$A$2001,$A1412)&gt;1,"Duplicate entry ID",IF(NOT(ISNUMBER($B1412)),"Missing or invalid: date",IF($C1412="","Missing: type",IF($D1412="","Missing: SKU",IF(NOT(ISNUMBER($E1412)),"Missing: qty",IF($F1412="","Missing: lot",IF($I1412="","Missing: source link",IF(COUNTIF(Config!$A$15:$A$34,$C1412)=0,"Unsupported type",IF(COUNTIF(Products!$A$2:$A$101,$D1412)=0,"Unknown SKU",IF(COUNTIFS(Batches!$A$2:$A$301,$F1412,Batches!$B$2:$B$301,$D1412)=0,"Unknown lot for this SKU",IF(AND($C1412="Adjustment",$G1412=""),"Missing: reason",IF(AND($G1412&lt;&gt;"",COUNTIF(Config!$B$15:$B$34,$G1412)=0),"Unsupported reason",IF(OR(INT($E1412)&lt;&gt;$E1412,AND(OR($C1412="Receipt",$C1412="Shipment"),$E1412&lt;=0),AND($C1412="Adjustment",$E1412=0)),"Invalid qty",IF($B1412&gt;Config!$B$4,"Date after the as-of date",IF($B1412&lt;Config!$B$5,"Date before the opening balance date","OK")))))))))))))))))</f>
        <v/>
      </c>
    </row>
    <row r="1413">
      <c r="A1413" s="46" t="n"/>
      <c r="B1413" s="54" t="n"/>
      <c r="C1413" s="46" t="n"/>
      <c r="D1413" s="46" t="n"/>
      <c r="E1413" s="55" t="n"/>
      <c r="F1413" s="46" t="n"/>
      <c r="G1413" s="46" t="n"/>
      <c r="H1413" s="46" t="n"/>
      <c r="I1413" s="46" t="n"/>
      <c r="J1413" s="46" t="n"/>
      <c r="K1413" s="46" t="n"/>
      <c r="L1413" s="46" t="n"/>
      <c r="M1413" s="51" t="str">
        <f>IF(NOT(ISNUMBER($E1413)),"",IF($C1413="Receipt",$E1413,IF($C1413="Shipment",-$E1413,IF($C1413="Adjustment",$E1413,0))))</f>
        <v/>
      </c>
      <c r="N1413" s="49" t="str">
        <f>IF($D1413="","",IFERROR(INDEX(Products!$B$2:$B$101,MATCH($D1413,Products!$A$2:$A$101,0))&amp;"","(not found)"))</f>
        <v/>
      </c>
      <c r="O1413" s="49" t="str">
        <f>IF($F1413="","",IFERROR(INDEX(Batches!$B$2:$B$301,MATCH($F1413,Batches!$A$2:$A$301,0))&amp;"","(not found)"))</f>
        <v/>
      </c>
      <c r="P1413" s="49" t="str">
        <f>IF(COUNTA($A1413:$L1413)=0,"",IF($A1413="","Missing: entry ID",IF(COUNTIF($A$2:$A$2001,$A1413)&gt;1,"Duplicate entry ID",IF(NOT(ISNUMBER($B1413)),"Missing or invalid: date",IF($C1413="","Missing: type",IF($D1413="","Missing: SKU",IF(NOT(ISNUMBER($E1413)),"Missing: qty",IF($F1413="","Missing: lot",IF($I1413="","Missing: source link",IF(COUNTIF(Config!$A$15:$A$34,$C1413)=0,"Unsupported type",IF(COUNTIF(Products!$A$2:$A$101,$D1413)=0,"Unknown SKU",IF(COUNTIFS(Batches!$A$2:$A$301,$F1413,Batches!$B$2:$B$301,$D1413)=0,"Unknown lot for this SKU",IF(AND($C1413="Adjustment",$G1413=""),"Missing: reason",IF(AND($G1413&lt;&gt;"",COUNTIF(Config!$B$15:$B$34,$G1413)=0),"Unsupported reason",IF(OR(INT($E1413)&lt;&gt;$E1413,AND(OR($C1413="Receipt",$C1413="Shipment"),$E1413&lt;=0),AND($C1413="Adjustment",$E1413=0)),"Invalid qty",IF($B1413&gt;Config!$B$4,"Date after the as-of date",IF($B1413&lt;Config!$B$5,"Date before the opening balance date","OK")))))))))))))))))</f>
        <v/>
      </c>
    </row>
    <row r="1414">
      <c r="A1414" s="46" t="n"/>
      <c r="B1414" s="54" t="n"/>
      <c r="C1414" s="46" t="n"/>
      <c r="D1414" s="46" t="n"/>
      <c r="E1414" s="55" t="n"/>
      <c r="F1414" s="46" t="n"/>
      <c r="G1414" s="46" t="n"/>
      <c r="H1414" s="46" t="n"/>
      <c r="I1414" s="46" t="n"/>
      <c r="J1414" s="46" t="n"/>
      <c r="K1414" s="46" t="n"/>
      <c r="L1414" s="46" t="n"/>
      <c r="M1414" s="51" t="str">
        <f>IF(NOT(ISNUMBER($E1414)),"",IF($C1414="Receipt",$E1414,IF($C1414="Shipment",-$E1414,IF($C1414="Adjustment",$E1414,0))))</f>
        <v/>
      </c>
      <c r="N1414" s="49" t="str">
        <f>IF($D1414="","",IFERROR(INDEX(Products!$B$2:$B$101,MATCH($D1414,Products!$A$2:$A$101,0))&amp;"","(not found)"))</f>
        <v/>
      </c>
      <c r="O1414" s="49" t="str">
        <f>IF($F1414="","",IFERROR(INDEX(Batches!$B$2:$B$301,MATCH($F1414,Batches!$A$2:$A$301,0))&amp;"","(not found)"))</f>
        <v/>
      </c>
      <c r="P1414" s="49" t="str">
        <f>IF(COUNTA($A1414:$L1414)=0,"",IF($A1414="","Missing: entry ID",IF(COUNTIF($A$2:$A$2001,$A1414)&gt;1,"Duplicate entry ID",IF(NOT(ISNUMBER($B1414)),"Missing or invalid: date",IF($C1414="","Missing: type",IF($D1414="","Missing: SKU",IF(NOT(ISNUMBER($E1414)),"Missing: qty",IF($F1414="","Missing: lot",IF($I1414="","Missing: source link",IF(COUNTIF(Config!$A$15:$A$34,$C1414)=0,"Unsupported type",IF(COUNTIF(Products!$A$2:$A$101,$D1414)=0,"Unknown SKU",IF(COUNTIFS(Batches!$A$2:$A$301,$F1414,Batches!$B$2:$B$301,$D1414)=0,"Unknown lot for this SKU",IF(AND($C1414="Adjustment",$G1414=""),"Missing: reason",IF(AND($G1414&lt;&gt;"",COUNTIF(Config!$B$15:$B$34,$G1414)=0),"Unsupported reason",IF(OR(INT($E1414)&lt;&gt;$E1414,AND(OR($C1414="Receipt",$C1414="Shipment"),$E1414&lt;=0),AND($C1414="Adjustment",$E1414=0)),"Invalid qty",IF($B1414&gt;Config!$B$4,"Date after the as-of date",IF($B1414&lt;Config!$B$5,"Date before the opening balance date","OK")))))))))))))))))</f>
        <v/>
      </c>
    </row>
    <row r="1415">
      <c r="A1415" s="46" t="n"/>
      <c r="B1415" s="54" t="n"/>
      <c r="C1415" s="46" t="n"/>
      <c r="D1415" s="46" t="n"/>
      <c r="E1415" s="55" t="n"/>
      <c r="F1415" s="46" t="n"/>
      <c r="G1415" s="46" t="n"/>
      <c r="H1415" s="46" t="n"/>
      <c r="I1415" s="46" t="n"/>
      <c r="J1415" s="46" t="n"/>
      <c r="K1415" s="46" t="n"/>
      <c r="L1415" s="46" t="n"/>
      <c r="M1415" s="51" t="str">
        <f>IF(NOT(ISNUMBER($E1415)),"",IF($C1415="Receipt",$E1415,IF($C1415="Shipment",-$E1415,IF($C1415="Adjustment",$E1415,0))))</f>
        <v/>
      </c>
      <c r="N1415" s="49" t="str">
        <f>IF($D1415="","",IFERROR(INDEX(Products!$B$2:$B$101,MATCH($D1415,Products!$A$2:$A$101,0))&amp;"","(not found)"))</f>
        <v/>
      </c>
      <c r="O1415" s="49" t="str">
        <f>IF($F1415="","",IFERROR(INDEX(Batches!$B$2:$B$301,MATCH($F1415,Batches!$A$2:$A$301,0))&amp;"","(not found)"))</f>
        <v/>
      </c>
      <c r="P1415" s="49" t="str">
        <f>IF(COUNTA($A1415:$L1415)=0,"",IF($A1415="","Missing: entry ID",IF(COUNTIF($A$2:$A$2001,$A1415)&gt;1,"Duplicate entry ID",IF(NOT(ISNUMBER($B1415)),"Missing or invalid: date",IF($C1415="","Missing: type",IF($D1415="","Missing: SKU",IF(NOT(ISNUMBER($E1415)),"Missing: qty",IF($F1415="","Missing: lot",IF($I1415="","Missing: source link",IF(COUNTIF(Config!$A$15:$A$34,$C1415)=0,"Unsupported type",IF(COUNTIF(Products!$A$2:$A$101,$D1415)=0,"Unknown SKU",IF(COUNTIFS(Batches!$A$2:$A$301,$F1415,Batches!$B$2:$B$301,$D1415)=0,"Unknown lot for this SKU",IF(AND($C1415="Adjustment",$G1415=""),"Missing: reason",IF(AND($G1415&lt;&gt;"",COUNTIF(Config!$B$15:$B$34,$G1415)=0),"Unsupported reason",IF(OR(INT($E1415)&lt;&gt;$E1415,AND(OR($C1415="Receipt",$C1415="Shipment"),$E1415&lt;=0),AND($C1415="Adjustment",$E1415=0)),"Invalid qty",IF($B1415&gt;Config!$B$4,"Date after the as-of date",IF($B1415&lt;Config!$B$5,"Date before the opening balance date","OK")))))))))))))))))</f>
        <v/>
      </c>
    </row>
    <row r="1416">
      <c r="A1416" s="46" t="n"/>
      <c r="B1416" s="54" t="n"/>
      <c r="C1416" s="46" t="n"/>
      <c r="D1416" s="46" t="n"/>
      <c r="E1416" s="55" t="n"/>
      <c r="F1416" s="46" t="n"/>
      <c r="G1416" s="46" t="n"/>
      <c r="H1416" s="46" t="n"/>
      <c r="I1416" s="46" t="n"/>
      <c r="J1416" s="46" t="n"/>
      <c r="K1416" s="46" t="n"/>
      <c r="L1416" s="46" t="n"/>
      <c r="M1416" s="51" t="str">
        <f>IF(NOT(ISNUMBER($E1416)),"",IF($C1416="Receipt",$E1416,IF($C1416="Shipment",-$E1416,IF($C1416="Adjustment",$E1416,0))))</f>
        <v/>
      </c>
      <c r="N1416" s="49" t="str">
        <f>IF($D1416="","",IFERROR(INDEX(Products!$B$2:$B$101,MATCH($D1416,Products!$A$2:$A$101,0))&amp;"","(not found)"))</f>
        <v/>
      </c>
      <c r="O1416" s="49" t="str">
        <f>IF($F1416="","",IFERROR(INDEX(Batches!$B$2:$B$301,MATCH($F1416,Batches!$A$2:$A$301,0))&amp;"","(not found)"))</f>
        <v/>
      </c>
      <c r="P1416" s="49" t="str">
        <f>IF(COUNTA($A1416:$L1416)=0,"",IF($A1416="","Missing: entry ID",IF(COUNTIF($A$2:$A$2001,$A1416)&gt;1,"Duplicate entry ID",IF(NOT(ISNUMBER($B1416)),"Missing or invalid: date",IF($C1416="","Missing: type",IF($D1416="","Missing: SKU",IF(NOT(ISNUMBER($E1416)),"Missing: qty",IF($F1416="","Missing: lot",IF($I1416="","Missing: source link",IF(COUNTIF(Config!$A$15:$A$34,$C1416)=0,"Unsupported type",IF(COUNTIF(Products!$A$2:$A$101,$D1416)=0,"Unknown SKU",IF(COUNTIFS(Batches!$A$2:$A$301,$F1416,Batches!$B$2:$B$301,$D1416)=0,"Unknown lot for this SKU",IF(AND($C1416="Adjustment",$G1416=""),"Missing: reason",IF(AND($G1416&lt;&gt;"",COUNTIF(Config!$B$15:$B$34,$G1416)=0),"Unsupported reason",IF(OR(INT($E1416)&lt;&gt;$E1416,AND(OR($C1416="Receipt",$C1416="Shipment"),$E1416&lt;=0),AND($C1416="Adjustment",$E1416=0)),"Invalid qty",IF($B1416&gt;Config!$B$4,"Date after the as-of date",IF($B1416&lt;Config!$B$5,"Date before the opening balance date","OK")))))))))))))))))</f>
        <v/>
      </c>
    </row>
    <row r="1417">
      <c r="A1417" s="46" t="n"/>
      <c r="B1417" s="54" t="n"/>
      <c r="C1417" s="46" t="n"/>
      <c r="D1417" s="46" t="n"/>
      <c r="E1417" s="55" t="n"/>
      <c r="F1417" s="46" t="n"/>
      <c r="G1417" s="46" t="n"/>
      <c r="H1417" s="46" t="n"/>
      <c r="I1417" s="46" t="n"/>
      <c r="J1417" s="46" t="n"/>
      <c r="K1417" s="46" t="n"/>
      <c r="L1417" s="46" t="n"/>
      <c r="M1417" s="51" t="str">
        <f>IF(NOT(ISNUMBER($E1417)),"",IF($C1417="Receipt",$E1417,IF($C1417="Shipment",-$E1417,IF($C1417="Adjustment",$E1417,0))))</f>
        <v/>
      </c>
      <c r="N1417" s="49" t="str">
        <f>IF($D1417="","",IFERROR(INDEX(Products!$B$2:$B$101,MATCH($D1417,Products!$A$2:$A$101,0))&amp;"","(not found)"))</f>
        <v/>
      </c>
      <c r="O1417" s="49" t="str">
        <f>IF($F1417="","",IFERROR(INDEX(Batches!$B$2:$B$301,MATCH($F1417,Batches!$A$2:$A$301,0))&amp;"","(not found)"))</f>
        <v/>
      </c>
      <c r="P1417" s="49" t="str">
        <f>IF(COUNTA($A1417:$L1417)=0,"",IF($A1417="","Missing: entry ID",IF(COUNTIF($A$2:$A$2001,$A1417)&gt;1,"Duplicate entry ID",IF(NOT(ISNUMBER($B1417)),"Missing or invalid: date",IF($C1417="","Missing: type",IF($D1417="","Missing: SKU",IF(NOT(ISNUMBER($E1417)),"Missing: qty",IF($F1417="","Missing: lot",IF($I1417="","Missing: source link",IF(COUNTIF(Config!$A$15:$A$34,$C1417)=0,"Unsupported type",IF(COUNTIF(Products!$A$2:$A$101,$D1417)=0,"Unknown SKU",IF(COUNTIFS(Batches!$A$2:$A$301,$F1417,Batches!$B$2:$B$301,$D1417)=0,"Unknown lot for this SKU",IF(AND($C1417="Adjustment",$G1417=""),"Missing: reason",IF(AND($G1417&lt;&gt;"",COUNTIF(Config!$B$15:$B$34,$G1417)=0),"Unsupported reason",IF(OR(INT($E1417)&lt;&gt;$E1417,AND(OR($C1417="Receipt",$C1417="Shipment"),$E1417&lt;=0),AND($C1417="Adjustment",$E1417=0)),"Invalid qty",IF($B1417&gt;Config!$B$4,"Date after the as-of date",IF($B1417&lt;Config!$B$5,"Date before the opening balance date","OK")))))))))))))))))</f>
        <v/>
      </c>
    </row>
    <row r="1418">
      <c r="A1418" s="46" t="n"/>
      <c r="B1418" s="54" t="n"/>
      <c r="C1418" s="46" t="n"/>
      <c r="D1418" s="46" t="n"/>
      <c r="E1418" s="55" t="n"/>
      <c r="F1418" s="46" t="n"/>
      <c r="G1418" s="46" t="n"/>
      <c r="H1418" s="46" t="n"/>
      <c r="I1418" s="46" t="n"/>
      <c r="J1418" s="46" t="n"/>
      <c r="K1418" s="46" t="n"/>
      <c r="L1418" s="46" t="n"/>
      <c r="M1418" s="51" t="str">
        <f>IF(NOT(ISNUMBER($E1418)),"",IF($C1418="Receipt",$E1418,IF($C1418="Shipment",-$E1418,IF($C1418="Adjustment",$E1418,0))))</f>
        <v/>
      </c>
      <c r="N1418" s="49" t="str">
        <f>IF($D1418="","",IFERROR(INDEX(Products!$B$2:$B$101,MATCH($D1418,Products!$A$2:$A$101,0))&amp;"","(not found)"))</f>
        <v/>
      </c>
      <c r="O1418" s="49" t="str">
        <f>IF($F1418="","",IFERROR(INDEX(Batches!$B$2:$B$301,MATCH($F1418,Batches!$A$2:$A$301,0))&amp;"","(not found)"))</f>
        <v/>
      </c>
      <c r="P1418" s="49" t="str">
        <f>IF(COUNTA($A1418:$L1418)=0,"",IF($A1418="","Missing: entry ID",IF(COUNTIF($A$2:$A$2001,$A1418)&gt;1,"Duplicate entry ID",IF(NOT(ISNUMBER($B1418)),"Missing or invalid: date",IF($C1418="","Missing: type",IF($D1418="","Missing: SKU",IF(NOT(ISNUMBER($E1418)),"Missing: qty",IF($F1418="","Missing: lot",IF($I1418="","Missing: source link",IF(COUNTIF(Config!$A$15:$A$34,$C1418)=0,"Unsupported type",IF(COUNTIF(Products!$A$2:$A$101,$D1418)=0,"Unknown SKU",IF(COUNTIFS(Batches!$A$2:$A$301,$F1418,Batches!$B$2:$B$301,$D1418)=0,"Unknown lot for this SKU",IF(AND($C1418="Adjustment",$G1418=""),"Missing: reason",IF(AND($G1418&lt;&gt;"",COUNTIF(Config!$B$15:$B$34,$G1418)=0),"Unsupported reason",IF(OR(INT($E1418)&lt;&gt;$E1418,AND(OR($C1418="Receipt",$C1418="Shipment"),$E1418&lt;=0),AND($C1418="Adjustment",$E1418=0)),"Invalid qty",IF($B1418&gt;Config!$B$4,"Date after the as-of date",IF($B1418&lt;Config!$B$5,"Date before the opening balance date","OK")))))))))))))))))</f>
        <v/>
      </c>
    </row>
    <row r="1419">
      <c r="A1419" s="46" t="n"/>
      <c r="B1419" s="54" t="n"/>
      <c r="C1419" s="46" t="n"/>
      <c r="D1419" s="46" t="n"/>
      <c r="E1419" s="55" t="n"/>
      <c r="F1419" s="46" t="n"/>
      <c r="G1419" s="46" t="n"/>
      <c r="H1419" s="46" t="n"/>
      <c r="I1419" s="46" t="n"/>
      <c r="J1419" s="46" t="n"/>
      <c r="K1419" s="46" t="n"/>
      <c r="L1419" s="46" t="n"/>
      <c r="M1419" s="51" t="str">
        <f>IF(NOT(ISNUMBER($E1419)),"",IF($C1419="Receipt",$E1419,IF($C1419="Shipment",-$E1419,IF($C1419="Adjustment",$E1419,0))))</f>
        <v/>
      </c>
      <c r="N1419" s="49" t="str">
        <f>IF($D1419="","",IFERROR(INDEX(Products!$B$2:$B$101,MATCH($D1419,Products!$A$2:$A$101,0))&amp;"","(not found)"))</f>
        <v/>
      </c>
      <c r="O1419" s="49" t="str">
        <f>IF($F1419="","",IFERROR(INDEX(Batches!$B$2:$B$301,MATCH($F1419,Batches!$A$2:$A$301,0))&amp;"","(not found)"))</f>
        <v/>
      </c>
      <c r="P1419" s="49" t="str">
        <f>IF(COUNTA($A1419:$L1419)=0,"",IF($A1419="","Missing: entry ID",IF(COUNTIF($A$2:$A$2001,$A1419)&gt;1,"Duplicate entry ID",IF(NOT(ISNUMBER($B1419)),"Missing or invalid: date",IF($C1419="","Missing: type",IF($D1419="","Missing: SKU",IF(NOT(ISNUMBER($E1419)),"Missing: qty",IF($F1419="","Missing: lot",IF($I1419="","Missing: source link",IF(COUNTIF(Config!$A$15:$A$34,$C1419)=0,"Unsupported type",IF(COUNTIF(Products!$A$2:$A$101,$D1419)=0,"Unknown SKU",IF(COUNTIFS(Batches!$A$2:$A$301,$F1419,Batches!$B$2:$B$301,$D1419)=0,"Unknown lot for this SKU",IF(AND($C1419="Adjustment",$G1419=""),"Missing: reason",IF(AND($G1419&lt;&gt;"",COUNTIF(Config!$B$15:$B$34,$G1419)=0),"Unsupported reason",IF(OR(INT($E1419)&lt;&gt;$E1419,AND(OR($C1419="Receipt",$C1419="Shipment"),$E1419&lt;=0),AND($C1419="Adjustment",$E1419=0)),"Invalid qty",IF($B1419&gt;Config!$B$4,"Date after the as-of date",IF($B1419&lt;Config!$B$5,"Date before the opening balance date","OK")))))))))))))))))</f>
        <v/>
      </c>
    </row>
    <row r="1420">
      <c r="A1420" s="46" t="n"/>
      <c r="B1420" s="54" t="n"/>
      <c r="C1420" s="46" t="n"/>
      <c r="D1420" s="46" t="n"/>
      <c r="E1420" s="55" t="n"/>
      <c r="F1420" s="46" t="n"/>
      <c r="G1420" s="46" t="n"/>
      <c r="H1420" s="46" t="n"/>
      <c r="I1420" s="46" t="n"/>
      <c r="J1420" s="46" t="n"/>
      <c r="K1420" s="46" t="n"/>
      <c r="L1420" s="46" t="n"/>
      <c r="M1420" s="51" t="str">
        <f>IF(NOT(ISNUMBER($E1420)),"",IF($C1420="Receipt",$E1420,IF($C1420="Shipment",-$E1420,IF($C1420="Adjustment",$E1420,0))))</f>
        <v/>
      </c>
      <c r="N1420" s="49" t="str">
        <f>IF($D1420="","",IFERROR(INDEX(Products!$B$2:$B$101,MATCH($D1420,Products!$A$2:$A$101,0))&amp;"","(not found)"))</f>
        <v/>
      </c>
      <c r="O1420" s="49" t="str">
        <f>IF($F1420="","",IFERROR(INDEX(Batches!$B$2:$B$301,MATCH($F1420,Batches!$A$2:$A$301,0))&amp;"","(not found)"))</f>
        <v/>
      </c>
      <c r="P1420" s="49" t="str">
        <f>IF(COUNTA($A1420:$L1420)=0,"",IF($A1420="","Missing: entry ID",IF(COUNTIF($A$2:$A$2001,$A1420)&gt;1,"Duplicate entry ID",IF(NOT(ISNUMBER($B1420)),"Missing or invalid: date",IF($C1420="","Missing: type",IF($D1420="","Missing: SKU",IF(NOT(ISNUMBER($E1420)),"Missing: qty",IF($F1420="","Missing: lot",IF($I1420="","Missing: source link",IF(COUNTIF(Config!$A$15:$A$34,$C1420)=0,"Unsupported type",IF(COUNTIF(Products!$A$2:$A$101,$D1420)=0,"Unknown SKU",IF(COUNTIFS(Batches!$A$2:$A$301,$F1420,Batches!$B$2:$B$301,$D1420)=0,"Unknown lot for this SKU",IF(AND($C1420="Adjustment",$G1420=""),"Missing: reason",IF(AND($G1420&lt;&gt;"",COUNTIF(Config!$B$15:$B$34,$G1420)=0),"Unsupported reason",IF(OR(INT($E1420)&lt;&gt;$E1420,AND(OR($C1420="Receipt",$C1420="Shipment"),$E1420&lt;=0),AND($C1420="Adjustment",$E1420=0)),"Invalid qty",IF($B1420&gt;Config!$B$4,"Date after the as-of date",IF($B1420&lt;Config!$B$5,"Date before the opening balance date","OK")))))))))))))))))</f>
        <v/>
      </c>
    </row>
    <row r="1421">
      <c r="A1421" s="46" t="n"/>
      <c r="B1421" s="54" t="n"/>
      <c r="C1421" s="46" t="n"/>
      <c r="D1421" s="46" t="n"/>
      <c r="E1421" s="55" t="n"/>
      <c r="F1421" s="46" t="n"/>
      <c r="G1421" s="46" t="n"/>
      <c r="H1421" s="46" t="n"/>
      <c r="I1421" s="46" t="n"/>
      <c r="J1421" s="46" t="n"/>
      <c r="K1421" s="46" t="n"/>
      <c r="L1421" s="46" t="n"/>
      <c r="M1421" s="51" t="str">
        <f>IF(NOT(ISNUMBER($E1421)),"",IF($C1421="Receipt",$E1421,IF($C1421="Shipment",-$E1421,IF($C1421="Adjustment",$E1421,0))))</f>
        <v/>
      </c>
      <c r="N1421" s="49" t="str">
        <f>IF($D1421="","",IFERROR(INDEX(Products!$B$2:$B$101,MATCH($D1421,Products!$A$2:$A$101,0))&amp;"","(not found)"))</f>
        <v/>
      </c>
      <c r="O1421" s="49" t="str">
        <f>IF($F1421="","",IFERROR(INDEX(Batches!$B$2:$B$301,MATCH($F1421,Batches!$A$2:$A$301,0))&amp;"","(not found)"))</f>
        <v/>
      </c>
      <c r="P1421" s="49" t="str">
        <f>IF(COUNTA($A1421:$L1421)=0,"",IF($A1421="","Missing: entry ID",IF(COUNTIF($A$2:$A$2001,$A1421)&gt;1,"Duplicate entry ID",IF(NOT(ISNUMBER($B1421)),"Missing or invalid: date",IF($C1421="","Missing: type",IF($D1421="","Missing: SKU",IF(NOT(ISNUMBER($E1421)),"Missing: qty",IF($F1421="","Missing: lot",IF($I1421="","Missing: source link",IF(COUNTIF(Config!$A$15:$A$34,$C1421)=0,"Unsupported type",IF(COUNTIF(Products!$A$2:$A$101,$D1421)=0,"Unknown SKU",IF(COUNTIFS(Batches!$A$2:$A$301,$F1421,Batches!$B$2:$B$301,$D1421)=0,"Unknown lot for this SKU",IF(AND($C1421="Adjustment",$G1421=""),"Missing: reason",IF(AND($G1421&lt;&gt;"",COUNTIF(Config!$B$15:$B$34,$G1421)=0),"Unsupported reason",IF(OR(INT($E1421)&lt;&gt;$E1421,AND(OR($C1421="Receipt",$C1421="Shipment"),$E1421&lt;=0),AND($C1421="Adjustment",$E1421=0)),"Invalid qty",IF($B1421&gt;Config!$B$4,"Date after the as-of date",IF($B1421&lt;Config!$B$5,"Date before the opening balance date","OK")))))))))))))))))</f>
        <v/>
      </c>
    </row>
    <row r="1422">
      <c r="A1422" s="46" t="n"/>
      <c r="B1422" s="54" t="n"/>
      <c r="C1422" s="46" t="n"/>
      <c r="D1422" s="46" t="n"/>
      <c r="E1422" s="55" t="n"/>
      <c r="F1422" s="46" t="n"/>
      <c r="G1422" s="46" t="n"/>
      <c r="H1422" s="46" t="n"/>
      <c r="I1422" s="46" t="n"/>
      <c r="J1422" s="46" t="n"/>
      <c r="K1422" s="46" t="n"/>
      <c r="L1422" s="46" t="n"/>
      <c r="M1422" s="51" t="str">
        <f>IF(NOT(ISNUMBER($E1422)),"",IF($C1422="Receipt",$E1422,IF($C1422="Shipment",-$E1422,IF($C1422="Adjustment",$E1422,0))))</f>
        <v/>
      </c>
      <c r="N1422" s="49" t="str">
        <f>IF($D1422="","",IFERROR(INDEX(Products!$B$2:$B$101,MATCH($D1422,Products!$A$2:$A$101,0))&amp;"","(not found)"))</f>
        <v/>
      </c>
      <c r="O1422" s="49" t="str">
        <f>IF($F1422="","",IFERROR(INDEX(Batches!$B$2:$B$301,MATCH($F1422,Batches!$A$2:$A$301,0))&amp;"","(not found)"))</f>
        <v/>
      </c>
      <c r="P1422" s="49" t="str">
        <f>IF(COUNTA($A1422:$L1422)=0,"",IF($A1422="","Missing: entry ID",IF(COUNTIF($A$2:$A$2001,$A1422)&gt;1,"Duplicate entry ID",IF(NOT(ISNUMBER($B1422)),"Missing or invalid: date",IF($C1422="","Missing: type",IF($D1422="","Missing: SKU",IF(NOT(ISNUMBER($E1422)),"Missing: qty",IF($F1422="","Missing: lot",IF($I1422="","Missing: source link",IF(COUNTIF(Config!$A$15:$A$34,$C1422)=0,"Unsupported type",IF(COUNTIF(Products!$A$2:$A$101,$D1422)=0,"Unknown SKU",IF(COUNTIFS(Batches!$A$2:$A$301,$F1422,Batches!$B$2:$B$301,$D1422)=0,"Unknown lot for this SKU",IF(AND($C1422="Adjustment",$G1422=""),"Missing: reason",IF(AND($G1422&lt;&gt;"",COUNTIF(Config!$B$15:$B$34,$G1422)=0),"Unsupported reason",IF(OR(INT($E1422)&lt;&gt;$E1422,AND(OR($C1422="Receipt",$C1422="Shipment"),$E1422&lt;=0),AND($C1422="Adjustment",$E1422=0)),"Invalid qty",IF($B1422&gt;Config!$B$4,"Date after the as-of date",IF($B1422&lt;Config!$B$5,"Date before the opening balance date","OK")))))))))))))))))</f>
        <v/>
      </c>
    </row>
    <row r="1423">
      <c r="A1423" s="46" t="n"/>
      <c r="B1423" s="54" t="n"/>
      <c r="C1423" s="46" t="n"/>
      <c r="D1423" s="46" t="n"/>
      <c r="E1423" s="55" t="n"/>
      <c r="F1423" s="46" t="n"/>
      <c r="G1423" s="46" t="n"/>
      <c r="H1423" s="46" t="n"/>
      <c r="I1423" s="46" t="n"/>
      <c r="J1423" s="46" t="n"/>
      <c r="K1423" s="46" t="n"/>
      <c r="L1423" s="46" t="n"/>
      <c r="M1423" s="51" t="str">
        <f>IF(NOT(ISNUMBER($E1423)),"",IF($C1423="Receipt",$E1423,IF($C1423="Shipment",-$E1423,IF($C1423="Adjustment",$E1423,0))))</f>
        <v/>
      </c>
      <c r="N1423" s="49" t="str">
        <f>IF($D1423="","",IFERROR(INDEX(Products!$B$2:$B$101,MATCH($D1423,Products!$A$2:$A$101,0))&amp;"","(not found)"))</f>
        <v/>
      </c>
      <c r="O1423" s="49" t="str">
        <f>IF($F1423="","",IFERROR(INDEX(Batches!$B$2:$B$301,MATCH($F1423,Batches!$A$2:$A$301,0))&amp;"","(not found)"))</f>
        <v/>
      </c>
      <c r="P1423" s="49" t="str">
        <f>IF(COUNTA($A1423:$L1423)=0,"",IF($A1423="","Missing: entry ID",IF(COUNTIF($A$2:$A$2001,$A1423)&gt;1,"Duplicate entry ID",IF(NOT(ISNUMBER($B1423)),"Missing or invalid: date",IF($C1423="","Missing: type",IF($D1423="","Missing: SKU",IF(NOT(ISNUMBER($E1423)),"Missing: qty",IF($F1423="","Missing: lot",IF($I1423="","Missing: source link",IF(COUNTIF(Config!$A$15:$A$34,$C1423)=0,"Unsupported type",IF(COUNTIF(Products!$A$2:$A$101,$D1423)=0,"Unknown SKU",IF(COUNTIFS(Batches!$A$2:$A$301,$F1423,Batches!$B$2:$B$301,$D1423)=0,"Unknown lot for this SKU",IF(AND($C1423="Adjustment",$G1423=""),"Missing: reason",IF(AND($G1423&lt;&gt;"",COUNTIF(Config!$B$15:$B$34,$G1423)=0),"Unsupported reason",IF(OR(INT($E1423)&lt;&gt;$E1423,AND(OR($C1423="Receipt",$C1423="Shipment"),$E1423&lt;=0),AND($C1423="Adjustment",$E1423=0)),"Invalid qty",IF($B1423&gt;Config!$B$4,"Date after the as-of date",IF($B1423&lt;Config!$B$5,"Date before the opening balance date","OK")))))))))))))))))</f>
        <v/>
      </c>
    </row>
    <row r="1424">
      <c r="A1424" s="46" t="n"/>
      <c r="B1424" s="54" t="n"/>
      <c r="C1424" s="46" t="n"/>
      <c r="D1424" s="46" t="n"/>
      <c r="E1424" s="55" t="n"/>
      <c r="F1424" s="46" t="n"/>
      <c r="G1424" s="46" t="n"/>
      <c r="H1424" s="46" t="n"/>
      <c r="I1424" s="46" t="n"/>
      <c r="J1424" s="46" t="n"/>
      <c r="K1424" s="46" t="n"/>
      <c r="L1424" s="46" t="n"/>
      <c r="M1424" s="51" t="str">
        <f>IF(NOT(ISNUMBER($E1424)),"",IF($C1424="Receipt",$E1424,IF($C1424="Shipment",-$E1424,IF($C1424="Adjustment",$E1424,0))))</f>
        <v/>
      </c>
      <c r="N1424" s="49" t="str">
        <f>IF($D1424="","",IFERROR(INDEX(Products!$B$2:$B$101,MATCH($D1424,Products!$A$2:$A$101,0))&amp;"","(not found)"))</f>
        <v/>
      </c>
      <c r="O1424" s="49" t="str">
        <f>IF($F1424="","",IFERROR(INDEX(Batches!$B$2:$B$301,MATCH($F1424,Batches!$A$2:$A$301,0))&amp;"","(not found)"))</f>
        <v/>
      </c>
      <c r="P1424" s="49" t="str">
        <f>IF(COUNTA($A1424:$L1424)=0,"",IF($A1424="","Missing: entry ID",IF(COUNTIF($A$2:$A$2001,$A1424)&gt;1,"Duplicate entry ID",IF(NOT(ISNUMBER($B1424)),"Missing or invalid: date",IF($C1424="","Missing: type",IF($D1424="","Missing: SKU",IF(NOT(ISNUMBER($E1424)),"Missing: qty",IF($F1424="","Missing: lot",IF($I1424="","Missing: source link",IF(COUNTIF(Config!$A$15:$A$34,$C1424)=0,"Unsupported type",IF(COUNTIF(Products!$A$2:$A$101,$D1424)=0,"Unknown SKU",IF(COUNTIFS(Batches!$A$2:$A$301,$F1424,Batches!$B$2:$B$301,$D1424)=0,"Unknown lot for this SKU",IF(AND($C1424="Adjustment",$G1424=""),"Missing: reason",IF(AND($G1424&lt;&gt;"",COUNTIF(Config!$B$15:$B$34,$G1424)=0),"Unsupported reason",IF(OR(INT($E1424)&lt;&gt;$E1424,AND(OR($C1424="Receipt",$C1424="Shipment"),$E1424&lt;=0),AND($C1424="Adjustment",$E1424=0)),"Invalid qty",IF($B1424&gt;Config!$B$4,"Date after the as-of date",IF($B1424&lt;Config!$B$5,"Date before the opening balance date","OK")))))))))))))))))</f>
        <v/>
      </c>
    </row>
    <row r="1425">
      <c r="A1425" s="46" t="n"/>
      <c r="B1425" s="54" t="n"/>
      <c r="C1425" s="46" t="n"/>
      <c r="D1425" s="46" t="n"/>
      <c r="E1425" s="55" t="n"/>
      <c r="F1425" s="46" t="n"/>
      <c r="G1425" s="46" t="n"/>
      <c r="H1425" s="46" t="n"/>
      <c r="I1425" s="46" t="n"/>
      <c r="J1425" s="46" t="n"/>
      <c r="K1425" s="46" t="n"/>
      <c r="L1425" s="46" t="n"/>
      <c r="M1425" s="51" t="str">
        <f>IF(NOT(ISNUMBER($E1425)),"",IF($C1425="Receipt",$E1425,IF($C1425="Shipment",-$E1425,IF($C1425="Adjustment",$E1425,0))))</f>
        <v/>
      </c>
      <c r="N1425" s="49" t="str">
        <f>IF($D1425="","",IFERROR(INDEX(Products!$B$2:$B$101,MATCH($D1425,Products!$A$2:$A$101,0))&amp;"","(not found)"))</f>
        <v/>
      </c>
      <c r="O1425" s="49" t="str">
        <f>IF($F1425="","",IFERROR(INDEX(Batches!$B$2:$B$301,MATCH($F1425,Batches!$A$2:$A$301,0))&amp;"","(not found)"))</f>
        <v/>
      </c>
      <c r="P1425" s="49" t="str">
        <f>IF(COUNTA($A1425:$L1425)=0,"",IF($A1425="","Missing: entry ID",IF(COUNTIF($A$2:$A$2001,$A1425)&gt;1,"Duplicate entry ID",IF(NOT(ISNUMBER($B1425)),"Missing or invalid: date",IF($C1425="","Missing: type",IF($D1425="","Missing: SKU",IF(NOT(ISNUMBER($E1425)),"Missing: qty",IF($F1425="","Missing: lot",IF($I1425="","Missing: source link",IF(COUNTIF(Config!$A$15:$A$34,$C1425)=0,"Unsupported type",IF(COUNTIF(Products!$A$2:$A$101,$D1425)=0,"Unknown SKU",IF(COUNTIFS(Batches!$A$2:$A$301,$F1425,Batches!$B$2:$B$301,$D1425)=0,"Unknown lot for this SKU",IF(AND($C1425="Adjustment",$G1425=""),"Missing: reason",IF(AND($G1425&lt;&gt;"",COUNTIF(Config!$B$15:$B$34,$G1425)=0),"Unsupported reason",IF(OR(INT($E1425)&lt;&gt;$E1425,AND(OR($C1425="Receipt",$C1425="Shipment"),$E1425&lt;=0),AND($C1425="Adjustment",$E1425=0)),"Invalid qty",IF($B1425&gt;Config!$B$4,"Date after the as-of date",IF($B1425&lt;Config!$B$5,"Date before the opening balance date","OK")))))))))))))))))</f>
        <v/>
      </c>
    </row>
    <row r="1426">
      <c r="A1426" s="46" t="n"/>
      <c r="B1426" s="54" t="n"/>
      <c r="C1426" s="46" t="n"/>
      <c r="D1426" s="46" t="n"/>
      <c r="E1426" s="55" t="n"/>
      <c r="F1426" s="46" t="n"/>
      <c r="G1426" s="46" t="n"/>
      <c r="H1426" s="46" t="n"/>
      <c r="I1426" s="46" t="n"/>
      <c r="J1426" s="46" t="n"/>
      <c r="K1426" s="46" t="n"/>
      <c r="L1426" s="46" t="n"/>
      <c r="M1426" s="51" t="str">
        <f>IF(NOT(ISNUMBER($E1426)),"",IF($C1426="Receipt",$E1426,IF($C1426="Shipment",-$E1426,IF($C1426="Adjustment",$E1426,0))))</f>
        <v/>
      </c>
      <c r="N1426" s="49" t="str">
        <f>IF($D1426="","",IFERROR(INDEX(Products!$B$2:$B$101,MATCH($D1426,Products!$A$2:$A$101,0))&amp;"","(not found)"))</f>
        <v/>
      </c>
      <c r="O1426" s="49" t="str">
        <f>IF($F1426="","",IFERROR(INDEX(Batches!$B$2:$B$301,MATCH($F1426,Batches!$A$2:$A$301,0))&amp;"","(not found)"))</f>
        <v/>
      </c>
      <c r="P1426" s="49" t="str">
        <f>IF(COUNTA($A1426:$L1426)=0,"",IF($A1426="","Missing: entry ID",IF(COUNTIF($A$2:$A$2001,$A1426)&gt;1,"Duplicate entry ID",IF(NOT(ISNUMBER($B1426)),"Missing or invalid: date",IF($C1426="","Missing: type",IF($D1426="","Missing: SKU",IF(NOT(ISNUMBER($E1426)),"Missing: qty",IF($F1426="","Missing: lot",IF($I1426="","Missing: source link",IF(COUNTIF(Config!$A$15:$A$34,$C1426)=0,"Unsupported type",IF(COUNTIF(Products!$A$2:$A$101,$D1426)=0,"Unknown SKU",IF(COUNTIFS(Batches!$A$2:$A$301,$F1426,Batches!$B$2:$B$301,$D1426)=0,"Unknown lot for this SKU",IF(AND($C1426="Adjustment",$G1426=""),"Missing: reason",IF(AND($G1426&lt;&gt;"",COUNTIF(Config!$B$15:$B$34,$G1426)=0),"Unsupported reason",IF(OR(INT($E1426)&lt;&gt;$E1426,AND(OR($C1426="Receipt",$C1426="Shipment"),$E1426&lt;=0),AND($C1426="Adjustment",$E1426=0)),"Invalid qty",IF($B1426&gt;Config!$B$4,"Date after the as-of date",IF($B1426&lt;Config!$B$5,"Date before the opening balance date","OK")))))))))))))))))</f>
        <v/>
      </c>
    </row>
    <row r="1427">
      <c r="A1427" s="46" t="n"/>
      <c r="B1427" s="54" t="n"/>
      <c r="C1427" s="46" t="n"/>
      <c r="D1427" s="46" t="n"/>
      <c r="E1427" s="55" t="n"/>
      <c r="F1427" s="46" t="n"/>
      <c r="G1427" s="46" t="n"/>
      <c r="H1427" s="46" t="n"/>
      <c r="I1427" s="46" t="n"/>
      <c r="J1427" s="46" t="n"/>
      <c r="K1427" s="46" t="n"/>
      <c r="L1427" s="46" t="n"/>
      <c r="M1427" s="51" t="str">
        <f>IF(NOT(ISNUMBER($E1427)),"",IF($C1427="Receipt",$E1427,IF($C1427="Shipment",-$E1427,IF($C1427="Adjustment",$E1427,0))))</f>
        <v/>
      </c>
      <c r="N1427" s="49" t="str">
        <f>IF($D1427="","",IFERROR(INDEX(Products!$B$2:$B$101,MATCH($D1427,Products!$A$2:$A$101,0))&amp;"","(not found)"))</f>
        <v/>
      </c>
      <c r="O1427" s="49" t="str">
        <f>IF($F1427="","",IFERROR(INDEX(Batches!$B$2:$B$301,MATCH($F1427,Batches!$A$2:$A$301,0))&amp;"","(not found)"))</f>
        <v/>
      </c>
      <c r="P1427" s="49" t="str">
        <f>IF(COUNTA($A1427:$L1427)=0,"",IF($A1427="","Missing: entry ID",IF(COUNTIF($A$2:$A$2001,$A1427)&gt;1,"Duplicate entry ID",IF(NOT(ISNUMBER($B1427)),"Missing or invalid: date",IF($C1427="","Missing: type",IF($D1427="","Missing: SKU",IF(NOT(ISNUMBER($E1427)),"Missing: qty",IF($F1427="","Missing: lot",IF($I1427="","Missing: source link",IF(COUNTIF(Config!$A$15:$A$34,$C1427)=0,"Unsupported type",IF(COUNTIF(Products!$A$2:$A$101,$D1427)=0,"Unknown SKU",IF(COUNTIFS(Batches!$A$2:$A$301,$F1427,Batches!$B$2:$B$301,$D1427)=0,"Unknown lot for this SKU",IF(AND($C1427="Adjustment",$G1427=""),"Missing: reason",IF(AND($G1427&lt;&gt;"",COUNTIF(Config!$B$15:$B$34,$G1427)=0),"Unsupported reason",IF(OR(INT($E1427)&lt;&gt;$E1427,AND(OR($C1427="Receipt",$C1427="Shipment"),$E1427&lt;=0),AND($C1427="Adjustment",$E1427=0)),"Invalid qty",IF($B1427&gt;Config!$B$4,"Date after the as-of date",IF($B1427&lt;Config!$B$5,"Date before the opening balance date","OK")))))))))))))))))</f>
        <v/>
      </c>
    </row>
    <row r="1428">
      <c r="A1428" s="46" t="n"/>
      <c r="B1428" s="54" t="n"/>
      <c r="C1428" s="46" t="n"/>
      <c r="D1428" s="46" t="n"/>
      <c r="E1428" s="55" t="n"/>
      <c r="F1428" s="46" t="n"/>
      <c r="G1428" s="46" t="n"/>
      <c r="H1428" s="46" t="n"/>
      <c r="I1428" s="46" t="n"/>
      <c r="J1428" s="46" t="n"/>
      <c r="K1428" s="46" t="n"/>
      <c r="L1428" s="46" t="n"/>
      <c r="M1428" s="51" t="str">
        <f>IF(NOT(ISNUMBER($E1428)),"",IF($C1428="Receipt",$E1428,IF($C1428="Shipment",-$E1428,IF($C1428="Adjustment",$E1428,0))))</f>
        <v/>
      </c>
      <c r="N1428" s="49" t="str">
        <f>IF($D1428="","",IFERROR(INDEX(Products!$B$2:$B$101,MATCH($D1428,Products!$A$2:$A$101,0))&amp;"","(not found)"))</f>
        <v/>
      </c>
      <c r="O1428" s="49" t="str">
        <f>IF($F1428="","",IFERROR(INDEX(Batches!$B$2:$B$301,MATCH($F1428,Batches!$A$2:$A$301,0))&amp;"","(not found)"))</f>
        <v/>
      </c>
      <c r="P1428" s="49" t="str">
        <f>IF(COUNTA($A1428:$L1428)=0,"",IF($A1428="","Missing: entry ID",IF(COUNTIF($A$2:$A$2001,$A1428)&gt;1,"Duplicate entry ID",IF(NOT(ISNUMBER($B1428)),"Missing or invalid: date",IF($C1428="","Missing: type",IF($D1428="","Missing: SKU",IF(NOT(ISNUMBER($E1428)),"Missing: qty",IF($F1428="","Missing: lot",IF($I1428="","Missing: source link",IF(COUNTIF(Config!$A$15:$A$34,$C1428)=0,"Unsupported type",IF(COUNTIF(Products!$A$2:$A$101,$D1428)=0,"Unknown SKU",IF(COUNTIFS(Batches!$A$2:$A$301,$F1428,Batches!$B$2:$B$301,$D1428)=0,"Unknown lot for this SKU",IF(AND($C1428="Adjustment",$G1428=""),"Missing: reason",IF(AND($G1428&lt;&gt;"",COUNTIF(Config!$B$15:$B$34,$G1428)=0),"Unsupported reason",IF(OR(INT($E1428)&lt;&gt;$E1428,AND(OR($C1428="Receipt",$C1428="Shipment"),$E1428&lt;=0),AND($C1428="Adjustment",$E1428=0)),"Invalid qty",IF($B1428&gt;Config!$B$4,"Date after the as-of date",IF($B1428&lt;Config!$B$5,"Date before the opening balance date","OK")))))))))))))))))</f>
        <v/>
      </c>
    </row>
    <row r="1429">
      <c r="A1429" s="46" t="n"/>
      <c r="B1429" s="54" t="n"/>
      <c r="C1429" s="46" t="n"/>
      <c r="D1429" s="46" t="n"/>
      <c r="E1429" s="55" t="n"/>
      <c r="F1429" s="46" t="n"/>
      <c r="G1429" s="46" t="n"/>
      <c r="H1429" s="46" t="n"/>
      <c r="I1429" s="46" t="n"/>
      <c r="J1429" s="46" t="n"/>
      <c r="K1429" s="46" t="n"/>
      <c r="L1429" s="46" t="n"/>
      <c r="M1429" s="51" t="str">
        <f>IF(NOT(ISNUMBER($E1429)),"",IF($C1429="Receipt",$E1429,IF($C1429="Shipment",-$E1429,IF($C1429="Adjustment",$E1429,0))))</f>
        <v/>
      </c>
      <c r="N1429" s="49" t="str">
        <f>IF($D1429="","",IFERROR(INDEX(Products!$B$2:$B$101,MATCH($D1429,Products!$A$2:$A$101,0))&amp;"","(not found)"))</f>
        <v/>
      </c>
      <c r="O1429" s="49" t="str">
        <f>IF($F1429="","",IFERROR(INDEX(Batches!$B$2:$B$301,MATCH($F1429,Batches!$A$2:$A$301,0))&amp;"","(not found)"))</f>
        <v/>
      </c>
      <c r="P1429" s="49" t="str">
        <f>IF(COUNTA($A1429:$L1429)=0,"",IF($A1429="","Missing: entry ID",IF(COUNTIF($A$2:$A$2001,$A1429)&gt;1,"Duplicate entry ID",IF(NOT(ISNUMBER($B1429)),"Missing or invalid: date",IF($C1429="","Missing: type",IF($D1429="","Missing: SKU",IF(NOT(ISNUMBER($E1429)),"Missing: qty",IF($F1429="","Missing: lot",IF($I1429="","Missing: source link",IF(COUNTIF(Config!$A$15:$A$34,$C1429)=0,"Unsupported type",IF(COUNTIF(Products!$A$2:$A$101,$D1429)=0,"Unknown SKU",IF(COUNTIFS(Batches!$A$2:$A$301,$F1429,Batches!$B$2:$B$301,$D1429)=0,"Unknown lot for this SKU",IF(AND($C1429="Adjustment",$G1429=""),"Missing: reason",IF(AND($G1429&lt;&gt;"",COUNTIF(Config!$B$15:$B$34,$G1429)=0),"Unsupported reason",IF(OR(INT($E1429)&lt;&gt;$E1429,AND(OR($C1429="Receipt",$C1429="Shipment"),$E1429&lt;=0),AND($C1429="Adjustment",$E1429=0)),"Invalid qty",IF($B1429&gt;Config!$B$4,"Date after the as-of date",IF($B1429&lt;Config!$B$5,"Date before the opening balance date","OK")))))))))))))))))</f>
        <v/>
      </c>
    </row>
    <row r="1430">
      <c r="A1430" s="46" t="n"/>
      <c r="B1430" s="54" t="n"/>
      <c r="C1430" s="46" t="n"/>
      <c r="D1430" s="46" t="n"/>
      <c r="E1430" s="55" t="n"/>
      <c r="F1430" s="46" t="n"/>
      <c r="G1430" s="46" t="n"/>
      <c r="H1430" s="46" t="n"/>
      <c r="I1430" s="46" t="n"/>
      <c r="J1430" s="46" t="n"/>
      <c r="K1430" s="46" t="n"/>
      <c r="L1430" s="46" t="n"/>
      <c r="M1430" s="51" t="str">
        <f>IF(NOT(ISNUMBER($E1430)),"",IF($C1430="Receipt",$E1430,IF($C1430="Shipment",-$E1430,IF($C1430="Adjustment",$E1430,0))))</f>
        <v/>
      </c>
      <c r="N1430" s="49" t="str">
        <f>IF($D1430="","",IFERROR(INDEX(Products!$B$2:$B$101,MATCH($D1430,Products!$A$2:$A$101,0))&amp;"","(not found)"))</f>
        <v/>
      </c>
      <c r="O1430" s="49" t="str">
        <f>IF($F1430="","",IFERROR(INDEX(Batches!$B$2:$B$301,MATCH($F1430,Batches!$A$2:$A$301,0))&amp;"","(not found)"))</f>
        <v/>
      </c>
      <c r="P1430" s="49" t="str">
        <f>IF(COUNTA($A1430:$L1430)=0,"",IF($A1430="","Missing: entry ID",IF(COUNTIF($A$2:$A$2001,$A1430)&gt;1,"Duplicate entry ID",IF(NOT(ISNUMBER($B1430)),"Missing or invalid: date",IF($C1430="","Missing: type",IF($D1430="","Missing: SKU",IF(NOT(ISNUMBER($E1430)),"Missing: qty",IF($F1430="","Missing: lot",IF($I1430="","Missing: source link",IF(COUNTIF(Config!$A$15:$A$34,$C1430)=0,"Unsupported type",IF(COUNTIF(Products!$A$2:$A$101,$D1430)=0,"Unknown SKU",IF(COUNTIFS(Batches!$A$2:$A$301,$F1430,Batches!$B$2:$B$301,$D1430)=0,"Unknown lot for this SKU",IF(AND($C1430="Adjustment",$G1430=""),"Missing: reason",IF(AND($G1430&lt;&gt;"",COUNTIF(Config!$B$15:$B$34,$G1430)=0),"Unsupported reason",IF(OR(INT($E1430)&lt;&gt;$E1430,AND(OR($C1430="Receipt",$C1430="Shipment"),$E1430&lt;=0),AND($C1430="Adjustment",$E1430=0)),"Invalid qty",IF($B1430&gt;Config!$B$4,"Date after the as-of date",IF($B1430&lt;Config!$B$5,"Date before the opening balance date","OK")))))))))))))))))</f>
        <v/>
      </c>
    </row>
    <row r="1431">
      <c r="A1431" s="46" t="n"/>
      <c r="B1431" s="54" t="n"/>
      <c r="C1431" s="46" t="n"/>
      <c r="D1431" s="46" t="n"/>
      <c r="E1431" s="55" t="n"/>
      <c r="F1431" s="46" t="n"/>
      <c r="G1431" s="46" t="n"/>
      <c r="H1431" s="46" t="n"/>
      <c r="I1431" s="46" t="n"/>
      <c r="J1431" s="46" t="n"/>
      <c r="K1431" s="46" t="n"/>
      <c r="L1431" s="46" t="n"/>
      <c r="M1431" s="51" t="str">
        <f>IF(NOT(ISNUMBER($E1431)),"",IF($C1431="Receipt",$E1431,IF($C1431="Shipment",-$E1431,IF($C1431="Adjustment",$E1431,0))))</f>
        <v/>
      </c>
      <c r="N1431" s="49" t="str">
        <f>IF($D1431="","",IFERROR(INDEX(Products!$B$2:$B$101,MATCH($D1431,Products!$A$2:$A$101,0))&amp;"","(not found)"))</f>
        <v/>
      </c>
      <c r="O1431" s="49" t="str">
        <f>IF($F1431="","",IFERROR(INDEX(Batches!$B$2:$B$301,MATCH($F1431,Batches!$A$2:$A$301,0))&amp;"","(not found)"))</f>
        <v/>
      </c>
      <c r="P1431" s="49" t="str">
        <f>IF(COUNTA($A1431:$L1431)=0,"",IF($A1431="","Missing: entry ID",IF(COUNTIF($A$2:$A$2001,$A1431)&gt;1,"Duplicate entry ID",IF(NOT(ISNUMBER($B1431)),"Missing or invalid: date",IF($C1431="","Missing: type",IF($D1431="","Missing: SKU",IF(NOT(ISNUMBER($E1431)),"Missing: qty",IF($F1431="","Missing: lot",IF($I1431="","Missing: source link",IF(COUNTIF(Config!$A$15:$A$34,$C1431)=0,"Unsupported type",IF(COUNTIF(Products!$A$2:$A$101,$D1431)=0,"Unknown SKU",IF(COUNTIFS(Batches!$A$2:$A$301,$F1431,Batches!$B$2:$B$301,$D1431)=0,"Unknown lot for this SKU",IF(AND($C1431="Adjustment",$G1431=""),"Missing: reason",IF(AND($G1431&lt;&gt;"",COUNTIF(Config!$B$15:$B$34,$G1431)=0),"Unsupported reason",IF(OR(INT($E1431)&lt;&gt;$E1431,AND(OR($C1431="Receipt",$C1431="Shipment"),$E1431&lt;=0),AND($C1431="Adjustment",$E1431=0)),"Invalid qty",IF($B1431&gt;Config!$B$4,"Date after the as-of date",IF($B1431&lt;Config!$B$5,"Date before the opening balance date","OK")))))))))))))))))</f>
        <v/>
      </c>
    </row>
    <row r="1432">
      <c r="A1432" s="46" t="n"/>
      <c r="B1432" s="54" t="n"/>
      <c r="C1432" s="46" t="n"/>
      <c r="D1432" s="46" t="n"/>
      <c r="E1432" s="55" t="n"/>
      <c r="F1432" s="46" t="n"/>
      <c r="G1432" s="46" t="n"/>
      <c r="H1432" s="46" t="n"/>
      <c r="I1432" s="46" t="n"/>
      <c r="J1432" s="46" t="n"/>
      <c r="K1432" s="46" t="n"/>
      <c r="L1432" s="46" t="n"/>
      <c r="M1432" s="51" t="str">
        <f>IF(NOT(ISNUMBER($E1432)),"",IF($C1432="Receipt",$E1432,IF($C1432="Shipment",-$E1432,IF($C1432="Adjustment",$E1432,0))))</f>
        <v/>
      </c>
      <c r="N1432" s="49" t="str">
        <f>IF($D1432="","",IFERROR(INDEX(Products!$B$2:$B$101,MATCH($D1432,Products!$A$2:$A$101,0))&amp;"","(not found)"))</f>
        <v/>
      </c>
      <c r="O1432" s="49" t="str">
        <f>IF($F1432="","",IFERROR(INDEX(Batches!$B$2:$B$301,MATCH($F1432,Batches!$A$2:$A$301,0))&amp;"","(not found)"))</f>
        <v/>
      </c>
      <c r="P1432" s="49" t="str">
        <f>IF(COUNTA($A1432:$L1432)=0,"",IF($A1432="","Missing: entry ID",IF(COUNTIF($A$2:$A$2001,$A1432)&gt;1,"Duplicate entry ID",IF(NOT(ISNUMBER($B1432)),"Missing or invalid: date",IF($C1432="","Missing: type",IF($D1432="","Missing: SKU",IF(NOT(ISNUMBER($E1432)),"Missing: qty",IF($F1432="","Missing: lot",IF($I1432="","Missing: source link",IF(COUNTIF(Config!$A$15:$A$34,$C1432)=0,"Unsupported type",IF(COUNTIF(Products!$A$2:$A$101,$D1432)=0,"Unknown SKU",IF(COUNTIFS(Batches!$A$2:$A$301,$F1432,Batches!$B$2:$B$301,$D1432)=0,"Unknown lot for this SKU",IF(AND($C1432="Adjustment",$G1432=""),"Missing: reason",IF(AND($G1432&lt;&gt;"",COUNTIF(Config!$B$15:$B$34,$G1432)=0),"Unsupported reason",IF(OR(INT($E1432)&lt;&gt;$E1432,AND(OR($C1432="Receipt",$C1432="Shipment"),$E1432&lt;=0),AND($C1432="Adjustment",$E1432=0)),"Invalid qty",IF($B1432&gt;Config!$B$4,"Date after the as-of date",IF($B1432&lt;Config!$B$5,"Date before the opening balance date","OK")))))))))))))))))</f>
        <v/>
      </c>
    </row>
    <row r="1433">
      <c r="A1433" s="46" t="n"/>
      <c r="B1433" s="54" t="n"/>
      <c r="C1433" s="46" t="n"/>
      <c r="D1433" s="46" t="n"/>
      <c r="E1433" s="55" t="n"/>
      <c r="F1433" s="46" t="n"/>
      <c r="G1433" s="46" t="n"/>
      <c r="H1433" s="46" t="n"/>
      <c r="I1433" s="46" t="n"/>
      <c r="J1433" s="46" t="n"/>
      <c r="K1433" s="46" t="n"/>
      <c r="L1433" s="46" t="n"/>
      <c r="M1433" s="51" t="str">
        <f>IF(NOT(ISNUMBER($E1433)),"",IF($C1433="Receipt",$E1433,IF($C1433="Shipment",-$E1433,IF($C1433="Adjustment",$E1433,0))))</f>
        <v/>
      </c>
      <c r="N1433" s="49" t="str">
        <f>IF($D1433="","",IFERROR(INDEX(Products!$B$2:$B$101,MATCH($D1433,Products!$A$2:$A$101,0))&amp;"","(not found)"))</f>
        <v/>
      </c>
      <c r="O1433" s="49" t="str">
        <f>IF($F1433="","",IFERROR(INDEX(Batches!$B$2:$B$301,MATCH($F1433,Batches!$A$2:$A$301,0))&amp;"","(not found)"))</f>
        <v/>
      </c>
      <c r="P1433" s="49" t="str">
        <f>IF(COUNTA($A1433:$L1433)=0,"",IF($A1433="","Missing: entry ID",IF(COUNTIF($A$2:$A$2001,$A1433)&gt;1,"Duplicate entry ID",IF(NOT(ISNUMBER($B1433)),"Missing or invalid: date",IF($C1433="","Missing: type",IF($D1433="","Missing: SKU",IF(NOT(ISNUMBER($E1433)),"Missing: qty",IF($F1433="","Missing: lot",IF($I1433="","Missing: source link",IF(COUNTIF(Config!$A$15:$A$34,$C1433)=0,"Unsupported type",IF(COUNTIF(Products!$A$2:$A$101,$D1433)=0,"Unknown SKU",IF(COUNTIFS(Batches!$A$2:$A$301,$F1433,Batches!$B$2:$B$301,$D1433)=0,"Unknown lot for this SKU",IF(AND($C1433="Adjustment",$G1433=""),"Missing: reason",IF(AND($G1433&lt;&gt;"",COUNTIF(Config!$B$15:$B$34,$G1433)=0),"Unsupported reason",IF(OR(INT($E1433)&lt;&gt;$E1433,AND(OR($C1433="Receipt",$C1433="Shipment"),$E1433&lt;=0),AND($C1433="Adjustment",$E1433=0)),"Invalid qty",IF($B1433&gt;Config!$B$4,"Date after the as-of date",IF($B1433&lt;Config!$B$5,"Date before the opening balance date","OK")))))))))))))))))</f>
        <v/>
      </c>
    </row>
    <row r="1434">
      <c r="A1434" s="46" t="n"/>
      <c r="B1434" s="54" t="n"/>
      <c r="C1434" s="46" t="n"/>
      <c r="D1434" s="46" t="n"/>
      <c r="E1434" s="55" t="n"/>
      <c r="F1434" s="46" t="n"/>
      <c r="G1434" s="46" t="n"/>
      <c r="H1434" s="46" t="n"/>
      <c r="I1434" s="46" t="n"/>
      <c r="J1434" s="46" t="n"/>
      <c r="K1434" s="46" t="n"/>
      <c r="L1434" s="46" t="n"/>
      <c r="M1434" s="51" t="str">
        <f>IF(NOT(ISNUMBER($E1434)),"",IF($C1434="Receipt",$E1434,IF($C1434="Shipment",-$E1434,IF($C1434="Adjustment",$E1434,0))))</f>
        <v/>
      </c>
      <c r="N1434" s="49" t="str">
        <f>IF($D1434="","",IFERROR(INDEX(Products!$B$2:$B$101,MATCH($D1434,Products!$A$2:$A$101,0))&amp;"","(not found)"))</f>
        <v/>
      </c>
      <c r="O1434" s="49" t="str">
        <f>IF($F1434="","",IFERROR(INDEX(Batches!$B$2:$B$301,MATCH($F1434,Batches!$A$2:$A$301,0))&amp;"","(not found)"))</f>
        <v/>
      </c>
      <c r="P1434" s="49" t="str">
        <f>IF(COUNTA($A1434:$L1434)=0,"",IF($A1434="","Missing: entry ID",IF(COUNTIF($A$2:$A$2001,$A1434)&gt;1,"Duplicate entry ID",IF(NOT(ISNUMBER($B1434)),"Missing or invalid: date",IF($C1434="","Missing: type",IF($D1434="","Missing: SKU",IF(NOT(ISNUMBER($E1434)),"Missing: qty",IF($F1434="","Missing: lot",IF($I1434="","Missing: source link",IF(COUNTIF(Config!$A$15:$A$34,$C1434)=0,"Unsupported type",IF(COUNTIF(Products!$A$2:$A$101,$D1434)=0,"Unknown SKU",IF(COUNTIFS(Batches!$A$2:$A$301,$F1434,Batches!$B$2:$B$301,$D1434)=0,"Unknown lot for this SKU",IF(AND($C1434="Adjustment",$G1434=""),"Missing: reason",IF(AND($G1434&lt;&gt;"",COUNTIF(Config!$B$15:$B$34,$G1434)=0),"Unsupported reason",IF(OR(INT($E1434)&lt;&gt;$E1434,AND(OR($C1434="Receipt",$C1434="Shipment"),$E1434&lt;=0),AND($C1434="Adjustment",$E1434=0)),"Invalid qty",IF($B1434&gt;Config!$B$4,"Date after the as-of date",IF($B1434&lt;Config!$B$5,"Date before the opening balance date","OK")))))))))))))))))</f>
        <v/>
      </c>
    </row>
    <row r="1435">
      <c r="A1435" s="46" t="n"/>
      <c r="B1435" s="54" t="n"/>
      <c r="C1435" s="46" t="n"/>
      <c r="D1435" s="46" t="n"/>
      <c r="E1435" s="55" t="n"/>
      <c r="F1435" s="46" t="n"/>
      <c r="G1435" s="46" t="n"/>
      <c r="H1435" s="46" t="n"/>
      <c r="I1435" s="46" t="n"/>
      <c r="J1435" s="46" t="n"/>
      <c r="K1435" s="46" t="n"/>
      <c r="L1435" s="46" t="n"/>
      <c r="M1435" s="51" t="str">
        <f>IF(NOT(ISNUMBER($E1435)),"",IF($C1435="Receipt",$E1435,IF($C1435="Shipment",-$E1435,IF($C1435="Adjustment",$E1435,0))))</f>
        <v/>
      </c>
      <c r="N1435" s="49" t="str">
        <f>IF($D1435="","",IFERROR(INDEX(Products!$B$2:$B$101,MATCH($D1435,Products!$A$2:$A$101,0))&amp;"","(not found)"))</f>
        <v/>
      </c>
      <c r="O1435" s="49" t="str">
        <f>IF($F1435="","",IFERROR(INDEX(Batches!$B$2:$B$301,MATCH($F1435,Batches!$A$2:$A$301,0))&amp;"","(not found)"))</f>
        <v/>
      </c>
      <c r="P1435" s="49" t="str">
        <f>IF(COUNTA($A1435:$L1435)=0,"",IF($A1435="","Missing: entry ID",IF(COUNTIF($A$2:$A$2001,$A1435)&gt;1,"Duplicate entry ID",IF(NOT(ISNUMBER($B1435)),"Missing or invalid: date",IF($C1435="","Missing: type",IF($D1435="","Missing: SKU",IF(NOT(ISNUMBER($E1435)),"Missing: qty",IF($F1435="","Missing: lot",IF($I1435="","Missing: source link",IF(COUNTIF(Config!$A$15:$A$34,$C1435)=0,"Unsupported type",IF(COUNTIF(Products!$A$2:$A$101,$D1435)=0,"Unknown SKU",IF(COUNTIFS(Batches!$A$2:$A$301,$F1435,Batches!$B$2:$B$301,$D1435)=0,"Unknown lot for this SKU",IF(AND($C1435="Adjustment",$G1435=""),"Missing: reason",IF(AND($G1435&lt;&gt;"",COUNTIF(Config!$B$15:$B$34,$G1435)=0),"Unsupported reason",IF(OR(INT($E1435)&lt;&gt;$E1435,AND(OR($C1435="Receipt",$C1435="Shipment"),$E1435&lt;=0),AND($C1435="Adjustment",$E1435=0)),"Invalid qty",IF($B1435&gt;Config!$B$4,"Date after the as-of date",IF($B1435&lt;Config!$B$5,"Date before the opening balance date","OK")))))))))))))))))</f>
        <v/>
      </c>
    </row>
    <row r="1436">
      <c r="A1436" s="46" t="n"/>
      <c r="B1436" s="54" t="n"/>
      <c r="C1436" s="46" t="n"/>
      <c r="D1436" s="46" t="n"/>
      <c r="E1436" s="55" t="n"/>
      <c r="F1436" s="46" t="n"/>
      <c r="G1436" s="46" t="n"/>
      <c r="H1436" s="46" t="n"/>
      <c r="I1436" s="46" t="n"/>
      <c r="J1436" s="46" t="n"/>
      <c r="K1436" s="46" t="n"/>
      <c r="L1436" s="46" t="n"/>
      <c r="M1436" s="51" t="str">
        <f>IF(NOT(ISNUMBER($E1436)),"",IF($C1436="Receipt",$E1436,IF($C1436="Shipment",-$E1436,IF($C1436="Adjustment",$E1436,0))))</f>
        <v/>
      </c>
      <c r="N1436" s="49" t="str">
        <f>IF($D1436="","",IFERROR(INDEX(Products!$B$2:$B$101,MATCH($D1436,Products!$A$2:$A$101,0))&amp;"","(not found)"))</f>
        <v/>
      </c>
      <c r="O1436" s="49" t="str">
        <f>IF($F1436="","",IFERROR(INDEX(Batches!$B$2:$B$301,MATCH($F1436,Batches!$A$2:$A$301,0))&amp;"","(not found)"))</f>
        <v/>
      </c>
      <c r="P1436" s="49" t="str">
        <f>IF(COUNTA($A1436:$L1436)=0,"",IF($A1436="","Missing: entry ID",IF(COUNTIF($A$2:$A$2001,$A1436)&gt;1,"Duplicate entry ID",IF(NOT(ISNUMBER($B1436)),"Missing or invalid: date",IF($C1436="","Missing: type",IF($D1436="","Missing: SKU",IF(NOT(ISNUMBER($E1436)),"Missing: qty",IF($F1436="","Missing: lot",IF($I1436="","Missing: source link",IF(COUNTIF(Config!$A$15:$A$34,$C1436)=0,"Unsupported type",IF(COUNTIF(Products!$A$2:$A$101,$D1436)=0,"Unknown SKU",IF(COUNTIFS(Batches!$A$2:$A$301,$F1436,Batches!$B$2:$B$301,$D1436)=0,"Unknown lot for this SKU",IF(AND($C1436="Adjustment",$G1436=""),"Missing: reason",IF(AND($G1436&lt;&gt;"",COUNTIF(Config!$B$15:$B$34,$G1436)=0),"Unsupported reason",IF(OR(INT($E1436)&lt;&gt;$E1436,AND(OR($C1436="Receipt",$C1436="Shipment"),$E1436&lt;=0),AND($C1436="Adjustment",$E1436=0)),"Invalid qty",IF($B1436&gt;Config!$B$4,"Date after the as-of date",IF($B1436&lt;Config!$B$5,"Date before the opening balance date","OK")))))))))))))))))</f>
        <v/>
      </c>
    </row>
    <row r="1437">
      <c r="A1437" s="46" t="n"/>
      <c r="B1437" s="54" t="n"/>
      <c r="C1437" s="46" t="n"/>
      <c r="D1437" s="46" t="n"/>
      <c r="E1437" s="55" t="n"/>
      <c r="F1437" s="46" t="n"/>
      <c r="G1437" s="46" t="n"/>
      <c r="H1437" s="46" t="n"/>
      <c r="I1437" s="46" t="n"/>
      <c r="J1437" s="46" t="n"/>
      <c r="K1437" s="46" t="n"/>
      <c r="L1437" s="46" t="n"/>
      <c r="M1437" s="51" t="str">
        <f>IF(NOT(ISNUMBER($E1437)),"",IF($C1437="Receipt",$E1437,IF($C1437="Shipment",-$E1437,IF($C1437="Adjustment",$E1437,0))))</f>
        <v/>
      </c>
      <c r="N1437" s="49" t="str">
        <f>IF($D1437="","",IFERROR(INDEX(Products!$B$2:$B$101,MATCH($D1437,Products!$A$2:$A$101,0))&amp;"","(not found)"))</f>
        <v/>
      </c>
      <c r="O1437" s="49" t="str">
        <f>IF($F1437="","",IFERROR(INDEX(Batches!$B$2:$B$301,MATCH($F1437,Batches!$A$2:$A$301,0))&amp;"","(not found)"))</f>
        <v/>
      </c>
      <c r="P1437" s="49" t="str">
        <f>IF(COUNTA($A1437:$L1437)=0,"",IF($A1437="","Missing: entry ID",IF(COUNTIF($A$2:$A$2001,$A1437)&gt;1,"Duplicate entry ID",IF(NOT(ISNUMBER($B1437)),"Missing or invalid: date",IF($C1437="","Missing: type",IF($D1437="","Missing: SKU",IF(NOT(ISNUMBER($E1437)),"Missing: qty",IF($F1437="","Missing: lot",IF($I1437="","Missing: source link",IF(COUNTIF(Config!$A$15:$A$34,$C1437)=0,"Unsupported type",IF(COUNTIF(Products!$A$2:$A$101,$D1437)=0,"Unknown SKU",IF(COUNTIFS(Batches!$A$2:$A$301,$F1437,Batches!$B$2:$B$301,$D1437)=0,"Unknown lot for this SKU",IF(AND($C1437="Adjustment",$G1437=""),"Missing: reason",IF(AND($G1437&lt;&gt;"",COUNTIF(Config!$B$15:$B$34,$G1437)=0),"Unsupported reason",IF(OR(INT($E1437)&lt;&gt;$E1437,AND(OR($C1437="Receipt",$C1437="Shipment"),$E1437&lt;=0),AND($C1437="Adjustment",$E1437=0)),"Invalid qty",IF($B1437&gt;Config!$B$4,"Date after the as-of date",IF($B1437&lt;Config!$B$5,"Date before the opening balance date","OK")))))))))))))))))</f>
        <v/>
      </c>
    </row>
    <row r="1438">
      <c r="A1438" s="46" t="n"/>
      <c r="B1438" s="54" t="n"/>
      <c r="C1438" s="46" t="n"/>
      <c r="D1438" s="46" t="n"/>
      <c r="E1438" s="55" t="n"/>
      <c r="F1438" s="46" t="n"/>
      <c r="G1438" s="46" t="n"/>
      <c r="H1438" s="46" t="n"/>
      <c r="I1438" s="46" t="n"/>
      <c r="J1438" s="46" t="n"/>
      <c r="K1438" s="46" t="n"/>
      <c r="L1438" s="46" t="n"/>
      <c r="M1438" s="51" t="str">
        <f>IF(NOT(ISNUMBER($E1438)),"",IF($C1438="Receipt",$E1438,IF($C1438="Shipment",-$E1438,IF($C1438="Adjustment",$E1438,0))))</f>
        <v/>
      </c>
      <c r="N1438" s="49" t="str">
        <f>IF($D1438="","",IFERROR(INDEX(Products!$B$2:$B$101,MATCH($D1438,Products!$A$2:$A$101,0))&amp;"","(not found)"))</f>
        <v/>
      </c>
      <c r="O1438" s="49" t="str">
        <f>IF($F1438="","",IFERROR(INDEX(Batches!$B$2:$B$301,MATCH($F1438,Batches!$A$2:$A$301,0))&amp;"","(not found)"))</f>
        <v/>
      </c>
      <c r="P1438" s="49" t="str">
        <f>IF(COUNTA($A1438:$L1438)=0,"",IF($A1438="","Missing: entry ID",IF(COUNTIF($A$2:$A$2001,$A1438)&gt;1,"Duplicate entry ID",IF(NOT(ISNUMBER($B1438)),"Missing or invalid: date",IF($C1438="","Missing: type",IF($D1438="","Missing: SKU",IF(NOT(ISNUMBER($E1438)),"Missing: qty",IF($F1438="","Missing: lot",IF($I1438="","Missing: source link",IF(COUNTIF(Config!$A$15:$A$34,$C1438)=0,"Unsupported type",IF(COUNTIF(Products!$A$2:$A$101,$D1438)=0,"Unknown SKU",IF(COUNTIFS(Batches!$A$2:$A$301,$F1438,Batches!$B$2:$B$301,$D1438)=0,"Unknown lot for this SKU",IF(AND($C1438="Adjustment",$G1438=""),"Missing: reason",IF(AND($G1438&lt;&gt;"",COUNTIF(Config!$B$15:$B$34,$G1438)=0),"Unsupported reason",IF(OR(INT($E1438)&lt;&gt;$E1438,AND(OR($C1438="Receipt",$C1438="Shipment"),$E1438&lt;=0),AND($C1438="Adjustment",$E1438=0)),"Invalid qty",IF($B1438&gt;Config!$B$4,"Date after the as-of date",IF($B1438&lt;Config!$B$5,"Date before the opening balance date","OK")))))))))))))))))</f>
        <v/>
      </c>
    </row>
    <row r="1439">
      <c r="A1439" s="46" t="n"/>
      <c r="B1439" s="54" t="n"/>
      <c r="C1439" s="46" t="n"/>
      <c r="D1439" s="46" t="n"/>
      <c r="E1439" s="55" t="n"/>
      <c r="F1439" s="46" t="n"/>
      <c r="G1439" s="46" t="n"/>
      <c r="H1439" s="46" t="n"/>
      <c r="I1439" s="46" t="n"/>
      <c r="J1439" s="46" t="n"/>
      <c r="K1439" s="46" t="n"/>
      <c r="L1439" s="46" t="n"/>
      <c r="M1439" s="51" t="str">
        <f>IF(NOT(ISNUMBER($E1439)),"",IF($C1439="Receipt",$E1439,IF($C1439="Shipment",-$E1439,IF($C1439="Adjustment",$E1439,0))))</f>
        <v/>
      </c>
      <c r="N1439" s="49" t="str">
        <f>IF($D1439="","",IFERROR(INDEX(Products!$B$2:$B$101,MATCH($D1439,Products!$A$2:$A$101,0))&amp;"","(not found)"))</f>
        <v/>
      </c>
      <c r="O1439" s="49" t="str">
        <f>IF($F1439="","",IFERROR(INDEX(Batches!$B$2:$B$301,MATCH($F1439,Batches!$A$2:$A$301,0))&amp;"","(not found)"))</f>
        <v/>
      </c>
      <c r="P1439" s="49" t="str">
        <f>IF(COUNTA($A1439:$L1439)=0,"",IF($A1439="","Missing: entry ID",IF(COUNTIF($A$2:$A$2001,$A1439)&gt;1,"Duplicate entry ID",IF(NOT(ISNUMBER($B1439)),"Missing or invalid: date",IF($C1439="","Missing: type",IF($D1439="","Missing: SKU",IF(NOT(ISNUMBER($E1439)),"Missing: qty",IF($F1439="","Missing: lot",IF($I1439="","Missing: source link",IF(COUNTIF(Config!$A$15:$A$34,$C1439)=0,"Unsupported type",IF(COUNTIF(Products!$A$2:$A$101,$D1439)=0,"Unknown SKU",IF(COUNTIFS(Batches!$A$2:$A$301,$F1439,Batches!$B$2:$B$301,$D1439)=0,"Unknown lot for this SKU",IF(AND($C1439="Adjustment",$G1439=""),"Missing: reason",IF(AND($G1439&lt;&gt;"",COUNTIF(Config!$B$15:$B$34,$G1439)=0),"Unsupported reason",IF(OR(INT($E1439)&lt;&gt;$E1439,AND(OR($C1439="Receipt",$C1439="Shipment"),$E1439&lt;=0),AND($C1439="Adjustment",$E1439=0)),"Invalid qty",IF($B1439&gt;Config!$B$4,"Date after the as-of date",IF($B1439&lt;Config!$B$5,"Date before the opening balance date","OK")))))))))))))))))</f>
        <v/>
      </c>
    </row>
    <row r="1440">
      <c r="A1440" s="46" t="n"/>
      <c r="B1440" s="54" t="n"/>
      <c r="C1440" s="46" t="n"/>
      <c r="D1440" s="46" t="n"/>
      <c r="E1440" s="55" t="n"/>
      <c r="F1440" s="46" t="n"/>
      <c r="G1440" s="46" t="n"/>
      <c r="H1440" s="46" t="n"/>
      <c r="I1440" s="46" t="n"/>
      <c r="J1440" s="46" t="n"/>
      <c r="K1440" s="46" t="n"/>
      <c r="L1440" s="46" t="n"/>
      <c r="M1440" s="51" t="str">
        <f>IF(NOT(ISNUMBER($E1440)),"",IF($C1440="Receipt",$E1440,IF($C1440="Shipment",-$E1440,IF($C1440="Adjustment",$E1440,0))))</f>
        <v/>
      </c>
      <c r="N1440" s="49" t="str">
        <f>IF($D1440="","",IFERROR(INDEX(Products!$B$2:$B$101,MATCH($D1440,Products!$A$2:$A$101,0))&amp;"","(not found)"))</f>
        <v/>
      </c>
      <c r="O1440" s="49" t="str">
        <f>IF($F1440="","",IFERROR(INDEX(Batches!$B$2:$B$301,MATCH($F1440,Batches!$A$2:$A$301,0))&amp;"","(not found)"))</f>
        <v/>
      </c>
      <c r="P1440" s="49" t="str">
        <f>IF(COUNTA($A1440:$L1440)=0,"",IF($A1440="","Missing: entry ID",IF(COUNTIF($A$2:$A$2001,$A1440)&gt;1,"Duplicate entry ID",IF(NOT(ISNUMBER($B1440)),"Missing or invalid: date",IF($C1440="","Missing: type",IF($D1440="","Missing: SKU",IF(NOT(ISNUMBER($E1440)),"Missing: qty",IF($F1440="","Missing: lot",IF($I1440="","Missing: source link",IF(COUNTIF(Config!$A$15:$A$34,$C1440)=0,"Unsupported type",IF(COUNTIF(Products!$A$2:$A$101,$D1440)=0,"Unknown SKU",IF(COUNTIFS(Batches!$A$2:$A$301,$F1440,Batches!$B$2:$B$301,$D1440)=0,"Unknown lot for this SKU",IF(AND($C1440="Adjustment",$G1440=""),"Missing: reason",IF(AND($G1440&lt;&gt;"",COUNTIF(Config!$B$15:$B$34,$G1440)=0),"Unsupported reason",IF(OR(INT($E1440)&lt;&gt;$E1440,AND(OR($C1440="Receipt",$C1440="Shipment"),$E1440&lt;=0),AND($C1440="Adjustment",$E1440=0)),"Invalid qty",IF($B1440&gt;Config!$B$4,"Date after the as-of date",IF($B1440&lt;Config!$B$5,"Date before the opening balance date","OK")))))))))))))))))</f>
        <v/>
      </c>
    </row>
    <row r="1441">
      <c r="A1441" s="46" t="n"/>
      <c r="B1441" s="54" t="n"/>
      <c r="C1441" s="46" t="n"/>
      <c r="D1441" s="46" t="n"/>
      <c r="E1441" s="55" t="n"/>
      <c r="F1441" s="46" t="n"/>
      <c r="G1441" s="46" t="n"/>
      <c r="H1441" s="46" t="n"/>
      <c r="I1441" s="46" t="n"/>
      <c r="J1441" s="46" t="n"/>
      <c r="K1441" s="46" t="n"/>
      <c r="L1441" s="46" t="n"/>
      <c r="M1441" s="51" t="str">
        <f>IF(NOT(ISNUMBER($E1441)),"",IF($C1441="Receipt",$E1441,IF($C1441="Shipment",-$E1441,IF($C1441="Adjustment",$E1441,0))))</f>
        <v/>
      </c>
      <c r="N1441" s="49" t="str">
        <f>IF($D1441="","",IFERROR(INDEX(Products!$B$2:$B$101,MATCH($D1441,Products!$A$2:$A$101,0))&amp;"","(not found)"))</f>
        <v/>
      </c>
      <c r="O1441" s="49" t="str">
        <f>IF($F1441="","",IFERROR(INDEX(Batches!$B$2:$B$301,MATCH($F1441,Batches!$A$2:$A$301,0))&amp;"","(not found)"))</f>
        <v/>
      </c>
      <c r="P1441" s="49" t="str">
        <f>IF(COUNTA($A1441:$L1441)=0,"",IF($A1441="","Missing: entry ID",IF(COUNTIF($A$2:$A$2001,$A1441)&gt;1,"Duplicate entry ID",IF(NOT(ISNUMBER($B1441)),"Missing or invalid: date",IF($C1441="","Missing: type",IF($D1441="","Missing: SKU",IF(NOT(ISNUMBER($E1441)),"Missing: qty",IF($F1441="","Missing: lot",IF($I1441="","Missing: source link",IF(COUNTIF(Config!$A$15:$A$34,$C1441)=0,"Unsupported type",IF(COUNTIF(Products!$A$2:$A$101,$D1441)=0,"Unknown SKU",IF(COUNTIFS(Batches!$A$2:$A$301,$F1441,Batches!$B$2:$B$301,$D1441)=0,"Unknown lot for this SKU",IF(AND($C1441="Adjustment",$G1441=""),"Missing: reason",IF(AND($G1441&lt;&gt;"",COUNTIF(Config!$B$15:$B$34,$G1441)=0),"Unsupported reason",IF(OR(INT($E1441)&lt;&gt;$E1441,AND(OR($C1441="Receipt",$C1441="Shipment"),$E1441&lt;=0),AND($C1441="Adjustment",$E1441=0)),"Invalid qty",IF($B1441&gt;Config!$B$4,"Date after the as-of date",IF($B1441&lt;Config!$B$5,"Date before the opening balance date","OK")))))))))))))))))</f>
        <v/>
      </c>
    </row>
    <row r="1442">
      <c r="A1442" s="46" t="n"/>
      <c r="B1442" s="54" t="n"/>
      <c r="C1442" s="46" t="n"/>
      <c r="D1442" s="46" t="n"/>
      <c r="E1442" s="55" t="n"/>
      <c r="F1442" s="46" t="n"/>
      <c r="G1442" s="46" t="n"/>
      <c r="H1442" s="46" t="n"/>
      <c r="I1442" s="46" t="n"/>
      <c r="J1442" s="46" t="n"/>
      <c r="K1442" s="46" t="n"/>
      <c r="L1442" s="46" t="n"/>
      <c r="M1442" s="51" t="str">
        <f>IF(NOT(ISNUMBER($E1442)),"",IF($C1442="Receipt",$E1442,IF($C1442="Shipment",-$E1442,IF($C1442="Adjustment",$E1442,0))))</f>
        <v/>
      </c>
      <c r="N1442" s="49" t="str">
        <f>IF($D1442="","",IFERROR(INDEX(Products!$B$2:$B$101,MATCH($D1442,Products!$A$2:$A$101,0))&amp;"","(not found)"))</f>
        <v/>
      </c>
      <c r="O1442" s="49" t="str">
        <f>IF($F1442="","",IFERROR(INDEX(Batches!$B$2:$B$301,MATCH($F1442,Batches!$A$2:$A$301,0))&amp;"","(not found)"))</f>
        <v/>
      </c>
      <c r="P1442" s="49" t="str">
        <f>IF(COUNTA($A1442:$L1442)=0,"",IF($A1442="","Missing: entry ID",IF(COUNTIF($A$2:$A$2001,$A1442)&gt;1,"Duplicate entry ID",IF(NOT(ISNUMBER($B1442)),"Missing or invalid: date",IF($C1442="","Missing: type",IF($D1442="","Missing: SKU",IF(NOT(ISNUMBER($E1442)),"Missing: qty",IF($F1442="","Missing: lot",IF($I1442="","Missing: source link",IF(COUNTIF(Config!$A$15:$A$34,$C1442)=0,"Unsupported type",IF(COUNTIF(Products!$A$2:$A$101,$D1442)=0,"Unknown SKU",IF(COUNTIFS(Batches!$A$2:$A$301,$F1442,Batches!$B$2:$B$301,$D1442)=0,"Unknown lot for this SKU",IF(AND($C1442="Adjustment",$G1442=""),"Missing: reason",IF(AND($G1442&lt;&gt;"",COUNTIF(Config!$B$15:$B$34,$G1442)=0),"Unsupported reason",IF(OR(INT($E1442)&lt;&gt;$E1442,AND(OR($C1442="Receipt",$C1442="Shipment"),$E1442&lt;=0),AND($C1442="Adjustment",$E1442=0)),"Invalid qty",IF($B1442&gt;Config!$B$4,"Date after the as-of date",IF($B1442&lt;Config!$B$5,"Date before the opening balance date","OK")))))))))))))))))</f>
        <v/>
      </c>
    </row>
    <row r="1443">
      <c r="A1443" s="46" t="n"/>
      <c r="B1443" s="54" t="n"/>
      <c r="C1443" s="46" t="n"/>
      <c r="D1443" s="46" t="n"/>
      <c r="E1443" s="55" t="n"/>
      <c r="F1443" s="46" t="n"/>
      <c r="G1443" s="46" t="n"/>
      <c r="H1443" s="46" t="n"/>
      <c r="I1443" s="46" t="n"/>
      <c r="J1443" s="46" t="n"/>
      <c r="K1443" s="46" t="n"/>
      <c r="L1443" s="46" t="n"/>
      <c r="M1443" s="51" t="str">
        <f>IF(NOT(ISNUMBER($E1443)),"",IF($C1443="Receipt",$E1443,IF($C1443="Shipment",-$E1443,IF($C1443="Adjustment",$E1443,0))))</f>
        <v/>
      </c>
      <c r="N1443" s="49" t="str">
        <f>IF($D1443="","",IFERROR(INDEX(Products!$B$2:$B$101,MATCH($D1443,Products!$A$2:$A$101,0))&amp;"","(not found)"))</f>
        <v/>
      </c>
      <c r="O1443" s="49" t="str">
        <f>IF($F1443="","",IFERROR(INDEX(Batches!$B$2:$B$301,MATCH($F1443,Batches!$A$2:$A$301,0))&amp;"","(not found)"))</f>
        <v/>
      </c>
      <c r="P1443" s="49" t="str">
        <f>IF(COUNTA($A1443:$L1443)=0,"",IF($A1443="","Missing: entry ID",IF(COUNTIF($A$2:$A$2001,$A1443)&gt;1,"Duplicate entry ID",IF(NOT(ISNUMBER($B1443)),"Missing or invalid: date",IF($C1443="","Missing: type",IF($D1443="","Missing: SKU",IF(NOT(ISNUMBER($E1443)),"Missing: qty",IF($F1443="","Missing: lot",IF($I1443="","Missing: source link",IF(COUNTIF(Config!$A$15:$A$34,$C1443)=0,"Unsupported type",IF(COUNTIF(Products!$A$2:$A$101,$D1443)=0,"Unknown SKU",IF(COUNTIFS(Batches!$A$2:$A$301,$F1443,Batches!$B$2:$B$301,$D1443)=0,"Unknown lot for this SKU",IF(AND($C1443="Adjustment",$G1443=""),"Missing: reason",IF(AND($G1443&lt;&gt;"",COUNTIF(Config!$B$15:$B$34,$G1443)=0),"Unsupported reason",IF(OR(INT($E1443)&lt;&gt;$E1443,AND(OR($C1443="Receipt",$C1443="Shipment"),$E1443&lt;=0),AND($C1443="Adjustment",$E1443=0)),"Invalid qty",IF($B1443&gt;Config!$B$4,"Date after the as-of date",IF($B1443&lt;Config!$B$5,"Date before the opening balance date","OK")))))))))))))))))</f>
        <v/>
      </c>
    </row>
    <row r="1444">
      <c r="A1444" s="46" t="n"/>
      <c r="B1444" s="54" t="n"/>
      <c r="C1444" s="46" t="n"/>
      <c r="D1444" s="46" t="n"/>
      <c r="E1444" s="55" t="n"/>
      <c r="F1444" s="46" t="n"/>
      <c r="G1444" s="46" t="n"/>
      <c r="H1444" s="46" t="n"/>
      <c r="I1444" s="46" t="n"/>
      <c r="J1444" s="46" t="n"/>
      <c r="K1444" s="46" t="n"/>
      <c r="L1444" s="46" t="n"/>
      <c r="M1444" s="51" t="str">
        <f>IF(NOT(ISNUMBER($E1444)),"",IF($C1444="Receipt",$E1444,IF($C1444="Shipment",-$E1444,IF($C1444="Adjustment",$E1444,0))))</f>
        <v/>
      </c>
      <c r="N1444" s="49" t="str">
        <f>IF($D1444="","",IFERROR(INDEX(Products!$B$2:$B$101,MATCH($D1444,Products!$A$2:$A$101,0))&amp;"","(not found)"))</f>
        <v/>
      </c>
      <c r="O1444" s="49" t="str">
        <f>IF($F1444="","",IFERROR(INDEX(Batches!$B$2:$B$301,MATCH($F1444,Batches!$A$2:$A$301,0))&amp;"","(not found)"))</f>
        <v/>
      </c>
      <c r="P1444" s="49" t="str">
        <f>IF(COUNTA($A1444:$L1444)=0,"",IF($A1444="","Missing: entry ID",IF(COUNTIF($A$2:$A$2001,$A1444)&gt;1,"Duplicate entry ID",IF(NOT(ISNUMBER($B1444)),"Missing or invalid: date",IF($C1444="","Missing: type",IF($D1444="","Missing: SKU",IF(NOT(ISNUMBER($E1444)),"Missing: qty",IF($F1444="","Missing: lot",IF($I1444="","Missing: source link",IF(COUNTIF(Config!$A$15:$A$34,$C1444)=0,"Unsupported type",IF(COUNTIF(Products!$A$2:$A$101,$D1444)=0,"Unknown SKU",IF(COUNTIFS(Batches!$A$2:$A$301,$F1444,Batches!$B$2:$B$301,$D1444)=0,"Unknown lot for this SKU",IF(AND($C1444="Adjustment",$G1444=""),"Missing: reason",IF(AND($G1444&lt;&gt;"",COUNTIF(Config!$B$15:$B$34,$G1444)=0),"Unsupported reason",IF(OR(INT($E1444)&lt;&gt;$E1444,AND(OR($C1444="Receipt",$C1444="Shipment"),$E1444&lt;=0),AND($C1444="Adjustment",$E1444=0)),"Invalid qty",IF($B1444&gt;Config!$B$4,"Date after the as-of date",IF($B1444&lt;Config!$B$5,"Date before the opening balance date","OK")))))))))))))))))</f>
        <v/>
      </c>
    </row>
    <row r="1445">
      <c r="A1445" s="46" t="n"/>
      <c r="B1445" s="54" t="n"/>
      <c r="C1445" s="46" t="n"/>
      <c r="D1445" s="46" t="n"/>
      <c r="E1445" s="55" t="n"/>
      <c r="F1445" s="46" t="n"/>
      <c r="G1445" s="46" t="n"/>
      <c r="H1445" s="46" t="n"/>
      <c r="I1445" s="46" t="n"/>
      <c r="J1445" s="46" t="n"/>
      <c r="K1445" s="46" t="n"/>
      <c r="L1445" s="46" t="n"/>
      <c r="M1445" s="51" t="str">
        <f>IF(NOT(ISNUMBER($E1445)),"",IF($C1445="Receipt",$E1445,IF($C1445="Shipment",-$E1445,IF($C1445="Adjustment",$E1445,0))))</f>
        <v/>
      </c>
      <c r="N1445" s="49" t="str">
        <f>IF($D1445="","",IFERROR(INDEX(Products!$B$2:$B$101,MATCH($D1445,Products!$A$2:$A$101,0))&amp;"","(not found)"))</f>
        <v/>
      </c>
      <c r="O1445" s="49" t="str">
        <f>IF($F1445="","",IFERROR(INDEX(Batches!$B$2:$B$301,MATCH($F1445,Batches!$A$2:$A$301,0))&amp;"","(not found)"))</f>
        <v/>
      </c>
      <c r="P1445" s="49" t="str">
        <f>IF(COUNTA($A1445:$L1445)=0,"",IF($A1445="","Missing: entry ID",IF(COUNTIF($A$2:$A$2001,$A1445)&gt;1,"Duplicate entry ID",IF(NOT(ISNUMBER($B1445)),"Missing or invalid: date",IF($C1445="","Missing: type",IF($D1445="","Missing: SKU",IF(NOT(ISNUMBER($E1445)),"Missing: qty",IF($F1445="","Missing: lot",IF($I1445="","Missing: source link",IF(COUNTIF(Config!$A$15:$A$34,$C1445)=0,"Unsupported type",IF(COUNTIF(Products!$A$2:$A$101,$D1445)=0,"Unknown SKU",IF(COUNTIFS(Batches!$A$2:$A$301,$F1445,Batches!$B$2:$B$301,$D1445)=0,"Unknown lot for this SKU",IF(AND($C1445="Adjustment",$G1445=""),"Missing: reason",IF(AND($G1445&lt;&gt;"",COUNTIF(Config!$B$15:$B$34,$G1445)=0),"Unsupported reason",IF(OR(INT($E1445)&lt;&gt;$E1445,AND(OR($C1445="Receipt",$C1445="Shipment"),$E1445&lt;=0),AND($C1445="Adjustment",$E1445=0)),"Invalid qty",IF($B1445&gt;Config!$B$4,"Date after the as-of date",IF($B1445&lt;Config!$B$5,"Date before the opening balance date","OK")))))))))))))))))</f>
        <v/>
      </c>
    </row>
    <row r="1446">
      <c r="A1446" s="46" t="n"/>
      <c r="B1446" s="54" t="n"/>
      <c r="C1446" s="46" t="n"/>
      <c r="D1446" s="46" t="n"/>
      <c r="E1446" s="55" t="n"/>
      <c r="F1446" s="46" t="n"/>
      <c r="G1446" s="46" t="n"/>
      <c r="H1446" s="46" t="n"/>
      <c r="I1446" s="46" t="n"/>
      <c r="J1446" s="46" t="n"/>
      <c r="K1446" s="46" t="n"/>
      <c r="L1446" s="46" t="n"/>
      <c r="M1446" s="51" t="str">
        <f>IF(NOT(ISNUMBER($E1446)),"",IF($C1446="Receipt",$E1446,IF($C1446="Shipment",-$E1446,IF($C1446="Adjustment",$E1446,0))))</f>
        <v/>
      </c>
      <c r="N1446" s="49" t="str">
        <f>IF($D1446="","",IFERROR(INDEX(Products!$B$2:$B$101,MATCH($D1446,Products!$A$2:$A$101,0))&amp;"","(not found)"))</f>
        <v/>
      </c>
      <c r="O1446" s="49" t="str">
        <f>IF($F1446="","",IFERROR(INDEX(Batches!$B$2:$B$301,MATCH($F1446,Batches!$A$2:$A$301,0))&amp;"","(not found)"))</f>
        <v/>
      </c>
      <c r="P1446" s="49" t="str">
        <f>IF(COUNTA($A1446:$L1446)=0,"",IF($A1446="","Missing: entry ID",IF(COUNTIF($A$2:$A$2001,$A1446)&gt;1,"Duplicate entry ID",IF(NOT(ISNUMBER($B1446)),"Missing or invalid: date",IF($C1446="","Missing: type",IF($D1446="","Missing: SKU",IF(NOT(ISNUMBER($E1446)),"Missing: qty",IF($F1446="","Missing: lot",IF($I1446="","Missing: source link",IF(COUNTIF(Config!$A$15:$A$34,$C1446)=0,"Unsupported type",IF(COUNTIF(Products!$A$2:$A$101,$D1446)=0,"Unknown SKU",IF(COUNTIFS(Batches!$A$2:$A$301,$F1446,Batches!$B$2:$B$301,$D1446)=0,"Unknown lot for this SKU",IF(AND($C1446="Adjustment",$G1446=""),"Missing: reason",IF(AND($G1446&lt;&gt;"",COUNTIF(Config!$B$15:$B$34,$G1446)=0),"Unsupported reason",IF(OR(INT($E1446)&lt;&gt;$E1446,AND(OR($C1446="Receipt",$C1446="Shipment"),$E1446&lt;=0),AND($C1446="Adjustment",$E1446=0)),"Invalid qty",IF($B1446&gt;Config!$B$4,"Date after the as-of date",IF($B1446&lt;Config!$B$5,"Date before the opening balance date","OK")))))))))))))))))</f>
        <v/>
      </c>
    </row>
    <row r="1447">
      <c r="A1447" s="46" t="n"/>
      <c r="B1447" s="54" t="n"/>
      <c r="C1447" s="46" t="n"/>
      <c r="D1447" s="46" t="n"/>
      <c r="E1447" s="55" t="n"/>
      <c r="F1447" s="46" t="n"/>
      <c r="G1447" s="46" t="n"/>
      <c r="H1447" s="46" t="n"/>
      <c r="I1447" s="46" t="n"/>
      <c r="J1447" s="46" t="n"/>
      <c r="K1447" s="46" t="n"/>
      <c r="L1447" s="46" t="n"/>
      <c r="M1447" s="51" t="str">
        <f>IF(NOT(ISNUMBER($E1447)),"",IF($C1447="Receipt",$E1447,IF($C1447="Shipment",-$E1447,IF($C1447="Adjustment",$E1447,0))))</f>
        <v/>
      </c>
      <c r="N1447" s="49" t="str">
        <f>IF($D1447="","",IFERROR(INDEX(Products!$B$2:$B$101,MATCH($D1447,Products!$A$2:$A$101,0))&amp;"","(not found)"))</f>
        <v/>
      </c>
      <c r="O1447" s="49" t="str">
        <f>IF($F1447="","",IFERROR(INDEX(Batches!$B$2:$B$301,MATCH($F1447,Batches!$A$2:$A$301,0))&amp;"","(not found)"))</f>
        <v/>
      </c>
      <c r="P1447" s="49" t="str">
        <f>IF(COUNTA($A1447:$L1447)=0,"",IF($A1447="","Missing: entry ID",IF(COUNTIF($A$2:$A$2001,$A1447)&gt;1,"Duplicate entry ID",IF(NOT(ISNUMBER($B1447)),"Missing or invalid: date",IF($C1447="","Missing: type",IF($D1447="","Missing: SKU",IF(NOT(ISNUMBER($E1447)),"Missing: qty",IF($F1447="","Missing: lot",IF($I1447="","Missing: source link",IF(COUNTIF(Config!$A$15:$A$34,$C1447)=0,"Unsupported type",IF(COUNTIF(Products!$A$2:$A$101,$D1447)=0,"Unknown SKU",IF(COUNTIFS(Batches!$A$2:$A$301,$F1447,Batches!$B$2:$B$301,$D1447)=0,"Unknown lot for this SKU",IF(AND($C1447="Adjustment",$G1447=""),"Missing: reason",IF(AND($G1447&lt;&gt;"",COUNTIF(Config!$B$15:$B$34,$G1447)=0),"Unsupported reason",IF(OR(INT($E1447)&lt;&gt;$E1447,AND(OR($C1447="Receipt",$C1447="Shipment"),$E1447&lt;=0),AND($C1447="Adjustment",$E1447=0)),"Invalid qty",IF($B1447&gt;Config!$B$4,"Date after the as-of date",IF($B1447&lt;Config!$B$5,"Date before the opening balance date","OK")))))))))))))))))</f>
        <v/>
      </c>
    </row>
    <row r="1448">
      <c r="A1448" s="46" t="n"/>
      <c r="B1448" s="54" t="n"/>
      <c r="C1448" s="46" t="n"/>
      <c r="D1448" s="46" t="n"/>
      <c r="E1448" s="55" t="n"/>
      <c r="F1448" s="46" t="n"/>
      <c r="G1448" s="46" t="n"/>
      <c r="H1448" s="46" t="n"/>
      <c r="I1448" s="46" t="n"/>
      <c r="J1448" s="46" t="n"/>
      <c r="K1448" s="46" t="n"/>
      <c r="L1448" s="46" t="n"/>
      <c r="M1448" s="51" t="str">
        <f>IF(NOT(ISNUMBER($E1448)),"",IF($C1448="Receipt",$E1448,IF($C1448="Shipment",-$E1448,IF($C1448="Adjustment",$E1448,0))))</f>
        <v/>
      </c>
      <c r="N1448" s="49" t="str">
        <f>IF($D1448="","",IFERROR(INDEX(Products!$B$2:$B$101,MATCH($D1448,Products!$A$2:$A$101,0))&amp;"","(not found)"))</f>
        <v/>
      </c>
      <c r="O1448" s="49" t="str">
        <f>IF($F1448="","",IFERROR(INDEX(Batches!$B$2:$B$301,MATCH($F1448,Batches!$A$2:$A$301,0))&amp;"","(not found)"))</f>
        <v/>
      </c>
      <c r="P1448" s="49" t="str">
        <f>IF(COUNTA($A1448:$L1448)=0,"",IF($A1448="","Missing: entry ID",IF(COUNTIF($A$2:$A$2001,$A1448)&gt;1,"Duplicate entry ID",IF(NOT(ISNUMBER($B1448)),"Missing or invalid: date",IF($C1448="","Missing: type",IF($D1448="","Missing: SKU",IF(NOT(ISNUMBER($E1448)),"Missing: qty",IF($F1448="","Missing: lot",IF($I1448="","Missing: source link",IF(COUNTIF(Config!$A$15:$A$34,$C1448)=0,"Unsupported type",IF(COUNTIF(Products!$A$2:$A$101,$D1448)=0,"Unknown SKU",IF(COUNTIFS(Batches!$A$2:$A$301,$F1448,Batches!$B$2:$B$301,$D1448)=0,"Unknown lot for this SKU",IF(AND($C1448="Adjustment",$G1448=""),"Missing: reason",IF(AND($G1448&lt;&gt;"",COUNTIF(Config!$B$15:$B$34,$G1448)=0),"Unsupported reason",IF(OR(INT($E1448)&lt;&gt;$E1448,AND(OR($C1448="Receipt",$C1448="Shipment"),$E1448&lt;=0),AND($C1448="Adjustment",$E1448=0)),"Invalid qty",IF($B1448&gt;Config!$B$4,"Date after the as-of date",IF($B1448&lt;Config!$B$5,"Date before the opening balance date","OK")))))))))))))))))</f>
        <v/>
      </c>
    </row>
    <row r="1449">
      <c r="A1449" s="46" t="n"/>
      <c r="B1449" s="54" t="n"/>
      <c r="C1449" s="46" t="n"/>
      <c r="D1449" s="46" t="n"/>
      <c r="E1449" s="55" t="n"/>
      <c r="F1449" s="46" t="n"/>
      <c r="G1449" s="46" t="n"/>
      <c r="H1449" s="46" t="n"/>
      <c r="I1449" s="46" t="n"/>
      <c r="J1449" s="46" t="n"/>
      <c r="K1449" s="46" t="n"/>
      <c r="L1449" s="46" t="n"/>
      <c r="M1449" s="51" t="str">
        <f>IF(NOT(ISNUMBER($E1449)),"",IF($C1449="Receipt",$E1449,IF($C1449="Shipment",-$E1449,IF($C1449="Adjustment",$E1449,0))))</f>
        <v/>
      </c>
      <c r="N1449" s="49" t="str">
        <f>IF($D1449="","",IFERROR(INDEX(Products!$B$2:$B$101,MATCH($D1449,Products!$A$2:$A$101,0))&amp;"","(not found)"))</f>
        <v/>
      </c>
      <c r="O1449" s="49" t="str">
        <f>IF($F1449="","",IFERROR(INDEX(Batches!$B$2:$B$301,MATCH($F1449,Batches!$A$2:$A$301,0))&amp;"","(not found)"))</f>
        <v/>
      </c>
      <c r="P1449" s="49" t="str">
        <f>IF(COUNTA($A1449:$L1449)=0,"",IF($A1449="","Missing: entry ID",IF(COUNTIF($A$2:$A$2001,$A1449)&gt;1,"Duplicate entry ID",IF(NOT(ISNUMBER($B1449)),"Missing or invalid: date",IF($C1449="","Missing: type",IF($D1449="","Missing: SKU",IF(NOT(ISNUMBER($E1449)),"Missing: qty",IF($F1449="","Missing: lot",IF($I1449="","Missing: source link",IF(COUNTIF(Config!$A$15:$A$34,$C1449)=0,"Unsupported type",IF(COUNTIF(Products!$A$2:$A$101,$D1449)=0,"Unknown SKU",IF(COUNTIFS(Batches!$A$2:$A$301,$F1449,Batches!$B$2:$B$301,$D1449)=0,"Unknown lot for this SKU",IF(AND($C1449="Adjustment",$G1449=""),"Missing: reason",IF(AND($G1449&lt;&gt;"",COUNTIF(Config!$B$15:$B$34,$G1449)=0),"Unsupported reason",IF(OR(INT($E1449)&lt;&gt;$E1449,AND(OR($C1449="Receipt",$C1449="Shipment"),$E1449&lt;=0),AND($C1449="Adjustment",$E1449=0)),"Invalid qty",IF($B1449&gt;Config!$B$4,"Date after the as-of date",IF($B1449&lt;Config!$B$5,"Date before the opening balance date","OK")))))))))))))))))</f>
        <v/>
      </c>
    </row>
    <row r="1450">
      <c r="A1450" s="46" t="n"/>
      <c r="B1450" s="54" t="n"/>
      <c r="C1450" s="46" t="n"/>
      <c r="D1450" s="46" t="n"/>
      <c r="E1450" s="55" t="n"/>
      <c r="F1450" s="46" t="n"/>
      <c r="G1450" s="46" t="n"/>
      <c r="H1450" s="46" t="n"/>
      <c r="I1450" s="46" t="n"/>
      <c r="J1450" s="46" t="n"/>
      <c r="K1450" s="46" t="n"/>
      <c r="L1450" s="46" t="n"/>
      <c r="M1450" s="51" t="str">
        <f>IF(NOT(ISNUMBER($E1450)),"",IF($C1450="Receipt",$E1450,IF($C1450="Shipment",-$E1450,IF($C1450="Adjustment",$E1450,0))))</f>
        <v/>
      </c>
      <c r="N1450" s="49" t="str">
        <f>IF($D1450="","",IFERROR(INDEX(Products!$B$2:$B$101,MATCH($D1450,Products!$A$2:$A$101,0))&amp;"","(not found)"))</f>
        <v/>
      </c>
      <c r="O1450" s="49" t="str">
        <f>IF($F1450="","",IFERROR(INDEX(Batches!$B$2:$B$301,MATCH($F1450,Batches!$A$2:$A$301,0))&amp;"","(not found)"))</f>
        <v/>
      </c>
      <c r="P1450" s="49" t="str">
        <f>IF(COUNTA($A1450:$L1450)=0,"",IF($A1450="","Missing: entry ID",IF(COUNTIF($A$2:$A$2001,$A1450)&gt;1,"Duplicate entry ID",IF(NOT(ISNUMBER($B1450)),"Missing or invalid: date",IF($C1450="","Missing: type",IF($D1450="","Missing: SKU",IF(NOT(ISNUMBER($E1450)),"Missing: qty",IF($F1450="","Missing: lot",IF($I1450="","Missing: source link",IF(COUNTIF(Config!$A$15:$A$34,$C1450)=0,"Unsupported type",IF(COUNTIF(Products!$A$2:$A$101,$D1450)=0,"Unknown SKU",IF(COUNTIFS(Batches!$A$2:$A$301,$F1450,Batches!$B$2:$B$301,$D1450)=0,"Unknown lot for this SKU",IF(AND($C1450="Adjustment",$G1450=""),"Missing: reason",IF(AND($G1450&lt;&gt;"",COUNTIF(Config!$B$15:$B$34,$G1450)=0),"Unsupported reason",IF(OR(INT($E1450)&lt;&gt;$E1450,AND(OR($C1450="Receipt",$C1450="Shipment"),$E1450&lt;=0),AND($C1450="Adjustment",$E1450=0)),"Invalid qty",IF($B1450&gt;Config!$B$4,"Date after the as-of date",IF($B1450&lt;Config!$B$5,"Date before the opening balance date","OK")))))))))))))))))</f>
        <v/>
      </c>
    </row>
    <row r="1451">
      <c r="A1451" s="46" t="n"/>
      <c r="B1451" s="54" t="n"/>
      <c r="C1451" s="46" t="n"/>
      <c r="D1451" s="46" t="n"/>
      <c r="E1451" s="55" t="n"/>
      <c r="F1451" s="46" t="n"/>
      <c r="G1451" s="46" t="n"/>
      <c r="H1451" s="46" t="n"/>
      <c r="I1451" s="46" t="n"/>
      <c r="J1451" s="46" t="n"/>
      <c r="K1451" s="46" t="n"/>
      <c r="L1451" s="46" t="n"/>
      <c r="M1451" s="51" t="str">
        <f>IF(NOT(ISNUMBER($E1451)),"",IF($C1451="Receipt",$E1451,IF($C1451="Shipment",-$E1451,IF($C1451="Adjustment",$E1451,0))))</f>
        <v/>
      </c>
      <c r="N1451" s="49" t="str">
        <f>IF($D1451="","",IFERROR(INDEX(Products!$B$2:$B$101,MATCH($D1451,Products!$A$2:$A$101,0))&amp;"","(not found)"))</f>
        <v/>
      </c>
      <c r="O1451" s="49" t="str">
        <f>IF($F1451="","",IFERROR(INDEX(Batches!$B$2:$B$301,MATCH($F1451,Batches!$A$2:$A$301,0))&amp;"","(not found)"))</f>
        <v/>
      </c>
      <c r="P1451" s="49" t="str">
        <f>IF(COUNTA($A1451:$L1451)=0,"",IF($A1451="","Missing: entry ID",IF(COUNTIF($A$2:$A$2001,$A1451)&gt;1,"Duplicate entry ID",IF(NOT(ISNUMBER($B1451)),"Missing or invalid: date",IF($C1451="","Missing: type",IF($D1451="","Missing: SKU",IF(NOT(ISNUMBER($E1451)),"Missing: qty",IF($F1451="","Missing: lot",IF($I1451="","Missing: source link",IF(COUNTIF(Config!$A$15:$A$34,$C1451)=0,"Unsupported type",IF(COUNTIF(Products!$A$2:$A$101,$D1451)=0,"Unknown SKU",IF(COUNTIFS(Batches!$A$2:$A$301,$F1451,Batches!$B$2:$B$301,$D1451)=0,"Unknown lot for this SKU",IF(AND($C1451="Adjustment",$G1451=""),"Missing: reason",IF(AND($G1451&lt;&gt;"",COUNTIF(Config!$B$15:$B$34,$G1451)=0),"Unsupported reason",IF(OR(INT($E1451)&lt;&gt;$E1451,AND(OR($C1451="Receipt",$C1451="Shipment"),$E1451&lt;=0),AND($C1451="Adjustment",$E1451=0)),"Invalid qty",IF($B1451&gt;Config!$B$4,"Date after the as-of date",IF($B1451&lt;Config!$B$5,"Date before the opening balance date","OK")))))))))))))))))</f>
        <v/>
      </c>
    </row>
    <row r="1452">
      <c r="A1452" s="46" t="n"/>
      <c r="B1452" s="54" t="n"/>
      <c r="C1452" s="46" t="n"/>
      <c r="D1452" s="46" t="n"/>
      <c r="E1452" s="55" t="n"/>
      <c r="F1452" s="46" t="n"/>
      <c r="G1452" s="46" t="n"/>
      <c r="H1452" s="46" t="n"/>
      <c r="I1452" s="46" t="n"/>
      <c r="J1452" s="46" t="n"/>
      <c r="K1452" s="46" t="n"/>
      <c r="L1452" s="46" t="n"/>
      <c r="M1452" s="51" t="str">
        <f>IF(NOT(ISNUMBER($E1452)),"",IF($C1452="Receipt",$E1452,IF($C1452="Shipment",-$E1452,IF($C1452="Adjustment",$E1452,0))))</f>
        <v/>
      </c>
      <c r="N1452" s="49" t="str">
        <f>IF($D1452="","",IFERROR(INDEX(Products!$B$2:$B$101,MATCH($D1452,Products!$A$2:$A$101,0))&amp;"","(not found)"))</f>
        <v/>
      </c>
      <c r="O1452" s="49" t="str">
        <f>IF($F1452="","",IFERROR(INDEX(Batches!$B$2:$B$301,MATCH($F1452,Batches!$A$2:$A$301,0))&amp;"","(not found)"))</f>
        <v/>
      </c>
      <c r="P1452" s="49" t="str">
        <f>IF(COUNTA($A1452:$L1452)=0,"",IF($A1452="","Missing: entry ID",IF(COUNTIF($A$2:$A$2001,$A1452)&gt;1,"Duplicate entry ID",IF(NOT(ISNUMBER($B1452)),"Missing or invalid: date",IF($C1452="","Missing: type",IF($D1452="","Missing: SKU",IF(NOT(ISNUMBER($E1452)),"Missing: qty",IF($F1452="","Missing: lot",IF($I1452="","Missing: source link",IF(COUNTIF(Config!$A$15:$A$34,$C1452)=0,"Unsupported type",IF(COUNTIF(Products!$A$2:$A$101,$D1452)=0,"Unknown SKU",IF(COUNTIFS(Batches!$A$2:$A$301,$F1452,Batches!$B$2:$B$301,$D1452)=0,"Unknown lot for this SKU",IF(AND($C1452="Adjustment",$G1452=""),"Missing: reason",IF(AND($G1452&lt;&gt;"",COUNTIF(Config!$B$15:$B$34,$G1452)=0),"Unsupported reason",IF(OR(INT($E1452)&lt;&gt;$E1452,AND(OR($C1452="Receipt",$C1452="Shipment"),$E1452&lt;=0),AND($C1452="Adjustment",$E1452=0)),"Invalid qty",IF($B1452&gt;Config!$B$4,"Date after the as-of date",IF($B1452&lt;Config!$B$5,"Date before the opening balance date","OK")))))))))))))))))</f>
        <v/>
      </c>
    </row>
    <row r="1453">
      <c r="A1453" s="46" t="n"/>
      <c r="B1453" s="54" t="n"/>
      <c r="C1453" s="46" t="n"/>
      <c r="D1453" s="46" t="n"/>
      <c r="E1453" s="55" t="n"/>
      <c r="F1453" s="46" t="n"/>
      <c r="G1453" s="46" t="n"/>
      <c r="H1453" s="46" t="n"/>
      <c r="I1453" s="46" t="n"/>
      <c r="J1453" s="46" t="n"/>
      <c r="K1453" s="46" t="n"/>
      <c r="L1453" s="46" t="n"/>
      <c r="M1453" s="51" t="str">
        <f>IF(NOT(ISNUMBER($E1453)),"",IF($C1453="Receipt",$E1453,IF($C1453="Shipment",-$E1453,IF($C1453="Adjustment",$E1453,0))))</f>
        <v/>
      </c>
      <c r="N1453" s="49" t="str">
        <f>IF($D1453="","",IFERROR(INDEX(Products!$B$2:$B$101,MATCH($D1453,Products!$A$2:$A$101,0))&amp;"","(not found)"))</f>
        <v/>
      </c>
      <c r="O1453" s="49" t="str">
        <f>IF($F1453="","",IFERROR(INDEX(Batches!$B$2:$B$301,MATCH($F1453,Batches!$A$2:$A$301,0))&amp;"","(not found)"))</f>
        <v/>
      </c>
      <c r="P1453" s="49" t="str">
        <f>IF(COUNTA($A1453:$L1453)=0,"",IF($A1453="","Missing: entry ID",IF(COUNTIF($A$2:$A$2001,$A1453)&gt;1,"Duplicate entry ID",IF(NOT(ISNUMBER($B1453)),"Missing or invalid: date",IF($C1453="","Missing: type",IF($D1453="","Missing: SKU",IF(NOT(ISNUMBER($E1453)),"Missing: qty",IF($F1453="","Missing: lot",IF($I1453="","Missing: source link",IF(COUNTIF(Config!$A$15:$A$34,$C1453)=0,"Unsupported type",IF(COUNTIF(Products!$A$2:$A$101,$D1453)=0,"Unknown SKU",IF(COUNTIFS(Batches!$A$2:$A$301,$F1453,Batches!$B$2:$B$301,$D1453)=0,"Unknown lot for this SKU",IF(AND($C1453="Adjustment",$G1453=""),"Missing: reason",IF(AND($G1453&lt;&gt;"",COUNTIF(Config!$B$15:$B$34,$G1453)=0),"Unsupported reason",IF(OR(INT($E1453)&lt;&gt;$E1453,AND(OR($C1453="Receipt",$C1453="Shipment"),$E1453&lt;=0),AND($C1453="Adjustment",$E1453=0)),"Invalid qty",IF($B1453&gt;Config!$B$4,"Date after the as-of date",IF($B1453&lt;Config!$B$5,"Date before the opening balance date","OK")))))))))))))))))</f>
        <v/>
      </c>
    </row>
    <row r="1454">
      <c r="A1454" s="46" t="n"/>
      <c r="B1454" s="54" t="n"/>
      <c r="C1454" s="46" t="n"/>
      <c r="D1454" s="46" t="n"/>
      <c r="E1454" s="55" t="n"/>
      <c r="F1454" s="46" t="n"/>
      <c r="G1454" s="46" t="n"/>
      <c r="H1454" s="46" t="n"/>
      <c r="I1454" s="46" t="n"/>
      <c r="J1454" s="46" t="n"/>
      <c r="K1454" s="46" t="n"/>
      <c r="L1454" s="46" t="n"/>
      <c r="M1454" s="51" t="str">
        <f>IF(NOT(ISNUMBER($E1454)),"",IF($C1454="Receipt",$E1454,IF($C1454="Shipment",-$E1454,IF($C1454="Adjustment",$E1454,0))))</f>
        <v/>
      </c>
      <c r="N1454" s="49" t="str">
        <f>IF($D1454="","",IFERROR(INDEX(Products!$B$2:$B$101,MATCH($D1454,Products!$A$2:$A$101,0))&amp;"","(not found)"))</f>
        <v/>
      </c>
      <c r="O1454" s="49" t="str">
        <f>IF($F1454="","",IFERROR(INDEX(Batches!$B$2:$B$301,MATCH($F1454,Batches!$A$2:$A$301,0))&amp;"","(not found)"))</f>
        <v/>
      </c>
      <c r="P1454" s="49" t="str">
        <f>IF(COUNTA($A1454:$L1454)=0,"",IF($A1454="","Missing: entry ID",IF(COUNTIF($A$2:$A$2001,$A1454)&gt;1,"Duplicate entry ID",IF(NOT(ISNUMBER($B1454)),"Missing or invalid: date",IF($C1454="","Missing: type",IF($D1454="","Missing: SKU",IF(NOT(ISNUMBER($E1454)),"Missing: qty",IF($F1454="","Missing: lot",IF($I1454="","Missing: source link",IF(COUNTIF(Config!$A$15:$A$34,$C1454)=0,"Unsupported type",IF(COUNTIF(Products!$A$2:$A$101,$D1454)=0,"Unknown SKU",IF(COUNTIFS(Batches!$A$2:$A$301,$F1454,Batches!$B$2:$B$301,$D1454)=0,"Unknown lot for this SKU",IF(AND($C1454="Adjustment",$G1454=""),"Missing: reason",IF(AND($G1454&lt;&gt;"",COUNTIF(Config!$B$15:$B$34,$G1454)=0),"Unsupported reason",IF(OR(INT($E1454)&lt;&gt;$E1454,AND(OR($C1454="Receipt",$C1454="Shipment"),$E1454&lt;=0),AND($C1454="Adjustment",$E1454=0)),"Invalid qty",IF($B1454&gt;Config!$B$4,"Date after the as-of date",IF($B1454&lt;Config!$B$5,"Date before the opening balance date","OK")))))))))))))))))</f>
        <v/>
      </c>
    </row>
    <row r="1455">
      <c r="A1455" s="46" t="n"/>
      <c r="B1455" s="54" t="n"/>
      <c r="C1455" s="46" t="n"/>
      <c r="D1455" s="46" t="n"/>
      <c r="E1455" s="55" t="n"/>
      <c r="F1455" s="46" t="n"/>
      <c r="G1455" s="46" t="n"/>
      <c r="H1455" s="46" t="n"/>
      <c r="I1455" s="46" t="n"/>
      <c r="J1455" s="46" t="n"/>
      <c r="K1455" s="46" t="n"/>
      <c r="L1455" s="46" t="n"/>
      <c r="M1455" s="51" t="str">
        <f>IF(NOT(ISNUMBER($E1455)),"",IF($C1455="Receipt",$E1455,IF($C1455="Shipment",-$E1455,IF($C1455="Adjustment",$E1455,0))))</f>
        <v/>
      </c>
      <c r="N1455" s="49" t="str">
        <f>IF($D1455="","",IFERROR(INDEX(Products!$B$2:$B$101,MATCH($D1455,Products!$A$2:$A$101,0))&amp;"","(not found)"))</f>
        <v/>
      </c>
      <c r="O1455" s="49" t="str">
        <f>IF($F1455="","",IFERROR(INDEX(Batches!$B$2:$B$301,MATCH($F1455,Batches!$A$2:$A$301,0))&amp;"","(not found)"))</f>
        <v/>
      </c>
      <c r="P1455" s="49" t="str">
        <f>IF(COUNTA($A1455:$L1455)=0,"",IF($A1455="","Missing: entry ID",IF(COUNTIF($A$2:$A$2001,$A1455)&gt;1,"Duplicate entry ID",IF(NOT(ISNUMBER($B1455)),"Missing or invalid: date",IF($C1455="","Missing: type",IF($D1455="","Missing: SKU",IF(NOT(ISNUMBER($E1455)),"Missing: qty",IF($F1455="","Missing: lot",IF($I1455="","Missing: source link",IF(COUNTIF(Config!$A$15:$A$34,$C1455)=0,"Unsupported type",IF(COUNTIF(Products!$A$2:$A$101,$D1455)=0,"Unknown SKU",IF(COUNTIFS(Batches!$A$2:$A$301,$F1455,Batches!$B$2:$B$301,$D1455)=0,"Unknown lot for this SKU",IF(AND($C1455="Adjustment",$G1455=""),"Missing: reason",IF(AND($G1455&lt;&gt;"",COUNTIF(Config!$B$15:$B$34,$G1455)=0),"Unsupported reason",IF(OR(INT($E1455)&lt;&gt;$E1455,AND(OR($C1455="Receipt",$C1455="Shipment"),$E1455&lt;=0),AND($C1455="Adjustment",$E1455=0)),"Invalid qty",IF($B1455&gt;Config!$B$4,"Date after the as-of date",IF($B1455&lt;Config!$B$5,"Date before the opening balance date","OK")))))))))))))))))</f>
        <v/>
      </c>
    </row>
    <row r="1456">
      <c r="A1456" s="46" t="n"/>
      <c r="B1456" s="54" t="n"/>
      <c r="C1456" s="46" t="n"/>
      <c r="D1456" s="46" t="n"/>
      <c r="E1456" s="55" t="n"/>
      <c r="F1456" s="46" t="n"/>
      <c r="G1456" s="46" t="n"/>
      <c r="H1456" s="46" t="n"/>
      <c r="I1456" s="46" t="n"/>
      <c r="J1456" s="46" t="n"/>
      <c r="K1456" s="46" t="n"/>
      <c r="L1456" s="46" t="n"/>
      <c r="M1456" s="51" t="str">
        <f>IF(NOT(ISNUMBER($E1456)),"",IF($C1456="Receipt",$E1456,IF($C1456="Shipment",-$E1456,IF($C1456="Adjustment",$E1456,0))))</f>
        <v/>
      </c>
      <c r="N1456" s="49" t="str">
        <f>IF($D1456="","",IFERROR(INDEX(Products!$B$2:$B$101,MATCH($D1456,Products!$A$2:$A$101,0))&amp;"","(not found)"))</f>
        <v/>
      </c>
      <c r="O1456" s="49" t="str">
        <f>IF($F1456="","",IFERROR(INDEX(Batches!$B$2:$B$301,MATCH($F1456,Batches!$A$2:$A$301,0))&amp;"","(not found)"))</f>
        <v/>
      </c>
      <c r="P1456" s="49" t="str">
        <f>IF(COUNTA($A1456:$L1456)=0,"",IF($A1456="","Missing: entry ID",IF(COUNTIF($A$2:$A$2001,$A1456)&gt;1,"Duplicate entry ID",IF(NOT(ISNUMBER($B1456)),"Missing or invalid: date",IF($C1456="","Missing: type",IF($D1456="","Missing: SKU",IF(NOT(ISNUMBER($E1456)),"Missing: qty",IF($F1456="","Missing: lot",IF($I1456="","Missing: source link",IF(COUNTIF(Config!$A$15:$A$34,$C1456)=0,"Unsupported type",IF(COUNTIF(Products!$A$2:$A$101,$D1456)=0,"Unknown SKU",IF(COUNTIFS(Batches!$A$2:$A$301,$F1456,Batches!$B$2:$B$301,$D1456)=0,"Unknown lot for this SKU",IF(AND($C1456="Adjustment",$G1456=""),"Missing: reason",IF(AND($G1456&lt;&gt;"",COUNTIF(Config!$B$15:$B$34,$G1456)=0),"Unsupported reason",IF(OR(INT($E1456)&lt;&gt;$E1456,AND(OR($C1456="Receipt",$C1456="Shipment"),$E1456&lt;=0),AND($C1456="Adjustment",$E1456=0)),"Invalid qty",IF($B1456&gt;Config!$B$4,"Date after the as-of date",IF($B1456&lt;Config!$B$5,"Date before the opening balance date","OK")))))))))))))))))</f>
        <v/>
      </c>
    </row>
    <row r="1457">
      <c r="A1457" s="46" t="n"/>
      <c r="B1457" s="54" t="n"/>
      <c r="C1457" s="46" t="n"/>
      <c r="D1457" s="46" t="n"/>
      <c r="E1457" s="55" t="n"/>
      <c r="F1457" s="46" t="n"/>
      <c r="G1457" s="46" t="n"/>
      <c r="H1457" s="46" t="n"/>
      <c r="I1457" s="46" t="n"/>
      <c r="J1457" s="46" t="n"/>
      <c r="K1457" s="46" t="n"/>
      <c r="L1457" s="46" t="n"/>
      <c r="M1457" s="51" t="str">
        <f>IF(NOT(ISNUMBER($E1457)),"",IF($C1457="Receipt",$E1457,IF($C1457="Shipment",-$E1457,IF($C1457="Adjustment",$E1457,0))))</f>
        <v/>
      </c>
      <c r="N1457" s="49" t="str">
        <f>IF($D1457="","",IFERROR(INDEX(Products!$B$2:$B$101,MATCH($D1457,Products!$A$2:$A$101,0))&amp;"","(not found)"))</f>
        <v/>
      </c>
      <c r="O1457" s="49" t="str">
        <f>IF($F1457="","",IFERROR(INDEX(Batches!$B$2:$B$301,MATCH($F1457,Batches!$A$2:$A$301,0))&amp;"","(not found)"))</f>
        <v/>
      </c>
      <c r="P1457" s="49" t="str">
        <f>IF(COUNTA($A1457:$L1457)=0,"",IF($A1457="","Missing: entry ID",IF(COUNTIF($A$2:$A$2001,$A1457)&gt;1,"Duplicate entry ID",IF(NOT(ISNUMBER($B1457)),"Missing or invalid: date",IF($C1457="","Missing: type",IF($D1457="","Missing: SKU",IF(NOT(ISNUMBER($E1457)),"Missing: qty",IF($F1457="","Missing: lot",IF($I1457="","Missing: source link",IF(COUNTIF(Config!$A$15:$A$34,$C1457)=0,"Unsupported type",IF(COUNTIF(Products!$A$2:$A$101,$D1457)=0,"Unknown SKU",IF(COUNTIFS(Batches!$A$2:$A$301,$F1457,Batches!$B$2:$B$301,$D1457)=0,"Unknown lot for this SKU",IF(AND($C1457="Adjustment",$G1457=""),"Missing: reason",IF(AND($G1457&lt;&gt;"",COUNTIF(Config!$B$15:$B$34,$G1457)=0),"Unsupported reason",IF(OR(INT($E1457)&lt;&gt;$E1457,AND(OR($C1457="Receipt",$C1457="Shipment"),$E1457&lt;=0),AND($C1457="Adjustment",$E1457=0)),"Invalid qty",IF($B1457&gt;Config!$B$4,"Date after the as-of date",IF($B1457&lt;Config!$B$5,"Date before the opening balance date","OK")))))))))))))))))</f>
        <v/>
      </c>
    </row>
    <row r="1458">
      <c r="A1458" s="46" t="n"/>
      <c r="B1458" s="54" t="n"/>
      <c r="C1458" s="46" t="n"/>
      <c r="D1458" s="46" t="n"/>
      <c r="E1458" s="55" t="n"/>
      <c r="F1458" s="46" t="n"/>
      <c r="G1458" s="46" t="n"/>
      <c r="H1458" s="46" t="n"/>
      <c r="I1458" s="46" t="n"/>
      <c r="J1458" s="46" t="n"/>
      <c r="K1458" s="46" t="n"/>
      <c r="L1458" s="46" t="n"/>
      <c r="M1458" s="51" t="str">
        <f>IF(NOT(ISNUMBER($E1458)),"",IF($C1458="Receipt",$E1458,IF($C1458="Shipment",-$E1458,IF($C1458="Adjustment",$E1458,0))))</f>
        <v/>
      </c>
      <c r="N1458" s="49" t="str">
        <f>IF($D1458="","",IFERROR(INDEX(Products!$B$2:$B$101,MATCH($D1458,Products!$A$2:$A$101,0))&amp;"","(not found)"))</f>
        <v/>
      </c>
      <c r="O1458" s="49" t="str">
        <f>IF($F1458="","",IFERROR(INDEX(Batches!$B$2:$B$301,MATCH($F1458,Batches!$A$2:$A$301,0))&amp;"","(not found)"))</f>
        <v/>
      </c>
      <c r="P1458" s="49" t="str">
        <f>IF(COUNTA($A1458:$L1458)=0,"",IF($A1458="","Missing: entry ID",IF(COUNTIF($A$2:$A$2001,$A1458)&gt;1,"Duplicate entry ID",IF(NOT(ISNUMBER($B1458)),"Missing or invalid: date",IF($C1458="","Missing: type",IF($D1458="","Missing: SKU",IF(NOT(ISNUMBER($E1458)),"Missing: qty",IF($F1458="","Missing: lot",IF($I1458="","Missing: source link",IF(COUNTIF(Config!$A$15:$A$34,$C1458)=0,"Unsupported type",IF(COUNTIF(Products!$A$2:$A$101,$D1458)=0,"Unknown SKU",IF(COUNTIFS(Batches!$A$2:$A$301,$F1458,Batches!$B$2:$B$301,$D1458)=0,"Unknown lot for this SKU",IF(AND($C1458="Adjustment",$G1458=""),"Missing: reason",IF(AND($G1458&lt;&gt;"",COUNTIF(Config!$B$15:$B$34,$G1458)=0),"Unsupported reason",IF(OR(INT($E1458)&lt;&gt;$E1458,AND(OR($C1458="Receipt",$C1458="Shipment"),$E1458&lt;=0),AND($C1458="Adjustment",$E1458=0)),"Invalid qty",IF($B1458&gt;Config!$B$4,"Date after the as-of date",IF($B1458&lt;Config!$B$5,"Date before the opening balance date","OK")))))))))))))))))</f>
        <v/>
      </c>
    </row>
    <row r="1459">
      <c r="A1459" s="46" t="n"/>
      <c r="B1459" s="54" t="n"/>
      <c r="C1459" s="46" t="n"/>
      <c r="D1459" s="46" t="n"/>
      <c r="E1459" s="55" t="n"/>
      <c r="F1459" s="46" t="n"/>
      <c r="G1459" s="46" t="n"/>
      <c r="H1459" s="46" t="n"/>
      <c r="I1459" s="46" t="n"/>
      <c r="J1459" s="46" t="n"/>
      <c r="K1459" s="46" t="n"/>
      <c r="L1459" s="46" t="n"/>
      <c r="M1459" s="51" t="str">
        <f>IF(NOT(ISNUMBER($E1459)),"",IF($C1459="Receipt",$E1459,IF($C1459="Shipment",-$E1459,IF($C1459="Adjustment",$E1459,0))))</f>
        <v/>
      </c>
      <c r="N1459" s="49" t="str">
        <f>IF($D1459="","",IFERROR(INDEX(Products!$B$2:$B$101,MATCH($D1459,Products!$A$2:$A$101,0))&amp;"","(not found)"))</f>
        <v/>
      </c>
      <c r="O1459" s="49" t="str">
        <f>IF($F1459="","",IFERROR(INDEX(Batches!$B$2:$B$301,MATCH($F1459,Batches!$A$2:$A$301,0))&amp;"","(not found)"))</f>
        <v/>
      </c>
      <c r="P1459" s="49" t="str">
        <f>IF(COUNTA($A1459:$L1459)=0,"",IF($A1459="","Missing: entry ID",IF(COUNTIF($A$2:$A$2001,$A1459)&gt;1,"Duplicate entry ID",IF(NOT(ISNUMBER($B1459)),"Missing or invalid: date",IF($C1459="","Missing: type",IF($D1459="","Missing: SKU",IF(NOT(ISNUMBER($E1459)),"Missing: qty",IF($F1459="","Missing: lot",IF($I1459="","Missing: source link",IF(COUNTIF(Config!$A$15:$A$34,$C1459)=0,"Unsupported type",IF(COUNTIF(Products!$A$2:$A$101,$D1459)=0,"Unknown SKU",IF(COUNTIFS(Batches!$A$2:$A$301,$F1459,Batches!$B$2:$B$301,$D1459)=0,"Unknown lot for this SKU",IF(AND($C1459="Adjustment",$G1459=""),"Missing: reason",IF(AND($G1459&lt;&gt;"",COUNTIF(Config!$B$15:$B$34,$G1459)=0),"Unsupported reason",IF(OR(INT($E1459)&lt;&gt;$E1459,AND(OR($C1459="Receipt",$C1459="Shipment"),$E1459&lt;=0),AND($C1459="Adjustment",$E1459=0)),"Invalid qty",IF($B1459&gt;Config!$B$4,"Date after the as-of date",IF($B1459&lt;Config!$B$5,"Date before the opening balance date","OK")))))))))))))))))</f>
        <v/>
      </c>
    </row>
    <row r="1460">
      <c r="A1460" s="46" t="n"/>
      <c r="B1460" s="54" t="n"/>
      <c r="C1460" s="46" t="n"/>
      <c r="D1460" s="46" t="n"/>
      <c r="E1460" s="55" t="n"/>
      <c r="F1460" s="46" t="n"/>
      <c r="G1460" s="46" t="n"/>
      <c r="H1460" s="46" t="n"/>
      <c r="I1460" s="46" t="n"/>
      <c r="J1460" s="46" t="n"/>
      <c r="K1460" s="46" t="n"/>
      <c r="L1460" s="46" t="n"/>
      <c r="M1460" s="51" t="str">
        <f>IF(NOT(ISNUMBER($E1460)),"",IF($C1460="Receipt",$E1460,IF($C1460="Shipment",-$E1460,IF($C1460="Adjustment",$E1460,0))))</f>
        <v/>
      </c>
      <c r="N1460" s="49" t="str">
        <f>IF($D1460="","",IFERROR(INDEX(Products!$B$2:$B$101,MATCH($D1460,Products!$A$2:$A$101,0))&amp;"","(not found)"))</f>
        <v/>
      </c>
      <c r="O1460" s="49" t="str">
        <f>IF($F1460="","",IFERROR(INDEX(Batches!$B$2:$B$301,MATCH($F1460,Batches!$A$2:$A$301,0))&amp;"","(not found)"))</f>
        <v/>
      </c>
      <c r="P1460" s="49" t="str">
        <f>IF(COUNTA($A1460:$L1460)=0,"",IF($A1460="","Missing: entry ID",IF(COUNTIF($A$2:$A$2001,$A1460)&gt;1,"Duplicate entry ID",IF(NOT(ISNUMBER($B1460)),"Missing or invalid: date",IF($C1460="","Missing: type",IF($D1460="","Missing: SKU",IF(NOT(ISNUMBER($E1460)),"Missing: qty",IF($F1460="","Missing: lot",IF($I1460="","Missing: source link",IF(COUNTIF(Config!$A$15:$A$34,$C1460)=0,"Unsupported type",IF(COUNTIF(Products!$A$2:$A$101,$D1460)=0,"Unknown SKU",IF(COUNTIFS(Batches!$A$2:$A$301,$F1460,Batches!$B$2:$B$301,$D1460)=0,"Unknown lot for this SKU",IF(AND($C1460="Adjustment",$G1460=""),"Missing: reason",IF(AND($G1460&lt;&gt;"",COUNTIF(Config!$B$15:$B$34,$G1460)=0),"Unsupported reason",IF(OR(INT($E1460)&lt;&gt;$E1460,AND(OR($C1460="Receipt",$C1460="Shipment"),$E1460&lt;=0),AND($C1460="Adjustment",$E1460=0)),"Invalid qty",IF($B1460&gt;Config!$B$4,"Date after the as-of date",IF($B1460&lt;Config!$B$5,"Date before the opening balance date","OK")))))))))))))))))</f>
        <v/>
      </c>
    </row>
    <row r="1461">
      <c r="A1461" s="46" t="n"/>
      <c r="B1461" s="54" t="n"/>
      <c r="C1461" s="46" t="n"/>
      <c r="D1461" s="46" t="n"/>
      <c r="E1461" s="55" t="n"/>
      <c r="F1461" s="46" t="n"/>
      <c r="G1461" s="46" t="n"/>
      <c r="H1461" s="46" t="n"/>
      <c r="I1461" s="46" t="n"/>
      <c r="J1461" s="46" t="n"/>
      <c r="K1461" s="46" t="n"/>
      <c r="L1461" s="46" t="n"/>
      <c r="M1461" s="51" t="str">
        <f>IF(NOT(ISNUMBER($E1461)),"",IF($C1461="Receipt",$E1461,IF($C1461="Shipment",-$E1461,IF($C1461="Adjustment",$E1461,0))))</f>
        <v/>
      </c>
      <c r="N1461" s="49" t="str">
        <f>IF($D1461="","",IFERROR(INDEX(Products!$B$2:$B$101,MATCH($D1461,Products!$A$2:$A$101,0))&amp;"","(not found)"))</f>
        <v/>
      </c>
      <c r="O1461" s="49" t="str">
        <f>IF($F1461="","",IFERROR(INDEX(Batches!$B$2:$B$301,MATCH($F1461,Batches!$A$2:$A$301,0))&amp;"","(not found)"))</f>
        <v/>
      </c>
      <c r="P1461" s="49" t="str">
        <f>IF(COUNTA($A1461:$L1461)=0,"",IF($A1461="","Missing: entry ID",IF(COUNTIF($A$2:$A$2001,$A1461)&gt;1,"Duplicate entry ID",IF(NOT(ISNUMBER($B1461)),"Missing or invalid: date",IF($C1461="","Missing: type",IF($D1461="","Missing: SKU",IF(NOT(ISNUMBER($E1461)),"Missing: qty",IF($F1461="","Missing: lot",IF($I1461="","Missing: source link",IF(COUNTIF(Config!$A$15:$A$34,$C1461)=0,"Unsupported type",IF(COUNTIF(Products!$A$2:$A$101,$D1461)=0,"Unknown SKU",IF(COUNTIFS(Batches!$A$2:$A$301,$F1461,Batches!$B$2:$B$301,$D1461)=0,"Unknown lot for this SKU",IF(AND($C1461="Adjustment",$G1461=""),"Missing: reason",IF(AND($G1461&lt;&gt;"",COUNTIF(Config!$B$15:$B$34,$G1461)=0),"Unsupported reason",IF(OR(INT($E1461)&lt;&gt;$E1461,AND(OR($C1461="Receipt",$C1461="Shipment"),$E1461&lt;=0),AND($C1461="Adjustment",$E1461=0)),"Invalid qty",IF($B1461&gt;Config!$B$4,"Date after the as-of date",IF($B1461&lt;Config!$B$5,"Date before the opening balance date","OK")))))))))))))))))</f>
        <v/>
      </c>
    </row>
    <row r="1462">
      <c r="A1462" s="46" t="n"/>
      <c r="B1462" s="54" t="n"/>
      <c r="C1462" s="46" t="n"/>
      <c r="D1462" s="46" t="n"/>
      <c r="E1462" s="55" t="n"/>
      <c r="F1462" s="46" t="n"/>
      <c r="G1462" s="46" t="n"/>
      <c r="H1462" s="46" t="n"/>
      <c r="I1462" s="46" t="n"/>
      <c r="J1462" s="46" t="n"/>
      <c r="K1462" s="46" t="n"/>
      <c r="L1462" s="46" t="n"/>
      <c r="M1462" s="51" t="str">
        <f>IF(NOT(ISNUMBER($E1462)),"",IF($C1462="Receipt",$E1462,IF($C1462="Shipment",-$E1462,IF($C1462="Adjustment",$E1462,0))))</f>
        <v/>
      </c>
      <c r="N1462" s="49" t="str">
        <f>IF($D1462="","",IFERROR(INDEX(Products!$B$2:$B$101,MATCH($D1462,Products!$A$2:$A$101,0))&amp;"","(not found)"))</f>
        <v/>
      </c>
      <c r="O1462" s="49" t="str">
        <f>IF($F1462="","",IFERROR(INDEX(Batches!$B$2:$B$301,MATCH($F1462,Batches!$A$2:$A$301,0))&amp;"","(not found)"))</f>
        <v/>
      </c>
      <c r="P1462" s="49" t="str">
        <f>IF(COUNTA($A1462:$L1462)=0,"",IF($A1462="","Missing: entry ID",IF(COUNTIF($A$2:$A$2001,$A1462)&gt;1,"Duplicate entry ID",IF(NOT(ISNUMBER($B1462)),"Missing or invalid: date",IF($C1462="","Missing: type",IF($D1462="","Missing: SKU",IF(NOT(ISNUMBER($E1462)),"Missing: qty",IF($F1462="","Missing: lot",IF($I1462="","Missing: source link",IF(COUNTIF(Config!$A$15:$A$34,$C1462)=0,"Unsupported type",IF(COUNTIF(Products!$A$2:$A$101,$D1462)=0,"Unknown SKU",IF(COUNTIFS(Batches!$A$2:$A$301,$F1462,Batches!$B$2:$B$301,$D1462)=0,"Unknown lot for this SKU",IF(AND($C1462="Adjustment",$G1462=""),"Missing: reason",IF(AND($G1462&lt;&gt;"",COUNTIF(Config!$B$15:$B$34,$G1462)=0),"Unsupported reason",IF(OR(INT($E1462)&lt;&gt;$E1462,AND(OR($C1462="Receipt",$C1462="Shipment"),$E1462&lt;=0),AND($C1462="Adjustment",$E1462=0)),"Invalid qty",IF($B1462&gt;Config!$B$4,"Date after the as-of date",IF($B1462&lt;Config!$B$5,"Date before the opening balance date","OK")))))))))))))))))</f>
        <v/>
      </c>
    </row>
    <row r="1463">
      <c r="A1463" s="46" t="n"/>
      <c r="B1463" s="54" t="n"/>
      <c r="C1463" s="46" t="n"/>
      <c r="D1463" s="46" t="n"/>
      <c r="E1463" s="55" t="n"/>
      <c r="F1463" s="46" t="n"/>
      <c r="G1463" s="46" t="n"/>
      <c r="H1463" s="46" t="n"/>
      <c r="I1463" s="46" t="n"/>
      <c r="J1463" s="46" t="n"/>
      <c r="K1463" s="46" t="n"/>
      <c r="L1463" s="46" t="n"/>
      <c r="M1463" s="51" t="str">
        <f>IF(NOT(ISNUMBER($E1463)),"",IF($C1463="Receipt",$E1463,IF($C1463="Shipment",-$E1463,IF($C1463="Adjustment",$E1463,0))))</f>
        <v/>
      </c>
      <c r="N1463" s="49" t="str">
        <f>IF($D1463="","",IFERROR(INDEX(Products!$B$2:$B$101,MATCH($D1463,Products!$A$2:$A$101,0))&amp;"","(not found)"))</f>
        <v/>
      </c>
      <c r="O1463" s="49" t="str">
        <f>IF($F1463="","",IFERROR(INDEX(Batches!$B$2:$B$301,MATCH($F1463,Batches!$A$2:$A$301,0))&amp;"","(not found)"))</f>
        <v/>
      </c>
      <c r="P1463" s="49" t="str">
        <f>IF(COUNTA($A1463:$L1463)=0,"",IF($A1463="","Missing: entry ID",IF(COUNTIF($A$2:$A$2001,$A1463)&gt;1,"Duplicate entry ID",IF(NOT(ISNUMBER($B1463)),"Missing or invalid: date",IF($C1463="","Missing: type",IF($D1463="","Missing: SKU",IF(NOT(ISNUMBER($E1463)),"Missing: qty",IF($F1463="","Missing: lot",IF($I1463="","Missing: source link",IF(COUNTIF(Config!$A$15:$A$34,$C1463)=0,"Unsupported type",IF(COUNTIF(Products!$A$2:$A$101,$D1463)=0,"Unknown SKU",IF(COUNTIFS(Batches!$A$2:$A$301,$F1463,Batches!$B$2:$B$301,$D1463)=0,"Unknown lot for this SKU",IF(AND($C1463="Adjustment",$G1463=""),"Missing: reason",IF(AND($G1463&lt;&gt;"",COUNTIF(Config!$B$15:$B$34,$G1463)=0),"Unsupported reason",IF(OR(INT($E1463)&lt;&gt;$E1463,AND(OR($C1463="Receipt",$C1463="Shipment"),$E1463&lt;=0),AND($C1463="Adjustment",$E1463=0)),"Invalid qty",IF($B1463&gt;Config!$B$4,"Date after the as-of date",IF($B1463&lt;Config!$B$5,"Date before the opening balance date","OK")))))))))))))))))</f>
        <v/>
      </c>
    </row>
    <row r="1464">
      <c r="A1464" s="46" t="n"/>
      <c r="B1464" s="54" t="n"/>
      <c r="C1464" s="46" t="n"/>
      <c r="D1464" s="46" t="n"/>
      <c r="E1464" s="55" t="n"/>
      <c r="F1464" s="46" t="n"/>
      <c r="G1464" s="46" t="n"/>
      <c r="H1464" s="46" t="n"/>
      <c r="I1464" s="46" t="n"/>
      <c r="J1464" s="46" t="n"/>
      <c r="K1464" s="46" t="n"/>
      <c r="L1464" s="46" t="n"/>
      <c r="M1464" s="51" t="str">
        <f>IF(NOT(ISNUMBER($E1464)),"",IF($C1464="Receipt",$E1464,IF($C1464="Shipment",-$E1464,IF($C1464="Adjustment",$E1464,0))))</f>
        <v/>
      </c>
      <c r="N1464" s="49" t="str">
        <f>IF($D1464="","",IFERROR(INDEX(Products!$B$2:$B$101,MATCH($D1464,Products!$A$2:$A$101,0))&amp;"","(not found)"))</f>
        <v/>
      </c>
      <c r="O1464" s="49" t="str">
        <f>IF($F1464="","",IFERROR(INDEX(Batches!$B$2:$B$301,MATCH($F1464,Batches!$A$2:$A$301,0))&amp;"","(not found)"))</f>
        <v/>
      </c>
      <c r="P1464" s="49" t="str">
        <f>IF(COUNTA($A1464:$L1464)=0,"",IF($A1464="","Missing: entry ID",IF(COUNTIF($A$2:$A$2001,$A1464)&gt;1,"Duplicate entry ID",IF(NOT(ISNUMBER($B1464)),"Missing or invalid: date",IF($C1464="","Missing: type",IF($D1464="","Missing: SKU",IF(NOT(ISNUMBER($E1464)),"Missing: qty",IF($F1464="","Missing: lot",IF($I1464="","Missing: source link",IF(COUNTIF(Config!$A$15:$A$34,$C1464)=0,"Unsupported type",IF(COUNTIF(Products!$A$2:$A$101,$D1464)=0,"Unknown SKU",IF(COUNTIFS(Batches!$A$2:$A$301,$F1464,Batches!$B$2:$B$301,$D1464)=0,"Unknown lot for this SKU",IF(AND($C1464="Adjustment",$G1464=""),"Missing: reason",IF(AND($G1464&lt;&gt;"",COUNTIF(Config!$B$15:$B$34,$G1464)=0),"Unsupported reason",IF(OR(INT($E1464)&lt;&gt;$E1464,AND(OR($C1464="Receipt",$C1464="Shipment"),$E1464&lt;=0),AND($C1464="Adjustment",$E1464=0)),"Invalid qty",IF($B1464&gt;Config!$B$4,"Date after the as-of date",IF($B1464&lt;Config!$B$5,"Date before the opening balance date","OK")))))))))))))))))</f>
        <v/>
      </c>
    </row>
    <row r="1465">
      <c r="A1465" s="46" t="n"/>
      <c r="B1465" s="54" t="n"/>
      <c r="C1465" s="46" t="n"/>
      <c r="D1465" s="46" t="n"/>
      <c r="E1465" s="55" t="n"/>
      <c r="F1465" s="46" t="n"/>
      <c r="G1465" s="46" t="n"/>
      <c r="H1465" s="46" t="n"/>
      <c r="I1465" s="46" t="n"/>
      <c r="J1465" s="46" t="n"/>
      <c r="K1465" s="46" t="n"/>
      <c r="L1465" s="46" t="n"/>
      <c r="M1465" s="51" t="str">
        <f>IF(NOT(ISNUMBER($E1465)),"",IF($C1465="Receipt",$E1465,IF($C1465="Shipment",-$E1465,IF($C1465="Adjustment",$E1465,0))))</f>
        <v/>
      </c>
      <c r="N1465" s="49" t="str">
        <f>IF($D1465="","",IFERROR(INDEX(Products!$B$2:$B$101,MATCH($D1465,Products!$A$2:$A$101,0))&amp;"","(not found)"))</f>
        <v/>
      </c>
      <c r="O1465" s="49" t="str">
        <f>IF($F1465="","",IFERROR(INDEX(Batches!$B$2:$B$301,MATCH($F1465,Batches!$A$2:$A$301,0))&amp;"","(not found)"))</f>
        <v/>
      </c>
      <c r="P1465" s="49" t="str">
        <f>IF(COUNTA($A1465:$L1465)=0,"",IF($A1465="","Missing: entry ID",IF(COUNTIF($A$2:$A$2001,$A1465)&gt;1,"Duplicate entry ID",IF(NOT(ISNUMBER($B1465)),"Missing or invalid: date",IF($C1465="","Missing: type",IF($D1465="","Missing: SKU",IF(NOT(ISNUMBER($E1465)),"Missing: qty",IF($F1465="","Missing: lot",IF($I1465="","Missing: source link",IF(COUNTIF(Config!$A$15:$A$34,$C1465)=0,"Unsupported type",IF(COUNTIF(Products!$A$2:$A$101,$D1465)=0,"Unknown SKU",IF(COUNTIFS(Batches!$A$2:$A$301,$F1465,Batches!$B$2:$B$301,$D1465)=0,"Unknown lot for this SKU",IF(AND($C1465="Adjustment",$G1465=""),"Missing: reason",IF(AND($G1465&lt;&gt;"",COUNTIF(Config!$B$15:$B$34,$G1465)=0),"Unsupported reason",IF(OR(INT($E1465)&lt;&gt;$E1465,AND(OR($C1465="Receipt",$C1465="Shipment"),$E1465&lt;=0),AND($C1465="Adjustment",$E1465=0)),"Invalid qty",IF($B1465&gt;Config!$B$4,"Date after the as-of date",IF($B1465&lt;Config!$B$5,"Date before the opening balance date","OK")))))))))))))))))</f>
        <v/>
      </c>
    </row>
    <row r="1466">
      <c r="A1466" s="46" t="n"/>
      <c r="B1466" s="54" t="n"/>
      <c r="C1466" s="46" t="n"/>
      <c r="D1466" s="46" t="n"/>
      <c r="E1466" s="55" t="n"/>
      <c r="F1466" s="46" t="n"/>
      <c r="G1466" s="46" t="n"/>
      <c r="H1466" s="46" t="n"/>
      <c r="I1466" s="46" t="n"/>
      <c r="J1466" s="46" t="n"/>
      <c r="K1466" s="46" t="n"/>
      <c r="L1466" s="46" t="n"/>
      <c r="M1466" s="51" t="str">
        <f>IF(NOT(ISNUMBER($E1466)),"",IF($C1466="Receipt",$E1466,IF($C1466="Shipment",-$E1466,IF($C1466="Adjustment",$E1466,0))))</f>
        <v/>
      </c>
      <c r="N1466" s="49" t="str">
        <f>IF($D1466="","",IFERROR(INDEX(Products!$B$2:$B$101,MATCH($D1466,Products!$A$2:$A$101,0))&amp;"","(not found)"))</f>
        <v/>
      </c>
      <c r="O1466" s="49" t="str">
        <f>IF($F1466="","",IFERROR(INDEX(Batches!$B$2:$B$301,MATCH($F1466,Batches!$A$2:$A$301,0))&amp;"","(not found)"))</f>
        <v/>
      </c>
      <c r="P1466" s="49" t="str">
        <f>IF(COUNTA($A1466:$L1466)=0,"",IF($A1466="","Missing: entry ID",IF(COUNTIF($A$2:$A$2001,$A1466)&gt;1,"Duplicate entry ID",IF(NOT(ISNUMBER($B1466)),"Missing or invalid: date",IF($C1466="","Missing: type",IF($D1466="","Missing: SKU",IF(NOT(ISNUMBER($E1466)),"Missing: qty",IF($F1466="","Missing: lot",IF($I1466="","Missing: source link",IF(COUNTIF(Config!$A$15:$A$34,$C1466)=0,"Unsupported type",IF(COUNTIF(Products!$A$2:$A$101,$D1466)=0,"Unknown SKU",IF(COUNTIFS(Batches!$A$2:$A$301,$F1466,Batches!$B$2:$B$301,$D1466)=0,"Unknown lot for this SKU",IF(AND($C1466="Adjustment",$G1466=""),"Missing: reason",IF(AND($G1466&lt;&gt;"",COUNTIF(Config!$B$15:$B$34,$G1466)=0),"Unsupported reason",IF(OR(INT($E1466)&lt;&gt;$E1466,AND(OR($C1466="Receipt",$C1466="Shipment"),$E1466&lt;=0),AND($C1466="Adjustment",$E1466=0)),"Invalid qty",IF($B1466&gt;Config!$B$4,"Date after the as-of date",IF($B1466&lt;Config!$B$5,"Date before the opening balance date","OK")))))))))))))))))</f>
        <v/>
      </c>
    </row>
    <row r="1467">
      <c r="A1467" s="46" t="n"/>
      <c r="B1467" s="54" t="n"/>
      <c r="C1467" s="46" t="n"/>
      <c r="D1467" s="46" t="n"/>
      <c r="E1467" s="55" t="n"/>
      <c r="F1467" s="46" t="n"/>
      <c r="G1467" s="46" t="n"/>
      <c r="H1467" s="46" t="n"/>
      <c r="I1467" s="46" t="n"/>
      <c r="J1467" s="46" t="n"/>
      <c r="K1467" s="46" t="n"/>
      <c r="L1467" s="46" t="n"/>
      <c r="M1467" s="51" t="str">
        <f>IF(NOT(ISNUMBER($E1467)),"",IF($C1467="Receipt",$E1467,IF($C1467="Shipment",-$E1467,IF($C1467="Adjustment",$E1467,0))))</f>
        <v/>
      </c>
      <c r="N1467" s="49" t="str">
        <f>IF($D1467="","",IFERROR(INDEX(Products!$B$2:$B$101,MATCH($D1467,Products!$A$2:$A$101,0))&amp;"","(not found)"))</f>
        <v/>
      </c>
      <c r="O1467" s="49" t="str">
        <f>IF($F1467="","",IFERROR(INDEX(Batches!$B$2:$B$301,MATCH($F1467,Batches!$A$2:$A$301,0))&amp;"","(not found)"))</f>
        <v/>
      </c>
      <c r="P1467" s="49" t="str">
        <f>IF(COUNTA($A1467:$L1467)=0,"",IF($A1467="","Missing: entry ID",IF(COUNTIF($A$2:$A$2001,$A1467)&gt;1,"Duplicate entry ID",IF(NOT(ISNUMBER($B1467)),"Missing or invalid: date",IF($C1467="","Missing: type",IF($D1467="","Missing: SKU",IF(NOT(ISNUMBER($E1467)),"Missing: qty",IF($F1467="","Missing: lot",IF($I1467="","Missing: source link",IF(COUNTIF(Config!$A$15:$A$34,$C1467)=0,"Unsupported type",IF(COUNTIF(Products!$A$2:$A$101,$D1467)=0,"Unknown SKU",IF(COUNTIFS(Batches!$A$2:$A$301,$F1467,Batches!$B$2:$B$301,$D1467)=0,"Unknown lot for this SKU",IF(AND($C1467="Adjustment",$G1467=""),"Missing: reason",IF(AND($G1467&lt;&gt;"",COUNTIF(Config!$B$15:$B$34,$G1467)=0),"Unsupported reason",IF(OR(INT($E1467)&lt;&gt;$E1467,AND(OR($C1467="Receipt",$C1467="Shipment"),$E1467&lt;=0),AND($C1467="Adjustment",$E1467=0)),"Invalid qty",IF($B1467&gt;Config!$B$4,"Date after the as-of date",IF($B1467&lt;Config!$B$5,"Date before the opening balance date","OK")))))))))))))))))</f>
        <v/>
      </c>
    </row>
    <row r="1468">
      <c r="A1468" s="46" t="n"/>
      <c r="B1468" s="54" t="n"/>
      <c r="C1468" s="46" t="n"/>
      <c r="D1468" s="46" t="n"/>
      <c r="E1468" s="55" t="n"/>
      <c r="F1468" s="46" t="n"/>
      <c r="G1468" s="46" t="n"/>
      <c r="H1468" s="46" t="n"/>
      <c r="I1468" s="46" t="n"/>
      <c r="J1468" s="46" t="n"/>
      <c r="K1468" s="46" t="n"/>
      <c r="L1468" s="46" t="n"/>
      <c r="M1468" s="51" t="str">
        <f>IF(NOT(ISNUMBER($E1468)),"",IF($C1468="Receipt",$E1468,IF($C1468="Shipment",-$E1468,IF($C1468="Adjustment",$E1468,0))))</f>
        <v/>
      </c>
      <c r="N1468" s="49" t="str">
        <f>IF($D1468="","",IFERROR(INDEX(Products!$B$2:$B$101,MATCH($D1468,Products!$A$2:$A$101,0))&amp;"","(not found)"))</f>
        <v/>
      </c>
      <c r="O1468" s="49" t="str">
        <f>IF($F1468="","",IFERROR(INDEX(Batches!$B$2:$B$301,MATCH($F1468,Batches!$A$2:$A$301,0))&amp;"","(not found)"))</f>
        <v/>
      </c>
      <c r="P1468" s="49" t="str">
        <f>IF(COUNTA($A1468:$L1468)=0,"",IF($A1468="","Missing: entry ID",IF(COUNTIF($A$2:$A$2001,$A1468)&gt;1,"Duplicate entry ID",IF(NOT(ISNUMBER($B1468)),"Missing or invalid: date",IF($C1468="","Missing: type",IF($D1468="","Missing: SKU",IF(NOT(ISNUMBER($E1468)),"Missing: qty",IF($F1468="","Missing: lot",IF($I1468="","Missing: source link",IF(COUNTIF(Config!$A$15:$A$34,$C1468)=0,"Unsupported type",IF(COUNTIF(Products!$A$2:$A$101,$D1468)=0,"Unknown SKU",IF(COUNTIFS(Batches!$A$2:$A$301,$F1468,Batches!$B$2:$B$301,$D1468)=0,"Unknown lot for this SKU",IF(AND($C1468="Adjustment",$G1468=""),"Missing: reason",IF(AND($G1468&lt;&gt;"",COUNTIF(Config!$B$15:$B$34,$G1468)=0),"Unsupported reason",IF(OR(INT($E1468)&lt;&gt;$E1468,AND(OR($C1468="Receipt",$C1468="Shipment"),$E1468&lt;=0),AND($C1468="Adjustment",$E1468=0)),"Invalid qty",IF($B1468&gt;Config!$B$4,"Date after the as-of date",IF($B1468&lt;Config!$B$5,"Date before the opening balance date","OK")))))))))))))))))</f>
        <v/>
      </c>
    </row>
    <row r="1469">
      <c r="A1469" s="46" t="n"/>
      <c r="B1469" s="54" t="n"/>
      <c r="C1469" s="46" t="n"/>
      <c r="D1469" s="46" t="n"/>
      <c r="E1469" s="55" t="n"/>
      <c r="F1469" s="46" t="n"/>
      <c r="G1469" s="46" t="n"/>
      <c r="H1469" s="46" t="n"/>
      <c r="I1469" s="46" t="n"/>
      <c r="J1469" s="46" t="n"/>
      <c r="K1469" s="46" t="n"/>
      <c r="L1469" s="46" t="n"/>
      <c r="M1469" s="51" t="str">
        <f>IF(NOT(ISNUMBER($E1469)),"",IF($C1469="Receipt",$E1469,IF($C1469="Shipment",-$E1469,IF($C1469="Adjustment",$E1469,0))))</f>
        <v/>
      </c>
      <c r="N1469" s="49" t="str">
        <f>IF($D1469="","",IFERROR(INDEX(Products!$B$2:$B$101,MATCH($D1469,Products!$A$2:$A$101,0))&amp;"","(not found)"))</f>
        <v/>
      </c>
      <c r="O1469" s="49" t="str">
        <f>IF($F1469="","",IFERROR(INDEX(Batches!$B$2:$B$301,MATCH($F1469,Batches!$A$2:$A$301,0))&amp;"","(not found)"))</f>
        <v/>
      </c>
      <c r="P1469" s="49" t="str">
        <f>IF(COUNTA($A1469:$L1469)=0,"",IF($A1469="","Missing: entry ID",IF(COUNTIF($A$2:$A$2001,$A1469)&gt;1,"Duplicate entry ID",IF(NOT(ISNUMBER($B1469)),"Missing or invalid: date",IF($C1469="","Missing: type",IF($D1469="","Missing: SKU",IF(NOT(ISNUMBER($E1469)),"Missing: qty",IF($F1469="","Missing: lot",IF($I1469="","Missing: source link",IF(COUNTIF(Config!$A$15:$A$34,$C1469)=0,"Unsupported type",IF(COUNTIF(Products!$A$2:$A$101,$D1469)=0,"Unknown SKU",IF(COUNTIFS(Batches!$A$2:$A$301,$F1469,Batches!$B$2:$B$301,$D1469)=0,"Unknown lot for this SKU",IF(AND($C1469="Adjustment",$G1469=""),"Missing: reason",IF(AND($G1469&lt;&gt;"",COUNTIF(Config!$B$15:$B$34,$G1469)=0),"Unsupported reason",IF(OR(INT($E1469)&lt;&gt;$E1469,AND(OR($C1469="Receipt",$C1469="Shipment"),$E1469&lt;=0),AND($C1469="Adjustment",$E1469=0)),"Invalid qty",IF($B1469&gt;Config!$B$4,"Date after the as-of date",IF($B1469&lt;Config!$B$5,"Date before the opening balance date","OK")))))))))))))))))</f>
        <v/>
      </c>
    </row>
    <row r="1470">
      <c r="A1470" s="46" t="n"/>
      <c r="B1470" s="54" t="n"/>
      <c r="C1470" s="46" t="n"/>
      <c r="D1470" s="46" t="n"/>
      <c r="E1470" s="55" t="n"/>
      <c r="F1470" s="46" t="n"/>
      <c r="G1470" s="46" t="n"/>
      <c r="H1470" s="46" t="n"/>
      <c r="I1470" s="46" t="n"/>
      <c r="J1470" s="46" t="n"/>
      <c r="K1470" s="46" t="n"/>
      <c r="L1470" s="46" t="n"/>
      <c r="M1470" s="51" t="str">
        <f>IF(NOT(ISNUMBER($E1470)),"",IF($C1470="Receipt",$E1470,IF($C1470="Shipment",-$E1470,IF($C1470="Adjustment",$E1470,0))))</f>
        <v/>
      </c>
      <c r="N1470" s="49" t="str">
        <f>IF($D1470="","",IFERROR(INDEX(Products!$B$2:$B$101,MATCH($D1470,Products!$A$2:$A$101,0))&amp;"","(not found)"))</f>
        <v/>
      </c>
      <c r="O1470" s="49" t="str">
        <f>IF($F1470="","",IFERROR(INDEX(Batches!$B$2:$B$301,MATCH($F1470,Batches!$A$2:$A$301,0))&amp;"","(not found)"))</f>
        <v/>
      </c>
      <c r="P1470" s="49" t="str">
        <f>IF(COUNTA($A1470:$L1470)=0,"",IF($A1470="","Missing: entry ID",IF(COUNTIF($A$2:$A$2001,$A1470)&gt;1,"Duplicate entry ID",IF(NOT(ISNUMBER($B1470)),"Missing or invalid: date",IF($C1470="","Missing: type",IF($D1470="","Missing: SKU",IF(NOT(ISNUMBER($E1470)),"Missing: qty",IF($F1470="","Missing: lot",IF($I1470="","Missing: source link",IF(COUNTIF(Config!$A$15:$A$34,$C1470)=0,"Unsupported type",IF(COUNTIF(Products!$A$2:$A$101,$D1470)=0,"Unknown SKU",IF(COUNTIFS(Batches!$A$2:$A$301,$F1470,Batches!$B$2:$B$301,$D1470)=0,"Unknown lot for this SKU",IF(AND($C1470="Adjustment",$G1470=""),"Missing: reason",IF(AND($G1470&lt;&gt;"",COUNTIF(Config!$B$15:$B$34,$G1470)=0),"Unsupported reason",IF(OR(INT($E1470)&lt;&gt;$E1470,AND(OR($C1470="Receipt",$C1470="Shipment"),$E1470&lt;=0),AND($C1470="Adjustment",$E1470=0)),"Invalid qty",IF($B1470&gt;Config!$B$4,"Date after the as-of date",IF($B1470&lt;Config!$B$5,"Date before the opening balance date","OK")))))))))))))))))</f>
        <v/>
      </c>
    </row>
    <row r="1471">
      <c r="A1471" s="46" t="n"/>
      <c r="B1471" s="54" t="n"/>
      <c r="C1471" s="46" t="n"/>
      <c r="D1471" s="46" t="n"/>
      <c r="E1471" s="55" t="n"/>
      <c r="F1471" s="46" t="n"/>
      <c r="G1471" s="46" t="n"/>
      <c r="H1471" s="46" t="n"/>
      <c r="I1471" s="46" t="n"/>
      <c r="J1471" s="46" t="n"/>
      <c r="K1471" s="46" t="n"/>
      <c r="L1471" s="46" t="n"/>
      <c r="M1471" s="51" t="str">
        <f>IF(NOT(ISNUMBER($E1471)),"",IF($C1471="Receipt",$E1471,IF($C1471="Shipment",-$E1471,IF($C1471="Adjustment",$E1471,0))))</f>
        <v/>
      </c>
      <c r="N1471" s="49" t="str">
        <f>IF($D1471="","",IFERROR(INDEX(Products!$B$2:$B$101,MATCH($D1471,Products!$A$2:$A$101,0))&amp;"","(not found)"))</f>
        <v/>
      </c>
      <c r="O1471" s="49" t="str">
        <f>IF($F1471="","",IFERROR(INDEX(Batches!$B$2:$B$301,MATCH($F1471,Batches!$A$2:$A$301,0))&amp;"","(not found)"))</f>
        <v/>
      </c>
      <c r="P1471" s="49" t="str">
        <f>IF(COUNTA($A1471:$L1471)=0,"",IF($A1471="","Missing: entry ID",IF(COUNTIF($A$2:$A$2001,$A1471)&gt;1,"Duplicate entry ID",IF(NOT(ISNUMBER($B1471)),"Missing or invalid: date",IF($C1471="","Missing: type",IF($D1471="","Missing: SKU",IF(NOT(ISNUMBER($E1471)),"Missing: qty",IF($F1471="","Missing: lot",IF($I1471="","Missing: source link",IF(COUNTIF(Config!$A$15:$A$34,$C1471)=0,"Unsupported type",IF(COUNTIF(Products!$A$2:$A$101,$D1471)=0,"Unknown SKU",IF(COUNTIFS(Batches!$A$2:$A$301,$F1471,Batches!$B$2:$B$301,$D1471)=0,"Unknown lot for this SKU",IF(AND($C1471="Adjustment",$G1471=""),"Missing: reason",IF(AND($G1471&lt;&gt;"",COUNTIF(Config!$B$15:$B$34,$G1471)=0),"Unsupported reason",IF(OR(INT($E1471)&lt;&gt;$E1471,AND(OR($C1471="Receipt",$C1471="Shipment"),$E1471&lt;=0),AND($C1471="Adjustment",$E1471=0)),"Invalid qty",IF($B1471&gt;Config!$B$4,"Date after the as-of date",IF($B1471&lt;Config!$B$5,"Date before the opening balance date","OK")))))))))))))))))</f>
        <v/>
      </c>
    </row>
    <row r="1472">
      <c r="A1472" s="46" t="n"/>
      <c r="B1472" s="54" t="n"/>
      <c r="C1472" s="46" t="n"/>
      <c r="D1472" s="46" t="n"/>
      <c r="E1472" s="55" t="n"/>
      <c r="F1472" s="46" t="n"/>
      <c r="G1472" s="46" t="n"/>
      <c r="H1472" s="46" t="n"/>
      <c r="I1472" s="46" t="n"/>
      <c r="J1472" s="46" t="n"/>
      <c r="K1472" s="46" t="n"/>
      <c r="L1472" s="46" t="n"/>
      <c r="M1472" s="51" t="str">
        <f>IF(NOT(ISNUMBER($E1472)),"",IF($C1472="Receipt",$E1472,IF($C1472="Shipment",-$E1472,IF($C1472="Adjustment",$E1472,0))))</f>
        <v/>
      </c>
      <c r="N1472" s="49" t="str">
        <f>IF($D1472="","",IFERROR(INDEX(Products!$B$2:$B$101,MATCH($D1472,Products!$A$2:$A$101,0))&amp;"","(not found)"))</f>
        <v/>
      </c>
      <c r="O1472" s="49" t="str">
        <f>IF($F1472="","",IFERROR(INDEX(Batches!$B$2:$B$301,MATCH($F1472,Batches!$A$2:$A$301,0))&amp;"","(not found)"))</f>
        <v/>
      </c>
      <c r="P1472" s="49" t="str">
        <f>IF(COUNTA($A1472:$L1472)=0,"",IF($A1472="","Missing: entry ID",IF(COUNTIF($A$2:$A$2001,$A1472)&gt;1,"Duplicate entry ID",IF(NOT(ISNUMBER($B1472)),"Missing or invalid: date",IF($C1472="","Missing: type",IF($D1472="","Missing: SKU",IF(NOT(ISNUMBER($E1472)),"Missing: qty",IF($F1472="","Missing: lot",IF($I1472="","Missing: source link",IF(COUNTIF(Config!$A$15:$A$34,$C1472)=0,"Unsupported type",IF(COUNTIF(Products!$A$2:$A$101,$D1472)=0,"Unknown SKU",IF(COUNTIFS(Batches!$A$2:$A$301,$F1472,Batches!$B$2:$B$301,$D1472)=0,"Unknown lot for this SKU",IF(AND($C1472="Adjustment",$G1472=""),"Missing: reason",IF(AND($G1472&lt;&gt;"",COUNTIF(Config!$B$15:$B$34,$G1472)=0),"Unsupported reason",IF(OR(INT($E1472)&lt;&gt;$E1472,AND(OR($C1472="Receipt",$C1472="Shipment"),$E1472&lt;=0),AND($C1472="Adjustment",$E1472=0)),"Invalid qty",IF($B1472&gt;Config!$B$4,"Date after the as-of date",IF($B1472&lt;Config!$B$5,"Date before the opening balance date","OK")))))))))))))))))</f>
        <v/>
      </c>
    </row>
    <row r="1473">
      <c r="A1473" s="46" t="n"/>
      <c r="B1473" s="54" t="n"/>
      <c r="C1473" s="46" t="n"/>
      <c r="D1473" s="46" t="n"/>
      <c r="E1473" s="55" t="n"/>
      <c r="F1473" s="46" t="n"/>
      <c r="G1473" s="46" t="n"/>
      <c r="H1473" s="46" t="n"/>
      <c r="I1473" s="46" t="n"/>
      <c r="J1473" s="46" t="n"/>
      <c r="K1473" s="46" t="n"/>
      <c r="L1473" s="46" t="n"/>
      <c r="M1473" s="51" t="str">
        <f>IF(NOT(ISNUMBER($E1473)),"",IF($C1473="Receipt",$E1473,IF($C1473="Shipment",-$E1473,IF($C1473="Adjustment",$E1473,0))))</f>
        <v/>
      </c>
      <c r="N1473" s="49" t="str">
        <f>IF($D1473="","",IFERROR(INDEX(Products!$B$2:$B$101,MATCH($D1473,Products!$A$2:$A$101,0))&amp;"","(not found)"))</f>
        <v/>
      </c>
      <c r="O1473" s="49" t="str">
        <f>IF($F1473="","",IFERROR(INDEX(Batches!$B$2:$B$301,MATCH($F1473,Batches!$A$2:$A$301,0))&amp;"","(not found)"))</f>
        <v/>
      </c>
      <c r="P1473" s="49" t="str">
        <f>IF(COUNTA($A1473:$L1473)=0,"",IF($A1473="","Missing: entry ID",IF(COUNTIF($A$2:$A$2001,$A1473)&gt;1,"Duplicate entry ID",IF(NOT(ISNUMBER($B1473)),"Missing or invalid: date",IF($C1473="","Missing: type",IF($D1473="","Missing: SKU",IF(NOT(ISNUMBER($E1473)),"Missing: qty",IF($F1473="","Missing: lot",IF($I1473="","Missing: source link",IF(COUNTIF(Config!$A$15:$A$34,$C1473)=0,"Unsupported type",IF(COUNTIF(Products!$A$2:$A$101,$D1473)=0,"Unknown SKU",IF(COUNTIFS(Batches!$A$2:$A$301,$F1473,Batches!$B$2:$B$301,$D1473)=0,"Unknown lot for this SKU",IF(AND($C1473="Adjustment",$G1473=""),"Missing: reason",IF(AND($G1473&lt;&gt;"",COUNTIF(Config!$B$15:$B$34,$G1473)=0),"Unsupported reason",IF(OR(INT($E1473)&lt;&gt;$E1473,AND(OR($C1473="Receipt",$C1473="Shipment"),$E1473&lt;=0),AND($C1473="Adjustment",$E1473=0)),"Invalid qty",IF($B1473&gt;Config!$B$4,"Date after the as-of date",IF($B1473&lt;Config!$B$5,"Date before the opening balance date","OK")))))))))))))))))</f>
        <v/>
      </c>
    </row>
    <row r="1474">
      <c r="A1474" s="46" t="n"/>
      <c r="B1474" s="54" t="n"/>
      <c r="C1474" s="46" t="n"/>
      <c r="D1474" s="46" t="n"/>
      <c r="E1474" s="55" t="n"/>
      <c r="F1474" s="46" t="n"/>
      <c r="G1474" s="46" t="n"/>
      <c r="H1474" s="46" t="n"/>
      <c r="I1474" s="46" t="n"/>
      <c r="J1474" s="46" t="n"/>
      <c r="K1474" s="46" t="n"/>
      <c r="L1474" s="46" t="n"/>
      <c r="M1474" s="51" t="str">
        <f>IF(NOT(ISNUMBER($E1474)),"",IF($C1474="Receipt",$E1474,IF($C1474="Shipment",-$E1474,IF($C1474="Adjustment",$E1474,0))))</f>
        <v/>
      </c>
      <c r="N1474" s="49" t="str">
        <f>IF($D1474="","",IFERROR(INDEX(Products!$B$2:$B$101,MATCH($D1474,Products!$A$2:$A$101,0))&amp;"","(not found)"))</f>
        <v/>
      </c>
      <c r="O1474" s="49" t="str">
        <f>IF($F1474="","",IFERROR(INDEX(Batches!$B$2:$B$301,MATCH($F1474,Batches!$A$2:$A$301,0))&amp;"","(not found)"))</f>
        <v/>
      </c>
      <c r="P1474" s="49" t="str">
        <f>IF(COUNTA($A1474:$L1474)=0,"",IF($A1474="","Missing: entry ID",IF(COUNTIF($A$2:$A$2001,$A1474)&gt;1,"Duplicate entry ID",IF(NOT(ISNUMBER($B1474)),"Missing or invalid: date",IF($C1474="","Missing: type",IF($D1474="","Missing: SKU",IF(NOT(ISNUMBER($E1474)),"Missing: qty",IF($F1474="","Missing: lot",IF($I1474="","Missing: source link",IF(COUNTIF(Config!$A$15:$A$34,$C1474)=0,"Unsupported type",IF(COUNTIF(Products!$A$2:$A$101,$D1474)=0,"Unknown SKU",IF(COUNTIFS(Batches!$A$2:$A$301,$F1474,Batches!$B$2:$B$301,$D1474)=0,"Unknown lot for this SKU",IF(AND($C1474="Adjustment",$G1474=""),"Missing: reason",IF(AND($G1474&lt;&gt;"",COUNTIF(Config!$B$15:$B$34,$G1474)=0),"Unsupported reason",IF(OR(INT($E1474)&lt;&gt;$E1474,AND(OR($C1474="Receipt",$C1474="Shipment"),$E1474&lt;=0),AND($C1474="Adjustment",$E1474=0)),"Invalid qty",IF($B1474&gt;Config!$B$4,"Date after the as-of date",IF($B1474&lt;Config!$B$5,"Date before the opening balance date","OK")))))))))))))))))</f>
        <v/>
      </c>
    </row>
    <row r="1475">
      <c r="A1475" s="46" t="n"/>
      <c r="B1475" s="54" t="n"/>
      <c r="C1475" s="46" t="n"/>
      <c r="D1475" s="46" t="n"/>
      <c r="E1475" s="55" t="n"/>
      <c r="F1475" s="46" t="n"/>
      <c r="G1475" s="46" t="n"/>
      <c r="H1475" s="46" t="n"/>
      <c r="I1475" s="46" t="n"/>
      <c r="J1475" s="46" t="n"/>
      <c r="K1475" s="46" t="n"/>
      <c r="L1475" s="46" t="n"/>
      <c r="M1475" s="51" t="str">
        <f>IF(NOT(ISNUMBER($E1475)),"",IF($C1475="Receipt",$E1475,IF($C1475="Shipment",-$E1475,IF($C1475="Adjustment",$E1475,0))))</f>
        <v/>
      </c>
      <c r="N1475" s="49" t="str">
        <f>IF($D1475="","",IFERROR(INDEX(Products!$B$2:$B$101,MATCH($D1475,Products!$A$2:$A$101,0))&amp;"","(not found)"))</f>
        <v/>
      </c>
      <c r="O1475" s="49" t="str">
        <f>IF($F1475="","",IFERROR(INDEX(Batches!$B$2:$B$301,MATCH($F1475,Batches!$A$2:$A$301,0))&amp;"","(not found)"))</f>
        <v/>
      </c>
      <c r="P1475" s="49" t="str">
        <f>IF(COUNTA($A1475:$L1475)=0,"",IF($A1475="","Missing: entry ID",IF(COUNTIF($A$2:$A$2001,$A1475)&gt;1,"Duplicate entry ID",IF(NOT(ISNUMBER($B1475)),"Missing or invalid: date",IF($C1475="","Missing: type",IF($D1475="","Missing: SKU",IF(NOT(ISNUMBER($E1475)),"Missing: qty",IF($F1475="","Missing: lot",IF($I1475="","Missing: source link",IF(COUNTIF(Config!$A$15:$A$34,$C1475)=0,"Unsupported type",IF(COUNTIF(Products!$A$2:$A$101,$D1475)=0,"Unknown SKU",IF(COUNTIFS(Batches!$A$2:$A$301,$F1475,Batches!$B$2:$B$301,$D1475)=0,"Unknown lot for this SKU",IF(AND($C1475="Adjustment",$G1475=""),"Missing: reason",IF(AND($G1475&lt;&gt;"",COUNTIF(Config!$B$15:$B$34,$G1475)=0),"Unsupported reason",IF(OR(INT($E1475)&lt;&gt;$E1475,AND(OR($C1475="Receipt",$C1475="Shipment"),$E1475&lt;=0),AND($C1475="Adjustment",$E1475=0)),"Invalid qty",IF($B1475&gt;Config!$B$4,"Date after the as-of date",IF($B1475&lt;Config!$B$5,"Date before the opening balance date","OK")))))))))))))))))</f>
        <v/>
      </c>
    </row>
    <row r="1476">
      <c r="A1476" s="46" t="n"/>
      <c r="B1476" s="54" t="n"/>
      <c r="C1476" s="46" t="n"/>
      <c r="D1476" s="46" t="n"/>
      <c r="E1476" s="55" t="n"/>
      <c r="F1476" s="46" t="n"/>
      <c r="G1476" s="46" t="n"/>
      <c r="H1476" s="46" t="n"/>
      <c r="I1476" s="46" t="n"/>
      <c r="J1476" s="46" t="n"/>
      <c r="K1476" s="46" t="n"/>
      <c r="L1476" s="46" t="n"/>
      <c r="M1476" s="51" t="str">
        <f>IF(NOT(ISNUMBER($E1476)),"",IF($C1476="Receipt",$E1476,IF($C1476="Shipment",-$E1476,IF($C1476="Adjustment",$E1476,0))))</f>
        <v/>
      </c>
      <c r="N1476" s="49" t="str">
        <f>IF($D1476="","",IFERROR(INDEX(Products!$B$2:$B$101,MATCH($D1476,Products!$A$2:$A$101,0))&amp;"","(not found)"))</f>
        <v/>
      </c>
      <c r="O1476" s="49" t="str">
        <f>IF($F1476="","",IFERROR(INDEX(Batches!$B$2:$B$301,MATCH($F1476,Batches!$A$2:$A$301,0))&amp;"","(not found)"))</f>
        <v/>
      </c>
      <c r="P1476" s="49" t="str">
        <f>IF(COUNTA($A1476:$L1476)=0,"",IF($A1476="","Missing: entry ID",IF(COUNTIF($A$2:$A$2001,$A1476)&gt;1,"Duplicate entry ID",IF(NOT(ISNUMBER($B1476)),"Missing or invalid: date",IF($C1476="","Missing: type",IF($D1476="","Missing: SKU",IF(NOT(ISNUMBER($E1476)),"Missing: qty",IF($F1476="","Missing: lot",IF($I1476="","Missing: source link",IF(COUNTIF(Config!$A$15:$A$34,$C1476)=0,"Unsupported type",IF(COUNTIF(Products!$A$2:$A$101,$D1476)=0,"Unknown SKU",IF(COUNTIFS(Batches!$A$2:$A$301,$F1476,Batches!$B$2:$B$301,$D1476)=0,"Unknown lot for this SKU",IF(AND($C1476="Adjustment",$G1476=""),"Missing: reason",IF(AND($G1476&lt;&gt;"",COUNTIF(Config!$B$15:$B$34,$G1476)=0),"Unsupported reason",IF(OR(INT($E1476)&lt;&gt;$E1476,AND(OR($C1476="Receipt",$C1476="Shipment"),$E1476&lt;=0),AND($C1476="Adjustment",$E1476=0)),"Invalid qty",IF($B1476&gt;Config!$B$4,"Date after the as-of date",IF($B1476&lt;Config!$B$5,"Date before the opening balance date","OK")))))))))))))))))</f>
        <v/>
      </c>
    </row>
    <row r="1477">
      <c r="A1477" s="46" t="n"/>
      <c r="B1477" s="54" t="n"/>
      <c r="C1477" s="46" t="n"/>
      <c r="D1477" s="46" t="n"/>
      <c r="E1477" s="55" t="n"/>
      <c r="F1477" s="46" t="n"/>
      <c r="G1477" s="46" t="n"/>
      <c r="H1477" s="46" t="n"/>
      <c r="I1477" s="46" t="n"/>
      <c r="J1477" s="46" t="n"/>
      <c r="K1477" s="46" t="n"/>
      <c r="L1477" s="46" t="n"/>
      <c r="M1477" s="51" t="str">
        <f>IF(NOT(ISNUMBER($E1477)),"",IF($C1477="Receipt",$E1477,IF($C1477="Shipment",-$E1477,IF($C1477="Adjustment",$E1477,0))))</f>
        <v/>
      </c>
      <c r="N1477" s="49" t="str">
        <f>IF($D1477="","",IFERROR(INDEX(Products!$B$2:$B$101,MATCH($D1477,Products!$A$2:$A$101,0))&amp;"","(not found)"))</f>
        <v/>
      </c>
      <c r="O1477" s="49" t="str">
        <f>IF($F1477="","",IFERROR(INDEX(Batches!$B$2:$B$301,MATCH($F1477,Batches!$A$2:$A$301,0))&amp;"","(not found)"))</f>
        <v/>
      </c>
      <c r="P1477" s="49" t="str">
        <f>IF(COUNTA($A1477:$L1477)=0,"",IF($A1477="","Missing: entry ID",IF(COUNTIF($A$2:$A$2001,$A1477)&gt;1,"Duplicate entry ID",IF(NOT(ISNUMBER($B1477)),"Missing or invalid: date",IF($C1477="","Missing: type",IF($D1477="","Missing: SKU",IF(NOT(ISNUMBER($E1477)),"Missing: qty",IF($F1477="","Missing: lot",IF($I1477="","Missing: source link",IF(COUNTIF(Config!$A$15:$A$34,$C1477)=0,"Unsupported type",IF(COUNTIF(Products!$A$2:$A$101,$D1477)=0,"Unknown SKU",IF(COUNTIFS(Batches!$A$2:$A$301,$F1477,Batches!$B$2:$B$301,$D1477)=0,"Unknown lot for this SKU",IF(AND($C1477="Adjustment",$G1477=""),"Missing: reason",IF(AND($G1477&lt;&gt;"",COUNTIF(Config!$B$15:$B$34,$G1477)=0),"Unsupported reason",IF(OR(INT($E1477)&lt;&gt;$E1477,AND(OR($C1477="Receipt",$C1477="Shipment"),$E1477&lt;=0),AND($C1477="Adjustment",$E1477=0)),"Invalid qty",IF($B1477&gt;Config!$B$4,"Date after the as-of date",IF($B1477&lt;Config!$B$5,"Date before the opening balance date","OK")))))))))))))))))</f>
        <v/>
      </c>
    </row>
    <row r="1478">
      <c r="A1478" s="46" t="n"/>
      <c r="B1478" s="54" t="n"/>
      <c r="C1478" s="46" t="n"/>
      <c r="D1478" s="46" t="n"/>
      <c r="E1478" s="55" t="n"/>
      <c r="F1478" s="46" t="n"/>
      <c r="G1478" s="46" t="n"/>
      <c r="H1478" s="46" t="n"/>
      <c r="I1478" s="46" t="n"/>
      <c r="J1478" s="46" t="n"/>
      <c r="K1478" s="46" t="n"/>
      <c r="L1478" s="46" t="n"/>
      <c r="M1478" s="51" t="str">
        <f>IF(NOT(ISNUMBER($E1478)),"",IF($C1478="Receipt",$E1478,IF($C1478="Shipment",-$E1478,IF($C1478="Adjustment",$E1478,0))))</f>
        <v/>
      </c>
      <c r="N1478" s="49" t="str">
        <f>IF($D1478="","",IFERROR(INDEX(Products!$B$2:$B$101,MATCH($D1478,Products!$A$2:$A$101,0))&amp;"","(not found)"))</f>
        <v/>
      </c>
      <c r="O1478" s="49" t="str">
        <f>IF($F1478="","",IFERROR(INDEX(Batches!$B$2:$B$301,MATCH($F1478,Batches!$A$2:$A$301,0))&amp;"","(not found)"))</f>
        <v/>
      </c>
      <c r="P1478" s="49" t="str">
        <f>IF(COUNTA($A1478:$L1478)=0,"",IF($A1478="","Missing: entry ID",IF(COUNTIF($A$2:$A$2001,$A1478)&gt;1,"Duplicate entry ID",IF(NOT(ISNUMBER($B1478)),"Missing or invalid: date",IF($C1478="","Missing: type",IF($D1478="","Missing: SKU",IF(NOT(ISNUMBER($E1478)),"Missing: qty",IF($F1478="","Missing: lot",IF($I1478="","Missing: source link",IF(COUNTIF(Config!$A$15:$A$34,$C1478)=0,"Unsupported type",IF(COUNTIF(Products!$A$2:$A$101,$D1478)=0,"Unknown SKU",IF(COUNTIFS(Batches!$A$2:$A$301,$F1478,Batches!$B$2:$B$301,$D1478)=0,"Unknown lot for this SKU",IF(AND($C1478="Adjustment",$G1478=""),"Missing: reason",IF(AND($G1478&lt;&gt;"",COUNTIF(Config!$B$15:$B$34,$G1478)=0),"Unsupported reason",IF(OR(INT($E1478)&lt;&gt;$E1478,AND(OR($C1478="Receipt",$C1478="Shipment"),$E1478&lt;=0),AND($C1478="Adjustment",$E1478=0)),"Invalid qty",IF($B1478&gt;Config!$B$4,"Date after the as-of date",IF($B1478&lt;Config!$B$5,"Date before the opening balance date","OK")))))))))))))))))</f>
        <v/>
      </c>
    </row>
    <row r="1479">
      <c r="A1479" s="46" t="n"/>
      <c r="B1479" s="54" t="n"/>
      <c r="C1479" s="46" t="n"/>
      <c r="D1479" s="46" t="n"/>
      <c r="E1479" s="55" t="n"/>
      <c r="F1479" s="46" t="n"/>
      <c r="G1479" s="46" t="n"/>
      <c r="H1479" s="46" t="n"/>
      <c r="I1479" s="46" t="n"/>
      <c r="J1479" s="46" t="n"/>
      <c r="K1479" s="46" t="n"/>
      <c r="L1479" s="46" t="n"/>
      <c r="M1479" s="51" t="str">
        <f>IF(NOT(ISNUMBER($E1479)),"",IF($C1479="Receipt",$E1479,IF($C1479="Shipment",-$E1479,IF($C1479="Adjustment",$E1479,0))))</f>
        <v/>
      </c>
      <c r="N1479" s="49" t="str">
        <f>IF($D1479="","",IFERROR(INDEX(Products!$B$2:$B$101,MATCH($D1479,Products!$A$2:$A$101,0))&amp;"","(not found)"))</f>
        <v/>
      </c>
      <c r="O1479" s="49" t="str">
        <f>IF($F1479="","",IFERROR(INDEX(Batches!$B$2:$B$301,MATCH($F1479,Batches!$A$2:$A$301,0))&amp;"","(not found)"))</f>
        <v/>
      </c>
      <c r="P1479" s="49" t="str">
        <f>IF(COUNTA($A1479:$L1479)=0,"",IF($A1479="","Missing: entry ID",IF(COUNTIF($A$2:$A$2001,$A1479)&gt;1,"Duplicate entry ID",IF(NOT(ISNUMBER($B1479)),"Missing or invalid: date",IF($C1479="","Missing: type",IF($D1479="","Missing: SKU",IF(NOT(ISNUMBER($E1479)),"Missing: qty",IF($F1479="","Missing: lot",IF($I1479="","Missing: source link",IF(COUNTIF(Config!$A$15:$A$34,$C1479)=0,"Unsupported type",IF(COUNTIF(Products!$A$2:$A$101,$D1479)=0,"Unknown SKU",IF(COUNTIFS(Batches!$A$2:$A$301,$F1479,Batches!$B$2:$B$301,$D1479)=0,"Unknown lot for this SKU",IF(AND($C1479="Adjustment",$G1479=""),"Missing: reason",IF(AND($G1479&lt;&gt;"",COUNTIF(Config!$B$15:$B$34,$G1479)=0),"Unsupported reason",IF(OR(INT($E1479)&lt;&gt;$E1479,AND(OR($C1479="Receipt",$C1479="Shipment"),$E1479&lt;=0),AND($C1479="Adjustment",$E1479=0)),"Invalid qty",IF($B1479&gt;Config!$B$4,"Date after the as-of date",IF($B1479&lt;Config!$B$5,"Date before the opening balance date","OK")))))))))))))))))</f>
        <v/>
      </c>
    </row>
    <row r="1480">
      <c r="A1480" s="46" t="n"/>
      <c r="B1480" s="54" t="n"/>
      <c r="C1480" s="46" t="n"/>
      <c r="D1480" s="46" t="n"/>
      <c r="E1480" s="55" t="n"/>
      <c r="F1480" s="46" t="n"/>
      <c r="G1480" s="46" t="n"/>
      <c r="H1480" s="46" t="n"/>
      <c r="I1480" s="46" t="n"/>
      <c r="J1480" s="46" t="n"/>
      <c r="K1480" s="46" t="n"/>
      <c r="L1480" s="46" t="n"/>
      <c r="M1480" s="51" t="str">
        <f>IF(NOT(ISNUMBER($E1480)),"",IF($C1480="Receipt",$E1480,IF($C1480="Shipment",-$E1480,IF($C1480="Adjustment",$E1480,0))))</f>
        <v/>
      </c>
      <c r="N1480" s="49" t="str">
        <f>IF($D1480="","",IFERROR(INDEX(Products!$B$2:$B$101,MATCH($D1480,Products!$A$2:$A$101,0))&amp;"","(not found)"))</f>
        <v/>
      </c>
      <c r="O1480" s="49" t="str">
        <f>IF($F1480="","",IFERROR(INDEX(Batches!$B$2:$B$301,MATCH($F1480,Batches!$A$2:$A$301,0))&amp;"","(not found)"))</f>
        <v/>
      </c>
      <c r="P1480" s="49" t="str">
        <f>IF(COUNTA($A1480:$L1480)=0,"",IF($A1480="","Missing: entry ID",IF(COUNTIF($A$2:$A$2001,$A1480)&gt;1,"Duplicate entry ID",IF(NOT(ISNUMBER($B1480)),"Missing or invalid: date",IF($C1480="","Missing: type",IF($D1480="","Missing: SKU",IF(NOT(ISNUMBER($E1480)),"Missing: qty",IF($F1480="","Missing: lot",IF($I1480="","Missing: source link",IF(COUNTIF(Config!$A$15:$A$34,$C1480)=0,"Unsupported type",IF(COUNTIF(Products!$A$2:$A$101,$D1480)=0,"Unknown SKU",IF(COUNTIFS(Batches!$A$2:$A$301,$F1480,Batches!$B$2:$B$301,$D1480)=0,"Unknown lot for this SKU",IF(AND($C1480="Adjustment",$G1480=""),"Missing: reason",IF(AND($G1480&lt;&gt;"",COUNTIF(Config!$B$15:$B$34,$G1480)=0),"Unsupported reason",IF(OR(INT($E1480)&lt;&gt;$E1480,AND(OR($C1480="Receipt",$C1480="Shipment"),$E1480&lt;=0),AND($C1480="Adjustment",$E1480=0)),"Invalid qty",IF($B1480&gt;Config!$B$4,"Date after the as-of date",IF($B1480&lt;Config!$B$5,"Date before the opening balance date","OK")))))))))))))))))</f>
        <v/>
      </c>
    </row>
    <row r="1481">
      <c r="A1481" s="46" t="n"/>
      <c r="B1481" s="54" t="n"/>
      <c r="C1481" s="46" t="n"/>
      <c r="D1481" s="46" t="n"/>
      <c r="E1481" s="55" t="n"/>
      <c r="F1481" s="46" t="n"/>
      <c r="G1481" s="46" t="n"/>
      <c r="H1481" s="46" t="n"/>
      <c r="I1481" s="46" t="n"/>
      <c r="J1481" s="46" t="n"/>
      <c r="K1481" s="46" t="n"/>
      <c r="L1481" s="46" t="n"/>
      <c r="M1481" s="51" t="str">
        <f>IF(NOT(ISNUMBER($E1481)),"",IF($C1481="Receipt",$E1481,IF($C1481="Shipment",-$E1481,IF($C1481="Adjustment",$E1481,0))))</f>
        <v/>
      </c>
      <c r="N1481" s="49" t="str">
        <f>IF($D1481="","",IFERROR(INDEX(Products!$B$2:$B$101,MATCH($D1481,Products!$A$2:$A$101,0))&amp;"","(not found)"))</f>
        <v/>
      </c>
      <c r="O1481" s="49" t="str">
        <f>IF($F1481="","",IFERROR(INDEX(Batches!$B$2:$B$301,MATCH($F1481,Batches!$A$2:$A$301,0))&amp;"","(not found)"))</f>
        <v/>
      </c>
      <c r="P1481" s="49" t="str">
        <f>IF(COUNTA($A1481:$L1481)=0,"",IF($A1481="","Missing: entry ID",IF(COUNTIF($A$2:$A$2001,$A1481)&gt;1,"Duplicate entry ID",IF(NOT(ISNUMBER($B1481)),"Missing or invalid: date",IF($C1481="","Missing: type",IF($D1481="","Missing: SKU",IF(NOT(ISNUMBER($E1481)),"Missing: qty",IF($F1481="","Missing: lot",IF($I1481="","Missing: source link",IF(COUNTIF(Config!$A$15:$A$34,$C1481)=0,"Unsupported type",IF(COUNTIF(Products!$A$2:$A$101,$D1481)=0,"Unknown SKU",IF(COUNTIFS(Batches!$A$2:$A$301,$F1481,Batches!$B$2:$B$301,$D1481)=0,"Unknown lot for this SKU",IF(AND($C1481="Adjustment",$G1481=""),"Missing: reason",IF(AND($G1481&lt;&gt;"",COUNTIF(Config!$B$15:$B$34,$G1481)=0),"Unsupported reason",IF(OR(INT($E1481)&lt;&gt;$E1481,AND(OR($C1481="Receipt",$C1481="Shipment"),$E1481&lt;=0),AND($C1481="Adjustment",$E1481=0)),"Invalid qty",IF($B1481&gt;Config!$B$4,"Date after the as-of date",IF($B1481&lt;Config!$B$5,"Date before the opening balance date","OK")))))))))))))))))</f>
        <v/>
      </c>
    </row>
    <row r="1482">
      <c r="A1482" s="46" t="n"/>
      <c r="B1482" s="54" t="n"/>
      <c r="C1482" s="46" t="n"/>
      <c r="D1482" s="46" t="n"/>
      <c r="E1482" s="55" t="n"/>
      <c r="F1482" s="46" t="n"/>
      <c r="G1482" s="46" t="n"/>
      <c r="H1482" s="46" t="n"/>
      <c r="I1482" s="46" t="n"/>
      <c r="J1482" s="46" t="n"/>
      <c r="K1482" s="46" t="n"/>
      <c r="L1482" s="46" t="n"/>
      <c r="M1482" s="51" t="str">
        <f>IF(NOT(ISNUMBER($E1482)),"",IF($C1482="Receipt",$E1482,IF($C1482="Shipment",-$E1482,IF($C1482="Adjustment",$E1482,0))))</f>
        <v/>
      </c>
      <c r="N1482" s="49" t="str">
        <f>IF($D1482="","",IFERROR(INDEX(Products!$B$2:$B$101,MATCH($D1482,Products!$A$2:$A$101,0))&amp;"","(not found)"))</f>
        <v/>
      </c>
      <c r="O1482" s="49" t="str">
        <f>IF($F1482="","",IFERROR(INDEX(Batches!$B$2:$B$301,MATCH($F1482,Batches!$A$2:$A$301,0))&amp;"","(not found)"))</f>
        <v/>
      </c>
      <c r="P1482" s="49" t="str">
        <f>IF(COUNTA($A1482:$L1482)=0,"",IF($A1482="","Missing: entry ID",IF(COUNTIF($A$2:$A$2001,$A1482)&gt;1,"Duplicate entry ID",IF(NOT(ISNUMBER($B1482)),"Missing or invalid: date",IF($C1482="","Missing: type",IF($D1482="","Missing: SKU",IF(NOT(ISNUMBER($E1482)),"Missing: qty",IF($F1482="","Missing: lot",IF($I1482="","Missing: source link",IF(COUNTIF(Config!$A$15:$A$34,$C1482)=0,"Unsupported type",IF(COUNTIF(Products!$A$2:$A$101,$D1482)=0,"Unknown SKU",IF(COUNTIFS(Batches!$A$2:$A$301,$F1482,Batches!$B$2:$B$301,$D1482)=0,"Unknown lot for this SKU",IF(AND($C1482="Adjustment",$G1482=""),"Missing: reason",IF(AND($G1482&lt;&gt;"",COUNTIF(Config!$B$15:$B$34,$G1482)=0),"Unsupported reason",IF(OR(INT($E1482)&lt;&gt;$E1482,AND(OR($C1482="Receipt",$C1482="Shipment"),$E1482&lt;=0),AND($C1482="Adjustment",$E1482=0)),"Invalid qty",IF($B1482&gt;Config!$B$4,"Date after the as-of date",IF($B1482&lt;Config!$B$5,"Date before the opening balance date","OK")))))))))))))))))</f>
        <v/>
      </c>
    </row>
    <row r="1483">
      <c r="A1483" s="46" t="n"/>
      <c r="B1483" s="54" t="n"/>
      <c r="C1483" s="46" t="n"/>
      <c r="D1483" s="46" t="n"/>
      <c r="E1483" s="55" t="n"/>
      <c r="F1483" s="46" t="n"/>
      <c r="G1483" s="46" t="n"/>
      <c r="H1483" s="46" t="n"/>
      <c r="I1483" s="46" t="n"/>
      <c r="J1483" s="46" t="n"/>
      <c r="K1483" s="46" t="n"/>
      <c r="L1483" s="46" t="n"/>
      <c r="M1483" s="51" t="str">
        <f>IF(NOT(ISNUMBER($E1483)),"",IF($C1483="Receipt",$E1483,IF($C1483="Shipment",-$E1483,IF($C1483="Adjustment",$E1483,0))))</f>
        <v/>
      </c>
      <c r="N1483" s="49" t="str">
        <f>IF($D1483="","",IFERROR(INDEX(Products!$B$2:$B$101,MATCH($D1483,Products!$A$2:$A$101,0))&amp;"","(not found)"))</f>
        <v/>
      </c>
      <c r="O1483" s="49" t="str">
        <f>IF($F1483="","",IFERROR(INDEX(Batches!$B$2:$B$301,MATCH($F1483,Batches!$A$2:$A$301,0))&amp;"","(not found)"))</f>
        <v/>
      </c>
      <c r="P1483" s="49" t="str">
        <f>IF(COUNTA($A1483:$L1483)=0,"",IF($A1483="","Missing: entry ID",IF(COUNTIF($A$2:$A$2001,$A1483)&gt;1,"Duplicate entry ID",IF(NOT(ISNUMBER($B1483)),"Missing or invalid: date",IF($C1483="","Missing: type",IF($D1483="","Missing: SKU",IF(NOT(ISNUMBER($E1483)),"Missing: qty",IF($F1483="","Missing: lot",IF($I1483="","Missing: source link",IF(COUNTIF(Config!$A$15:$A$34,$C1483)=0,"Unsupported type",IF(COUNTIF(Products!$A$2:$A$101,$D1483)=0,"Unknown SKU",IF(COUNTIFS(Batches!$A$2:$A$301,$F1483,Batches!$B$2:$B$301,$D1483)=0,"Unknown lot for this SKU",IF(AND($C1483="Adjustment",$G1483=""),"Missing: reason",IF(AND($G1483&lt;&gt;"",COUNTIF(Config!$B$15:$B$34,$G1483)=0),"Unsupported reason",IF(OR(INT($E1483)&lt;&gt;$E1483,AND(OR($C1483="Receipt",$C1483="Shipment"),$E1483&lt;=0),AND($C1483="Adjustment",$E1483=0)),"Invalid qty",IF($B1483&gt;Config!$B$4,"Date after the as-of date",IF($B1483&lt;Config!$B$5,"Date before the opening balance date","OK")))))))))))))))))</f>
        <v/>
      </c>
    </row>
    <row r="1484">
      <c r="A1484" s="46" t="n"/>
      <c r="B1484" s="54" t="n"/>
      <c r="C1484" s="46" t="n"/>
      <c r="D1484" s="46" t="n"/>
      <c r="E1484" s="55" t="n"/>
      <c r="F1484" s="46" t="n"/>
      <c r="G1484" s="46" t="n"/>
      <c r="H1484" s="46" t="n"/>
      <c r="I1484" s="46" t="n"/>
      <c r="J1484" s="46" t="n"/>
      <c r="K1484" s="46" t="n"/>
      <c r="L1484" s="46" t="n"/>
      <c r="M1484" s="51" t="str">
        <f>IF(NOT(ISNUMBER($E1484)),"",IF($C1484="Receipt",$E1484,IF($C1484="Shipment",-$E1484,IF($C1484="Adjustment",$E1484,0))))</f>
        <v/>
      </c>
      <c r="N1484" s="49" t="str">
        <f>IF($D1484="","",IFERROR(INDEX(Products!$B$2:$B$101,MATCH($D1484,Products!$A$2:$A$101,0))&amp;"","(not found)"))</f>
        <v/>
      </c>
      <c r="O1484" s="49" t="str">
        <f>IF($F1484="","",IFERROR(INDEX(Batches!$B$2:$B$301,MATCH($F1484,Batches!$A$2:$A$301,0))&amp;"","(not found)"))</f>
        <v/>
      </c>
      <c r="P1484" s="49" t="str">
        <f>IF(COUNTA($A1484:$L1484)=0,"",IF($A1484="","Missing: entry ID",IF(COUNTIF($A$2:$A$2001,$A1484)&gt;1,"Duplicate entry ID",IF(NOT(ISNUMBER($B1484)),"Missing or invalid: date",IF($C1484="","Missing: type",IF($D1484="","Missing: SKU",IF(NOT(ISNUMBER($E1484)),"Missing: qty",IF($F1484="","Missing: lot",IF($I1484="","Missing: source link",IF(COUNTIF(Config!$A$15:$A$34,$C1484)=0,"Unsupported type",IF(COUNTIF(Products!$A$2:$A$101,$D1484)=0,"Unknown SKU",IF(COUNTIFS(Batches!$A$2:$A$301,$F1484,Batches!$B$2:$B$301,$D1484)=0,"Unknown lot for this SKU",IF(AND($C1484="Adjustment",$G1484=""),"Missing: reason",IF(AND($G1484&lt;&gt;"",COUNTIF(Config!$B$15:$B$34,$G1484)=0),"Unsupported reason",IF(OR(INT($E1484)&lt;&gt;$E1484,AND(OR($C1484="Receipt",$C1484="Shipment"),$E1484&lt;=0),AND($C1484="Adjustment",$E1484=0)),"Invalid qty",IF($B1484&gt;Config!$B$4,"Date after the as-of date",IF($B1484&lt;Config!$B$5,"Date before the opening balance date","OK")))))))))))))))))</f>
        <v/>
      </c>
    </row>
    <row r="1485">
      <c r="A1485" s="46" t="n"/>
      <c r="B1485" s="54" t="n"/>
      <c r="C1485" s="46" t="n"/>
      <c r="D1485" s="46" t="n"/>
      <c r="E1485" s="55" t="n"/>
      <c r="F1485" s="46" t="n"/>
      <c r="G1485" s="46" t="n"/>
      <c r="H1485" s="46" t="n"/>
      <c r="I1485" s="46" t="n"/>
      <c r="J1485" s="46" t="n"/>
      <c r="K1485" s="46" t="n"/>
      <c r="L1485" s="46" t="n"/>
      <c r="M1485" s="51" t="str">
        <f>IF(NOT(ISNUMBER($E1485)),"",IF($C1485="Receipt",$E1485,IF($C1485="Shipment",-$E1485,IF($C1485="Adjustment",$E1485,0))))</f>
        <v/>
      </c>
      <c r="N1485" s="49" t="str">
        <f>IF($D1485="","",IFERROR(INDEX(Products!$B$2:$B$101,MATCH($D1485,Products!$A$2:$A$101,0))&amp;"","(not found)"))</f>
        <v/>
      </c>
      <c r="O1485" s="49" t="str">
        <f>IF($F1485="","",IFERROR(INDEX(Batches!$B$2:$B$301,MATCH($F1485,Batches!$A$2:$A$301,0))&amp;"","(not found)"))</f>
        <v/>
      </c>
      <c r="P1485" s="49" t="str">
        <f>IF(COUNTA($A1485:$L1485)=0,"",IF($A1485="","Missing: entry ID",IF(COUNTIF($A$2:$A$2001,$A1485)&gt;1,"Duplicate entry ID",IF(NOT(ISNUMBER($B1485)),"Missing or invalid: date",IF($C1485="","Missing: type",IF($D1485="","Missing: SKU",IF(NOT(ISNUMBER($E1485)),"Missing: qty",IF($F1485="","Missing: lot",IF($I1485="","Missing: source link",IF(COUNTIF(Config!$A$15:$A$34,$C1485)=0,"Unsupported type",IF(COUNTIF(Products!$A$2:$A$101,$D1485)=0,"Unknown SKU",IF(COUNTIFS(Batches!$A$2:$A$301,$F1485,Batches!$B$2:$B$301,$D1485)=0,"Unknown lot for this SKU",IF(AND($C1485="Adjustment",$G1485=""),"Missing: reason",IF(AND($G1485&lt;&gt;"",COUNTIF(Config!$B$15:$B$34,$G1485)=0),"Unsupported reason",IF(OR(INT($E1485)&lt;&gt;$E1485,AND(OR($C1485="Receipt",$C1485="Shipment"),$E1485&lt;=0),AND($C1485="Adjustment",$E1485=0)),"Invalid qty",IF($B1485&gt;Config!$B$4,"Date after the as-of date",IF($B1485&lt;Config!$B$5,"Date before the opening balance date","OK")))))))))))))))))</f>
        <v/>
      </c>
    </row>
    <row r="1486">
      <c r="A1486" s="46" t="n"/>
      <c r="B1486" s="54" t="n"/>
      <c r="C1486" s="46" t="n"/>
      <c r="D1486" s="46" t="n"/>
      <c r="E1486" s="55" t="n"/>
      <c r="F1486" s="46" t="n"/>
      <c r="G1486" s="46" t="n"/>
      <c r="H1486" s="46" t="n"/>
      <c r="I1486" s="46" t="n"/>
      <c r="J1486" s="46" t="n"/>
      <c r="K1486" s="46" t="n"/>
      <c r="L1486" s="46" t="n"/>
      <c r="M1486" s="51" t="str">
        <f>IF(NOT(ISNUMBER($E1486)),"",IF($C1486="Receipt",$E1486,IF($C1486="Shipment",-$E1486,IF($C1486="Adjustment",$E1486,0))))</f>
        <v/>
      </c>
      <c r="N1486" s="49" t="str">
        <f>IF($D1486="","",IFERROR(INDEX(Products!$B$2:$B$101,MATCH($D1486,Products!$A$2:$A$101,0))&amp;"","(not found)"))</f>
        <v/>
      </c>
      <c r="O1486" s="49" t="str">
        <f>IF($F1486="","",IFERROR(INDEX(Batches!$B$2:$B$301,MATCH($F1486,Batches!$A$2:$A$301,0))&amp;"","(not found)"))</f>
        <v/>
      </c>
      <c r="P1486" s="49" t="str">
        <f>IF(COUNTA($A1486:$L1486)=0,"",IF($A1486="","Missing: entry ID",IF(COUNTIF($A$2:$A$2001,$A1486)&gt;1,"Duplicate entry ID",IF(NOT(ISNUMBER($B1486)),"Missing or invalid: date",IF($C1486="","Missing: type",IF($D1486="","Missing: SKU",IF(NOT(ISNUMBER($E1486)),"Missing: qty",IF($F1486="","Missing: lot",IF($I1486="","Missing: source link",IF(COUNTIF(Config!$A$15:$A$34,$C1486)=0,"Unsupported type",IF(COUNTIF(Products!$A$2:$A$101,$D1486)=0,"Unknown SKU",IF(COUNTIFS(Batches!$A$2:$A$301,$F1486,Batches!$B$2:$B$301,$D1486)=0,"Unknown lot for this SKU",IF(AND($C1486="Adjustment",$G1486=""),"Missing: reason",IF(AND($G1486&lt;&gt;"",COUNTIF(Config!$B$15:$B$34,$G1486)=0),"Unsupported reason",IF(OR(INT($E1486)&lt;&gt;$E1486,AND(OR($C1486="Receipt",$C1486="Shipment"),$E1486&lt;=0),AND($C1486="Adjustment",$E1486=0)),"Invalid qty",IF($B1486&gt;Config!$B$4,"Date after the as-of date",IF($B1486&lt;Config!$B$5,"Date before the opening balance date","OK")))))))))))))))))</f>
        <v/>
      </c>
    </row>
    <row r="1487">
      <c r="A1487" s="46" t="n"/>
      <c r="B1487" s="54" t="n"/>
      <c r="C1487" s="46" t="n"/>
      <c r="D1487" s="46" t="n"/>
      <c r="E1487" s="55" t="n"/>
      <c r="F1487" s="46" t="n"/>
      <c r="G1487" s="46" t="n"/>
      <c r="H1487" s="46" t="n"/>
      <c r="I1487" s="46" t="n"/>
      <c r="J1487" s="46" t="n"/>
      <c r="K1487" s="46" t="n"/>
      <c r="L1487" s="46" t="n"/>
      <c r="M1487" s="51" t="str">
        <f>IF(NOT(ISNUMBER($E1487)),"",IF($C1487="Receipt",$E1487,IF($C1487="Shipment",-$E1487,IF($C1487="Adjustment",$E1487,0))))</f>
        <v/>
      </c>
      <c r="N1487" s="49" t="str">
        <f>IF($D1487="","",IFERROR(INDEX(Products!$B$2:$B$101,MATCH($D1487,Products!$A$2:$A$101,0))&amp;"","(not found)"))</f>
        <v/>
      </c>
      <c r="O1487" s="49" t="str">
        <f>IF($F1487="","",IFERROR(INDEX(Batches!$B$2:$B$301,MATCH($F1487,Batches!$A$2:$A$301,0))&amp;"","(not found)"))</f>
        <v/>
      </c>
      <c r="P1487" s="49" t="str">
        <f>IF(COUNTA($A1487:$L1487)=0,"",IF($A1487="","Missing: entry ID",IF(COUNTIF($A$2:$A$2001,$A1487)&gt;1,"Duplicate entry ID",IF(NOT(ISNUMBER($B1487)),"Missing or invalid: date",IF($C1487="","Missing: type",IF($D1487="","Missing: SKU",IF(NOT(ISNUMBER($E1487)),"Missing: qty",IF($F1487="","Missing: lot",IF($I1487="","Missing: source link",IF(COUNTIF(Config!$A$15:$A$34,$C1487)=0,"Unsupported type",IF(COUNTIF(Products!$A$2:$A$101,$D1487)=0,"Unknown SKU",IF(COUNTIFS(Batches!$A$2:$A$301,$F1487,Batches!$B$2:$B$301,$D1487)=0,"Unknown lot for this SKU",IF(AND($C1487="Adjustment",$G1487=""),"Missing: reason",IF(AND($G1487&lt;&gt;"",COUNTIF(Config!$B$15:$B$34,$G1487)=0),"Unsupported reason",IF(OR(INT($E1487)&lt;&gt;$E1487,AND(OR($C1487="Receipt",$C1487="Shipment"),$E1487&lt;=0),AND($C1487="Adjustment",$E1487=0)),"Invalid qty",IF($B1487&gt;Config!$B$4,"Date after the as-of date",IF($B1487&lt;Config!$B$5,"Date before the opening balance date","OK")))))))))))))))))</f>
        <v/>
      </c>
    </row>
    <row r="1488">
      <c r="A1488" s="46" t="n"/>
      <c r="B1488" s="54" t="n"/>
      <c r="C1488" s="46" t="n"/>
      <c r="D1488" s="46" t="n"/>
      <c r="E1488" s="55" t="n"/>
      <c r="F1488" s="46" t="n"/>
      <c r="G1488" s="46" t="n"/>
      <c r="H1488" s="46" t="n"/>
      <c r="I1488" s="46" t="n"/>
      <c r="J1488" s="46" t="n"/>
      <c r="K1488" s="46" t="n"/>
      <c r="L1488" s="46" t="n"/>
      <c r="M1488" s="51" t="str">
        <f>IF(NOT(ISNUMBER($E1488)),"",IF($C1488="Receipt",$E1488,IF($C1488="Shipment",-$E1488,IF($C1488="Adjustment",$E1488,0))))</f>
        <v/>
      </c>
      <c r="N1488" s="49" t="str">
        <f>IF($D1488="","",IFERROR(INDEX(Products!$B$2:$B$101,MATCH($D1488,Products!$A$2:$A$101,0))&amp;"","(not found)"))</f>
        <v/>
      </c>
      <c r="O1488" s="49" t="str">
        <f>IF($F1488="","",IFERROR(INDEX(Batches!$B$2:$B$301,MATCH($F1488,Batches!$A$2:$A$301,0))&amp;"","(not found)"))</f>
        <v/>
      </c>
      <c r="P1488" s="49" t="str">
        <f>IF(COUNTA($A1488:$L1488)=0,"",IF($A1488="","Missing: entry ID",IF(COUNTIF($A$2:$A$2001,$A1488)&gt;1,"Duplicate entry ID",IF(NOT(ISNUMBER($B1488)),"Missing or invalid: date",IF($C1488="","Missing: type",IF($D1488="","Missing: SKU",IF(NOT(ISNUMBER($E1488)),"Missing: qty",IF($F1488="","Missing: lot",IF($I1488="","Missing: source link",IF(COUNTIF(Config!$A$15:$A$34,$C1488)=0,"Unsupported type",IF(COUNTIF(Products!$A$2:$A$101,$D1488)=0,"Unknown SKU",IF(COUNTIFS(Batches!$A$2:$A$301,$F1488,Batches!$B$2:$B$301,$D1488)=0,"Unknown lot for this SKU",IF(AND($C1488="Adjustment",$G1488=""),"Missing: reason",IF(AND($G1488&lt;&gt;"",COUNTIF(Config!$B$15:$B$34,$G1488)=0),"Unsupported reason",IF(OR(INT($E1488)&lt;&gt;$E1488,AND(OR($C1488="Receipt",$C1488="Shipment"),$E1488&lt;=0),AND($C1488="Adjustment",$E1488=0)),"Invalid qty",IF($B1488&gt;Config!$B$4,"Date after the as-of date",IF($B1488&lt;Config!$B$5,"Date before the opening balance date","OK")))))))))))))))))</f>
        <v/>
      </c>
    </row>
    <row r="1489">
      <c r="A1489" s="46" t="n"/>
      <c r="B1489" s="54" t="n"/>
      <c r="C1489" s="46" t="n"/>
      <c r="D1489" s="46" t="n"/>
      <c r="E1489" s="55" t="n"/>
      <c r="F1489" s="46" t="n"/>
      <c r="G1489" s="46" t="n"/>
      <c r="H1489" s="46" t="n"/>
      <c r="I1489" s="46" t="n"/>
      <c r="J1489" s="46" t="n"/>
      <c r="K1489" s="46" t="n"/>
      <c r="L1489" s="46" t="n"/>
      <c r="M1489" s="51" t="str">
        <f>IF(NOT(ISNUMBER($E1489)),"",IF($C1489="Receipt",$E1489,IF($C1489="Shipment",-$E1489,IF($C1489="Adjustment",$E1489,0))))</f>
        <v/>
      </c>
      <c r="N1489" s="49" t="str">
        <f>IF($D1489="","",IFERROR(INDEX(Products!$B$2:$B$101,MATCH($D1489,Products!$A$2:$A$101,0))&amp;"","(not found)"))</f>
        <v/>
      </c>
      <c r="O1489" s="49" t="str">
        <f>IF($F1489="","",IFERROR(INDEX(Batches!$B$2:$B$301,MATCH($F1489,Batches!$A$2:$A$301,0))&amp;"","(not found)"))</f>
        <v/>
      </c>
      <c r="P1489" s="49" t="str">
        <f>IF(COUNTA($A1489:$L1489)=0,"",IF($A1489="","Missing: entry ID",IF(COUNTIF($A$2:$A$2001,$A1489)&gt;1,"Duplicate entry ID",IF(NOT(ISNUMBER($B1489)),"Missing or invalid: date",IF($C1489="","Missing: type",IF($D1489="","Missing: SKU",IF(NOT(ISNUMBER($E1489)),"Missing: qty",IF($F1489="","Missing: lot",IF($I1489="","Missing: source link",IF(COUNTIF(Config!$A$15:$A$34,$C1489)=0,"Unsupported type",IF(COUNTIF(Products!$A$2:$A$101,$D1489)=0,"Unknown SKU",IF(COUNTIFS(Batches!$A$2:$A$301,$F1489,Batches!$B$2:$B$301,$D1489)=0,"Unknown lot for this SKU",IF(AND($C1489="Adjustment",$G1489=""),"Missing: reason",IF(AND($G1489&lt;&gt;"",COUNTIF(Config!$B$15:$B$34,$G1489)=0),"Unsupported reason",IF(OR(INT($E1489)&lt;&gt;$E1489,AND(OR($C1489="Receipt",$C1489="Shipment"),$E1489&lt;=0),AND($C1489="Adjustment",$E1489=0)),"Invalid qty",IF($B1489&gt;Config!$B$4,"Date after the as-of date",IF($B1489&lt;Config!$B$5,"Date before the opening balance date","OK")))))))))))))))))</f>
        <v/>
      </c>
    </row>
    <row r="1490">
      <c r="A1490" s="46" t="n"/>
      <c r="B1490" s="54" t="n"/>
      <c r="C1490" s="46" t="n"/>
      <c r="D1490" s="46" t="n"/>
      <c r="E1490" s="55" t="n"/>
      <c r="F1490" s="46" t="n"/>
      <c r="G1490" s="46" t="n"/>
      <c r="H1490" s="46" t="n"/>
      <c r="I1490" s="46" t="n"/>
      <c r="J1490" s="46" t="n"/>
      <c r="K1490" s="46" t="n"/>
      <c r="L1490" s="46" t="n"/>
      <c r="M1490" s="51" t="str">
        <f>IF(NOT(ISNUMBER($E1490)),"",IF($C1490="Receipt",$E1490,IF($C1490="Shipment",-$E1490,IF($C1490="Adjustment",$E1490,0))))</f>
        <v/>
      </c>
      <c r="N1490" s="49" t="str">
        <f>IF($D1490="","",IFERROR(INDEX(Products!$B$2:$B$101,MATCH($D1490,Products!$A$2:$A$101,0))&amp;"","(not found)"))</f>
        <v/>
      </c>
      <c r="O1490" s="49" t="str">
        <f>IF($F1490="","",IFERROR(INDEX(Batches!$B$2:$B$301,MATCH($F1490,Batches!$A$2:$A$301,0))&amp;"","(not found)"))</f>
        <v/>
      </c>
      <c r="P1490" s="49" t="str">
        <f>IF(COUNTA($A1490:$L1490)=0,"",IF($A1490="","Missing: entry ID",IF(COUNTIF($A$2:$A$2001,$A1490)&gt;1,"Duplicate entry ID",IF(NOT(ISNUMBER($B1490)),"Missing or invalid: date",IF($C1490="","Missing: type",IF($D1490="","Missing: SKU",IF(NOT(ISNUMBER($E1490)),"Missing: qty",IF($F1490="","Missing: lot",IF($I1490="","Missing: source link",IF(COUNTIF(Config!$A$15:$A$34,$C1490)=0,"Unsupported type",IF(COUNTIF(Products!$A$2:$A$101,$D1490)=0,"Unknown SKU",IF(COUNTIFS(Batches!$A$2:$A$301,$F1490,Batches!$B$2:$B$301,$D1490)=0,"Unknown lot for this SKU",IF(AND($C1490="Adjustment",$G1490=""),"Missing: reason",IF(AND($G1490&lt;&gt;"",COUNTIF(Config!$B$15:$B$34,$G1490)=0),"Unsupported reason",IF(OR(INT($E1490)&lt;&gt;$E1490,AND(OR($C1490="Receipt",$C1490="Shipment"),$E1490&lt;=0),AND($C1490="Adjustment",$E1490=0)),"Invalid qty",IF($B1490&gt;Config!$B$4,"Date after the as-of date",IF($B1490&lt;Config!$B$5,"Date before the opening balance date","OK")))))))))))))))))</f>
        <v/>
      </c>
    </row>
    <row r="1491">
      <c r="A1491" s="46" t="n"/>
      <c r="B1491" s="54" t="n"/>
      <c r="C1491" s="46" t="n"/>
      <c r="D1491" s="46" t="n"/>
      <c r="E1491" s="55" t="n"/>
      <c r="F1491" s="46" t="n"/>
      <c r="G1491" s="46" t="n"/>
      <c r="H1491" s="46" t="n"/>
      <c r="I1491" s="46" t="n"/>
      <c r="J1491" s="46" t="n"/>
      <c r="K1491" s="46" t="n"/>
      <c r="L1491" s="46" t="n"/>
      <c r="M1491" s="51" t="str">
        <f>IF(NOT(ISNUMBER($E1491)),"",IF($C1491="Receipt",$E1491,IF($C1491="Shipment",-$E1491,IF($C1491="Adjustment",$E1491,0))))</f>
        <v/>
      </c>
      <c r="N1491" s="49" t="str">
        <f>IF($D1491="","",IFERROR(INDEX(Products!$B$2:$B$101,MATCH($D1491,Products!$A$2:$A$101,0))&amp;"","(not found)"))</f>
        <v/>
      </c>
      <c r="O1491" s="49" t="str">
        <f>IF($F1491="","",IFERROR(INDEX(Batches!$B$2:$B$301,MATCH($F1491,Batches!$A$2:$A$301,0))&amp;"","(not found)"))</f>
        <v/>
      </c>
      <c r="P1491" s="49" t="str">
        <f>IF(COUNTA($A1491:$L1491)=0,"",IF($A1491="","Missing: entry ID",IF(COUNTIF($A$2:$A$2001,$A1491)&gt;1,"Duplicate entry ID",IF(NOT(ISNUMBER($B1491)),"Missing or invalid: date",IF($C1491="","Missing: type",IF($D1491="","Missing: SKU",IF(NOT(ISNUMBER($E1491)),"Missing: qty",IF($F1491="","Missing: lot",IF($I1491="","Missing: source link",IF(COUNTIF(Config!$A$15:$A$34,$C1491)=0,"Unsupported type",IF(COUNTIF(Products!$A$2:$A$101,$D1491)=0,"Unknown SKU",IF(COUNTIFS(Batches!$A$2:$A$301,$F1491,Batches!$B$2:$B$301,$D1491)=0,"Unknown lot for this SKU",IF(AND($C1491="Adjustment",$G1491=""),"Missing: reason",IF(AND($G1491&lt;&gt;"",COUNTIF(Config!$B$15:$B$34,$G1491)=0),"Unsupported reason",IF(OR(INT($E1491)&lt;&gt;$E1491,AND(OR($C1491="Receipt",$C1491="Shipment"),$E1491&lt;=0),AND($C1491="Adjustment",$E1491=0)),"Invalid qty",IF($B1491&gt;Config!$B$4,"Date after the as-of date",IF($B1491&lt;Config!$B$5,"Date before the opening balance date","OK")))))))))))))))))</f>
        <v/>
      </c>
    </row>
    <row r="1492">
      <c r="A1492" s="46" t="n"/>
      <c r="B1492" s="54" t="n"/>
      <c r="C1492" s="46" t="n"/>
      <c r="D1492" s="46" t="n"/>
      <c r="E1492" s="55" t="n"/>
      <c r="F1492" s="46" t="n"/>
      <c r="G1492" s="46" t="n"/>
      <c r="H1492" s="46" t="n"/>
      <c r="I1492" s="46" t="n"/>
      <c r="J1492" s="46" t="n"/>
      <c r="K1492" s="46" t="n"/>
      <c r="L1492" s="46" t="n"/>
      <c r="M1492" s="51" t="str">
        <f>IF(NOT(ISNUMBER($E1492)),"",IF($C1492="Receipt",$E1492,IF($C1492="Shipment",-$E1492,IF($C1492="Adjustment",$E1492,0))))</f>
        <v/>
      </c>
      <c r="N1492" s="49" t="str">
        <f>IF($D1492="","",IFERROR(INDEX(Products!$B$2:$B$101,MATCH($D1492,Products!$A$2:$A$101,0))&amp;"","(not found)"))</f>
        <v/>
      </c>
      <c r="O1492" s="49" t="str">
        <f>IF($F1492="","",IFERROR(INDEX(Batches!$B$2:$B$301,MATCH($F1492,Batches!$A$2:$A$301,0))&amp;"","(not found)"))</f>
        <v/>
      </c>
      <c r="P1492" s="49" t="str">
        <f>IF(COUNTA($A1492:$L1492)=0,"",IF($A1492="","Missing: entry ID",IF(COUNTIF($A$2:$A$2001,$A1492)&gt;1,"Duplicate entry ID",IF(NOT(ISNUMBER($B1492)),"Missing or invalid: date",IF($C1492="","Missing: type",IF($D1492="","Missing: SKU",IF(NOT(ISNUMBER($E1492)),"Missing: qty",IF($F1492="","Missing: lot",IF($I1492="","Missing: source link",IF(COUNTIF(Config!$A$15:$A$34,$C1492)=0,"Unsupported type",IF(COUNTIF(Products!$A$2:$A$101,$D1492)=0,"Unknown SKU",IF(COUNTIFS(Batches!$A$2:$A$301,$F1492,Batches!$B$2:$B$301,$D1492)=0,"Unknown lot for this SKU",IF(AND($C1492="Adjustment",$G1492=""),"Missing: reason",IF(AND($G1492&lt;&gt;"",COUNTIF(Config!$B$15:$B$34,$G1492)=0),"Unsupported reason",IF(OR(INT($E1492)&lt;&gt;$E1492,AND(OR($C1492="Receipt",$C1492="Shipment"),$E1492&lt;=0),AND($C1492="Adjustment",$E1492=0)),"Invalid qty",IF($B1492&gt;Config!$B$4,"Date after the as-of date",IF($B1492&lt;Config!$B$5,"Date before the opening balance date","OK")))))))))))))))))</f>
        <v/>
      </c>
    </row>
    <row r="1493">
      <c r="A1493" s="46" t="n"/>
      <c r="B1493" s="54" t="n"/>
      <c r="C1493" s="46" t="n"/>
      <c r="D1493" s="46" t="n"/>
      <c r="E1493" s="55" t="n"/>
      <c r="F1493" s="46" t="n"/>
      <c r="G1493" s="46" t="n"/>
      <c r="H1493" s="46" t="n"/>
      <c r="I1493" s="46" t="n"/>
      <c r="J1493" s="46" t="n"/>
      <c r="K1493" s="46" t="n"/>
      <c r="L1493" s="46" t="n"/>
      <c r="M1493" s="51" t="str">
        <f>IF(NOT(ISNUMBER($E1493)),"",IF($C1493="Receipt",$E1493,IF($C1493="Shipment",-$E1493,IF($C1493="Adjustment",$E1493,0))))</f>
        <v/>
      </c>
      <c r="N1493" s="49" t="str">
        <f>IF($D1493="","",IFERROR(INDEX(Products!$B$2:$B$101,MATCH($D1493,Products!$A$2:$A$101,0))&amp;"","(not found)"))</f>
        <v/>
      </c>
      <c r="O1493" s="49" t="str">
        <f>IF($F1493="","",IFERROR(INDEX(Batches!$B$2:$B$301,MATCH($F1493,Batches!$A$2:$A$301,0))&amp;"","(not found)"))</f>
        <v/>
      </c>
      <c r="P1493" s="49" t="str">
        <f>IF(COUNTA($A1493:$L1493)=0,"",IF($A1493="","Missing: entry ID",IF(COUNTIF($A$2:$A$2001,$A1493)&gt;1,"Duplicate entry ID",IF(NOT(ISNUMBER($B1493)),"Missing or invalid: date",IF($C1493="","Missing: type",IF($D1493="","Missing: SKU",IF(NOT(ISNUMBER($E1493)),"Missing: qty",IF($F1493="","Missing: lot",IF($I1493="","Missing: source link",IF(COUNTIF(Config!$A$15:$A$34,$C1493)=0,"Unsupported type",IF(COUNTIF(Products!$A$2:$A$101,$D1493)=0,"Unknown SKU",IF(COUNTIFS(Batches!$A$2:$A$301,$F1493,Batches!$B$2:$B$301,$D1493)=0,"Unknown lot for this SKU",IF(AND($C1493="Adjustment",$G1493=""),"Missing: reason",IF(AND($G1493&lt;&gt;"",COUNTIF(Config!$B$15:$B$34,$G1493)=0),"Unsupported reason",IF(OR(INT($E1493)&lt;&gt;$E1493,AND(OR($C1493="Receipt",$C1493="Shipment"),$E1493&lt;=0),AND($C1493="Adjustment",$E1493=0)),"Invalid qty",IF($B1493&gt;Config!$B$4,"Date after the as-of date",IF($B1493&lt;Config!$B$5,"Date before the opening balance date","OK")))))))))))))))))</f>
        <v/>
      </c>
    </row>
    <row r="1494">
      <c r="A1494" s="46" t="n"/>
      <c r="B1494" s="54" t="n"/>
      <c r="C1494" s="46" t="n"/>
      <c r="D1494" s="46" t="n"/>
      <c r="E1494" s="55" t="n"/>
      <c r="F1494" s="46" t="n"/>
      <c r="G1494" s="46" t="n"/>
      <c r="H1494" s="46" t="n"/>
      <c r="I1494" s="46" t="n"/>
      <c r="J1494" s="46" t="n"/>
      <c r="K1494" s="46" t="n"/>
      <c r="L1494" s="46" t="n"/>
      <c r="M1494" s="51" t="str">
        <f>IF(NOT(ISNUMBER($E1494)),"",IF($C1494="Receipt",$E1494,IF($C1494="Shipment",-$E1494,IF($C1494="Adjustment",$E1494,0))))</f>
        <v/>
      </c>
      <c r="N1494" s="49" t="str">
        <f>IF($D1494="","",IFERROR(INDEX(Products!$B$2:$B$101,MATCH($D1494,Products!$A$2:$A$101,0))&amp;"","(not found)"))</f>
        <v/>
      </c>
      <c r="O1494" s="49" t="str">
        <f>IF($F1494="","",IFERROR(INDEX(Batches!$B$2:$B$301,MATCH($F1494,Batches!$A$2:$A$301,0))&amp;"","(not found)"))</f>
        <v/>
      </c>
      <c r="P1494" s="49" t="str">
        <f>IF(COUNTA($A1494:$L1494)=0,"",IF($A1494="","Missing: entry ID",IF(COUNTIF($A$2:$A$2001,$A1494)&gt;1,"Duplicate entry ID",IF(NOT(ISNUMBER($B1494)),"Missing or invalid: date",IF($C1494="","Missing: type",IF($D1494="","Missing: SKU",IF(NOT(ISNUMBER($E1494)),"Missing: qty",IF($F1494="","Missing: lot",IF($I1494="","Missing: source link",IF(COUNTIF(Config!$A$15:$A$34,$C1494)=0,"Unsupported type",IF(COUNTIF(Products!$A$2:$A$101,$D1494)=0,"Unknown SKU",IF(COUNTIFS(Batches!$A$2:$A$301,$F1494,Batches!$B$2:$B$301,$D1494)=0,"Unknown lot for this SKU",IF(AND($C1494="Adjustment",$G1494=""),"Missing: reason",IF(AND($G1494&lt;&gt;"",COUNTIF(Config!$B$15:$B$34,$G1494)=0),"Unsupported reason",IF(OR(INT($E1494)&lt;&gt;$E1494,AND(OR($C1494="Receipt",$C1494="Shipment"),$E1494&lt;=0),AND($C1494="Adjustment",$E1494=0)),"Invalid qty",IF($B1494&gt;Config!$B$4,"Date after the as-of date",IF($B1494&lt;Config!$B$5,"Date before the opening balance date","OK")))))))))))))))))</f>
        <v/>
      </c>
    </row>
    <row r="1495">
      <c r="A1495" s="46" t="n"/>
      <c r="B1495" s="54" t="n"/>
      <c r="C1495" s="46" t="n"/>
      <c r="D1495" s="46" t="n"/>
      <c r="E1495" s="55" t="n"/>
      <c r="F1495" s="46" t="n"/>
      <c r="G1495" s="46" t="n"/>
      <c r="H1495" s="46" t="n"/>
      <c r="I1495" s="46" t="n"/>
      <c r="J1495" s="46" t="n"/>
      <c r="K1495" s="46" t="n"/>
      <c r="L1495" s="46" t="n"/>
      <c r="M1495" s="51" t="str">
        <f>IF(NOT(ISNUMBER($E1495)),"",IF($C1495="Receipt",$E1495,IF($C1495="Shipment",-$E1495,IF($C1495="Adjustment",$E1495,0))))</f>
        <v/>
      </c>
      <c r="N1495" s="49" t="str">
        <f>IF($D1495="","",IFERROR(INDEX(Products!$B$2:$B$101,MATCH($D1495,Products!$A$2:$A$101,0))&amp;"","(not found)"))</f>
        <v/>
      </c>
      <c r="O1495" s="49" t="str">
        <f>IF($F1495="","",IFERROR(INDEX(Batches!$B$2:$B$301,MATCH($F1495,Batches!$A$2:$A$301,0))&amp;"","(not found)"))</f>
        <v/>
      </c>
      <c r="P1495" s="49" t="str">
        <f>IF(COUNTA($A1495:$L1495)=0,"",IF($A1495="","Missing: entry ID",IF(COUNTIF($A$2:$A$2001,$A1495)&gt;1,"Duplicate entry ID",IF(NOT(ISNUMBER($B1495)),"Missing or invalid: date",IF($C1495="","Missing: type",IF($D1495="","Missing: SKU",IF(NOT(ISNUMBER($E1495)),"Missing: qty",IF($F1495="","Missing: lot",IF($I1495="","Missing: source link",IF(COUNTIF(Config!$A$15:$A$34,$C1495)=0,"Unsupported type",IF(COUNTIF(Products!$A$2:$A$101,$D1495)=0,"Unknown SKU",IF(COUNTIFS(Batches!$A$2:$A$301,$F1495,Batches!$B$2:$B$301,$D1495)=0,"Unknown lot for this SKU",IF(AND($C1495="Adjustment",$G1495=""),"Missing: reason",IF(AND($G1495&lt;&gt;"",COUNTIF(Config!$B$15:$B$34,$G1495)=0),"Unsupported reason",IF(OR(INT($E1495)&lt;&gt;$E1495,AND(OR($C1495="Receipt",$C1495="Shipment"),$E1495&lt;=0),AND($C1495="Adjustment",$E1495=0)),"Invalid qty",IF($B1495&gt;Config!$B$4,"Date after the as-of date",IF($B1495&lt;Config!$B$5,"Date before the opening balance date","OK")))))))))))))))))</f>
        <v/>
      </c>
    </row>
    <row r="1496">
      <c r="A1496" s="46" t="n"/>
      <c r="B1496" s="54" t="n"/>
      <c r="C1496" s="46" t="n"/>
      <c r="D1496" s="46" t="n"/>
      <c r="E1496" s="55" t="n"/>
      <c r="F1496" s="46" t="n"/>
      <c r="G1496" s="46" t="n"/>
      <c r="H1496" s="46" t="n"/>
      <c r="I1496" s="46" t="n"/>
      <c r="J1496" s="46" t="n"/>
      <c r="K1496" s="46" t="n"/>
      <c r="L1496" s="46" t="n"/>
      <c r="M1496" s="51" t="str">
        <f>IF(NOT(ISNUMBER($E1496)),"",IF($C1496="Receipt",$E1496,IF($C1496="Shipment",-$E1496,IF($C1496="Adjustment",$E1496,0))))</f>
        <v/>
      </c>
      <c r="N1496" s="49" t="str">
        <f>IF($D1496="","",IFERROR(INDEX(Products!$B$2:$B$101,MATCH($D1496,Products!$A$2:$A$101,0))&amp;"","(not found)"))</f>
        <v/>
      </c>
      <c r="O1496" s="49" t="str">
        <f>IF($F1496="","",IFERROR(INDEX(Batches!$B$2:$B$301,MATCH($F1496,Batches!$A$2:$A$301,0))&amp;"","(not found)"))</f>
        <v/>
      </c>
      <c r="P1496" s="49" t="str">
        <f>IF(COUNTA($A1496:$L1496)=0,"",IF($A1496="","Missing: entry ID",IF(COUNTIF($A$2:$A$2001,$A1496)&gt;1,"Duplicate entry ID",IF(NOT(ISNUMBER($B1496)),"Missing or invalid: date",IF($C1496="","Missing: type",IF($D1496="","Missing: SKU",IF(NOT(ISNUMBER($E1496)),"Missing: qty",IF($F1496="","Missing: lot",IF($I1496="","Missing: source link",IF(COUNTIF(Config!$A$15:$A$34,$C1496)=0,"Unsupported type",IF(COUNTIF(Products!$A$2:$A$101,$D1496)=0,"Unknown SKU",IF(COUNTIFS(Batches!$A$2:$A$301,$F1496,Batches!$B$2:$B$301,$D1496)=0,"Unknown lot for this SKU",IF(AND($C1496="Adjustment",$G1496=""),"Missing: reason",IF(AND($G1496&lt;&gt;"",COUNTIF(Config!$B$15:$B$34,$G1496)=0),"Unsupported reason",IF(OR(INT($E1496)&lt;&gt;$E1496,AND(OR($C1496="Receipt",$C1496="Shipment"),$E1496&lt;=0),AND($C1496="Adjustment",$E1496=0)),"Invalid qty",IF($B1496&gt;Config!$B$4,"Date after the as-of date",IF($B1496&lt;Config!$B$5,"Date before the opening balance date","OK")))))))))))))))))</f>
        <v/>
      </c>
    </row>
    <row r="1497">
      <c r="A1497" s="46" t="n"/>
      <c r="B1497" s="54" t="n"/>
      <c r="C1497" s="46" t="n"/>
      <c r="D1497" s="46" t="n"/>
      <c r="E1497" s="55" t="n"/>
      <c r="F1497" s="46" t="n"/>
      <c r="G1497" s="46" t="n"/>
      <c r="H1497" s="46" t="n"/>
      <c r="I1497" s="46" t="n"/>
      <c r="J1497" s="46" t="n"/>
      <c r="K1497" s="46" t="n"/>
      <c r="L1497" s="46" t="n"/>
      <c r="M1497" s="51" t="str">
        <f>IF(NOT(ISNUMBER($E1497)),"",IF($C1497="Receipt",$E1497,IF($C1497="Shipment",-$E1497,IF($C1497="Adjustment",$E1497,0))))</f>
        <v/>
      </c>
      <c r="N1497" s="49" t="str">
        <f>IF($D1497="","",IFERROR(INDEX(Products!$B$2:$B$101,MATCH($D1497,Products!$A$2:$A$101,0))&amp;"","(not found)"))</f>
        <v/>
      </c>
      <c r="O1497" s="49" t="str">
        <f>IF($F1497="","",IFERROR(INDEX(Batches!$B$2:$B$301,MATCH($F1497,Batches!$A$2:$A$301,0))&amp;"","(not found)"))</f>
        <v/>
      </c>
      <c r="P1497" s="49" t="str">
        <f>IF(COUNTA($A1497:$L1497)=0,"",IF($A1497="","Missing: entry ID",IF(COUNTIF($A$2:$A$2001,$A1497)&gt;1,"Duplicate entry ID",IF(NOT(ISNUMBER($B1497)),"Missing or invalid: date",IF($C1497="","Missing: type",IF($D1497="","Missing: SKU",IF(NOT(ISNUMBER($E1497)),"Missing: qty",IF($F1497="","Missing: lot",IF($I1497="","Missing: source link",IF(COUNTIF(Config!$A$15:$A$34,$C1497)=0,"Unsupported type",IF(COUNTIF(Products!$A$2:$A$101,$D1497)=0,"Unknown SKU",IF(COUNTIFS(Batches!$A$2:$A$301,$F1497,Batches!$B$2:$B$301,$D1497)=0,"Unknown lot for this SKU",IF(AND($C1497="Adjustment",$G1497=""),"Missing: reason",IF(AND($G1497&lt;&gt;"",COUNTIF(Config!$B$15:$B$34,$G1497)=0),"Unsupported reason",IF(OR(INT($E1497)&lt;&gt;$E1497,AND(OR($C1497="Receipt",$C1497="Shipment"),$E1497&lt;=0),AND($C1497="Adjustment",$E1497=0)),"Invalid qty",IF($B1497&gt;Config!$B$4,"Date after the as-of date",IF($B1497&lt;Config!$B$5,"Date before the opening balance date","OK")))))))))))))))))</f>
        <v/>
      </c>
    </row>
    <row r="1498">
      <c r="A1498" s="46" t="n"/>
      <c r="B1498" s="54" t="n"/>
      <c r="C1498" s="46" t="n"/>
      <c r="D1498" s="46" t="n"/>
      <c r="E1498" s="55" t="n"/>
      <c r="F1498" s="46" t="n"/>
      <c r="G1498" s="46" t="n"/>
      <c r="H1498" s="46" t="n"/>
      <c r="I1498" s="46" t="n"/>
      <c r="J1498" s="46" t="n"/>
      <c r="K1498" s="46" t="n"/>
      <c r="L1498" s="46" t="n"/>
      <c r="M1498" s="51" t="str">
        <f>IF(NOT(ISNUMBER($E1498)),"",IF($C1498="Receipt",$E1498,IF($C1498="Shipment",-$E1498,IF($C1498="Adjustment",$E1498,0))))</f>
        <v/>
      </c>
      <c r="N1498" s="49" t="str">
        <f>IF($D1498="","",IFERROR(INDEX(Products!$B$2:$B$101,MATCH($D1498,Products!$A$2:$A$101,0))&amp;"","(not found)"))</f>
        <v/>
      </c>
      <c r="O1498" s="49" t="str">
        <f>IF($F1498="","",IFERROR(INDEX(Batches!$B$2:$B$301,MATCH($F1498,Batches!$A$2:$A$301,0))&amp;"","(not found)"))</f>
        <v/>
      </c>
      <c r="P1498" s="49" t="str">
        <f>IF(COUNTA($A1498:$L1498)=0,"",IF($A1498="","Missing: entry ID",IF(COUNTIF($A$2:$A$2001,$A1498)&gt;1,"Duplicate entry ID",IF(NOT(ISNUMBER($B1498)),"Missing or invalid: date",IF($C1498="","Missing: type",IF($D1498="","Missing: SKU",IF(NOT(ISNUMBER($E1498)),"Missing: qty",IF($F1498="","Missing: lot",IF($I1498="","Missing: source link",IF(COUNTIF(Config!$A$15:$A$34,$C1498)=0,"Unsupported type",IF(COUNTIF(Products!$A$2:$A$101,$D1498)=0,"Unknown SKU",IF(COUNTIFS(Batches!$A$2:$A$301,$F1498,Batches!$B$2:$B$301,$D1498)=0,"Unknown lot for this SKU",IF(AND($C1498="Adjustment",$G1498=""),"Missing: reason",IF(AND($G1498&lt;&gt;"",COUNTIF(Config!$B$15:$B$34,$G1498)=0),"Unsupported reason",IF(OR(INT($E1498)&lt;&gt;$E1498,AND(OR($C1498="Receipt",$C1498="Shipment"),$E1498&lt;=0),AND($C1498="Adjustment",$E1498=0)),"Invalid qty",IF($B1498&gt;Config!$B$4,"Date after the as-of date",IF($B1498&lt;Config!$B$5,"Date before the opening balance date","OK")))))))))))))))))</f>
        <v/>
      </c>
    </row>
    <row r="1499">
      <c r="A1499" s="46" t="n"/>
      <c r="B1499" s="54" t="n"/>
      <c r="C1499" s="46" t="n"/>
      <c r="D1499" s="46" t="n"/>
      <c r="E1499" s="55" t="n"/>
      <c r="F1499" s="46" t="n"/>
      <c r="G1499" s="46" t="n"/>
      <c r="H1499" s="46" t="n"/>
      <c r="I1499" s="46" t="n"/>
      <c r="J1499" s="46" t="n"/>
      <c r="K1499" s="46" t="n"/>
      <c r="L1499" s="46" t="n"/>
      <c r="M1499" s="51" t="str">
        <f>IF(NOT(ISNUMBER($E1499)),"",IF($C1499="Receipt",$E1499,IF($C1499="Shipment",-$E1499,IF($C1499="Adjustment",$E1499,0))))</f>
        <v/>
      </c>
      <c r="N1499" s="49" t="str">
        <f>IF($D1499="","",IFERROR(INDEX(Products!$B$2:$B$101,MATCH($D1499,Products!$A$2:$A$101,0))&amp;"","(not found)"))</f>
        <v/>
      </c>
      <c r="O1499" s="49" t="str">
        <f>IF($F1499="","",IFERROR(INDEX(Batches!$B$2:$B$301,MATCH($F1499,Batches!$A$2:$A$301,0))&amp;"","(not found)"))</f>
        <v/>
      </c>
      <c r="P1499" s="49" t="str">
        <f>IF(COUNTA($A1499:$L1499)=0,"",IF($A1499="","Missing: entry ID",IF(COUNTIF($A$2:$A$2001,$A1499)&gt;1,"Duplicate entry ID",IF(NOT(ISNUMBER($B1499)),"Missing or invalid: date",IF($C1499="","Missing: type",IF($D1499="","Missing: SKU",IF(NOT(ISNUMBER($E1499)),"Missing: qty",IF($F1499="","Missing: lot",IF($I1499="","Missing: source link",IF(COUNTIF(Config!$A$15:$A$34,$C1499)=0,"Unsupported type",IF(COUNTIF(Products!$A$2:$A$101,$D1499)=0,"Unknown SKU",IF(COUNTIFS(Batches!$A$2:$A$301,$F1499,Batches!$B$2:$B$301,$D1499)=0,"Unknown lot for this SKU",IF(AND($C1499="Adjustment",$G1499=""),"Missing: reason",IF(AND($G1499&lt;&gt;"",COUNTIF(Config!$B$15:$B$34,$G1499)=0),"Unsupported reason",IF(OR(INT($E1499)&lt;&gt;$E1499,AND(OR($C1499="Receipt",$C1499="Shipment"),$E1499&lt;=0),AND($C1499="Adjustment",$E1499=0)),"Invalid qty",IF($B1499&gt;Config!$B$4,"Date after the as-of date",IF($B1499&lt;Config!$B$5,"Date before the opening balance date","OK")))))))))))))))))</f>
        <v/>
      </c>
    </row>
    <row r="1500">
      <c r="A1500" s="46" t="n"/>
      <c r="B1500" s="54" t="n"/>
      <c r="C1500" s="46" t="n"/>
      <c r="D1500" s="46" t="n"/>
      <c r="E1500" s="55" t="n"/>
      <c r="F1500" s="46" t="n"/>
      <c r="G1500" s="46" t="n"/>
      <c r="H1500" s="46" t="n"/>
      <c r="I1500" s="46" t="n"/>
      <c r="J1500" s="46" t="n"/>
      <c r="K1500" s="46" t="n"/>
      <c r="L1500" s="46" t="n"/>
      <c r="M1500" s="51" t="str">
        <f>IF(NOT(ISNUMBER($E1500)),"",IF($C1500="Receipt",$E1500,IF($C1500="Shipment",-$E1500,IF($C1500="Adjustment",$E1500,0))))</f>
        <v/>
      </c>
      <c r="N1500" s="49" t="str">
        <f>IF($D1500="","",IFERROR(INDEX(Products!$B$2:$B$101,MATCH($D1500,Products!$A$2:$A$101,0))&amp;"","(not found)"))</f>
        <v/>
      </c>
      <c r="O1500" s="49" t="str">
        <f>IF($F1500="","",IFERROR(INDEX(Batches!$B$2:$B$301,MATCH($F1500,Batches!$A$2:$A$301,0))&amp;"","(not found)"))</f>
        <v/>
      </c>
      <c r="P1500" s="49" t="str">
        <f>IF(COUNTA($A1500:$L1500)=0,"",IF($A1500="","Missing: entry ID",IF(COUNTIF($A$2:$A$2001,$A1500)&gt;1,"Duplicate entry ID",IF(NOT(ISNUMBER($B1500)),"Missing or invalid: date",IF($C1500="","Missing: type",IF($D1500="","Missing: SKU",IF(NOT(ISNUMBER($E1500)),"Missing: qty",IF($F1500="","Missing: lot",IF($I1500="","Missing: source link",IF(COUNTIF(Config!$A$15:$A$34,$C1500)=0,"Unsupported type",IF(COUNTIF(Products!$A$2:$A$101,$D1500)=0,"Unknown SKU",IF(COUNTIFS(Batches!$A$2:$A$301,$F1500,Batches!$B$2:$B$301,$D1500)=0,"Unknown lot for this SKU",IF(AND($C1500="Adjustment",$G1500=""),"Missing: reason",IF(AND($G1500&lt;&gt;"",COUNTIF(Config!$B$15:$B$34,$G1500)=0),"Unsupported reason",IF(OR(INT($E1500)&lt;&gt;$E1500,AND(OR($C1500="Receipt",$C1500="Shipment"),$E1500&lt;=0),AND($C1500="Adjustment",$E1500=0)),"Invalid qty",IF($B1500&gt;Config!$B$4,"Date after the as-of date",IF($B1500&lt;Config!$B$5,"Date before the opening balance date","OK")))))))))))))))))</f>
        <v/>
      </c>
    </row>
    <row r="1501">
      <c r="A1501" s="46" t="n"/>
      <c r="B1501" s="54" t="n"/>
      <c r="C1501" s="46" t="n"/>
      <c r="D1501" s="46" t="n"/>
      <c r="E1501" s="55" t="n"/>
      <c r="F1501" s="46" t="n"/>
      <c r="G1501" s="46" t="n"/>
      <c r="H1501" s="46" t="n"/>
      <c r="I1501" s="46" t="n"/>
      <c r="J1501" s="46" t="n"/>
      <c r="K1501" s="46" t="n"/>
      <c r="L1501" s="46" t="n"/>
      <c r="M1501" s="51" t="str">
        <f>IF(NOT(ISNUMBER($E1501)),"",IF($C1501="Receipt",$E1501,IF($C1501="Shipment",-$E1501,IF($C1501="Adjustment",$E1501,0))))</f>
        <v/>
      </c>
      <c r="N1501" s="49" t="str">
        <f>IF($D1501="","",IFERROR(INDEX(Products!$B$2:$B$101,MATCH($D1501,Products!$A$2:$A$101,0))&amp;"","(not found)"))</f>
        <v/>
      </c>
      <c r="O1501" s="49" t="str">
        <f>IF($F1501="","",IFERROR(INDEX(Batches!$B$2:$B$301,MATCH($F1501,Batches!$A$2:$A$301,0))&amp;"","(not found)"))</f>
        <v/>
      </c>
      <c r="P1501" s="49" t="str">
        <f>IF(COUNTA($A1501:$L1501)=0,"",IF($A1501="","Missing: entry ID",IF(COUNTIF($A$2:$A$2001,$A1501)&gt;1,"Duplicate entry ID",IF(NOT(ISNUMBER($B1501)),"Missing or invalid: date",IF($C1501="","Missing: type",IF($D1501="","Missing: SKU",IF(NOT(ISNUMBER($E1501)),"Missing: qty",IF($F1501="","Missing: lot",IF($I1501="","Missing: source link",IF(COUNTIF(Config!$A$15:$A$34,$C1501)=0,"Unsupported type",IF(COUNTIF(Products!$A$2:$A$101,$D1501)=0,"Unknown SKU",IF(COUNTIFS(Batches!$A$2:$A$301,$F1501,Batches!$B$2:$B$301,$D1501)=0,"Unknown lot for this SKU",IF(AND($C1501="Adjustment",$G1501=""),"Missing: reason",IF(AND($G1501&lt;&gt;"",COUNTIF(Config!$B$15:$B$34,$G1501)=0),"Unsupported reason",IF(OR(INT($E1501)&lt;&gt;$E1501,AND(OR($C1501="Receipt",$C1501="Shipment"),$E1501&lt;=0),AND($C1501="Adjustment",$E1501=0)),"Invalid qty",IF($B1501&gt;Config!$B$4,"Date after the as-of date",IF($B1501&lt;Config!$B$5,"Date before the opening balance date","OK")))))))))))))))))</f>
        <v/>
      </c>
    </row>
    <row r="1502">
      <c r="A1502" s="46" t="n"/>
      <c r="B1502" s="54" t="n"/>
      <c r="C1502" s="46" t="n"/>
      <c r="D1502" s="46" t="n"/>
      <c r="E1502" s="55" t="n"/>
      <c r="F1502" s="46" t="n"/>
      <c r="G1502" s="46" t="n"/>
      <c r="H1502" s="46" t="n"/>
      <c r="I1502" s="46" t="n"/>
      <c r="J1502" s="46" t="n"/>
      <c r="K1502" s="46" t="n"/>
      <c r="L1502" s="46" t="n"/>
      <c r="M1502" s="51" t="str">
        <f>IF(NOT(ISNUMBER($E1502)),"",IF($C1502="Receipt",$E1502,IF($C1502="Shipment",-$E1502,IF($C1502="Adjustment",$E1502,0))))</f>
        <v/>
      </c>
      <c r="N1502" s="49" t="str">
        <f>IF($D1502="","",IFERROR(INDEX(Products!$B$2:$B$101,MATCH($D1502,Products!$A$2:$A$101,0))&amp;"","(not found)"))</f>
        <v/>
      </c>
      <c r="O1502" s="49" t="str">
        <f>IF($F1502="","",IFERROR(INDEX(Batches!$B$2:$B$301,MATCH($F1502,Batches!$A$2:$A$301,0))&amp;"","(not found)"))</f>
        <v/>
      </c>
      <c r="P1502" s="49" t="str">
        <f>IF(COUNTA($A1502:$L1502)=0,"",IF($A1502="","Missing: entry ID",IF(COUNTIF($A$2:$A$2001,$A1502)&gt;1,"Duplicate entry ID",IF(NOT(ISNUMBER($B1502)),"Missing or invalid: date",IF($C1502="","Missing: type",IF($D1502="","Missing: SKU",IF(NOT(ISNUMBER($E1502)),"Missing: qty",IF($F1502="","Missing: lot",IF($I1502="","Missing: source link",IF(COUNTIF(Config!$A$15:$A$34,$C1502)=0,"Unsupported type",IF(COUNTIF(Products!$A$2:$A$101,$D1502)=0,"Unknown SKU",IF(COUNTIFS(Batches!$A$2:$A$301,$F1502,Batches!$B$2:$B$301,$D1502)=0,"Unknown lot for this SKU",IF(AND($C1502="Adjustment",$G1502=""),"Missing: reason",IF(AND($G1502&lt;&gt;"",COUNTIF(Config!$B$15:$B$34,$G1502)=0),"Unsupported reason",IF(OR(INT($E1502)&lt;&gt;$E1502,AND(OR($C1502="Receipt",$C1502="Shipment"),$E1502&lt;=0),AND($C1502="Adjustment",$E1502=0)),"Invalid qty",IF($B1502&gt;Config!$B$4,"Date after the as-of date",IF($B1502&lt;Config!$B$5,"Date before the opening balance date","OK")))))))))))))))))</f>
        <v/>
      </c>
    </row>
    <row r="1503">
      <c r="A1503" s="46" t="n"/>
      <c r="B1503" s="54" t="n"/>
      <c r="C1503" s="46" t="n"/>
      <c r="D1503" s="46" t="n"/>
      <c r="E1503" s="55" t="n"/>
      <c r="F1503" s="46" t="n"/>
      <c r="G1503" s="46" t="n"/>
      <c r="H1503" s="46" t="n"/>
      <c r="I1503" s="46" t="n"/>
      <c r="J1503" s="46" t="n"/>
      <c r="K1503" s="46" t="n"/>
      <c r="L1503" s="46" t="n"/>
      <c r="M1503" s="51" t="str">
        <f>IF(NOT(ISNUMBER($E1503)),"",IF($C1503="Receipt",$E1503,IF($C1503="Shipment",-$E1503,IF($C1503="Adjustment",$E1503,0))))</f>
        <v/>
      </c>
      <c r="N1503" s="49" t="str">
        <f>IF($D1503="","",IFERROR(INDEX(Products!$B$2:$B$101,MATCH($D1503,Products!$A$2:$A$101,0))&amp;"","(not found)"))</f>
        <v/>
      </c>
      <c r="O1503" s="49" t="str">
        <f>IF($F1503="","",IFERROR(INDEX(Batches!$B$2:$B$301,MATCH($F1503,Batches!$A$2:$A$301,0))&amp;"","(not found)"))</f>
        <v/>
      </c>
      <c r="P1503" s="49" t="str">
        <f>IF(COUNTA($A1503:$L1503)=0,"",IF($A1503="","Missing: entry ID",IF(COUNTIF($A$2:$A$2001,$A1503)&gt;1,"Duplicate entry ID",IF(NOT(ISNUMBER($B1503)),"Missing or invalid: date",IF($C1503="","Missing: type",IF($D1503="","Missing: SKU",IF(NOT(ISNUMBER($E1503)),"Missing: qty",IF($F1503="","Missing: lot",IF($I1503="","Missing: source link",IF(COUNTIF(Config!$A$15:$A$34,$C1503)=0,"Unsupported type",IF(COUNTIF(Products!$A$2:$A$101,$D1503)=0,"Unknown SKU",IF(COUNTIFS(Batches!$A$2:$A$301,$F1503,Batches!$B$2:$B$301,$D1503)=0,"Unknown lot for this SKU",IF(AND($C1503="Adjustment",$G1503=""),"Missing: reason",IF(AND($G1503&lt;&gt;"",COUNTIF(Config!$B$15:$B$34,$G1503)=0),"Unsupported reason",IF(OR(INT($E1503)&lt;&gt;$E1503,AND(OR($C1503="Receipt",$C1503="Shipment"),$E1503&lt;=0),AND($C1503="Adjustment",$E1503=0)),"Invalid qty",IF($B1503&gt;Config!$B$4,"Date after the as-of date",IF($B1503&lt;Config!$B$5,"Date before the opening balance date","OK")))))))))))))))))</f>
        <v/>
      </c>
    </row>
    <row r="1504">
      <c r="A1504" s="46" t="n"/>
      <c r="B1504" s="54" t="n"/>
      <c r="C1504" s="46" t="n"/>
      <c r="D1504" s="46" t="n"/>
      <c r="E1504" s="55" t="n"/>
      <c r="F1504" s="46" t="n"/>
      <c r="G1504" s="46" t="n"/>
      <c r="H1504" s="46" t="n"/>
      <c r="I1504" s="46" t="n"/>
      <c r="J1504" s="46" t="n"/>
      <c r="K1504" s="46" t="n"/>
      <c r="L1504" s="46" t="n"/>
      <c r="M1504" s="51" t="str">
        <f>IF(NOT(ISNUMBER($E1504)),"",IF($C1504="Receipt",$E1504,IF($C1504="Shipment",-$E1504,IF($C1504="Adjustment",$E1504,0))))</f>
        <v/>
      </c>
      <c r="N1504" s="49" t="str">
        <f>IF($D1504="","",IFERROR(INDEX(Products!$B$2:$B$101,MATCH($D1504,Products!$A$2:$A$101,0))&amp;"","(not found)"))</f>
        <v/>
      </c>
      <c r="O1504" s="49" t="str">
        <f>IF($F1504="","",IFERROR(INDEX(Batches!$B$2:$B$301,MATCH($F1504,Batches!$A$2:$A$301,0))&amp;"","(not found)"))</f>
        <v/>
      </c>
      <c r="P1504" s="49" t="str">
        <f>IF(COUNTA($A1504:$L1504)=0,"",IF($A1504="","Missing: entry ID",IF(COUNTIF($A$2:$A$2001,$A1504)&gt;1,"Duplicate entry ID",IF(NOT(ISNUMBER($B1504)),"Missing or invalid: date",IF($C1504="","Missing: type",IF($D1504="","Missing: SKU",IF(NOT(ISNUMBER($E1504)),"Missing: qty",IF($F1504="","Missing: lot",IF($I1504="","Missing: source link",IF(COUNTIF(Config!$A$15:$A$34,$C1504)=0,"Unsupported type",IF(COUNTIF(Products!$A$2:$A$101,$D1504)=0,"Unknown SKU",IF(COUNTIFS(Batches!$A$2:$A$301,$F1504,Batches!$B$2:$B$301,$D1504)=0,"Unknown lot for this SKU",IF(AND($C1504="Adjustment",$G1504=""),"Missing: reason",IF(AND($G1504&lt;&gt;"",COUNTIF(Config!$B$15:$B$34,$G1504)=0),"Unsupported reason",IF(OR(INT($E1504)&lt;&gt;$E1504,AND(OR($C1504="Receipt",$C1504="Shipment"),$E1504&lt;=0),AND($C1504="Adjustment",$E1504=0)),"Invalid qty",IF($B1504&gt;Config!$B$4,"Date after the as-of date",IF($B1504&lt;Config!$B$5,"Date before the opening balance date","OK")))))))))))))))))</f>
        <v/>
      </c>
    </row>
    <row r="1505">
      <c r="A1505" s="46" t="n"/>
      <c r="B1505" s="54" t="n"/>
      <c r="C1505" s="46" t="n"/>
      <c r="D1505" s="46" t="n"/>
      <c r="E1505" s="55" t="n"/>
      <c r="F1505" s="46" t="n"/>
      <c r="G1505" s="46" t="n"/>
      <c r="H1505" s="46" t="n"/>
      <c r="I1505" s="46" t="n"/>
      <c r="J1505" s="46" t="n"/>
      <c r="K1505" s="46" t="n"/>
      <c r="L1505" s="46" t="n"/>
      <c r="M1505" s="51" t="str">
        <f>IF(NOT(ISNUMBER($E1505)),"",IF($C1505="Receipt",$E1505,IF($C1505="Shipment",-$E1505,IF($C1505="Adjustment",$E1505,0))))</f>
        <v/>
      </c>
      <c r="N1505" s="49" t="str">
        <f>IF($D1505="","",IFERROR(INDEX(Products!$B$2:$B$101,MATCH($D1505,Products!$A$2:$A$101,0))&amp;"","(not found)"))</f>
        <v/>
      </c>
      <c r="O1505" s="49" t="str">
        <f>IF($F1505="","",IFERROR(INDEX(Batches!$B$2:$B$301,MATCH($F1505,Batches!$A$2:$A$301,0))&amp;"","(not found)"))</f>
        <v/>
      </c>
      <c r="P1505" s="49" t="str">
        <f>IF(COUNTA($A1505:$L1505)=0,"",IF($A1505="","Missing: entry ID",IF(COUNTIF($A$2:$A$2001,$A1505)&gt;1,"Duplicate entry ID",IF(NOT(ISNUMBER($B1505)),"Missing or invalid: date",IF($C1505="","Missing: type",IF($D1505="","Missing: SKU",IF(NOT(ISNUMBER($E1505)),"Missing: qty",IF($F1505="","Missing: lot",IF($I1505="","Missing: source link",IF(COUNTIF(Config!$A$15:$A$34,$C1505)=0,"Unsupported type",IF(COUNTIF(Products!$A$2:$A$101,$D1505)=0,"Unknown SKU",IF(COUNTIFS(Batches!$A$2:$A$301,$F1505,Batches!$B$2:$B$301,$D1505)=0,"Unknown lot for this SKU",IF(AND($C1505="Adjustment",$G1505=""),"Missing: reason",IF(AND($G1505&lt;&gt;"",COUNTIF(Config!$B$15:$B$34,$G1505)=0),"Unsupported reason",IF(OR(INT($E1505)&lt;&gt;$E1505,AND(OR($C1505="Receipt",$C1505="Shipment"),$E1505&lt;=0),AND($C1505="Adjustment",$E1505=0)),"Invalid qty",IF($B1505&gt;Config!$B$4,"Date after the as-of date",IF($B1505&lt;Config!$B$5,"Date before the opening balance date","OK")))))))))))))))))</f>
        <v/>
      </c>
    </row>
    <row r="1506">
      <c r="A1506" s="46" t="n"/>
      <c r="B1506" s="54" t="n"/>
      <c r="C1506" s="46" t="n"/>
      <c r="D1506" s="46" t="n"/>
      <c r="E1506" s="55" t="n"/>
      <c r="F1506" s="46" t="n"/>
      <c r="G1506" s="46" t="n"/>
      <c r="H1506" s="46" t="n"/>
      <c r="I1506" s="46" t="n"/>
      <c r="J1506" s="46" t="n"/>
      <c r="K1506" s="46" t="n"/>
      <c r="L1506" s="46" t="n"/>
      <c r="M1506" s="51" t="str">
        <f>IF(NOT(ISNUMBER($E1506)),"",IF($C1506="Receipt",$E1506,IF($C1506="Shipment",-$E1506,IF($C1506="Adjustment",$E1506,0))))</f>
        <v/>
      </c>
      <c r="N1506" s="49" t="str">
        <f>IF($D1506="","",IFERROR(INDEX(Products!$B$2:$B$101,MATCH($D1506,Products!$A$2:$A$101,0))&amp;"","(not found)"))</f>
        <v/>
      </c>
      <c r="O1506" s="49" t="str">
        <f>IF($F1506="","",IFERROR(INDEX(Batches!$B$2:$B$301,MATCH($F1506,Batches!$A$2:$A$301,0))&amp;"","(not found)"))</f>
        <v/>
      </c>
      <c r="P1506" s="49" t="str">
        <f>IF(COUNTA($A1506:$L1506)=0,"",IF($A1506="","Missing: entry ID",IF(COUNTIF($A$2:$A$2001,$A1506)&gt;1,"Duplicate entry ID",IF(NOT(ISNUMBER($B1506)),"Missing or invalid: date",IF($C1506="","Missing: type",IF($D1506="","Missing: SKU",IF(NOT(ISNUMBER($E1506)),"Missing: qty",IF($F1506="","Missing: lot",IF($I1506="","Missing: source link",IF(COUNTIF(Config!$A$15:$A$34,$C1506)=0,"Unsupported type",IF(COUNTIF(Products!$A$2:$A$101,$D1506)=0,"Unknown SKU",IF(COUNTIFS(Batches!$A$2:$A$301,$F1506,Batches!$B$2:$B$301,$D1506)=0,"Unknown lot for this SKU",IF(AND($C1506="Adjustment",$G1506=""),"Missing: reason",IF(AND($G1506&lt;&gt;"",COUNTIF(Config!$B$15:$B$34,$G1506)=0),"Unsupported reason",IF(OR(INT($E1506)&lt;&gt;$E1506,AND(OR($C1506="Receipt",$C1506="Shipment"),$E1506&lt;=0),AND($C1506="Adjustment",$E1506=0)),"Invalid qty",IF($B1506&gt;Config!$B$4,"Date after the as-of date",IF($B1506&lt;Config!$B$5,"Date before the opening balance date","OK")))))))))))))))))</f>
        <v/>
      </c>
    </row>
    <row r="1507">
      <c r="A1507" s="46" t="n"/>
      <c r="B1507" s="54" t="n"/>
      <c r="C1507" s="46" t="n"/>
      <c r="D1507" s="46" t="n"/>
      <c r="E1507" s="55" t="n"/>
      <c r="F1507" s="46" t="n"/>
      <c r="G1507" s="46" t="n"/>
      <c r="H1507" s="46" t="n"/>
      <c r="I1507" s="46" t="n"/>
      <c r="J1507" s="46" t="n"/>
      <c r="K1507" s="46" t="n"/>
      <c r="L1507" s="46" t="n"/>
      <c r="M1507" s="51" t="str">
        <f>IF(NOT(ISNUMBER($E1507)),"",IF($C1507="Receipt",$E1507,IF($C1507="Shipment",-$E1507,IF($C1507="Adjustment",$E1507,0))))</f>
        <v/>
      </c>
      <c r="N1507" s="49" t="str">
        <f>IF($D1507="","",IFERROR(INDEX(Products!$B$2:$B$101,MATCH($D1507,Products!$A$2:$A$101,0))&amp;"","(not found)"))</f>
        <v/>
      </c>
      <c r="O1507" s="49" t="str">
        <f>IF($F1507="","",IFERROR(INDEX(Batches!$B$2:$B$301,MATCH($F1507,Batches!$A$2:$A$301,0))&amp;"","(not found)"))</f>
        <v/>
      </c>
      <c r="P1507" s="49" t="str">
        <f>IF(COUNTA($A1507:$L1507)=0,"",IF($A1507="","Missing: entry ID",IF(COUNTIF($A$2:$A$2001,$A1507)&gt;1,"Duplicate entry ID",IF(NOT(ISNUMBER($B1507)),"Missing or invalid: date",IF($C1507="","Missing: type",IF($D1507="","Missing: SKU",IF(NOT(ISNUMBER($E1507)),"Missing: qty",IF($F1507="","Missing: lot",IF($I1507="","Missing: source link",IF(COUNTIF(Config!$A$15:$A$34,$C1507)=0,"Unsupported type",IF(COUNTIF(Products!$A$2:$A$101,$D1507)=0,"Unknown SKU",IF(COUNTIFS(Batches!$A$2:$A$301,$F1507,Batches!$B$2:$B$301,$D1507)=0,"Unknown lot for this SKU",IF(AND($C1507="Adjustment",$G1507=""),"Missing: reason",IF(AND($G1507&lt;&gt;"",COUNTIF(Config!$B$15:$B$34,$G1507)=0),"Unsupported reason",IF(OR(INT($E1507)&lt;&gt;$E1507,AND(OR($C1507="Receipt",$C1507="Shipment"),$E1507&lt;=0),AND($C1507="Adjustment",$E1507=0)),"Invalid qty",IF($B1507&gt;Config!$B$4,"Date after the as-of date",IF($B1507&lt;Config!$B$5,"Date before the opening balance date","OK")))))))))))))))))</f>
        <v/>
      </c>
    </row>
    <row r="1508">
      <c r="A1508" s="46" t="n"/>
      <c r="B1508" s="54" t="n"/>
      <c r="C1508" s="46" t="n"/>
      <c r="D1508" s="46" t="n"/>
      <c r="E1508" s="55" t="n"/>
      <c r="F1508" s="46" t="n"/>
      <c r="G1508" s="46" t="n"/>
      <c r="H1508" s="46" t="n"/>
      <c r="I1508" s="46" t="n"/>
      <c r="J1508" s="46" t="n"/>
      <c r="K1508" s="46" t="n"/>
      <c r="L1508" s="46" t="n"/>
      <c r="M1508" s="51" t="str">
        <f>IF(NOT(ISNUMBER($E1508)),"",IF($C1508="Receipt",$E1508,IF($C1508="Shipment",-$E1508,IF($C1508="Adjustment",$E1508,0))))</f>
        <v/>
      </c>
      <c r="N1508" s="49" t="str">
        <f>IF($D1508="","",IFERROR(INDEX(Products!$B$2:$B$101,MATCH($D1508,Products!$A$2:$A$101,0))&amp;"","(not found)"))</f>
        <v/>
      </c>
      <c r="O1508" s="49" t="str">
        <f>IF($F1508="","",IFERROR(INDEX(Batches!$B$2:$B$301,MATCH($F1508,Batches!$A$2:$A$301,0))&amp;"","(not found)"))</f>
        <v/>
      </c>
      <c r="P1508" s="49" t="str">
        <f>IF(COUNTA($A1508:$L1508)=0,"",IF($A1508="","Missing: entry ID",IF(COUNTIF($A$2:$A$2001,$A1508)&gt;1,"Duplicate entry ID",IF(NOT(ISNUMBER($B1508)),"Missing or invalid: date",IF($C1508="","Missing: type",IF($D1508="","Missing: SKU",IF(NOT(ISNUMBER($E1508)),"Missing: qty",IF($F1508="","Missing: lot",IF($I1508="","Missing: source link",IF(COUNTIF(Config!$A$15:$A$34,$C1508)=0,"Unsupported type",IF(COUNTIF(Products!$A$2:$A$101,$D1508)=0,"Unknown SKU",IF(COUNTIFS(Batches!$A$2:$A$301,$F1508,Batches!$B$2:$B$301,$D1508)=0,"Unknown lot for this SKU",IF(AND($C1508="Adjustment",$G1508=""),"Missing: reason",IF(AND($G1508&lt;&gt;"",COUNTIF(Config!$B$15:$B$34,$G1508)=0),"Unsupported reason",IF(OR(INT($E1508)&lt;&gt;$E1508,AND(OR($C1508="Receipt",$C1508="Shipment"),$E1508&lt;=0),AND($C1508="Adjustment",$E1508=0)),"Invalid qty",IF($B1508&gt;Config!$B$4,"Date after the as-of date",IF($B1508&lt;Config!$B$5,"Date before the opening balance date","OK")))))))))))))))))</f>
        <v/>
      </c>
    </row>
    <row r="1509">
      <c r="A1509" s="46" t="n"/>
      <c r="B1509" s="54" t="n"/>
      <c r="C1509" s="46" t="n"/>
      <c r="D1509" s="46" t="n"/>
      <c r="E1509" s="55" t="n"/>
      <c r="F1509" s="46" t="n"/>
      <c r="G1509" s="46" t="n"/>
      <c r="H1509" s="46" t="n"/>
      <c r="I1509" s="46" t="n"/>
      <c r="J1509" s="46" t="n"/>
      <c r="K1509" s="46" t="n"/>
      <c r="L1509" s="46" t="n"/>
      <c r="M1509" s="51" t="str">
        <f>IF(NOT(ISNUMBER($E1509)),"",IF($C1509="Receipt",$E1509,IF($C1509="Shipment",-$E1509,IF($C1509="Adjustment",$E1509,0))))</f>
        <v/>
      </c>
      <c r="N1509" s="49" t="str">
        <f>IF($D1509="","",IFERROR(INDEX(Products!$B$2:$B$101,MATCH($D1509,Products!$A$2:$A$101,0))&amp;"","(not found)"))</f>
        <v/>
      </c>
      <c r="O1509" s="49" t="str">
        <f>IF($F1509="","",IFERROR(INDEX(Batches!$B$2:$B$301,MATCH($F1509,Batches!$A$2:$A$301,0))&amp;"","(not found)"))</f>
        <v/>
      </c>
      <c r="P1509" s="49" t="str">
        <f>IF(COUNTA($A1509:$L1509)=0,"",IF($A1509="","Missing: entry ID",IF(COUNTIF($A$2:$A$2001,$A1509)&gt;1,"Duplicate entry ID",IF(NOT(ISNUMBER($B1509)),"Missing or invalid: date",IF($C1509="","Missing: type",IF($D1509="","Missing: SKU",IF(NOT(ISNUMBER($E1509)),"Missing: qty",IF($F1509="","Missing: lot",IF($I1509="","Missing: source link",IF(COUNTIF(Config!$A$15:$A$34,$C1509)=0,"Unsupported type",IF(COUNTIF(Products!$A$2:$A$101,$D1509)=0,"Unknown SKU",IF(COUNTIFS(Batches!$A$2:$A$301,$F1509,Batches!$B$2:$B$301,$D1509)=0,"Unknown lot for this SKU",IF(AND($C1509="Adjustment",$G1509=""),"Missing: reason",IF(AND($G1509&lt;&gt;"",COUNTIF(Config!$B$15:$B$34,$G1509)=0),"Unsupported reason",IF(OR(INT($E1509)&lt;&gt;$E1509,AND(OR($C1509="Receipt",$C1509="Shipment"),$E1509&lt;=0),AND($C1509="Adjustment",$E1509=0)),"Invalid qty",IF($B1509&gt;Config!$B$4,"Date after the as-of date",IF($B1509&lt;Config!$B$5,"Date before the opening balance date","OK")))))))))))))))))</f>
        <v/>
      </c>
    </row>
    <row r="1510">
      <c r="A1510" s="46" t="n"/>
      <c r="B1510" s="54" t="n"/>
      <c r="C1510" s="46" t="n"/>
      <c r="D1510" s="46" t="n"/>
      <c r="E1510" s="55" t="n"/>
      <c r="F1510" s="46" t="n"/>
      <c r="G1510" s="46" t="n"/>
      <c r="H1510" s="46" t="n"/>
      <c r="I1510" s="46" t="n"/>
      <c r="J1510" s="46" t="n"/>
      <c r="K1510" s="46" t="n"/>
      <c r="L1510" s="46" t="n"/>
      <c r="M1510" s="51" t="str">
        <f>IF(NOT(ISNUMBER($E1510)),"",IF($C1510="Receipt",$E1510,IF($C1510="Shipment",-$E1510,IF($C1510="Adjustment",$E1510,0))))</f>
        <v/>
      </c>
      <c r="N1510" s="49" t="str">
        <f>IF($D1510="","",IFERROR(INDEX(Products!$B$2:$B$101,MATCH($D1510,Products!$A$2:$A$101,0))&amp;"","(not found)"))</f>
        <v/>
      </c>
      <c r="O1510" s="49" t="str">
        <f>IF($F1510="","",IFERROR(INDEX(Batches!$B$2:$B$301,MATCH($F1510,Batches!$A$2:$A$301,0))&amp;"","(not found)"))</f>
        <v/>
      </c>
      <c r="P1510" s="49" t="str">
        <f>IF(COUNTA($A1510:$L1510)=0,"",IF($A1510="","Missing: entry ID",IF(COUNTIF($A$2:$A$2001,$A1510)&gt;1,"Duplicate entry ID",IF(NOT(ISNUMBER($B1510)),"Missing or invalid: date",IF($C1510="","Missing: type",IF($D1510="","Missing: SKU",IF(NOT(ISNUMBER($E1510)),"Missing: qty",IF($F1510="","Missing: lot",IF($I1510="","Missing: source link",IF(COUNTIF(Config!$A$15:$A$34,$C1510)=0,"Unsupported type",IF(COUNTIF(Products!$A$2:$A$101,$D1510)=0,"Unknown SKU",IF(COUNTIFS(Batches!$A$2:$A$301,$F1510,Batches!$B$2:$B$301,$D1510)=0,"Unknown lot for this SKU",IF(AND($C1510="Adjustment",$G1510=""),"Missing: reason",IF(AND($G1510&lt;&gt;"",COUNTIF(Config!$B$15:$B$34,$G1510)=0),"Unsupported reason",IF(OR(INT($E1510)&lt;&gt;$E1510,AND(OR($C1510="Receipt",$C1510="Shipment"),$E1510&lt;=0),AND($C1510="Adjustment",$E1510=0)),"Invalid qty",IF($B1510&gt;Config!$B$4,"Date after the as-of date",IF($B1510&lt;Config!$B$5,"Date before the opening balance date","OK")))))))))))))))))</f>
        <v/>
      </c>
    </row>
    <row r="1511">
      <c r="A1511" s="46" t="n"/>
      <c r="B1511" s="54" t="n"/>
      <c r="C1511" s="46" t="n"/>
      <c r="D1511" s="46" t="n"/>
      <c r="E1511" s="55" t="n"/>
      <c r="F1511" s="46" t="n"/>
      <c r="G1511" s="46" t="n"/>
      <c r="H1511" s="46" t="n"/>
      <c r="I1511" s="46" t="n"/>
      <c r="J1511" s="46" t="n"/>
      <c r="K1511" s="46" t="n"/>
      <c r="L1511" s="46" t="n"/>
      <c r="M1511" s="51" t="str">
        <f>IF(NOT(ISNUMBER($E1511)),"",IF($C1511="Receipt",$E1511,IF($C1511="Shipment",-$E1511,IF($C1511="Adjustment",$E1511,0))))</f>
        <v/>
      </c>
      <c r="N1511" s="49" t="str">
        <f>IF($D1511="","",IFERROR(INDEX(Products!$B$2:$B$101,MATCH($D1511,Products!$A$2:$A$101,0))&amp;"","(not found)"))</f>
        <v/>
      </c>
      <c r="O1511" s="49" t="str">
        <f>IF($F1511="","",IFERROR(INDEX(Batches!$B$2:$B$301,MATCH($F1511,Batches!$A$2:$A$301,0))&amp;"","(not found)"))</f>
        <v/>
      </c>
      <c r="P1511" s="49" t="str">
        <f>IF(COUNTA($A1511:$L1511)=0,"",IF($A1511="","Missing: entry ID",IF(COUNTIF($A$2:$A$2001,$A1511)&gt;1,"Duplicate entry ID",IF(NOT(ISNUMBER($B1511)),"Missing or invalid: date",IF($C1511="","Missing: type",IF($D1511="","Missing: SKU",IF(NOT(ISNUMBER($E1511)),"Missing: qty",IF($F1511="","Missing: lot",IF($I1511="","Missing: source link",IF(COUNTIF(Config!$A$15:$A$34,$C1511)=0,"Unsupported type",IF(COUNTIF(Products!$A$2:$A$101,$D1511)=0,"Unknown SKU",IF(COUNTIFS(Batches!$A$2:$A$301,$F1511,Batches!$B$2:$B$301,$D1511)=0,"Unknown lot for this SKU",IF(AND($C1511="Adjustment",$G1511=""),"Missing: reason",IF(AND($G1511&lt;&gt;"",COUNTIF(Config!$B$15:$B$34,$G1511)=0),"Unsupported reason",IF(OR(INT($E1511)&lt;&gt;$E1511,AND(OR($C1511="Receipt",$C1511="Shipment"),$E1511&lt;=0),AND($C1511="Adjustment",$E1511=0)),"Invalid qty",IF($B1511&gt;Config!$B$4,"Date after the as-of date",IF($B1511&lt;Config!$B$5,"Date before the opening balance date","OK")))))))))))))))))</f>
        <v/>
      </c>
    </row>
    <row r="1512">
      <c r="A1512" s="46" t="n"/>
      <c r="B1512" s="54" t="n"/>
      <c r="C1512" s="46" t="n"/>
      <c r="D1512" s="46" t="n"/>
      <c r="E1512" s="55" t="n"/>
      <c r="F1512" s="46" t="n"/>
      <c r="G1512" s="46" t="n"/>
      <c r="H1512" s="46" t="n"/>
      <c r="I1512" s="46" t="n"/>
      <c r="J1512" s="46" t="n"/>
      <c r="K1512" s="46" t="n"/>
      <c r="L1512" s="46" t="n"/>
      <c r="M1512" s="51" t="str">
        <f>IF(NOT(ISNUMBER($E1512)),"",IF($C1512="Receipt",$E1512,IF($C1512="Shipment",-$E1512,IF($C1512="Adjustment",$E1512,0))))</f>
        <v/>
      </c>
      <c r="N1512" s="49" t="str">
        <f>IF($D1512="","",IFERROR(INDEX(Products!$B$2:$B$101,MATCH($D1512,Products!$A$2:$A$101,0))&amp;"","(not found)"))</f>
        <v/>
      </c>
      <c r="O1512" s="49" t="str">
        <f>IF($F1512="","",IFERROR(INDEX(Batches!$B$2:$B$301,MATCH($F1512,Batches!$A$2:$A$301,0))&amp;"","(not found)"))</f>
        <v/>
      </c>
      <c r="P1512" s="49" t="str">
        <f>IF(COUNTA($A1512:$L1512)=0,"",IF($A1512="","Missing: entry ID",IF(COUNTIF($A$2:$A$2001,$A1512)&gt;1,"Duplicate entry ID",IF(NOT(ISNUMBER($B1512)),"Missing or invalid: date",IF($C1512="","Missing: type",IF($D1512="","Missing: SKU",IF(NOT(ISNUMBER($E1512)),"Missing: qty",IF($F1512="","Missing: lot",IF($I1512="","Missing: source link",IF(COUNTIF(Config!$A$15:$A$34,$C1512)=0,"Unsupported type",IF(COUNTIF(Products!$A$2:$A$101,$D1512)=0,"Unknown SKU",IF(COUNTIFS(Batches!$A$2:$A$301,$F1512,Batches!$B$2:$B$301,$D1512)=0,"Unknown lot for this SKU",IF(AND($C1512="Adjustment",$G1512=""),"Missing: reason",IF(AND($G1512&lt;&gt;"",COUNTIF(Config!$B$15:$B$34,$G1512)=0),"Unsupported reason",IF(OR(INT($E1512)&lt;&gt;$E1512,AND(OR($C1512="Receipt",$C1512="Shipment"),$E1512&lt;=0),AND($C1512="Adjustment",$E1512=0)),"Invalid qty",IF($B1512&gt;Config!$B$4,"Date after the as-of date",IF($B1512&lt;Config!$B$5,"Date before the opening balance date","OK")))))))))))))))))</f>
        <v/>
      </c>
    </row>
    <row r="1513">
      <c r="A1513" s="46" t="n"/>
      <c r="B1513" s="54" t="n"/>
      <c r="C1513" s="46" t="n"/>
      <c r="D1513" s="46" t="n"/>
      <c r="E1513" s="55" t="n"/>
      <c r="F1513" s="46" t="n"/>
      <c r="G1513" s="46" t="n"/>
      <c r="H1513" s="46" t="n"/>
      <c r="I1513" s="46" t="n"/>
      <c r="J1513" s="46" t="n"/>
      <c r="K1513" s="46" t="n"/>
      <c r="L1513" s="46" t="n"/>
      <c r="M1513" s="51" t="str">
        <f>IF(NOT(ISNUMBER($E1513)),"",IF($C1513="Receipt",$E1513,IF($C1513="Shipment",-$E1513,IF($C1513="Adjustment",$E1513,0))))</f>
        <v/>
      </c>
      <c r="N1513" s="49" t="str">
        <f>IF($D1513="","",IFERROR(INDEX(Products!$B$2:$B$101,MATCH($D1513,Products!$A$2:$A$101,0))&amp;"","(not found)"))</f>
        <v/>
      </c>
      <c r="O1513" s="49" t="str">
        <f>IF($F1513="","",IFERROR(INDEX(Batches!$B$2:$B$301,MATCH($F1513,Batches!$A$2:$A$301,0))&amp;"","(not found)"))</f>
        <v/>
      </c>
      <c r="P1513" s="49" t="str">
        <f>IF(COUNTA($A1513:$L1513)=0,"",IF($A1513="","Missing: entry ID",IF(COUNTIF($A$2:$A$2001,$A1513)&gt;1,"Duplicate entry ID",IF(NOT(ISNUMBER($B1513)),"Missing or invalid: date",IF($C1513="","Missing: type",IF($D1513="","Missing: SKU",IF(NOT(ISNUMBER($E1513)),"Missing: qty",IF($F1513="","Missing: lot",IF($I1513="","Missing: source link",IF(COUNTIF(Config!$A$15:$A$34,$C1513)=0,"Unsupported type",IF(COUNTIF(Products!$A$2:$A$101,$D1513)=0,"Unknown SKU",IF(COUNTIFS(Batches!$A$2:$A$301,$F1513,Batches!$B$2:$B$301,$D1513)=0,"Unknown lot for this SKU",IF(AND($C1513="Adjustment",$G1513=""),"Missing: reason",IF(AND($G1513&lt;&gt;"",COUNTIF(Config!$B$15:$B$34,$G1513)=0),"Unsupported reason",IF(OR(INT($E1513)&lt;&gt;$E1513,AND(OR($C1513="Receipt",$C1513="Shipment"),$E1513&lt;=0),AND($C1513="Adjustment",$E1513=0)),"Invalid qty",IF($B1513&gt;Config!$B$4,"Date after the as-of date",IF($B1513&lt;Config!$B$5,"Date before the opening balance date","OK")))))))))))))))))</f>
        <v/>
      </c>
    </row>
    <row r="1514">
      <c r="A1514" s="46" t="n"/>
      <c r="B1514" s="54" t="n"/>
      <c r="C1514" s="46" t="n"/>
      <c r="D1514" s="46" t="n"/>
      <c r="E1514" s="55" t="n"/>
      <c r="F1514" s="46" t="n"/>
      <c r="G1514" s="46" t="n"/>
      <c r="H1514" s="46" t="n"/>
      <c r="I1514" s="46" t="n"/>
      <c r="J1514" s="46" t="n"/>
      <c r="K1514" s="46" t="n"/>
      <c r="L1514" s="46" t="n"/>
      <c r="M1514" s="51" t="str">
        <f>IF(NOT(ISNUMBER($E1514)),"",IF($C1514="Receipt",$E1514,IF($C1514="Shipment",-$E1514,IF($C1514="Adjustment",$E1514,0))))</f>
        <v/>
      </c>
      <c r="N1514" s="49" t="str">
        <f>IF($D1514="","",IFERROR(INDEX(Products!$B$2:$B$101,MATCH($D1514,Products!$A$2:$A$101,0))&amp;"","(not found)"))</f>
        <v/>
      </c>
      <c r="O1514" s="49" t="str">
        <f>IF($F1514="","",IFERROR(INDEX(Batches!$B$2:$B$301,MATCH($F1514,Batches!$A$2:$A$301,0))&amp;"","(not found)"))</f>
        <v/>
      </c>
      <c r="P1514" s="49" t="str">
        <f>IF(COUNTA($A1514:$L1514)=0,"",IF($A1514="","Missing: entry ID",IF(COUNTIF($A$2:$A$2001,$A1514)&gt;1,"Duplicate entry ID",IF(NOT(ISNUMBER($B1514)),"Missing or invalid: date",IF($C1514="","Missing: type",IF($D1514="","Missing: SKU",IF(NOT(ISNUMBER($E1514)),"Missing: qty",IF($F1514="","Missing: lot",IF($I1514="","Missing: source link",IF(COUNTIF(Config!$A$15:$A$34,$C1514)=0,"Unsupported type",IF(COUNTIF(Products!$A$2:$A$101,$D1514)=0,"Unknown SKU",IF(COUNTIFS(Batches!$A$2:$A$301,$F1514,Batches!$B$2:$B$301,$D1514)=0,"Unknown lot for this SKU",IF(AND($C1514="Adjustment",$G1514=""),"Missing: reason",IF(AND($G1514&lt;&gt;"",COUNTIF(Config!$B$15:$B$34,$G1514)=0),"Unsupported reason",IF(OR(INT($E1514)&lt;&gt;$E1514,AND(OR($C1514="Receipt",$C1514="Shipment"),$E1514&lt;=0),AND($C1514="Adjustment",$E1514=0)),"Invalid qty",IF($B1514&gt;Config!$B$4,"Date after the as-of date",IF($B1514&lt;Config!$B$5,"Date before the opening balance date","OK")))))))))))))))))</f>
        <v/>
      </c>
    </row>
    <row r="1515">
      <c r="A1515" s="46" t="n"/>
      <c r="B1515" s="54" t="n"/>
      <c r="C1515" s="46" t="n"/>
      <c r="D1515" s="46" t="n"/>
      <c r="E1515" s="55" t="n"/>
      <c r="F1515" s="46" t="n"/>
      <c r="G1515" s="46" t="n"/>
      <c r="H1515" s="46" t="n"/>
      <c r="I1515" s="46" t="n"/>
      <c r="J1515" s="46" t="n"/>
      <c r="K1515" s="46" t="n"/>
      <c r="L1515" s="46" t="n"/>
      <c r="M1515" s="51" t="str">
        <f>IF(NOT(ISNUMBER($E1515)),"",IF($C1515="Receipt",$E1515,IF($C1515="Shipment",-$E1515,IF($C1515="Adjustment",$E1515,0))))</f>
        <v/>
      </c>
      <c r="N1515" s="49" t="str">
        <f>IF($D1515="","",IFERROR(INDEX(Products!$B$2:$B$101,MATCH($D1515,Products!$A$2:$A$101,0))&amp;"","(not found)"))</f>
        <v/>
      </c>
      <c r="O1515" s="49" t="str">
        <f>IF($F1515="","",IFERROR(INDEX(Batches!$B$2:$B$301,MATCH($F1515,Batches!$A$2:$A$301,0))&amp;"","(not found)"))</f>
        <v/>
      </c>
      <c r="P1515" s="49" t="str">
        <f>IF(COUNTA($A1515:$L1515)=0,"",IF($A1515="","Missing: entry ID",IF(COUNTIF($A$2:$A$2001,$A1515)&gt;1,"Duplicate entry ID",IF(NOT(ISNUMBER($B1515)),"Missing or invalid: date",IF($C1515="","Missing: type",IF($D1515="","Missing: SKU",IF(NOT(ISNUMBER($E1515)),"Missing: qty",IF($F1515="","Missing: lot",IF($I1515="","Missing: source link",IF(COUNTIF(Config!$A$15:$A$34,$C1515)=0,"Unsupported type",IF(COUNTIF(Products!$A$2:$A$101,$D1515)=0,"Unknown SKU",IF(COUNTIFS(Batches!$A$2:$A$301,$F1515,Batches!$B$2:$B$301,$D1515)=0,"Unknown lot for this SKU",IF(AND($C1515="Adjustment",$G1515=""),"Missing: reason",IF(AND($G1515&lt;&gt;"",COUNTIF(Config!$B$15:$B$34,$G1515)=0),"Unsupported reason",IF(OR(INT($E1515)&lt;&gt;$E1515,AND(OR($C1515="Receipt",$C1515="Shipment"),$E1515&lt;=0),AND($C1515="Adjustment",$E1515=0)),"Invalid qty",IF($B1515&gt;Config!$B$4,"Date after the as-of date",IF($B1515&lt;Config!$B$5,"Date before the opening balance date","OK")))))))))))))))))</f>
        <v/>
      </c>
    </row>
    <row r="1516">
      <c r="A1516" s="46" t="n"/>
      <c r="B1516" s="54" t="n"/>
      <c r="C1516" s="46" t="n"/>
      <c r="D1516" s="46" t="n"/>
      <c r="E1516" s="55" t="n"/>
      <c r="F1516" s="46" t="n"/>
      <c r="G1516" s="46" t="n"/>
      <c r="H1516" s="46" t="n"/>
      <c r="I1516" s="46" t="n"/>
      <c r="J1516" s="46" t="n"/>
      <c r="K1516" s="46" t="n"/>
      <c r="L1516" s="46" t="n"/>
      <c r="M1516" s="51" t="str">
        <f>IF(NOT(ISNUMBER($E1516)),"",IF($C1516="Receipt",$E1516,IF($C1516="Shipment",-$E1516,IF($C1516="Adjustment",$E1516,0))))</f>
        <v/>
      </c>
      <c r="N1516" s="49" t="str">
        <f>IF($D1516="","",IFERROR(INDEX(Products!$B$2:$B$101,MATCH($D1516,Products!$A$2:$A$101,0))&amp;"","(not found)"))</f>
        <v/>
      </c>
      <c r="O1516" s="49" t="str">
        <f>IF($F1516="","",IFERROR(INDEX(Batches!$B$2:$B$301,MATCH($F1516,Batches!$A$2:$A$301,0))&amp;"","(not found)"))</f>
        <v/>
      </c>
      <c r="P1516" s="49" t="str">
        <f>IF(COUNTA($A1516:$L1516)=0,"",IF($A1516="","Missing: entry ID",IF(COUNTIF($A$2:$A$2001,$A1516)&gt;1,"Duplicate entry ID",IF(NOT(ISNUMBER($B1516)),"Missing or invalid: date",IF($C1516="","Missing: type",IF($D1516="","Missing: SKU",IF(NOT(ISNUMBER($E1516)),"Missing: qty",IF($F1516="","Missing: lot",IF($I1516="","Missing: source link",IF(COUNTIF(Config!$A$15:$A$34,$C1516)=0,"Unsupported type",IF(COUNTIF(Products!$A$2:$A$101,$D1516)=0,"Unknown SKU",IF(COUNTIFS(Batches!$A$2:$A$301,$F1516,Batches!$B$2:$B$301,$D1516)=0,"Unknown lot for this SKU",IF(AND($C1516="Adjustment",$G1516=""),"Missing: reason",IF(AND($G1516&lt;&gt;"",COUNTIF(Config!$B$15:$B$34,$G1516)=0),"Unsupported reason",IF(OR(INT($E1516)&lt;&gt;$E1516,AND(OR($C1516="Receipt",$C1516="Shipment"),$E1516&lt;=0),AND($C1516="Adjustment",$E1516=0)),"Invalid qty",IF($B1516&gt;Config!$B$4,"Date after the as-of date",IF($B1516&lt;Config!$B$5,"Date before the opening balance date","OK")))))))))))))))))</f>
        <v/>
      </c>
    </row>
    <row r="1517">
      <c r="A1517" s="46" t="n"/>
      <c r="B1517" s="54" t="n"/>
      <c r="C1517" s="46" t="n"/>
      <c r="D1517" s="46" t="n"/>
      <c r="E1517" s="55" t="n"/>
      <c r="F1517" s="46" t="n"/>
      <c r="G1517" s="46" t="n"/>
      <c r="H1517" s="46" t="n"/>
      <c r="I1517" s="46" t="n"/>
      <c r="J1517" s="46" t="n"/>
      <c r="K1517" s="46" t="n"/>
      <c r="L1517" s="46" t="n"/>
      <c r="M1517" s="51" t="str">
        <f>IF(NOT(ISNUMBER($E1517)),"",IF($C1517="Receipt",$E1517,IF($C1517="Shipment",-$E1517,IF($C1517="Adjustment",$E1517,0))))</f>
        <v/>
      </c>
      <c r="N1517" s="49" t="str">
        <f>IF($D1517="","",IFERROR(INDEX(Products!$B$2:$B$101,MATCH($D1517,Products!$A$2:$A$101,0))&amp;"","(not found)"))</f>
        <v/>
      </c>
      <c r="O1517" s="49" t="str">
        <f>IF($F1517="","",IFERROR(INDEX(Batches!$B$2:$B$301,MATCH($F1517,Batches!$A$2:$A$301,0))&amp;"","(not found)"))</f>
        <v/>
      </c>
      <c r="P1517" s="49" t="str">
        <f>IF(COUNTA($A1517:$L1517)=0,"",IF($A1517="","Missing: entry ID",IF(COUNTIF($A$2:$A$2001,$A1517)&gt;1,"Duplicate entry ID",IF(NOT(ISNUMBER($B1517)),"Missing or invalid: date",IF($C1517="","Missing: type",IF($D1517="","Missing: SKU",IF(NOT(ISNUMBER($E1517)),"Missing: qty",IF($F1517="","Missing: lot",IF($I1517="","Missing: source link",IF(COUNTIF(Config!$A$15:$A$34,$C1517)=0,"Unsupported type",IF(COUNTIF(Products!$A$2:$A$101,$D1517)=0,"Unknown SKU",IF(COUNTIFS(Batches!$A$2:$A$301,$F1517,Batches!$B$2:$B$301,$D1517)=0,"Unknown lot for this SKU",IF(AND($C1517="Adjustment",$G1517=""),"Missing: reason",IF(AND($G1517&lt;&gt;"",COUNTIF(Config!$B$15:$B$34,$G1517)=0),"Unsupported reason",IF(OR(INT($E1517)&lt;&gt;$E1517,AND(OR($C1517="Receipt",$C1517="Shipment"),$E1517&lt;=0),AND($C1517="Adjustment",$E1517=0)),"Invalid qty",IF($B1517&gt;Config!$B$4,"Date after the as-of date",IF($B1517&lt;Config!$B$5,"Date before the opening balance date","OK")))))))))))))))))</f>
        <v/>
      </c>
    </row>
    <row r="1518">
      <c r="A1518" s="46" t="n"/>
      <c r="B1518" s="54" t="n"/>
      <c r="C1518" s="46" t="n"/>
      <c r="D1518" s="46" t="n"/>
      <c r="E1518" s="55" t="n"/>
      <c r="F1518" s="46" t="n"/>
      <c r="G1518" s="46" t="n"/>
      <c r="H1518" s="46" t="n"/>
      <c r="I1518" s="46" t="n"/>
      <c r="J1518" s="46" t="n"/>
      <c r="K1518" s="46" t="n"/>
      <c r="L1518" s="46" t="n"/>
      <c r="M1518" s="51" t="str">
        <f>IF(NOT(ISNUMBER($E1518)),"",IF($C1518="Receipt",$E1518,IF($C1518="Shipment",-$E1518,IF($C1518="Adjustment",$E1518,0))))</f>
        <v/>
      </c>
      <c r="N1518" s="49" t="str">
        <f>IF($D1518="","",IFERROR(INDEX(Products!$B$2:$B$101,MATCH($D1518,Products!$A$2:$A$101,0))&amp;"","(not found)"))</f>
        <v/>
      </c>
      <c r="O1518" s="49" t="str">
        <f>IF($F1518="","",IFERROR(INDEX(Batches!$B$2:$B$301,MATCH($F1518,Batches!$A$2:$A$301,0))&amp;"","(not found)"))</f>
        <v/>
      </c>
      <c r="P1518" s="49" t="str">
        <f>IF(COUNTA($A1518:$L1518)=0,"",IF($A1518="","Missing: entry ID",IF(COUNTIF($A$2:$A$2001,$A1518)&gt;1,"Duplicate entry ID",IF(NOT(ISNUMBER($B1518)),"Missing or invalid: date",IF($C1518="","Missing: type",IF($D1518="","Missing: SKU",IF(NOT(ISNUMBER($E1518)),"Missing: qty",IF($F1518="","Missing: lot",IF($I1518="","Missing: source link",IF(COUNTIF(Config!$A$15:$A$34,$C1518)=0,"Unsupported type",IF(COUNTIF(Products!$A$2:$A$101,$D1518)=0,"Unknown SKU",IF(COUNTIFS(Batches!$A$2:$A$301,$F1518,Batches!$B$2:$B$301,$D1518)=0,"Unknown lot for this SKU",IF(AND($C1518="Adjustment",$G1518=""),"Missing: reason",IF(AND($G1518&lt;&gt;"",COUNTIF(Config!$B$15:$B$34,$G1518)=0),"Unsupported reason",IF(OR(INT($E1518)&lt;&gt;$E1518,AND(OR($C1518="Receipt",$C1518="Shipment"),$E1518&lt;=0),AND($C1518="Adjustment",$E1518=0)),"Invalid qty",IF($B1518&gt;Config!$B$4,"Date after the as-of date",IF($B1518&lt;Config!$B$5,"Date before the opening balance date","OK")))))))))))))))))</f>
        <v/>
      </c>
    </row>
    <row r="1519">
      <c r="A1519" s="46" t="n"/>
      <c r="B1519" s="54" t="n"/>
      <c r="C1519" s="46" t="n"/>
      <c r="D1519" s="46" t="n"/>
      <c r="E1519" s="55" t="n"/>
      <c r="F1519" s="46" t="n"/>
      <c r="G1519" s="46" t="n"/>
      <c r="H1519" s="46" t="n"/>
      <c r="I1519" s="46" t="n"/>
      <c r="J1519" s="46" t="n"/>
      <c r="K1519" s="46" t="n"/>
      <c r="L1519" s="46" t="n"/>
      <c r="M1519" s="51" t="str">
        <f>IF(NOT(ISNUMBER($E1519)),"",IF($C1519="Receipt",$E1519,IF($C1519="Shipment",-$E1519,IF($C1519="Adjustment",$E1519,0))))</f>
        <v/>
      </c>
      <c r="N1519" s="49" t="str">
        <f>IF($D1519="","",IFERROR(INDEX(Products!$B$2:$B$101,MATCH($D1519,Products!$A$2:$A$101,0))&amp;"","(not found)"))</f>
        <v/>
      </c>
      <c r="O1519" s="49" t="str">
        <f>IF($F1519="","",IFERROR(INDEX(Batches!$B$2:$B$301,MATCH($F1519,Batches!$A$2:$A$301,0))&amp;"","(not found)"))</f>
        <v/>
      </c>
      <c r="P1519" s="49" t="str">
        <f>IF(COUNTA($A1519:$L1519)=0,"",IF($A1519="","Missing: entry ID",IF(COUNTIF($A$2:$A$2001,$A1519)&gt;1,"Duplicate entry ID",IF(NOT(ISNUMBER($B1519)),"Missing or invalid: date",IF($C1519="","Missing: type",IF($D1519="","Missing: SKU",IF(NOT(ISNUMBER($E1519)),"Missing: qty",IF($F1519="","Missing: lot",IF($I1519="","Missing: source link",IF(COUNTIF(Config!$A$15:$A$34,$C1519)=0,"Unsupported type",IF(COUNTIF(Products!$A$2:$A$101,$D1519)=0,"Unknown SKU",IF(COUNTIFS(Batches!$A$2:$A$301,$F1519,Batches!$B$2:$B$301,$D1519)=0,"Unknown lot for this SKU",IF(AND($C1519="Adjustment",$G1519=""),"Missing: reason",IF(AND($G1519&lt;&gt;"",COUNTIF(Config!$B$15:$B$34,$G1519)=0),"Unsupported reason",IF(OR(INT($E1519)&lt;&gt;$E1519,AND(OR($C1519="Receipt",$C1519="Shipment"),$E1519&lt;=0),AND($C1519="Adjustment",$E1519=0)),"Invalid qty",IF($B1519&gt;Config!$B$4,"Date after the as-of date",IF($B1519&lt;Config!$B$5,"Date before the opening balance date","OK")))))))))))))))))</f>
        <v/>
      </c>
    </row>
    <row r="1520">
      <c r="A1520" s="46" t="n"/>
      <c r="B1520" s="54" t="n"/>
      <c r="C1520" s="46" t="n"/>
      <c r="D1520" s="46" t="n"/>
      <c r="E1520" s="55" t="n"/>
      <c r="F1520" s="46" t="n"/>
      <c r="G1520" s="46" t="n"/>
      <c r="H1520" s="46" t="n"/>
      <c r="I1520" s="46" t="n"/>
      <c r="J1520" s="46" t="n"/>
      <c r="K1520" s="46" t="n"/>
      <c r="L1520" s="46" t="n"/>
      <c r="M1520" s="51" t="str">
        <f>IF(NOT(ISNUMBER($E1520)),"",IF($C1520="Receipt",$E1520,IF($C1520="Shipment",-$E1520,IF($C1520="Adjustment",$E1520,0))))</f>
        <v/>
      </c>
      <c r="N1520" s="49" t="str">
        <f>IF($D1520="","",IFERROR(INDEX(Products!$B$2:$B$101,MATCH($D1520,Products!$A$2:$A$101,0))&amp;"","(not found)"))</f>
        <v/>
      </c>
      <c r="O1520" s="49" t="str">
        <f>IF($F1520="","",IFERROR(INDEX(Batches!$B$2:$B$301,MATCH($F1520,Batches!$A$2:$A$301,0))&amp;"","(not found)"))</f>
        <v/>
      </c>
      <c r="P1520" s="49" t="str">
        <f>IF(COUNTA($A1520:$L1520)=0,"",IF($A1520="","Missing: entry ID",IF(COUNTIF($A$2:$A$2001,$A1520)&gt;1,"Duplicate entry ID",IF(NOT(ISNUMBER($B1520)),"Missing or invalid: date",IF($C1520="","Missing: type",IF($D1520="","Missing: SKU",IF(NOT(ISNUMBER($E1520)),"Missing: qty",IF($F1520="","Missing: lot",IF($I1520="","Missing: source link",IF(COUNTIF(Config!$A$15:$A$34,$C1520)=0,"Unsupported type",IF(COUNTIF(Products!$A$2:$A$101,$D1520)=0,"Unknown SKU",IF(COUNTIFS(Batches!$A$2:$A$301,$F1520,Batches!$B$2:$B$301,$D1520)=0,"Unknown lot for this SKU",IF(AND($C1520="Adjustment",$G1520=""),"Missing: reason",IF(AND($G1520&lt;&gt;"",COUNTIF(Config!$B$15:$B$34,$G1520)=0),"Unsupported reason",IF(OR(INT($E1520)&lt;&gt;$E1520,AND(OR($C1520="Receipt",$C1520="Shipment"),$E1520&lt;=0),AND($C1520="Adjustment",$E1520=0)),"Invalid qty",IF($B1520&gt;Config!$B$4,"Date after the as-of date",IF($B1520&lt;Config!$B$5,"Date before the opening balance date","OK")))))))))))))))))</f>
        <v/>
      </c>
    </row>
    <row r="1521">
      <c r="A1521" s="46" t="n"/>
      <c r="B1521" s="54" t="n"/>
      <c r="C1521" s="46" t="n"/>
      <c r="D1521" s="46" t="n"/>
      <c r="E1521" s="55" t="n"/>
      <c r="F1521" s="46" t="n"/>
      <c r="G1521" s="46" t="n"/>
      <c r="H1521" s="46" t="n"/>
      <c r="I1521" s="46" t="n"/>
      <c r="J1521" s="46" t="n"/>
      <c r="K1521" s="46" t="n"/>
      <c r="L1521" s="46" t="n"/>
      <c r="M1521" s="51" t="str">
        <f>IF(NOT(ISNUMBER($E1521)),"",IF($C1521="Receipt",$E1521,IF($C1521="Shipment",-$E1521,IF($C1521="Adjustment",$E1521,0))))</f>
        <v/>
      </c>
      <c r="N1521" s="49" t="str">
        <f>IF($D1521="","",IFERROR(INDEX(Products!$B$2:$B$101,MATCH($D1521,Products!$A$2:$A$101,0))&amp;"","(not found)"))</f>
        <v/>
      </c>
      <c r="O1521" s="49" t="str">
        <f>IF($F1521="","",IFERROR(INDEX(Batches!$B$2:$B$301,MATCH($F1521,Batches!$A$2:$A$301,0))&amp;"","(not found)"))</f>
        <v/>
      </c>
      <c r="P1521" s="49" t="str">
        <f>IF(COUNTA($A1521:$L1521)=0,"",IF($A1521="","Missing: entry ID",IF(COUNTIF($A$2:$A$2001,$A1521)&gt;1,"Duplicate entry ID",IF(NOT(ISNUMBER($B1521)),"Missing or invalid: date",IF($C1521="","Missing: type",IF($D1521="","Missing: SKU",IF(NOT(ISNUMBER($E1521)),"Missing: qty",IF($F1521="","Missing: lot",IF($I1521="","Missing: source link",IF(COUNTIF(Config!$A$15:$A$34,$C1521)=0,"Unsupported type",IF(COUNTIF(Products!$A$2:$A$101,$D1521)=0,"Unknown SKU",IF(COUNTIFS(Batches!$A$2:$A$301,$F1521,Batches!$B$2:$B$301,$D1521)=0,"Unknown lot for this SKU",IF(AND($C1521="Adjustment",$G1521=""),"Missing: reason",IF(AND($G1521&lt;&gt;"",COUNTIF(Config!$B$15:$B$34,$G1521)=0),"Unsupported reason",IF(OR(INT($E1521)&lt;&gt;$E1521,AND(OR($C1521="Receipt",$C1521="Shipment"),$E1521&lt;=0),AND($C1521="Adjustment",$E1521=0)),"Invalid qty",IF($B1521&gt;Config!$B$4,"Date after the as-of date",IF($B1521&lt;Config!$B$5,"Date before the opening balance date","OK")))))))))))))))))</f>
        <v/>
      </c>
    </row>
    <row r="1522">
      <c r="A1522" s="46" t="n"/>
      <c r="B1522" s="54" t="n"/>
      <c r="C1522" s="46" t="n"/>
      <c r="D1522" s="46" t="n"/>
      <c r="E1522" s="55" t="n"/>
      <c r="F1522" s="46" t="n"/>
      <c r="G1522" s="46" t="n"/>
      <c r="H1522" s="46" t="n"/>
      <c r="I1522" s="46" t="n"/>
      <c r="J1522" s="46" t="n"/>
      <c r="K1522" s="46" t="n"/>
      <c r="L1522" s="46" t="n"/>
      <c r="M1522" s="51" t="str">
        <f>IF(NOT(ISNUMBER($E1522)),"",IF($C1522="Receipt",$E1522,IF($C1522="Shipment",-$E1522,IF($C1522="Adjustment",$E1522,0))))</f>
        <v/>
      </c>
      <c r="N1522" s="49" t="str">
        <f>IF($D1522="","",IFERROR(INDEX(Products!$B$2:$B$101,MATCH($D1522,Products!$A$2:$A$101,0))&amp;"","(not found)"))</f>
        <v/>
      </c>
      <c r="O1522" s="49" t="str">
        <f>IF($F1522="","",IFERROR(INDEX(Batches!$B$2:$B$301,MATCH($F1522,Batches!$A$2:$A$301,0))&amp;"","(not found)"))</f>
        <v/>
      </c>
      <c r="P1522" s="49" t="str">
        <f>IF(COUNTA($A1522:$L1522)=0,"",IF($A1522="","Missing: entry ID",IF(COUNTIF($A$2:$A$2001,$A1522)&gt;1,"Duplicate entry ID",IF(NOT(ISNUMBER($B1522)),"Missing or invalid: date",IF($C1522="","Missing: type",IF($D1522="","Missing: SKU",IF(NOT(ISNUMBER($E1522)),"Missing: qty",IF($F1522="","Missing: lot",IF($I1522="","Missing: source link",IF(COUNTIF(Config!$A$15:$A$34,$C1522)=0,"Unsupported type",IF(COUNTIF(Products!$A$2:$A$101,$D1522)=0,"Unknown SKU",IF(COUNTIFS(Batches!$A$2:$A$301,$F1522,Batches!$B$2:$B$301,$D1522)=0,"Unknown lot for this SKU",IF(AND($C1522="Adjustment",$G1522=""),"Missing: reason",IF(AND($G1522&lt;&gt;"",COUNTIF(Config!$B$15:$B$34,$G1522)=0),"Unsupported reason",IF(OR(INT($E1522)&lt;&gt;$E1522,AND(OR($C1522="Receipt",$C1522="Shipment"),$E1522&lt;=0),AND($C1522="Adjustment",$E1522=0)),"Invalid qty",IF($B1522&gt;Config!$B$4,"Date after the as-of date",IF($B1522&lt;Config!$B$5,"Date before the opening balance date","OK")))))))))))))))))</f>
        <v/>
      </c>
    </row>
    <row r="1523">
      <c r="A1523" s="46" t="n"/>
      <c r="B1523" s="54" t="n"/>
      <c r="C1523" s="46" t="n"/>
      <c r="D1523" s="46" t="n"/>
      <c r="E1523" s="55" t="n"/>
      <c r="F1523" s="46" t="n"/>
      <c r="G1523" s="46" t="n"/>
      <c r="H1523" s="46" t="n"/>
      <c r="I1523" s="46" t="n"/>
      <c r="J1523" s="46" t="n"/>
      <c r="K1523" s="46" t="n"/>
      <c r="L1523" s="46" t="n"/>
      <c r="M1523" s="51" t="str">
        <f>IF(NOT(ISNUMBER($E1523)),"",IF($C1523="Receipt",$E1523,IF($C1523="Shipment",-$E1523,IF($C1523="Adjustment",$E1523,0))))</f>
        <v/>
      </c>
      <c r="N1523" s="49" t="str">
        <f>IF($D1523="","",IFERROR(INDEX(Products!$B$2:$B$101,MATCH($D1523,Products!$A$2:$A$101,0))&amp;"","(not found)"))</f>
        <v/>
      </c>
      <c r="O1523" s="49" t="str">
        <f>IF($F1523="","",IFERROR(INDEX(Batches!$B$2:$B$301,MATCH($F1523,Batches!$A$2:$A$301,0))&amp;"","(not found)"))</f>
        <v/>
      </c>
      <c r="P1523" s="49" t="str">
        <f>IF(COUNTA($A1523:$L1523)=0,"",IF($A1523="","Missing: entry ID",IF(COUNTIF($A$2:$A$2001,$A1523)&gt;1,"Duplicate entry ID",IF(NOT(ISNUMBER($B1523)),"Missing or invalid: date",IF($C1523="","Missing: type",IF($D1523="","Missing: SKU",IF(NOT(ISNUMBER($E1523)),"Missing: qty",IF($F1523="","Missing: lot",IF($I1523="","Missing: source link",IF(COUNTIF(Config!$A$15:$A$34,$C1523)=0,"Unsupported type",IF(COUNTIF(Products!$A$2:$A$101,$D1523)=0,"Unknown SKU",IF(COUNTIFS(Batches!$A$2:$A$301,$F1523,Batches!$B$2:$B$301,$D1523)=0,"Unknown lot for this SKU",IF(AND($C1523="Adjustment",$G1523=""),"Missing: reason",IF(AND($G1523&lt;&gt;"",COUNTIF(Config!$B$15:$B$34,$G1523)=0),"Unsupported reason",IF(OR(INT($E1523)&lt;&gt;$E1523,AND(OR($C1523="Receipt",$C1523="Shipment"),$E1523&lt;=0),AND($C1523="Adjustment",$E1523=0)),"Invalid qty",IF($B1523&gt;Config!$B$4,"Date after the as-of date",IF($B1523&lt;Config!$B$5,"Date before the opening balance date","OK")))))))))))))))))</f>
        <v/>
      </c>
    </row>
    <row r="1524">
      <c r="A1524" s="46" t="n"/>
      <c r="B1524" s="54" t="n"/>
      <c r="C1524" s="46" t="n"/>
      <c r="D1524" s="46" t="n"/>
      <c r="E1524" s="55" t="n"/>
      <c r="F1524" s="46" t="n"/>
      <c r="G1524" s="46" t="n"/>
      <c r="H1524" s="46" t="n"/>
      <c r="I1524" s="46" t="n"/>
      <c r="J1524" s="46" t="n"/>
      <c r="K1524" s="46" t="n"/>
      <c r="L1524" s="46" t="n"/>
      <c r="M1524" s="51" t="str">
        <f>IF(NOT(ISNUMBER($E1524)),"",IF($C1524="Receipt",$E1524,IF($C1524="Shipment",-$E1524,IF($C1524="Adjustment",$E1524,0))))</f>
        <v/>
      </c>
      <c r="N1524" s="49" t="str">
        <f>IF($D1524="","",IFERROR(INDEX(Products!$B$2:$B$101,MATCH($D1524,Products!$A$2:$A$101,0))&amp;"","(not found)"))</f>
        <v/>
      </c>
      <c r="O1524" s="49" t="str">
        <f>IF($F1524="","",IFERROR(INDEX(Batches!$B$2:$B$301,MATCH($F1524,Batches!$A$2:$A$301,0))&amp;"","(not found)"))</f>
        <v/>
      </c>
      <c r="P1524" s="49" t="str">
        <f>IF(COUNTA($A1524:$L1524)=0,"",IF($A1524="","Missing: entry ID",IF(COUNTIF($A$2:$A$2001,$A1524)&gt;1,"Duplicate entry ID",IF(NOT(ISNUMBER($B1524)),"Missing or invalid: date",IF($C1524="","Missing: type",IF($D1524="","Missing: SKU",IF(NOT(ISNUMBER($E1524)),"Missing: qty",IF($F1524="","Missing: lot",IF($I1524="","Missing: source link",IF(COUNTIF(Config!$A$15:$A$34,$C1524)=0,"Unsupported type",IF(COUNTIF(Products!$A$2:$A$101,$D1524)=0,"Unknown SKU",IF(COUNTIFS(Batches!$A$2:$A$301,$F1524,Batches!$B$2:$B$301,$D1524)=0,"Unknown lot for this SKU",IF(AND($C1524="Adjustment",$G1524=""),"Missing: reason",IF(AND($G1524&lt;&gt;"",COUNTIF(Config!$B$15:$B$34,$G1524)=0),"Unsupported reason",IF(OR(INT($E1524)&lt;&gt;$E1524,AND(OR($C1524="Receipt",$C1524="Shipment"),$E1524&lt;=0),AND($C1524="Adjustment",$E1524=0)),"Invalid qty",IF($B1524&gt;Config!$B$4,"Date after the as-of date",IF($B1524&lt;Config!$B$5,"Date before the opening balance date","OK")))))))))))))))))</f>
        <v/>
      </c>
    </row>
    <row r="1525">
      <c r="A1525" s="46" t="n"/>
      <c r="B1525" s="54" t="n"/>
      <c r="C1525" s="46" t="n"/>
      <c r="D1525" s="46" t="n"/>
      <c r="E1525" s="55" t="n"/>
      <c r="F1525" s="46" t="n"/>
      <c r="G1525" s="46" t="n"/>
      <c r="H1525" s="46" t="n"/>
      <c r="I1525" s="46" t="n"/>
      <c r="J1525" s="46" t="n"/>
      <c r="K1525" s="46" t="n"/>
      <c r="L1525" s="46" t="n"/>
      <c r="M1525" s="51" t="str">
        <f>IF(NOT(ISNUMBER($E1525)),"",IF($C1525="Receipt",$E1525,IF($C1525="Shipment",-$E1525,IF($C1525="Adjustment",$E1525,0))))</f>
        <v/>
      </c>
      <c r="N1525" s="49" t="str">
        <f>IF($D1525="","",IFERROR(INDEX(Products!$B$2:$B$101,MATCH($D1525,Products!$A$2:$A$101,0))&amp;"","(not found)"))</f>
        <v/>
      </c>
      <c r="O1525" s="49" t="str">
        <f>IF($F1525="","",IFERROR(INDEX(Batches!$B$2:$B$301,MATCH($F1525,Batches!$A$2:$A$301,0))&amp;"","(not found)"))</f>
        <v/>
      </c>
      <c r="P1525" s="49" t="str">
        <f>IF(COUNTA($A1525:$L1525)=0,"",IF($A1525="","Missing: entry ID",IF(COUNTIF($A$2:$A$2001,$A1525)&gt;1,"Duplicate entry ID",IF(NOT(ISNUMBER($B1525)),"Missing or invalid: date",IF($C1525="","Missing: type",IF($D1525="","Missing: SKU",IF(NOT(ISNUMBER($E1525)),"Missing: qty",IF($F1525="","Missing: lot",IF($I1525="","Missing: source link",IF(COUNTIF(Config!$A$15:$A$34,$C1525)=0,"Unsupported type",IF(COUNTIF(Products!$A$2:$A$101,$D1525)=0,"Unknown SKU",IF(COUNTIFS(Batches!$A$2:$A$301,$F1525,Batches!$B$2:$B$301,$D1525)=0,"Unknown lot for this SKU",IF(AND($C1525="Adjustment",$G1525=""),"Missing: reason",IF(AND($G1525&lt;&gt;"",COUNTIF(Config!$B$15:$B$34,$G1525)=0),"Unsupported reason",IF(OR(INT($E1525)&lt;&gt;$E1525,AND(OR($C1525="Receipt",$C1525="Shipment"),$E1525&lt;=0),AND($C1525="Adjustment",$E1525=0)),"Invalid qty",IF($B1525&gt;Config!$B$4,"Date after the as-of date",IF($B1525&lt;Config!$B$5,"Date before the opening balance date","OK")))))))))))))))))</f>
        <v/>
      </c>
    </row>
    <row r="1526">
      <c r="A1526" s="46" t="n"/>
      <c r="B1526" s="54" t="n"/>
      <c r="C1526" s="46" t="n"/>
      <c r="D1526" s="46" t="n"/>
      <c r="E1526" s="55" t="n"/>
      <c r="F1526" s="46" t="n"/>
      <c r="G1526" s="46" t="n"/>
      <c r="H1526" s="46" t="n"/>
      <c r="I1526" s="46" t="n"/>
      <c r="J1526" s="46" t="n"/>
      <c r="K1526" s="46" t="n"/>
      <c r="L1526" s="46" t="n"/>
      <c r="M1526" s="51" t="str">
        <f>IF(NOT(ISNUMBER($E1526)),"",IF($C1526="Receipt",$E1526,IF($C1526="Shipment",-$E1526,IF($C1526="Adjustment",$E1526,0))))</f>
        <v/>
      </c>
      <c r="N1526" s="49" t="str">
        <f>IF($D1526="","",IFERROR(INDEX(Products!$B$2:$B$101,MATCH($D1526,Products!$A$2:$A$101,0))&amp;"","(not found)"))</f>
        <v/>
      </c>
      <c r="O1526" s="49" t="str">
        <f>IF($F1526="","",IFERROR(INDEX(Batches!$B$2:$B$301,MATCH($F1526,Batches!$A$2:$A$301,0))&amp;"","(not found)"))</f>
        <v/>
      </c>
      <c r="P1526" s="49" t="str">
        <f>IF(COUNTA($A1526:$L1526)=0,"",IF($A1526="","Missing: entry ID",IF(COUNTIF($A$2:$A$2001,$A1526)&gt;1,"Duplicate entry ID",IF(NOT(ISNUMBER($B1526)),"Missing or invalid: date",IF($C1526="","Missing: type",IF($D1526="","Missing: SKU",IF(NOT(ISNUMBER($E1526)),"Missing: qty",IF($F1526="","Missing: lot",IF($I1526="","Missing: source link",IF(COUNTIF(Config!$A$15:$A$34,$C1526)=0,"Unsupported type",IF(COUNTIF(Products!$A$2:$A$101,$D1526)=0,"Unknown SKU",IF(COUNTIFS(Batches!$A$2:$A$301,$F1526,Batches!$B$2:$B$301,$D1526)=0,"Unknown lot for this SKU",IF(AND($C1526="Adjustment",$G1526=""),"Missing: reason",IF(AND($G1526&lt;&gt;"",COUNTIF(Config!$B$15:$B$34,$G1526)=0),"Unsupported reason",IF(OR(INT($E1526)&lt;&gt;$E1526,AND(OR($C1526="Receipt",$C1526="Shipment"),$E1526&lt;=0),AND($C1526="Adjustment",$E1526=0)),"Invalid qty",IF($B1526&gt;Config!$B$4,"Date after the as-of date",IF($B1526&lt;Config!$B$5,"Date before the opening balance date","OK")))))))))))))))))</f>
        <v/>
      </c>
    </row>
    <row r="1527">
      <c r="A1527" s="46" t="n"/>
      <c r="B1527" s="54" t="n"/>
      <c r="C1527" s="46" t="n"/>
      <c r="D1527" s="46" t="n"/>
      <c r="E1527" s="55" t="n"/>
      <c r="F1527" s="46" t="n"/>
      <c r="G1527" s="46" t="n"/>
      <c r="H1527" s="46" t="n"/>
      <c r="I1527" s="46" t="n"/>
      <c r="J1527" s="46" t="n"/>
      <c r="K1527" s="46" t="n"/>
      <c r="L1527" s="46" t="n"/>
      <c r="M1527" s="51" t="str">
        <f>IF(NOT(ISNUMBER($E1527)),"",IF($C1527="Receipt",$E1527,IF($C1527="Shipment",-$E1527,IF($C1527="Adjustment",$E1527,0))))</f>
        <v/>
      </c>
      <c r="N1527" s="49" t="str">
        <f>IF($D1527="","",IFERROR(INDEX(Products!$B$2:$B$101,MATCH($D1527,Products!$A$2:$A$101,0))&amp;"","(not found)"))</f>
        <v/>
      </c>
      <c r="O1527" s="49" t="str">
        <f>IF($F1527="","",IFERROR(INDEX(Batches!$B$2:$B$301,MATCH($F1527,Batches!$A$2:$A$301,0))&amp;"","(not found)"))</f>
        <v/>
      </c>
      <c r="P1527" s="49" t="str">
        <f>IF(COUNTA($A1527:$L1527)=0,"",IF($A1527="","Missing: entry ID",IF(COUNTIF($A$2:$A$2001,$A1527)&gt;1,"Duplicate entry ID",IF(NOT(ISNUMBER($B1527)),"Missing or invalid: date",IF($C1527="","Missing: type",IF($D1527="","Missing: SKU",IF(NOT(ISNUMBER($E1527)),"Missing: qty",IF($F1527="","Missing: lot",IF($I1527="","Missing: source link",IF(COUNTIF(Config!$A$15:$A$34,$C1527)=0,"Unsupported type",IF(COUNTIF(Products!$A$2:$A$101,$D1527)=0,"Unknown SKU",IF(COUNTIFS(Batches!$A$2:$A$301,$F1527,Batches!$B$2:$B$301,$D1527)=0,"Unknown lot for this SKU",IF(AND($C1527="Adjustment",$G1527=""),"Missing: reason",IF(AND($G1527&lt;&gt;"",COUNTIF(Config!$B$15:$B$34,$G1527)=0),"Unsupported reason",IF(OR(INT($E1527)&lt;&gt;$E1527,AND(OR($C1527="Receipt",$C1527="Shipment"),$E1527&lt;=0),AND($C1527="Adjustment",$E1527=0)),"Invalid qty",IF($B1527&gt;Config!$B$4,"Date after the as-of date",IF($B1527&lt;Config!$B$5,"Date before the opening balance date","OK")))))))))))))))))</f>
        <v/>
      </c>
    </row>
    <row r="1528">
      <c r="A1528" s="46" t="n"/>
      <c r="B1528" s="54" t="n"/>
      <c r="C1528" s="46" t="n"/>
      <c r="D1528" s="46" t="n"/>
      <c r="E1528" s="55" t="n"/>
      <c r="F1528" s="46" t="n"/>
      <c r="G1528" s="46" t="n"/>
      <c r="H1528" s="46" t="n"/>
      <c r="I1528" s="46" t="n"/>
      <c r="J1528" s="46" t="n"/>
      <c r="K1528" s="46" t="n"/>
      <c r="L1528" s="46" t="n"/>
      <c r="M1528" s="51" t="str">
        <f>IF(NOT(ISNUMBER($E1528)),"",IF($C1528="Receipt",$E1528,IF($C1528="Shipment",-$E1528,IF($C1528="Adjustment",$E1528,0))))</f>
        <v/>
      </c>
      <c r="N1528" s="49" t="str">
        <f>IF($D1528="","",IFERROR(INDEX(Products!$B$2:$B$101,MATCH($D1528,Products!$A$2:$A$101,0))&amp;"","(not found)"))</f>
        <v/>
      </c>
      <c r="O1528" s="49" t="str">
        <f>IF($F1528="","",IFERROR(INDEX(Batches!$B$2:$B$301,MATCH($F1528,Batches!$A$2:$A$301,0))&amp;"","(not found)"))</f>
        <v/>
      </c>
      <c r="P1528" s="49" t="str">
        <f>IF(COUNTA($A1528:$L1528)=0,"",IF($A1528="","Missing: entry ID",IF(COUNTIF($A$2:$A$2001,$A1528)&gt;1,"Duplicate entry ID",IF(NOT(ISNUMBER($B1528)),"Missing or invalid: date",IF($C1528="","Missing: type",IF($D1528="","Missing: SKU",IF(NOT(ISNUMBER($E1528)),"Missing: qty",IF($F1528="","Missing: lot",IF($I1528="","Missing: source link",IF(COUNTIF(Config!$A$15:$A$34,$C1528)=0,"Unsupported type",IF(COUNTIF(Products!$A$2:$A$101,$D1528)=0,"Unknown SKU",IF(COUNTIFS(Batches!$A$2:$A$301,$F1528,Batches!$B$2:$B$301,$D1528)=0,"Unknown lot for this SKU",IF(AND($C1528="Adjustment",$G1528=""),"Missing: reason",IF(AND($G1528&lt;&gt;"",COUNTIF(Config!$B$15:$B$34,$G1528)=0),"Unsupported reason",IF(OR(INT($E1528)&lt;&gt;$E1528,AND(OR($C1528="Receipt",$C1528="Shipment"),$E1528&lt;=0),AND($C1528="Adjustment",$E1528=0)),"Invalid qty",IF($B1528&gt;Config!$B$4,"Date after the as-of date",IF($B1528&lt;Config!$B$5,"Date before the opening balance date","OK")))))))))))))))))</f>
        <v/>
      </c>
    </row>
    <row r="1529">
      <c r="A1529" s="46" t="n"/>
      <c r="B1529" s="54" t="n"/>
      <c r="C1529" s="46" t="n"/>
      <c r="D1529" s="46" t="n"/>
      <c r="E1529" s="55" t="n"/>
      <c r="F1529" s="46" t="n"/>
      <c r="G1529" s="46" t="n"/>
      <c r="H1529" s="46" t="n"/>
      <c r="I1529" s="46" t="n"/>
      <c r="J1529" s="46" t="n"/>
      <c r="K1529" s="46" t="n"/>
      <c r="L1529" s="46" t="n"/>
      <c r="M1529" s="51" t="str">
        <f>IF(NOT(ISNUMBER($E1529)),"",IF($C1529="Receipt",$E1529,IF($C1529="Shipment",-$E1529,IF($C1529="Adjustment",$E1529,0))))</f>
        <v/>
      </c>
      <c r="N1529" s="49" t="str">
        <f>IF($D1529="","",IFERROR(INDEX(Products!$B$2:$B$101,MATCH($D1529,Products!$A$2:$A$101,0))&amp;"","(not found)"))</f>
        <v/>
      </c>
      <c r="O1529" s="49" t="str">
        <f>IF($F1529="","",IFERROR(INDEX(Batches!$B$2:$B$301,MATCH($F1529,Batches!$A$2:$A$301,0))&amp;"","(not found)"))</f>
        <v/>
      </c>
      <c r="P1529" s="49" t="str">
        <f>IF(COUNTA($A1529:$L1529)=0,"",IF($A1529="","Missing: entry ID",IF(COUNTIF($A$2:$A$2001,$A1529)&gt;1,"Duplicate entry ID",IF(NOT(ISNUMBER($B1529)),"Missing or invalid: date",IF($C1529="","Missing: type",IF($D1529="","Missing: SKU",IF(NOT(ISNUMBER($E1529)),"Missing: qty",IF($F1529="","Missing: lot",IF($I1529="","Missing: source link",IF(COUNTIF(Config!$A$15:$A$34,$C1529)=0,"Unsupported type",IF(COUNTIF(Products!$A$2:$A$101,$D1529)=0,"Unknown SKU",IF(COUNTIFS(Batches!$A$2:$A$301,$F1529,Batches!$B$2:$B$301,$D1529)=0,"Unknown lot for this SKU",IF(AND($C1529="Adjustment",$G1529=""),"Missing: reason",IF(AND($G1529&lt;&gt;"",COUNTIF(Config!$B$15:$B$34,$G1529)=0),"Unsupported reason",IF(OR(INT($E1529)&lt;&gt;$E1529,AND(OR($C1529="Receipt",$C1529="Shipment"),$E1529&lt;=0),AND($C1529="Adjustment",$E1529=0)),"Invalid qty",IF($B1529&gt;Config!$B$4,"Date after the as-of date",IF($B1529&lt;Config!$B$5,"Date before the opening balance date","OK")))))))))))))))))</f>
        <v/>
      </c>
    </row>
    <row r="1530">
      <c r="A1530" s="46" t="n"/>
      <c r="B1530" s="54" t="n"/>
      <c r="C1530" s="46" t="n"/>
      <c r="D1530" s="46" t="n"/>
      <c r="E1530" s="55" t="n"/>
      <c r="F1530" s="46" t="n"/>
      <c r="G1530" s="46" t="n"/>
      <c r="H1530" s="46" t="n"/>
      <c r="I1530" s="46" t="n"/>
      <c r="J1530" s="46" t="n"/>
      <c r="K1530" s="46" t="n"/>
      <c r="L1530" s="46" t="n"/>
      <c r="M1530" s="51" t="str">
        <f>IF(NOT(ISNUMBER($E1530)),"",IF($C1530="Receipt",$E1530,IF($C1530="Shipment",-$E1530,IF($C1530="Adjustment",$E1530,0))))</f>
        <v/>
      </c>
      <c r="N1530" s="49" t="str">
        <f>IF($D1530="","",IFERROR(INDEX(Products!$B$2:$B$101,MATCH($D1530,Products!$A$2:$A$101,0))&amp;"","(not found)"))</f>
        <v/>
      </c>
      <c r="O1530" s="49" t="str">
        <f>IF($F1530="","",IFERROR(INDEX(Batches!$B$2:$B$301,MATCH($F1530,Batches!$A$2:$A$301,0))&amp;"","(not found)"))</f>
        <v/>
      </c>
      <c r="P1530" s="49" t="str">
        <f>IF(COUNTA($A1530:$L1530)=0,"",IF($A1530="","Missing: entry ID",IF(COUNTIF($A$2:$A$2001,$A1530)&gt;1,"Duplicate entry ID",IF(NOT(ISNUMBER($B1530)),"Missing or invalid: date",IF($C1530="","Missing: type",IF($D1530="","Missing: SKU",IF(NOT(ISNUMBER($E1530)),"Missing: qty",IF($F1530="","Missing: lot",IF($I1530="","Missing: source link",IF(COUNTIF(Config!$A$15:$A$34,$C1530)=0,"Unsupported type",IF(COUNTIF(Products!$A$2:$A$101,$D1530)=0,"Unknown SKU",IF(COUNTIFS(Batches!$A$2:$A$301,$F1530,Batches!$B$2:$B$301,$D1530)=0,"Unknown lot for this SKU",IF(AND($C1530="Adjustment",$G1530=""),"Missing: reason",IF(AND($G1530&lt;&gt;"",COUNTIF(Config!$B$15:$B$34,$G1530)=0),"Unsupported reason",IF(OR(INT($E1530)&lt;&gt;$E1530,AND(OR($C1530="Receipt",$C1530="Shipment"),$E1530&lt;=0),AND($C1530="Adjustment",$E1530=0)),"Invalid qty",IF($B1530&gt;Config!$B$4,"Date after the as-of date",IF($B1530&lt;Config!$B$5,"Date before the opening balance date","OK")))))))))))))))))</f>
        <v/>
      </c>
    </row>
    <row r="1531">
      <c r="A1531" s="46" t="n"/>
      <c r="B1531" s="54" t="n"/>
      <c r="C1531" s="46" t="n"/>
      <c r="D1531" s="46" t="n"/>
      <c r="E1531" s="55" t="n"/>
      <c r="F1531" s="46" t="n"/>
      <c r="G1531" s="46" t="n"/>
      <c r="H1531" s="46" t="n"/>
      <c r="I1531" s="46" t="n"/>
      <c r="J1531" s="46" t="n"/>
      <c r="K1531" s="46" t="n"/>
      <c r="L1531" s="46" t="n"/>
      <c r="M1531" s="51" t="str">
        <f>IF(NOT(ISNUMBER($E1531)),"",IF($C1531="Receipt",$E1531,IF($C1531="Shipment",-$E1531,IF($C1531="Adjustment",$E1531,0))))</f>
        <v/>
      </c>
      <c r="N1531" s="49" t="str">
        <f>IF($D1531="","",IFERROR(INDEX(Products!$B$2:$B$101,MATCH($D1531,Products!$A$2:$A$101,0))&amp;"","(not found)"))</f>
        <v/>
      </c>
      <c r="O1531" s="49" t="str">
        <f>IF($F1531="","",IFERROR(INDEX(Batches!$B$2:$B$301,MATCH($F1531,Batches!$A$2:$A$301,0))&amp;"","(not found)"))</f>
        <v/>
      </c>
      <c r="P1531" s="49" t="str">
        <f>IF(COUNTA($A1531:$L1531)=0,"",IF($A1531="","Missing: entry ID",IF(COUNTIF($A$2:$A$2001,$A1531)&gt;1,"Duplicate entry ID",IF(NOT(ISNUMBER($B1531)),"Missing or invalid: date",IF($C1531="","Missing: type",IF($D1531="","Missing: SKU",IF(NOT(ISNUMBER($E1531)),"Missing: qty",IF($F1531="","Missing: lot",IF($I1531="","Missing: source link",IF(COUNTIF(Config!$A$15:$A$34,$C1531)=0,"Unsupported type",IF(COUNTIF(Products!$A$2:$A$101,$D1531)=0,"Unknown SKU",IF(COUNTIFS(Batches!$A$2:$A$301,$F1531,Batches!$B$2:$B$301,$D1531)=0,"Unknown lot for this SKU",IF(AND($C1531="Adjustment",$G1531=""),"Missing: reason",IF(AND($G1531&lt;&gt;"",COUNTIF(Config!$B$15:$B$34,$G1531)=0),"Unsupported reason",IF(OR(INT($E1531)&lt;&gt;$E1531,AND(OR($C1531="Receipt",$C1531="Shipment"),$E1531&lt;=0),AND($C1531="Adjustment",$E1531=0)),"Invalid qty",IF($B1531&gt;Config!$B$4,"Date after the as-of date",IF($B1531&lt;Config!$B$5,"Date before the opening balance date","OK")))))))))))))))))</f>
        <v/>
      </c>
    </row>
    <row r="1532">
      <c r="A1532" s="46" t="n"/>
      <c r="B1532" s="54" t="n"/>
      <c r="C1532" s="46" t="n"/>
      <c r="D1532" s="46" t="n"/>
      <c r="E1532" s="55" t="n"/>
      <c r="F1532" s="46" t="n"/>
      <c r="G1532" s="46" t="n"/>
      <c r="H1532" s="46" t="n"/>
      <c r="I1532" s="46" t="n"/>
      <c r="J1532" s="46" t="n"/>
      <c r="K1532" s="46" t="n"/>
      <c r="L1532" s="46" t="n"/>
      <c r="M1532" s="51" t="str">
        <f>IF(NOT(ISNUMBER($E1532)),"",IF($C1532="Receipt",$E1532,IF($C1532="Shipment",-$E1532,IF($C1532="Adjustment",$E1532,0))))</f>
        <v/>
      </c>
      <c r="N1532" s="49" t="str">
        <f>IF($D1532="","",IFERROR(INDEX(Products!$B$2:$B$101,MATCH($D1532,Products!$A$2:$A$101,0))&amp;"","(not found)"))</f>
        <v/>
      </c>
      <c r="O1532" s="49" t="str">
        <f>IF($F1532="","",IFERROR(INDEX(Batches!$B$2:$B$301,MATCH($F1532,Batches!$A$2:$A$301,0))&amp;"","(not found)"))</f>
        <v/>
      </c>
      <c r="P1532" s="49" t="str">
        <f>IF(COUNTA($A1532:$L1532)=0,"",IF($A1532="","Missing: entry ID",IF(COUNTIF($A$2:$A$2001,$A1532)&gt;1,"Duplicate entry ID",IF(NOT(ISNUMBER($B1532)),"Missing or invalid: date",IF($C1532="","Missing: type",IF($D1532="","Missing: SKU",IF(NOT(ISNUMBER($E1532)),"Missing: qty",IF($F1532="","Missing: lot",IF($I1532="","Missing: source link",IF(COUNTIF(Config!$A$15:$A$34,$C1532)=0,"Unsupported type",IF(COUNTIF(Products!$A$2:$A$101,$D1532)=0,"Unknown SKU",IF(COUNTIFS(Batches!$A$2:$A$301,$F1532,Batches!$B$2:$B$301,$D1532)=0,"Unknown lot for this SKU",IF(AND($C1532="Adjustment",$G1532=""),"Missing: reason",IF(AND($G1532&lt;&gt;"",COUNTIF(Config!$B$15:$B$34,$G1532)=0),"Unsupported reason",IF(OR(INT($E1532)&lt;&gt;$E1532,AND(OR($C1532="Receipt",$C1532="Shipment"),$E1532&lt;=0),AND($C1532="Adjustment",$E1532=0)),"Invalid qty",IF($B1532&gt;Config!$B$4,"Date after the as-of date",IF($B1532&lt;Config!$B$5,"Date before the opening balance date","OK")))))))))))))))))</f>
        <v/>
      </c>
    </row>
    <row r="1533">
      <c r="A1533" s="46" t="n"/>
      <c r="B1533" s="54" t="n"/>
      <c r="C1533" s="46" t="n"/>
      <c r="D1533" s="46" t="n"/>
      <c r="E1533" s="55" t="n"/>
      <c r="F1533" s="46" t="n"/>
      <c r="G1533" s="46" t="n"/>
      <c r="H1533" s="46" t="n"/>
      <c r="I1533" s="46" t="n"/>
      <c r="J1533" s="46" t="n"/>
      <c r="K1533" s="46" t="n"/>
      <c r="L1533" s="46" t="n"/>
      <c r="M1533" s="51" t="str">
        <f>IF(NOT(ISNUMBER($E1533)),"",IF($C1533="Receipt",$E1533,IF($C1533="Shipment",-$E1533,IF($C1533="Adjustment",$E1533,0))))</f>
        <v/>
      </c>
      <c r="N1533" s="49" t="str">
        <f>IF($D1533="","",IFERROR(INDEX(Products!$B$2:$B$101,MATCH($D1533,Products!$A$2:$A$101,0))&amp;"","(not found)"))</f>
        <v/>
      </c>
      <c r="O1533" s="49" t="str">
        <f>IF($F1533="","",IFERROR(INDEX(Batches!$B$2:$B$301,MATCH($F1533,Batches!$A$2:$A$301,0))&amp;"","(not found)"))</f>
        <v/>
      </c>
      <c r="P1533" s="49" t="str">
        <f>IF(COUNTA($A1533:$L1533)=0,"",IF($A1533="","Missing: entry ID",IF(COUNTIF($A$2:$A$2001,$A1533)&gt;1,"Duplicate entry ID",IF(NOT(ISNUMBER($B1533)),"Missing or invalid: date",IF($C1533="","Missing: type",IF($D1533="","Missing: SKU",IF(NOT(ISNUMBER($E1533)),"Missing: qty",IF($F1533="","Missing: lot",IF($I1533="","Missing: source link",IF(COUNTIF(Config!$A$15:$A$34,$C1533)=0,"Unsupported type",IF(COUNTIF(Products!$A$2:$A$101,$D1533)=0,"Unknown SKU",IF(COUNTIFS(Batches!$A$2:$A$301,$F1533,Batches!$B$2:$B$301,$D1533)=0,"Unknown lot for this SKU",IF(AND($C1533="Adjustment",$G1533=""),"Missing: reason",IF(AND($G1533&lt;&gt;"",COUNTIF(Config!$B$15:$B$34,$G1533)=0),"Unsupported reason",IF(OR(INT($E1533)&lt;&gt;$E1533,AND(OR($C1533="Receipt",$C1533="Shipment"),$E1533&lt;=0),AND($C1533="Adjustment",$E1533=0)),"Invalid qty",IF($B1533&gt;Config!$B$4,"Date after the as-of date",IF($B1533&lt;Config!$B$5,"Date before the opening balance date","OK")))))))))))))))))</f>
        <v/>
      </c>
    </row>
    <row r="1534">
      <c r="A1534" s="46" t="n"/>
      <c r="B1534" s="54" t="n"/>
      <c r="C1534" s="46" t="n"/>
      <c r="D1534" s="46" t="n"/>
      <c r="E1534" s="55" t="n"/>
      <c r="F1534" s="46" t="n"/>
      <c r="G1534" s="46" t="n"/>
      <c r="H1534" s="46" t="n"/>
      <c r="I1534" s="46" t="n"/>
      <c r="J1534" s="46" t="n"/>
      <c r="K1534" s="46" t="n"/>
      <c r="L1534" s="46" t="n"/>
      <c r="M1534" s="51" t="str">
        <f>IF(NOT(ISNUMBER($E1534)),"",IF($C1534="Receipt",$E1534,IF($C1534="Shipment",-$E1534,IF($C1534="Adjustment",$E1534,0))))</f>
        <v/>
      </c>
      <c r="N1534" s="49" t="str">
        <f>IF($D1534="","",IFERROR(INDEX(Products!$B$2:$B$101,MATCH($D1534,Products!$A$2:$A$101,0))&amp;"","(not found)"))</f>
        <v/>
      </c>
      <c r="O1534" s="49" t="str">
        <f>IF($F1534="","",IFERROR(INDEX(Batches!$B$2:$B$301,MATCH($F1534,Batches!$A$2:$A$301,0))&amp;"","(not found)"))</f>
        <v/>
      </c>
      <c r="P1534" s="49" t="str">
        <f>IF(COUNTA($A1534:$L1534)=0,"",IF($A1534="","Missing: entry ID",IF(COUNTIF($A$2:$A$2001,$A1534)&gt;1,"Duplicate entry ID",IF(NOT(ISNUMBER($B1534)),"Missing or invalid: date",IF($C1534="","Missing: type",IF($D1534="","Missing: SKU",IF(NOT(ISNUMBER($E1534)),"Missing: qty",IF($F1534="","Missing: lot",IF($I1534="","Missing: source link",IF(COUNTIF(Config!$A$15:$A$34,$C1534)=0,"Unsupported type",IF(COUNTIF(Products!$A$2:$A$101,$D1534)=0,"Unknown SKU",IF(COUNTIFS(Batches!$A$2:$A$301,$F1534,Batches!$B$2:$B$301,$D1534)=0,"Unknown lot for this SKU",IF(AND($C1534="Adjustment",$G1534=""),"Missing: reason",IF(AND($G1534&lt;&gt;"",COUNTIF(Config!$B$15:$B$34,$G1534)=0),"Unsupported reason",IF(OR(INT($E1534)&lt;&gt;$E1534,AND(OR($C1534="Receipt",$C1534="Shipment"),$E1534&lt;=0),AND($C1534="Adjustment",$E1534=0)),"Invalid qty",IF($B1534&gt;Config!$B$4,"Date after the as-of date",IF($B1534&lt;Config!$B$5,"Date before the opening balance date","OK")))))))))))))))))</f>
        <v/>
      </c>
    </row>
    <row r="1535">
      <c r="A1535" s="46" t="n"/>
      <c r="B1535" s="54" t="n"/>
      <c r="C1535" s="46" t="n"/>
      <c r="D1535" s="46" t="n"/>
      <c r="E1535" s="55" t="n"/>
      <c r="F1535" s="46" t="n"/>
      <c r="G1535" s="46" t="n"/>
      <c r="H1535" s="46" t="n"/>
      <c r="I1535" s="46" t="n"/>
      <c r="J1535" s="46" t="n"/>
      <c r="K1535" s="46" t="n"/>
      <c r="L1535" s="46" t="n"/>
      <c r="M1535" s="51" t="str">
        <f>IF(NOT(ISNUMBER($E1535)),"",IF($C1535="Receipt",$E1535,IF($C1535="Shipment",-$E1535,IF($C1535="Adjustment",$E1535,0))))</f>
        <v/>
      </c>
      <c r="N1535" s="49" t="str">
        <f>IF($D1535="","",IFERROR(INDEX(Products!$B$2:$B$101,MATCH($D1535,Products!$A$2:$A$101,0))&amp;"","(not found)"))</f>
        <v/>
      </c>
      <c r="O1535" s="49" t="str">
        <f>IF($F1535="","",IFERROR(INDEX(Batches!$B$2:$B$301,MATCH($F1535,Batches!$A$2:$A$301,0))&amp;"","(not found)"))</f>
        <v/>
      </c>
      <c r="P1535" s="49" t="str">
        <f>IF(COUNTA($A1535:$L1535)=0,"",IF($A1535="","Missing: entry ID",IF(COUNTIF($A$2:$A$2001,$A1535)&gt;1,"Duplicate entry ID",IF(NOT(ISNUMBER($B1535)),"Missing or invalid: date",IF($C1535="","Missing: type",IF($D1535="","Missing: SKU",IF(NOT(ISNUMBER($E1535)),"Missing: qty",IF($F1535="","Missing: lot",IF($I1535="","Missing: source link",IF(COUNTIF(Config!$A$15:$A$34,$C1535)=0,"Unsupported type",IF(COUNTIF(Products!$A$2:$A$101,$D1535)=0,"Unknown SKU",IF(COUNTIFS(Batches!$A$2:$A$301,$F1535,Batches!$B$2:$B$301,$D1535)=0,"Unknown lot for this SKU",IF(AND($C1535="Adjustment",$G1535=""),"Missing: reason",IF(AND($G1535&lt;&gt;"",COUNTIF(Config!$B$15:$B$34,$G1535)=0),"Unsupported reason",IF(OR(INT($E1535)&lt;&gt;$E1535,AND(OR($C1535="Receipt",$C1535="Shipment"),$E1535&lt;=0),AND($C1535="Adjustment",$E1535=0)),"Invalid qty",IF($B1535&gt;Config!$B$4,"Date after the as-of date",IF($B1535&lt;Config!$B$5,"Date before the opening balance date","OK")))))))))))))))))</f>
        <v/>
      </c>
    </row>
    <row r="1536">
      <c r="A1536" s="46" t="n"/>
      <c r="B1536" s="54" t="n"/>
      <c r="C1536" s="46" t="n"/>
      <c r="D1536" s="46" t="n"/>
      <c r="E1536" s="55" t="n"/>
      <c r="F1536" s="46" t="n"/>
      <c r="G1536" s="46" t="n"/>
      <c r="H1536" s="46" t="n"/>
      <c r="I1536" s="46" t="n"/>
      <c r="J1536" s="46" t="n"/>
      <c r="K1536" s="46" t="n"/>
      <c r="L1536" s="46" t="n"/>
      <c r="M1536" s="51" t="str">
        <f>IF(NOT(ISNUMBER($E1536)),"",IF($C1536="Receipt",$E1536,IF($C1536="Shipment",-$E1536,IF($C1536="Adjustment",$E1536,0))))</f>
        <v/>
      </c>
      <c r="N1536" s="49" t="str">
        <f>IF($D1536="","",IFERROR(INDEX(Products!$B$2:$B$101,MATCH($D1536,Products!$A$2:$A$101,0))&amp;"","(not found)"))</f>
        <v/>
      </c>
      <c r="O1536" s="49" t="str">
        <f>IF($F1536="","",IFERROR(INDEX(Batches!$B$2:$B$301,MATCH($F1536,Batches!$A$2:$A$301,0))&amp;"","(not found)"))</f>
        <v/>
      </c>
      <c r="P1536" s="49" t="str">
        <f>IF(COUNTA($A1536:$L1536)=0,"",IF($A1536="","Missing: entry ID",IF(COUNTIF($A$2:$A$2001,$A1536)&gt;1,"Duplicate entry ID",IF(NOT(ISNUMBER($B1536)),"Missing or invalid: date",IF($C1536="","Missing: type",IF($D1536="","Missing: SKU",IF(NOT(ISNUMBER($E1536)),"Missing: qty",IF($F1536="","Missing: lot",IF($I1536="","Missing: source link",IF(COUNTIF(Config!$A$15:$A$34,$C1536)=0,"Unsupported type",IF(COUNTIF(Products!$A$2:$A$101,$D1536)=0,"Unknown SKU",IF(COUNTIFS(Batches!$A$2:$A$301,$F1536,Batches!$B$2:$B$301,$D1536)=0,"Unknown lot for this SKU",IF(AND($C1536="Adjustment",$G1536=""),"Missing: reason",IF(AND($G1536&lt;&gt;"",COUNTIF(Config!$B$15:$B$34,$G1536)=0),"Unsupported reason",IF(OR(INT($E1536)&lt;&gt;$E1536,AND(OR($C1536="Receipt",$C1536="Shipment"),$E1536&lt;=0),AND($C1536="Adjustment",$E1536=0)),"Invalid qty",IF($B1536&gt;Config!$B$4,"Date after the as-of date",IF($B1536&lt;Config!$B$5,"Date before the opening balance date","OK")))))))))))))))))</f>
        <v/>
      </c>
    </row>
    <row r="1537">
      <c r="A1537" s="46" t="n"/>
      <c r="B1537" s="54" t="n"/>
      <c r="C1537" s="46" t="n"/>
      <c r="D1537" s="46" t="n"/>
      <c r="E1537" s="55" t="n"/>
      <c r="F1537" s="46" t="n"/>
      <c r="G1537" s="46" t="n"/>
      <c r="H1537" s="46" t="n"/>
      <c r="I1537" s="46" t="n"/>
      <c r="J1537" s="46" t="n"/>
      <c r="K1537" s="46" t="n"/>
      <c r="L1537" s="46" t="n"/>
      <c r="M1537" s="51" t="str">
        <f>IF(NOT(ISNUMBER($E1537)),"",IF($C1537="Receipt",$E1537,IF($C1537="Shipment",-$E1537,IF($C1537="Adjustment",$E1537,0))))</f>
        <v/>
      </c>
      <c r="N1537" s="49" t="str">
        <f>IF($D1537="","",IFERROR(INDEX(Products!$B$2:$B$101,MATCH($D1537,Products!$A$2:$A$101,0))&amp;"","(not found)"))</f>
        <v/>
      </c>
      <c r="O1537" s="49" t="str">
        <f>IF($F1537="","",IFERROR(INDEX(Batches!$B$2:$B$301,MATCH($F1537,Batches!$A$2:$A$301,0))&amp;"","(not found)"))</f>
        <v/>
      </c>
      <c r="P1537" s="49" t="str">
        <f>IF(COUNTA($A1537:$L1537)=0,"",IF($A1537="","Missing: entry ID",IF(COUNTIF($A$2:$A$2001,$A1537)&gt;1,"Duplicate entry ID",IF(NOT(ISNUMBER($B1537)),"Missing or invalid: date",IF($C1537="","Missing: type",IF($D1537="","Missing: SKU",IF(NOT(ISNUMBER($E1537)),"Missing: qty",IF($F1537="","Missing: lot",IF($I1537="","Missing: source link",IF(COUNTIF(Config!$A$15:$A$34,$C1537)=0,"Unsupported type",IF(COUNTIF(Products!$A$2:$A$101,$D1537)=0,"Unknown SKU",IF(COUNTIFS(Batches!$A$2:$A$301,$F1537,Batches!$B$2:$B$301,$D1537)=0,"Unknown lot for this SKU",IF(AND($C1537="Adjustment",$G1537=""),"Missing: reason",IF(AND($G1537&lt;&gt;"",COUNTIF(Config!$B$15:$B$34,$G1537)=0),"Unsupported reason",IF(OR(INT($E1537)&lt;&gt;$E1537,AND(OR($C1537="Receipt",$C1537="Shipment"),$E1537&lt;=0),AND($C1537="Adjustment",$E1537=0)),"Invalid qty",IF($B1537&gt;Config!$B$4,"Date after the as-of date",IF($B1537&lt;Config!$B$5,"Date before the opening balance date","OK")))))))))))))))))</f>
        <v/>
      </c>
    </row>
    <row r="1538">
      <c r="A1538" s="46" t="n"/>
      <c r="B1538" s="54" t="n"/>
      <c r="C1538" s="46" t="n"/>
      <c r="D1538" s="46" t="n"/>
      <c r="E1538" s="55" t="n"/>
      <c r="F1538" s="46" t="n"/>
      <c r="G1538" s="46" t="n"/>
      <c r="H1538" s="46" t="n"/>
      <c r="I1538" s="46" t="n"/>
      <c r="J1538" s="46" t="n"/>
      <c r="K1538" s="46" t="n"/>
      <c r="L1538" s="46" t="n"/>
      <c r="M1538" s="51" t="str">
        <f>IF(NOT(ISNUMBER($E1538)),"",IF($C1538="Receipt",$E1538,IF($C1538="Shipment",-$E1538,IF($C1538="Adjustment",$E1538,0))))</f>
        <v/>
      </c>
      <c r="N1538" s="49" t="str">
        <f>IF($D1538="","",IFERROR(INDEX(Products!$B$2:$B$101,MATCH($D1538,Products!$A$2:$A$101,0))&amp;"","(not found)"))</f>
        <v/>
      </c>
      <c r="O1538" s="49" t="str">
        <f>IF($F1538="","",IFERROR(INDEX(Batches!$B$2:$B$301,MATCH($F1538,Batches!$A$2:$A$301,0))&amp;"","(not found)"))</f>
        <v/>
      </c>
      <c r="P1538" s="49" t="str">
        <f>IF(COUNTA($A1538:$L1538)=0,"",IF($A1538="","Missing: entry ID",IF(COUNTIF($A$2:$A$2001,$A1538)&gt;1,"Duplicate entry ID",IF(NOT(ISNUMBER($B1538)),"Missing or invalid: date",IF($C1538="","Missing: type",IF($D1538="","Missing: SKU",IF(NOT(ISNUMBER($E1538)),"Missing: qty",IF($F1538="","Missing: lot",IF($I1538="","Missing: source link",IF(COUNTIF(Config!$A$15:$A$34,$C1538)=0,"Unsupported type",IF(COUNTIF(Products!$A$2:$A$101,$D1538)=0,"Unknown SKU",IF(COUNTIFS(Batches!$A$2:$A$301,$F1538,Batches!$B$2:$B$301,$D1538)=0,"Unknown lot for this SKU",IF(AND($C1538="Adjustment",$G1538=""),"Missing: reason",IF(AND($G1538&lt;&gt;"",COUNTIF(Config!$B$15:$B$34,$G1538)=0),"Unsupported reason",IF(OR(INT($E1538)&lt;&gt;$E1538,AND(OR($C1538="Receipt",$C1538="Shipment"),$E1538&lt;=0),AND($C1538="Adjustment",$E1538=0)),"Invalid qty",IF($B1538&gt;Config!$B$4,"Date after the as-of date",IF($B1538&lt;Config!$B$5,"Date before the opening balance date","OK")))))))))))))))))</f>
        <v/>
      </c>
    </row>
    <row r="1539">
      <c r="A1539" s="46" t="n"/>
      <c r="B1539" s="54" t="n"/>
      <c r="C1539" s="46" t="n"/>
      <c r="D1539" s="46" t="n"/>
      <c r="E1539" s="55" t="n"/>
      <c r="F1539" s="46" t="n"/>
      <c r="G1539" s="46" t="n"/>
      <c r="H1539" s="46" t="n"/>
      <c r="I1539" s="46" t="n"/>
      <c r="J1539" s="46" t="n"/>
      <c r="K1539" s="46" t="n"/>
      <c r="L1539" s="46" t="n"/>
      <c r="M1539" s="51" t="str">
        <f>IF(NOT(ISNUMBER($E1539)),"",IF($C1539="Receipt",$E1539,IF($C1539="Shipment",-$E1539,IF($C1539="Adjustment",$E1539,0))))</f>
        <v/>
      </c>
      <c r="N1539" s="49" t="str">
        <f>IF($D1539="","",IFERROR(INDEX(Products!$B$2:$B$101,MATCH($D1539,Products!$A$2:$A$101,0))&amp;"","(not found)"))</f>
        <v/>
      </c>
      <c r="O1539" s="49" t="str">
        <f>IF($F1539="","",IFERROR(INDEX(Batches!$B$2:$B$301,MATCH($F1539,Batches!$A$2:$A$301,0))&amp;"","(not found)"))</f>
        <v/>
      </c>
      <c r="P1539" s="49" t="str">
        <f>IF(COUNTA($A1539:$L1539)=0,"",IF($A1539="","Missing: entry ID",IF(COUNTIF($A$2:$A$2001,$A1539)&gt;1,"Duplicate entry ID",IF(NOT(ISNUMBER($B1539)),"Missing or invalid: date",IF($C1539="","Missing: type",IF($D1539="","Missing: SKU",IF(NOT(ISNUMBER($E1539)),"Missing: qty",IF($F1539="","Missing: lot",IF($I1539="","Missing: source link",IF(COUNTIF(Config!$A$15:$A$34,$C1539)=0,"Unsupported type",IF(COUNTIF(Products!$A$2:$A$101,$D1539)=0,"Unknown SKU",IF(COUNTIFS(Batches!$A$2:$A$301,$F1539,Batches!$B$2:$B$301,$D1539)=0,"Unknown lot for this SKU",IF(AND($C1539="Adjustment",$G1539=""),"Missing: reason",IF(AND($G1539&lt;&gt;"",COUNTIF(Config!$B$15:$B$34,$G1539)=0),"Unsupported reason",IF(OR(INT($E1539)&lt;&gt;$E1539,AND(OR($C1539="Receipt",$C1539="Shipment"),$E1539&lt;=0),AND($C1539="Adjustment",$E1539=0)),"Invalid qty",IF($B1539&gt;Config!$B$4,"Date after the as-of date",IF($B1539&lt;Config!$B$5,"Date before the opening balance date","OK")))))))))))))))))</f>
        <v/>
      </c>
    </row>
    <row r="1540">
      <c r="A1540" s="46" t="n"/>
      <c r="B1540" s="54" t="n"/>
      <c r="C1540" s="46" t="n"/>
      <c r="D1540" s="46" t="n"/>
      <c r="E1540" s="55" t="n"/>
      <c r="F1540" s="46" t="n"/>
      <c r="G1540" s="46" t="n"/>
      <c r="H1540" s="46" t="n"/>
      <c r="I1540" s="46" t="n"/>
      <c r="J1540" s="46" t="n"/>
      <c r="K1540" s="46" t="n"/>
      <c r="L1540" s="46" t="n"/>
      <c r="M1540" s="51" t="str">
        <f>IF(NOT(ISNUMBER($E1540)),"",IF($C1540="Receipt",$E1540,IF($C1540="Shipment",-$E1540,IF($C1540="Adjustment",$E1540,0))))</f>
        <v/>
      </c>
      <c r="N1540" s="49" t="str">
        <f>IF($D1540="","",IFERROR(INDEX(Products!$B$2:$B$101,MATCH($D1540,Products!$A$2:$A$101,0))&amp;"","(not found)"))</f>
        <v/>
      </c>
      <c r="O1540" s="49" t="str">
        <f>IF($F1540="","",IFERROR(INDEX(Batches!$B$2:$B$301,MATCH($F1540,Batches!$A$2:$A$301,0))&amp;"","(not found)"))</f>
        <v/>
      </c>
      <c r="P1540" s="49" t="str">
        <f>IF(COUNTA($A1540:$L1540)=0,"",IF($A1540="","Missing: entry ID",IF(COUNTIF($A$2:$A$2001,$A1540)&gt;1,"Duplicate entry ID",IF(NOT(ISNUMBER($B1540)),"Missing or invalid: date",IF($C1540="","Missing: type",IF($D1540="","Missing: SKU",IF(NOT(ISNUMBER($E1540)),"Missing: qty",IF($F1540="","Missing: lot",IF($I1540="","Missing: source link",IF(COUNTIF(Config!$A$15:$A$34,$C1540)=0,"Unsupported type",IF(COUNTIF(Products!$A$2:$A$101,$D1540)=0,"Unknown SKU",IF(COUNTIFS(Batches!$A$2:$A$301,$F1540,Batches!$B$2:$B$301,$D1540)=0,"Unknown lot for this SKU",IF(AND($C1540="Adjustment",$G1540=""),"Missing: reason",IF(AND($G1540&lt;&gt;"",COUNTIF(Config!$B$15:$B$34,$G1540)=0),"Unsupported reason",IF(OR(INT($E1540)&lt;&gt;$E1540,AND(OR($C1540="Receipt",$C1540="Shipment"),$E1540&lt;=0),AND($C1540="Adjustment",$E1540=0)),"Invalid qty",IF($B1540&gt;Config!$B$4,"Date after the as-of date",IF($B1540&lt;Config!$B$5,"Date before the opening balance date","OK")))))))))))))))))</f>
        <v/>
      </c>
    </row>
    <row r="1541">
      <c r="A1541" s="46" t="n"/>
      <c r="B1541" s="54" t="n"/>
      <c r="C1541" s="46" t="n"/>
      <c r="D1541" s="46" t="n"/>
      <c r="E1541" s="55" t="n"/>
      <c r="F1541" s="46" t="n"/>
      <c r="G1541" s="46" t="n"/>
      <c r="H1541" s="46" t="n"/>
      <c r="I1541" s="46" t="n"/>
      <c r="J1541" s="46" t="n"/>
      <c r="K1541" s="46" t="n"/>
      <c r="L1541" s="46" t="n"/>
      <c r="M1541" s="51" t="str">
        <f>IF(NOT(ISNUMBER($E1541)),"",IF($C1541="Receipt",$E1541,IF($C1541="Shipment",-$E1541,IF($C1541="Adjustment",$E1541,0))))</f>
        <v/>
      </c>
      <c r="N1541" s="49" t="str">
        <f>IF($D1541="","",IFERROR(INDEX(Products!$B$2:$B$101,MATCH($D1541,Products!$A$2:$A$101,0))&amp;"","(not found)"))</f>
        <v/>
      </c>
      <c r="O1541" s="49" t="str">
        <f>IF($F1541="","",IFERROR(INDEX(Batches!$B$2:$B$301,MATCH($F1541,Batches!$A$2:$A$301,0))&amp;"","(not found)"))</f>
        <v/>
      </c>
      <c r="P1541" s="49" t="str">
        <f>IF(COUNTA($A1541:$L1541)=0,"",IF($A1541="","Missing: entry ID",IF(COUNTIF($A$2:$A$2001,$A1541)&gt;1,"Duplicate entry ID",IF(NOT(ISNUMBER($B1541)),"Missing or invalid: date",IF($C1541="","Missing: type",IF($D1541="","Missing: SKU",IF(NOT(ISNUMBER($E1541)),"Missing: qty",IF($F1541="","Missing: lot",IF($I1541="","Missing: source link",IF(COUNTIF(Config!$A$15:$A$34,$C1541)=0,"Unsupported type",IF(COUNTIF(Products!$A$2:$A$101,$D1541)=0,"Unknown SKU",IF(COUNTIFS(Batches!$A$2:$A$301,$F1541,Batches!$B$2:$B$301,$D1541)=0,"Unknown lot for this SKU",IF(AND($C1541="Adjustment",$G1541=""),"Missing: reason",IF(AND($G1541&lt;&gt;"",COUNTIF(Config!$B$15:$B$34,$G1541)=0),"Unsupported reason",IF(OR(INT($E1541)&lt;&gt;$E1541,AND(OR($C1541="Receipt",$C1541="Shipment"),$E1541&lt;=0),AND($C1541="Adjustment",$E1541=0)),"Invalid qty",IF($B1541&gt;Config!$B$4,"Date after the as-of date",IF($B1541&lt;Config!$B$5,"Date before the opening balance date","OK")))))))))))))))))</f>
        <v/>
      </c>
    </row>
    <row r="1542">
      <c r="A1542" s="46" t="n"/>
      <c r="B1542" s="54" t="n"/>
      <c r="C1542" s="46" t="n"/>
      <c r="D1542" s="46" t="n"/>
      <c r="E1542" s="55" t="n"/>
      <c r="F1542" s="46" t="n"/>
      <c r="G1542" s="46" t="n"/>
      <c r="H1542" s="46" t="n"/>
      <c r="I1542" s="46" t="n"/>
      <c r="J1542" s="46" t="n"/>
      <c r="K1542" s="46" t="n"/>
      <c r="L1542" s="46" t="n"/>
      <c r="M1542" s="51" t="str">
        <f>IF(NOT(ISNUMBER($E1542)),"",IF($C1542="Receipt",$E1542,IF($C1542="Shipment",-$E1542,IF($C1542="Adjustment",$E1542,0))))</f>
        <v/>
      </c>
      <c r="N1542" s="49" t="str">
        <f>IF($D1542="","",IFERROR(INDEX(Products!$B$2:$B$101,MATCH($D1542,Products!$A$2:$A$101,0))&amp;"","(not found)"))</f>
        <v/>
      </c>
      <c r="O1542" s="49" t="str">
        <f>IF($F1542="","",IFERROR(INDEX(Batches!$B$2:$B$301,MATCH($F1542,Batches!$A$2:$A$301,0))&amp;"","(not found)"))</f>
        <v/>
      </c>
      <c r="P1542" s="49" t="str">
        <f>IF(COUNTA($A1542:$L1542)=0,"",IF($A1542="","Missing: entry ID",IF(COUNTIF($A$2:$A$2001,$A1542)&gt;1,"Duplicate entry ID",IF(NOT(ISNUMBER($B1542)),"Missing or invalid: date",IF($C1542="","Missing: type",IF($D1542="","Missing: SKU",IF(NOT(ISNUMBER($E1542)),"Missing: qty",IF($F1542="","Missing: lot",IF($I1542="","Missing: source link",IF(COUNTIF(Config!$A$15:$A$34,$C1542)=0,"Unsupported type",IF(COUNTIF(Products!$A$2:$A$101,$D1542)=0,"Unknown SKU",IF(COUNTIFS(Batches!$A$2:$A$301,$F1542,Batches!$B$2:$B$301,$D1542)=0,"Unknown lot for this SKU",IF(AND($C1542="Adjustment",$G1542=""),"Missing: reason",IF(AND($G1542&lt;&gt;"",COUNTIF(Config!$B$15:$B$34,$G1542)=0),"Unsupported reason",IF(OR(INT($E1542)&lt;&gt;$E1542,AND(OR($C1542="Receipt",$C1542="Shipment"),$E1542&lt;=0),AND($C1542="Adjustment",$E1542=0)),"Invalid qty",IF($B1542&gt;Config!$B$4,"Date after the as-of date",IF($B1542&lt;Config!$B$5,"Date before the opening balance date","OK")))))))))))))))))</f>
        <v/>
      </c>
    </row>
    <row r="1543">
      <c r="A1543" s="46" t="n"/>
      <c r="B1543" s="54" t="n"/>
      <c r="C1543" s="46" t="n"/>
      <c r="D1543" s="46" t="n"/>
      <c r="E1543" s="55" t="n"/>
      <c r="F1543" s="46" t="n"/>
      <c r="G1543" s="46" t="n"/>
      <c r="H1543" s="46" t="n"/>
      <c r="I1543" s="46" t="n"/>
      <c r="J1543" s="46" t="n"/>
      <c r="K1543" s="46" t="n"/>
      <c r="L1543" s="46" t="n"/>
      <c r="M1543" s="51" t="str">
        <f>IF(NOT(ISNUMBER($E1543)),"",IF($C1543="Receipt",$E1543,IF($C1543="Shipment",-$E1543,IF($C1543="Adjustment",$E1543,0))))</f>
        <v/>
      </c>
      <c r="N1543" s="49" t="str">
        <f>IF($D1543="","",IFERROR(INDEX(Products!$B$2:$B$101,MATCH($D1543,Products!$A$2:$A$101,0))&amp;"","(not found)"))</f>
        <v/>
      </c>
      <c r="O1543" s="49" t="str">
        <f>IF($F1543="","",IFERROR(INDEX(Batches!$B$2:$B$301,MATCH($F1543,Batches!$A$2:$A$301,0))&amp;"","(not found)"))</f>
        <v/>
      </c>
      <c r="P1543" s="49" t="str">
        <f>IF(COUNTA($A1543:$L1543)=0,"",IF($A1543="","Missing: entry ID",IF(COUNTIF($A$2:$A$2001,$A1543)&gt;1,"Duplicate entry ID",IF(NOT(ISNUMBER($B1543)),"Missing or invalid: date",IF($C1543="","Missing: type",IF($D1543="","Missing: SKU",IF(NOT(ISNUMBER($E1543)),"Missing: qty",IF($F1543="","Missing: lot",IF($I1543="","Missing: source link",IF(COUNTIF(Config!$A$15:$A$34,$C1543)=0,"Unsupported type",IF(COUNTIF(Products!$A$2:$A$101,$D1543)=0,"Unknown SKU",IF(COUNTIFS(Batches!$A$2:$A$301,$F1543,Batches!$B$2:$B$301,$D1543)=0,"Unknown lot for this SKU",IF(AND($C1543="Adjustment",$G1543=""),"Missing: reason",IF(AND($G1543&lt;&gt;"",COUNTIF(Config!$B$15:$B$34,$G1543)=0),"Unsupported reason",IF(OR(INT($E1543)&lt;&gt;$E1543,AND(OR($C1543="Receipt",$C1543="Shipment"),$E1543&lt;=0),AND($C1543="Adjustment",$E1543=0)),"Invalid qty",IF($B1543&gt;Config!$B$4,"Date after the as-of date",IF($B1543&lt;Config!$B$5,"Date before the opening balance date","OK")))))))))))))))))</f>
        <v/>
      </c>
    </row>
    <row r="1544">
      <c r="A1544" s="46" t="n"/>
      <c r="B1544" s="54" t="n"/>
      <c r="C1544" s="46" t="n"/>
      <c r="D1544" s="46" t="n"/>
      <c r="E1544" s="55" t="n"/>
      <c r="F1544" s="46" t="n"/>
      <c r="G1544" s="46" t="n"/>
      <c r="H1544" s="46" t="n"/>
      <c r="I1544" s="46" t="n"/>
      <c r="J1544" s="46" t="n"/>
      <c r="K1544" s="46" t="n"/>
      <c r="L1544" s="46" t="n"/>
      <c r="M1544" s="51" t="str">
        <f>IF(NOT(ISNUMBER($E1544)),"",IF($C1544="Receipt",$E1544,IF($C1544="Shipment",-$E1544,IF($C1544="Adjustment",$E1544,0))))</f>
        <v/>
      </c>
      <c r="N1544" s="49" t="str">
        <f>IF($D1544="","",IFERROR(INDEX(Products!$B$2:$B$101,MATCH($D1544,Products!$A$2:$A$101,0))&amp;"","(not found)"))</f>
        <v/>
      </c>
      <c r="O1544" s="49" t="str">
        <f>IF($F1544="","",IFERROR(INDEX(Batches!$B$2:$B$301,MATCH($F1544,Batches!$A$2:$A$301,0))&amp;"","(not found)"))</f>
        <v/>
      </c>
      <c r="P1544" s="49" t="str">
        <f>IF(COUNTA($A1544:$L1544)=0,"",IF($A1544="","Missing: entry ID",IF(COUNTIF($A$2:$A$2001,$A1544)&gt;1,"Duplicate entry ID",IF(NOT(ISNUMBER($B1544)),"Missing or invalid: date",IF($C1544="","Missing: type",IF($D1544="","Missing: SKU",IF(NOT(ISNUMBER($E1544)),"Missing: qty",IF($F1544="","Missing: lot",IF($I1544="","Missing: source link",IF(COUNTIF(Config!$A$15:$A$34,$C1544)=0,"Unsupported type",IF(COUNTIF(Products!$A$2:$A$101,$D1544)=0,"Unknown SKU",IF(COUNTIFS(Batches!$A$2:$A$301,$F1544,Batches!$B$2:$B$301,$D1544)=0,"Unknown lot for this SKU",IF(AND($C1544="Adjustment",$G1544=""),"Missing: reason",IF(AND($G1544&lt;&gt;"",COUNTIF(Config!$B$15:$B$34,$G1544)=0),"Unsupported reason",IF(OR(INT($E1544)&lt;&gt;$E1544,AND(OR($C1544="Receipt",$C1544="Shipment"),$E1544&lt;=0),AND($C1544="Adjustment",$E1544=0)),"Invalid qty",IF($B1544&gt;Config!$B$4,"Date after the as-of date",IF($B1544&lt;Config!$B$5,"Date before the opening balance date","OK")))))))))))))))))</f>
        <v/>
      </c>
    </row>
    <row r="1545">
      <c r="A1545" s="46" t="n"/>
      <c r="B1545" s="54" t="n"/>
      <c r="C1545" s="46" t="n"/>
      <c r="D1545" s="46" t="n"/>
      <c r="E1545" s="55" t="n"/>
      <c r="F1545" s="46" t="n"/>
      <c r="G1545" s="46" t="n"/>
      <c r="H1545" s="46" t="n"/>
      <c r="I1545" s="46" t="n"/>
      <c r="J1545" s="46" t="n"/>
      <c r="K1545" s="46" t="n"/>
      <c r="L1545" s="46" t="n"/>
      <c r="M1545" s="51" t="str">
        <f>IF(NOT(ISNUMBER($E1545)),"",IF($C1545="Receipt",$E1545,IF($C1545="Shipment",-$E1545,IF($C1545="Adjustment",$E1545,0))))</f>
        <v/>
      </c>
      <c r="N1545" s="49" t="str">
        <f>IF($D1545="","",IFERROR(INDEX(Products!$B$2:$B$101,MATCH($D1545,Products!$A$2:$A$101,0))&amp;"","(not found)"))</f>
        <v/>
      </c>
      <c r="O1545" s="49" t="str">
        <f>IF($F1545="","",IFERROR(INDEX(Batches!$B$2:$B$301,MATCH($F1545,Batches!$A$2:$A$301,0))&amp;"","(not found)"))</f>
        <v/>
      </c>
      <c r="P1545" s="49" t="str">
        <f>IF(COUNTA($A1545:$L1545)=0,"",IF($A1545="","Missing: entry ID",IF(COUNTIF($A$2:$A$2001,$A1545)&gt;1,"Duplicate entry ID",IF(NOT(ISNUMBER($B1545)),"Missing or invalid: date",IF($C1545="","Missing: type",IF($D1545="","Missing: SKU",IF(NOT(ISNUMBER($E1545)),"Missing: qty",IF($F1545="","Missing: lot",IF($I1545="","Missing: source link",IF(COUNTIF(Config!$A$15:$A$34,$C1545)=0,"Unsupported type",IF(COUNTIF(Products!$A$2:$A$101,$D1545)=0,"Unknown SKU",IF(COUNTIFS(Batches!$A$2:$A$301,$F1545,Batches!$B$2:$B$301,$D1545)=0,"Unknown lot for this SKU",IF(AND($C1545="Adjustment",$G1545=""),"Missing: reason",IF(AND($G1545&lt;&gt;"",COUNTIF(Config!$B$15:$B$34,$G1545)=0),"Unsupported reason",IF(OR(INT($E1545)&lt;&gt;$E1545,AND(OR($C1545="Receipt",$C1545="Shipment"),$E1545&lt;=0),AND($C1545="Adjustment",$E1545=0)),"Invalid qty",IF($B1545&gt;Config!$B$4,"Date after the as-of date",IF($B1545&lt;Config!$B$5,"Date before the opening balance date","OK")))))))))))))))))</f>
        <v/>
      </c>
    </row>
    <row r="1546">
      <c r="A1546" s="46" t="n"/>
      <c r="B1546" s="54" t="n"/>
      <c r="C1546" s="46" t="n"/>
      <c r="D1546" s="46" t="n"/>
      <c r="E1546" s="55" t="n"/>
      <c r="F1546" s="46" t="n"/>
      <c r="G1546" s="46" t="n"/>
      <c r="H1546" s="46" t="n"/>
      <c r="I1546" s="46" t="n"/>
      <c r="J1546" s="46" t="n"/>
      <c r="K1546" s="46" t="n"/>
      <c r="L1546" s="46" t="n"/>
      <c r="M1546" s="51" t="str">
        <f>IF(NOT(ISNUMBER($E1546)),"",IF($C1546="Receipt",$E1546,IF($C1546="Shipment",-$E1546,IF($C1546="Adjustment",$E1546,0))))</f>
        <v/>
      </c>
      <c r="N1546" s="49" t="str">
        <f>IF($D1546="","",IFERROR(INDEX(Products!$B$2:$B$101,MATCH($D1546,Products!$A$2:$A$101,0))&amp;"","(not found)"))</f>
        <v/>
      </c>
      <c r="O1546" s="49" t="str">
        <f>IF($F1546="","",IFERROR(INDEX(Batches!$B$2:$B$301,MATCH($F1546,Batches!$A$2:$A$301,0))&amp;"","(not found)"))</f>
        <v/>
      </c>
      <c r="P1546" s="49" t="str">
        <f>IF(COUNTA($A1546:$L1546)=0,"",IF($A1546="","Missing: entry ID",IF(COUNTIF($A$2:$A$2001,$A1546)&gt;1,"Duplicate entry ID",IF(NOT(ISNUMBER($B1546)),"Missing or invalid: date",IF($C1546="","Missing: type",IF($D1546="","Missing: SKU",IF(NOT(ISNUMBER($E1546)),"Missing: qty",IF($F1546="","Missing: lot",IF($I1546="","Missing: source link",IF(COUNTIF(Config!$A$15:$A$34,$C1546)=0,"Unsupported type",IF(COUNTIF(Products!$A$2:$A$101,$D1546)=0,"Unknown SKU",IF(COUNTIFS(Batches!$A$2:$A$301,$F1546,Batches!$B$2:$B$301,$D1546)=0,"Unknown lot for this SKU",IF(AND($C1546="Adjustment",$G1546=""),"Missing: reason",IF(AND($G1546&lt;&gt;"",COUNTIF(Config!$B$15:$B$34,$G1546)=0),"Unsupported reason",IF(OR(INT($E1546)&lt;&gt;$E1546,AND(OR($C1546="Receipt",$C1546="Shipment"),$E1546&lt;=0),AND($C1546="Adjustment",$E1546=0)),"Invalid qty",IF($B1546&gt;Config!$B$4,"Date after the as-of date",IF($B1546&lt;Config!$B$5,"Date before the opening balance date","OK")))))))))))))))))</f>
        <v/>
      </c>
    </row>
    <row r="1547">
      <c r="A1547" s="46" t="n"/>
      <c r="B1547" s="54" t="n"/>
      <c r="C1547" s="46" t="n"/>
      <c r="D1547" s="46" t="n"/>
      <c r="E1547" s="55" t="n"/>
      <c r="F1547" s="46" t="n"/>
      <c r="G1547" s="46" t="n"/>
      <c r="H1547" s="46" t="n"/>
      <c r="I1547" s="46" t="n"/>
      <c r="J1547" s="46" t="n"/>
      <c r="K1547" s="46" t="n"/>
      <c r="L1547" s="46" t="n"/>
      <c r="M1547" s="51" t="str">
        <f>IF(NOT(ISNUMBER($E1547)),"",IF($C1547="Receipt",$E1547,IF($C1547="Shipment",-$E1547,IF($C1547="Adjustment",$E1547,0))))</f>
        <v/>
      </c>
      <c r="N1547" s="49" t="str">
        <f>IF($D1547="","",IFERROR(INDEX(Products!$B$2:$B$101,MATCH($D1547,Products!$A$2:$A$101,0))&amp;"","(not found)"))</f>
        <v/>
      </c>
      <c r="O1547" s="49" t="str">
        <f>IF($F1547="","",IFERROR(INDEX(Batches!$B$2:$B$301,MATCH($F1547,Batches!$A$2:$A$301,0))&amp;"","(not found)"))</f>
        <v/>
      </c>
      <c r="P1547" s="49" t="str">
        <f>IF(COUNTA($A1547:$L1547)=0,"",IF($A1547="","Missing: entry ID",IF(COUNTIF($A$2:$A$2001,$A1547)&gt;1,"Duplicate entry ID",IF(NOT(ISNUMBER($B1547)),"Missing or invalid: date",IF($C1547="","Missing: type",IF($D1547="","Missing: SKU",IF(NOT(ISNUMBER($E1547)),"Missing: qty",IF($F1547="","Missing: lot",IF($I1547="","Missing: source link",IF(COUNTIF(Config!$A$15:$A$34,$C1547)=0,"Unsupported type",IF(COUNTIF(Products!$A$2:$A$101,$D1547)=0,"Unknown SKU",IF(COUNTIFS(Batches!$A$2:$A$301,$F1547,Batches!$B$2:$B$301,$D1547)=0,"Unknown lot for this SKU",IF(AND($C1547="Adjustment",$G1547=""),"Missing: reason",IF(AND($G1547&lt;&gt;"",COUNTIF(Config!$B$15:$B$34,$G1547)=0),"Unsupported reason",IF(OR(INT($E1547)&lt;&gt;$E1547,AND(OR($C1547="Receipt",$C1547="Shipment"),$E1547&lt;=0),AND($C1547="Adjustment",$E1547=0)),"Invalid qty",IF($B1547&gt;Config!$B$4,"Date after the as-of date",IF($B1547&lt;Config!$B$5,"Date before the opening balance date","OK")))))))))))))))))</f>
        <v/>
      </c>
    </row>
    <row r="1548">
      <c r="A1548" s="46" t="n"/>
      <c r="B1548" s="54" t="n"/>
      <c r="C1548" s="46" t="n"/>
      <c r="D1548" s="46" t="n"/>
      <c r="E1548" s="55" t="n"/>
      <c r="F1548" s="46" t="n"/>
      <c r="G1548" s="46" t="n"/>
      <c r="H1548" s="46" t="n"/>
      <c r="I1548" s="46" t="n"/>
      <c r="J1548" s="46" t="n"/>
      <c r="K1548" s="46" t="n"/>
      <c r="L1548" s="46" t="n"/>
      <c r="M1548" s="51" t="str">
        <f>IF(NOT(ISNUMBER($E1548)),"",IF($C1548="Receipt",$E1548,IF($C1548="Shipment",-$E1548,IF($C1548="Adjustment",$E1548,0))))</f>
        <v/>
      </c>
      <c r="N1548" s="49" t="str">
        <f>IF($D1548="","",IFERROR(INDEX(Products!$B$2:$B$101,MATCH($D1548,Products!$A$2:$A$101,0))&amp;"","(not found)"))</f>
        <v/>
      </c>
      <c r="O1548" s="49" t="str">
        <f>IF($F1548="","",IFERROR(INDEX(Batches!$B$2:$B$301,MATCH($F1548,Batches!$A$2:$A$301,0))&amp;"","(not found)"))</f>
        <v/>
      </c>
      <c r="P1548" s="49" t="str">
        <f>IF(COUNTA($A1548:$L1548)=0,"",IF($A1548="","Missing: entry ID",IF(COUNTIF($A$2:$A$2001,$A1548)&gt;1,"Duplicate entry ID",IF(NOT(ISNUMBER($B1548)),"Missing or invalid: date",IF($C1548="","Missing: type",IF($D1548="","Missing: SKU",IF(NOT(ISNUMBER($E1548)),"Missing: qty",IF($F1548="","Missing: lot",IF($I1548="","Missing: source link",IF(COUNTIF(Config!$A$15:$A$34,$C1548)=0,"Unsupported type",IF(COUNTIF(Products!$A$2:$A$101,$D1548)=0,"Unknown SKU",IF(COUNTIFS(Batches!$A$2:$A$301,$F1548,Batches!$B$2:$B$301,$D1548)=0,"Unknown lot for this SKU",IF(AND($C1548="Adjustment",$G1548=""),"Missing: reason",IF(AND($G1548&lt;&gt;"",COUNTIF(Config!$B$15:$B$34,$G1548)=0),"Unsupported reason",IF(OR(INT($E1548)&lt;&gt;$E1548,AND(OR($C1548="Receipt",$C1548="Shipment"),$E1548&lt;=0),AND($C1548="Adjustment",$E1548=0)),"Invalid qty",IF($B1548&gt;Config!$B$4,"Date after the as-of date",IF($B1548&lt;Config!$B$5,"Date before the opening balance date","OK")))))))))))))))))</f>
        <v/>
      </c>
    </row>
    <row r="1549">
      <c r="A1549" s="46" t="n"/>
      <c r="B1549" s="54" t="n"/>
      <c r="C1549" s="46" t="n"/>
      <c r="D1549" s="46" t="n"/>
      <c r="E1549" s="55" t="n"/>
      <c r="F1549" s="46" t="n"/>
      <c r="G1549" s="46" t="n"/>
      <c r="H1549" s="46" t="n"/>
      <c r="I1549" s="46" t="n"/>
      <c r="J1549" s="46" t="n"/>
      <c r="K1549" s="46" t="n"/>
      <c r="L1549" s="46" t="n"/>
      <c r="M1549" s="51" t="str">
        <f>IF(NOT(ISNUMBER($E1549)),"",IF($C1549="Receipt",$E1549,IF($C1549="Shipment",-$E1549,IF($C1549="Adjustment",$E1549,0))))</f>
        <v/>
      </c>
      <c r="N1549" s="49" t="str">
        <f>IF($D1549="","",IFERROR(INDEX(Products!$B$2:$B$101,MATCH($D1549,Products!$A$2:$A$101,0))&amp;"","(not found)"))</f>
        <v/>
      </c>
      <c r="O1549" s="49" t="str">
        <f>IF($F1549="","",IFERROR(INDEX(Batches!$B$2:$B$301,MATCH($F1549,Batches!$A$2:$A$301,0))&amp;"","(not found)"))</f>
        <v/>
      </c>
      <c r="P1549" s="49" t="str">
        <f>IF(COUNTA($A1549:$L1549)=0,"",IF($A1549="","Missing: entry ID",IF(COUNTIF($A$2:$A$2001,$A1549)&gt;1,"Duplicate entry ID",IF(NOT(ISNUMBER($B1549)),"Missing or invalid: date",IF($C1549="","Missing: type",IF($D1549="","Missing: SKU",IF(NOT(ISNUMBER($E1549)),"Missing: qty",IF($F1549="","Missing: lot",IF($I1549="","Missing: source link",IF(COUNTIF(Config!$A$15:$A$34,$C1549)=0,"Unsupported type",IF(COUNTIF(Products!$A$2:$A$101,$D1549)=0,"Unknown SKU",IF(COUNTIFS(Batches!$A$2:$A$301,$F1549,Batches!$B$2:$B$301,$D1549)=0,"Unknown lot for this SKU",IF(AND($C1549="Adjustment",$G1549=""),"Missing: reason",IF(AND($G1549&lt;&gt;"",COUNTIF(Config!$B$15:$B$34,$G1549)=0),"Unsupported reason",IF(OR(INT($E1549)&lt;&gt;$E1549,AND(OR($C1549="Receipt",$C1549="Shipment"),$E1549&lt;=0),AND($C1549="Adjustment",$E1549=0)),"Invalid qty",IF($B1549&gt;Config!$B$4,"Date after the as-of date",IF($B1549&lt;Config!$B$5,"Date before the opening balance date","OK")))))))))))))))))</f>
        <v/>
      </c>
    </row>
    <row r="1550">
      <c r="A1550" s="46" t="n"/>
      <c r="B1550" s="54" t="n"/>
      <c r="C1550" s="46" t="n"/>
      <c r="D1550" s="46" t="n"/>
      <c r="E1550" s="55" t="n"/>
      <c r="F1550" s="46" t="n"/>
      <c r="G1550" s="46" t="n"/>
      <c r="H1550" s="46" t="n"/>
      <c r="I1550" s="46" t="n"/>
      <c r="J1550" s="46" t="n"/>
      <c r="K1550" s="46" t="n"/>
      <c r="L1550" s="46" t="n"/>
      <c r="M1550" s="51" t="str">
        <f>IF(NOT(ISNUMBER($E1550)),"",IF($C1550="Receipt",$E1550,IF($C1550="Shipment",-$E1550,IF($C1550="Adjustment",$E1550,0))))</f>
        <v/>
      </c>
      <c r="N1550" s="49" t="str">
        <f>IF($D1550="","",IFERROR(INDEX(Products!$B$2:$B$101,MATCH($D1550,Products!$A$2:$A$101,0))&amp;"","(not found)"))</f>
        <v/>
      </c>
      <c r="O1550" s="49" t="str">
        <f>IF($F1550="","",IFERROR(INDEX(Batches!$B$2:$B$301,MATCH($F1550,Batches!$A$2:$A$301,0))&amp;"","(not found)"))</f>
        <v/>
      </c>
      <c r="P1550" s="49" t="str">
        <f>IF(COUNTA($A1550:$L1550)=0,"",IF($A1550="","Missing: entry ID",IF(COUNTIF($A$2:$A$2001,$A1550)&gt;1,"Duplicate entry ID",IF(NOT(ISNUMBER($B1550)),"Missing or invalid: date",IF($C1550="","Missing: type",IF($D1550="","Missing: SKU",IF(NOT(ISNUMBER($E1550)),"Missing: qty",IF($F1550="","Missing: lot",IF($I1550="","Missing: source link",IF(COUNTIF(Config!$A$15:$A$34,$C1550)=0,"Unsupported type",IF(COUNTIF(Products!$A$2:$A$101,$D1550)=0,"Unknown SKU",IF(COUNTIFS(Batches!$A$2:$A$301,$F1550,Batches!$B$2:$B$301,$D1550)=0,"Unknown lot for this SKU",IF(AND($C1550="Adjustment",$G1550=""),"Missing: reason",IF(AND($G1550&lt;&gt;"",COUNTIF(Config!$B$15:$B$34,$G1550)=0),"Unsupported reason",IF(OR(INT($E1550)&lt;&gt;$E1550,AND(OR($C1550="Receipt",$C1550="Shipment"),$E1550&lt;=0),AND($C1550="Adjustment",$E1550=0)),"Invalid qty",IF($B1550&gt;Config!$B$4,"Date after the as-of date",IF($B1550&lt;Config!$B$5,"Date before the opening balance date","OK")))))))))))))))))</f>
        <v/>
      </c>
    </row>
    <row r="1551">
      <c r="A1551" s="46" t="n"/>
      <c r="B1551" s="54" t="n"/>
      <c r="C1551" s="46" t="n"/>
      <c r="D1551" s="46" t="n"/>
      <c r="E1551" s="55" t="n"/>
      <c r="F1551" s="46" t="n"/>
      <c r="G1551" s="46" t="n"/>
      <c r="H1551" s="46" t="n"/>
      <c r="I1551" s="46" t="n"/>
      <c r="J1551" s="46" t="n"/>
      <c r="K1551" s="46" t="n"/>
      <c r="L1551" s="46" t="n"/>
      <c r="M1551" s="51" t="str">
        <f>IF(NOT(ISNUMBER($E1551)),"",IF($C1551="Receipt",$E1551,IF($C1551="Shipment",-$E1551,IF($C1551="Adjustment",$E1551,0))))</f>
        <v/>
      </c>
      <c r="N1551" s="49" t="str">
        <f>IF($D1551="","",IFERROR(INDEX(Products!$B$2:$B$101,MATCH($D1551,Products!$A$2:$A$101,0))&amp;"","(not found)"))</f>
        <v/>
      </c>
      <c r="O1551" s="49" t="str">
        <f>IF($F1551="","",IFERROR(INDEX(Batches!$B$2:$B$301,MATCH($F1551,Batches!$A$2:$A$301,0))&amp;"","(not found)"))</f>
        <v/>
      </c>
      <c r="P1551" s="49" t="str">
        <f>IF(COUNTA($A1551:$L1551)=0,"",IF($A1551="","Missing: entry ID",IF(COUNTIF($A$2:$A$2001,$A1551)&gt;1,"Duplicate entry ID",IF(NOT(ISNUMBER($B1551)),"Missing or invalid: date",IF($C1551="","Missing: type",IF($D1551="","Missing: SKU",IF(NOT(ISNUMBER($E1551)),"Missing: qty",IF($F1551="","Missing: lot",IF($I1551="","Missing: source link",IF(COUNTIF(Config!$A$15:$A$34,$C1551)=0,"Unsupported type",IF(COUNTIF(Products!$A$2:$A$101,$D1551)=0,"Unknown SKU",IF(COUNTIFS(Batches!$A$2:$A$301,$F1551,Batches!$B$2:$B$301,$D1551)=0,"Unknown lot for this SKU",IF(AND($C1551="Adjustment",$G1551=""),"Missing: reason",IF(AND($G1551&lt;&gt;"",COUNTIF(Config!$B$15:$B$34,$G1551)=0),"Unsupported reason",IF(OR(INT($E1551)&lt;&gt;$E1551,AND(OR($C1551="Receipt",$C1551="Shipment"),$E1551&lt;=0),AND($C1551="Adjustment",$E1551=0)),"Invalid qty",IF($B1551&gt;Config!$B$4,"Date after the as-of date",IF($B1551&lt;Config!$B$5,"Date before the opening balance date","OK")))))))))))))))))</f>
        <v/>
      </c>
    </row>
    <row r="1552">
      <c r="A1552" s="46" t="n"/>
      <c r="B1552" s="54" t="n"/>
      <c r="C1552" s="46" t="n"/>
      <c r="D1552" s="46" t="n"/>
      <c r="E1552" s="55" t="n"/>
      <c r="F1552" s="46" t="n"/>
      <c r="G1552" s="46" t="n"/>
      <c r="H1552" s="46" t="n"/>
      <c r="I1552" s="46" t="n"/>
      <c r="J1552" s="46" t="n"/>
      <c r="K1552" s="46" t="n"/>
      <c r="L1552" s="46" t="n"/>
      <c r="M1552" s="51" t="str">
        <f>IF(NOT(ISNUMBER($E1552)),"",IF($C1552="Receipt",$E1552,IF($C1552="Shipment",-$E1552,IF($C1552="Adjustment",$E1552,0))))</f>
        <v/>
      </c>
      <c r="N1552" s="49" t="str">
        <f>IF($D1552="","",IFERROR(INDEX(Products!$B$2:$B$101,MATCH($D1552,Products!$A$2:$A$101,0))&amp;"","(not found)"))</f>
        <v/>
      </c>
      <c r="O1552" s="49" t="str">
        <f>IF($F1552="","",IFERROR(INDEX(Batches!$B$2:$B$301,MATCH($F1552,Batches!$A$2:$A$301,0))&amp;"","(not found)"))</f>
        <v/>
      </c>
      <c r="P1552" s="49" t="str">
        <f>IF(COUNTA($A1552:$L1552)=0,"",IF($A1552="","Missing: entry ID",IF(COUNTIF($A$2:$A$2001,$A1552)&gt;1,"Duplicate entry ID",IF(NOT(ISNUMBER($B1552)),"Missing or invalid: date",IF($C1552="","Missing: type",IF($D1552="","Missing: SKU",IF(NOT(ISNUMBER($E1552)),"Missing: qty",IF($F1552="","Missing: lot",IF($I1552="","Missing: source link",IF(COUNTIF(Config!$A$15:$A$34,$C1552)=0,"Unsupported type",IF(COUNTIF(Products!$A$2:$A$101,$D1552)=0,"Unknown SKU",IF(COUNTIFS(Batches!$A$2:$A$301,$F1552,Batches!$B$2:$B$301,$D1552)=0,"Unknown lot for this SKU",IF(AND($C1552="Adjustment",$G1552=""),"Missing: reason",IF(AND($G1552&lt;&gt;"",COUNTIF(Config!$B$15:$B$34,$G1552)=0),"Unsupported reason",IF(OR(INT($E1552)&lt;&gt;$E1552,AND(OR($C1552="Receipt",$C1552="Shipment"),$E1552&lt;=0),AND($C1552="Adjustment",$E1552=0)),"Invalid qty",IF($B1552&gt;Config!$B$4,"Date after the as-of date",IF($B1552&lt;Config!$B$5,"Date before the opening balance date","OK")))))))))))))))))</f>
        <v/>
      </c>
    </row>
    <row r="1553">
      <c r="A1553" s="46" t="n"/>
      <c r="B1553" s="54" t="n"/>
      <c r="C1553" s="46" t="n"/>
      <c r="D1553" s="46" t="n"/>
      <c r="E1553" s="55" t="n"/>
      <c r="F1553" s="46" t="n"/>
      <c r="G1553" s="46" t="n"/>
      <c r="H1553" s="46" t="n"/>
      <c r="I1553" s="46" t="n"/>
      <c r="J1553" s="46" t="n"/>
      <c r="K1553" s="46" t="n"/>
      <c r="L1553" s="46" t="n"/>
      <c r="M1553" s="51" t="str">
        <f>IF(NOT(ISNUMBER($E1553)),"",IF($C1553="Receipt",$E1553,IF($C1553="Shipment",-$E1553,IF($C1553="Adjustment",$E1553,0))))</f>
        <v/>
      </c>
      <c r="N1553" s="49" t="str">
        <f>IF($D1553="","",IFERROR(INDEX(Products!$B$2:$B$101,MATCH($D1553,Products!$A$2:$A$101,0))&amp;"","(not found)"))</f>
        <v/>
      </c>
      <c r="O1553" s="49" t="str">
        <f>IF($F1553="","",IFERROR(INDEX(Batches!$B$2:$B$301,MATCH($F1553,Batches!$A$2:$A$301,0))&amp;"","(not found)"))</f>
        <v/>
      </c>
      <c r="P1553" s="49" t="str">
        <f>IF(COUNTA($A1553:$L1553)=0,"",IF($A1553="","Missing: entry ID",IF(COUNTIF($A$2:$A$2001,$A1553)&gt;1,"Duplicate entry ID",IF(NOT(ISNUMBER($B1553)),"Missing or invalid: date",IF($C1553="","Missing: type",IF($D1553="","Missing: SKU",IF(NOT(ISNUMBER($E1553)),"Missing: qty",IF($F1553="","Missing: lot",IF($I1553="","Missing: source link",IF(COUNTIF(Config!$A$15:$A$34,$C1553)=0,"Unsupported type",IF(COUNTIF(Products!$A$2:$A$101,$D1553)=0,"Unknown SKU",IF(COUNTIFS(Batches!$A$2:$A$301,$F1553,Batches!$B$2:$B$301,$D1553)=0,"Unknown lot for this SKU",IF(AND($C1553="Adjustment",$G1553=""),"Missing: reason",IF(AND($G1553&lt;&gt;"",COUNTIF(Config!$B$15:$B$34,$G1553)=0),"Unsupported reason",IF(OR(INT($E1553)&lt;&gt;$E1553,AND(OR($C1553="Receipt",$C1553="Shipment"),$E1553&lt;=0),AND($C1553="Adjustment",$E1553=0)),"Invalid qty",IF($B1553&gt;Config!$B$4,"Date after the as-of date",IF($B1553&lt;Config!$B$5,"Date before the opening balance date","OK")))))))))))))))))</f>
        <v/>
      </c>
    </row>
    <row r="1554">
      <c r="A1554" s="46" t="n"/>
      <c r="B1554" s="54" t="n"/>
      <c r="C1554" s="46" t="n"/>
      <c r="D1554" s="46" t="n"/>
      <c r="E1554" s="55" t="n"/>
      <c r="F1554" s="46" t="n"/>
      <c r="G1554" s="46" t="n"/>
      <c r="H1554" s="46" t="n"/>
      <c r="I1554" s="46" t="n"/>
      <c r="J1554" s="46" t="n"/>
      <c r="K1554" s="46" t="n"/>
      <c r="L1554" s="46" t="n"/>
      <c r="M1554" s="51" t="str">
        <f>IF(NOT(ISNUMBER($E1554)),"",IF($C1554="Receipt",$E1554,IF($C1554="Shipment",-$E1554,IF($C1554="Adjustment",$E1554,0))))</f>
        <v/>
      </c>
      <c r="N1554" s="49" t="str">
        <f>IF($D1554="","",IFERROR(INDEX(Products!$B$2:$B$101,MATCH($D1554,Products!$A$2:$A$101,0))&amp;"","(not found)"))</f>
        <v/>
      </c>
      <c r="O1554" s="49" t="str">
        <f>IF($F1554="","",IFERROR(INDEX(Batches!$B$2:$B$301,MATCH($F1554,Batches!$A$2:$A$301,0))&amp;"","(not found)"))</f>
        <v/>
      </c>
      <c r="P1554" s="49" t="str">
        <f>IF(COUNTA($A1554:$L1554)=0,"",IF($A1554="","Missing: entry ID",IF(COUNTIF($A$2:$A$2001,$A1554)&gt;1,"Duplicate entry ID",IF(NOT(ISNUMBER($B1554)),"Missing or invalid: date",IF($C1554="","Missing: type",IF($D1554="","Missing: SKU",IF(NOT(ISNUMBER($E1554)),"Missing: qty",IF($F1554="","Missing: lot",IF($I1554="","Missing: source link",IF(COUNTIF(Config!$A$15:$A$34,$C1554)=0,"Unsupported type",IF(COUNTIF(Products!$A$2:$A$101,$D1554)=0,"Unknown SKU",IF(COUNTIFS(Batches!$A$2:$A$301,$F1554,Batches!$B$2:$B$301,$D1554)=0,"Unknown lot for this SKU",IF(AND($C1554="Adjustment",$G1554=""),"Missing: reason",IF(AND($G1554&lt;&gt;"",COUNTIF(Config!$B$15:$B$34,$G1554)=0),"Unsupported reason",IF(OR(INT($E1554)&lt;&gt;$E1554,AND(OR($C1554="Receipt",$C1554="Shipment"),$E1554&lt;=0),AND($C1554="Adjustment",$E1554=0)),"Invalid qty",IF($B1554&gt;Config!$B$4,"Date after the as-of date",IF($B1554&lt;Config!$B$5,"Date before the opening balance date","OK")))))))))))))))))</f>
        <v/>
      </c>
    </row>
    <row r="1555">
      <c r="A1555" s="46" t="n"/>
      <c r="B1555" s="54" t="n"/>
      <c r="C1555" s="46" t="n"/>
      <c r="D1555" s="46" t="n"/>
      <c r="E1555" s="55" t="n"/>
      <c r="F1555" s="46" t="n"/>
      <c r="G1555" s="46" t="n"/>
      <c r="H1555" s="46" t="n"/>
      <c r="I1555" s="46" t="n"/>
      <c r="J1555" s="46" t="n"/>
      <c r="K1555" s="46" t="n"/>
      <c r="L1555" s="46" t="n"/>
      <c r="M1555" s="51" t="str">
        <f>IF(NOT(ISNUMBER($E1555)),"",IF($C1555="Receipt",$E1555,IF($C1555="Shipment",-$E1555,IF($C1555="Adjustment",$E1555,0))))</f>
        <v/>
      </c>
      <c r="N1555" s="49" t="str">
        <f>IF($D1555="","",IFERROR(INDEX(Products!$B$2:$B$101,MATCH($D1555,Products!$A$2:$A$101,0))&amp;"","(not found)"))</f>
        <v/>
      </c>
      <c r="O1555" s="49" t="str">
        <f>IF($F1555="","",IFERROR(INDEX(Batches!$B$2:$B$301,MATCH($F1555,Batches!$A$2:$A$301,0))&amp;"","(not found)"))</f>
        <v/>
      </c>
      <c r="P1555" s="49" t="str">
        <f>IF(COUNTA($A1555:$L1555)=0,"",IF($A1555="","Missing: entry ID",IF(COUNTIF($A$2:$A$2001,$A1555)&gt;1,"Duplicate entry ID",IF(NOT(ISNUMBER($B1555)),"Missing or invalid: date",IF($C1555="","Missing: type",IF($D1555="","Missing: SKU",IF(NOT(ISNUMBER($E1555)),"Missing: qty",IF($F1555="","Missing: lot",IF($I1555="","Missing: source link",IF(COUNTIF(Config!$A$15:$A$34,$C1555)=0,"Unsupported type",IF(COUNTIF(Products!$A$2:$A$101,$D1555)=0,"Unknown SKU",IF(COUNTIFS(Batches!$A$2:$A$301,$F1555,Batches!$B$2:$B$301,$D1555)=0,"Unknown lot for this SKU",IF(AND($C1555="Adjustment",$G1555=""),"Missing: reason",IF(AND($G1555&lt;&gt;"",COUNTIF(Config!$B$15:$B$34,$G1555)=0),"Unsupported reason",IF(OR(INT($E1555)&lt;&gt;$E1555,AND(OR($C1555="Receipt",$C1555="Shipment"),$E1555&lt;=0),AND($C1555="Adjustment",$E1555=0)),"Invalid qty",IF($B1555&gt;Config!$B$4,"Date after the as-of date",IF($B1555&lt;Config!$B$5,"Date before the opening balance date","OK")))))))))))))))))</f>
        <v/>
      </c>
    </row>
    <row r="1556">
      <c r="A1556" s="46" t="n"/>
      <c r="B1556" s="54" t="n"/>
      <c r="C1556" s="46" t="n"/>
      <c r="D1556" s="46" t="n"/>
      <c r="E1556" s="55" t="n"/>
      <c r="F1556" s="46" t="n"/>
      <c r="G1556" s="46" t="n"/>
      <c r="H1556" s="46" t="n"/>
      <c r="I1556" s="46" t="n"/>
      <c r="J1556" s="46" t="n"/>
      <c r="K1556" s="46" t="n"/>
      <c r="L1556" s="46" t="n"/>
      <c r="M1556" s="51" t="str">
        <f>IF(NOT(ISNUMBER($E1556)),"",IF($C1556="Receipt",$E1556,IF($C1556="Shipment",-$E1556,IF($C1556="Adjustment",$E1556,0))))</f>
        <v/>
      </c>
      <c r="N1556" s="49" t="str">
        <f>IF($D1556="","",IFERROR(INDEX(Products!$B$2:$B$101,MATCH($D1556,Products!$A$2:$A$101,0))&amp;"","(not found)"))</f>
        <v/>
      </c>
      <c r="O1556" s="49" t="str">
        <f>IF($F1556="","",IFERROR(INDEX(Batches!$B$2:$B$301,MATCH($F1556,Batches!$A$2:$A$301,0))&amp;"","(not found)"))</f>
        <v/>
      </c>
      <c r="P1556" s="49" t="str">
        <f>IF(COUNTA($A1556:$L1556)=0,"",IF($A1556="","Missing: entry ID",IF(COUNTIF($A$2:$A$2001,$A1556)&gt;1,"Duplicate entry ID",IF(NOT(ISNUMBER($B1556)),"Missing or invalid: date",IF($C1556="","Missing: type",IF($D1556="","Missing: SKU",IF(NOT(ISNUMBER($E1556)),"Missing: qty",IF($F1556="","Missing: lot",IF($I1556="","Missing: source link",IF(COUNTIF(Config!$A$15:$A$34,$C1556)=0,"Unsupported type",IF(COUNTIF(Products!$A$2:$A$101,$D1556)=0,"Unknown SKU",IF(COUNTIFS(Batches!$A$2:$A$301,$F1556,Batches!$B$2:$B$301,$D1556)=0,"Unknown lot for this SKU",IF(AND($C1556="Adjustment",$G1556=""),"Missing: reason",IF(AND($G1556&lt;&gt;"",COUNTIF(Config!$B$15:$B$34,$G1556)=0),"Unsupported reason",IF(OR(INT($E1556)&lt;&gt;$E1556,AND(OR($C1556="Receipt",$C1556="Shipment"),$E1556&lt;=0),AND($C1556="Adjustment",$E1556=0)),"Invalid qty",IF($B1556&gt;Config!$B$4,"Date after the as-of date",IF($B1556&lt;Config!$B$5,"Date before the opening balance date","OK")))))))))))))))))</f>
        <v/>
      </c>
    </row>
    <row r="1557">
      <c r="A1557" s="46" t="n"/>
      <c r="B1557" s="54" t="n"/>
      <c r="C1557" s="46" t="n"/>
      <c r="D1557" s="46" t="n"/>
      <c r="E1557" s="55" t="n"/>
      <c r="F1557" s="46" t="n"/>
      <c r="G1557" s="46" t="n"/>
      <c r="H1557" s="46" t="n"/>
      <c r="I1557" s="46" t="n"/>
      <c r="J1557" s="46" t="n"/>
      <c r="K1557" s="46" t="n"/>
      <c r="L1557" s="46" t="n"/>
      <c r="M1557" s="51" t="str">
        <f>IF(NOT(ISNUMBER($E1557)),"",IF($C1557="Receipt",$E1557,IF($C1557="Shipment",-$E1557,IF($C1557="Adjustment",$E1557,0))))</f>
        <v/>
      </c>
      <c r="N1557" s="49" t="str">
        <f>IF($D1557="","",IFERROR(INDEX(Products!$B$2:$B$101,MATCH($D1557,Products!$A$2:$A$101,0))&amp;"","(not found)"))</f>
        <v/>
      </c>
      <c r="O1557" s="49" t="str">
        <f>IF($F1557="","",IFERROR(INDEX(Batches!$B$2:$B$301,MATCH($F1557,Batches!$A$2:$A$301,0))&amp;"","(not found)"))</f>
        <v/>
      </c>
      <c r="P1557" s="49" t="str">
        <f>IF(COUNTA($A1557:$L1557)=0,"",IF($A1557="","Missing: entry ID",IF(COUNTIF($A$2:$A$2001,$A1557)&gt;1,"Duplicate entry ID",IF(NOT(ISNUMBER($B1557)),"Missing or invalid: date",IF($C1557="","Missing: type",IF($D1557="","Missing: SKU",IF(NOT(ISNUMBER($E1557)),"Missing: qty",IF($F1557="","Missing: lot",IF($I1557="","Missing: source link",IF(COUNTIF(Config!$A$15:$A$34,$C1557)=0,"Unsupported type",IF(COUNTIF(Products!$A$2:$A$101,$D1557)=0,"Unknown SKU",IF(COUNTIFS(Batches!$A$2:$A$301,$F1557,Batches!$B$2:$B$301,$D1557)=0,"Unknown lot for this SKU",IF(AND($C1557="Adjustment",$G1557=""),"Missing: reason",IF(AND($G1557&lt;&gt;"",COUNTIF(Config!$B$15:$B$34,$G1557)=0),"Unsupported reason",IF(OR(INT($E1557)&lt;&gt;$E1557,AND(OR($C1557="Receipt",$C1557="Shipment"),$E1557&lt;=0),AND($C1557="Adjustment",$E1557=0)),"Invalid qty",IF($B1557&gt;Config!$B$4,"Date after the as-of date",IF($B1557&lt;Config!$B$5,"Date before the opening balance date","OK")))))))))))))))))</f>
        <v/>
      </c>
    </row>
    <row r="1558">
      <c r="A1558" s="46" t="n"/>
      <c r="B1558" s="54" t="n"/>
      <c r="C1558" s="46" t="n"/>
      <c r="D1558" s="46" t="n"/>
      <c r="E1558" s="55" t="n"/>
      <c r="F1558" s="46" t="n"/>
      <c r="G1558" s="46" t="n"/>
      <c r="H1558" s="46" t="n"/>
      <c r="I1558" s="46" t="n"/>
      <c r="J1558" s="46" t="n"/>
      <c r="K1558" s="46" t="n"/>
      <c r="L1558" s="46" t="n"/>
      <c r="M1558" s="51" t="str">
        <f>IF(NOT(ISNUMBER($E1558)),"",IF($C1558="Receipt",$E1558,IF($C1558="Shipment",-$E1558,IF($C1558="Adjustment",$E1558,0))))</f>
        <v/>
      </c>
      <c r="N1558" s="49" t="str">
        <f>IF($D1558="","",IFERROR(INDEX(Products!$B$2:$B$101,MATCH($D1558,Products!$A$2:$A$101,0))&amp;"","(not found)"))</f>
        <v/>
      </c>
      <c r="O1558" s="49" t="str">
        <f>IF($F1558="","",IFERROR(INDEX(Batches!$B$2:$B$301,MATCH($F1558,Batches!$A$2:$A$301,0))&amp;"","(not found)"))</f>
        <v/>
      </c>
      <c r="P1558" s="49" t="str">
        <f>IF(COUNTA($A1558:$L1558)=0,"",IF($A1558="","Missing: entry ID",IF(COUNTIF($A$2:$A$2001,$A1558)&gt;1,"Duplicate entry ID",IF(NOT(ISNUMBER($B1558)),"Missing or invalid: date",IF($C1558="","Missing: type",IF($D1558="","Missing: SKU",IF(NOT(ISNUMBER($E1558)),"Missing: qty",IF($F1558="","Missing: lot",IF($I1558="","Missing: source link",IF(COUNTIF(Config!$A$15:$A$34,$C1558)=0,"Unsupported type",IF(COUNTIF(Products!$A$2:$A$101,$D1558)=0,"Unknown SKU",IF(COUNTIFS(Batches!$A$2:$A$301,$F1558,Batches!$B$2:$B$301,$D1558)=0,"Unknown lot for this SKU",IF(AND($C1558="Adjustment",$G1558=""),"Missing: reason",IF(AND($G1558&lt;&gt;"",COUNTIF(Config!$B$15:$B$34,$G1558)=0),"Unsupported reason",IF(OR(INT($E1558)&lt;&gt;$E1558,AND(OR($C1558="Receipt",$C1558="Shipment"),$E1558&lt;=0),AND($C1558="Adjustment",$E1558=0)),"Invalid qty",IF($B1558&gt;Config!$B$4,"Date after the as-of date",IF($B1558&lt;Config!$B$5,"Date before the opening balance date","OK")))))))))))))))))</f>
        <v/>
      </c>
    </row>
    <row r="1559">
      <c r="A1559" s="46" t="n"/>
      <c r="B1559" s="54" t="n"/>
      <c r="C1559" s="46" t="n"/>
      <c r="D1559" s="46" t="n"/>
      <c r="E1559" s="55" t="n"/>
      <c r="F1559" s="46" t="n"/>
      <c r="G1559" s="46" t="n"/>
      <c r="H1559" s="46" t="n"/>
      <c r="I1559" s="46" t="n"/>
      <c r="J1559" s="46" t="n"/>
      <c r="K1559" s="46" t="n"/>
      <c r="L1559" s="46" t="n"/>
      <c r="M1559" s="51" t="str">
        <f>IF(NOT(ISNUMBER($E1559)),"",IF($C1559="Receipt",$E1559,IF($C1559="Shipment",-$E1559,IF($C1559="Adjustment",$E1559,0))))</f>
        <v/>
      </c>
      <c r="N1559" s="49" t="str">
        <f>IF($D1559="","",IFERROR(INDEX(Products!$B$2:$B$101,MATCH($D1559,Products!$A$2:$A$101,0))&amp;"","(not found)"))</f>
        <v/>
      </c>
      <c r="O1559" s="49" t="str">
        <f>IF($F1559="","",IFERROR(INDEX(Batches!$B$2:$B$301,MATCH($F1559,Batches!$A$2:$A$301,0))&amp;"","(not found)"))</f>
        <v/>
      </c>
      <c r="P1559" s="49" t="str">
        <f>IF(COUNTA($A1559:$L1559)=0,"",IF($A1559="","Missing: entry ID",IF(COUNTIF($A$2:$A$2001,$A1559)&gt;1,"Duplicate entry ID",IF(NOT(ISNUMBER($B1559)),"Missing or invalid: date",IF($C1559="","Missing: type",IF($D1559="","Missing: SKU",IF(NOT(ISNUMBER($E1559)),"Missing: qty",IF($F1559="","Missing: lot",IF($I1559="","Missing: source link",IF(COUNTIF(Config!$A$15:$A$34,$C1559)=0,"Unsupported type",IF(COUNTIF(Products!$A$2:$A$101,$D1559)=0,"Unknown SKU",IF(COUNTIFS(Batches!$A$2:$A$301,$F1559,Batches!$B$2:$B$301,$D1559)=0,"Unknown lot for this SKU",IF(AND($C1559="Adjustment",$G1559=""),"Missing: reason",IF(AND($G1559&lt;&gt;"",COUNTIF(Config!$B$15:$B$34,$G1559)=0),"Unsupported reason",IF(OR(INT($E1559)&lt;&gt;$E1559,AND(OR($C1559="Receipt",$C1559="Shipment"),$E1559&lt;=0),AND($C1559="Adjustment",$E1559=0)),"Invalid qty",IF($B1559&gt;Config!$B$4,"Date after the as-of date",IF($B1559&lt;Config!$B$5,"Date before the opening balance date","OK")))))))))))))))))</f>
        <v/>
      </c>
    </row>
    <row r="1560">
      <c r="A1560" s="46" t="n"/>
      <c r="B1560" s="54" t="n"/>
      <c r="C1560" s="46" t="n"/>
      <c r="D1560" s="46" t="n"/>
      <c r="E1560" s="55" t="n"/>
      <c r="F1560" s="46" t="n"/>
      <c r="G1560" s="46" t="n"/>
      <c r="H1560" s="46" t="n"/>
      <c r="I1560" s="46" t="n"/>
      <c r="J1560" s="46" t="n"/>
      <c r="K1560" s="46" t="n"/>
      <c r="L1560" s="46" t="n"/>
      <c r="M1560" s="51" t="str">
        <f>IF(NOT(ISNUMBER($E1560)),"",IF($C1560="Receipt",$E1560,IF($C1560="Shipment",-$E1560,IF($C1560="Adjustment",$E1560,0))))</f>
        <v/>
      </c>
      <c r="N1560" s="49" t="str">
        <f>IF($D1560="","",IFERROR(INDEX(Products!$B$2:$B$101,MATCH($D1560,Products!$A$2:$A$101,0))&amp;"","(not found)"))</f>
        <v/>
      </c>
      <c r="O1560" s="49" t="str">
        <f>IF($F1560="","",IFERROR(INDEX(Batches!$B$2:$B$301,MATCH($F1560,Batches!$A$2:$A$301,0))&amp;"","(not found)"))</f>
        <v/>
      </c>
      <c r="P1560" s="49" t="str">
        <f>IF(COUNTA($A1560:$L1560)=0,"",IF($A1560="","Missing: entry ID",IF(COUNTIF($A$2:$A$2001,$A1560)&gt;1,"Duplicate entry ID",IF(NOT(ISNUMBER($B1560)),"Missing or invalid: date",IF($C1560="","Missing: type",IF($D1560="","Missing: SKU",IF(NOT(ISNUMBER($E1560)),"Missing: qty",IF($F1560="","Missing: lot",IF($I1560="","Missing: source link",IF(COUNTIF(Config!$A$15:$A$34,$C1560)=0,"Unsupported type",IF(COUNTIF(Products!$A$2:$A$101,$D1560)=0,"Unknown SKU",IF(COUNTIFS(Batches!$A$2:$A$301,$F1560,Batches!$B$2:$B$301,$D1560)=0,"Unknown lot for this SKU",IF(AND($C1560="Adjustment",$G1560=""),"Missing: reason",IF(AND($G1560&lt;&gt;"",COUNTIF(Config!$B$15:$B$34,$G1560)=0),"Unsupported reason",IF(OR(INT($E1560)&lt;&gt;$E1560,AND(OR($C1560="Receipt",$C1560="Shipment"),$E1560&lt;=0),AND($C1560="Adjustment",$E1560=0)),"Invalid qty",IF($B1560&gt;Config!$B$4,"Date after the as-of date",IF($B1560&lt;Config!$B$5,"Date before the opening balance date","OK")))))))))))))))))</f>
        <v/>
      </c>
    </row>
    <row r="1561">
      <c r="A1561" s="46" t="n"/>
      <c r="B1561" s="54" t="n"/>
      <c r="C1561" s="46" t="n"/>
      <c r="D1561" s="46" t="n"/>
      <c r="E1561" s="55" t="n"/>
      <c r="F1561" s="46" t="n"/>
      <c r="G1561" s="46" t="n"/>
      <c r="H1561" s="46" t="n"/>
      <c r="I1561" s="46" t="n"/>
      <c r="J1561" s="46" t="n"/>
      <c r="K1561" s="46" t="n"/>
      <c r="L1561" s="46" t="n"/>
      <c r="M1561" s="51" t="str">
        <f>IF(NOT(ISNUMBER($E1561)),"",IF($C1561="Receipt",$E1561,IF($C1561="Shipment",-$E1561,IF($C1561="Adjustment",$E1561,0))))</f>
        <v/>
      </c>
      <c r="N1561" s="49" t="str">
        <f>IF($D1561="","",IFERROR(INDEX(Products!$B$2:$B$101,MATCH($D1561,Products!$A$2:$A$101,0))&amp;"","(not found)"))</f>
        <v/>
      </c>
      <c r="O1561" s="49" t="str">
        <f>IF($F1561="","",IFERROR(INDEX(Batches!$B$2:$B$301,MATCH($F1561,Batches!$A$2:$A$301,0))&amp;"","(not found)"))</f>
        <v/>
      </c>
      <c r="P1561" s="49" t="str">
        <f>IF(COUNTA($A1561:$L1561)=0,"",IF($A1561="","Missing: entry ID",IF(COUNTIF($A$2:$A$2001,$A1561)&gt;1,"Duplicate entry ID",IF(NOT(ISNUMBER($B1561)),"Missing or invalid: date",IF($C1561="","Missing: type",IF($D1561="","Missing: SKU",IF(NOT(ISNUMBER($E1561)),"Missing: qty",IF($F1561="","Missing: lot",IF($I1561="","Missing: source link",IF(COUNTIF(Config!$A$15:$A$34,$C1561)=0,"Unsupported type",IF(COUNTIF(Products!$A$2:$A$101,$D1561)=0,"Unknown SKU",IF(COUNTIFS(Batches!$A$2:$A$301,$F1561,Batches!$B$2:$B$301,$D1561)=0,"Unknown lot for this SKU",IF(AND($C1561="Adjustment",$G1561=""),"Missing: reason",IF(AND($G1561&lt;&gt;"",COUNTIF(Config!$B$15:$B$34,$G1561)=0),"Unsupported reason",IF(OR(INT($E1561)&lt;&gt;$E1561,AND(OR($C1561="Receipt",$C1561="Shipment"),$E1561&lt;=0),AND($C1561="Adjustment",$E1561=0)),"Invalid qty",IF($B1561&gt;Config!$B$4,"Date after the as-of date",IF($B1561&lt;Config!$B$5,"Date before the opening balance date","OK")))))))))))))))))</f>
        <v/>
      </c>
    </row>
    <row r="1562">
      <c r="A1562" s="46" t="n"/>
      <c r="B1562" s="54" t="n"/>
      <c r="C1562" s="46" t="n"/>
      <c r="D1562" s="46" t="n"/>
      <c r="E1562" s="55" t="n"/>
      <c r="F1562" s="46" t="n"/>
      <c r="G1562" s="46" t="n"/>
      <c r="H1562" s="46" t="n"/>
      <c r="I1562" s="46" t="n"/>
      <c r="J1562" s="46" t="n"/>
      <c r="K1562" s="46" t="n"/>
      <c r="L1562" s="46" t="n"/>
      <c r="M1562" s="51" t="str">
        <f>IF(NOT(ISNUMBER($E1562)),"",IF($C1562="Receipt",$E1562,IF($C1562="Shipment",-$E1562,IF($C1562="Adjustment",$E1562,0))))</f>
        <v/>
      </c>
      <c r="N1562" s="49" t="str">
        <f>IF($D1562="","",IFERROR(INDEX(Products!$B$2:$B$101,MATCH($D1562,Products!$A$2:$A$101,0))&amp;"","(not found)"))</f>
        <v/>
      </c>
      <c r="O1562" s="49" t="str">
        <f>IF($F1562="","",IFERROR(INDEX(Batches!$B$2:$B$301,MATCH($F1562,Batches!$A$2:$A$301,0))&amp;"","(not found)"))</f>
        <v/>
      </c>
      <c r="P1562" s="49" t="str">
        <f>IF(COUNTA($A1562:$L1562)=0,"",IF($A1562="","Missing: entry ID",IF(COUNTIF($A$2:$A$2001,$A1562)&gt;1,"Duplicate entry ID",IF(NOT(ISNUMBER($B1562)),"Missing or invalid: date",IF($C1562="","Missing: type",IF($D1562="","Missing: SKU",IF(NOT(ISNUMBER($E1562)),"Missing: qty",IF($F1562="","Missing: lot",IF($I1562="","Missing: source link",IF(COUNTIF(Config!$A$15:$A$34,$C1562)=0,"Unsupported type",IF(COUNTIF(Products!$A$2:$A$101,$D1562)=0,"Unknown SKU",IF(COUNTIFS(Batches!$A$2:$A$301,$F1562,Batches!$B$2:$B$301,$D1562)=0,"Unknown lot for this SKU",IF(AND($C1562="Adjustment",$G1562=""),"Missing: reason",IF(AND($G1562&lt;&gt;"",COUNTIF(Config!$B$15:$B$34,$G1562)=0),"Unsupported reason",IF(OR(INT($E1562)&lt;&gt;$E1562,AND(OR($C1562="Receipt",$C1562="Shipment"),$E1562&lt;=0),AND($C1562="Adjustment",$E1562=0)),"Invalid qty",IF($B1562&gt;Config!$B$4,"Date after the as-of date",IF($B1562&lt;Config!$B$5,"Date before the opening balance date","OK")))))))))))))))))</f>
        <v/>
      </c>
    </row>
    <row r="1563">
      <c r="A1563" s="46" t="n"/>
      <c r="B1563" s="54" t="n"/>
      <c r="C1563" s="46" t="n"/>
      <c r="D1563" s="46" t="n"/>
      <c r="E1563" s="55" t="n"/>
      <c r="F1563" s="46" t="n"/>
      <c r="G1563" s="46" t="n"/>
      <c r="H1563" s="46" t="n"/>
      <c r="I1563" s="46" t="n"/>
      <c r="J1563" s="46" t="n"/>
      <c r="K1563" s="46" t="n"/>
      <c r="L1563" s="46" t="n"/>
      <c r="M1563" s="51" t="str">
        <f>IF(NOT(ISNUMBER($E1563)),"",IF($C1563="Receipt",$E1563,IF($C1563="Shipment",-$E1563,IF($C1563="Adjustment",$E1563,0))))</f>
        <v/>
      </c>
      <c r="N1563" s="49" t="str">
        <f>IF($D1563="","",IFERROR(INDEX(Products!$B$2:$B$101,MATCH($D1563,Products!$A$2:$A$101,0))&amp;"","(not found)"))</f>
        <v/>
      </c>
      <c r="O1563" s="49" t="str">
        <f>IF($F1563="","",IFERROR(INDEX(Batches!$B$2:$B$301,MATCH($F1563,Batches!$A$2:$A$301,0))&amp;"","(not found)"))</f>
        <v/>
      </c>
      <c r="P1563" s="49" t="str">
        <f>IF(COUNTA($A1563:$L1563)=0,"",IF($A1563="","Missing: entry ID",IF(COUNTIF($A$2:$A$2001,$A1563)&gt;1,"Duplicate entry ID",IF(NOT(ISNUMBER($B1563)),"Missing or invalid: date",IF($C1563="","Missing: type",IF($D1563="","Missing: SKU",IF(NOT(ISNUMBER($E1563)),"Missing: qty",IF($F1563="","Missing: lot",IF($I1563="","Missing: source link",IF(COUNTIF(Config!$A$15:$A$34,$C1563)=0,"Unsupported type",IF(COUNTIF(Products!$A$2:$A$101,$D1563)=0,"Unknown SKU",IF(COUNTIFS(Batches!$A$2:$A$301,$F1563,Batches!$B$2:$B$301,$D1563)=0,"Unknown lot for this SKU",IF(AND($C1563="Adjustment",$G1563=""),"Missing: reason",IF(AND($G1563&lt;&gt;"",COUNTIF(Config!$B$15:$B$34,$G1563)=0),"Unsupported reason",IF(OR(INT($E1563)&lt;&gt;$E1563,AND(OR($C1563="Receipt",$C1563="Shipment"),$E1563&lt;=0),AND($C1563="Adjustment",$E1563=0)),"Invalid qty",IF($B1563&gt;Config!$B$4,"Date after the as-of date",IF($B1563&lt;Config!$B$5,"Date before the opening balance date","OK")))))))))))))))))</f>
        <v/>
      </c>
    </row>
    <row r="1564">
      <c r="A1564" s="46" t="n"/>
      <c r="B1564" s="54" t="n"/>
      <c r="C1564" s="46" t="n"/>
      <c r="D1564" s="46" t="n"/>
      <c r="E1564" s="55" t="n"/>
      <c r="F1564" s="46" t="n"/>
      <c r="G1564" s="46" t="n"/>
      <c r="H1564" s="46" t="n"/>
      <c r="I1564" s="46" t="n"/>
      <c r="J1564" s="46" t="n"/>
      <c r="K1564" s="46" t="n"/>
      <c r="L1564" s="46" t="n"/>
      <c r="M1564" s="51" t="str">
        <f>IF(NOT(ISNUMBER($E1564)),"",IF($C1564="Receipt",$E1564,IF($C1564="Shipment",-$E1564,IF($C1564="Adjustment",$E1564,0))))</f>
        <v/>
      </c>
      <c r="N1564" s="49" t="str">
        <f>IF($D1564="","",IFERROR(INDEX(Products!$B$2:$B$101,MATCH($D1564,Products!$A$2:$A$101,0))&amp;"","(not found)"))</f>
        <v/>
      </c>
      <c r="O1564" s="49" t="str">
        <f>IF($F1564="","",IFERROR(INDEX(Batches!$B$2:$B$301,MATCH($F1564,Batches!$A$2:$A$301,0))&amp;"","(not found)"))</f>
        <v/>
      </c>
      <c r="P1564" s="49" t="str">
        <f>IF(COUNTA($A1564:$L1564)=0,"",IF($A1564="","Missing: entry ID",IF(COUNTIF($A$2:$A$2001,$A1564)&gt;1,"Duplicate entry ID",IF(NOT(ISNUMBER($B1564)),"Missing or invalid: date",IF($C1564="","Missing: type",IF($D1564="","Missing: SKU",IF(NOT(ISNUMBER($E1564)),"Missing: qty",IF($F1564="","Missing: lot",IF($I1564="","Missing: source link",IF(COUNTIF(Config!$A$15:$A$34,$C1564)=0,"Unsupported type",IF(COUNTIF(Products!$A$2:$A$101,$D1564)=0,"Unknown SKU",IF(COUNTIFS(Batches!$A$2:$A$301,$F1564,Batches!$B$2:$B$301,$D1564)=0,"Unknown lot for this SKU",IF(AND($C1564="Adjustment",$G1564=""),"Missing: reason",IF(AND($G1564&lt;&gt;"",COUNTIF(Config!$B$15:$B$34,$G1564)=0),"Unsupported reason",IF(OR(INT($E1564)&lt;&gt;$E1564,AND(OR($C1564="Receipt",$C1564="Shipment"),$E1564&lt;=0),AND($C1564="Adjustment",$E1564=0)),"Invalid qty",IF($B1564&gt;Config!$B$4,"Date after the as-of date",IF($B1564&lt;Config!$B$5,"Date before the opening balance date","OK")))))))))))))))))</f>
        <v/>
      </c>
    </row>
    <row r="1565">
      <c r="A1565" s="46" t="n"/>
      <c r="B1565" s="54" t="n"/>
      <c r="C1565" s="46" t="n"/>
      <c r="D1565" s="46" t="n"/>
      <c r="E1565" s="55" t="n"/>
      <c r="F1565" s="46" t="n"/>
      <c r="G1565" s="46" t="n"/>
      <c r="H1565" s="46" t="n"/>
      <c r="I1565" s="46" t="n"/>
      <c r="J1565" s="46" t="n"/>
      <c r="K1565" s="46" t="n"/>
      <c r="L1565" s="46" t="n"/>
      <c r="M1565" s="51" t="str">
        <f>IF(NOT(ISNUMBER($E1565)),"",IF($C1565="Receipt",$E1565,IF($C1565="Shipment",-$E1565,IF($C1565="Adjustment",$E1565,0))))</f>
        <v/>
      </c>
      <c r="N1565" s="49" t="str">
        <f>IF($D1565="","",IFERROR(INDEX(Products!$B$2:$B$101,MATCH($D1565,Products!$A$2:$A$101,0))&amp;"","(not found)"))</f>
        <v/>
      </c>
      <c r="O1565" s="49" t="str">
        <f>IF($F1565="","",IFERROR(INDEX(Batches!$B$2:$B$301,MATCH($F1565,Batches!$A$2:$A$301,0))&amp;"","(not found)"))</f>
        <v/>
      </c>
      <c r="P1565" s="49" t="str">
        <f>IF(COUNTA($A1565:$L1565)=0,"",IF($A1565="","Missing: entry ID",IF(COUNTIF($A$2:$A$2001,$A1565)&gt;1,"Duplicate entry ID",IF(NOT(ISNUMBER($B1565)),"Missing or invalid: date",IF($C1565="","Missing: type",IF($D1565="","Missing: SKU",IF(NOT(ISNUMBER($E1565)),"Missing: qty",IF($F1565="","Missing: lot",IF($I1565="","Missing: source link",IF(COUNTIF(Config!$A$15:$A$34,$C1565)=0,"Unsupported type",IF(COUNTIF(Products!$A$2:$A$101,$D1565)=0,"Unknown SKU",IF(COUNTIFS(Batches!$A$2:$A$301,$F1565,Batches!$B$2:$B$301,$D1565)=0,"Unknown lot for this SKU",IF(AND($C1565="Adjustment",$G1565=""),"Missing: reason",IF(AND($G1565&lt;&gt;"",COUNTIF(Config!$B$15:$B$34,$G1565)=0),"Unsupported reason",IF(OR(INT($E1565)&lt;&gt;$E1565,AND(OR($C1565="Receipt",$C1565="Shipment"),$E1565&lt;=0),AND($C1565="Adjustment",$E1565=0)),"Invalid qty",IF($B1565&gt;Config!$B$4,"Date after the as-of date",IF($B1565&lt;Config!$B$5,"Date before the opening balance date","OK")))))))))))))))))</f>
        <v/>
      </c>
    </row>
    <row r="1566">
      <c r="A1566" s="46" t="n"/>
      <c r="B1566" s="54" t="n"/>
      <c r="C1566" s="46" t="n"/>
      <c r="D1566" s="46" t="n"/>
      <c r="E1566" s="55" t="n"/>
      <c r="F1566" s="46" t="n"/>
      <c r="G1566" s="46" t="n"/>
      <c r="H1566" s="46" t="n"/>
      <c r="I1566" s="46" t="n"/>
      <c r="J1566" s="46" t="n"/>
      <c r="K1566" s="46" t="n"/>
      <c r="L1566" s="46" t="n"/>
      <c r="M1566" s="51" t="str">
        <f>IF(NOT(ISNUMBER($E1566)),"",IF($C1566="Receipt",$E1566,IF($C1566="Shipment",-$E1566,IF($C1566="Adjustment",$E1566,0))))</f>
        <v/>
      </c>
      <c r="N1566" s="49" t="str">
        <f>IF($D1566="","",IFERROR(INDEX(Products!$B$2:$B$101,MATCH($D1566,Products!$A$2:$A$101,0))&amp;"","(not found)"))</f>
        <v/>
      </c>
      <c r="O1566" s="49" t="str">
        <f>IF($F1566="","",IFERROR(INDEX(Batches!$B$2:$B$301,MATCH($F1566,Batches!$A$2:$A$301,0))&amp;"","(not found)"))</f>
        <v/>
      </c>
      <c r="P1566" s="49" t="str">
        <f>IF(COUNTA($A1566:$L1566)=0,"",IF($A1566="","Missing: entry ID",IF(COUNTIF($A$2:$A$2001,$A1566)&gt;1,"Duplicate entry ID",IF(NOT(ISNUMBER($B1566)),"Missing or invalid: date",IF($C1566="","Missing: type",IF($D1566="","Missing: SKU",IF(NOT(ISNUMBER($E1566)),"Missing: qty",IF($F1566="","Missing: lot",IF($I1566="","Missing: source link",IF(COUNTIF(Config!$A$15:$A$34,$C1566)=0,"Unsupported type",IF(COUNTIF(Products!$A$2:$A$101,$D1566)=0,"Unknown SKU",IF(COUNTIFS(Batches!$A$2:$A$301,$F1566,Batches!$B$2:$B$301,$D1566)=0,"Unknown lot for this SKU",IF(AND($C1566="Adjustment",$G1566=""),"Missing: reason",IF(AND($G1566&lt;&gt;"",COUNTIF(Config!$B$15:$B$34,$G1566)=0),"Unsupported reason",IF(OR(INT($E1566)&lt;&gt;$E1566,AND(OR($C1566="Receipt",$C1566="Shipment"),$E1566&lt;=0),AND($C1566="Adjustment",$E1566=0)),"Invalid qty",IF($B1566&gt;Config!$B$4,"Date after the as-of date",IF($B1566&lt;Config!$B$5,"Date before the opening balance date","OK")))))))))))))))))</f>
        <v/>
      </c>
    </row>
    <row r="1567">
      <c r="A1567" s="46" t="n"/>
      <c r="B1567" s="54" t="n"/>
      <c r="C1567" s="46" t="n"/>
      <c r="D1567" s="46" t="n"/>
      <c r="E1567" s="55" t="n"/>
      <c r="F1567" s="46" t="n"/>
      <c r="G1567" s="46" t="n"/>
      <c r="H1567" s="46" t="n"/>
      <c r="I1567" s="46" t="n"/>
      <c r="J1567" s="46" t="n"/>
      <c r="K1567" s="46" t="n"/>
      <c r="L1567" s="46" t="n"/>
      <c r="M1567" s="51" t="str">
        <f>IF(NOT(ISNUMBER($E1567)),"",IF($C1567="Receipt",$E1567,IF($C1567="Shipment",-$E1567,IF($C1567="Adjustment",$E1567,0))))</f>
        <v/>
      </c>
      <c r="N1567" s="49" t="str">
        <f>IF($D1567="","",IFERROR(INDEX(Products!$B$2:$B$101,MATCH($D1567,Products!$A$2:$A$101,0))&amp;"","(not found)"))</f>
        <v/>
      </c>
      <c r="O1567" s="49" t="str">
        <f>IF($F1567="","",IFERROR(INDEX(Batches!$B$2:$B$301,MATCH($F1567,Batches!$A$2:$A$301,0))&amp;"","(not found)"))</f>
        <v/>
      </c>
      <c r="P1567" s="49" t="str">
        <f>IF(COUNTA($A1567:$L1567)=0,"",IF($A1567="","Missing: entry ID",IF(COUNTIF($A$2:$A$2001,$A1567)&gt;1,"Duplicate entry ID",IF(NOT(ISNUMBER($B1567)),"Missing or invalid: date",IF($C1567="","Missing: type",IF($D1567="","Missing: SKU",IF(NOT(ISNUMBER($E1567)),"Missing: qty",IF($F1567="","Missing: lot",IF($I1567="","Missing: source link",IF(COUNTIF(Config!$A$15:$A$34,$C1567)=0,"Unsupported type",IF(COUNTIF(Products!$A$2:$A$101,$D1567)=0,"Unknown SKU",IF(COUNTIFS(Batches!$A$2:$A$301,$F1567,Batches!$B$2:$B$301,$D1567)=0,"Unknown lot for this SKU",IF(AND($C1567="Adjustment",$G1567=""),"Missing: reason",IF(AND($G1567&lt;&gt;"",COUNTIF(Config!$B$15:$B$34,$G1567)=0),"Unsupported reason",IF(OR(INT($E1567)&lt;&gt;$E1567,AND(OR($C1567="Receipt",$C1567="Shipment"),$E1567&lt;=0),AND($C1567="Adjustment",$E1567=0)),"Invalid qty",IF($B1567&gt;Config!$B$4,"Date after the as-of date",IF($B1567&lt;Config!$B$5,"Date before the opening balance date","OK")))))))))))))))))</f>
        <v/>
      </c>
    </row>
    <row r="1568">
      <c r="A1568" s="46" t="n"/>
      <c r="B1568" s="54" t="n"/>
      <c r="C1568" s="46" t="n"/>
      <c r="D1568" s="46" t="n"/>
      <c r="E1568" s="55" t="n"/>
      <c r="F1568" s="46" t="n"/>
      <c r="G1568" s="46" t="n"/>
      <c r="H1568" s="46" t="n"/>
      <c r="I1568" s="46" t="n"/>
      <c r="J1568" s="46" t="n"/>
      <c r="K1568" s="46" t="n"/>
      <c r="L1568" s="46" t="n"/>
      <c r="M1568" s="51" t="str">
        <f>IF(NOT(ISNUMBER($E1568)),"",IF($C1568="Receipt",$E1568,IF($C1568="Shipment",-$E1568,IF($C1568="Adjustment",$E1568,0))))</f>
        <v/>
      </c>
      <c r="N1568" s="49" t="str">
        <f>IF($D1568="","",IFERROR(INDEX(Products!$B$2:$B$101,MATCH($D1568,Products!$A$2:$A$101,0))&amp;"","(not found)"))</f>
        <v/>
      </c>
      <c r="O1568" s="49" t="str">
        <f>IF($F1568="","",IFERROR(INDEX(Batches!$B$2:$B$301,MATCH($F1568,Batches!$A$2:$A$301,0))&amp;"","(not found)"))</f>
        <v/>
      </c>
      <c r="P1568" s="49" t="str">
        <f>IF(COUNTA($A1568:$L1568)=0,"",IF($A1568="","Missing: entry ID",IF(COUNTIF($A$2:$A$2001,$A1568)&gt;1,"Duplicate entry ID",IF(NOT(ISNUMBER($B1568)),"Missing or invalid: date",IF($C1568="","Missing: type",IF($D1568="","Missing: SKU",IF(NOT(ISNUMBER($E1568)),"Missing: qty",IF($F1568="","Missing: lot",IF($I1568="","Missing: source link",IF(COUNTIF(Config!$A$15:$A$34,$C1568)=0,"Unsupported type",IF(COUNTIF(Products!$A$2:$A$101,$D1568)=0,"Unknown SKU",IF(COUNTIFS(Batches!$A$2:$A$301,$F1568,Batches!$B$2:$B$301,$D1568)=0,"Unknown lot for this SKU",IF(AND($C1568="Adjustment",$G1568=""),"Missing: reason",IF(AND($G1568&lt;&gt;"",COUNTIF(Config!$B$15:$B$34,$G1568)=0),"Unsupported reason",IF(OR(INT($E1568)&lt;&gt;$E1568,AND(OR($C1568="Receipt",$C1568="Shipment"),$E1568&lt;=0),AND($C1568="Adjustment",$E1568=0)),"Invalid qty",IF($B1568&gt;Config!$B$4,"Date after the as-of date",IF($B1568&lt;Config!$B$5,"Date before the opening balance date","OK")))))))))))))))))</f>
        <v/>
      </c>
    </row>
    <row r="1569">
      <c r="A1569" s="46" t="n"/>
      <c r="B1569" s="54" t="n"/>
      <c r="C1569" s="46" t="n"/>
      <c r="D1569" s="46" t="n"/>
      <c r="E1569" s="55" t="n"/>
      <c r="F1569" s="46" t="n"/>
      <c r="G1569" s="46" t="n"/>
      <c r="H1569" s="46" t="n"/>
      <c r="I1569" s="46" t="n"/>
      <c r="J1569" s="46" t="n"/>
      <c r="K1569" s="46" t="n"/>
      <c r="L1569" s="46" t="n"/>
      <c r="M1569" s="51" t="str">
        <f>IF(NOT(ISNUMBER($E1569)),"",IF($C1569="Receipt",$E1569,IF($C1569="Shipment",-$E1569,IF($C1569="Adjustment",$E1569,0))))</f>
        <v/>
      </c>
      <c r="N1569" s="49" t="str">
        <f>IF($D1569="","",IFERROR(INDEX(Products!$B$2:$B$101,MATCH($D1569,Products!$A$2:$A$101,0))&amp;"","(not found)"))</f>
        <v/>
      </c>
      <c r="O1569" s="49" t="str">
        <f>IF($F1569="","",IFERROR(INDEX(Batches!$B$2:$B$301,MATCH($F1569,Batches!$A$2:$A$301,0))&amp;"","(not found)"))</f>
        <v/>
      </c>
      <c r="P1569" s="49" t="str">
        <f>IF(COUNTA($A1569:$L1569)=0,"",IF($A1569="","Missing: entry ID",IF(COUNTIF($A$2:$A$2001,$A1569)&gt;1,"Duplicate entry ID",IF(NOT(ISNUMBER($B1569)),"Missing or invalid: date",IF($C1569="","Missing: type",IF($D1569="","Missing: SKU",IF(NOT(ISNUMBER($E1569)),"Missing: qty",IF($F1569="","Missing: lot",IF($I1569="","Missing: source link",IF(COUNTIF(Config!$A$15:$A$34,$C1569)=0,"Unsupported type",IF(COUNTIF(Products!$A$2:$A$101,$D1569)=0,"Unknown SKU",IF(COUNTIFS(Batches!$A$2:$A$301,$F1569,Batches!$B$2:$B$301,$D1569)=0,"Unknown lot for this SKU",IF(AND($C1569="Adjustment",$G1569=""),"Missing: reason",IF(AND($G1569&lt;&gt;"",COUNTIF(Config!$B$15:$B$34,$G1569)=0),"Unsupported reason",IF(OR(INT($E1569)&lt;&gt;$E1569,AND(OR($C1569="Receipt",$C1569="Shipment"),$E1569&lt;=0),AND($C1569="Adjustment",$E1569=0)),"Invalid qty",IF($B1569&gt;Config!$B$4,"Date after the as-of date",IF($B1569&lt;Config!$B$5,"Date before the opening balance date","OK")))))))))))))))))</f>
        <v/>
      </c>
    </row>
    <row r="1570">
      <c r="A1570" s="46" t="n"/>
      <c r="B1570" s="54" t="n"/>
      <c r="C1570" s="46" t="n"/>
      <c r="D1570" s="46" t="n"/>
      <c r="E1570" s="55" t="n"/>
      <c r="F1570" s="46" t="n"/>
      <c r="G1570" s="46" t="n"/>
      <c r="H1570" s="46" t="n"/>
      <c r="I1570" s="46" t="n"/>
      <c r="J1570" s="46" t="n"/>
      <c r="K1570" s="46" t="n"/>
      <c r="L1570" s="46" t="n"/>
      <c r="M1570" s="51" t="str">
        <f>IF(NOT(ISNUMBER($E1570)),"",IF($C1570="Receipt",$E1570,IF($C1570="Shipment",-$E1570,IF($C1570="Adjustment",$E1570,0))))</f>
        <v/>
      </c>
      <c r="N1570" s="49" t="str">
        <f>IF($D1570="","",IFERROR(INDEX(Products!$B$2:$B$101,MATCH($D1570,Products!$A$2:$A$101,0))&amp;"","(not found)"))</f>
        <v/>
      </c>
      <c r="O1570" s="49" t="str">
        <f>IF($F1570="","",IFERROR(INDEX(Batches!$B$2:$B$301,MATCH($F1570,Batches!$A$2:$A$301,0))&amp;"","(not found)"))</f>
        <v/>
      </c>
      <c r="P1570" s="49" t="str">
        <f>IF(COUNTA($A1570:$L1570)=0,"",IF($A1570="","Missing: entry ID",IF(COUNTIF($A$2:$A$2001,$A1570)&gt;1,"Duplicate entry ID",IF(NOT(ISNUMBER($B1570)),"Missing or invalid: date",IF($C1570="","Missing: type",IF($D1570="","Missing: SKU",IF(NOT(ISNUMBER($E1570)),"Missing: qty",IF($F1570="","Missing: lot",IF($I1570="","Missing: source link",IF(COUNTIF(Config!$A$15:$A$34,$C1570)=0,"Unsupported type",IF(COUNTIF(Products!$A$2:$A$101,$D1570)=0,"Unknown SKU",IF(COUNTIFS(Batches!$A$2:$A$301,$F1570,Batches!$B$2:$B$301,$D1570)=0,"Unknown lot for this SKU",IF(AND($C1570="Adjustment",$G1570=""),"Missing: reason",IF(AND($G1570&lt;&gt;"",COUNTIF(Config!$B$15:$B$34,$G1570)=0),"Unsupported reason",IF(OR(INT($E1570)&lt;&gt;$E1570,AND(OR($C1570="Receipt",$C1570="Shipment"),$E1570&lt;=0),AND($C1570="Adjustment",$E1570=0)),"Invalid qty",IF($B1570&gt;Config!$B$4,"Date after the as-of date",IF($B1570&lt;Config!$B$5,"Date before the opening balance date","OK")))))))))))))))))</f>
        <v/>
      </c>
    </row>
    <row r="1571">
      <c r="A1571" s="46" t="n"/>
      <c r="B1571" s="54" t="n"/>
      <c r="C1571" s="46" t="n"/>
      <c r="D1571" s="46" t="n"/>
      <c r="E1571" s="55" t="n"/>
      <c r="F1571" s="46" t="n"/>
      <c r="G1571" s="46" t="n"/>
      <c r="H1571" s="46" t="n"/>
      <c r="I1571" s="46" t="n"/>
      <c r="J1571" s="46" t="n"/>
      <c r="K1571" s="46" t="n"/>
      <c r="L1571" s="46" t="n"/>
      <c r="M1571" s="51" t="str">
        <f>IF(NOT(ISNUMBER($E1571)),"",IF($C1571="Receipt",$E1571,IF($C1571="Shipment",-$E1571,IF($C1571="Adjustment",$E1571,0))))</f>
        <v/>
      </c>
      <c r="N1571" s="49" t="str">
        <f>IF($D1571="","",IFERROR(INDEX(Products!$B$2:$B$101,MATCH($D1571,Products!$A$2:$A$101,0))&amp;"","(not found)"))</f>
        <v/>
      </c>
      <c r="O1571" s="49" t="str">
        <f>IF($F1571="","",IFERROR(INDEX(Batches!$B$2:$B$301,MATCH($F1571,Batches!$A$2:$A$301,0))&amp;"","(not found)"))</f>
        <v/>
      </c>
      <c r="P1571" s="49" t="str">
        <f>IF(COUNTA($A1571:$L1571)=0,"",IF($A1571="","Missing: entry ID",IF(COUNTIF($A$2:$A$2001,$A1571)&gt;1,"Duplicate entry ID",IF(NOT(ISNUMBER($B1571)),"Missing or invalid: date",IF($C1571="","Missing: type",IF($D1571="","Missing: SKU",IF(NOT(ISNUMBER($E1571)),"Missing: qty",IF($F1571="","Missing: lot",IF($I1571="","Missing: source link",IF(COUNTIF(Config!$A$15:$A$34,$C1571)=0,"Unsupported type",IF(COUNTIF(Products!$A$2:$A$101,$D1571)=0,"Unknown SKU",IF(COUNTIFS(Batches!$A$2:$A$301,$F1571,Batches!$B$2:$B$301,$D1571)=0,"Unknown lot for this SKU",IF(AND($C1571="Adjustment",$G1571=""),"Missing: reason",IF(AND($G1571&lt;&gt;"",COUNTIF(Config!$B$15:$B$34,$G1571)=0),"Unsupported reason",IF(OR(INT($E1571)&lt;&gt;$E1571,AND(OR($C1571="Receipt",$C1571="Shipment"),$E1571&lt;=0),AND($C1571="Adjustment",$E1571=0)),"Invalid qty",IF($B1571&gt;Config!$B$4,"Date after the as-of date",IF($B1571&lt;Config!$B$5,"Date before the opening balance date","OK")))))))))))))))))</f>
        <v/>
      </c>
    </row>
    <row r="1572">
      <c r="A1572" s="46" t="n"/>
      <c r="B1572" s="54" t="n"/>
      <c r="C1572" s="46" t="n"/>
      <c r="D1572" s="46" t="n"/>
      <c r="E1572" s="55" t="n"/>
      <c r="F1572" s="46" t="n"/>
      <c r="G1572" s="46" t="n"/>
      <c r="H1572" s="46" t="n"/>
      <c r="I1572" s="46" t="n"/>
      <c r="J1572" s="46" t="n"/>
      <c r="K1572" s="46" t="n"/>
      <c r="L1572" s="46" t="n"/>
      <c r="M1572" s="51" t="str">
        <f>IF(NOT(ISNUMBER($E1572)),"",IF($C1572="Receipt",$E1572,IF($C1572="Shipment",-$E1572,IF($C1572="Adjustment",$E1572,0))))</f>
        <v/>
      </c>
      <c r="N1572" s="49" t="str">
        <f>IF($D1572="","",IFERROR(INDEX(Products!$B$2:$B$101,MATCH($D1572,Products!$A$2:$A$101,0))&amp;"","(not found)"))</f>
        <v/>
      </c>
      <c r="O1572" s="49" t="str">
        <f>IF($F1572="","",IFERROR(INDEX(Batches!$B$2:$B$301,MATCH($F1572,Batches!$A$2:$A$301,0))&amp;"","(not found)"))</f>
        <v/>
      </c>
      <c r="P1572" s="49" t="str">
        <f>IF(COUNTA($A1572:$L1572)=0,"",IF($A1572="","Missing: entry ID",IF(COUNTIF($A$2:$A$2001,$A1572)&gt;1,"Duplicate entry ID",IF(NOT(ISNUMBER($B1572)),"Missing or invalid: date",IF($C1572="","Missing: type",IF($D1572="","Missing: SKU",IF(NOT(ISNUMBER($E1572)),"Missing: qty",IF($F1572="","Missing: lot",IF($I1572="","Missing: source link",IF(COUNTIF(Config!$A$15:$A$34,$C1572)=0,"Unsupported type",IF(COUNTIF(Products!$A$2:$A$101,$D1572)=0,"Unknown SKU",IF(COUNTIFS(Batches!$A$2:$A$301,$F1572,Batches!$B$2:$B$301,$D1572)=0,"Unknown lot for this SKU",IF(AND($C1572="Adjustment",$G1572=""),"Missing: reason",IF(AND($G1572&lt;&gt;"",COUNTIF(Config!$B$15:$B$34,$G1572)=0),"Unsupported reason",IF(OR(INT($E1572)&lt;&gt;$E1572,AND(OR($C1572="Receipt",$C1572="Shipment"),$E1572&lt;=0),AND($C1572="Adjustment",$E1572=0)),"Invalid qty",IF($B1572&gt;Config!$B$4,"Date after the as-of date",IF($B1572&lt;Config!$B$5,"Date before the opening balance date","OK")))))))))))))))))</f>
        <v/>
      </c>
    </row>
    <row r="1573">
      <c r="A1573" s="46" t="n"/>
      <c r="B1573" s="54" t="n"/>
      <c r="C1573" s="46" t="n"/>
      <c r="D1573" s="46" t="n"/>
      <c r="E1573" s="55" t="n"/>
      <c r="F1573" s="46" t="n"/>
      <c r="G1573" s="46" t="n"/>
      <c r="H1573" s="46" t="n"/>
      <c r="I1573" s="46" t="n"/>
      <c r="J1573" s="46" t="n"/>
      <c r="K1573" s="46" t="n"/>
      <c r="L1573" s="46" t="n"/>
      <c r="M1573" s="51" t="str">
        <f>IF(NOT(ISNUMBER($E1573)),"",IF($C1573="Receipt",$E1573,IF($C1573="Shipment",-$E1573,IF($C1573="Adjustment",$E1573,0))))</f>
        <v/>
      </c>
      <c r="N1573" s="49" t="str">
        <f>IF($D1573="","",IFERROR(INDEX(Products!$B$2:$B$101,MATCH($D1573,Products!$A$2:$A$101,0))&amp;"","(not found)"))</f>
        <v/>
      </c>
      <c r="O1573" s="49" t="str">
        <f>IF($F1573="","",IFERROR(INDEX(Batches!$B$2:$B$301,MATCH($F1573,Batches!$A$2:$A$301,0))&amp;"","(not found)"))</f>
        <v/>
      </c>
      <c r="P1573" s="49" t="str">
        <f>IF(COUNTA($A1573:$L1573)=0,"",IF($A1573="","Missing: entry ID",IF(COUNTIF($A$2:$A$2001,$A1573)&gt;1,"Duplicate entry ID",IF(NOT(ISNUMBER($B1573)),"Missing or invalid: date",IF($C1573="","Missing: type",IF($D1573="","Missing: SKU",IF(NOT(ISNUMBER($E1573)),"Missing: qty",IF($F1573="","Missing: lot",IF($I1573="","Missing: source link",IF(COUNTIF(Config!$A$15:$A$34,$C1573)=0,"Unsupported type",IF(COUNTIF(Products!$A$2:$A$101,$D1573)=0,"Unknown SKU",IF(COUNTIFS(Batches!$A$2:$A$301,$F1573,Batches!$B$2:$B$301,$D1573)=0,"Unknown lot for this SKU",IF(AND($C1573="Adjustment",$G1573=""),"Missing: reason",IF(AND($G1573&lt;&gt;"",COUNTIF(Config!$B$15:$B$34,$G1573)=0),"Unsupported reason",IF(OR(INT($E1573)&lt;&gt;$E1573,AND(OR($C1573="Receipt",$C1573="Shipment"),$E1573&lt;=0),AND($C1573="Adjustment",$E1573=0)),"Invalid qty",IF($B1573&gt;Config!$B$4,"Date after the as-of date",IF($B1573&lt;Config!$B$5,"Date before the opening balance date","OK")))))))))))))))))</f>
        <v/>
      </c>
    </row>
    <row r="1574">
      <c r="A1574" s="46" t="n"/>
      <c r="B1574" s="54" t="n"/>
      <c r="C1574" s="46" t="n"/>
      <c r="D1574" s="46" t="n"/>
      <c r="E1574" s="55" t="n"/>
      <c r="F1574" s="46" t="n"/>
      <c r="G1574" s="46" t="n"/>
      <c r="H1574" s="46" t="n"/>
      <c r="I1574" s="46" t="n"/>
      <c r="J1574" s="46" t="n"/>
      <c r="K1574" s="46" t="n"/>
      <c r="L1574" s="46" t="n"/>
      <c r="M1574" s="51" t="str">
        <f>IF(NOT(ISNUMBER($E1574)),"",IF($C1574="Receipt",$E1574,IF($C1574="Shipment",-$E1574,IF($C1574="Adjustment",$E1574,0))))</f>
        <v/>
      </c>
      <c r="N1574" s="49" t="str">
        <f>IF($D1574="","",IFERROR(INDEX(Products!$B$2:$B$101,MATCH($D1574,Products!$A$2:$A$101,0))&amp;"","(not found)"))</f>
        <v/>
      </c>
      <c r="O1574" s="49" t="str">
        <f>IF($F1574="","",IFERROR(INDEX(Batches!$B$2:$B$301,MATCH($F1574,Batches!$A$2:$A$301,0))&amp;"","(not found)"))</f>
        <v/>
      </c>
      <c r="P1574" s="49" t="str">
        <f>IF(COUNTA($A1574:$L1574)=0,"",IF($A1574="","Missing: entry ID",IF(COUNTIF($A$2:$A$2001,$A1574)&gt;1,"Duplicate entry ID",IF(NOT(ISNUMBER($B1574)),"Missing or invalid: date",IF($C1574="","Missing: type",IF($D1574="","Missing: SKU",IF(NOT(ISNUMBER($E1574)),"Missing: qty",IF($F1574="","Missing: lot",IF($I1574="","Missing: source link",IF(COUNTIF(Config!$A$15:$A$34,$C1574)=0,"Unsupported type",IF(COUNTIF(Products!$A$2:$A$101,$D1574)=0,"Unknown SKU",IF(COUNTIFS(Batches!$A$2:$A$301,$F1574,Batches!$B$2:$B$301,$D1574)=0,"Unknown lot for this SKU",IF(AND($C1574="Adjustment",$G1574=""),"Missing: reason",IF(AND($G1574&lt;&gt;"",COUNTIF(Config!$B$15:$B$34,$G1574)=0),"Unsupported reason",IF(OR(INT($E1574)&lt;&gt;$E1574,AND(OR($C1574="Receipt",$C1574="Shipment"),$E1574&lt;=0),AND($C1574="Adjustment",$E1574=0)),"Invalid qty",IF($B1574&gt;Config!$B$4,"Date after the as-of date",IF($B1574&lt;Config!$B$5,"Date before the opening balance date","OK")))))))))))))))))</f>
        <v/>
      </c>
    </row>
    <row r="1575">
      <c r="A1575" s="46" t="n"/>
      <c r="B1575" s="54" t="n"/>
      <c r="C1575" s="46" t="n"/>
      <c r="D1575" s="46" t="n"/>
      <c r="E1575" s="55" t="n"/>
      <c r="F1575" s="46" t="n"/>
      <c r="G1575" s="46" t="n"/>
      <c r="H1575" s="46" t="n"/>
      <c r="I1575" s="46" t="n"/>
      <c r="J1575" s="46" t="n"/>
      <c r="K1575" s="46" t="n"/>
      <c r="L1575" s="46" t="n"/>
      <c r="M1575" s="51" t="str">
        <f>IF(NOT(ISNUMBER($E1575)),"",IF($C1575="Receipt",$E1575,IF($C1575="Shipment",-$E1575,IF($C1575="Adjustment",$E1575,0))))</f>
        <v/>
      </c>
      <c r="N1575" s="49" t="str">
        <f>IF($D1575="","",IFERROR(INDEX(Products!$B$2:$B$101,MATCH($D1575,Products!$A$2:$A$101,0))&amp;"","(not found)"))</f>
        <v/>
      </c>
      <c r="O1575" s="49" t="str">
        <f>IF($F1575="","",IFERROR(INDEX(Batches!$B$2:$B$301,MATCH($F1575,Batches!$A$2:$A$301,0))&amp;"","(not found)"))</f>
        <v/>
      </c>
      <c r="P1575" s="49" t="str">
        <f>IF(COUNTA($A1575:$L1575)=0,"",IF($A1575="","Missing: entry ID",IF(COUNTIF($A$2:$A$2001,$A1575)&gt;1,"Duplicate entry ID",IF(NOT(ISNUMBER($B1575)),"Missing or invalid: date",IF($C1575="","Missing: type",IF($D1575="","Missing: SKU",IF(NOT(ISNUMBER($E1575)),"Missing: qty",IF($F1575="","Missing: lot",IF($I1575="","Missing: source link",IF(COUNTIF(Config!$A$15:$A$34,$C1575)=0,"Unsupported type",IF(COUNTIF(Products!$A$2:$A$101,$D1575)=0,"Unknown SKU",IF(COUNTIFS(Batches!$A$2:$A$301,$F1575,Batches!$B$2:$B$301,$D1575)=0,"Unknown lot for this SKU",IF(AND($C1575="Adjustment",$G1575=""),"Missing: reason",IF(AND($G1575&lt;&gt;"",COUNTIF(Config!$B$15:$B$34,$G1575)=0),"Unsupported reason",IF(OR(INT($E1575)&lt;&gt;$E1575,AND(OR($C1575="Receipt",$C1575="Shipment"),$E1575&lt;=0),AND($C1575="Adjustment",$E1575=0)),"Invalid qty",IF($B1575&gt;Config!$B$4,"Date after the as-of date",IF($B1575&lt;Config!$B$5,"Date before the opening balance date","OK")))))))))))))))))</f>
        <v/>
      </c>
    </row>
    <row r="1576">
      <c r="A1576" s="46" t="n"/>
      <c r="B1576" s="54" t="n"/>
      <c r="C1576" s="46" t="n"/>
      <c r="D1576" s="46" t="n"/>
      <c r="E1576" s="55" t="n"/>
      <c r="F1576" s="46" t="n"/>
      <c r="G1576" s="46" t="n"/>
      <c r="H1576" s="46" t="n"/>
      <c r="I1576" s="46" t="n"/>
      <c r="J1576" s="46" t="n"/>
      <c r="K1576" s="46" t="n"/>
      <c r="L1576" s="46" t="n"/>
      <c r="M1576" s="51" t="str">
        <f>IF(NOT(ISNUMBER($E1576)),"",IF($C1576="Receipt",$E1576,IF($C1576="Shipment",-$E1576,IF($C1576="Adjustment",$E1576,0))))</f>
        <v/>
      </c>
      <c r="N1576" s="49" t="str">
        <f>IF($D1576="","",IFERROR(INDEX(Products!$B$2:$B$101,MATCH($D1576,Products!$A$2:$A$101,0))&amp;"","(not found)"))</f>
        <v/>
      </c>
      <c r="O1576" s="49" t="str">
        <f>IF($F1576="","",IFERROR(INDEX(Batches!$B$2:$B$301,MATCH($F1576,Batches!$A$2:$A$301,0))&amp;"","(not found)"))</f>
        <v/>
      </c>
      <c r="P1576" s="49" t="str">
        <f>IF(COUNTA($A1576:$L1576)=0,"",IF($A1576="","Missing: entry ID",IF(COUNTIF($A$2:$A$2001,$A1576)&gt;1,"Duplicate entry ID",IF(NOT(ISNUMBER($B1576)),"Missing or invalid: date",IF($C1576="","Missing: type",IF($D1576="","Missing: SKU",IF(NOT(ISNUMBER($E1576)),"Missing: qty",IF($F1576="","Missing: lot",IF($I1576="","Missing: source link",IF(COUNTIF(Config!$A$15:$A$34,$C1576)=0,"Unsupported type",IF(COUNTIF(Products!$A$2:$A$101,$D1576)=0,"Unknown SKU",IF(COUNTIFS(Batches!$A$2:$A$301,$F1576,Batches!$B$2:$B$301,$D1576)=0,"Unknown lot for this SKU",IF(AND($C1576="Adjustment",$G1576=""),"Missing: reason",IF(AND($G1576&lt;&gt;"",COUNTIF(Config!$B$15:$B$34,$G1576)=0),"Unsupported reason",IF(OR(INT($E1576)&lt;&gt;$E1576,AND(OR($C1576="Receipt",$C1576="Shipment"),$E1576&lt;=0),AND($C1576="Adjustment",$E1576=0)),"Invalid qty",IF($B1576&gt;Config!$B$4,"Date after the as-of date",IF($B1576&lt;Config!$B$5,"Date before the opening balance date","OK")))))))))))))))))</f>
        <v/>
      </c>
    </row>
    <row r="1577">
      <c r="A1577" s="46" t="n"/>
      <c r="B1577" s="54" t="n"/>
      <c r="C1577" s="46" t="n"/>
      <c r="D1577" s="46" t="n"/>
      <c r="E1577" s="55" t="n"/>
      <c r="F1577" s="46" t="n"/>
      <c r="G1577" s="46" t="n"/>
      <c r="H1577" s="46" t="n"/>
      <c r="I1577" s="46" t="n"/>
      <c r="J1577" s="46" t="n"/>
      <c r="K1577" s="46" t="n"/>
      <c r="L1577" s="46" t="n"/>
      <c r="M1577" s="51" t="str">
        <f>IF(NOT(ISNUMBER($E1577)),"",IF($C1577="Receipt",$E1577,IF($C1577="Shipment",-$E1577,IF($C1577="Adjustment",$E1577,0))))</f>
        <v/>
      </c>
      <c r="N1577" s="49" t="str">
        <f>IF($D1577="","",IFERROR(INDEX(Products!$B$2:$B$101,MATCH($D1577,Products!$A$2:$A$101,0))&amp;"","(not found)"))</f>
        <v/>
      </c>
      <c r="O1577" s="49" t="str">
        <f>IF($F1577="","",IFERROR(INDEX(Batches!$B$2:$B$301,MATCH($F1577,Batches!$A$2:$A$301,0))&amp;"","(not found)"))</f>
        <v/>
      </c>
      <c r="P1577" s="49" t="str">
        <f>IF(COUNTA($A1577:$L1577)=0,"",IF($A1577="","Missing: entry ID",IF(COUNTIF($A$2:$A$2001,$A1577)&gt;1,"Duplicate entry ID",IF(NOT(ISNUMBER($B1577)),"Missing or invalid: date",IF($C1577="","Missing: type",IF($D1577="","Missing: SKU",IF(NOT(ISNUMBER($E1577)),"Missing: qty",IF($F1577="","Missing: lot",IF($I1577="","Missing: source link",IF(COUNTIF(Config!$A$15:$A$34,$C1577)=0,"Unsupported type",IF(COUNTIF(Products!$A$2:$A$101,$D1577)=0,"Unknown SKU",IF(COUNTIFS(Batches!$A$2:$A$301,$F1577,Batches!$B$2:$B$301,$D1577)=0,"Unknown lot for this SKU",IF(AND($C1577="Adjustment",$G1577=""),"Missing: reason",IF(AND($G1577&lt;&gt;"",COUNTIF(Config!$B$15:$B$34,$G1577)=0),"Unsupported reason",IF(OR(INT($E1577)&lt;&gt;$E1577,AND(OR($C1577="Receipt",$C1577="Shipment"),$E1577&lt;=0),AND($C1577="Adjustment",$E1577=0)),"Invalid qty",IF($B1577&gt;Config!$B$4,"Date after the as-of date",IF($B1577&lt;Config!$B$5,"Date before the opening balance date","OK")))))))))))))))))</f>
        <v/>
      </c>
    </row>
    <row r="1578">
      <c r="A1578" s="46" t="n"/>
      <c r="B1578" s="54" t="n"/>
      <c r="C1578" s="46" t="n"/>
      <c r="D1578" s="46" t="n"/>
      <c r="E1578" s="55" t="n"/>
      <c r="F1578" s="46" t="n"/>
      <c r="G1578" s="46" t="n"/>
      <c r="H1578" s="46" t="n"/>
      <c r="I1578" s="46" t="n"/>
      <c r="J1578" s="46" t="n"/>
      <c r="K1578" s="46" t="n"/>
      <c r="L1578" s="46" t="n"/>
      <c r="M1578" s="51" t="str">
        <f>IF(NOT(ISNUMBER($E1578)),"",IF($C1578="Receipt",$E1578,IF($C1578="Shipment",-$E1578,IF($C1578="Adjustment",$E1578,0))))</f>
        <v/>
      </c>
      <c r="N1578" s="49" t="str">
        <f>IF($D1578="","",IFERROR(INDEX(Products!$B$2:$B$101,MATCH($D1578,Products!$A$2:$A$101,0))&amp;"","(not found)"))</f>
        <v/>
      </c>
      <c r="O1578" s="49" t="str">
        <f>IF($F1578="","",IFERROR(INDEX(Batches!$B$2:$B$301,MATCH($F1578,Batches!$A$2:$A$301,0))&amp;"","(not found)"))</f>
        <v/>
      </c>
      <c r="P1578" s="49" t="str">
        <f>IF(COUNTA($A1578:$L1578)=0,"",IF($A1578="","Missing: entry ID",IF(COUNTIF($A$2:$A$2001,$A1578)&gt;1,"Duplicate entry ID",IF(NOT(ISNUMBER($B1578)),"Missing or invalid: date",IF($C1578="","Missing: type",IF($D1578="","Missing: SKU",IF(NOT(ISNUMBER($E1578)),"Missing: qty",IF($F1578="","Missing: lot",IF($I1578="","Missing: source link",IF(COUNTIF(Config!$A$15:$A$34,$C1578)=0,"Unsupported type",IF(COUNTIF(Products!$A$2:$A$101,$D1578)=0,"Unknown SKU",IF(COUNTIFS(Batches!$A$2:$A$301,$F1578,Batches!$B$2:$B$301,$D1578)=0,"Unknown lot for this SKU",IF(AND($C1578="Adjustment",$G1578=""),"Missing: reason",IF(AND($G1578&lt;&gt;"",COUNTIF(Config!$B$15:$B$34,$G1578)=0),"Unsupported reason",IF(OR(INT($E1578)&lt;&gt;$E1578,AND(OR($C1578="Receipt",$C1578="Shipment"),$E1578&lt;=0),AND($C1578="Adjustment",$E1578=0)),"Invalid qty",IF($B1578&gt;Config!$B$4,"Date after the as-of date",IF($B1578&lt;Config!$B$5,"Date before the opening balance date","OK")))))))))))))))))</f>
        <v/>
      </c>
    </row>
    <row r="1579">
      <c r="A1579" s="46" t="n"/>
      <c r="B1579" s="54" t="n"/>
      <c r="C1579" s="46" t="n"/>
      <c r="D1579" s="46" t="n"/>
      <c r="E1579" s="55" t="n"/>
      <c r="F1579" s="46" t="n"/>
      <c r="G1579" s="46" t="n"/>
      <c r="H1579" s="46" t="n"/>
      <c r="I1579" s="46" t="n"/>
      <c r="J1579" s="46" t="n"/>
      <c r="K1579" s="46" t="n"/>
      <c r="L1579" s="46" t="n"/>
      <c r="M1579" s="51" t="str">
        <f>IF(NOT(ISNUMBER($E1579)),"",IF($C1579="Receipt",$E1579,IF($C1579="Shipment",-$E1579,IF($C1579="Adjustment",$E1579,0))))</f>
        <v/>
      </c>
      <c r="N1579" s="49" t="str">
        <f>IF($D1579="","",IFERROR(INDEX(Products!$B$2:$B$101,MATCH($D1579,Products!$A$2:$A$101,0))&amp;"","(not found)"))</f>
        <v/>
      </c>
      <c r="O1579" s="49" t="str">
        <f>IF($F1579="","",IFERROR(INDEX(Batches!$B$2:$B$301,MATCH($F1579,Batches!$A$2:$A$301,0))&amp;"","(not found)"))</f>
        <v/>
      </c>
      <c r="P1579" s="49" t="str">
        <f>IF(COUNTA($A1579:$L1579)=0,"",IF($A1579="","Missing: entry ID",IF(COUNTIF($A$2:$A$2001,$A1579)&gt;1,"Duplicate entry ID",IF(NOT(ISNUMBER($B1579)),"Missing or invalid: date",IF($C1579="","Missing: type",IF($D1579="","Missing: SKU",IF(NOT(ISNUMBER($E1579)),"Missing: qty",IF($F1579="","Missing: lot",IF($I1579="","Missing: source link",IF(COUNTIF(Config!$A$15:$A$34,$C1579)=0,"Unsupported type",IF(COUNTIF(Products!$A$2:$A$101,$D1579)=0,"Unknown SKU",IF(COUNTIFS(Batches!$A$2:$A$301,$F1579,Batches!$B$2:$B$301,$D1579)=0,"Unknown lot for this SKU",IF(AND($C1579="Adjustment",$G1579=""),"Missing: reason",IF(AND($G1579&lt;&gt;"",COUNTIF(Config!$B$15:$B$34,$G1579)=0),"Unsupported reason",IF(OR(INT($E1579)&lt;&gt;$E1579,AND(OR($C1579="Receipt",$C1579="Shipment"),$E1579&lt;=0),AND($C1579="Adjustment",$E1579=0)),"Invalid qty",IF($B1579&gt;Config!$B$4,"Date after the as-of date",IF($B1579&lt;Config!$B$5,"Date before the opening balance date","OK")))))))))))))))))</f>
        <v/>
      </c>
    </row>
    <row r="1580">
      <c r="A1580" s="46" t="n"/>
      <c r="B1580" s="54" t="n"/>
      <c r="C1580" s="46" t="n"/>
      <c r="D1580" s="46" t="n"/>
      <c r="E1580" s="55" t="n"/>
      <c r="F1580" s="46" t="n"/>
      <c r="G1580" s="46" t="n"/>
      <c r="H1580" s="46" t="n"/>
      <c r="I1580" s="46" t="n"/>
      <c r="J1580" s="46" t="n"/>
      <c r="K1580" s="46" t="n"/>
      <c r="L1580" s="46" t="n"/>
      <c r="M1580" s="51" t="str">
        <f>IF(NOT(ISNUMBER($E1580)),"",IF($C1580="Receipt",$E1580,IF($C1580="Shipment",-$E1580,IF($C1580="Adjustment",$E1580,0))))</f>
        <v/>
      </c>
      <c r="N1580" s="49" t="str">
        <f>IF($D1580="","",IFERROR(INDEX(Products!$B$2:$B$101,MATCH($D1580,Products!$A$2:$A$101,0))&amp;"","(not found)"))</f>
        <v/>
      </c>
      <c r="O1580" s="49" t="str">
        <f>IF($F1580="","",IFERROR(INDEX(Batches!$B$2:$B$301,MATCH($F1580,Batches!$A$2:$A$301,0))&amp;"","(not found)"))</f>
        <v/>
      </c>
      <c r="P1580" s="49" t="str">
        <f>IF(COUNTA($A1580:$L1580)=0,"",IF($A1580="","Missing: entry ID",IF(COUNTIF($A$2:$A$2001,$A1580)&gt;1,"Duplicate entry ID",IF(NOT(ISNUMBER($B1580)),"Missing or invalid: date",IF($C1580="","Missing: type",IF($D1580="","Missing: SKU",IF(NOT(ISNUMBER($E1580)),"Missing: qty",IF($F1580="","Missing: lot",IF($I1580="","Missing: source link",IF(COUNTIF(Config!$A$15:$A$34,$C1580)=0,"Unsupported type",IF(COUNTIF(Products!$A$2:$A$101,$D1580)=0,"Unknown SKU",IF(COUNTIFS(Batches!$A$2:$A$301,$F1580,Batches!$B$2:$B$301,$D1580)=0,"Unknown lot for this SKU",IF(AND($C1580="Adjustment",$G1580=""),"Missing: reason",IF(AND($G1580&lt;&gt;"",COUNTIF(Config!$B$15:$B$34,$G1580)=0),"Unsupported reason",IF(OR(INT($E1580)&lt;&gt;$E1580,AND(OR($C1580="Receipt",$C1580="Shipment"),$E1580&lt;=0),AND($C1580="Adjustment",$E1580=0)),"Invalid qty",IF($B1580&gt;Config!$B$4,"Date after the as-of date",IF($B1580&lt;Config!$B$5,"Date before the opening balance date","OK")))))))))))))))))</f>
        <v/>
      </c>
    </row>
    <row r="1581">
      <c r="A1581" s="46" t="n"/>
      <c r="B1581" s="54" t="n"/>
      <c r="C1581" s="46" t="n"/>
      <c r="D1581" s="46" t="n"/>
      <c r="E1581" s="55" t="n"/>
      <c r="F1581" s="46" t="n"/>
      <c r="G1581" s="46" t="n"/>
      <c r="H1581" s="46" t="n"/>
      <c r="I1581" s="46" t="n"/>
      <c r="J1581" s="46" t="n"/>
      <c r="K1581" s="46" t="n"/>
      <c r="L1581" s="46" t="n"/>
      <c r="M1581" s="51" t="str">
        <f>IF(NOT(ISNUMBER($E1581)),"",IF($C1581="Receipt",$E1581,IF($C1581="Shipment",-$E1581,IF($C1581="Adjustment",$E1581,0))))</f>
        <v/>
      </c>
      <c r="N1581" s="49" t="str">
        <f>IF($D1581="","",IFERROR(INDEX(Products!$B$2:$B$101,MATCH($D1581,Products!$A$2:$A$101,0))&amp;"","(not found)"))</f>
        <v/>
      </c>
      <c r="O1581" s="49" t="str">
        <f>IF($F1581="","",IFERROR(INDEX(Batches!$B$2:$B$301,MATCH($F1581,Batches!$A$2:$A$301,0))&amp;"","(not found)"))</f>
        <v/>
      </c>
      <c r="P1581" s="49" t="str">
        <f>IF(COUNTA($A1581:$L1581)=0,"",IF($A1581="","Missing: entry ID",IF(COUNTIF($A$2:$A$2001,$A1581)&gt;1,"Duplicate entry ID",IF(NOT(ISNUMBER($B1581)),"Missing or invalid: date",IF($C1581="","Missing: type",IF($D1581="","Missing: SKU",IF(NOT(ISNUMBER($E1581)),"Missing: qty",IF($F1581="","Missing: lot",IF($I1581="","Missing: source link",IF(COUNTIF(Config!$A$15:$A$34,$C1581)=0,"Unsupported type",IF(COUNTIF(Products!$A$2:$A$101,$D1581)=0,"Unknown SKU",IF(COUNTIFS(Batches!$A$2:$A$301,$F1581,Batches!$B$2:$B$301,$D1581)=0,"Unknown lot for this SKU",IF(AND($C1581="Adjustment",$G1581=""),"Missing: reason",IF(AND($G1581&lt;&gt;"",COUNTIF(Config!$B$15:$B$34,$G1581)=0),"Unsupported reason",IF(OR(INT($E1581)&lt;&gt;$E1581,AND(OR($C1581="Receipt",$C1581="Shipment"),$E1581&lt;=0),AND($C1581="Adjustment",$E1581=0)),"Invalid qty",IF($B1581&gt;Config!$B$4,"Date after the as-of date",IF($B1581&lt;Config!$B$5,"Date before the opening balance date","OK")))))))))))))))))</f>
        <v/>
      </c>
    </row>
    <row r="1582">
      <c r="A1582" s="46" t="n"/>
      <c r="B1582" s="54" t="n"/>
      <c r="C1582" s="46" t="n"/>
      <c r="D1582" s="46" t="n"/>
      <c r="E1582" s="55" t="n"/>
      <c r="F1582" s="46" t="n"/>
      <c r="G1582" s="46" t="n"/>
      <c r="H1582" s="46" t="n"/>
      <c r="I1582" s="46" t="n"/>
      <c r="J1582" s="46" t="n"/>
      <c r="K1582" s="46" t="n"/>
      <c r="L1582" s="46" t="n"/>
      <c r="M1582" s="51" t="str">
        <f>IF(NOT(ISNUMBER($E1582)),"",IF($C1582="Receipt",$E1582,IF($C1582="Shipment",-$E1582,IF($C1582="Adjustment",$E1582,0))))</f>
        <v/>
      </c>
      <c r="N1582" s="49" t="str">
        <f>IF($D1582="","",IFERROR(INDEX(Products!$B$2:$B$101,MATCH($D1582,Products!$A$2:$A$101,0))&amp;"","(not found)"))</f>
        <v/>
      </c>
      <c r="O1582" s="49" t="str">
        <f>IF($F1582="","",IFERROR(INDEX(Batches!$B$2:$B$301,MATCH($F1582,Batches!$A$2:$A$301,0))&amp;"","(not found)"))</f>
        <v/>
      </c>
      <c r="P1582" s="49" t="str">
        <f>IF(COUNTA($A1582:$L1582)=0,"",IF($A1582="","Missing: entry ID",IF(COUNTIF($A$2:$A$2001,$A1582)&gt;1,"Duplicate entry ID",IF(NOT(ISNUMBER($B1582)),"Missing or invalid: date",IF($C1582="","Missing: type",IF($D1582="","Missing: SKU",IF(NOT(ISNUMBER($E1582)),"Missing: qty",IF($F1582="","Missing: lot",IF($I1582="","Missing: source link",IF(COUNTIF(Config!$A$15:$A$34,$C1582)=0,"Unsupported type",IF(COUNTIF(Products!$A$2:$A$101,$D1582)=0,"Unknown SKU",IF(COUNTIFS(Batches!$A$2:$A$301,$F1582,Batches!$B$2:$B$301,$D1582)=0,"Unknown lot for this SKU",IF(AND($C1582="Adjustment",$G1582=""),"Missing: reason",IF(AND($G1582&lt;&gt;"",COUNTIF(Config!$B$15:$B$34,$G1582)=0),"Unsupported reason",IF(OR(INT($E1582)&lt;&gt;$E1582,AND(OR($C1582="Receipt",$C1582="Shipment"),$E1582&lt;=0),AND($C1582="Adjustment",$E1582=0)),"Invalid qty",IF($B1582&gt;Config!$B$4,"Date after the as-of date",IF($B1582&lt;Config!$B$5,"Date before the opening balance date","OK")))))))))))))))))</f>
        <v/>
      </c>
    </row>
    <row r="1583">
      <c r="A1583" s="46" t="n"/>
      <c r="B1583" s="54" t="n"/>
      <c r="C1583" s="46" t="n"/>
      <c r="D1583" s="46" t="n"/>
      <c r="E1583" s="55" t="n"/>
      <c r="F1583" s="46" t="n"/>
      <c r="G1583" s="46" t="n"/>
      <c r="H1583" s="46" t="n"/>
      <c r="I1583" s="46" t="n"/>
      <c r="J1583" s="46" t="n"/>
      <c r="K1583" s="46" t="n"/>
      <c r="L1583" s="46" t="n"/>
      <c r="M1583" s="51" t="str">
        <f>IF(NOT(ISNUMBER($E1583)),"",IF($C1583="Receipt",$E1583,IF($C1583="Shipment",-$E1583,IF($C1583="Adjustment",$E1583,0))))</f>
        <v/>
      </c>
      <c r="N1583" s="49" t="str">
        <f>IF($D1583="","",IFERROR(INDEX(Products!$B$2:$B$101,MATCH($D1583,Products!$A$2:$A$101,0))&amp;"","(not found)"))</f>
        <v/>
      </c>
      <c r="O1583" s="49" t="str">
        <f>IF($F1583="","",IFERROR(INDEX(Batches!$B$2:$B$301,MATCH($F1583,Batches!$A$2:$A$301,0))&amp;"","(not found)"))</f>
        <v/>
      </c>
      <c r="P1583" s="49" t="str">
        <f>IF(COUNTA($A1583:$L1583)=0,"",IF($A1583="","Missing: entry ID",IF(COUNTIF($A$2:$A$2001,$A1583)&gt;1,"Duplicate entry ID",IF(NOT(ISNUMBER($B1583)),"Missing or invalid: date",IF($C1583="","Missing: type",IF($D1583="","Missing: SKU",IF(NOT(ISNUMBER($E1583)),"Missing: qty",IF($F1583="","Missing: lot",IF($I1583="","Missing: source link",IF(COUNTIF(Config!$A$15:$A$34,$C1583)=0,"Unsupported type",IF(COUNTIF(Products!$A$2:$A$101,$D1583)=0,"Unknown SKU",IF(COUNTIFS(Batches!$A$2:$A$301,$F1583,Batches!$B$2:$B$301,$D1583)=0,"Unknown lot for this SKU",IF(AND($C1583="Adjustment",$G1583=""),"Missing: reason",IF(AND($G1583&lt;&gt;"",COUNTIF(Config!$B$15:$B$34,$G1583)=0),"Unsupported reason",IF(OR(INT($E1583)&lt;&gt;$E1583,AND(OR($C1583="Receipt",$C1583="Shipment"),$E1583&lt;=0),AND($C1583="Adjustment",$E1583=0)),"Invalid qty",IF($B1583&gt;Config!$B$4,"Date after the as-of date",IF($B1583&lt;Config!$B$5,"Date before the opening balance date","OK")))))))))))))))))</f>
        <v/>
      </c>
    </row>
    <row r="1584">
      <c r="A1584" s="46" t="n"/>
      <c r="B1584" s="54" t="n"/>
      <c r="C1584" s="46" t="n"/>
      <c r="D1584" s="46" t="n"/>
      <c r="E1584" s="55" t="n"/>
      <c r="F1584" s="46" t="n"/>
      <c r="G1584" s="46" t="n"/>
      <c r="H1584" s="46" t="n"/>
      <c r="I1584" s="46" t="n"/>
      <c r="J1584" s="46" t="n"/>
      <c r="K1584" s="46" t="n"/>
      <c r="L1584" s="46" t="n"/>
      <c r="M1584" s="51" t="str">
        <f>IF(NOT(ISNUMBER($E1584)),"",IF($C1584="Receipt",$E1584,IF($C1584="Shipment",-$E1584,IF($C1584="Adjustment",$E1584,0))))</f>
        <v/>
      </c>
      <c r="N1584" s="49" t="str">
        <f>IF($D1584="","",IFERROR(INDEX(Products!$B$2:$B$101,MATCH($D1584,Products!$A$2:$A$101,0))&amp;"","(not found)"))</f>
        <v/>
      </c>
      <c r="O1584" s="49" t="str">
        <f>IF($F1584="","",IFERROR(INDEX(Batches!$B$2:$B$301,MATCH($F1584,Batches!$A$2:$A$301,0))&amp;"","(not found)"))</f>
        <v/>
      </c>
      <c r="P1584" s="49" t="str">
        <f>IF(COUNTA($A1584:$L1584)=0,"",IF($A1584="","Missing: entry ID",IF(COUNTIF($A$2:$A$2001,$A1584)&gt;1,"Duplicate entry ID",IF(NOT(ISNUMBER($B1584)),"Missing or invalid: date",IF($C1584="","Missing: type",IF($D1584="","Missing: SKU",IF(NOT(ISNUMBER($E1584)),"Missing: qty",IF($F1584="","Missing: lot",IF($I1584="","Missing: source link",IF(COUNTIF(Config!$A$15:$A$34,$C1584)=0,"Unsupported type",IF(COUNTIF(Products!$A$2:$A$101,$D1584)=0,"Unknown SKU",IF(COUNTIFS(Batches!$A$2:$A$301,$F1584,Batches!$B$2:$B$301,$D1584)=0,"Unknown lot for this SKU",IF(AND($C1584="Adjustment",$G1584=""),"Missing: reason",IF(AND($G1584&lt;&gt;"",COUNTIF(Config!$B$15:$B$34,$G1584)=0),"Unsupported reason",IF(OR(INT($E1584)&lt;&gt;$E1584,AND(OR($C1584="Receipt",$C1584="Shipment"),$E1584&lt;=0),AND($C1584="Adjustment",$E1584=0)),"Invalid qty",IF($B1584&gt;Config!$B$4,"Date after the as-of date",IF($B1584&lt;Config!$B$5,"Date before the opening balance date","OK")))))))))))))))))</f>
        <v/>
      </c>
    </row>
    <row r="1585">
      <c r="A1585" s="46" t="n"/>
      <c r="B1585" s="54" t="n"/>
      <c r="C1585" s="46" t="n"/>
      <c r="D1585" s="46" t="n"/>
      <c r="E1585" s="55" t="n"/>
      <c r="F1585" s="46" t="n"/>
      <c r="G1585" s="46" t="n"/>
      <c r="H1585" s="46" t="n"/>
      <c r="I1585" s="46" t="n"/>
      <c r="J1585" s="46" t="n"/>
      <c r="K1585" s="46" t="n"/>
      <c r="L1585" s="46" t="n"/>
      <c r="M1585" s="51" t="str">
        <f>IF(NOT(ISNUMBER($E1585)),"",IF($C1585="Receipt",$E1585,IF($C1585="Shipment",-$E1585,IF($C1585="Adjustment",$E1585,0))))</f>
        <v/>
      </c>
      <c r="N1585" s="49" t="str">
        <f>IF($D1585="","",IFERROR(INDEX(Products!$B$2:$B$101,MATCH($D1585,Products!$A$2:$A$101,0))&amp;"","(not found)"))</f>
        <v/>
      </c>
      <c r="O1585" s="49" t="str">
        <f>IF($F1585="","",IFERROR(INDEX(Batches!$B$2:$B$301,MATCH($F1585,Batches!$A$2:$A$301,0))&amp;"","(not found)"))</f>
        <v/>
      </c>
      <c r="P1585" s="49" t="str">
        <f>IF(COUNTA($A1585:$L1585)=0,"",IF($A1585="","Missing: entry ID",IF(COUNTIF($A$2:$A$2001,$A1585)&gt;1,"Duplicate entry ID",IF(NOT(ISNUMBER($B1585)),"Missing or invalid: date",IF($C1585="","Missing: type",IF($D1585="","Missing: SKU",IF(NOT(ISNUMBER($E1585)),"Missing: qty",IF($F1585="","Missing: lot",IF($I1585="","Missing: source link",IF(COUNTIF(Config!$A$15:$A$34,$C1585)=0,"Unsupported type",IF(COUNTIF(Products!$A$2:$A$101,$D1585)=0,"Unknown SKU",IF(COUNTIFS(Batches!$A$2:$A$301,$F1585,Batches!$B$2:$B$301,$D1585)=0,"Unknown lot for this SKU",IF(AND($C1585="Adjustment",$G1585=""),"Missing: reason",IF(AND($G1585&lt;&gt;"",COUNTIF(Config!$B$15:$B$34,$G1585)=0),"Unsupported reason",IF(OR(INT($E1585)&lt;&gt;$E1585,AND(OR($C1585="Receipt",$C1585="Shipment"),$E1585&lt;=0),AND($C1585="Adjustment",$E1585=0)),"Invalid qty",IF($B1585&gt;Config!$B$4,"Date after the as-of date",IF($B1585&lt;Config!$B$5,"Date before the opening balance date","OK")))))))))))))))))</f>
        <v/>
      </c>
    </row>
    <row r="1586">
      <c r="A1586" s="46" t="n"/>
      <c r="B1586" s="54" t="n"/>
      <c r="C1586" s="46" t="n"/>
      <c r="D1586" s="46" t="n"/>
      <c r="E1586" s="55" t="n"/>
      <c r="F1586" s="46" t="n"/>
      <c r="G1586" s="46" t="n"/>
      <c r="H1586" s="46" t="n"/>
      <c r="I1586" s="46" t="n"/>
      <c r="J1586" s="46" t="n"/>
      <c r="K1586" s="46" t="n"/>
      <c r="L1586" s="46" t="n"/>
      <c r="M1586" s="51" t="str">
        <f>IF(NOT(ISNUMBER($E1586)),"",IF($C1586="Receipt",$E1586,IF($C1586="Shipment",-$E1586,IF($C1586="Adjustment",$E1586,0))))</f>
        <v/>
      </c>
      <c r="N1586" s="49" t="str">
        <f>IF($D1586="","",IFERROR(INDEX(Products!$B$2:$B$101,MATCH($D1586,Products!$A$2:$A$101,0))&amp;"","(not found)"))</f>
        <v/>
      </c>
      <c r="O1586" s="49" t="str">
        <f>IF($F1586="","",IFERROR(INDEX(Batches!$B$2:$B$301,MATCH($F1586,Batches!$A$2:$A$301,0))&amp;"","(not found)"))</f>
        <v/>
      </c>
      <c r="P1586" s="49" t="str">
        <f>IF(COUNTA($A1586:$L1586)=0,"",IF($A1586="","Missing: entry ID",IF(COUNTIF($A$2:$A$2001,$A1586)&gt;1,"Duplicate entry ID",IF(NOT(ISNUMBER($B1586)),"Missing or invalid: date",IF($C1586="","Missing: type",IF($D1586="","Missing: SKU",IF(NOT(ISNUMBER($E1586)),"Missing: qty",IF($F1586="","Missing: lot",IF($I1586="","Missing: source link",IF(COUNTIF(Config!$A$15:$A$34,$C1586)=0,"Unsupported type",IF(COUNTIF(Products!$A$2:$A$101,$D1586)=0,"Unknown SKU",IF(COUNTIFS(Batches!$A$2:$A$301,$F1586,Batches!$B$2:$B$301,$D1586)=0,"Unknown lot for this SKU",IF(AND($C1586="Adjustment",$G1586=""),"Missing: reason",IF(AND($G1586&lt;&gt;"",COUNTIF(Config!$B$15:$B$34,$G1586)=0),"Unsupported reason",IF(OR(INT($E1586)&lt;&gt;$E1586,AND(OR($C1586="Receipt",$C1586="Shipment"),$E1586&lt;=0),AND($C1586="Adjustment",$E1586=0)),"Invalid qty",IF($B1586&gt;Config!$B$4,"Date after the as-of date",IF($B1586&lt;Config!$B$5,"Date before the opening balance date","OK")))))))))))))))))</f>
        <v/>
      </c>
    </row>
    <row r="1587">
      <c r="A1587" s="46" t="n"/>
      <c r="B1587" s="54" t="n"/>
      <c r="C1587" s="46" t="n"/>
      <c r="D1587" s="46" t="n"/>
      <c r="E1587" s="55" t="n"/>
      <c r="F1587" s="46" t="n"/>
      <c r="G1587" s="46" t="n"/>
      <c r="H1587" s="46" t="n"/>
      <c r="I1587" s="46" t="n"/>
      <c r="J1587" s="46" t="n"/>
      <c r="K1587" s="46" t="n"/>
      <c r="L1587" s="46" t="n"/>
      <c r="M1587" s="51" t="str">
        <f>IF(NOT(ISNUMBER($E1587)),"",IF($C1587="Receipt",$E1587,IF($C1587="Shipment",-$E1587,IF($C1587="Adjustment",$E1587,0))))</f>
        <v/>
      </c>
      <c r="N1587" s="49" t="str">
        <f>IF($D1587="","",IFERROR(INDEX(Products!$B$2:$B$101,MATCH($D1587,Products!$A$2:$A$101,0))&amp;"","(not found)"))</f>
        <v/>
      </c>
      <c r="O1587" s="49" t="str">
        <f>IF($F1587="","",IFERROR(INDEX(Batches!$B$2:$B$301,MATCH($F1587,Batches!$A$2:$A$301,0))&amp;"","(not found)"))</f>
        <v/>
      </c>
      <c r="P1587" s="49" t="str">
        <f>IF(COUNTA($A1587:$L1587)=0,"",IF($A1587="","Missing: entry ID",IF(COUNTIF($A$2:$A$2001,$A1587)&gt;1,"Duplicate entry ID",IF(NOT(ISNUMBER($B1587)),"Missing or invalid: date",IF($C1587="","Missing: type",IF($D1587="","Missing: SKU",IF(NOT(ISNUMBER($E1587)),"Missing: qty",IF($F1587="","Missing: lot",IF($I1587="","Missing: source link",IF(COUNTIF(Config!$A$15:$A$34,$C1587)=0,"Unsupported type",IF(COUNTIF(Products!$A$2:$A$101,$D1587)=0,"Unknown SKU",IF(COUNTIFS(Batches!$A$2:$A$301,$F1587,Batches!$B$2:$B$301,$D1587)=0,"Unknown lot for this SKU",IF(AND($C1587="Adjustment",$G1587=""),"Missing: reason",IF(AND($G1587&lt;&gt;"",COUNTIF(Config!$B$15:$B$34,$G1587)=0),"Unsupported reason",IF(OR(INT($E1587)&lt;&gt;$E1587,AND(OR($C1587="Receipt",$C1587="Shipment"),$E1587&lt;=0),AND($C1587="Adjustment",$E1587=0)),"Invalid qty",IF($B1587&gt;Config!$B$4,"Date after the as-of date",IF($B1587&lt;Config!$B$5,"Date before the opening balance date","OK")))))))))))))))))</f>
        <v/>
      </c>
    </row>
    <row r="1588">
      <c r="A1588" s="46" t="n"/>
      <c r="B1588" s="54" t="n"/>
      <c r="C1588" s="46" t="n"/>
      <c r="D1588" s="46" t="n"/>
      <c r="E1588" s="55" t="n"/>
      <c r="F1588" s="46" t="n"/>
      <c r="G1588" s="46" t="n"/>
      <c r="H1588" s="46" t="n"/>
      <c r="I1588" s="46" t="n"/>
      <c r="J1588" s="46" t="n"/>
      <c r="K1588" s="46" t="n"/>
      <c r="L1588" s="46" t="n"/>
      <c r="M1588" s="51" t="str">
        <f>IF(NOT(ISNUMBER($E1588)),"",IF($C1588="Receipt",$E1588,IF($C1588="Shipment",-$E1588,IF($C1588="Adjustment",$E1588,0))))</f>
        <v/>
      </c>
      <c r="N1588" s="49" t="str">
        <f>IF($D1588="","",IFERROR(INDEX(Products!$B$2:$B$101,MATCH($D1588,Products!$A$2:$A$101,0))&amp;"","(not found)"))</f>
        <v/>
      </c>
      <c r="O1588" s="49" t="str">
        <f>IF($F1588="","",IFERROR(INDEX(Batches!$B$2:$B$301,MATCH($F1588,Batches!$A$2:$A$301,0))&amp;"","(not found)"))</f>
        <v/>
      </c>
      <c r="P1588" s="49" t="str">
        <f>IF(COUNTA($A1588:$L1588)=0,"",IF($A1588="","Missing: entry ID",IF(COUNTIF($A$2:$A$2001,$A1588)&gt;1,"Duplicate entry ID",IF(NOT(ISNUMBER($B1588)),"Missing or invalid: date",IF($C1588="","Missing: type",IF($D1588="","Missing: SKU",IF(NOT(ISNUMBER($E1588)),"Missing: qty",IF($F1588="","Missing: lot",IF($I1588="","Missing: source link",IF(COUNTIF(Config!$A$15:$A$34,$C1588)=0,"Unsupported type",IF(COUNTIF(Products!$A$2:$A$101,$D1588)=0,"Unknown SKU",IF(COUNTIFS(Batches!$A$2:$A$301,$F1588,Batches!$B$2:$B$301,$D1588)=0,"Unknown lot for this SKU",IF(AND($C1588="Adjustment",$G1588=""),"Missing: reason",IF(AND($G1588&lt;&gt;"",COUNTIF(Config!$B$15:$B$34,$G1588)=0),"Unsupported reason",IF(OR(INT($E1588)&lt;&gt;$E1588,AND(OR($C1588="Receipt",$C1588="Shipment"),$E1588&lt;=0),AND($C1588="Adjustment",$E1588=0)),"Invalid qty",IF($B1588&gt;Config!$B$4,"Date after the as-of date",IF($B1588&lt;Config!$B$5,"Date before the opening balance date","OK")))))))))))))))))</f>
        <v/>
      </c>
    </row>
    <row r="1589">
      <c r="A1589" s="46" t="n"/>
      <c r="B1589" s="54" t="n"/>
      <c r="C1589" s="46" t="n"/>
      <c r="D1589" s="46" t="n"/>
      <c r="E1589" s="55" t="n"/>
      <c r="F1589" s="46" t="n"/>
      <c r="G1589" s="46" t="n"/>
      <c r="H1589" s="46" t="n"/>
      <c r="I1589" s="46" t="n"/>
      <c r="J1589" s="46" t="n"/>
      <c r="K1589" s="46" t="n"/>
      <c r="L1589" s="46" t="n"/>
      <c r="M1589" s="51" t="str">
        <f>IF(NOT(ISNUMBER($E1589)),"",IF($C1589="Receipt",$E1589,IF($C1589="Shipment",-$E1589,IF($C1589="Adjustment",$E1589,0))))</f>
        <v/>
      </c>
      <c r="N1589" s="49" t="str">
        <f>IF($D1589="","",IFERROR(INDEX(Products!$B$2:$B$101,MATCH($D1589,Products!$A$2:$A$101,0))&amp;"","(not found)"))</f>
        <v/>
      </c>
      <c r="O1589" s="49" t="str">
        <f>IF($F1589="","",IFERROR(INDEX(Batches!$B$2:$B$301,MATCH($F1589,Batches!$A$2:$A$301,0))&amp;"","(not found)"))</f>
        <v/>
      </c>
      <c r="P1589" s="49" t="str">
        <f>IF(COUNTA($A1589:$L1589)=0,"",IF($A1589="","Missing: entry ID",IF(COUNTIF($A$2:$A$2001,$A1589)&gt;1,"Duplicate entry ID",IF(NOT(ISNUMBER($B1589)),"Missing or invalid: date",IF($C1589="","Missing: type",IF($D1589="","Missing: SKU",IF(NOT(ISNUMBER($E1589)),"Missing: qty",IF($F1589="","Missing: lot",IF($I1589="","Missing: source link",IF(COUNTIF(Config!$A$15:$A$34,$C1589)=0,"Unsupported type",IF(COUNTIF(Products!$A$2:$A$101,$D1589)=0,"Unknown SKU",IF(COUNTIFS(Batches!$A$2:$A$301,$F1589,Batches!$B$2:$B$301,$D1589)=0,"Unknown lot for this SKU",IF(AND($C1589="Adjustment",$G1589=""),"Missing: reason",IF(AND($G1589&lt;&gt;"",COUNTIF(Config!$B$15:$B$34,$G1589)=0),"Unsupported reason",IF(OR(INT($E1589)&lt;&gt;$E1589,AND(OR($C1589="Receipt",$C1589="Shipment"),$E1589&lt;=0),AND($C1589="Adjustment",$E1589=0)),"Invalid qty",IF($B1589&gt;Config!$B$4,"Date after the as-of date",IF($B1589&lt;Config!$B$5,"Date before the opening balance date","OK")))))))))))))))))</f>
        <v/>
      </c>
    </row>
    <row r="1590">
      <c r="A1590" s="46" t="n"/>
      <c r="B1590" s="54" t="n"/>
      <c r="C1590" s="46" t="n"/>
      <c r="D1590" s="46" t="n"/>
      <c r="E1590" s="55" t="n"/>
      <c r="F1590" s="46" t="n"/>
      <c r="G1590" s="46" t="n"/>
      <c r="H1590" s="46" t="n"/>
      <c r="I1590" s="46" t="n"/>
      <c r="J1590" s="46" t="n"/>
      <c r="K1590" s="46" t="n"/>
      <c r="L1590" s="46" t="n"/>
      <c r="M1590" s="51" t="str">
        <f>IF(NOT(ISNUMBER($E1590)),"",IF($C1590="Receipt",$E1590,IF($C1590="Shipment",-$E1590,IF($C1590="Adjustment",$E1590,0))))</f>
        <v/>
      </c>
      <c r="N1590" s="49" t="str">
        <f>IF($D1590="","",IFERROR(INDEX(Products!$B$2:$B$101,MATCH($D1590,Products!$A$2:$A$101,0))&amp;"","(not found)"))</f>
        <v/>
      </c>
      <c r="O1590" s="49" t="str">
        <f>IF($F1590="","",IFERROR(INDEX(Batches!$B$2:$B$301,MATCH($F1590,Batches!$A$2:$A$301,0))&amp;"","(not found)"))</f>
        <v/>
      </c>
      <c r="P1590" s="49" t="str">
        <f>IF(COUNTA($A1590:$L1590)=0,"",IF($A1590="","Missing: entry ID",IF(COUNTIF($A$2:$A$2001,$A1590)&gt;1,"Duplicate entry ID",IF(NOT(ISNUMBER($B1590)),"Missing or invalid: date",IF($C1590="","Missing: type",IF($D1590="","Missing: SKU",IF(NOT(ISNUMBER($E1590)),"Missing: qty",IF($F1590="","Missing: lot",IF($I1590="","Missing: source link",IF(COUNTIF(Config!$A$15:$A$34,$C1590)=0,"Unsupported type",IF(COUNTIF(Products!$A$2:$A$101,$D1590)=0,"Unknown SKU",IF(COUNTIFS(Batches!$A$2:$A$301,$F1590,Batches!$B$2:$B$301,$D1590)=0,"Unknown lot for this SKU",IF(AND($C1590="Adjustment",$G1590=""),"Missing: reason",IF(AND($G1590&lt;&gt;"",COUNTIF(Config!$B$15:$B$34,$G1590)=0),"Unsupported reason",IF(OR(INT($E1590)&lt;&gt;$E1590,AND(OR($C1590="Receipt",$C1590="Shipment"),$E1590&lt;=0),AND($C1590="Adjustment",$E1590=0)),"Invalid qty",IF($B1590&gt;Config!$B$4,"Date after the as-of date",IF($B1590&lt;Config!$B$5,"Date before the opening balance date","OK")))))))))))))))))</f>
        <v/>
      </c>
    </row>
    <row r="1591">
      <c r="A1591" s="46" t="n"/>
      <c r="B1591" s="54" t="n"/>
      <c r="C1591" s="46" t="n"/>
      <c r="D1591" s="46" t="n"/>
      <c r="E1591" s="55" t="n"/>
      <c r="F1591" s="46" t="n"/>
      <c r="G1591" s="46" t="n"/>
      <c r="H1591" s="46" t="n"/>
      <c r="I1591" s="46" t="n"/>
      <c r="J1591" s="46" t="n"/>
      <c r="K1591" s="46" t="n"/>
      <c r="L1591" s="46" t="n"/>
      <c r="M1591" s="51" t="str">
        <f>IF(NOT(ISNUMBER($E1591)),"",IF($C1591="Receipt",$E1591,IF($C1591="Shipment",-$E1591,IF($C1591="Adjustment",$E1591,0))))</f>
        <v/>
      </c>
      <c r="N1591" s="49" t="str">
        <f>IF($D1591="","",IFERROR(INDEX(Products!$B$2:$B$101,MATCH($D1591,Products!$A$2:$A$101,0))&amp;"","(not found)"))</f>
        <v/>
      </c>
      <c r="O1591" s="49" t="str">
        <f>IF($F1591="","",IFERROR(INDEX(Batches!$B$2:$B$301,MATCH($F1591,Batches!$A$2:$A$301,0))&amp;"","(not found)"))</f>
        <v/>
      </c>
      <c r="P1591" s="49" t="str">
        <f>IF(COUNTA($A1591:$L1591)=0,"",IF($A1591="","Missing: entry ID",IF(COUNTIF($A$2:$A$2001,$A1591)&gt;1,"Duplicate entry ID",IF(NOT(ISNUMBER($B1591)),"Missing or invalid: date",IF($C1591="","Missing: type",IF($D1591="","Missing: SKU",IF(NOT(ISNUMBER($E1591)),"Missing: qty",IF($F1591="","Missing: lot",IF($I1591="","Missing: source link",IF(COUNTIF(Config!$A$15:$A$34,$C1591)=0,"Unsupported type",IF(COUNTIF(Products!$A$2:$A$101,$D1591)=0,"Unknown SKU",IF(COUNTIFS(Batches!$A$2:$A$301,$F1591,Batches!$B$2:$B$301,$D1591)=0,"Unknown lot for this SKU",IF(AND($C1591="Adjustment",$G1591=""),"Missing: reason",IF(AND($G1591&lt;&gt;"",COUNTIF(Config!$B$15:$B$34,$G1591)=0),"Unsupported reason",IF(OR(INT($E1591)&lt;&gt;$E1591,AND(OR($C1591="Receipt",$C1591="Shipment"),$E1591&lt;=0),AND($C1591="Adjustment",$E1591=0)),"Invalid qty",IF($B1591&gt;Config!$B$4,"Date after the as-of date",IF($B1591&lt;Config!$B$5,"Date before the opening balance date","OK")))))))))))))))))</f>
        <v/>
      </c>
    </row>
    <row r="1592">
      <c r="A1592" s="46" t="n"/>
      <c r="B1592" s="54" t="n"/>
      <c r="C1592" s="46" t="n"/>
      <c r="D1592" s="46" t="n"/>
      <c r="E1592" s="55" t="n"/>
      <c r="F1592" s="46" t="n"/>
      <c r="G1592" s="46" t="n"/>
      <c r="H1592" s="46" t="n"/>
      <c r="I1592" s="46" t="n"/>
      <c r="J1592" s="46" t="n"/>
      <c r="K1592" s="46" t="n"/>
      <c r="L1592" s="46" t="n"/>
      <c r="M1592" s="51" t="str">
        <f>IF(NOT(ISNUMBER($E1592)),"",IF($C1592="Receipt",$E1592,IF($C1592="Shipment",-$E1592,IF($C1592="Adjustment",$E1592,0))))</f>
        <v/>
      </c>
      <c r="N1592" s="49" t="str">
        <f>IF($D1592="","",IFERROR(INDEX(Products!$B$2:$B$101,MATCH($D1592,Products!$A$2:$A$101,0))&amp;"","(not found)"))</f>
        <v/>
      </c>
      <c r="O1592" s="49" t="str">
        <f>IF($F1592="","",IFERROR(INDEX(Batches!$B$2:$B$301,MATCH($F1592,Batches!$A$2:$A$301,0))&amp;"","(not found)"))</f>
        <v/>
      </c>
      <c r="P1592" s="49" t="str">
        <f>IF(COUNTA($A1592:$L1592)=0,"",IF($A1592="","Missing: entry ID",IF(COUNTIF($A$2:$A$2001,$A1592)&gt;1,"Duplicate entry ID",IF(NOT(ISNUMBER($B1592)),"Missing or invalid: date",IF($C1592="","Missing: type",IF($D1592="","Missing: SKU",IF(NOT(ISNUMBER($E1592)),"Missing: qty",IF($F1592="","Missing: lot",IF($I1592="","Missing: source link",IF(COUNTIF(Config!$A$15:$A$34,$C1592)=0,"Unsupported type",IF(COUNTIF(Products!$A$2:$A$101,$D1592)=0,"Unknown SKU",IF(COUNTIFS(Batches!$A$2:$A$301,$F1592,Batches!$B$2:$B$301,$D1592)=0,"Unknown lot for this SKU",IF(AND($C1592="Adjustment",$G1592=""),"Missing: reason",IF(AND($G1592&lt;&gt;"",COUNTIF(Config!$B$15:$B$34,$G1592)=0),"Unsupported reason",IF(OR(INT($E1592)&lt;&gt;$E1592,AND(OR($C1592="Receipt",$C1592="Shipment"),$E1592&lt;=0),AND($C1592="Adjustment",$E1592=0)),"Invalid qty",IF($B1592&gt;Config!$B$4,"Date after the as-of date",IF($B1592&lt;Config!$B$5,"Date before the opening balance date","OK")))))))))))))))))</f>
        <v/>
      </c>
    </row>
    <row r="1593">
      <c r="A1593" s="46" t="n"/>
      <c r="B1593" s="54" t="n"/>
      <c r="C1593" s="46" t="n"/>
      <c r="D1593" s="46" t="n"/>
      <c r="E1593" s="55" t="n"/>
      <c r="F1593" s="46" t="n"/>
      <c r="G1593" s="46" t="n"/>
      <c r="H1593" s="46" t="n"/>
      <c r="I1593" s="46" t="n"/>
      <c r="J1593" s="46" t="n"/>
      <c r="K1593" s="46" t="n"/>
      <c r="L1593" s="46" t="n"/>
      <c r="M1593" s="51" t="str">
        <f>IF(NOT(ISNUMBER($E1593)),"",IF($C1593="Receipt",$E1593,IF($C1593="Shipment",-$E1593,IF($C1593="Adjustment",$E1593,0))))</f>
        <v/>
      </c>
      <c r="N1593" s="49" t="str">
        <f>IF($D1593="","",IFERROR(INDEX(Products!$B$2:$B$101,MATCH($D1593,Products!$A$2:$A$101,0))&amp;"","(not found)"))</f>
        <v/>
      </c>
      <c r="O1593" s="49" t="str">
        <f>IF($F1593="","",IFERROR(INDEX(Batches!$B$2:$B$301,MATCH($F1593,Batches!$A$2:$A$301,0))&amp;"","(not found)"))</f>
        <v/>
      </c>
      <c r="P1593" s="49" t="str">
        <f>IF(COUNTA($A1593:$L1593)=0,"",IF($A1593="","Missing: entry ID",IF(COUNTIF($A$2:$A$2001,$A1593)&gt;1,"Duplicate entry ID",IF(NOT(ISNUMBER($B1593)),"Missing or invalid: date",IF($C1593="","Missing: type",IF($D1593="","Missing: SKU",IF(NOT(ISNUMBER($E1593)),"Missing: qty",IF($F1593="","Missing: lot",IF($I1593="","Missing: source link",IF(COUNTIF(Config!$A$15:$A$34,$C1593)=0,"Unsupported type",IF(COUNTIF(Products!$A$2:$A$101,$D1593)=0,"Unknown SKU",IF(COUNTIFS(Batches!$A$2:$A$301,$F1593,Batches!$B$2:$B$301,$D1593)=0,"Unknown lot for this SKU",IF(AND($C1593="Adjustment",$G1593=""),"Missing: reason",IF(AND($G1593&lt;&gt;"",COUNTIF(Config!$B$15:$B$34,$G1593)=0),"Unsupported reason",IF(OR(INT($E1593)&lt;&gt;$E1593,AND(OR($C1593="Receipt",$C1593="Shipment"),$E1593&lt;=0),AND($C1593="Adjustment",$E1593=0)),"Invalid qty",IF($B1593&gt;Config!$B$4,"Date after the as-of date",IF($B1593&lt;Config!$B$5,"Date before the opening balance date","OK")))))))))))))))))</f>
        <v/>
      </c>
    </row>
    <row r="1594">
      <c r="A1594" s="46" t="n"/>
      <c r="B1594" s="54" t="n"/>
      <c r="C1594" s="46" t="n"/>
      <c r="D1594" s="46" t="n"/>
      <c r="E1594" s="55" t="n"/>
      <c r="F1594" s="46" t="n"/>
      <c r="G1594" s="46" t="n"/>
      <c r="H1594" s="46" t="n"/>
      <c r="I1594" s="46" t="n"/>
      <c r="J1594" s="46" t="n"/>
      <c r="K1594" s="46" t="n"/>
      <c r="L1594" s="46" t="n"/>
      <c r="M1594" s="51" t="str">
        <f>IF(NOT(ISNUMBER($E1594)),"",IF($C1594="Receipt",$E1594,IF($C1594="Shipment",-$E1594,IF($C1594="Adjustment",$E1594,0))))</f>
        <v/>
      </c>
      <c r="N1594" s="49" t="str">
        <f>IF($D1594="","",IFERROR(INDEX(Products!$B$2:$B$101,MATCH($D1594,Products!$A$2:$A$101,0))&amp;"","(not found)"))</f>
        <v/>
      </c>
      <c r="O1594" s="49" t="str">
        <f>IF($F1594="","",IFERROR(INDEX(Batches!$B$2:$B$301,MATCH($F1594,Batches!$A$2:$A$301,0))&amp;"","(not found)"))</f>
        <v/>
      </c>
      <c r="P1594" s="49" t="str">
        <f>IF(COUNTA($A1594:$L1594)=0,"",IF($A1594="","Missing: entry ID",IF(COUNTIF($A$2:$A$2001,$A1594)&gt;1,"Duplicate entry ID",IF(NOT(ISNUMBER($B1594)),"Missing or invalid: date",IF($C1594="","Missing: type",IF($D1594="","Missing: SKU",IF(NOT(ISNUMBER($E1594)),"Missing: qty",IF($F1594="","Missing: lot",IF($I1594="","Missing: source link",IF(COUNTIF(Config!$A$15:$A$34,$C1594)=0,"Unsupported type",IF(COUNTIF(Products!$A$2:$A$101,$D1594)=0,"Unknown SKU",IF(COUNTIFS(Batches!$A$2:$A$301,$F1594,Batches!$B$2:$B$301,$D1594)=0,"Unknown lot for this SKU",IF(AND($C1594="Adjustment",$G1594=""),"Missing: reason",IF(AND($G1594&lt;&gt;"",COUNTIF(Config!$B$15:$B$34,$G1594)=0),"Unsupported reason",IF(OR(INT($E1594)&lt;&gt;$E1594,AND(OR($C1594="Receipt",$C1594="Shipment"),$E1594&lt;=0),AND($C1594="Adjustment",$E1594=0)),"Invalid qty",IF($B1594&gt;Config!$B$4,"Date after the as-of date",IF($B1594&lt;Config!$B$5,"Date before the opening balance date","OK")))))))))))))))))</f>
        <v/>
      </c>
    </row>
    <row r="1595">
      <c r="A1595" s="46" t="n"/>
      <c r="B1595" s="54" t="n"/>
      <c r="C1595" s="46" t="n"/>
      <c r="D1595" s="46" t="n"/>
      <c r="E1595" s="55" t="n"/>
      <c r="F1595" s="46" t="n"/>
      <c r="G1595" s="46" t="n"/>
      <c r="H1595" s="46" t="n"/>
      <c r="I1595" s="46" t="n"/>
      <c r="J1595" s="46" t="n"/>
      <c r="K1595" s="46" t="n"/>
      <c r="L1595" s="46" t="n"/>
      <c r="M1595" s="51" t="str">
        <f>IF(NOT(ISNUMBER($E1595)),"",IF($C1595="Receipt",$E1595,IF($C1595="Shipment",-$E1595,IF($C1595="Adjustment",$E1595,0))))</f>
        <v/>
      </c>
      <c r="N1595" s="49" t="str">
        <f>IF($D1595="","",IFERROR(INDEX(Products!$B$2:$B$101,MATCH($D1595,Products!$A$2:$A$101,0))&amp;"","(not found)"))</f>
        <v/>
      </c>
      <c r="O1595" s="49" t="str">
        <f>IF($F1595="","",IFERROR(INDEX(Batches!$B$2:$B$301,MATCH($F1595,Batches!$A$2:$A$301,0))&amp;"","(not found)"))</f>
        <v/>
      </c>
      <c r="P1595" s="49" t="str">
        <f>IF(COUNTA($A1595:$L1595)=0,"",IF($A1595="","Missing: entry ID",IF(COUNTIF($A$2:$A$2001,$A1595)&gt;1,"Duplicate entry ID",IF(NOT(ISNUMBER($B1595)),"Missing or invalid: date",IF($C1595="","Missing: type",IF($D1595="","Missing: SKU",IF(NOT(ISNUMBER($E1595)),"Missing: qty",IF($F1595="","Missing: lot",IF($I1595="","Missing: source link",IF(COUNTIF(Config!$A$15:$A$34,$C1595)=0,"Unsupported type",IF(COUNTIF(Products!$A$2:$A$101,$D1595)=0,"Unknown SKU",IF(COUNTIFS(Batches!$A$2:$A$301,$F1595,Batches!$B$2:$B$301,$D1595)=0,"Unknown lot for this SKU",IF(AND($C1595="Adjustment",$G1595=""),"Missing: reason",IF(AND($G1595&lt;&gt;"",COUNTIF(Config!$B$15:$B$34,$G1595)=0),"Unsupported reason",IF(OR(INT($E1595)&lt;&gt;$E1595,AND(OR($C1595="Receipt",$C1595="Shipment"),$E1595&lt;=0),AND($C1595="Adjustment",$E1595=0)),"Invalid qty",IF($B1595&gt;Config!$B$4,"Date after the as-of date",IF($B1595&lt;Config!$B$5,"Date before the opening balance date","OK")))))))))))))))))</f>
        <v/>
      </c>
    </row>
    <row r="1596">
      <c r="A1596" s="46" t="n"/>
      <c r="B1596" s="54" t="n"/>
      <c r="C1596" s="46" t="n"/>
      <c r="D1596" s="46" t="n"/>
      <c r="E1596" s="55" t="n"/>
      <c r="F1596" s="46" t="n"/>
      <c r="G1596" s="46" t="n"/>
      <c r="H1596" s="46" t="n"/>
      <c r="I1596" s="46" t="n"/>
      <c r="J1596" s="46" t="n"/>
      <c r="K1596" s="46" t="n"/>
      <c r="L1596" s="46" t="n"/>
      <c r="M1596" s="51" t="str">
        <f>IF(NOT(ISNUMBER($E1596)),"",IF($C1596="Receipt",$E1596,IF($C1596="Shipment",-$E1596,IF($C1596="Adjustment",$E1596,0))))</f>
        <v/>
      </c>
      <c r="N1596" s="49" t="str">
        <f>IF($D1596="","",IFERROR(INDEX(Products!$B$2:$B$101,MATCH($D1596,Products!$A$2:$A$101,0))&amp;"","(not found)"))</f>
        <v/>
      </c>
      <c r="O1596" s="49" t="str">
        <f>IF($F1596="","",IFERROR(INDEX(Batches!$B$2:$B$301,MATCH($F1596,Batches!$A$2:$A$301,0))&amp;"","(not found)"))</f>
        <v/>
      </c>
      <c r="P1596" s="49" t="str">
        <f>IF(COUNTA($A1596:$L1596)=0,"",IF($A1596="","Missing: entry ID",IF(COUNTIF($A$2:$A$2001,$A1596)&gt;1,"Duplicate entry ID",IF(NOT(ISNUMBER($B1596)),"Missing or invalid: date",IF($C1596="","Missing: type",IF($D1596="","Missing: SKU",IF(NOT(ISNUMBER($E1596)),"Missing: qty",IF($F1596="","Missing: lot",IF($I1596="","Missing: source link",IF(COUNTIF(Config!$A$15:$A$34,$C1596)=0,"Unsupported type",IF(COUNTIF(Products!$A$2:$A$101,$D1596)=0,"Unknown SKU",IF(COUNTIFS(Batches!$A$2:$A$301,$F1596,Batches!$B$2:$B$301,$D1596)=0,"Unknown lot for this SKU",IF(AND($C1596="Adjustment",$G1596=""),"Missing: reason",IF(AND($G1596&lt;&gt;"",COUNTIF(Config!$B$15:$B$34,$G1596)=0),"Unsupported reason",IF(OR(INT($E1596)&lt;&gt;$E1596,AND(OR($C1596="Receipt",$C1596="Shipment"),$E1596&lt;=0),AND($C1596="Adjustment",$E1596=0)),"Invalid qty",IF($B1596&gt;Config!$B$4,"Date after the as-of date",IF($B1596&lt;Config!$B$5,"Date before the opening balance date","OK")))))))))))))))))</f>
        <v/>
      </c>
    </row>
    <row r="1597">
      <c r="A1597" s="46" t="n"/>
      <c r="B1597" s="54" t="n"/>
      <c r="C1597" s="46" t="n"/>
      <c r="D1597" s="46" t="n"/>
      <c r="E1597" s="55" t="n"/>
      <c r="F1597" s="46" t="n"/>
      <c r="G1597" s="46" t="n"/>
      <c r="H1597" s="46" t="n"/>
      <c r="I1597" s="46" t="n"/>
      <c r="J1597" s="46" t="n"/>
      <c r="K1597" s="46" t="n"/>
      <c r="L1597" s="46" t="n"/>
      <c r="M1597" s="51" t="str">
        <f>IF(NOT(ISNUMBER($E1597)),"",IF($C1597="Receipt",$E1597,IF($C1597="Shipment",-$E1597,IF($C1597="Adjustment",$E1597,0))))</f>
        <v/>
      </c>
      <c r="N1597" s="49" t="str">
        <f>IF($D1597="","",IFERROR(INDEX(Products!$B$2:$B$101,MATCH($D1597,Products!$A$2:$A$101,0))&amp;"","(not found)"))</f>
        <v/>
      </c>
      <c r="O1597" s="49" t="str">
        <f>IF($F1597="","",IFERROR(INDEX(Batches!$B$2:$B$301,MATCH($F1597,Batches!$A$2:$A$301,0))&amp;"","(not found)"))</f>
        <v/>
      </c>
      <c r="P1597" s="49" t="str">
        <f>IF(COUNTA($A1597:$L1597)=0,"",IF($A1597="","Missing: entry ID",IF(COUNTIF($A$2:$A$2001,$A1597)&gt;1,"Duplicate entry ID",IF(NOT(ISNUMBER($B1597)),"Missing or invalid: date",IF($C1597="","Missing: type",IF($D1597="","Missing: SKU",IF(NOT(ISNUMBER($E1597)),"Missing: qty",IF($F1597="","Missing: lot",IF($I1597="","Missing: source link",IF(COUNTIF(Config!$A$15:$A$34,$C1597)=0,"Unsupported type",IF(COUNTIF(Products!$A$2:$A$101,$D1597)=0,"Unknown SKU",IF(COUNTIFS(Batches!$A$2:$A$301,$F1597,Batches!$B$2:$B$301,$D1597)=0,"Unknown lot for this SKU",IF(AND($C1597="Adjustment",$G1597=""),"Missing: reason",IF(AND($G1597&lt;&gt;"",COUNTIF(Config!$B$15:$B$34,$G1597)=0),"Unsupported reason",IF(OR(INT($E1597)&lt;&gt;$E1597,AND(OR($C1597="Receipt",$C1597="Shipment"),$E1597&lt;=0),AND($C1597="Adjustment",$E1597=0)),"Invalid qty",IF($B1597&gt;Config!$B$4,"Date after the as-of date",IF($B1597&lt;Config!$B$5,"Date before the opening balance date","OK")))))))))))))))))</f>
        <v/>
      </c>
    </row>
    <row r="1598">
      <c r="A1598" s="46" t="n"/>
      <c r="B1598" s="54" t="n"/>
      <c r="C1598" s="46" t="n"/>
      <c r="D1598" s="46" t="n"/>
      <c r="E1598" s="55" t="n"/>
      <c r="F1598" s="46" t="n"/>
      <c r="G1598" s="46" t="n"/>
      <c r="H1598" s="46" t="n"/>
      <c r="I1598" s="46" t="n"/>
      <c r="J1598" s="46" t="n"/>
      <c r="K1598" s="46" t="n"/>
      <c r="L1598" s="46" t="n"/>
      <c r="M1598" s="51" t="str">
        <f>IF(NOT(ISNUMBER($E1598)),"",IF($C1598="Receipt",$E1598,IF($C1598="Shipment",-$E1598,IF($C1598="Adjustment",$E1598,0))))</f>
        <v/>
      </c>
      <c r="N1598" s="49" t="str">
        <f>IF($D1598="","",IFERROR(INDEX(Products!$B$2:$B$101,MATCH($D1598,Products!$A$2:$A$101,0))&amp;"","(not found)"))</f>
        <v/>
      </c>
      <c r="O1598" s="49" t="str">
        <f>IF($F1598="","",IFERROR(INDEX(Batches!$B$2:$B$301,MATCH($F1598,Batches!$A$2:$A$301,0))&amp;"","(not found)"))</f>
        <v/>
      </c>
      <c r="P1598" s="49" t="str">
        <f>IF(COUNTA($A1598:$L1598)=0,"",IF($A1598="","Missing: entry ID",IF(COUNTIF($A$2:$A$2001,$A1598)&gt;1,"Duplicate entry ID",IF(NOT(ISNUMBER($B1598)),"Missing or invalid: date",IF($C1598="","Missing: type",IF($D1598="","Missing: SKU",IF(NOT(ISNUMBER($E1598)),"Missing: qty",IF($F1598="","Missing: lot",IF($I1598="","Missing: source link",IF(COUNTIF(Config!$A$15:$A$34,$C1598)=0,"Unsupported type",IF(COUNTIF(Products!$A$2:$A$101,$D1598)=0,"Unknown SKU",IF(COUNTIFS(Batches!$A$2:$A$301,$F1598,Batches!$B$2:$B$301,$D1598)=0,"Unknown lot for this SKU",IF(AND($C1598="Adjustment",$G1598=""),"Missing: reason",IF(AND($G1598&lt;&gt;"",COUNTIF(Config!$B$15:$B$34,$G1598)=0),"Unsupported reason",IF(OR(INT($E1598)&lt;&gt;$E1598,AND(OR($C1598="Receipt",$C1598="Shipment"),$E1598&lt;=0),AND($C1598="Adjustment",$E1598=0)),"Invalid qty",IF($B1598&gt;Config!$B$4,"Date after the as-of date",IF($B1598&lt;Config!$B$5,"Date before the opening balance date","OK")))))))))))))))))</f>
        <v/>
      </c>
    </row>
    <row r="1599">
      <c r="A1599" s="46" t="n"/>
      <c r="B1599" s="54" t="n"/>
      <c r="C1599" s="46" t="n"/>
      <c r="D1599" s="46" t="n"/>
      <c r="E1599" s="55" t="n"/>
      <c r="F1599" s="46" t="n"/>
      <c r="G1599" s="46" t="n"/>
      <c r="H1599" s="46" t="n"/>
      <c r="I1599" s="46" t="n"/>
      <c r="J1599" s="46" t="n"/>
      <c r="K1599" s="46" t="n"/>
      <c r="L1599" s="46" t="n"/>
      <c r="M1599" s="51" t="str">
        <f>IF(NOT(ISNUMBER($E1599)),"",IF($C1599="Receipt",$E1599,IF($C1599="Shipment",-$E1599,IF($C1599="Adjustment",$E1599,0))))</f>
        <v/>
      </c>
      <c r="N1599" s="49" t="str">
        <f>IF($D1599="","",IFERROR(INDEX(Products!$B$2:$B$101,MATCH($D1599,Products!$A$2:$A$101,0))&amp;"","(not found)"))</f>
        <v/>
      </c>
      <c r="O1599" s="49" t="str">
        <f>IF($F1599="","",IFERROR(INDEX(Batches!$B$2:$B$301,MATCH($F1599,Batches!$A$2:$A$301,0))&amp;"","(not found)"))</f>
        <v/>
      </c>
      <c r="P1599" s="49" t="str">
        <f>IF(COUNTA($A1599:$L1599)=0,"",IF($A1599="","Missing: entry ID",IF(COUNTIF($A$2:$A$2001,$A1599)&gt;1,"Duplicate entry ID",IF(NOT(ISNUMBER($B1599)),"Missing or invalid: date",IF($C1599="","Missing: type",IF($D1599="","Missing: SKU",IF(NOT(ISNUMBER($E1599)),"Missing: qty",IF($F1599="","Missing: lot",IF($I1599="","Missing: source link",IF(COUNTIF(Config!$A$15:$A$34,$C1599)=0,"Unsupported type",IF(COUNTIF(Products!$A$2:$A$101,$D1599)=0,"Unknown SKU",IF(COUNTIFS(Batches!$A$2:$A$301,$F1599,Batches!$B$2:$B$301,$D1599)=0,"Unknown lot for this SKU",IF(AND($C1599="Adjustment",$G1599=""),"Missing: reason",IF(AND($G1599&lt;&gt;"",COUNTIF(Config!$B$15:$B$34,$G1599)=0),"Unsupported reason",IF(OR(INT($E1599)&lt;&gt;$E1599,AND(OR($C1599="Receipt",$C1599="Shipment"),$E1599&lt;=0),AND($C1599="Adjustment",$E1599=0)),"Invalid qty",IF($B1599&gt;Config!$B$4,"Date after the as-of date",IF($B1599&lt;Config!$B$5,"Date before the opening balance date","OK")))))))))))))))))</f>
        <v/>
      </c>
    </row>
    <row r="1600">
      <c r="A1600" s="46" t="n"/>
      <c r="B1600" s="54" t="n"/>
      <c r="C1600" s="46" t="n"/>
      <c r="D1600" s="46" t="n"/>
      <c r="E1600" s="55" t="n"/>
      <c r="F1600" s="46" t="n"/>
      <c r="G1600" s="46" t="n"/>
      <c r="H1600" s="46" t="n"/>
      <c r="I1600" s="46" t="n"/>
      <c r="J1600" s="46" t="n"/>
      <c r="K1600" s="46" t="n"/>
      <c r="L1600" s="46" t="n"/>
      <c r="M1600" s="51" t="str">
        <f>IF(NOT(ISNUMBER($E1600)),"",IF($C1600="Receipt",$E1600,IF($C1600="Shipment",-$E1600,IF($C1600="Adjustment",$E1600,0))))</f>
        <v/>
      </c>
      <c r="N1600" s="49" t="str">
        <f>IF($D1600="","",IFERROR(INDEX(Products!$B$2:$B$101,MATCH($D1600,Products!$A$2:$A$101,0))&amp;"","(not found)"))</f>
        <v/>
      </c>
      <c r="O1600" s="49" t="str">
        <f>IF($F1600="","",IFERROR(INDEX(Batches!$B$2:$B$301,MATCH($F1600,Batches!$A$2:$A$301,0))&amp;"","(not found)"))</f>
        <v/>
      </c>
      <c r="P1600" s="49" t="str">
        <f>IF(COUNTA($A1600:$L1600)=0,"",IF($A1600="","Missing: entry ID",IF(COUNTIF($A$2:$A$2001,$A1600)&gt;1,"Duplicate entry ID",IF(NOT(ISNUMBER($B1600)),"Missing or invalid: date",IF($C1600="","Missing: type",IF($D1600="","Missing: SKU",IF(NOT(ISNUMBER($E1600)),"Missing: qty",IF($F1600="","Missing: lot",IF($I1600="","Missing: source link",IF(COUNTIF(Config!$A$15:$A$34,$C1600)=0,"Unsupported type",IF(COUNTIF(Products!$A$2:$A$101,$D1600)=0,"Unknown SKU",IF(COUNTIFS(Batches!$A$2:$A$301,$F1600,Batches!$B$2:$B$301,$D1600)=0,"Unknown lot for this SKU",IF(AND($C1600="Adjustment",$G1600=""),"Missing: reason",IF(AND($G1600&lt;&gt;"",COUNTIF(Config!$B$15:$B$34,$G1600)=0),"Unsupported reason",IF(OR(INT($E1600)&lt;&gt;$E1600,AND(OR($C1600="Receipt",$C1600="Shipment"),$E1600&lt;=0),AND($C1600="Adjustment",$E1600=0)),"Invalid qty",IF($B1600&gt;Config!$B$4,"Date after the as-of date",IF($B1600&lt;Config!$B$5,"Date before the opening balance date","OK")))))))))))))))))</f>
        <v/>
      </c>
    </row>
    <row r="1601">
      <c r="A1601" s="46" t="n"/>
      <c r="B1601" s="54" t="n"/>
      <c r="C1601" s="46" t="n"/>
      <c r="D1601" s="46" t="n"/>
      <c r="E1601" s="55" t="n"/>
      <c r="F1601" s="46" t="n"/>
      <c r="G1601" s="46" t="n"/>
      <c r="H1601" s="46" t="n"/>
      <c r="I1601" s="46" t="n"/>
      <c r="J1601" s="46" t="n"/>
      <c r="K1601" s="46" t="n"/>
      <c r="L1601" s="46" t="n"/>
      <c r="M1601" s="51" t="str">
        <f>IF(NOT(ISNUMBER($E1601)),"",IF($C1601="Receipt",$E1601,IF($C1601="Shipment",-$E1601,IF($C1601="Adjustment",$E1601,0))))</f>
        <v/>
      </c>
      <c r="N1601" s="49" t="str">
        <f>IF($D1601="","",IFERROR(INDEX(Products!$B$2:$B$101,MATCH($D1601,Products!$A$2:$A$101,0))&amp;"","(not found)"))</f>
        <v/>
      </c>
      <c r="O1601" s="49" t="str">
        <f>IF($F1601="","",IFERROR(INDEX(Batches!$B$2:$B$301,MATCH($F1601,Batches!$A$2:$A$301,0))&amp;"","(not found)"))</f>
        <v/>
      </c>
      <c r="P1601" s="49" t="str">
        <f>IF(COUNTA($A1601:$L1601)=0,"",IF($A1601="","Missing: entry ID",IF(COUNTIF($A$2:$A$2001,$A1601)&gt;1,"Duplicate entry ID",IF(NOT(ISNUMBER($B1601)),"Missing or invalid: date",IF($C1601="","Missing: type",IF($D1601="","Missing: SKU",IF(NOT(ISNUMBER($E1601)),"Missing: qty",IF($F1601="","Missing: lot",IF($I1601="","Missing: source link",IF(COUNTIF(Config!$A$15:$A$34,$C1601)=0,"Unsupported type",IF(COUNTIF(Products!$A$2:$A$101,$D1601)=0,"Unknown SKU",IF(COUNTIFS(Batches!$A$2:$A$301,$F1601,Batches!$B$2:$B$301,$D1601)=0,"Unknown lot for this SKU",IF(AND($C1601="Adjustment",$G1601=""),"Missing: reason",IF(AND($G1601&lt;&gt;"",COUNTIF(Config!$B$15:$B$34,$G1601)=0),"Unsupported reason",IF(OR(INT($E1601)&lt;&gt;$E1601,AND(OR($C1601="Receipt",$C1601="Shipment"),$E1601&lt;=0),AND($C1601="Adjustment",$E1601=0)),"Invalid qty",IF($B1601&gt;Config!$B$4,"Date after the as-of date",IF($B1601&lt;Config!$B$5,"Date before the opening balance date","OK")))))))))))))))))</f>
        <v/>
      </c>
    </row>
    <row r="1602">
      <c r="A1602" s="46" t="n"/>
      <c r="B1602" s="54" t="n"/>
      <c r="C1602" s="46" t="n"/>
      <c r="D1602" s="46" t="n"/>
      <c r="E1602" s="55" t="n"/>
      <c r="F1602" s="46" t="n"/>
      <c r="G1602" s="46" t="n"/>
      <c r="H1602" s="46" t="n"/>
      <c r="I1602" s="46" t="n"/>
      <c r="J1602" s="46" t="n"/>
      <c r="K1602" s="46" t="n"/>
      <c r="L1602" s="46" t="n"/>
      <c r="M1602" s="51" t="str">
        <f>IF(NOT(ISNUMBER($E1602)),"",IF($C1602="Receipt",$E1602,IF($C1602="Shipment",-$E1602,IF($C1602="Adjustment",$E1602,0))))</f>
        <v/>
      </c>
      <c r="N1602" s="49" t="str">
        <f>IF($D1602="","",IFERROR(INDEX(Products!$B$2:$B$101,MATCH($D1602,Products!$A$2:$A$101,0))&amp;"","(not found)"))</f>
        <v/>
      </c>
      <c r="O1602" s="49" t="str">
        <f>IF($F1602="","",IFERROR(INDEX(Batches!$B$2:$B$301,MATCH($F1602,Batches!$A$2:$A$301,0))&amp;"","(not found)"))</f>
        <v/>
      </c>
      <c r="P1602" s="49" t="str">
        <f>IF(COUNTA($A1602:$L1602)=0,"",IF($A1602="","Missing: entry ID",IF(COUNTIF($A$2:$A$2001,$A1602)&gt;1,"Duplicate entry ID",IF(NOT(ISNUMBER($B1602)),"Missing or invalid: date",IF($C1602="","Missing: type",IF($D1602="","Missing: SKU",IF(NOT(ISNUMBER($E1602)),"Missing: qty",IF($F1602="","Missing: lot",IF($I1602="","Missing: source link",IF(COUNTIF(Config!$A$15:$A$34,$C1602)=0,"Unsupported type",IF(COUNTIF(Products!$A$2:$A$101,$D1602)=0,"Unknown SKU",IF(COUNTIFS(Batches!$A$2:$A$301,$F1602,Batches!$B$2:$B$301,$D1602)=0,"Unknown lot for this SKU",IF(AND($C1602="Adjustment",$G1602=""),"Missing: reason",IF(AND($G1602&lt;&gt;"",COUNTIF(Config!$B$15:$B$34,$G1602)=0),"Unsupported reason",IF(OR(INT($E1602)&lt;&gt;$E1602,AND(OR($C1602="Receipt",$C1602="Shipment"),$E1602&lt;=0),AND($C1602="Adjustment",$E1602=0)),"Invalid qty",IF($B1602&gt;Config!$B$4,"Date after the as-of date",IF($B1602&lt;Config!$B$5,"Date before the opening balance date","OK")))))))))))))))))</f>
        <v/>
      </c>
    </row>
    <row r="1603">
      <c r="A1603" s="46" t="n"/>
      <c r="B1603" s="54" t="n"/>
      <c r="C1603" s="46" t="n"/>
      <c r="D1603" s="46" t="n"/>
      <c r="E1603" s="55" t="n"/>
      <c r="F1603" s="46" t="n"/>
      <c r="G1603" s="46" t="n"/>
      <c r="H1603" s="46" t="n"/>
      <c r="I1603" s="46" t="n"/>
      <c r="J1603" s="46" t="n"/>
      <c r="K1603" s="46" t="n"/>
      <c r="L1603" s="46" t="n"/>
      <c r="M1603" s="51" t="str">
        <f>IF(NOT(ISNUMBER($E1603)),"",IF($C1603="Receipt",$E1603,IF($C1603="Shipment",-$E1603,IF($C1603="Adjustment",$E1603,0))))</f>
        <v/>
      </c>
      <c r="N1603" s="49" t="str">
        <f>IF($D1603="","",IFERROR(INDEX(Products!$B$2:$B$101,MATCH($D1603,Products!$A$2:$A$101,0))&amp;"","(not found)"))</f>
        <v/>
      </c>
      <c r="O1603" s="49" t="str">
        <f>IF($F1603="","",IFERROR(INDEX(Batches!$B$2:$B$301,MATCH($F1603,Batches!$A$2:$A$301,0))&amp;"","(not found)"))</f>
        <v/>
      </c>
      <c r="P1603" s="49" t="str">
        <f>IF(COUNTA($A1603:$L1603)=0,"",IF($A1603="","Missing: entry ID",IF(COUNTIF($A$2:$A$2001,$A1603)&gt;1,"Duplicate entry ID",IF(NOT(ISNUMBER($B1603)),"Missing or invalid: date",IF($C1603="","Missing: type",IF($D1603="","Missing: SKU",IF(NOT(ISNUMBER($E1603)),"Missing: qty",IF($F1603="","Missing: lot",IF($I1603="","Missing: source link",IF(COUNTIF(Config!$A$15:$A$34,$C1603)=0,"Unsupported type",IF(COUNTIF(Products!$A$2:$A$101,$D1603)=0,"Unknown SKU",IF(COUNTIFS(Batches!$A$2:$A$301,$F1603,Batches!$B$2:$B$301,$D1603)=0,"Unknown lot for this SKU",IF(AND($C1603="Adjustment",$G1603=""),"Missing: reason",IF(AND($G1603&lt;&gt;"",COUNTIF(Config!$B$15:$B$34,$G1603)=0),"Unsupported reason",IF(OR(INT($E1603)&lt;&gt;$E1603,AND(OR($C1603="Receipt",$C1603="Shipment"),$E1603&lt;=0),AND($C1603="Adjustment",$E1603=0)),"Invalid qty",IF($B1603&gt;Config!$B$4,"Date after the as-of date",IF($B1603&lt;Config!$B$5,"Date before the opening balance date","OK")))))))))))))))))</f>
        <v/>
      </c>
    </row>
    <row r="1604">
      <c r="A1604" s="46" t="n"/>
      <c r="B1604" s="54" t="n"/>
      <c r="C1604" s="46" t="n"/>
      <c r="D1604" s="46" t="n"/>
      <c r="E1604" s="55" t="n"/>
      <c r="F1604" s="46" t="n"/>
      <c r="G1604" s="46" t="n"/>
      <c r="H1604" s="46" t="n"/>
      <c r="I1604" s="46" t="n"/>
      <c r="J1604" s="46" t="n"/>
      <c r="K1604" s="46" t="n"/>
      <c r="L1604" s="46" t="n"/>
      <c r="M1604" s="51" t="str">
        <f>IF(NOT(ISNUMBER($E1604)),"",IF($C1604="Receipt",$E1604,IF($C1604="Shipment",-$E1604,IF($C1604="Adjustment",$E1604,0))))</f>
        <v/>
      </c>
      <c r="N1604" s="49" t="str">
        <f>IF($D1604="","",IFERROR(INDEX(Products!$B$2:$B$101,MATCH($D1604,Products!$A$2:$A$101,0))&amp;"","(not found)"))</f>
        <v/>
      </c>
      <c r="O1604" s="49" t="str">
        <f>IF($F1604="","",IFERROR(INDEX(Batches!$B$2:$B$301,MATCH($F1604,Batches!$A$2:$A$301,0))&amp;"","(not found)"))</f>
        <v/>
      </c>
      <c r="P1604" s="49" t="str">
        <f>IF(COUNTA($A1604:$L1604)=0,"",IF($A1604="","Missing: entry ID",IF(COUNTIF($A$2:$A$2001,$A1604)&gt;1,"Duplicate entry ID",IF(NOT(ISNUMBER($B1604)),"Missing or invalid: date",IF($C1604="","Missing: type",IF($D1604="","Missing: SKU",IF(NOT(ISNUMBER($E1604)),"Missing: qty",IF($F1604="","Missing: lot",IF($I1604="","Missing: source link",IF(COUNTIF(Config!$A$15:$A$34,$C1604)=0,"Unsupported type",IF(COUNTIF(Products!$A$2:$A$101,$D1604)=0,"Unknown SKU",IF(COUNTIFS(Batches!$A$2:$A$301,$F1604,Batches!$B$2:$B$301,$D1604)=0,"Unknown lot for this SKU",IF(AND($C1604="Adjustment",$G1604=""),"Missing: reason",IF(AND($G1604&lt;&gt;"",COUNTIF(Config!$B$15:$B$34,$G1604)=0),"Unsupported reason",IF(OR(INT($E1604)&lt;&gt;$E1604,AND(OR($C1604="Receipt",$C1604="Shipment"),$E1604&lt;=0),AND($C1604="Adjustment",$E1604=0)),"Invalid qty",IF($B1604&gt;Config!$B$4,"Date after the as-of date",IF($B1604&lt;Config!$B$5,"Date before the opening balance date","OK")))))))))))))))))</f>
        <v/>
      </c>
    </row>
    <row r="1605">
      <c r="A1605" s="46" t="n"/>
      <c r="B1605" s="54" t="n"/>
      <c r="C1605" s="46" t="n"/>
      <c r="D1605" s="46" t="n"/>
      <c r="E1605" s="55" t="n"/>
      <c r="F1605" s="46" t="n"/>
      <c r="G1605" s="46" t="n"/>
      <c r="H1605" s="46" t="n"/>
      <c r="I1605" s="46" t="n"/>
      <c r="J1605" s="46" t="n"/>
      <c r="K1605" s="46" t="n"/>
      <c r="L1605" s="46" t="n"/>
      <c r="M1605" s="51" t="str">
        <f>IF(NOT(ISNUMBER($E1605)),"",IF($C1605="Receipt",$E1605,IF($C1605="Shipment",-$E1605,IF($C1605="Adjustment",$E1605,0))))</f>
        <v/>
      </c>
      <c r="N1605" s="49" t="str">
        <f>IF($D1605="","",IFERROR(INDEX(Products!$B$2:$B$101,MATCH($D1605,Products!$A$2:$A$101,0))&amp;"","(not found)"))</f>
        <v/>
      </c>
      <c r="O1605" s="49" t="str">
        <f>IF($F1605="","",IFERROR(INDEX(Batches!$B$2:$B$301,MATCH($F1605,Batches!$A$2:$A$301,0))&amp;"","(not found)"))</f>
        <v/>
      </c>
      <c r="P1605" s="49" t="str">
        <f>IF(COUNTA($A1605:$L1605)=0,"",IF($A1605="","Missing: entry ID",IF(COUNTIF($A$2:$A$2001,$A1605)&gt;1,"Duplicate entry ID",IF(NOT(ISNUMBER($B1605)),"Missing or invalid: date",IF($C1605="","Missing: type",IF($D1605="","Missing: SKU",IF(NOT(ISNUMBER($E1605)),"Missing: qty",IF($F1605="","Missing: lot",IF($I1605="","Missing: source link",IF(COUNTIF(Config!$A$15:$A$34,$C1605)=0,"Unsupported type",IF(COUNTIF(Products!$A$2:$A$101,$D1605)=0,"Unknown SKU",IF(COUNTIFS(Batches!$A$2:$A$301,$F1605,Batches!$B$2:$B$301,$D1605)=0,"Unknown lot for this SKU",IF(AND($C1605="Adjustment",$G1605=""),"Missing: reason",IF(AND($G1605&lt;&gt;"",COUNTIF(Config!$B$15:$B$34,$G1605)=0),"Unsupported reason",IF(OR(INT($E1605)&lt;&gt;$E1605,AND(OR($C1605="Receipt",$C1605="Shipment"),$E1605&lt;=0),AND($C1605="Adjustment",$E1605=0)),"Invalid qty",IF($B1605&gt;Config!$B$4,"Date after the as-of date",IF($B1605&lt;Config!$B$5,"Date before the opening balance date","OK")))))))))))))))))</f>
        <v/>
      </c>
    </row>
    <row r="1606">
      <c r="A1606" s="46" t="n"/>
      <c r="B1606" s="54" t="n"/>
      <c r="C1606" s="46" t="n"/>
      <c r="D1606" s="46" t="n"/>
      <c r="E1606" s="55" t="n"/>
      <c r="F1606" s="46" t="n"/>
      <c r="G1606" s="46" t="n"/>
      <c r="H1606" s="46" t="n"/>
      <c r="I1606" s="46" t="n"/>
      <c r="J1606" s="46" t="n"/>
      <c r="K1606" s="46" t="n"/>
      <c r="L1606" s="46" t="n"/>
      <c r="M1606" s="51" t="str">
        <f>IF(NOT(ISNUMBER($E1606)),"",IF($C1606="Receipt",$E1606,IF($C1606="Shipment",-$E1606,IF($C1606="Adjustment",$E1606,0))))</f>
        <v/>
      </c>
      <c r="N1606" s="49" t="str">
        <f>IF($D1606="","",IFERROR(INDEX(Products!$B$2:$B$101,MATCH($D1606,Products!$A$2:$A$101,0))&amp;"","(not found)"))</f>
        <v/>
      </c>
      <c r="O1606" s="49" t="str">
        <f>IF($F1606="","",IFERROR(INDEX(Batches!$B$2:$B$301,MATCH($F1606,Batches!$A$2:$A$301,0))&amp;"","(not found)"))</f>
        <v/>
      </c>
      <c r="P1606" s="49" t="str">
        <f>IF(COUNTA($A1606:$L1606)=0,"",IF($A1606="","Missing: entry ID",IF(COUNTIF($A$2:$A$2001,$A1606)&gt;1,"Duplicate entry ID",IF(NOT(ISNUMBER($B1606)),"Missing or invalid: date",IF($C1606="","Missing: type",IF($D1606="","Missing: SKU",IF(NOT(ISNUMBER($E1606)),"Missing: qty",IF($F1606="","Missing: lot",IF($I1606="","Missing: source link",IF(COUNTIF(Config!$A$15:$A$34,$C1606)=0,"Unsupported type",IF(COUNTIF(Products!$A$2:$A$101,$D1606)=0,"Unknown SKU",IF(COUNTIFS(Batches!$A$2:$A$301,$F1606,Batches!$B$2:$B$301,$D1606)=0,"Unknown lot for this SKU",IF(AND($C1606="Adjustment",$G1606=""),"Missing: reason",IF(AND($G1606&lt;&gt;"",COUNTIF(Config!$B$15:$B$34,$G1606)=0),"Unsupported reason",IF(OR(INT($E1606)&lt;&gt;$E1606,AND(OR($C1606="Receipt",$C1606="Shipment"),$E1606&lt;=0),AND($C1606="Adjustment",$E1606=0)),"Invalid qty",IF($B1606&gt;Config!$B$4,"Date after the as-of date",IF($B1606&lt;Config!$B$5,"Date before the opening balance date","OK")))))))))))))))))</f>
        <v/>
      </c>
    </row>
    <row r="1607">
      <c r="A1607" s="46" t="n"/>
      <c r="B1607" s="54" t="n"/>
      <c r="C1607" s="46" t="n"/>
      <c r="D1607" s="46" t="n"/>
      <c r="E1607" s="55" t="n"/>
      <c r="F1607" s="46" t="n"/>
      <c r="G1607" s="46" t="n"/>
      <c r="H1607" s="46" t="n"/>
      <c r="I1607" s="46" t="n"/>
      <c r="J1607" s="46" t="n"/>
      <c r="K1607" s="46" t="n"/>
      <c r="L1607" s="46" t="n"/>
      <c r="M1607" s="51" t="str">
        <f>IF(NOT(ISNUMBER($E1607)),"",IF($C1607="Receipt",$E1607,IF($C1607="Shipment",-$E1607,IF($C1607="Adjustment",$E1607,0))))</f>
        <v/>
      </c>
      <c r="N1607" s="49" t="str">
        <f>IF($D1607="","",IFERROR(INDEX(Products!$B$2:$B$101,MATCH($D1607,Products!$A$2:$A$101,0))&amp;"","(not found)"))</f>
        <v/>
      </c>
      <c r="O1607" s="49" t="str">
        <f>IF($F1607="","",IFERROR(INDEX(Batches!$B$2:$B$301,MATCH($F1607,Batches!$A$2:$A$301,0))&amp;"","(not found)"))</f>
        <v/>
      </c>
      <c r="P1607" s="49" t="str">
        <f>IF(COUNTA($A1607:$L1607)=0,"",IF($A1607="","Missing: entry ID",IF(COUNTIF($A$2:$A$2001,$A1607)&gt;1,"Duplicate entry ID",IF(NOT(ISNUMBER($B1607)),"Missing or invalid: date",IF($C1607="","Missing: type",IF($D1607="","Missing: SKU",IF(NOT(ISNUMBER($E1607)),"Missing: qty",IF($F1607="","Missing: lot",IF($I1607="","Missing: source link",IF(COUNTIF(Config!$A$15:$A$34,$C1607)=0,"Unsupported type",IF(COUNTIF(Products!$A$2:$A$101,$D1607)=0,"Unknown SKU",IF(COUNTIFS(Batches!$A$2:$A$301,$F1607,Batches!$B$2:$B$301,$D1607)=0,"Unknown lot for this SKU",IF(AND($C1607="Adjustment",$G1607=""),"Missing: reason",IF(AND($G1607&lt;&gt;"",COUNTIF(Config!$B$15:$B$34,$G1607)=0),"Unsupported reason",IF(OR(INT($E1607)&lt;&gt;$E1607,AND(OR($C1607="Receipt",$C1607="Shipment"),$E1607&lt;=0),AND($C1607="Adjustment",$E1607=0)),"Invalid qty",IF($B1607&gt;Config!$B$4,"Date after the as-of date",IF($B1607&lt;Config!$B$5,"Date before the opening balance date","OK")))))))))))))))))</f>
        <v/>
      </c>
    </row>
    <row r="1608">
      <c r="A1608" s="46" t="n"/>
      <c r="B1608" s="54" t="n"/>
      <c r="C1608" s="46" t="n"/>
      <c r="D1608" s="46" t="n"/>
      <c r="E1608" s="55" t="n"/>
      <c r="F1608" s="46" t="n"/>
      <c r="G1608" s="46" t="n"/>
      <c r="H1608" s="46" t="n"/>
      <c r="I1608" s="46" t="n"/>
      <c r="J1608" s="46" t="n"/>
      <c r="K1608" s="46" t="n"/>
      <c r="L1608" s="46" t="n"/>
      <c r="M1608" s="51" t="str">
        <f>IF(NOT(ISNUMBER($E1608)),"",IF($C1608="Receipt",$E1608,IF($C1608="Shipment",-$E1608,IF($C1608="Adjustment",$E1608,0))))</f>
        <v/>
      </c>
      <c r="N1608" s="49" t="str">
        <f>IF($D1608="","",IFERROR(INDEX(Products!$B$2:$B$101,MATCH($D1608,Products!$A$2:$A$101,0))&amp;"","(not found)"))</f>
        <v/>
      </c>
      <c r="O1608" s="49" t="str">
        <f>IF($F1608="","",IFERROR(INDEX(Batches!$B$2:$B$301,MATCH($F1608,Batches!$A$2:$A$301,0))&amp;"","(not found)"))</f>
        <v/>
      </c>
      <c r="P1608" s="49" t="str">
        <f>IF(COUNTA($A1608:$L1608)=0,"",IF($A1608="","Missing: entry ID",IF(COUNTIF($A$2:$A$2001,$A1608)&gt;1,"Duplicate entry ID",IF(NOT(ISNUMBER($B1608)),"Missing or invalid: date",IF($C1608="","Missing: type",IF($D1608="","Missing: SKU",IF(NOT(ISNUMBER($E1608)),"Missing: qty",IF($F1608="","Missing: lot",IF($I1608="","Missing: source link",IF(COUNTIF(Config!$A$15:$A$34,$C1608)=0,"Unsupported type",IF(COUNTIF(Products!$A$2:$A$101,$D1608)=0,"Unknown SKU",IF(COUNTIFS(Batches!$A$2:$A$301,$F1608,Batches!$B$2:$B$301,$D1608)=0,"Unknown lot for this SKU",IF(AND($C1608="Adjustment",$G1608=""),"Missing: reason",IF(AND($G1608&lt;&gt;"",COUNTIF(Config!$B$15:$B$34,$G1608)=0),"Unsupported reason",IF(OR(INT($E1608)&lt;&gt;$E1608,AND(OR($C1608="Receipt",$C1608="Shipment"),$E1608&lt;=0),AND($C1608="Adjustment",$E1608=0)),"Invalid qty",IF($B1608&gt;Config!$B$4,"Date after the as-of date",IF($B1608&lt;Config!$B$5,"Date before the opening balance date","OK")))))))))))))))))</f>
        <v/>
      </c>
    </row>
    <row r="1609">
      <c r="A1609" s="46" t="n"/>
      <c r="B1609" s="54" t="n"/>
      <c r="C1609" s="46" t="n"/>
      <c r="D1609" s="46" t="n"/>
      <c r="E1609" s="55" t="n"/>
      <c r="F1609" s="46" t="n"/>
      <c r="G1609" s="46" t="n"/>
      <c r="H1609" s="46" t="n"/>
      <c r="I1609" s="46" t="n"/>
      <c r="J1609" s="46" t="n"/>
      <c r="K1609" s="46" t="n"/>
      <c r="L1609" s="46" t="n"/>
      <c r="M1609" s="51" t="str">
        <f>IF(NOT(ISNUMBER($E1609)),"",IF($C1609="Receipt",$E1609,IF($C1609="Shipment",-$E1609,IF($C1609="Adjustment",$E1609,0))))</f>
        <v/>
      </c>
      <c r="N1609" s="49" t="str">
        <f>IF($D1609="","",IFERROR(INDEX(Products!$B$2:$B$101,MATCH($D1609,Products!$A$2:$A$101,0))&amp;"","(not found)"))</f>
        <v/>
      </c>
      <c r="O1609" s="49" t="str">
        <f>IF($F1609="","",IFERROR(INDEX(Batches!$B$2:$B$301,MATCH($F1609,Batches!$A$2:$A$301,0))&amp;"","(not found)"))</f>
        <v/>
      </c>
      <c r="P1609" s="49" t="str">
        <f>IF(COUNTA($A1609:$L1609)=0,"",IF($A1609="","Missing: entry ID",IF(COUNTIF($A$2:$A$2001,$A1609)&gt;1,"Duplicate entry ID",IF(NOT(ISNUMBER($B1609)),"Missing or invalid: date",IF($C1609="","Missing: type",IF($D1609="","Missing: SKU",IF(NOT(ISNUMBER($E1609)),"Missing: qty",IF($F1609="","Missing: lot",IF($I1609="","Missing: source link",IF(COUNTIF(Config!$A$15:$A$34,$C1609)=0,"Unsupported type",IF(COUNTIF(Products!$A$2:$A$101,$D1609)=0,"Unknown SKU",IF(COUNTIFS(Batches!$A$2:$A$301,$F1609,Batches!$B$2:$B$301,$D1609)=0,"Unknown lot for this SKU",IF(AND($C1609="Adjustment",$G1609=""),"Missing: reason",IF(AND($G1609&lt;&gt;"",COUNTIF(Config!$B$15:$B$34,$G1609)=0),"Unsupported reason",IF(OR(INT($E1609)&lt;&gt;$E1609,AND(OR($C1609="Receipt",$C1609="Shipment"),$E1609&lt;=0),AND($C1609="Adjustment",$E1609=0)),"Invalid qty",IF($B1609&gt;Config!$B$4,"Date after the as-of date",IF($B1609&lt;Config!$B$5,"Date before the opening balance date","OK")))))))))))))))))</f>
        <v/>
      </c>
    </row>
    <row r="1610">
      <c r="A1610" s="46" t="n"/>
      <c r="B1610" s="54" t="n"/>
      <c r="C1610" s="46" t="n"/>
      <c r="D1610" s="46" t="n"/>
      <c r="E1610" s="55" t="n"/>
      <c r="F1610" s="46" t="n"/>
      <c r="G1610" s="46" t="n"/>
      <c r="H1610" s="46" t="n"/>
      <c r="I1610" s="46" t="n"/>
      <c r="J1610" s="46" t="n"/>
      <c r="K1610" s="46" t="n"/>
      <c r="L1610" s="46" t="n"/>
      <c r="M1610" s="51" t="str">
        <f>IF(NOT(ISNUMBER($E1610)),"",IF($C1610="Receipt",$E1610,IF($C1610="Shipment",-$E1610,IF($C1610="Adjustment",$E1610,0))))</f>
        <v/>
      </c>
      <c r="N1610" s="49" t="str">
        <f>IF($D1610="","",IFERROR(INDEX(Products!$B$2:$B$101,MATCH($D1610,Products!$A$2:$A$101,0))&amp;"","(not found)"))</f>
        <v/>
      </c>
      <c r="O1610" s="49" t="str">
        <f>IF($F1610="","",IFERROR(INDEX(Batches!$B$2:$B$301,MATCH($F1610,Batches!$A$2:$A$301,0))&amp;"","(not found)"))</f>
        <v/>
      </c>
      <c r="P1610" s="49" t="str">
        <f>IF(COUNTA($A1610:$L1610)=0,"",IF($A1610="","Missing: entry ID",IF(COUNTIF($A$2:$A$2001,$A1610)&gt;1,"Duplicate entry ID",IF(NOT(ISNUMBER($B1610)),"Missing or invalid: date",IF($C1610="","Missing: type",IF($D1610="","Missing: SKU",IF(NOT(ISNUMBER($E1610)),"Missing: qty",IF($F1610="","Missing: lot",IF($I1610="","Missing: source link",IF(COUNTIF(Config!$A$15:$A$34,$C1610)=0,"Unsupported type",IF(COUNTIF(Products!$A$2:$A$101,$D1610)=0,"Unknown SKU",IF(COUNTIFS(Batches!$A$2:$A$301,$F1610,Batches!$B$2:$B$301,$D1610)=0,"Unknown lot for this SKU",IF(AND($C1610="Adjustment",$G1610=""),"Missing: reason",IF(AND($G1610&lt;&gt;"",COUNTIF(Config!$B$15:$B$34,$G1610)=0),"Unsupported reason",IF(OR(INT($E1610)&lt;&gt;$E1610,AND(OR($C1610="Receipt",$C1610="Shipment"),$E1610&lt;=0),AND($C1610="Adjustment",$E1610=0)),"Invalid qty",IF($B1610&gt;Config!$B$4,"Date after the as-of date",IF($B1610&lt;Config!$B$5,"Date before the opening balance date","OK")))))))))))))))))</f>
        <v/>
      </c>
    </row>
    <row r="1611">
      <c r="A1611" s="46" t="n"/>
      <c r="B1611" s="54" t="n"/>
      <c r="C1611" s="46" t="n"/>
      <c r="D1611" s="46" t="n"/>
      <c r="E1611" s="55" t="n"/>
      <c r="F1611" s="46" t="n"/>
      <c r="G1611" s="46" t="n"/>
      <c r="H1611" s="46" t="n"/>
      <c r="I1611" s="46" t="n"/>
      <c r="J1611" s="46" t="n"/>
      <c r="K1611" s="46" t="n"/>
      <c r="L1611" s="46" t="n"/>
      <c r="M1611" s="51" t="str">
        <f>IF(NOT(ISNUMBER($E1611)),"",IF($C1611="Receipt",$E1611,IF($C1611="Shipment",-$E1611,IF($C1611="Adjustment",$E1611,0))))</f>
        <v/>
      </c>
      <c r="N1611" s="49" t="str">
        <f>IF($D1611="","",IFERROR(INDEX(Products!$B$2:$B$101,MATCH($D1611,Products!$A$2:$A$101,0))&amp;"","(not found)"))</f>
        <v/>
      </c>
      <c r="O1611" s="49" t="str">
        <f>IF($F1611="","",IFERROR(INDEX(Batches!$B$2:$B$301,MATCH($F1611,Batches!$A$2:$A$301,0))&amp;"","(not found)"))</f>
        <v/>
      </c>
      <c r="P1611" s="49" t="str">
        <f>IF(COUNTA($A1611:$L1611)=0,"",IF($A1611="","Missing: entry ID",IF(COUNTIF($A$2:$A$2001,$A1611)&gt;1,"Duplicate entry ID",IF(NOT(ISNUMBER($B1611)),"Missing or invalid: date",IF($C1611="","Missing: type",IF($D1611="","Missing: SKU",IF(NOT(ISNUMBER($E1611)),"Missing: qty",IF($F1611="","Missing: lot",IF($I1611="","Missing: source link",IF(COUNTIF(Config!$A$15:$A$34,$C1611)=0,"Unsupported type",IF(COUNTIF(Products!$A$2:$A$101,$D1611)=0,"Unknown SKU",IF(COUNTIFS(Batches!$A$2:$A$301,$F1611,Batches!$B$2:$B$301,$D1611)=0,"Unknown lot for this SKU",IF(AND($C1611="Adjustment",$G1611=""),"Missing: reason",IF(AND($G1611&lt;&gt;"",COUNTIF(Config!$B$15:$B$34,$G1611)=0),"Unsupported reason",IF(OR(INT($E1611)&lt;&gt;$E1611,AND(OR($C1611="Receipt",$C1611="Shipment"),$E1611&lt;=0),AND($C1611="Adjustment",$E1611=0)),"Invalid qty",IF($B1611&gt;Config!$B$4,"Date after the as-of date",IF($B1611&lt;Config!$B$5,"Date before the opening balance date","OK")))))))))))))))))</f>
        <v/>
      </c>
    </row>
    <row r="1612">
      <c r="A1612" s="46" t="n"/>
      <c r="B1612" s="54" t="n"/>
      <c r="C1612" s="46" t="n"/>
      <c r="D1612" s="46" t="n"/>
      <c r="E1612" s="55" t="n"/>
      <c r="F1612" s="46" t="n"/>
      <c r="G1612" s="46" t="n"/>
      <c r="H1612" s="46" t="n"/>
      <c r="I1612" s="46" t="n"/>
      <c r="J1612" s="46" t="n"/>
      <c r="K1612" s="46" t="n"/>
      <c r="L1612" s="46" t="n"/>
      <c r="M1612" s="51" t="str">
        <f>IF(NOT(ISNUMBER($E1612)),"",IF($C1612="Receipt",$E1612,IF($C1612="Shipment",-$E1612,IF($C1612="Adjustment",$E1612,0))))</f>
        <v/>
      </c>
      <c r="N1612" s="49" t="str">
        <f>IF($D1612="","",IFERROR(INDEX(Products!$B$2:$B$101,MATCH($D1612,Products!$A$2:$A$101,0))&amp;"","(not found)"))</f>
        <v/>
      </c>
      <c r="O1612" s="49" t="str">
        <f>IF($F1612="","",IFERROR(INDEX(Batches!$B$2:$B$301,MATCH($F1612,Batches!$A$2:$A$301,0))&amp;"","(not found)"))</f>
        <v/>
      </c>
      <c r="P1612" s="49" t="str">
        <f>IF(COUNTA($A1612:$L1612)=0,"",IF($A1612="","Missing: entry ID",IF(COUNTIF($A$2:$A$2001,$A1612)&gt;1,"Duplicate entry ID",IF(NOT(ISNUMBER($B1612)),"Missing or invalid: date",IF($C1612="","Missing: type",IF($D1612="","Missing: SKU",IF(NOT(ISNUMBER($E1612)),"Missing: qty",IF($F1612="","Missing: lot",IF($I1612="","Missing: source link",IF(COUNTIF(Config!$A$15:$A$34,$C1612)=0,"Unsupported type",IF(COUNTIF(Products!$A$2:$A$101,$D1612)=0,"Unknown SKU",IF(COUNTIFS(Batches!$A$2:$A$301,$F1612,Batches!$B$2:$B$301,$D1612)=0,"Unknown lot for this SKU",IF(AND($C1612="Adjustment",$G1612=""),"Missing: reason",IF(AND($G1612&lt;&gt;"",COUNTIF(Config!$B$15:$B$34,$G1612)=0),"Unsupported reason",IF(OR(INT($E1612)&lt;&gt;$E1612,AND(OR($C1612="Receipt",$C1612="Shipment"),$E1612&lt;=0),AND($C1612="Adjustment",$E1612=0)),"Invalid qty",IF($B1612&gt;Config!$B$4,"Date after the as-of date",IF($B1612&lt;Config!$B$5,"Date before the opening balance date","OK")))))))))))))))))</f>
        <v/>
      </c>
    </row>
    <row r="1613">
      <c r="A1613" s="46" t="n"/>
      <c r="B1613" s="54" t="n"/>
      <c r="C1613" s="46" t="n"/>
      <c r="D1613" s="46" t="n"/>
      <c r="E1613" s="55" t="n"/>
      <c r="F1613" s="46" t="n"/>
      <c r="G1613" s="46" t="n"/>
      <c r="H1613" s="46" t="n"/>
      <c r="I1613" s="46" t="n"/>
      <c r="J1613" s="46" t="n"/>
      <c r="K1613" s="46" t="n"/>
      <c r="L1613" s="46" t="n"/>
      <c r="M1613" s="51" t="str">
        <f>IF(NOT(ISNUMBER($E1613)),"",IF($C1613="Receipt",$E1613,IF($C1613="Shipment",-$E1613,IF($C1613="Adjustment",$E1613,0))))</f>
        <v/>
      </c>
      <c r="N1613" s="49" t="str">
        <f>IF($D1613="","",IFERROR(INDEX(Products!$B$2:$B$101,MATCH($D1613,Products!$A$2:$A$101,0))&amp;"","(not found)"))</f>
        <v/>
      </c>
      <c r="O1613" s="49" t="str">
        <f>IF($F1613="","",IFERROR(INDEX(Batches!$B$2:$B$301,MATCH($F1613,Batches!$A$2:$A$301,0))&amp;"","(not found)"))</f>
        <v/>
      </c>
      <c r="P1613" s="49" t="str">
        <f>IF(COUNTA($A1613:$L1613)=0,"",IF($A1613="","Missing: entry ID",IF(COUNTIF($A$2:$A$2001,$A1613)&gt;1,"Duplicate entry ID",IF(NOT(ISNUMBER($B1613)),"Missing or invalid: date",IF($C1613="","Missing: type",IF($D1613="","Missing: SKU",IF(NOT(ISNUMBER($E1613)),"Missing: qty",IF($F1613="","Missing: lot",IF($I1613="","Missing: source link",IF(COUNTIF(Config!$A$15:$A$34,$C1613)=0,"Unsupported type",IF(COUNTIF(Products!$A$2:$A$101,$D1613)=0,"Unknown SKU",IF(COUNTIFS(Batches!$A$2:$A$301,$F1613,Batches!$B$2:$B$301,$D1613)=0,"Unknown lot for this SKU",IF(AND($C1613="Adjustment",$G1613=""),"Missing: reason",IF(AND($G1613&lt;&gt;"",COUNTIF(Config!$B$15:$B$34,$G1613)=0),"Unsupported reason",IF(OR(INT($E1613)&lt;&gt;$E1613,AND(OR($C1613="Receipt",$C1613="Shipment"),$E1613&lt;=0),AND($C1613="Adjustment",$E1613=0)),"Invalid qty",IF($B1613&gt;Config!$B$4,"Date after the as-of date",IF($B1613&lt;Config!$B$5,"Date before the opening balance date","OK")))))))))))))))))</f>
        <v/>
      </c>
    </row>
    <row r="1614">
      <c r="A1614" s="46" t="n"/>
      <c r="B1614" s="54" t="n"/>
      <c r="C1614" s="46" t="n"/>
      <c r="D1614" s="46" t="n"/>
      <c r="E1614" s="55" t="n"/>
      <c r="F1614" s="46" t="n"/>
      <c r="G1614" s="46" t="n"/>
      <c r="H1614" s="46" t="n"/>
      <c r="I1614" s="46" t="n"/>
      <c r="J1614" s="46" t="n"/>
      <c r="K1614" s="46" t="n"/>
      <c r="L1614" s="46" t="n"/>
      <c r="M1614" s="51" t="str">
        <f>IF(NOT(ISNUMBER($E1614)),"",IF($C1614="Receipt",$E1614,IF($C1614="Shipment",-$E1614,IF($C1614="Adjustment",$E1614,0))))</f>
        <v/>
      </c>
      <c r="N1614" s="49" t="str">
        <f>IF($D1614="","",IFERROR(INDEX(Products!$B$2:$B$101,MATCH($D1614,Products!$A$2:$A$101,0))&amp;"","(not found)"))</f>
        <v/>
      </c>
      <c r="O1614" s="49" t="str">
        <f>IF($F1614="","",IFERROR(INDEX(Batches!$B$2:$B$301,MATCH($F1614,Batches!$A$2:$A$301,0))&amp;"","(not found)"))</f>
        <v/>
      </c>
      <c r="P1614" s="49" t="str">
        <f>IF(COUNTA($A1614:$L1614)=0,"",IF($A1614="","Missing: entry ID",IF(COUNTIF($A$2:$A$2001,$A1614)&gt;1,"Duplicate entry ID",IF(NOT(ISNUMBER($B1614)),"Missing or invalid: date",IF($C1614="","Missing: type",IF($D1614="","Missing: SKU",IF(NOT(ISNUMBER($E1614)),"Missing: qty",IF($F1614="","Missing: lot",IF($I1614="","Missing: source link",IF(COUNTIF(Config!$A$15:$A$34,$C1614)=0,"Unsupported type",IF(COUNTIF(Products!$A$2:$A$101,$D1614)=0,"Unknown SKU",IF(COUNTIFS(Batches!$A$2:$A$301,$F1614,Batches!$B$2:$B$301,$D1614)=0,"Unknown lot for this SKU",IF(AND($C1614="Adjustment",$G1614=""),"Missing: reason",IF(AND($G1614&lt;&gt;"",COUNTIF(Config!$B$15:$B$34,$G1614)=0),"Unsupported reason",IF(OR(INT($E1614)&lt;&gt;$E1614,AND(OR($C1614="Receipt",$C1614="Shipment"),$E1614&lt;=0),AND($C1614="Adjustment",$E1614=0)),"Invalid qty",IF($B1614&gt;Config!$B$4,"Date after the as-of date",IF($B1614&lt;Config!$B$5,"Date before the opening balance date","OK")))))))))))))))))</f>
        <v/>
      </c>
    </row>
    <row r="1615">
      <c r="A1615" s="46" t="n"/>
      <c r="B1615" s="54" t="n"/>
      <c r="C1615" s="46" t="n"/>
      <c r="D1615" s="46" t="n"/>
      <c r="E1615" s="55" t="n"/>
      <c r="F1615" s="46" t="n"/>
      <c r="G1615" s="46" t="n"/>
      <c r="H1615" s="46" t="n"/>
      <c r="I1615" s="46" t="n"/>
      <c r="J1615" s="46" t="n"/>
      <c r="K1615" s="46" t="n"/>
      <c r="L1615" s="46" t="n"/>
      <c r="M1615" s="51" t="str">
        <f>IF(NOT(ISNUMBER($E1615)),"",IF($C1615="Receipt",$E1615,IF($C1615="Shipment",-$E1615,IF($C1615="Adjustment",$E1615,0))))</f>
        <v/>
      </c>
      <c r="N1615" s="49" t="str">
        <f>IF($D1615="","",IFERROR(INDEX(Products!$B$2:$B$101,MATCH($D1615,Products!$A$2:$A$101,0))&amp;"","(not found)"))</f>
        <v/>
      </c>
      <c r="O1615" s="49" t="str">
        <f>IF($F1615="","",IFERROR(INDEX(Batches!$B$2:$B$301,MATCH($F1615,Batches!$A$2:$A$301,0))&amp;"","(not found)"))</f>
        <v/>
      </c>
      <c r="P1615" s="49" t="str">
        <f>IF(COUNTA($A1615:$L1615)=0,"",IF($A1615="","Missing: entry ID",IF(COUNTIF($A$2:$A$2001,$A1615)&gt;1,"Duplicate entry ID",IF(NOT(ISNUMBER($B1615)),"Missing or invalid: date",IF($C1615="","Missing: type",IF($D1615="","Missing: SKU",IF(NOT(ISNUMBER($E1615)),"Missing: qty",IF($F1615="","Missing: lot",IF($I1615="","Missing: source link",IF(COUNTIF(Config!$A$15:$A$34,$C1615)=0,"Unsupported type",IF(COUNTIF(Products!$A$2:$A$101,$D1615)=0,"Unknown SKU",IF(COUNTIFS(Batches!$A$2:$A$301,$F1615,Batches!$B$2:$B$301,$D1615)=0,"Unknown lot for this SKU",IF(AND($C1615="Adjustment",$G1615=""),"Missing: reason",IF(AND($G1615&lt;&gt;"",COUNTIF(Config!$B$15:$B$34,$G1615)=0),"Unsupported reason",IF(OR(INT($E1615)&lt;&gt;$E1615,AND(OR($C1615="Receipt",$C1615="Shipment"),$E1615&lt;=0),AND($C1615="Adjustment",$E1615=0)),"Invalid qty",IF($B1615&gt;Config!$B$4,"Date after the as-of date",IF($B1615&lt;Config!$B$5,"Date before the opening balance date","OK")))))))))))))))))</f>
        <v/>
      </c>
    </row>
    <row r="1616">
      <c r="A1616" s="46" t="n"/>
      <c r="B1616" s="54" t="n"/>
      <c r="C1616" s="46" t="n"/>
      <c r="D1616" s="46" t="n"/>
      <c r="E1616" s="55" t="n"/>
      <c r="F1616" s="46" t="n"/>
      <c r="G1616" s="46" t="n"/>
      <c r="H1616" s="46" t="n"/>
      <c r="I1616" s="46" t="n"/>
      <c r="J1616" s="46" t="n"/>
      <c r="K1616" s="46" t="n"/>
      <c r="L1616" s="46" t="n"/>
      <c r="M1616" s="51" t="str">
        <f>IF(NOT(ISNUMBER($E1616)),"",IF($C1616="Receipt",$E1616,IF($C1616="Shipment",-$E1616,IF($C1616="Adjustment",$E1616,0))))</f>
        <v/>
      </c>
      <c r="N1616" s="49" t="str">
        <f>IF($D1616="","",IFERROR(INDEX(Products!$B$2:$B$101,MATCH($D1616,Products!$A$2:$A$101,0))&amp;"","(not found)"))</f>
        <v/>
      </c>
      <c r="O1616" s="49" t="str">
        <f>IF($F1616="","",IFERROR(INDEX(Batches!$B$2:$B$301,MATCH($F1616,Batches!$A$2:$A$301,0))&amp;"","(not found)"))</f>
        <v/>
      </c>
      <c r="P1616" s="49" t="str">
        <f>IF(COUNTA($A1616:$L1616)=0,"",IF($A1616="","Missing: entry ID",IF(COUNTIF($A$2:$A$2001,$A1616)&gt;1,"Duplicate entry ID",IF(NOT(ISNUMBER($B1616)),"Missing or invalid: date",IF($C1616="","Missing: type",IF($D1616="","Missing: SKU",IF(NOT(ISNUMBER($E1616)),"Missing: qty",IF($F1616="","Missing: lot",IF($I1616="","Missing: source link",IF(COUNTIF(Config!$A$15:$A$34,$C1616)=0,"Unsupported type",IF(COUNTIF(Products!$A$2:$A$101,$D1616)=0,"Unknown SKU",IF(COUNTIFS(Batches!$A$2:$A$301,$F1616,Batches!$B$2:$B$301,$D1616)=0,"Unknown lot for this SKU",IF(AND($C1616="Adjustment",$G1616=""),"Missing: reason",IF(AND($G1616&lt;&gt;"",COUNTIF(Config!$B$15:$B$34,$G1616)=0),"Unsupported reason",IF(OR(INT($E1616)&lt;&gt;$E1616,AND(OR($C1616="Receipt",$C1616="Shipment"),$E1616&lt;=0),AND($C1616="Adjustment",$E1616=0)),"Invalid qty",IF($B1616&gt;Config!$B$4,"Date after the as-of date",IF($B1616&lt;Config!$B$5,"Date before the opening balance date","OK")))))))))))))))))</f>
        <v/>
      </c>
    </row>
    <row r="1617">
      <c r="A1617" s="46" t="n"/>
      <c r="B1617" s="54" t="n"/>
      <c r="C1617" s="46" t="n"/>
      <c r="D1617" s="46" t="n"/>
      <c r="E1617" s="55" t="n"/>
      <c r="F1617" s="46" t="n"/>
      <c r="G1617" s="46" t="n"/>
      <c r="H1617" s="46" t="n"/>
      <c r="I1617" s="46" t="n"/>
      <c r="J1617" s="46" t="n"/>
      <c r="K1617" s="46" t="n"/>
      <c r="L1617" s="46" t="n"/>
      <c r="M1617" s="51" t="str">
        <f>IF(NOT(ISNUMBER($E1617)),"",IF($C1617="Receipt",$E1617,IF($C1617="Shipment",-$E1617,IF($C1617="Adjustment",$E1617,0))))</f>
        <v/>
      </c>
      <c r="N1617" s="49" t="str">
        <f>IF($D1617="","",IFERROR(INDEX(Products!$B$2:$B$101,MATCH($D1617,Products!$A$2:$A$101,0))&amp;"","(not found)"))</f>
        <v/>
      </c>
      <c r="O1617" s="49" t="str">
        <f>IF($F1617="","",IFERROR(INDEX(Batches!$B$2:$B$301,MATCH($F1617,Batches!$A$2:$A$301,0))&amp;"","(not found)"))</f>
        <v/>
      </c>
      <c r="P1617" s="49" t="str">
        <f>IF(COUNTA($A1617:$L1617)=0,"",IF($A1617="","Missing: entry ID",IF(COUNTIF($A$2:$A$2001,$A1617)&gt;1,"Duplicate entry ID",IF(NOT(ISNUMBER($B1617)),"Missing or invalid: date",IF($C1617="","Missing: type",IF($D1617="","Missing: SKU",IF(NOT(ISNUMBER($E1617)),"Missing: qty",IF($F1617="","Missing: lot",IF($I1617="","Missing: source link",IF(COUNTIF(Config!$A$15:$A$34,$C1617)=0,"Unsupported type",IF(COUNTIF(Products!$A$2:$A$101,$D1617)=0,"Unknown SKU",IF(COUNTIFS(Batches!$A$2:$A$301,$F1617,Batches!$B$2:$B$301,$D1617)=0,"Unknown lot for this SKU",IF(AND($C1617="Adjustment",$G1617=""),"Missing: reason",IF(AND($G1617&lt;&gt;"",COUNTIF(Config!$B$15:$B$34,$G1617)=0),"Unsupported reason",IF(OR(INT($E1617)&lt;&gt;$E1617,AND(OR($C1617="Receipt",$C1617="Shipment"),$E1617&lt;=0),AND($C1617="Adjustment",$E1617=0)),"Invalid qty",IF($B1617&gt;Config!$B$4,"Date after the as-of date",IF($B1617&lt;Config!$B$5,"Date before the opening balance date","OK")))))))))))))))))</f>
        <v/>
      </c>
    </row>
    <row r="1618">
      <c r="A1618" s="46" t="n"/>
      <c r="B1618" s="54" t="n"/>
      <c r="C1618" s="46" t="n"/>
      <c r="D1618" s="46" t="n"/>
      <c r="E1618" s="55" t="n"/>
      <c r="F1618" s="46" t="n"/>
      <c r="G1618" s="46" t="n"/>
      <c r="H1618" s="46" t="n"/>
      <c r="I1618" s="46" t="n"/>
      <c r="J1618" s="46" t="n"/>
      <c r="K1618" s="46" t="n"/>
      <c r="L1618" s="46" t="n"/>
      <c r="M1618" s="51" t="str">
        <f>IF(NOT(ISNUMBER($E1618)),"",IF($C1618="Receipt",$E1618,IF($C1618="Shipment",-$E1618,IF($C1618="Adjustment",$E1618,0))))</f>
        <v/>
      </c>
      <c r="N1618" s="49" t="str">
        <f>IF($D1618="","",IFERROR(INDEX(Products!$B$2:$B$101,MATCH($D1618,Products!$A$2:$A$101,0))&amp;"","(not found)"))</f>
        <v/>
      </c>
      <c r="O1618" s="49" t="str">
        <f>IF($F1618="","",IFERROR(INDEX(Batches!$B$2:$B$301,MATCH($F1618,Batches!$A$2:$A$301,0))&amp;"","(not found)"))</f>
        <v/>
      </c>
      <c r="P1618" s="49" t="str">
        <f>IF(COUNTA($A1618:$L1618)=0,"",IF($A1618="","Missing: entry ID",IF(COUNTIF($A$2:$A$2001,$A1618)&gt;1,"Duplicate entry ID",IF(NOT(ISNUMBER($B1618)),"Missing or invalid: date",IF($C1618="","Missing: type",IF($D1618="","Missing: SKU",IF(NOT(ISNUMBER($E1618)),"Missing: qty",IF($F1618="","Missing: lot",IF($I1618="","Missing: source link",IF(COUNTIF(Config!$A$15:$A$34,$C1618)=0,"Unsupported type",IF(COUNTIF(Products!$A$2:$A$101,$D1618)=0,"Unknown SKU",IF(COUNTIFS(Batches!$A$2:$A$301,$F1618,Batches!$B$2:$B$301,$D1618)=0,"Unknown lot for this SKU",IF(AND($C1618="Adjustment",$G1618=""),"Missing: reason",IF(AND($G1618&lt;&gt;"",COUNTIF(Config!$B$15:$B$34,$G1618)=0),"Unsupported reason",IF(OR(INT($E1618)&lt;&gt;$E1618,AND(OR($C1618="Receipt",$C1618="Shipment"),$E1618&lt;=0),AND($C1618="Adjustment",$E1618=0)),"Invalid qty",IF($B1618&gt;Config!$B$4,"Date after the as-of date",IF($B1618&lt;Config!$B$5,"Date before the opening balance date","OK")))))))))))))))))</f>
        <v/>
      </c>
    </row>
    <row r="1619">
      <c r="A1619" s="46" t="n"/>
      <c r="B1619" s="54" t="n"/>
      <c r="C1619" s="46" t="n"/>
      <c r="D1619" s="46" t="n"/>
      <c r="E1619" s="55" t="n"/>
      <c r="F1619" s="46" t="n"/>
      <c r="G1619" s="46" t="n"/>
      <c r="H1619" s="46" t="n"/>
      <c r="I1619" s="46" t="n"/>
      <c r="J1619" s="46" t="n"/>
      <c r="K1619" s="46" t="n"/>
      <c r="L1619" s="46" t="n"/>
      <c r="M1619" s="51" t="str">
        <f>IF(NOT(ISNUMBER($E1619)),"",IF($C1619="Receipt",$E1619,IF($C1619="Shipment",-$E1619,IF($C1619="Adjustment",$E1619,0))))</f>
        <v/>
      </c>
      <c r="N1619" s="49" t="str">
        <f>IF($D1619="","",IFERROR(INDEX(Products!$B$2:$B$101,MATCH($D1619,Products!$A$2:$A$101,0))&amp;"","(not found)"))</f>
        <v/>
      </c>
      <c r="O1619" s="49" t="str">
        <f>IF($F1619="","",IFERROR(INDEX(Batches!$B$2:$B$301,MATCH($F1619,Batches!$A$2:$A$301,0))&amp;"","(not found)"))</f>
        <v/>
      </c>
      <c r="P1619" s="49" t="str">
        <f>IF(COUNTA($A1619:$L1619)=0,"",IF($A1619="","Missing: entry ID",IF(COUNTIF($A$2:$A$2001,$A1619)&gt;1,"Duplicate entry ID",IF(NOT(ISNUMBER($B1619)),"Missing or invalid: date",IF($C1619="","Missing: type",IF($D1619="","Missing: SKU",IF(NOT(ISNUMBER($E1619)),"Missing: qty",IF($F1619="","Missing: lot",IF($I1619="","Missing: source link",IF(COUNTIF(Config!$A$15:$A$34,$C1619)=0,"Unsupported type",IF(COUNTIF(Products!$A$2:$A$101,$D1619)=0,"Unknown SKU",IF(COUNTIFS(Batches!$A$2:$A$301,$F1619,Batches!$B$2:$B$301,$D1619)=0,"Unknown lot for this SKU",IF(AND($C1619="Adjustment",$G1619=""),"Missing: reason",IF(AND($G1619&lt;&gt;"",COUNTIF(Config!$B$15:$B$34,$G1619)=0),"Unsupported reason",IF(OR(INT($E1619)&lt;&gt;$E1619,AND(OR($C1619="Receipt",$C1619="Shipment"),$E1619&lt;=0),AND($C1619="Adjustment",$E1619=0)),"Invalid qty",IF($B1619&gt;Config!$B$4,"Date after the as-of date",IF($B1619&lt;Config!$B$5,"Date before the opening balance date","OK")))))))))))))))))</f>
        <v/>
      </c>
    </row>
    <row r="1620">
      <c r="A1620" s="46" t="n"/>
      <c r="B1620" s="54" t="n"/>
      <c r="C1620" s="46" t="n"/>
      <c r="D1620" s="46" t="n"/>
      <c r="E1620" s="55" t="n"/>
      <c r="F1620" s="46" t="n"/>
      <c r="G1620" s="46" t="n"/>
      <c r="H1620" s="46" t="n"/>
      <c r="I1620" s="46" t="n"/>
      <c r="J1620" s="46" t="n"/>
      <c r="K1620" s="46" t="n"/>
      <c r="L1620" s="46" t="n"/>
      <c r="M1620" s="51" t="str">
        <f>IF(NOT(ISNUMBER($E1620)),"",IF($C1620="Receipt",$E1620,IF($C1620="Shipment",-$E1620,IF($C1620="Adjustment",$E1620,0))))</f>
        <v/>
      </c>
      <c r="N1620" s="49" t="str">
        <f>IF($D1620="","",IFERROR(INDEX(Products!$B$2:$B$101,MATCH($D1620,Products!$A$2:$A$101,0))&amp;"","(not found)"))</f>
        <v/>
      </c>
      <c r="O1620" s="49" t="str">
        <f>IF($F1620="","",IFERROR(INDEX(Batches!$B$2:$B$301,MATCH($F1620,Batches!$A$2:$A$301,0))&amp;"","(not found)"))</f>
        <v/>
      </c>
      <c r="P1620" s="49" t="str">
        <f>IF(COUNTA($A1620:$L1620)=0,"",IF($A1620="","Missing: entry ID",IF(COUNTIF($A$2:$A$2001,$A1620)&gt;1,"Duplicate entry ID",IF(NOT(ISNUMBER($B1620)),"Missing or invalid: date",IF($C1620="","Missing: type",IF($D1620="","Missing: SKU",IF(NOT(ISNUMBER($E1620)),"Missing: qty",IF($F1620="","Missing: lot",IF($I1620="","Missing: source link",IF(COUNTIF(Config!$A$15:$A$34,$C1620)=0,"Unsupported type",IF(COUNTIF(Products!$A$2:$A$101,$D1620)=0,"Unknown SKU",IF(COUNTIFS(Batches!$A$2:$A$301,$F1620,Batches!$B$2:$B$301,$D1620)=0,"Unknown lot for this SKU",IF(AND($C1620="Adjustment",$G1620=""),"Missing: reason",IF(AND($G1620&lt;&gt;"",COUNTIF(Config!$B$15:$B$34,$G1620)=0),"Unsupported reason",IF(OR(INT($E1620)&lt;&gt;$E1620,AND(OR($C1620="Receipt",$C1620="Shipment"),$E1620&lt;=0),AND($C1620="Adjustment",$E1620=0)),"Invalid qty",IF($B1620&gt;Config!$B$4,"Date after the as-of date",IF($B1620&lt;Config!$B$5,"Date before the opening balance date","OK")))))))))))))))))</f>
        <v/>
      </c>
    </row>
    <row r="1621">
      <c r="A1621" s="46" t="n"/>
      <c r="B1621" s="54" t="n"/>
      <c r="C1621" s="46" t="n"/>
      <c r="D1621" s="46" t="n"/>
      <c r="E1621" s="55" t="n"/>
      <c r="F1621" s="46" t="n"/>
      <c r="G1621" s="46" t="n"/>
      <c r="H1621" s="46" t="n"/>
      <c r="I1621" s="46" t="n"/>
      <c r="J1621" s="46" t="n"/>
      <c r="K1621" s="46" t="n"/>
      <c r="L1621" s="46" t="n"/>
      <c r="M1621" s="51" t="str">
        <f>IF(NOT(ISNUMBER($E1621)),"",IF($C1621="Receipt",$E1621,IF($C1621="Shipment",-$E1621,IF($C1621="Adjustment",$E1621,0))))</f>
        <v/>
      </c>
      <c r="N1621" s="49" t="str">
        <f>IF($D1621="","",IFERROR(INDEX(Products!$B$2:$B$101,MATCH($D1621,Products!$A$2:$A$101,0))&amp;"","(not found)"))</f>
        <v/>
      </c>
      <c r="O1621" s="49" t="str">
        <f>IF($F1621="","",IFERROR(INDEX(Batches!$B$2:$B$301,MATCH($F1621,Batches!$A$2:$A$301,0))&amp;"","(not found)"))</f>
        <v/>
      </c>
      <c r="P1621" s="49" t="str">
        <f>IF(COUNTA($A1621:$L1621)=0,"",IF($A1621="","Missing: entry ID",IF(COUNTIF($A$2:$A$2001,$A1621)&gt;1,"Duplicate entry ID",IF(NOT(ISNUMBER($B1621)),"Missing or invalid: date",IF($C1621="","Missing: type",IF($D1621="","Missing: SKU",IF(NOT(ISNUMBER($E1621)),"Missing: qty",IF($F1621="","Missing: lot",IF($I1621="","Missing: source link",IF(COUNTIF(Config!$A$15:$A$34,$C1621)=0,"Unsupported type",IF(COUNTIF(Products!$A$2:$A$101,$D1621)=0,"Unknown SKU",IF(COUNTIFS(Batches!$A$2:$A$301,$F1621,Batches!$B$2:$B$301,$D1621)=0,"Unknown lot for this SKU",IF(AND($C1621="Adjustment",$G1621=""),"Missing: reason",IF(AND($G1621&lt;&gt;"",COUNTIF(Config!$B$15:$B$34,$G1621)=0),"Unsupported reason",IF(OR(INT($E1621)&lt;&gt;$E1621,AND(OR($C1621="Receipt",$C1621="Shipment"),$E1621&lt;=0),AND($C1621="Adjustment",$E1621=0)),"Invalid qty",IF($B1621&gt;Config!$B$4,"Date after the as-of date",IF($B1621&lt;Config!$B$5,"Date before the opening balance date","OK")))))))))))))))))</f>
        <v/>
      </c>
    </row>
    <row r="1622">
      <c r="A1622" s="46" t="n"/>
      <c r="B1622" s="54" t="n"/>
      <c r="C1622" s="46" t="n"/>
      <c r="D1622" s="46" t="n"/>
      <c r="E1622" s="55" t="n"/>
      <c r="F1622" s="46" t="n"/>
      <c r="G1622" s="46" t="n"/>
      <c r="H1622" s="46" t="n"/>
      <c r="I1622" s="46" t="n"/>
      <c r="J1622" s="46" t="n"/>
      <c r="K1622" s="46" t="n"/>
      <c r="L1622" s="46" t="n"/>
      <c r="M1622" s="51" t="str">
        <f>IF(NOT(ISNUMBER($E1622)),"",IF($C1622="Receipt",$E1622,IF($C1622="Shipment",-$E1622,IF($C1622="Adjustment",$E1622,0))))</f>
        <v/>
      </c>
      <c r="N1622" s="49" t="str">
        <f>IF($D1622="","",IFERROR(INDEX(Products!$B$2:$B$101,MATCH($D1622,Products!$A$2:$A$101,0))&amp;"","(not found)"))</f>
        <v/>
      </c>
      <c r="O1622" s="49" t="str">
        <f>IF($F1622="","",IFERROR(INDEX(Batches!$B$2:$B$301,MATCH($F1622,Batches!$A$2:$A$301,0))&amp;"","(not found)"))</f>
        <v/>
      </c>
      <c r="P1622" s="49" t="str">
        <f>IF(COUNTA($A1622:$L1622)=0,"",IF($A1622="","Missing: entry ID",IF(COUNTIF($A$2:$A$2001,$A1622)&gt;1,"Duplicate entry ID",IF(NOT(ISNUMBER($B1622)),"Missing or invalid: date",IF($C1622="","Missing: type",IF($D1622="","Missing: SKU",IF(NOT(ISNUMBER($E1622)),"Missing: qty",IF($F1622="","Missing: lot",IF($I1622="","Missing: source link",IF(COUNTIF(Config!$A$15:$A$34,$C1622)=0,"Unsupported type",IF(COUNTIF(Products!$A$2:$A$101,$D1622)=0,"Unknown SKU",IF(COUNTIFS(Batches!$A$2:$A$301,$F1622,Batches!$B$2:$B$301,$D1622)=0,"Unknown lot for this SKU",IF(AND($C1622="Adjustment",$G1622=""),"Missing: reason",IF(AND($G1622&lt;&gt;"",COUNTIF(Config!$B$15:$B$34,$G1622)=0),"Unsupported reason",IF(OR(INT($E1622)&lt;&gt;$E1622,AND(OR($C1622="Receipt",$C1622="Shipment"),$E1622&lt;=0),AND($C1622="Adjustment",$E1622=0)),"Invalid qty",IF($B1622&gt;Config!$B$4,"Date after the as-of date",IF($B1622&lt;Config!$B$5,"Date before the opening balance date","OK")))))))))))))))))</f>
        <v/>
      </c>
    </row>
    <row r="1623">
      <c r="A1623" s="46" t="n"/>
      <c r="B1623" s="54" t="n"/>
      <c r="C1623" s="46" t="n"/>
      <c r="D1623" s="46" t="n"/>
      <c r="E1623" s="55" t="n"/>
      <c r="F1623" s="46" t="n"/>
      <c r="G1623" s="46" t="n"/>
      <c r="H1623" s="46" t="n"/>
      <c r="I1623" s="46" t="n"/>
      <c r="J1623" s="46" t="n"/>
      <c r="K1623" s="46" t="n"/>
      <c r="L1623" s="46" t="n"/>
      <c r="M1623" s="51" t="str">
        <f>IF(NOT(ISNUMBER($E1623)),"",IF($C1623="Receipt",$E1623,IF($C1623="Shipment",-$E1623,IF($C1623="Adjustment",$E1623,0))))</f>
        <v/>
      </c>
      <c r="N1623" s="49" t="str">
        <f>IF($D1623="","",IFERROR(INDEX(Products!$B$2:$B$101,MATCH($D1623,Products!$A$2:$A$101,0))&amp;"","(not found)"))</f>
        <v/>
      </c>
      <c r="O1623" s="49" t="str">
        <f>IF($F1623="","",IFERROR(INDEX(Batches!$B$2:$B$301,MATCH($F1623,Batches!$A$2:$A$301,0))&amp;"","(not found)"))</f>
        <v/>
      </c>
      <c r="P1623" s="49" t="str">
        <f>IF(COUNTA($A1623:$L1623)=0,"",IF($A1623="","Missing: entry ID",IF(COUNTIF($A$2:$A$2001,$A1623)&gt;1,"Duplicate entry ID",IF(NOT(ISNUMBER($B1623)),"Missing or invalid: date",IF($C1623="","Missing: type",IF($D1623="","Missing: SKU",IF(NOT(ISNUMBER($E1623)),"Missing: qty",IF($F1623="","Missing: lot",IF($I1623="","Missing: source link",IF(COUNTIF(Config!$A$15:$A$34,$C1623)=0,"Unsupported type",IF(COUNTIF(Products!$A$2:$A$101,$D1623)=0,"Unknown SKU",IF(COUNTIFS(Batches!$A$2:$A$301,$F1623,Batches!$B$2:$B$301,$D1623)=0,"Unknown lot for this SKU",IF(AND($C1623="Adjustment",$G1623=""),"Missing: reason",IF(AND($G1623&lt;&gt;"",COUNTIF(Config!$B$15:$B$34,$G1623)=0),"Unsupported reason",IF(OR(INT($E1623)&lt;&gt;$E1623,AND(OR($C1623="Receipt",$C1623="Shipment"),$E1623&lt;=0),AND($C1623="Adjustment",$E1623=0)),"Invalid qty",IF($B1623&gt;Config!$B$4,"Date after the as-of date",IF($B1623&lt;Config!$B$5,"Date before the opening balance date","OK")))))))))))))))))</f>
        <v/>
      </c>
    </row>
    <row r="1624">
      <c r="A1624" s="46" t="n"/>
      <c r="B1624" s="54" t="n"/>
      <c r="C1624" s="46" t="n"/>
      <c r="D1624" s="46" t="n"/>
      <c r="E1624" s="55" t="n"/>
      <c r="F1624" s="46" t="n"/>
      <c r="G1624" s="46" t="n"/>
      <c r="H1624" s="46" t="n"/>
      <c r="I1624" s="46" t="n"/>
      <c r="J1624" s="46" t="n"/>
      <c r="K1624" s="46" t="n"/>
      <c r="L1624" s="46" t="n"/>
      <c r="M1624" s="51" t="str">
        <f>IF(NOT(ISNUMBER($E1624)),"",IF($C1624="Receipt",$E1624,IF($C1624="Shipment",-$E1624,IF($C1624="Adjustment",$E1624,0))))</f>
        <v/>
      </c>
      <c r="N1624" s="49" t="str">
        <f>IF($D1624="","",IFERROR(INDEX(Products!$B$2:$B$101,MATCH($D1624,Products!$A$2:$A$101,0))&amp;"","(not found)"))</f>
        <v/>
      </c>
      <c r="O1624" s="49" t="str">
        <f>IF($F1624="","",IFERROR(INDEX(Batches!$B$2:$B$301,MATCH($F1624,Batches!$A$2:$A$301,0))&amp;"","(not found)"))</f>
        <v/>
      </c>
      <c r="P1624" s="49" t="str">
        <f>IF(COUNTA($A1624:$L1624)=0,"",IF($A1624="","Missing: entry ID",IF(COUNTIF($A$2:$A$2001,$A1624)&gt;1,"Duplicate entry ID",IF(NOT(ISNUMBER($B1624)),"Missing or invalid: date",IF($C1624="","Missing: type",IF($D1624="","Missing: SKU",IF(NOT(ISNUMBER($E1624)),"Missing: qty",IF($F1624="","Missing: lot",IF($I1624="","Missing: source link",IF(COUNTIF(Config!$A$15:$A$34,$C1624)=0,"Unsupported type",IF(COUNTIF(Products!$A$2:$A$101,$D1624)=0,"Unknown SKU",IF(COUNTIFS(Batches!$A$2:$A$301,$F1624,Batches!$B$2:$B$301,$D1624)=0,"Unknown lot for this SKU",IF(AND($C1624="Adjustment",$G1624=""),"Missing: reason",IF(AND($G1624&lt;&gt;"",COUNTIF(Config!$B$15:$B$34,$G1624)=0),"Unsupported reason",IF(OR(INT($E1624)&lt;&gt;$E1624,AND(OR($C1624="Receipt",$C1624="Shipment"),$E1624&lt;=0),AND($C1624="Adjustment",$E1624=0)),"Invalid qty",IF($B1624&gt;Config!$B$4,"Date after the as-of date",IF($B1624&lt;Config!$B$5,"Date before the opening balance date","OK")))))))))))))))))</f>
        <v/>
      </c>
    </row>
    <row r="1625">
      <c r="A1625" s="46" t="n"/>
      <c r="B1625" s="54" t="n"/>
      <c r="C1625" s="46" t="n"/>
      <c r="D1625" s="46" t="n"/>
      <c r="E1625" s="55" t="n"/>
      <c r="F1625" s="46" t="n"/>
      <c r="G1625" s="46" t="n"/>
      <c r="H1625" s="46" t="n"/>
      <c r="I1625" s="46" t="n"/>
      <c r="J1625" s="46" t="n"/>
      <c r="K1625" s="46" t="n"/>
      <c r="L1625" s="46" t="n"/>
      <c r="M1625" s="51" t="str">
        <f>IF(NOT(ISNUMBER($E1625)),"",IF($C1625="Receipt",$E1625,IF($C1625="Shipment",-$E1625,IF($C1625="Adjustment",$E1625,0))))</f>
        <v/>
      </c>
      <c r="N1625" s="49" t="str">
        <f>IF($D1625="","",IFERROR(INDEX(Products!$B$2:$B$101,MATCH($D1625,Products!$A$2:$A$101,0))&amp;"","(not found)"))</f>
        <v/>
      </c>
      <c r="O1625" s="49" t="str">
        <f>IF($F1625="","",IFERROR(INDEX(Batches!$B$2:$B$301,MATCH($F1625,Batches!$A$2:$A$301,0))&amp;"","(not found)"))</f>
        <v/>
      </c>
      <c r="P1625" s="49" t="str">
        <f>IF(COUNTA($A1625:$L1625)=0,"",IF($A1625="","Missing: entry ID",IF(COUNTIF($A$2:$A$2001,$A1625)&gt;1,"Duplicate entry ID",IF(NOT(ISNUMBER($B1625)),"Missing or invalid: date",IF($C1625="","Missing: type",IF($D1625="","Missing: SKU",IF(NOT(ISNUMBER($E1625)),"Missing: qty",IF($F1625="","Missing: lot",IF($I1625="","Missing: source link",IF(COUNTIF(Config!$A$15:$A$34,$C1625)=0,"Unsupported type",IF(COUNTIF(Products!$A$2:$A$101,$D1625)=0,"Unknown SKU",IF(COUNTIFS(Batches!$A$2:$A$301,$F1625,Batches!$B$2:$B$301,$D1625)=0,"Unknown lot for this SKU",IF(AND($C1625="Adjustment",$G1625=""),"Missing: reason",IF(AND($G1625&lt;&gt;"",COUNTIF(Config!$B$15:$B$34,$G1625)=0),"Unsupported reason",IF(OR(INT($E1625)&lt;&gt;$E1625,AND(OR($C1625="Receipt",$C1625="Shipment"),$E1625&lt;=0),AND($C1625="Adjustment",$E1625=0)),"Invalid qty",IF($B1625&gt;Config!$B$4,"Date after the as-of date",IF($B1625&lt;Config!$B$5,"Date before the opening balance date","OK")))))))))))))))))</f>
        <v/>
      </c>
    </row>
    <row r="1626">
      <c r="A1626" s="46" t="n"/>
      <c r="B1626" s="54" t="n"/>
      <c r="C1626" s="46" t="n"/>
      <c r="D1626" s="46" t="n"/>
      <c r="E1626" s="55" t="n"/>
      <c r="F1626" s="46" t="n"/>
      <c r="G1626" s="46" t="n"/>
      <c r="H1626" s="46" t="n"/>
      <c r="I1626" s="46" t="n"/>
      <c r="J1626" s="46" t="n"/>
      <c r="K1626" s="46" t="n"/>
      <c r="L1626" s="46" t="n"/>
      <c r="M1626" s="51" t="str">
        <f>IF(NOT(ISNUMBER($E1626)),"",IF($C1626="Receipt",$E1626,IF($C1626="Shipment",-$E1626,IF($C1626="Adjustment",$E1626,0))))</f>
        <v/>
      </c>
      <c r="N1626" s="49" t="str">
        <f>IF($D1626="","",IFERROR(INDEX(Products!$B$2:$B$101,MATCH($D1626,Products!$A$2:$A$101,0))&amp;"","(not found)"))</f>
        <v/>
      </c>
      <c r="O1626" s="49" t="str">
        <f>IF($F1626="","",IFERROR(INDEX(Batches!$B$2:$B$301,MATCH($F1626,Batches!$A$2:$A$301,0))&amp;"","(not found)"))</f>
        <v/>
      </c>
      <c r="P1626" s="49" t="str">
        <f>IF(COUNTA($A1626:$L1626)=0,"",IF($A1626="","Missing: entry ID",IF(COUNTIF($A$2:$A$2001,$A1626)&gt;1,"Duplicate entry ID",IF(NOT(ISNUMBER($B1626)),"Missing or invalid: date",IF($C1626="","Missing: type",IF($D1626="","Missing: SKU",IF(NOT(ISNUMBER($E1626)),"Missing: qty",IF($F1626="","Missing: lot",IF($I1626="","Missing: source link",IF(COUNTIF(Config!$A$15:$A$34,$C1626)=0,"Unsupported type",IF(COUNTIF(Products!$A$2:$A$101,$D1626)=0,"Unknown SKU",IF(COUNTIFS(Batches!$A$2:$A$301,$F1626,Batches!$B$2:$B$301,$D1626)=0,"Unknown lot for this SKU",IF(AND($C1626="Adjustment",$G1626=""),"Missing: reason",IF(AND($G1626&lt;&gt;"",COUNTIF(Config!$B$15:$B$34,$G1626)=0),"Unsupported reason",IF(OR(INT($E1626)&lt;&gt;$E1626,AND(OR($C1626="Receipt",$C1626="Shipment"),$E1626&lt;=0),AND($C1626="Adjustment",$E1626=0)),"Invalid qty",IF($B1626&gt;Config!$B$4,"Date after the as-of date",IF($B1626&lt;Config!$B$5,"Date before the opening balance date","OK")))))))))))))))))</f>
        <v/>
      </c>
    </row>
    <row r="1627">
      <c r="A1627" s="46" t="n"/>
      <c r="B1627" s="54" t="n"/>
      <c r="C1627" s="46" t="n"/>
      <c r="D1627" s="46" t="n"/>
      <c r="E1627" s="55" t="n"/>
      <c r="F1627" s="46" t="n"/>
      <c r="G1627" s="46" t="n"/>
      <c r="H1627" s="46" t="n"/>
      <c r="I1627" s="46" t="n"/>
      <c r="J1627" s="46" t="n"/>
      <c r="K1627" s="46" t="n"/>
      <c r="L1627" s="46" t="n"/>
      <c r="M1627" s="51" t="str">
        <f>IF(NOT(ISNUMBER($E1627)),"",IF($C1627="Receipt",$E1627,IF($C1627="Shipment",-$E1627,IF($C1627="Adjustment",$E1627,0))))</f>
        <v/>
      </c>
      <c r="N1627" s="49" t="str">
        <f>IF($D1627="","",IFERROR(INDEX(Products!$B$2:$B$101,MATCH($D1627,Products!$A$2:$A$101,0))&amp;"","(not found)"))</f>
        <v/>
      </c>
      <c r="O1627" s="49" t="str">
        <f>IF($F1627="","",IFERROR(INDEX(Batches!$B$2:$B$301,MATCH($F1627,Batches!$A$2:$A$301,0))&amp;"","(not found)"))</f>
        <v/>
      </c>
      <c r="P1627" s="49" t="str">
        <f>IF(COUNTA($A1627:$L1627)=0,"",IF($A1627="","Missing: entry ID",IF(COUNTIF($A$2:$A$2001,$A1627)&gt;1,"Duplicate entry ID",IF(NOT(ISNUMBER($B1627)),"Missing or invalid: date",IF($C1627="","Missing: type",IF($D1627="","Missing: SKU",IF(NOT(ISNUMBER($E1627)),"Missing: qty",IF($F1627="","Missing: lot",IF($I1627="","Missing: source link",IF(COUNTIF(Config!$A$15:$A$34,$C1627)=0,"Unsupported type",IF(COUNTIF(Products!$A$2:$A$101,$D1627)=0,"Unknown SKU",IF(COUNTIFS(Batches!$A$2:$A$301,$F1627,Batches!$B$2:$B$301,$D1627)=0,"Unknown lot for this SKU",IF(AND($C1627="Adjustment",$G1627=""),"Missing: reason",IF(AND($G1627&lt;&gt;"",COUNTIF(Config!$B$15:$B$34,$G1627)=0),"Unsupported reason",IF(OR(INT($E1627)&lt;&gt;$E1627,AND(OR($C1627="Receipt",$C1627="Shipment"),$E1627&lt;=0),AND($C1627="Adjustment",$E1627=0)),"Invalid qty",IF($B1627&gt;Config!$B$4,"Date after the as-of date",IF($B1627&lt;Config!$B$5,"Date before the opening balance date","OK")))))))))))))))))</f>
        <v/>
      </c>
    </row>
    <row r="1628">
      <c r="A1628" s="46" t="n"/>
      <c r="B1628" s="54" t="n"/>
      <c r="C1628" s="46" t="n"/>
      <c r="D1628" s="46" t="n"/>
      <c r="E1628" s="55" t="n"/>
      <c r="F1628" s="46" t="n"/>
      <c r="G1628" s="46" t="n"/>
      <c r="H1628" s="46" t="n"/>
      <c r="I1628" s="46" t="n"/>
      <c r="J1628" s="46" t="n"/>
      <c r="K1628" s="46" t="n"/>
      <c r="L1628" s="46" t="n"/>
      <c r="M1628" s="51" t="str">
        <f>IF(NOT(ISNUMBER($E1628)),"",IF($C1628="Receipt",$E1628,IF($C1628="Shipment",-$E1628,IF($C1628="Adjustment",$E1628,0))))</f>
        <v/>
      </c>
      <c r="N1628" s="49" t="str">
        <f>IF($D1628="","",IFERROR(INDEX(Products!$B$2:$B$101,MATCH($D1628,Products!$A$2:$A$101,0))&amp;"","(not found)"))</f>
        <v/>
      </c>
      <c r="O1628" s="49" t="str">
        <f>IF($F1628="","",IFERROR(INDEX(Batches!$B$2:$B$301,MATCH($F1628,Batches!$A$2:$A$301,0))&amp;"","(not found)"))</f>
        <v/>
      </c>
      <c r="P1628" s="49" t="str">
        <f>IF(COUNTA($A1628:$L1628)=0,"",IF($A1628="","Missing: entry ID",IF(COUNTIF($A$2:$A$2001,$A1628)&gt;1,"Duplicate entry ID",IF(NOT(ISNUMBER($B1628)),"Missing or invalid: date",IF($C1628="","Missing: type",IF($D1628="","Missing: SKU",IF(NOT(ISNUMBER($E1628)),"Missing: qty",IF($F1628="","Missing: lot",IF($I1628="","Missing: source link",IF(COUNTIF(Config!$A$15:$A$34,$C1628)=0,"Unsupported type",IF(COUNTIF(Products!$A$2:$A$101,$D1628)=0,"Unknown SKU",IF(COUNTIFS(Batches!$A$2:$A$301,$F1628,Batches!$B$2:$B$301,$D1628)=0,"Unknown lot for this SKU",IF(AND($C1628="Adjustment",$G1628=""),"Missing: reason",IF(AND($G1628&lt;&gt;"",COUNTIF(Config!$B$15:$B$34,$G1628)=0),"Unsupported reason",IF(OR(INT($E1628)&lt;&gt;$E1628,AND(OR($C1628="Receipt",$C1628="Shipment"),$E1628&lt;=0),AND($C1628="Adjustment",$E1628=0)),"Invalid qty",IF($B1628&gt;Config!$B$4,"Date after the as-of date",IF($B1628&lt;Config!$B$5,"Date before the opening balance date","OK")))))))))))))))))</f>
        <v/>
      </c>
    </row>
    <row r="1629">
      <c r="A1629" s="46" t="n"/>
      <c r="B1629" s="54" t="n"/>
      <c r="C1629" s="46" t="n"/>
      <c r="D1629" s="46" t="n"/>
      <c r="E1629" s="55" t="n"/>
      <c r="F1629" s="46" t="n"/>
      <c r="G1629" s="46" t="n"/>
      <c r="H1629" s="46" t="n"/>
      <c r="I1629" s="46" t="n"/>
      <c r="J1629" s="46" t="n"/>
      <c r="K1629" s="46" t="n"/>
      <c r="L1629" s="46" t="n"/>
      <c r="M1629" s="51" t="str">
        <f>IF(NOT(ISNUMBER($E1629)),"",IF($C1629="Receipt",$E1629,IF($C1629="Shipment",-$E1629,IF($C1629="Adjustment",$E1629,0))))</f>
        <v/>
      </c>
      <c r="N1629" s="49" t="str">
        <f>IF($D1629="","",IFERROR(INDEX(Products!$B$2:$B$101,MATCH($D1629,Products!$A$2:$A$101,0))&amp;"","(not found)"))</f>
        <v/>
      </c>
      <c r="O1629" s="49" t="str">
        <f>IF($F1629="","",IFERROR(INDEX(Batches!$B$2:$B$301,MATCH($F1629,Batches!$A$2:$A$301,0))&amp;"","(not found)"))</f>
        <v/>
      </c>
      <c r="P1629" s="49" t="str">
        <f>IF(COUNTA($A1629:$L1629)=0,"",IF($A1629="","Missing: entry ID",IF(COUNTIF($A$2:$A$2001,$A1629)&gt;1,"Duplicate entry ID",IF(NOT(ISNUMBER($B1629)),"Missing or invalid: date",IF($C1629="","Missing: type",IF($D1629="","Missing: SKU",IF(NOT(ISNUMBER($E1629)),"Missing: qty",IF($F1629="","Missing: lot",IF($I1629="","Missing: source link",IF(COUNTIF(Config!$A$15:$A$34,$C1629)=0,"Unsupported type",IF(COUNTIF(Products!$A$2:$A$101,$D1629)=0,"Unknown SKU",IF(COUNTIFS(Batches!$A$2:$A$301,$F1629,Batches!$B$2:$B$301,$D1629)=0,"Unknown lot for this SKU",IF(AND($C1629="Adjustment",$G1629=""),"Missing: reason",IF(AND($G1629&lt;&gt;"",COUNTIF(Config!$B$15:$B$34,$G1629)=0),"Unsupported reason",IF(OR(INT($E1629)&lt;&gt;$E1629,AND(OR($C1629="Receipt",$C1629="Shipment"),$E1629&lt;=0),AND($C1629="Adjustment",$E1629=0)),"Invalid qty",IF($B1629&gt;Config!$B$4,"Date after the as-of date",IF($B1629&lt;Config!$B$5,"Date before the opening balance date","OK")))))))))))))))))</f>
        <v/>
      </c>
    </row>
    <row r="1630">
      <c r="A1630" s="46" t="n"/>
      <c r="B1630" s="54" t="n"/>
      <c r="C1630" s="46" t="n"/>
      <c r="D1630" s="46" t="n"/>
      <c r="E1630" s="55" t="n"/>
      <c r="F1630" s="46" t="n"/>
      <c r="G1630" s="46" t="n"/>
      <c r="H1630" s="46" t="n"/>
      <c r="I1630" s="46" t="n"/>
      <c r="J1630" s="46" t="n"/>
      <c r="K1630" s="46" t="n"/>
      <c r="L1630" s="46" t="n"/>
      <c r="M1630" s="51" t="str">
        <f>IF(NOT(ISNUMBER($E1630)),"",IF($C1630="Receipt",$E1630,IF($C1630="Shipment",-$E1630,IF($C1630="Adjustment",$E1630,0))))</f>
        <v/>
      </c>
      <c r="N1630" s="49" t="str">
        <f>IF($D1630="","",IFERROR(INDEX(Products!$B$2:$B$101,MATCH($D1630,Products!$A$2:$A$101,0))&amp;"","(not found)"))</f>
        <v/>
      </c>
      <c r="O1630" s="49" t="str">
        <f>IF($F1630="","",IFERROR(INDEX(Batches!$B$2:$B$301,MATCH($F1630,Batches!$A$2:$A$301,0))&amp;"","(not found)"))</f>
        <v/>
      </c>
      <c r="P1630" s="49" t="str">
        <f>IF(COUNTA($A1630:$L1630)=0,"",IF($A1630="","Missing: entry ID",IF(COUNTIF($A$2:$A$2001,$A1630)&gt;1,"Duplicate entry ID",IF(NOT(ISNUMBER($B1630)),"Missing or invalid: date",IF($C1630="","Missing: type",IF($D1630="","Missing: SKU",IF(NOT(ISNUMBER($E1630)),"Missing: qty",IF($F1630="","Missing: lot",IF($I1630="","Missing: source link",IF(COUNTIF(Config!$A$15:$A$34,$C1630)=0,"Unsupported type",IF(COUNTIF(Products!$A$2:$A$101,$D1630)=0,"Unknown SKU",IF(COUNTIFS(Batches!$A$2:$A$301,$F1630,Batches!$B$2:$B$301,$D1630)=0,"Unknown lot for this SKU",IF(AND($C1630="Adjustment",$G1630=""),"Missing: reason",IF(AND($G1630&lt;&gt;"",COUNTIF(Config!$B$15:$B$34,$G1630)=0),"Unsupported reason",IF(OR(INT($E1630)&lt;&gt;$E1630,AND(OR($C1630="Receipt",$C1630="Shipment"),$E1630&lt;=0),AND($C1630="Adjustment",$E1630=0)),"Invalid qty",IF($B1630&gt;Config!$B$4,"Date after the as-of date",IF($B1630&lt;Config!$B$5,"Date before the opening balance date","OK")))))))))))))))))</f>
        <v/>
      </c>
    </row>
    <row r="1631">
      <c r="A1631" s="46" t="n"/>
      <c r="B1631" s="54" t="n"/>
      <c r="C1631" s="46" t="n"/>
      <c r="D1631" s="46" t="n"/>
      <c r="E1631" s="55" t="n"/>
      <c r="F1631" s="46" t="n"/>
      <c r="G1631" s="46" t="n"/>
      <c r="H1631" s="46" t="n"/>
      <c r="I1631" s="46" t="n"/>
      <c r="J1631" s="46" t="n"/>
      <c r="K1631" s="46" t="n"/>
      <c r="L1631" s="46" t="n"/>
      <c r="M1631" s="51" t="str">
        <f>IF(NOT(ISNUMBER($E1631)),"",IF($C1631="Receipt",$E1631,IF($C1631="Shipment",-$E1631,IF($C1631="Adjustment",$E1631,0))))</f>
        <v/>
      </c>
      <c r="N1631" s="49" t="str">
        <f>IF($D1631="","",IFERROR(INDEX(Products!$B$2:$B$101,MATCH($D1631,Products!$A$2:$A$101,0))&amp;"","(not found)"))</f>
        <v/>
      </c>
      <c r="O1631" s="49" t="str">
        <f>IF($F1631="","",IFERROR(INDEX(Batches!$B$2:$B$301,MATCH($F1631,Batches!$A$2:$A$301,0))&amp;"","(not found)"))</f>
        <v/>
      </c>
      <c r="P1631" s="49" t="str">
        <f>IF(COUNTA($A1631:$L1631)=0,"",IF($A1631="","Missing: entry ID",IF(COUNTIF($A$2:$A$2001,$A1631)&gt;1,"Duplicate entry ID",IF(NOT(ISNUMBER($B1631)),"Missing or invalid: date",IF($C1631="","Missing: type",IF($D1631="","Missing: SKU",IF(NOT(ISNUMBER($E1631)),"Missing: qty",IF($F1631="","Missing: lot",IF($I1631="","Missing: source link",IF(COUNTIF(Config!$A$15:$A$34,$C1631)=0,"Unsupported type",IF(COUNTIF(Products!$A$2:$A$101,$D1631)=0,"Unknown SKU",IF(COUNTIFS(Batches!$A$2:$A$301,$F1631,Batches!$B$2:$B$301,$D1631)=0,"Unknown lot for this SKU",IF(AND($C1631="Adjustment",$G1631=""),"Missing: reason",IF(AND($G1631&lt;&gt;"",COUNTIF(Config!$B$15:$B$34,$G1631)=0),"Unsupported reason",IF(OR(INT($E1631)&lt;&gt;$E1631,AND(OR($C1631="Receipt",$C1631="Shipment"),$E1631&lt;=0),AND($C1631="Adjustment",$E1631=0)),"Invalid qty",IF($B1631&gt;Config!$B$4,"Date after the as-of date",IF($B1631&lt;Config!$B$5,"Date before the opening balance date","OK")))))))))))))))))</f>
        <v/>
      </c>
    </row>
    <row r="1632">
      <c r="A1632" s="46" t="n"/>
      <c r="B1632" s="54" t="n"/>
      <c r="C1632" s="46" t="n"/>
      <c r="D1632" s="46" t="n"/>
      <c r="E1632" s="55" t="n"/>
      <c r="F1632" s="46" t="n"/>
      <c r="G1632" s="46" t="n"/>
      <c r="H1632" s="46" t="n"/>
      <c r="I1632" s="46" t="n"/>
      <c r="J1632" s="46" t="n"/>
      <c r="K1632" s="46" t="n"/>
      <c r="L1632" s="46" t="n"/>
      <c r="M1632" s="51" t="str">
        <f>IF(NOT(ISNUMBER($E1632)),"",IF($C1632="Receipt",$E1632,IF($C1632="Shipment",-$E1632,IF($C1632="Adjustment",$E1632,0))))</f>
        <v/>
      </c>
      <c r="N1632" s="49" t="str">
        <f>IF($D1632="","",IFERROR(INDEX(Products!$B$2:$B$101,MATCH($D1632,Products!$A$2:$A$101,0))&amp;"","(not found)"))</f>
        <v/>
      </c>
      <c r="O1632" s="49" t="str">
        <f>IF($F1632="","",IFERROR(INDEX(Batches!$B$2:$B$301,MATCH($F1632,Batches!$A$2:$A$301,0))&amp;"","(not found)"))</f>
        <v/>
      </c>
      <c r="P1632" s="49" t="str">
        <f>IF(COUNTA($A1632:$L1632)=0,"",IF($A1632="","Missing: entry ID",IF(COUNTIF($A$2:$A$2001,$A1632)&gt;1,"Duplicate entry ID",IF(NOT(ISNUMBER($B1632)),"Missing or invalid: date",IF($C1632="","Missing: type",IF($D1632="","Missing: SKU",IF(NOT(ISNUMBER($E1632)),"Missing: qty",IF($F1632="","Missing: lot",IF($I1632="","Missing: source link",IF(COUNTIF(Config!$A$15:$A$34,$C1632)=0,"Unsupported type",IF(COUNTIF(Products!$A$2:$A$101,$D1632)=0,"Unknown SKU",IF(COUNTIFS(Batches!$A$2:$A$301,$F1632,Batches!$B$2:$B$301,$D1632)=0,"Unknown lot for this SKU",IF(AND($C1632="Adjustment",$G1632=""),"Missing: reason",IF(AND($G1632&lt;&gt;"",COUNTIF(Config!$B$15:$B$34,$G1632)=0),"Unsupported reason",IF(OR(INT($E1632)&lt;&gt;$E1632,AND(OR($C1632="Receipt",$C1632="Shipment"),$E1632&lt;=0),AND($C1632="Adjustment",$E1632=0)),"Invalid qty",IF($B1632&gt;Config!$B$4,"Date after the as-of date",IF($B1632&lt;Config!$B$5,"Date before the opening balance date","OK")))))))))))))))))</f>
        <v/>
      </c>
    </row>
    <row r="1633">
      <c r="A1633" s="46" t="n"/>
      <c r="B1633" s="54" t="n"/>
      <c r="C1633" s="46" t="n"/>
      <c r="D1633" s="46" t="n"/>
      <c r="E1633" s="55" t="n"/>
      <c r="F1633" s="46" t="n"/>
      <c r="G1633" s="46" t="n"/>
      <c r="H1633" s="46" t="n"/>
      <c r="I1633" s="46" t="n"/>
      <c r="J1633" s="46" t="n"/>
      <c r="K1633" s="46" t="n"/>
      <c r="L1633" s="46" t="n"/>
      <c r="M1633" s="51" t="str">
        <f>IF(NOT(ISNUMBER($E1633)),"",IF($C1633="Receipt",$E1633,IF($C1633="Shipment",-$E1633,IF($C1633="Adjustment",$E1633,0))))</f>
        <v/>
      </c>
      <c r="N1633" s="49" t="str">
        <f>IF($D1633="","",IFERROR(INDEX(Products!$B$2:$B$101,MATCH($D1633,Products!$A$2:$A$101,0))&amp;"","(not found)"))</f>
        <v/>
      </c>
      <c r="O1633" s="49" t="str">
        <f>IF($F1633="","",IFERROR(INDEX(Batches!$B$2:$B$301,MATCH($F1633,Batches!$A$2:$A$301,0))&amp;"","(not found)"))</f>
        <v/>
      </c>
      <c r="P1633" s="49" t="str">
        <f>IF(COUNTA($A1633:$L1633)=0,"",IF($A1633="","Missing: entry ID",IF(COUNTIF($A$2:$A$2001,$A1633)&gt;1,"Duplicate entry ID",IF(NOT(ISNUMBER($B1633)),"Missing or invalid: date",IF($C1633="","Missing: type",IF($D1633="","Missing: SKU",IF(NOT(ISNUMBER($E1633)),"Missing: qty",IF($F1633="","Missing: lot",IF($I1633="","Missing: source link",IF(COUNTIF(Config!$A$15:$A$34,$C1633)=0,"Unsupported type",IF(COUNTIF(Products!$A$2:$A$101,$D1633)=0,"Unknown SKU",IF(COUNTIFS(Batches!$A$2:$A$301,$F1633,Batches!$B$2:$B$301,$D1633)=0,"Unknown lot for this SKU",IF(AND($C1633="Adjustment",$G1633=""),"Missing: reason",IF(AND($G1633&lt;&gt;"",COUNTIF(Config!$B$15:$B$34,$G1633)=0),"Unsupported reason",IF(OR(INT($E1633)&lt;&gt;$E1633,AND(OR($C1633="Receipt",$C1633="Shipment"),$E1633&lt;=0),AND($C1633="Adjustment",$E1633=0)),"Invalid qty",IF($B1633&gt;Config!$B$4,"Date after the as-of date",IF($B1633&lt;Config!$B$5,"Date before the opening balance date","OK")))))))))))))))))</f>
        <v/>
      </c>
    </row>
    <row r="1634">
      <c r="A1634" s="46" t="n"/>
      <c r="B1634" s="54" t="n"/>
      <c r="C1634" s="46" t="n"/>
      <c r="D1634" s="46" t="n"/>
      <c r="E1634" s="55" t="n"/>
      <c r="F1634" s="46" t="n"/>
      <c r="G1634" s="46" t="n"/>
      <c r="H1634" s="46" t="n"/>
      <c r="I1634" s="46" t="n"/>
      <c r="J1634" s="46" t="n"/>
      <c r="K1634" s="46" t="n"/>
      <c r="L1634" s="46" t="n"/>
      <c r="M1634" s="51" t="str">
        <f>IF(NOT(ISNUMBER($E1634)),"",IF($C1634="Receipt",$E1634,IF($C1634="Shipment",-$E1634,IF($C1634="Adjustment",$E1634,0))))</f>
        <v/>
      </c>
      <c r="N1634" s="49" t="str">
        <f>IF($D1634="","",IFERROR(INDEX(Products!$B$2:$B$101,MATCH($D1634,Products!$A$2:$A$101,0))&amp;"","(not found)"))</f>
        <v/>
      </c>
      <c r="O1634" s="49" t="str">
        <f>IF($F1634="","",IFERROR(INDEX(Batches!$B$2:$B$301,MATCH($F1634,Batches!$A$2:$A$301,0))&amp;"","(not found)"))</f>
        <v/>
      </c>
      <c r="P1634" s="49" t="str">
        <f>IF(COUNTA($A1634:$L1634)=0,"",IF($A1634="","Missing: entry ID",IF(COUNTIF($A$2:$A$2001,$A1634)&gt;1,"Duplicate entry ID",IF(NOT(ISNUMBER($B1634)),"Missing or invalid: date",IF($C1634="","Missing: type",IF($D1634="","Missing: SKU",IF(NOT(ISNUMBER($E1634)),"Missing: qty",IF($F1634="","Missing: lot",IF($I1634="","Missing: source link",IF(COUNTIF(Config!$A$15:$A$34,$C1634)=0,"Unsupported type",IF(COUNTIF(Products!$A$2:$A$101,$D1634)=0,"Unknown SKU",IF(COUNTIFS(Batches!$A$2:$A$301,$F1634,Batches!$B$2:$B$301,$D1634)=0,"Unknown lot for this SKU",IF(AND($C1634="Adjustment",$G1634=""),"Missing: reason",IF(AND($G1634&lt;&gt;"",COUNTIF(Config!$B$15:$B$34,$G1634)=0),"Unsupported reason",IF(OR(INT($E1634)&lt;&gt;$E1634,AND(OR($C1634="Receipt",$C1634="Shipment"),$E1634&lt;=0),AND($C1634="Adjustment",$E1634=0)),"Invalid qty",IF($B1634&gt;Config!$B$4,"Date after the as-of date",IF($B1634&lt;Config!$B$5,"Date before the opening balance date","OK")))))))))))))))))</f>
        <v/>
      </c>
    </row>
    <row r="1635">
      <c r="A1635" s="46" t="n"/>
      <c r="B1635" s="54" t="n"/>
      <c r="C1635" s="46" t="n"/>
      <c r="D1635" s="46" t="n"/>
      <c r="E1635" s="55" t="n"/>
      <c r="F1635" s="46" t="n"/>
      <c r="G1635" s="46" t="n"/>
      <c r="H1635" s="46" t="n"/>
      <c r="I1635" s="46" t="n"/>
      <c r="J1635" s="46" t="n"/>
      <c r="K1635" s="46" t="n"/>
      <c r="L1635" s="46" t="n"/>
      <c r="M1635" s="51" t="str">
        <f>IF(NOT(ISNUMBER($E1635)),"",IF($C1635="Receipt",$E1635,IF($C1635="Shipment",-$E1635,IF($C1635="Adjustment",$E1635,0))))</f>
        <v/>
      </c>
      <c r="N1635" s="49" t="str">
        <f>IF($D1635="","",IFERROR(INDEX(Products!$B$2:$B$101,MATCH($D1635,Products!$A$2:$A$101,0))&amp;"","(not found)"))</f>
        <v/>
      </c>
      <c r="O1635" s="49" t="str">
        <f>IF($F1635="","",IFERROR(INDEX(Batches!$B$2:$B$301,MATCH($F1635,Batches!$A$2:$A$301,0))&amp;"","(not found)"))</f>
        <v/>
      </c>
      <c r="P1635" s="49" t="str">
        <f>IF(COUNTA($A1635:$L1635)=0,"",IF($A1635="","Missing: entry ID",IF(COUNTIF($A$2:$A$2001,$A1635)&gt;1,"Duplicate entry ID",IF(NOT(ISNUMBER($B1635)),"Missing or invalid: date",IF($C1635="","Missing: type",IF($D1635="","Missing: SKU",IF(NOT(ISNUMBER($E1635)),"Missing: qty",IF($F1635="","Missing: lot",IF($I1635="","Missing: source link",IF(COUNTIF(Config!$A$15:$A$34,$C1635)=0,"Unsupported type",IF(COUNTIF(Products!$A$2:$A$101,$D1635)=0,"Unknown SKU",IF(COUNTIFS(Batches!$A$2:$A$301,$F1635,Batches!$B$2:$B$301,$D1635)=0,"Unknown lot for this SKU",IF(AND($C1635="Adjustment",$G1635=""),"Missing: reason",IF(AND($G1635&lt;&gt;"",COUNTIF(Config!$B$15:$B$34,$G1635)=0),"Unsupported reason",IF(OR(INT($E1635)&lt;&gt;$E1635,AND(OR($C1635="Receipt",$C1635="Shipment"),$E1635&lt;=0),AND($C1635="Adjustment",$E1635=0)),"Invalid qty",IF($B1635&gt;Config!$B$4,"Date after the as-of date",IF($B1635&lt;Config!$B$5,"Date before the opening balance date","OK")))))))))))))))))</f>
        <v/>
      </c>
    </row>
    <row r="1636">
      <c r="A1636" s="46" t="n"/>
      <c r="B1636" s="54" t="n"/>
      <c r="C1636" s="46" t="n"/>
      <c r="D1636" s="46" t="n"/>
      <c r="E1636" s="55" t="n"/>
      <c r="F1636" s="46" t="n"/>
      <c r="G1636" s="46" t="n"/>
      <c r="H1636" s="46" t="n"/>
      <c r="I1636" s="46" t="n"/>
      <c r="J1636" s="46" t="n"/>
      <c r="K1636" s="46" t="n"/>
      <c r="L1636" s="46" t="n"/>
      <c r="M1636" s="51" t="str">
        <f>IF(NOT(ISNUMBER($E1636)),"",IF($C1636="Receipt",$E1636,IF($C1636="Shipment",-$E1636,IF($C1636="Adjustment",$E1636,0))))</f>
        <v/>
      </c>
      <c r="N1636" s="49" t="str">
        <f>IF($D1636="","",IFERROR(INDEX(Products!$B$2:$B$101,MATCH($D1636,Products!$A$2:$A$101,0))&amp;"","(not found)"))</f>
        <v/>
      </c>
      <c r="O1636" s="49" t="str">
        <f>IF($F1636="","",IFERROR(INDEX(Batches!$B$2:$B$301,MATCH($F1636,Batches!$A$2:$A$301,0))&amp;"","(not found)"))</f>
        <v/>
      </c>
      <c r="P1636" s="49" t="str">
        <f>IF(COUNTA($A1636:$L1636)=0,"",IF($A1636="","Missing: entry ID",IF(COUNTIF($A$2:$A$2001,$A1636)&gt;1,"Duplicate entry ID",IF(NOT(ISNUMBER($B1636)),"Missing or invalid: date",IF($C1636="","Missing: type",IF($D1636="","Missing: SKU",IF(NOT(ISNUMBER($E1636)),"Missing: qty",IF($F1636="","Missing: lot",IF($I1636="","Missing: source link",IF(COUNTIF(Config!$A$15:$A$34,$C1636)=0,"Unsupported type",IF(COUNTIF(Products!$A$2:$A$101,$D1636)=0,"Unknown SKU",IF(COUNTIFS(Batches!$A$2:$A$301,$F1636,Batches!$B$2:$B$301,$D1636)=0,"Unknown lot for this SKU",IF(AND($C1636="Adjustment",$G1636=""),"Missing: reason",IF(AND($G1636&lt;&gt;"",COUNTIF(Config!$B$15:$B$34,$G1636)=0),"Unsupported reason",IF(OR(INT($E1636)&lt;&gt;$E1636,AND(OR($C1636="Receipt",$C1636="Shipment"),$E1636&lt;=0),AND($C1636="Adjustment",$E1636=0)),"Invalid qty",IF($B1636&gt;Config!$B$4,"Date after the as-of date",IF($B1636&lt;Config!$B$5,"Date before the opening balance date","OK")))))))))))))))))</f>
        <v/>
      </c>
    </row>
    <row r="1637">
      <c r="A1637" s="46" t="n"/>
      <c r="B1637" s="54" t="n"/>
      <c r="C1637" s="46" t="n"/>
      <c r="D1637" s="46" t="n"/>
      <c r="E1637" s="55" t="n"/>
      <c r="F1637" s="46" t="n"/>
      <c r="G1637" s="46" t="n"/>
      <c r="H1637" s="46" t="n"/>
      <c r="I1637" s="46" t="n"/>
      <c r="J1637" s="46" t="n"/>
      <c r="K1637" s="46" t="n"/>
      <c r="L1637" s="46" t="n"/>
      <c r="M1637" s="51" t="str">
        <f>IF(NOT(ISNUMBER($E1637)),"",IF($C1637="Receipt",$E1637,IF($C1637="Shipment",-$E1637,IF($C1637="Adjustment",$E1637,0))))</f>
        <v/>
      </c>
      <c r="N1637" s="49" t="str">
        <f>IF($D1637="","",IFERROR(INDEX(Products!$B$2:$B$101,MATCH($D1637,Products!$A$2:$A$101,0))&amp;"","(not found)"))</f>
        <v/>
      </c>
      <c r="O1637" s="49" t="str">
        <f>IF($F1637="","",IFERROR(INDEX(Batches!$B$2:$B$301,MATCH($F1637,Batches!$A$2:$A$301,0))&amp;"","(not found)"))</f>
        <v/>
      </c>
      <c r="P1637" s="49" t="str">
        <f>IF(COUNTA($A1637:$L1637)=0,"",IF($A1637="","Missing: entry ID",IF(COUNTIF($A$2:$A$2001,$A1637)&gt;1,"Duplicate entry ID",IF(NOT(ISNUMBER($B1637)),"Missing or invalid: date",IF($C1637="","Missing: type",IF($D1637="","Missing: SKU",IF(NOT(ISNUMBER($E1637)),"Missing: qty",IF($F1637="","Missing: lot",IF($I1637="","Missing: source link",IF(COUNTIF(Config!$A$15:$A$34,$C1637)=0,"Unsupported type",IF(COUNTIF(Products!$A$2:$A$101,$D1637)=0,"Unknown SKU",IF(COUNTIFS(Batches!$A$2:$A$301,$F1637,Batches!$B$2:$B$301,$D1637)=0,"Unknown lot for this SKU",IF(AND($C1637="Adjustment",$G1637=""),"Missing: reason",IF(AND($G1637&lt;&gt;"",COUNTIF(Config!$B$15:$B$34,$G1637)=0),"Unsupported reason",IF(OR(INT($E1637)&lt;&gt;$E1637,AND(OR($C1637="Receipt",$C1637="Shipment"),$E1637&lt;=0),AND($C1637="Adjustment",$E1637=0)),"Invalid qty",IF($B1637&gt;Config!$B$4,"Date after the as-of date",IF($B1637&lt;Config!$B$5,"Date before the opening balance date","OK")))))))))))))))))</f>
        <v/>
      </c>
    </row>
    <row r="1638">
      <c r="A1638" s="46" t="n"/>
      <c r="B1638" s="54" t="n"/>
      <c r="C1638" s="46" t="n"/>
      <c r="D1638" s="46" t="n"/>
      <c r="E1638" s="55" t="n"/>
      <c r="F1638" s="46" t="n"/>
      <c r="G1638" s="46" t="n"/>
      <c r="H1638" s="46" t="n"/>
      <c r="I1638" s="46" t="n"/>
      <c r="J1638" s="46" t="n"/>
      <c r="K1638" s="46" t="n"/>
      <c r="L1638" s="46" t="n"/>
      <c r="M1638" s="51" t="str">
        <f>IF(NOT(ISNUMBER($E1638)),"",IF($C1638="Receipt",$E1638,IF($C1638="Shipment",-$E1638,IF($C1638="Adjustment",$E1638,0))))</f>
        <v/>
      </c>
      <c r="N1638" s="49" t="str">
        <f>IF($D1638="","",IFERROR(INDEX(Products!$B$2:$B$101,MATCH($D1638,Products!$A$2:$A$101,0))&amp;"","(not found)"))</f>
        <v/>
      </c>
      <c r="O1638" s="49" t="str">
        <f>IF($F1638="","",IFERROR(INDEX(Batches!$B$2:$B$301,MATCH($F1638,Batches!$A$2:$A$301,0))&amp;"","(not found)"))</f>
        <v/>
      </c>
      <c r="P1638" s="49" t="str">
        <f>IF(COUNTA($A1638:$L1638)=0,"",IF($A1638="","Missing: entry ID",IF(COUNTIF($A$2:$A$2001,$A1638)&gt;1,"Duplicate entry ID",IF(NOT(ISNUMBER($B1638)),"Missing or invalid: date",IF($C1638="","Missing: type",IF($D1638="","Missing: SKU",IF(NOT(ISNUMBER($E1638)),"Missing: qty",IF($F1638="","Missing: lot",IF($I1638="","Missing: source link",IF(COUNTIF(Config!$A$15:$A$34,$C1638)=0,"Unsupported type",IF(COUNTIF(Products!$A$2:$A$101,$D1638)=0,"Unknown SKU",IF(COUNTIFS(Batches!$A$2:$A$301,$F1638,Batches!$B$2:$B$301,$D1638)=0,"Unknown lot for this SKU",IF(AND($C1638="Adjustment",$G1638=""),"Missing: reason",IF(AND($G1638&lt;&gt;"",COUNTIF(Config!$B$15:$B$34,$G1638)=0),"Unsupported reason",IF(OR(INT($E1638)&lt;&gt;$E1638,AND(OR($C1638="Receipt",$C1638="Shipment"),$E1638&lt;=0),AND($C1638="Adjustment",$E1638=0)),"Invalid qty",IF($B1638&gt;Config!$B$4,"Date after the as-of date",IF($B1638&lt;Config!$B$5,"Date before the opening balance date","OK")))))))))))))))))</f>
        <v/>
      </c>
    </row>
    <row r="1639">
      <c r="A1639" s="46" t="n"/>
      <c r="B1639" s="54" t="n"/>
      <c r="C1639" s="46" t="n"/>
      <c r="D1639" s="46" t="n"/>
      <c r="E1639" s="55" t="n"/>
      <c r="F1639" s="46" t="n"/>
      <c r="G1639" s="46" t="n"/>
      <c r="H1639" s="46" t="n"/>
      <c r="I1639" s="46" t="n"/>
      <c r="J1639" s="46" t="n"/>
      <c r="K1639" s="46" t="n"/>
      <c r="L1639" s="46" t="n"/>
      <c r="M1639" s="51" t="str">
        <f>IF(NOT(ISNUMBER($E1639)),"",IF($C1639="Receipt",$E1639,IF($C1639="Shipment",-$E1639,IF($C1639="Adjustment",$E1639,0))))</f>
        <v/>
      </c>
      <c r="N1639" s="49" t="str">
        <f>IF($D1639="","",IFERROR(INDEX(Products!$B$2:$B$101,MATCH($D1639,Products!$A$2:$A$101,0))&amp;"","(not found)"))</f>
        <v/>
      </c>
      <c r="O1639" s="49" t="str">
        <f>IF($F1639="","",IFERROR(INDEX(Batches!$B$2:$B$301,MATCH($F1639,Batches!$A$2:$A$301,0))&amp;"","(not found)"))</f>
        <v/>
      </c>
      <c r="P1639" s="49" t="str">
        <f>IF(COUNTA($A1639:$L1639)=0,"",IF($A1639="","Missing: entry ID",IF(COUNTIF($A$2:$A$2001,$A1639)&gt;1,"Duplicate entry ID",IF(NOT(ISNUMBER($B1639)),"Missing or invalid: date",IF($C1639="","Missing: type",IF($D1639="","Missing: SKU",IF(NOT(ISNUMBER($E1639)),"Missing: qty",IF($F1639="","Missing: lot",IF($I1639="","Missing: source link",IF(COUNTIF(Config!$A$15:$A$34,$C1639)=0,"Unsupported type",IF(COUNTIF(Products!$A$2:$A$101,$D1639)=0,"Unknown SKU",IF(COUNTIFS(Batches!$A$2:$A$301,$F1639,Batches!$B$2:$B$301,$D1639)=0,"Unknown lot for this SKU",IF(AND($C1639="Adjustment",$G1639=""),"Missing: reason",IF(AND($G1639&lt;&gt;"",COUNTIF(Config!$B$15:$B$34,$G1639)=0),"Unsupported reason",IF(OR(INT($E1639)&lt;&gt;$E1639,AND(OR($C1639="Receipt",$C1639="Shipment"),$E1639&lt;=0),AND($C1639="Adjustment",$E1639=0)),"Invalid qty",IF($B1639&gt;Config!$B$4,"Date after the as-of date",IF($B1639&lt;Config!$B$5,"Date before the opening balance date","OK")))))))))))))))))</f>
        <v/>
      </c>
    </row>
    <row r="1640">
      <c r="A1640" s="46" t="n"/>
      <c r="B1640" s="54" t="n"/>
      <c r="C1640" s="46" t="n"/>
      <c r="D1640" s="46" t="n"/>
      <c r="E1640" s="55" t="n"/>
      <c r="F1640" s="46" t="n"/>
      <c r="G1640" s="46" t="n"/>
      <c r="H1640" s="46" t="n"/>
      <c r="I1640" s="46" t="n"/>
      <c r="J1640" s="46" t="n"/>
      <c r="K1640" s="46" t="n"/>
      <c r="L1640" s="46" t="n"/>
      <c r="M1640" s="51" t="str">
        <f>IF(NOT(ISNUMBER($E1640)),"",IF($C1640="Receipt",$E1640,IF($C1640="Shipment",-$E1640,IF($C1640="Adjustment",$E1640,0))))</f>
        <v/>
      </c>
      <c r="N1640" s="49" t="str">
        <f>IF($D1640="","",IFERROR(INDEX(Products!$B$2:$B$101,MATCH($D1640,Products!$A$2:$A$101,0))&amp;"","(not found)"))</f>
        <v/>
      </c>
      <c r="O1640" s="49" t="str">
        <f>IF($F1640="","",IFERROR(INDEX(Batches!$B$2:$B$301,MATCH($F1640,Batches!$A$2:$A$301,0))&amp;"","(not found)"))</f>
        <v/>
      </c>
      <c r="P1640" s="49" t="str">
        <f>IF(COUNTA($A1640:$L1640)=0,"",IF($A1640="","Missing: entry ID",IF(COUNTIF($A$2:$A$2001,$A1640)&gt;1,"Duplicate entry ID",IF(NOT(ISNUMBER($B1640)),"Missing or invalid: date",IF($C1640="","Missing: type",IF($D1640="","Missing: SKU",IF(NOT(ISNUMBER($E1640)),"Missing: qty",IF($F1640="","Missing: lot",IF($I1640="","Missing: source link",IF(COUNTIF(Config!$A$15:$A$34,$C1640)=0,"Unsupported type",IF(COUNTIF(Products!$A$2:$A$101,$D1640)=0,"Unknown SKU",IF(COUNTIFS(Batches!$A$2:$A$301,$F1640,Batches!$B$2:$B$301,$D1640)=0,"Unknown lot for this SKU",IF(AND($C1640="Adjustment",$G1640=""),"Missing: reason",IF(AND($G1640&lt;&gt;"",COUNTIF(Config!$B$15:$B$34,$G1640)=0),"Unsupported reason",IF(OR(INT($E1640)&lt;&gt;$E1640,AND(OR($C1640="Receipt",$C1640="Shipment"),$E1640&lt;=0),AND($C1640="Adjustment",$E1640=0)),"Invalid qty",IF($B1640&gt;Config!$B$4,"Date after the as-of date",IF($B1640&lt;Config!$B$5,"Date before the opening balance date","OK")))))))))))))))))</f>
        <v/>
      </c>
    </row>
    <row r="1641">
      <c r="A1641" s="46" t="n"/>
      <c r="B1641" s="54" t="n"/>
      <c r="C1641" s="46" t="n"/>
      <c r="D1641" s="46" t="n"/>
      <c r="E1641" s="55" t="n"/>
      <c r="F1641" s="46" t="n"/>
      <c r="G1641" s="46" t="n"/>
      <c r="H1641" s="46" t="n"/>
      <c r="I1641" s="46" t="n"/>
      <c r="J1641" s="46" t="n"/>
      <c r="K1641" s="46" t="n"/>
      <c r="L1641" s="46" t="n"/>
      <c r="M1641" s="51" t="str">
        <f>IF(NOT(ISNUMBER($E1641)),"",IF($C1641="Receipt",$E1641,IF($C1641="Shipment",-$E1641,IF($C1641="Adjustment",$E1641,0))))</f>
        <v/>
      </c>
      <c r="N1641" s="49" t="str">
        <f>IF($D1641="","",IFERROR(INDEX(Products!$B$2:$B$101,MATCH($D1641,Products!$A$2:$A$101,0))&amp;"","(not found)"))</f>
        <v/>
      </c>
      <c r="O1641" s="49" t="str">
        <f>IF($F1641="","",IFERROR(INDEX(Batches!$B$2:$B$301,MATCH($F1641,Batches!$A$2:$A$301,0))&amp;"","(not found)"))</f>
        <v/>
      </c>
      <c r="P1641" s="49" t="str">
        <f>IF(COUNTA($A1641:$L1641)=0,"",IF($A1641="","Missing: entry ID",IF(COUNTIF($A$2:$A$2001,$A1641)&gt;1,"Duplicate entry ID",IF(NOT(ISNUMBER($B1641)),"Missing or invalid: date",IF($C1641="","Missing: type",IF($D1641="","Missing: SKU",IF(NOT(ISNUMBER($E1641)),"Missing: qty",IF($F1641="","Missing: lot",IF($I1641="","Missing: source link",IF(COUNTIF(Config!$A$15:$A$34,$C1641)=0,"Unsupported type",IF(COUNTIF(Products!$A$2:$A$101,$D1641)=0,"Unknown SKU",IF(COUNTIFS(Batches!$A$2:$A$301,$F1641,Batches!$B$2:$B$301,$D1641)=0,"Unknown lot for this SKU",IF(AND($C1641="Adjustment",$G1641=""),"Missing: reason",IF(AND($G1641&lt;&gt;"",COUNTIF(Config!$B$15:$B$34,$G1641)=0),"Unsupported reason",IF(OR(INT($E1641)&lt;&gt;$E1641,AND(OR($C1641="Receipt",$C1641="Shipment"),$E1641&lt;=0),AND($C1641="Adjustment",$E1641=0)),"Invalid qty",IF($B1641&gt;Config!$B$4,"Date after the as-of date",IF($B1641&lt;Config!$B$5,"Date before the opening balance date","OK")))))))))))))))))</f>
        <v/>
      </c>
    </row>
    <row r="1642">
      <c r="A1642" s="46" t="n"/>
      <c r="B1642" s="54" t="n"/>
      <c r="C1642" s="46" t="n"/>
      <c r="D1642" s="46" t="n"/>
      <c r="E1642" s="55" t="n"/>
      <c r="F1642" s="46" t="n"/>
      <c r="G1642" s="46" t="n"/>
      <c r="H1642" s="46" t="n"/>
      <c r="I1642" s="46" t="n"/>
      <c r="J1642" s="46" t="n"/>
      <c r="K1642" s="46" t="n"/>
      <c r="L1642" s="46" t="n"/>
      <c r="M1642" s="51" t="str">
        <f>IF(NOT(ISNUMBER($E1642)),"",IF($C1642="Receipt",$E1642,IF($C1642="Shipment",-$E1642,IF($C1642="Adjustment",$E1642,0))))</f>
        <v/>
      </c>
      <c r="N1642" s="49" t="str">
        <f>IF($D1642="","",IFERROR(INDEX(Products!$B$2:$B$101,MATCH($D1642,Products!$A$2:$A$101,0))&amp;"","(not found)"))</f>
        <v/>
      </c>
      <c r="O1642" s="49" t="str">
        <f>IF($F1642="","",IFERROR(INDEX(Batches!$B$2:$B$301,MATCH($F1642,Batches!$A$2:$A$301,0))&amp;"","(not found)"))</f>
        <v/>
      </c>
      <c r="P1642" s="49" t="str">
        <f>IF(COUNTA($A1642:$L1642)=0,"",IF($A1642="","Missing: entry ID",IF(COUNTIF($A$2:$A$2001,$A1642)&gt;1,"Duplicate entry ID",IF(NOT(ISNUMBER($B1642)),"Missing or invalid: date",IF($C1642="","Missing: type",IF($D1642="","Missing: SKU",IF(NOT(ISNUMBER($E1642)),"Missing: qty",IF($F1642="","Missing: lot",IF($I1642="","Missing: source link",IF(COUNTIF(Config!$A$15:$A$34,$C1642)=0,"Unsupported type",IF(COUNTIF(Products!$A$2:$A$101,$D1642)=0,"Unknown SKU",IF(COUNTIFS(Batches!$A$2:$A$301,$F1642,Batches!$B$2:$B$301,$D1642)=0,"Unknown lot for this SKU",IF(AND($C1642="Adjustment",$G1642=""),"Missing: reason",IF(AND($G1642&lt;&gt;"",COUNTIF(Config!$B$15:$B$34,$G1642)=0),"Unsupported reason",IF(OR(INT($E1642)&lt;&gt;$E1642,AND(OR($C1642="Receipt",$C1642="Shipment"),$E1642&lt;=0),AND($C1642="Adjustment",$E1642=0)),"Invalid qty",IF($B1642&gt;Config!$B$4,"Date after the as-of date",IF($B1642&lt;Config!$B$5,"Date before the opening balance date","OK")))))))))))))))))</f>
        <v/>
      </c>
    </row>
    <row r="1643">
      <c r="A1643" s="46" t="n"/>
      <c r="B1643" s="54" t="n"/>
      <c r="C1643" s="46" t="n"/>
      <c r="D1643" s="46" t="n"/>
      <c r="E1643" s="55" t="n"/>
      <c r="F1643" s="46" t="n"/>
      <c r="G1643" s="46" t="n"/>
      <c r="H1643" s="46" t="n"/>
      <c r="I1643" s="46" t="n"/>
      <c r="J1643" s="46" t="n"/>
      <c r="K1643" s="46" t="n"/>
      <c r="L1643" s="46" t="n"/>
      <c r="M1643" s="51" t="str">
        <f>IF(NOT(ISNUMBER($E1643)),"",IF($C1643="Receipt",$E1643,IF($C1643="Shipment",-$E1643,IF($C1643="Adjustment",$E1643,0))))</f>
        <v/>
      </c>
      <c r="N1643" s="49" t="str">
        <f>IF($D1643="","",IFERROR(INDEX(Products!$B$2:$B$101,MATCH($D1643,Products!$A$2:$A$101,0))&amp;"","(not found)"))</f>
        <v/>
      </c>
      <c r="O1643" s="49" t="str">
        <f>IF($F1643="","",IFERROR(INDEX(Batches!$B$2:$B$301,MATCH($F1643,Batches!$A$2:$A$301,0))&amp;"","(not found)"))</f>
        <v/>
      </c>
      <c r="P1643" s="49" t="str">
        <f>IF(COUNTA($A1643:$L1643)=0,"",IF($A1643="","Missing: entry ID",IF(COUNTIF($A$2:$A$2001,$A1643)&gt;1,"Duplicate entry ID",IF(NOT(ISNUMBER($B1643)),"Missing or invalid: date",IF($C1643="","Missing: type",IF($D1643="","Missing: SKU",IF(NOT(ISNUMBER($E1643)),"Missing: qty",IF($F1643="","Missing: lot",IF($I1643="","Missing: source link",IF(COUNTIF(Config!$A$15:$A$34,$C1643)=0,"Unsupported type",IF(COUNTIF(Products!$A$2:$A$101,$D1643)=0,"Unknown SKU",IF(COUNTIFS(Batches!$A$2:$A$301,$F1643,Batches!$B$2:$B$301,$D1643)=0,"Unknown lot for this SKU",IF(AND($C1643="Adjustment",$G1643=""),"Missing: reason",IF(AND($G1643&lt;&gt;"",COUNTIF(Config!$B$15:$B$34,$G1643)=0),"Unsupported reason",IF(OR(INT($E1643)&lt;&gt;$E1643,AND(OR($C1643="Receipt",$C1643="Shipment"),$E1643&lt;=0),AND($C1643="Adjustment",$E1643=0)),"Invalid qty",IF($B1643&gt;Config!$B$4,"Date after the as-of date",IF($B1643&lt;Config!$B$5,"Date before the opening balance date","OK")))))))))))))))))</f>
        <v/>
      </c>
    </row>
    <row r="1644">
      <c r="A1644" s="46" t="n"/>
      <c r="B1644" s="54" t="n"/>
      <c r="C1644" s="46" t="n"/>
      <c r="D1644" s="46" t="n"/>
      <c r="E1644" s="55" t="n"/>
      <c r="F1644" s="46" t="n"/>
      <c r="G1644" s="46" t="n"/>
      <c r="H1644" s="46" t="n"/>
      <c r="I1644" s="46" t="n"/>
      <c r="J1644" s="46" t="n"/>
      <c r="K1644" s="46" t="n"/>
      <c r="L1644" s="46" t="n"/>
      <c r="M1644" s="51" t="str">
        <f>IF(NOT(ISNUMBER($E1644)),"",IF($C1644="Receipt",$E1644,IF($C1644="Shipment",-$E1644,IF($C1644="Adjustment",$E1644,0))))</f>
        <v/>
      </c>
      <c r="N1644" s="49" t="str">
        <f>IF($D1644="","",IFERROR(INDEX(Products!$B$2:$B$101,MATCH($D1644,Products!$A$2:$A$101,0))&amp;"","(not found)"))</f>
        <v/>
      </c>
      <c r="O1644" s="49" t="str">
        <f>IF($F1644="","",IFERROR(INDEX(Batches!$B$2:$B$301,MATCH($F1644,Batches!$A$2:$A$301,0))&amp;"","(not found)"))</f>
        <v/>
      </c>
      <c r="P1644" s="49" t="str">
        <f>IF(COUNTA($A1644:$L1644)=0,"",IF($A1644="","Missing: entry ID",IF(COUNTIF($A$2:$A$2001,$A1644)&gt;1,"Duplicate entry ID",IF(NOT(ISNUMBER($B1644)),"Missing or invalid: date",IF($C1644="","Missing: type",IF($D1644="","Missing: SKU",IF(NOT(ISNUMBER($E1644)),"Missing: qty",IF($F1644="","Missing: lot",IF($I1644="","Missing: source link",IF(COUNTIF(Config!$A$15:$A$34,$C1644)=0,"Unsupported type",IF(COUNTIF(Products!$A$2:$A$101,$D1644)=0,"Unknown SKU",IF(COUNTIFS(Batches!$A$2:$A$301,$F1644,Batches!$B$2:$B$301,$D1644)=0,"Unknown lot for this SKU",IF(AND($C1644="Adjustment",$G1644=""),"Missing: reason",IF(AND($G1644&lt;&gt;"",COUNTIF(Config!$B$15:$B$34,$G1644)=0),"Unsupported reason",IF(OR(INT($E1644)&lt;&gt;$E1644,AND(OR($C1644="Receipt",$C1644="Shipment"),$E1644&lt;=0),AND($C1644="Adjustment",$E1644=0)),"Invalid qty",IF($B1644&gt;Config!$B$4,"Date after the as-of date",IF($B1644&lt;Config!$B$5,"Date before the opening balance date","OK")))))))))))))))))</f>
        <v/>
      </c>
    </row>
    <row r="1645">
      <c r="A1645" s="46" t="n"/>
      <c r="B1645" s="54" t="n"/>
      <c r="C1645" s="46" t="n"/>
      <c r="D1645" s="46" t="n"/>
      <c r="E1645" s="55" t="n"/>
      <c r="F1645" s="46" t="n"/>
      <c r="G1645" s="46" t="n"/>
      <c r="H1645" s="46" t="n"/>
      <c r="I1645" s="46" t="n"/>
      <c r="J1645" s="46" t="n"/>
      <c r="K1645" s="46" t="n"/>
      <c r="L1645" s="46" t="n"/>
      <c r="M1645" s="51" t="str">
        <f>IF(NOT(ISNUMBER($E1645)),"",IF($C1645="Receipt",$E1645,IF($C1645="Shipment",-$E1645,IF($C1645="Adjustment",$E1645,0))))</f>
        <v/>
      </c>
      <c r="N1645" s="49" t="str">
        <f>IF($D1645="","",IFERROR(INDEX(Products!$B$2:$B$101,MATCH($D1645,Products!$A$2:$A$101,0))&amp;"","(not found)"))</f>
        <v/>
      </c>
      <c r="O1645" s="49" t="str">
        <f>IF($F1645="","",IFERROR(INDEX(Batches!$B$2:$B$301,MATCH($F1645,Batches!$A$2:$A$301,0))&amp;"","(not found)"))</f>
        <v/>
      </c>
      <c r="P1645" s="49" t="str">
        <f>IF(COUNTA($A1645:$L1645)=0,"",IF($A1645="","Missing: entry ID",IF(COUNTIF($A$2:$A$2001,$A1645)&gt;1,"Duplicate entry ID",IF(NOT(ISNUMBER($B1645)),"Missing or invalid: date",IF($C1645="","Missing: type",IF($D1645="","Missing: SKU",IF(NOT(ISNUMBER($E1645)),"Missing: qty",IF($F1645="","Missing: lot",IF($I1645="","Missing: source link",IF(COUNTIF(Config!$A$15:$A$34,$C1645)=0,"Unsupported type",IF(COUNTIF(Products!$A$2:$A$101,$D1645)=0,"Unknown SKU",IF(COUNTIFS(Batches!$A$2:$A$301,$F1645,Batches!$B$2:$B$301,$D1645)=0,"Unknown lot for this SKU",IF(AND($C1645="Adjustment",$G1645=""),"Missing: reason",IF(AND($G1645&lt;&gt;"",COUNTIF(Config!$B$15:$B$34,$G1645)=0),"Unsupported reason",IF(OR(INT($E1645)&lt;&gt;$E1645,AND(OR($C1645="Receipt",$C1645="Shipment"),$E1645&lt;=0),AND($C1645="Adjustment",$E1645=0)),"Invalid qty",IF($B1645&gt;Config!$B$4,"Date after the as-of date",IF($B1645&lt;Config!$B$5,"Date before the opening balance date","OK")))))))))))))))))</f>
        <v/>
      </c>
    </row>
    <row r="1646">
      <c r="A1646" s="46" t="n"/>
      <c r="B1646" s="54" t="n"/>
      <c r="C1646" s="46" t="n"/>
      <c r="D1646" s="46" t="n"/>
      <c r="E1646" s="55" t="n"/>
      <c r="F1646" s="46" t="n"/>
      <c r="G1646" s="46" t="n"/>
      <c r="H1646" s="46" t="n"/>
      <c r="I1646" s="46" t="n"/>
      <c r="J1646" s="46" t="n"/>
      <c r="K1646" s="46" t="n"/>
      <c r="L1646" s="46" t="n"/>
      <c r="M1646" s="51" t="str">
        <f>IF(NOT(ISNUMBER($E1646)),"",IF($C1646="Receipt",$E1646,IF($C1646="Shipment",-$E1646,IF($C1646="Adjustment",$E1646,0))))</f>
        <v/>
      </c>
      <c r="N1646" s="49" t="str">
        <f>IF($D1646="","",IFERROR(INDEX(Products!$B$2:$B$101,MATCH($D1646,Products!$A$2:$A$101,0))&amp;"","(not found)"))</f>
        <v/>
      </c>
      <c r="O1646" s="49" t="str">
        <f>IF($F1646="","",IFERROR(INDEX(Batches!$B$2:$B$301,MATCH($F1646,Batches!$A$2:$A$301,0))&amp;"","(not found)"))</f>
        <v/>
      </c>
      <c r="P1646" s="49" t="str">
        <f>IF(COUNTA($A1646:$L1646)=0,"",IF($A1646="","Missing: entry ID",IF(COUNTIF($A$2:$A$2001,$A1646)&gt;1,"Duplicate entry ID",IF(NOT(ISNUMBER($B1646)),"Missing or invalid: date",IF($C1646="","Missing: type",IF($D1646="","Missing: SKU",IF(NOT(ISNUMBER($E1646)),"Missing: qty",IF($F1646="","Missing: lot",IF($I1646="","Missing: source link",IF(COUNTIF(Config!$A$15:$A$34,$C1646)=0,"Unsupported type",IF(COUNTIF(Products!$A$2:$A$101,$D1646)=0,"Unknown SKU",IF(COUNTIFS(Batches!$A$2:$A$301,$F1646,Batches!$B$2:$B$301,$D1646)=0,"Unknown lot for this SKU",IF(AND($C1646="Adjustment",$G1646=""),"Missing: reason",IF(AND($G1646&lt;&gt;"",COUNTIF(Config!$B$15:$B$34,$G1646)=0),"Unsupported reason",IF(OR(INT($E1646)&lt;&gt;$E1646,AND(OR($C1646="Receipt",$C1646="Shipment"),$E1646&lt;=0),AND($C1646="Adjustment",$E1646=0)),"Invalid qty",IF($B1646&gt;Config!$B$4,"Date after the as-of date",IF($B1646&lt;Config!$B$5,"Date before the opening balance date","OK")))))))))))))))))</f>
        <v/>
      </c>
    </row>
    <row r="1647">
      <c r="A1647" s="46" t="n"/>
      <c r="B1647" s="54" t="n"/>
      <c r="C1647" s="46" t="n"/>
      <c r="D1647" s="46" t="n"/>
      <c r="E1647" s="55" t="n"/>
      <c r="F1647" s="46" t="n"/>
      <c r="G1647" s="46" t="n"/>
      <c r="H1647" s="46" t="n"/>
      <c r="I1647" s="46" t="n"/>
      <c r="J1647" s="46" t="n"/>
      <c r="K1647" s="46" t="n"/>
      <c r="L1647" s="46" t="n"/>
      <c r="M1647" s="51" t="str">
        <f>IF(NOT(ISNUMBER($E1647)),"",IF($C1647="Receipt",$E1647,IF($C1647="Shipment",-$E1647,IF($C1647="Adjustment",$E1647,0))))</f>
        <v/>
      </c>
      <c r="N1647" s="49" t="str">
        <f>IF($D1647="","",IFERROR(INDEX(Products!$B$2:$B$101,MATCH($D1647,Products!$A$2:$A$101,0))&amp;"","(not found)"))</f>
        <v/>
      </c>
      <c r="O1647" s="49" t="str">
        <f>IF($F1647="","",IFERROR(INDEX(Batches!$B$2:$B$301,MATCH($F1647,Batches!$A$2:$A$301,0))&amp;"","(not found)"))</f>
        <v/>
      </c>
      <c r="P1647" s="49" t="str">
        <f>IF(COUNTA($A1647:$L1647)=0,"",IF($A1647="","Missing: entry ID",IF(COUNTIF($A$2:$A$2001,$A1647)&gt;1,"Duplicate entry ID",IF(NOT(ISNUMBER($B1647)),"Missing or invalid: date",IF($C1647="","Missing: type",IF($D1647="","Missing: SKU",IF(NOT(ISNUMBER($E1647)),"Missing: qty",IF($F1647="","Missing: lot",IF($I1647="","Missing: source link",IF(COUNTIF(Config!$A$15:$A$34,$C1647)=0,"Unsupported type",IF(COUNTIF(Products!$A$2:$A$101,$D1647)=0,"Unknown SKU",IF(COUNTIFS(Batches!$A$2:$A$301,$F1647,Batches!$B$2:$B$301,$D1647)=0,"Unknown lot for this SKU",IF(AND($C1647="Adjustment",$G1647=""),"Missing: reason",IF(AND($G1647&lt;&gt;"",COUNTIF(Config!$B$15:$B$34,$G1647)=0),"Unsupported reason",IF(OR(INT($E1647)&lt;&gt;$E1647,AND(OR($C1647="Receipt",$C1647="Shipment"),$E1647&lt;=0),AND($C1647="Adjustment",$E1647=0)),"Invalid qty",IF($B1647&gt;Config!$B$4,"Date after the as-of date",IF($B1647&lt;Config!$B$5,"Date before the opening balance date","OK")))))))))))))))))</f>
        <v/>
      </c>
    </row>
    <row r="1648">
      <c r="A1648" s="46" t="n"/>
      <c r="B1648" s="54" t="n"/>
      <c r="C1648" s="46" t="n"/>
      <c r="D1648" s="46" t="n"/>
      <c r="E1648" s="55" t="n"/>
      <c r="F1648" s="46" t="n"/>
      <c r="G1648" s="46" t="n"/>
      <c r="H1648" s="46" t="n"/>
      <c r="I1648" s="46" t="n"/>
      <c r="J1648" s="46" t="n"/>
      <c r="K1648" s="46" t="n"/>
      <c r="L1648" s="46" t="n"/>
      <c r="M1648" s="51" t="str">
        <f>IF(NOT(ISNUMBER($E1648)),"",IF($C1648="Receipt",$E1648,IF($C1648="Shipment",-$E1648,IF($C1648="Adjustment",$E1648,0))))</f>
        <v/>
      </c>
      <c r="N1648" s="49" t="str">
        <f>IF($D1648="","",IFERROR(INDEX(Products!$B$2:$B$101,MATCH($D1648,Products!$A$2:$A$101,0))&amp;"","(not found)"))</f>
        <v/>
      </c>
      <c r="O1648" s="49" t="str">
        <f>IF($F1648="","",IFERROR(INDEX(Batches!$B$2:$B$301,MATCH($F1648,Batches!$A$2:$A$301,0))&amp;"","(not found)"))</f>
        <v/>
      </c>
      <c r="P1648" s="49" t="str">
        <f>IF(COUNTA($A1648:$L1648)=0,"",IF($A1648="","Missing: entry ID",IF(COUNTIF($A$2:$A$2001,$A1648)&gt;1,"Duplicate entry ID",IF(NOT(ISNUMBER($B1648)),"Missing or invalid: date",IF($C1648="","Missing: type",IF($D1648="","Missing: SKU",IF(NOT(ISNUMBER($E1648)),"Missing: qty",IF($F1648="","Missing: lot",IF($I1648="","Missing: source link",IF(COUNTIF(Config!$A$15:$A$34,$C1648)=0,"Unsupported type",IF(COUNTIF(Products!$A$2:$A$101,$D1648)=0,"Unknown SKU",IF(COUNTIFS(Batches!$A$2:$A$301,$F1648,Batches!$B$2:$B$301,$D1648)=0,"Unknown lot for this SKU",IF(AND($C1648="Adjustment",$G1648=""),"Missing: reason",IF(AND($G1648&lt;&gt;"",COUNTIF(Config!$B$15:$B$34,$G1648)=0),"Unsupported reason",IF(OR(INT($E1648)&lt;&gt;$E1648,AND(OR($C1648="Receipt",$C1648="Shipment"),$E1648&lt;=0),AND($C1648="Adjustment",$E1648=0)),"Invalid qty",IF($B1648&gt;Config!$B$4,"Date after the as-of date",IF($B1648&lt;Config!$B$5,"Date before the opening balance date","OK")))))))))))))))))</f>
        <v/>
      </c>
    </row>
    <row r="1649">
      <c r="A1649" s="46" t="n"/>
      <c r="B1649" s="54" t="n"/>
      <c r="C1649" s="46" t="n"/>
      <c r="D1649" s="46" t="n"/>
      <c r="E1649" s="55" t="n"/>
      <c r="F1649" s="46" t="n"/>
      <c r="G1649" s="46" t="n"/>
      <c r="H1649" s="46" t="n"/>
      <c r="I1649" s="46" t="n"/>
      <c r="J1649" s="46" t="n"/>
      <c r="K1649" s="46" t="n"/>
      <c r="L1649" s="46" t="n"/>
      <c r="M1649" s="51" t="str">
        <f>IF(NOT(ISNUMBER($E1649)),"",IF($C1649="Receipt",$E1649,IF($C1649="Shipment",-$E1649,IF($C1649="Adjustment",$E1649,0))))</f>
        <v/>
      </c>
      <c r="N1649" s="49" t="str">
        <f>IF($D1649="","",IFERROR(INDEX(Products!$B$2:$B$101,MATCH($D1649,Products!$A$2:$A$101,0))&amp;"","(not found)"))</f>
        <v/>
      </c>
      <c r="O1649" s="49" t="str">
        <f>IF($F1649="","",IFERROR(INDEX(Batches!$B$2:$B$301,MATCH($F1649,Batches!$A$2:$A$301,0))&amp;"","(not found)"))</f>
        <v/>
      </c>
      <c r="P1649" s="49" t="str">
        <f>IF(COUNTA($A1649:$L1649)=0,"",IF($A1649="","Missing: entry ID",IF(COUNTIF($A$2:$A$2001,$A1649)&gt;1,"Duplicate entry ID",IF(NOT(ISNUMBER($B1649)),"Missing or invalid: date",IF($C1649="","Missing: type",IF($D1649="","Missing: SKU",IF(NOT(ISNUMBER($E1649)),"Missing: qty",IF($F1649="","Missing: lot",IF($I1649="","Missing: source link",IF(COUNTIF(Config!$A$15:$A$34,$C1649)=0,"Unsupported type",IF(COUNTIF(Products!$A$2:$A$101,$D1649)=0,"Unknown SKU",IF(COUNTIFS(Batches!$A$2:$A$301,$F1649,Batches!$B$2:$B$301,$D1649)=0,"Unknown lot for this SKU",IF(AND($C1649="Adjustment",$G1649=""),"Missing: reason",IF(AND($G1649&lt;&gt;"",COUNTIF(Config!$B$15:$B$34,$G1649)=0),"Unsupported reason",IF(OR(INT($E1649)&lt;&gt;$E1649,AND(OR($C1649="Receipt",$C1649="Shipment"),$E1649&lt;=0),AND($C1649="Adjustment",$E1649=0)),"Invalid qty",IF($B1649&gt;Config!$B$4,"Date after the as-of date",IF($B1649&lt;Config!$B$5,"Date before the opening balance date","OK")))))))))))))))))</f>
        <v/>
      </c>
    </row>
    <row r="1650">
      <c r="A1650" s="46" t="n"/>
      <c r="B1650" s="54" t="n"/>
      <c r="C1650" s="46" t="n"/>
      <c r="D1650" s="46" t="n"/>
      <c r="E1650" s="55" t="n"/>
      <c r="F1650" s="46" t="n"/>
      <c r="G1650" s="46" t="n"/>
      <c r="H1650" s="46" t="n"/>
      <c r="I1650" s="46" t="n"/>
      <c r="J1650" s="46" t="n"/>
      <c r="K1650" s="46" t="n"/>
      <c r="L1650" s="46" t="n"/>
      <c r="M1650" s="51" t="str">
        <f>IF(NOT(ISNUMBER($E1650)),"",IF($C1650="Receipt",$E1650,IF($C1650="Shipment",-$E1650,IF($C1650="Adjustment",$E1650,0))))</f>
        <v/>
      </c>
      <c r="N1650" s="49" t="str">
        <f>IF($D1650="","",IFERROR(INDEX(Products!$B$2:$B$101,MATCH($D1650,Products!$A$2:$A$101,0))&amp;"","(not found)"))</f>
        <v/>
      </c>
      <c r="O1650" s="49" t="str">
        <f>IF($F1650="","",IFERROR(INDEX(Batches!$B$2:$B$301,MATCH($F1650,Batches!$A$2:$A$301,0))&amp;"","(not found)"))</f>
        <v/>
      </c>
      <c r="P1650" s="49" t="str">
        <f>IF(COUNTA($A1650:$L1650)=0,"",IF($A1650="","Missing: entry ID",IF(COUNTIF($A$2:$A$2001,$A1650)&gt;1,"Duplicate entry ID",IF(NOT(ISNUMBER($B1650)),"Missing or invalid: date",IF($C1650="","Missing: type",IF($D1650="","Missing: SKU",IF(NOT(ISNUMBER($E1650)),"Missing: qty",IF($F1650="","Missing: lot",IF($I1650="","Missing: source link",IF(COUNTIF(Config!$A$15:$A$34,$C1650)=0,"Unsupported type",IF(COUNTIF(Products!$A$2:$A$101,$D1650)=0,"Unknown SKU",IF(COUNTIFS(Batches!$A$2:$A$301,$F1650,Batches!$B$2:$B$301,$D1650)=0,"Unknown lot for this SKU",IF(AND($C1650="Adjustment",$G1650=""),"Missing: reason",IF(AND($G1650&lt;&gt;"",COUNTIF(Config!$B$15:$B$34,$G1650)=0),"Unsupported reason",IF(OR(INT($E1650)&lt;&gt;$E1650,AND(OR($C1650="Receipt",$C1650="Shipment"),$E1650&lt;=0),AND($C1650="Adjustment",$E1650=0)),"Invalid qty",IF($B1650&gt;Config!$B$4,"Date after the as-of date",IF($B1650&lt;Config!$B$5,"Date before the opening balance date","OK")))))))))))))))))</f>
        <v/>
      </c>
    </row>
    <row r="1651">
      <c r="A1651" s="46" t="n"/>
      <c r="B1651" s="54" t="n"/>
      <c r="C1651" s="46" t="n"/>
      <c r="D1651" s="46" t="n"/>
      <c r="E1651" s="55" t="n"/>
      <c r="F1651" s="46" t="n"/>
      <c r="G1651" s="46" t="n"/>
      <c r="H1651" s="46" t="n"/>
      <c r="I1651" s="46" t="n"/>
      <c r="J1651" s="46" t="n"/>
      <c r="K1651" s="46" t="n"/>
      <c r="L1651" s="46" t="n"/>
      <c r="M1651" s="51" t="str">
        <f>IF(NOT(ISNUMBER($E1651)),"",IF($C1651="Receipt",$E1651,IF($C1651="Shipment",-$E1651,IF($C1651="Adjustment",$E1651,0))))</f>
        <v/>
      </c>
      <c r="N1651" s="49" t="str">
        <f>IF($D1651="","",IFERROR(INDEX(Products!$B$2:$B$101,MATCH($D1651,Products!$A$2:$A$101,0))&amp;"","(not found)"))</f>
        <v/>
      </c>
      <c r="O1651" s="49" t="str">
        <f>IF($F1651="","",IFERROR(INDEX(Batches!$B$2:$B$301,MATCH($F1651,Batches!$A$2:$A$301,0))&amp;"","(not found)"))</f>
        <v/>
      </c>
      <c r="P1651" s="49" t="str">
        <f>IF(COUNTA($A1651:$L1651)=0,"",IF($A1651="","Missing: entry ID",IF(COUNTIF($A$2:$A$2001,$A1651)&gt;1,"Duplicate entry ID",IF(NOT(ISNUMBER($B1651)),"Missing or invalid: date",IF($C1651="","Missing: type",IF($D1651="","Missing: SKU",IF(NOT(ISNUMBER($E1651)),"Missing: qty",IF($F1651="","Missing: lot",IF($I1651="","Missing: source link",IF(COUNTIF(Config!$A$15:$A$34,$C1651)=0,"Unsupported type",IF(COUNTIF(Products!$A$2:$A$101,$D1651)=0,"Unknown SKU",IF(COUNTIFS(Batches!$A$2:$A$301,$F1651,Batches!$B$2:$B$301,$D1651)=0,"Unknown lot for this SKU",IF(AND($C1651="Adjustment",$G1651=""),"Missing: reason",IF(AND($G1651&lt;&gt;"",COUNTIF(Config!$B$15:$B$34,$G1651)=0),"Unsupported reason",IF(OR(INT($E1651)&lt;&gt;$E1651,AND(OR($C1651="Receipt",$C1651="Shipment"),$E1651&lt;=0),AND($C1651="Adjustment",$E1651=0)),"Invalid qty",IF($B1651&gt;Config!$B$4,"Date after the as-of date",IF($B1651&lt;Config!$B$5,"Date before the opening balance date","OK")))))))))))))))))</f>
        <v/>
      </c>
    </row>
    <row r="1652">
      <c r="A1652" s="46" t="n"/>
      <c r="B1652" s="54" t="n"/>
      <c r="C1652" s="46" t="n"/>
      <c r="D1652" s="46" t="n"/>
      <c r="E1652" s="55" t="n"/>
      <c r="F1652" s="46" t="n"/>
      <c r="G1652" s="46" t="n"/>
      <c r="H1652" s="46" t="n"/>
      <c r="I1652" s="46" t="n"/>
      <c r="J1652" s="46" t="n"/>
      <c r="K1652" s="46" t="n"/>
      <c r="L1652" s="46" t="n"/>
      <c r="M1652" s="51" t="str">
        <f>IF(NOT(ISNUMBER($E1652)),"",IF($C1652="Receipt",$E1652,IF($C1652="Shipment",-$E1652,IF($C1652="Adjustment",$E1652,0))))</f>
        <v/>
      </c>
      <c r="N1652" s="49" t="str">
        <f>IF($D1652="","",IFERROR(INDEX(Products!$B$2:$B$101,MATCH($D1652,Products!$A$2:$A$101,0))&amp;"","(not found)"))</f>
        <v/>
      </c>
      <c r="O1652" s="49" t="str">
        <f>IF($F1652="","",IFERROR(INDEX(Batches!$B$2:$B$301,MATCH($F1652,Batches!$A$2:$A$301,0))&amp;"","(not found)"))</f>
        <v/>
      </c>
      <c r="P1652" s="49" t="str">
        <f>IF(COUNTA($A1652:$L1652)=0,"",IF($A1652="","Missing: entry ID",IF(COUNTIF($A$2:$A$2001,$A1652)&gt;1,"Duplicate entry ID",IF(NOT(ISNUMBER($B1652)),"Missing or invalid: date",IF($C1652="","Missing: type",IF($D1652="","Missing: SKU",IF(NOT(ISNUMBER($E1652)),"Missing: qty",IF($F1652="","Missing: lot",IF($I1652="","Missing: source link",IF(COUNTIF(Config!$A$15:$A$34,$C1652)=0,"Unsupported type",IF(COUNTIF(Products!$A$2:$A$101,$D1652)=0,"Unknown SKU",IF(COUNTIFS(Batches!$A$2:$A$301,$F1652,Batches!$B$2:$B$301,$D1652)=0,"Unknown lot for this SKU",IF(AND($C1652="Adjustment",$G1652=""),"Missing: reason",IF(AND($G1652&lt;&gt;"",COUNTIF(Config!$B$15:$B$34,$G1652)=0),"Unsupported reason",IF(OR(INT($E1652)&lt;&gt;$E1652,AND(OR($C1652="Receipt",$C1652="Shipment"),$E1652&lt;=0),AND($C1652="Adjustment",$E1652=0)),"Invalid qty",IF($B1652&gt;Config!$B$4,"Date after the as-of date",IF($B1652&lt;Config!$B$5,"Date before the opening balance date","OK")))))))))))))))))</f>
        <v/>
      </c>
    </row>
    <row r="1653">
      <c r="A1653" s="46" t="n"/>
      <c r="B1653" s="54" t="n"/>
      <c r="C1653" s="46" t="n"/>
      <c r="D1653" s="46" t="n"/>
      <c r="E1653" s="55" t="n"/>
      <c r="F1653" s="46" t="n"/>
      <c r="G1653" s="46" t="n"/>
      <c r="H1653" s="46" t="n"/>
      <c r="I1653" s="46" t="n"/>
      <c r="J1653" s="46" t="n"/>
      <c r="K1653" s="46" t="n"/>
      <c r="L1653" s="46" t="n"/>
      <c r="M1653" s="51" t="str">
        <f>IF(NOT(ISNUMBER($E1653)),"",IF($C1653="Receipt",$E1653,IF($C1653="Shipment",-$E1653,IF($C1653="Adjustment",$E1653,0))))</f>
        <v/>
      </c>
      <c r="N1653" s="49" t="str">
        <f>IF($D1653="","",IFERROR(INDEX(Products!$B$2:$B$101,MATCH($D1653,Products!$A$2:$A$101,0))&amp;"","(not found)"))</f>
        <v/>
      </c>
      <c r="O1653" s="49" t="str">
        <f>IF($F1653="","",IFERROR(INDEX(Batches!$B$2:$B$301,MATCH($F1653,Batches!$A$2:$A$301,0))&amp;"","(not found)"))</f>
        <v/>
      </c>
      <c r="P1653" s="49" t="str">
        <f>IF(COUNTA($A1653:$L1653)=0,"",IF($A1653="","Missing: entry ID",IF(COUNTIF($A$2:$A$2001,$A1653)&gt;1,"Duplicate entry ID",IF(NOT(ISNUMBER($B1653)),"Missing or invalid: date",IF($C1653="","Missing: type",IF($D1653="","Missing: SKU",IF(NOT(ISNUMBER($E1653)),"Missing: qty",IF($F1653="","Missing: lot",IF($I1653="","Missing: source link",IF(COUNTIF(Config!$A$15:$A$34,$C1653)=0,"Unsupported type",IF(COUNTIF(Products!$A$2:$A$101,$D1653)=0,"Unknown SKU",IF(COUNTIFS(Batches!$A$2:$A$301,$F1653,Batches!$B$2:$B$301,$D1653)=0,"Unknown lot for this SKU",IF(AND($C1653="Adjustment",$G1653=""),"Missing: reason",IF(AND($G1653&lt;&gt;"",COUNTIF(Config!$B$15:$B$34,$G1653)=0),"Unsupported reason",IF(OR(INT($E1653)&lt;&gt;$E1653,AND(OR($C1653="Receipt",$C1653="Shipment"),$E1653&lt;=0),AND($C1653="Adjustment",$E1653=0)),"Invalid qty",IF($B1653&gt;Config!$B$4,"Date after the as-of date",IF($B1653&lt;Config!$B$5,"Date before the opening balance date","OK")))))))))))))))))</f>
        <v/>
      </c>
    </row>
    <row r="1654">
      <c r="A1654" s="46" t="n"/>
      <c r="B1654" s="54" t="n"/>
      <c r="C1654" s="46" t="n"/>
      <c r="D1654" s="46" t="n"/>
      <c r="E1654" s="55" t="n"/>
      <c r="F1654" s="46" t="n"/>
      <c r="G1654" s="46" t="n"/>
      <c r="H1654" s="46" t="n"/>
      <c r="I1654" s="46" t="n"/>
      <c r="J1654" s="46" t="n"/>
      <c r="K1654" s="46" t="n"/>
      <c r="L1654" s="46" t="n"/>
      <c r="M1654" s="51" t="str">
        <f>IF(NOT(ISNUMBER($E1654)),"",IF($C1654="Receipt",$E1654,IF($C1654="Shipment",-$E1654,IF($C1654="Adjustment",$E1654,0))))</f>
        <v/>
      </c>
      <c r="N1654" s="49" t="str">
        <f>IF($D1654="","",IFERROR(INDEX(Products!$B$2:$B$101,MATCH($D1654,Products!$A$2:$A$101,0))&amp;"","(not found)"))</f>
        <v/>
      </c>
      <c r="O1654" s="49" t="str">
        <f>IF($F1654="","",IFERROR(INDEX(Batches!$B$2:$B$301,MATCH($F1654,Batches!$A$2:$A$301,0))&amp;"","(not found)"))</f>
        <v/>
      </c>
      <c r="P1654" s="49" t="str">
        <f>IF(COUNTA($A1654:$L1654)=0,"",IF($A1654="","Missing: entry ID",IF(COUNTIF($A$2:$A$2001,$A1654)&gt;1,"Duplicate entry ID",IF(NOT(ISNUMBER($B1654)),"Missing or invalid: date",IF($C1654="","Missing: type",IF($D1654="","Missing: SKU",IF(NOT(ISNUMBER($E1654)),"Missing: qty",IF($F1654="","Missing: lot",IF($I1654="","Missing: source link",IF(COUNTIF(Config!$A$15:$A$34,$C1654)=0,"Unsupported type",IF(COUNTIF(Products!$A$2:$A$101,$D1654)=0,"Unknown SKU",IF(COUNTIFS(Batches!$A$2:$A$301,$F1654,Batches!$B$2:$B$301,$D1654)=0,"Unknown lot for this SKU",IF(AND($C1654="Adjustment",$G1654=""),"Missing: reason",IF(AND($G1654&lt;&gt;"",COUNTIF(Config!$B$15:$B$34,$G1654)=0),"Unsupported reason",IF(OR(INT($E1654)&lt;&gt;$E1654,AND(OR($C1654="Receipt",$C1654="Shipment"),$E1654&lt;=0),AND($C1654="Adjustment",$E1654=0)),"Invalid qty",IF($B1654&gt;Config!$B$4,"Date after the as-of date",IF($B1654&lt;Config!$B$5,"Date before the opening balance date","OK")))))))))))))))))</f>
        <v/>
      </c>
    </row>
    <row r="1655">
      <c r="A1655" s="46" t="n"/>
      <c r="B1655" s="54" t="n"/>
      <c r="C1655" s="46" t="n"/>
      <c r="D1655" s="46" t="n"/>
      <c r="E1655" s="55" t="n"/>
      <c r="F1655" s="46" t="n"/>
      <c r="G1655" s="46" t="n"/>
      <c r="H1655" s="46" t="n"/>
      <c r="I1655" s="46" t="n"/>
      <c r="J1655" s="46" t="n"/>
      <c r="K1655" s="46" t="n"/>
      <c r="L1655" s="46" t="n"/>
      <c r="M1655" s="51" t="str">
        <f>IF(NOT(ISNUMBER($E1655)),"",IF($C1655="Receipt",$E1655,IF($C1655="Shipment",-$E1655,IF($C1655="Adjustment",$E1655,0))))</f>
        <v/>
      </c>
      <c r="N1655" s="49" t="str">
        <f>IF($D1655="","",IFERROR(INDEX(Products!$B$2:$B$101,MATCH($D1655,Products!$A$2:$A$101,0))&amp;"","(not found)"))</f>
        <v/>
      </c>
      <c r="O1655" s="49" t="str">
        <f>IF($F1655="","",IFERROR(INDEX(Batches!$B$2:$B$301,MATCH($F1655,Batches!$A$2:$A$301,0))&amp;"","(not found)"))</f>
        <v/>
      </c>
      <c r="P1655" s="49" t="str">
        <f>IF(COUNTA($A1655:$L1655)=0,"",IF($A1655="","Missing: entry ID",IF(COUNTIF($A$2:$A$2001,$A1655)&gt;1,"Duplicate entry ID",IF(NOT(ISNUMBER($B1655)),"Missing or invalid: date",IF($C1655="","Missing: type",IF($D1655="","Missing: SKU",IF(NOT(ISNUMBER($E1655)),"Missing: qty",IF($F1655="","Missing: lot",IF($I1655="","Missing: source link",IF(COUNTIF(Config!$A$15:$A$34,$C1655)=0,"Unsupported type",IF(COUNTIF(Products!$A$2:$A$101,$D1655)=0,"Unknown SKU",IF(COUNTIFS(Batches!$A$2:$A$301,$F1655,Batches!$B$2:$B$301,$D1655)=0,"Unknown lot for this SKU",IF(AND($C1655="Adjustment",$G1655=""),"Missing: reason",IF(AND($G1655&lt;&gt;"",COUNTIF(Config!$B$15:$B$34,$G1655)=0),"Unsupported reason",IF(OR(INT($E1655)&lt;&gt;$E1655,AND(OR($C1655="Receipt",$C1655="Shipment"),$E1655&lt;=0),AND($C1655="Adjustment",$E1655=0)),"Invalid qty",IF($B1655&gt;Config!$B$4,"Date after the as-of date",IF($B1655&lt;Config!$B$5,"Date before the opening balance date","OK")))))))))))))))))</f>
        <v/>
      </c>
    </row>
    <row r="1656">
      <c r="A1656" s="46" t="n"/>
      <c r="B1656" s="54" t="n"/>
      <c r="C1656" s="46" t="n"/>
      <c r="D1656" s="46" t="n"/>
      <c r="E1656" s="55" t="n"/>
      <c r="F1656" s="46" t="n"/>
      <c r="G1656" s="46" t="n"/>
      <c r="H1656" s="46" t="n"/>
      <c r="I1656" s="46" t="n"/>
      <c r="J1656" s="46" t="n"/>
      <c r="K1656" s="46" t="n"/>
      <c r="L1656" s="46" t="n"/>
      <c r="M1656" s="51" t="str">
        <f>IF(NOT(ISNUMBER($E1656)),"",IF($C1656="Receipt",$E1656,IF($C1656="Shipment",-$E1656,IF($C1656="Adjustment",$E1656,0))))</f>
        <v/>
      </c>
      <c r="N1656" s="49" t="str">
        <f>IF($D1656="","",IFERROR(INDEX(Products!$B$2:$B$101,MATCH($D1656,Products!$A$2:$A$101,0))&amp;"","(not found)"))</f>
        <v/>
      </c>
      <c r="O1656" s="49" t="str">
        <f>IF($F1656="","",IFERROR(INDEX(Batches!$B$2:$B$301,MATCH($F1656,Batches!$A$2:$A$301,0))&amp;"","(not found)"))</f>
        <v/>
      </c>
      <c r="P1656" s="49" t="str">
        <f>IF(COUNTA($A1656:$L1656)=0,"",IF($A1656="","Missing: entry ID",IF(COUNTIF($A$2:$A$2001,$A1656)&gt;1,"Duplicate entry ID",IF(NOT(ISNUMBER($B1656)),"Missing or invalid: date",IF($C1656="","Missing: type",IF($D1656="","Missing: SKU",IF(NOT(ISNUMBER($E1656)),"Missing: qty",IF($F1656="","Missing: lot",IF($I1656="","Missing: source link",IF(COUNTIF(Config!$A$15:$A$34,$C1656)=0,"Unsupported type",IF(COUNTIF(Products!$A$2:$A$101,$D1656)=0,"Unknown SKU",IF(COUNTIFS(Batches!$A$2:$A$301,$F1656,Batches!$B$2:$B$301,$D1656)=0,"Unknown lot for this SKU",IF(AND($C1656="Adjustment",$G1656=""),"Missing: reason",IF(AND($G1656&lt;&gt;"",COUNTIF(Config!$B$15:$B$34,$G1656)=0),"Unsupported reason",IF(OR(INT($E1656)&lt;&gt;$E1656,AND(OR($C1656="Receipt",$C1656="Shipment"),$E1656&lt;=0),AND($C1656="Adjustment",$E1656=0)),"Invalid qty",IF($B1656&gt;Config!$B$4,"Date after the as-of date",IF($B1656&lt;Config!$B$5,"Date before the opening balance date","OK")))))))))))))))))</f>
        <v/>
      </c>
    </row>
    <row r="1657">
      <c r="A1657" s="46" t="n"/>
      <c r="B1657" s="54" t="n"/>
      <c r="C1657" s="46" t="n"/>
      <c r="D1657" s="46" t="n"/>
      <c r="E1657" s="55" t="n"/>
      <c r="F1657" s="46" t="n"/>
      <c r="G1657" s="46" t="n"/>
      <c r="H1657" s="46" t="n"/>
      <c r="I1657" s="46" t="n"/>
      <c r="J1657" s="46" t="n"/>
      <c r="K1657" s="46" t="n"/>
      <c r="L1657" s="46" t="n"/>
      <c r="M1657" s="51" t="str">
        <f>IF(NOT(ISNUMBER($E1657)),"",IF($C1657="Receipt",$E1657,IF($C1657="Shipment",-$E1657,IF($C1657="Adjustment",$E1657,0))))</f>
        <v/>
      </c>
      <c r="N1657" s="49" t="str">
        <f>IF($D1657="","",IFERROR(INDEX(Products!$B$2:$B$101,MATCH($D1657,Products!$A$2:$A$101,0))&amp;"","(not found)"))</f>
        <v/>
      </c>
      <c r="O1657" s="49" t="str">
        <f>IF($F1657="","",IFERROR(INDEX(Batches!$B$2:$B$301,MATCH($F1657,Batches!$A$2:$A$301,0))&amp;"","(not found)"))</f>
        <v/>
      </c>
      <c r="P1657" s="49" t="str">
        <f>IF(COUNTA($A1657:$L1657)=0,"",IF($A1657="","Missing: entry ID",IF(COUNTIF($A$2:$A$2001,$A1657)&gt;1,"Duplicate entry ID",IF(NOT(ISNUMBER($B1657)),"Missing or invalid: date",IF($C1657="","Missing: type",IF($D1657="","Missing: SKU",IF(NOT(ISNUMBER($E1657)),"Missing: qty",IF($F1657="","Missing: lot",IF($I1657="","Missing: source link",IF(COUNTIF(Config!$A$15:$A$34,$C1657)=0,"Unsupported type",IF(COUNTIF(Products!$A$2:$A$101,$D1657)=0,"Unknown SKU",IF(COUNTIFS(Batches!$A$2:$A$301,$F1657,Batches!$B$2:$B$301,$D1657)=0,"Unknown lot for this SKU",IF(AND($C1657="Adjustment",$G1657=""),"Missing: reason",IF(AND($G1657&lt;&gt;"",COUNTIF(Config!$B$15:$B$34,$G1657)=0),"Unsupported reason",IF(OR(INT($E1657)&lt;&gt;$E1657,AND(OR($C1657="Receipt",$C1657="Shipment"),$E1657&lt;=0),AND($C1657="Adjustment",$E1657=0)),"Invalid qty",IF($B1657&gt;Config!$B$4,"Date after the as-of date",IF($B1657&lt;Config!$B$5,"Date before the opening balance date","OK")))))))))))))))))</f>
        <v/>
      </c>
    </row>
    <row r="1658">
      <c r="A1658" s="46" t="n"/>
      <c r="B1658" s="54" t="n"/>
      <c r="C1658" s="46" t="n"/>
      <c r="D1658" s="46" t="n"/>
      <c r="E1658" s="55" t="n"/>
      <c r="F1658" s="46" t="n"/>
      <c r="G1658" s="46" t="n"/>
      <c r="H1658" s="46" t="n"/>
      <c r="I1658" s="46" t="n"/>
      <c r="J1658" s="46" t="n"/>
      <c r="K1658" s="46" t="n"/>
      <c r="L1658" s="46" t="n"/>
      <c r="M1658" s="51" t="str">
        <f>IF(NOT(ISNUMBER($E1658)),"",IF($C1658="Receipt",$E1658,IF($C1658="Shipment",-$E1658,IF($C1658="Adjustment",$E1658,0))))</f>
        <v/>
      </c>
      <c r="N1658" s="49" t="str">
        <f>IF($D1658="","",IFERROR(INDEX(Products!$B$2:$B$101,MATCH($D1658,Products!$A$2:$A$101,0))&amp;"","(not found)"))</f>
        <v/>
      </c>
      <c r="O1658" s="49" t="str">
        <f>IF($F1658="","",IFERROR(INDEX(Batches!$B$2:$B$301,MATCH($F1658,Batches!$A$2:$A$301,0))&amp;"","(not found)"))</f>
        <v/>
      </c>
      <c r="P1658" s="49" t="str">
        <f>IF(COUNTA($A1658:$L1658)=0,"",IF($A1658="","Missing: entry ID",IF(COUNTIF($A$2:$A$2001,$A1658)&gt;1,"Duplicate entry ID",IF(NOT(ISNUMBER($B1658)),"Missing or invalid: date",IF($C1658="","Missing: type",IF($D1658="","Missing: SKU",IF(NOT(ISNUMBER($E1658)),"Missing: qty",IF($F1658="","Missing: lot",IF($I1658="","Missing: source link",IF(COUNTIF(Config!$A$15:$A$34,$C1658)=0,"Unsupported type",IF(COUNTIF(Products!$A$2:$A$101,$D1658)=0,"Unknown SKU",IF(COUNTIFS(Batches!$A$2:$A$301,$F1658,Batches!$B$2:$B$301,$D1658)=0,"Unknown lot for this SKU",IF(AND($C1658="Adjustment",$G1658=""),"Missing: reason",IF(AND($G1658&lt;&gt;"",COUNTIF(Config!$B$15:$B$34,$G1658)=0),"Unsupported reason",IF(OR(INT($E1658)&lt;&gt;$E1658,AND(OR($C1658="Receipt",$C1658="Shipment"),$E1658&lt;=0),AND($C1658="Adjustment",$E1658=0)),"Invalid qty",IF($B1658&gt;Config!$B$4,"Date after the as-of date",IF($B1658&lt;Config!$B$5,"Date before the opening balance date","OK")))))))))))))))))</f>
        <v/>
      </c>
    </row>
    <row r="1659">
      <c r="A1659" s="46" t="n"/>
      <c r="B1659" s="54" t="n"/>
      <c r="C1659" s="46" t="n"/>
      <c r="D1659" s="46" t="n"/>
      <c r="E1659" s="55" t="n"/>
      <c r="F1659" s="46" t="n"/>
      <c r="G1659" s="46" t="n"/>
      <c r="H1659" s="46" t="n"/>
      <c r="I1659" s="46" t="n"/>
      <c r="J1659" s="46" t="n"/>
      <c r="K1659" s="46" t="n"/>
      <c r="L1659" s="46" t="n"/>
      <c r="M1659" s="51" t="str">
        <f>IF(NOT(ISNUMBER($E1659)),"",IF($C1659="Receipt",$E1659,IF($C1659="Shipment",-$E1659,IF($C1659="Adjustment",$E1659,0))))</f>
        <v/>
      </c>
      <c r="N1659" s="49" t="str">
        <f>IF($D1659="","",IFERROR(INDEX(Products!$B$2:$B$101,MATCH($D1659,Products!$A$2:$A$101,0))&amp;"","(not found)"))</f>
        <v/>
      </c>
      <c r="O1659" s="49" t="str">
        <f>IF($F1659="","",IFERROR(INDEX(Batches!$B$2:$B$301,MATCH($F1659,Batches!$A$2:$A$301,0))&amp;"","(not found)"))</f>
        <v/>
      </c>
      <c r="P1659" s="49" t="str">
        <f>IF(COUNTA($A1659:$L1659)=0,"",IF($A1659="","Missing: entry ID",IF(COUNTIF($A$2:$A$2001,$A1659)&gt;1,"Duplicate entry ID",IF(NOT(ISNUMBER($B1659)),"Missing or invalid: date",IF($C1659="","Missing: type",IF($D1659="","Missing: SKU",IF(NOT(ISNUMBER($E1659)),"Missing: qty",IF($F1659="","Missing: lot",IF($I1659="","Missing: source link",IF(COUNTIF(Config!$A$15:$A$34,$C1659)=0,"Unsupported type",IF(COUNTIF(Products!$A$2:$A$101,$D1659)=0,"Unknown SKU",IF(COUNTIFS(Batches!$A$2:$A$301,$F1659,Batches!$B$2:$B$301,$D1659)=0,"Unknown lot for this SKU",IF(AND($C1659="Adjustment",$G1659=""),"Missing: reason",IF(AND($G1659&lt;&gt;"",COUNTIF(Config!$B$15:$B$34,$G1659)=0),"Unsupported reason",IF(OR(INT($E1659)&lt;&gt;$E1659,AND(OR($C1659="Receipt",$C1659="Shipment"),$E1659&lt;=0),AND($C1659="Adjustment",$E1659=0)),"Invalid qty",IF($B1659&gt;Config!$B$4,"Date after the as-of date",IF($B1659&lt;Config!$B$5,"Date before the opening balance date","OK")))))))))))))))))</f>
        <v/>
      </c>
    </row>
    <row r="1660">
      <c r="A1660" s="46" t="n"/>
      <c r="B1660" s="54" t="n"/>
      <c r="C1660" s="46" t="n"/>
      <c r="D1660" s="46" t="n"/>
      <c r="E1660" s="55" t="n"/>
      <c r="F1660" s="46" t="n"/>
      <c r="G1660" s="46" t="n"/>
      <c r="H1660" s="46" t="n"/>
      <c r="I1660" s="46" t="n"/>
      <c r="J1660" s="46" t="n"/>
      <c r="K1660" s="46" t="n"/>
      <c r="L1660" s="46" t="n"/>
      <c r="M1660" s="51" t="str">
        <f>IF(NOT(ISNUMBER($E1660)),"",IF($C1660="Receipt",$E1660,IF($C1660="Shipment",-$E1660,IF($C1660="Adjustment",$E1660,0))))</f>
        <v/>
      </c>
      <c r="N1660" s="49" t="str">
        <f>IF($D1660="","",IFERROR(INDEX(Products!$B$2:$B$101,MATCH($D1660,Products!$A$2:$A$101,0))&amp;"","(not found)"))</f>
        <v/>
      </c>
      <c r="O1660" s="49" t="str">
        <f>IF($F1660="","",IFERROR(INDEX(Batches!$B$2:$B$301,MATCH($F1660,Batches!$A$2:$A$301,0))&amp;"","(not found)"))</f>
        <v/>
      </c>
      <c r="P1660" s="49" t="str">
        <f>IF(COUNTA($A1660:$L1660)=0,"",IF($A1660="","Missing: entry ID",IF(COUNTIF($A$2:$A$2001,$A1660)&gt;1,"Duplicate entry ID",IF(NOT(ISNUMBER($B1660)),"Missing or invalid: date",IF($C1660="","Missing: type",IF($D1660="","Missing: SKU",IF(NOT(ISNUMBER($E1660)),"Missing: qty",IF($F1660="","Missing: lot",IF($I1660="","Missing: source link",IF(COUNTIF(Config!$A$15:$A$34,$C1660)=0,"Unsupported type",IF(COUNTIF(Products!$A$2:$A$101,$D1660)=0,"Unknown SKU",IF(COUNTIFS(Batches!$A$2:$A$301,$F1660,Batches!$B$2:$B$301,$D1660)=0,"Unknown lot for this SKU",IF(AND($C1660="Adjustment",$G1660=""),"Missing: reason",IF(AND($G1660&lt;&gt;"",COUNTIF(Config!$B$15:$B$34,$G1660)=0),"Unsupported reason",IF(OR(INT($E1660)&lt;&gt;$E1660,AND(OR($C1660="Receipt",$C1660="Shipment"),$E1660&lt;=0),AND($C1660="Adjustment",$E1660=0)),"Invalid qty",IF($B1660&gt;Config!$B$4,"Date after the as-of date",IF($B1660&lt;Config!$B$5,"Date before the opening balance date","OK")))))))))))))))))</f>
        <v/>
      </c>
    </row>
    <row r="1661">
      <c r="A1661" s="46" t="n"/>
      <c r="B1661" s="54" t="n"/>
      <c r="C1661" s="46" t="n"/>
      <c r="D1661" s="46" t="n"/>
      <c r="E1661" s="55" t="n"/>
      <c r="F1661" s="46" t="n"/>
      <c r="G1661" s="46" t="n"/>
      <c r="H1661" s="46" t="n"/>
      <c r="I1661" s="46" t="n"/>
      <c r="J1661" s="46" t="n"/>
      <c r="K1661" s="46" t="n"/>
      <c r="L1661" s="46" t="n"/>
      <c r="M1661" s="51" t="str">
        <f>IF(NOT(ISNUMBER($E1661)),"",IF($C1661="Receipt",$E1661,IF($C1661="Shipment",-$E1661,IF($C1661="Adjustment",$E1661,0))))</f>
        <v/>
      </c>
      <c r="N1661" s="49" t="str">
        <f>IF($D1661="","",IFERROR(INDEX(Products!$B$2:$B$101,MATCH($D1661,Products!$A$2:$A$101,0))&amp;"","(not found)"))</f>
        <v/>
      </c>
      <c r="O1661" s="49" t="str">
        <f>IF($F1661="","",IFERROR(INDEX(Batches!$B$2:$B$301,MATCH($F1661,Batches!$A$2:$A$301,0))&amp;"","(not found)"))</f>
        <v/>
      </c>
      <c r="P1661" s="49" t="str">
        <f>IF(COUNTA($A1661:$L1661)=0,"",IF($A1661="","Missing: entry ID",IF(COUNTIF($A$2:$A$2001,$A1661)&gt;1,"Duplicate entry ID",IF(NOT(ISNUMBER($B1661)),"Missing or invalid: date",IF($C1661="","Missing: type",IF($D1661="","Missing: SKU",IF(NOT(ISNUMBER($E1661)),"Missing: qty",IF($F1661="","Missing: lot",IF($I1661="","Missing: source link",IF(COUNTIF(Config!$A$15:$A$34,$C1661)=0,"Unsupported type",IF(COUNTIF(Products!$A$2:$A$101,$D1661)=0,"Unknown SKU",IF(COUNTIFS(Batches!$A$2:$A$301,$F1661,Batches!$B$2:$B$301,$D1661)=0,"Unknown lot for this SKU",IF(AND($C1661="Adjustment",$G1661=""),"Missing: reason",IF(AND($G1661&lt;&gt;"",COUNTIF(Config!$B$15:$B$34,$G1661)=0),"Unsupported reason",IF(OR(INT($E1661)&lt;&gt;$E1661,AND(OR($C1661="Receipt",$C1661="Shipment"),$E1661&lt;=0),AND($C1661="Adjustment",$E1661=0)),"Invalid qty",IF($B1661&gt;Config!$B$4,"Date after the as-of date",IF($B1661&lt;Config!$B$5,"Date before the opening balance date","OK")))))))))))))))))</f>
        <v/>
      </c>
    </row>
    <row r="1662">
      <c r="A1662" s="46" t="n"/>
      <c r="B1662" s="54" t="n"/>
      <c r="C1662" s="46" t="n"/>
      <c r="D1662" s="46" t="n"/>
      <c r="E1662" s="55" t="n"/>
      <c r="F1662" s="46" t="n"/>
      <c r="G1662" s="46" t="n"/>
      <c r="H1662" s="46" t="n"/>
      <c r="I1662" s="46" t="n"/>
      <c r="J1662" s="46" t="n"/>
      <c r="K1662" s="46" t="n"/>
      <c r="L1662" s="46" t="n"/>
      <c r="M1662" s="51" t="str">
        <f>IF(NOT(ISNUMBER($E1662)),"",IF($C1662="Receipt",$E1662,IF($C1662="Shipment",-$E1662,IF($C1662="Adjustment",$E1662,0))))</f>
        <v/>
      </c>
      <c r="N1662" s="49" t="str">
        <f>IF($D1662="","",IFERROR(INDEX(Products!$B$2:$B$101,MATCH($D1662,Products!$A$2:$A$101,0))&amp;"","(not found)"))</f>
        <v/>
      </c>
      <c r="O1662" s="49" t="str">
        <f>IF($F1662="","",IFERROR(INDEX(Batches!$B$2:$B$301,MATCH($F1662,Batches!$A$2:$A$301,0))&amp;"","(not found)"))</f>
        <v/>
      </c>
      <c r="P1662" s="49" t="str">
        <f>IF(COUNTA($A1662:$L1662)=0,"",IF($A1662="","Missing: entry ID",IF(COUNTIF($A$2:$A$2001,$A1662)&gt;1,"Duplicate entry ID",IF(NOT(ISNUMBER($B1662)),"Missing or invalid: date",IF($C1662="","Missing: type",IF($D1662="","Missing: SKU",IF(NOT(ISNUMBER($E1662)),"Missing: qty",IF($F1662="","Missing: lot",IF($I1662="","Missing: source link",IF(COUNTIF(Config!$A$15:$A$34,$C1662)=0,"Unsupported type",IF(COUNTIF(Products!$A$2:$A$101,$D1662)=0,"Unknown SKU",IF(COUNTIFS(Batches!$A$2:$A$301,$F1662,Batches!$B$2:$B$301,$D1662)=0,"Unknown lot for this SKU",IF(AND($C1662="Adjustment",$G1662=""),"Missing: reason",IF(AND($G1662&lt;&gt;"",COUNTIF(Config!$B$15:$B$34,$G1662)=0),"Unsupported reason",IF(OR(INT($E1662)&lt;&gt;$E1662,AND(OR($C1662="Receipt",$C1662="Shipment"),$E1662&lt;=0),AND($C1662="Adjustment",$E1662=0)),"Invalid qty",IF($B1662&gt;Config!$B$4,"Date after the as-of date",IF($B1662&lt;Config!$B$5,"Date before the opening balance date","OK")))))))))))))))))</f>
        <v/>
      </c>
    </row>
    <row r="1663">
      <c r="A1663" s="46" t="n"/>
      <c r="B1663" s="54" t="n"/>
      <c r="C1663" s="46" t="n"/>
      <c r="D1663" s="46" t="n"/>
      <c r="E1663" s="55" t="n"/>
      <c r="F1663" s="46" t="n"/>
      <c r="G1663" s="46" t="n"/>
      <c r="H1663" s="46" t="n"/>
      <c r="I1663" s="46" t="n"/>
      <c r="J1663" s="46" t="n"/>
      <c r="K1663" s="46" t="n"/>
      <c r="L1663" s="46" t="n"/>
      <c r="M1663" s="51" t="str">
        <f>IF(NOT(ISNUMBER($E1663)),"",IF($C1663="Receipt",$E1663,IF($C1663="Shipment",-$E1663,IF($C1663="Adjustment",$E1663,0))))</f>
        <v/>
      </c>
      <c r="N1663" s="49" t="str">
        <f>IF($D1663="","",IFERROR(INDEX(Products!$B$2:$B$101,MATCH($D1663,Products!$A$2:$A$101,0))&amp;"","(not found)"))</f>
        <v/>
      </c>
      <c r="O1663" s="49" t="str">
        <f>IF($F1663="","",IFERROR(INDEX(Batches!$B$2:$B$301,MATCH($F1663,Batches!$A$2:$A$301,0))&amp;"","(not found)"))</f>
        <v/>
      </c>
      <c r="P1663" s="49" t="str">
        <f>IF(COUNTA($A1663:$L1663)=0,"",IF($A1663="","Missing: entry ID",IF(COUNTIF($A$2:$A$2001,$A1663)&gt;1,"Duplicate entry ID",IF(NOT(ISNUMBER($B1663)),"Missing or invalid: date",IF($C1663="","Missing: type",IF($D1663="","Missing: SKU",IF(NOT(ISNUMBER($E1663)),"Missing: qty",IF($F1663="","Missing: lot",IF($I1663="","Missing: source link",IF(COUNTIF(Config!$A$15:$A$34,$C1663)=0,"Unsupported type",IF(COUNTIF(Products!$A$2:$A$101,$D1663)=0,"Unknown SKU",IF(COUNTIFS(Batches!$A$2:$A$301,$F1663,Batches!$B$2:$B$301,$D1663)=0,"Unknown lot for this SKU",IF(AND($C1663="Adjustment",$G1663=""),"Missing: reason",IF(AND($G1663&lt;&gt;"",COUNTIF(Config!$B$15:$B$34,$G1663)=0),"Unsupported reason",IF(OR(INT($E1663)&lt;&gt;$E1663,AND(OR($C1663="Receipt",$C1663="Shipment"),$E1663&lt;=0),AND($C1663="Adjustment",$E1663=0)),"Invalid qty",IF($B1663&gt;Config!$B$4,"Date after the as-of date",IF($B1663&lt;Config!$B$5,"Date before the opening balance date","OK")))))))))))))))))</f>
        <v/>
      </c>
    </row>
    <row r="1664">
      <c r="A1664" s="46" t="n"/>
      <c r="B1664" s="54" t="n"/>
      <c r="C1664" s="46" t="n"/>
      <c r="D1664" s="46" t="n"/>
      <c r="E1664" s="55" t="n"/>
      <c r="F1664" s="46" t="n"/>
      <c r="G1664" s="46" t="n"/>
      <c r="H1664" s="46" t="n"/>
      <c r="I1664" s="46" t="n"/>
      <c r="J1664" s="46" t="n"/>
      <c r="K1664" s="46" t="n"/>
      <c r="L1664" s="46" t="n"/>
      <c r="M1664" s="51" t="str">
        <f>IF(NOT(ISNUMBER($E1664)),"",IF($C1664="Receipt",$E1664,IF($C1664="Shipment",-$E1664,IF($C1664="Adjustment",$E1664,0))))</f>
        <v/>
      </c>
      <c r="N1664" s="49" t="str">
        <f>IF($D1664="","",IFERROR(INDEX(Products!$B$2:$B$101,MATCH($D1664,Products!$A$2:$A$101,0))&amp;"","(not found)"))</f>
        <v/>
      </c>
      <c r="O1664" s="49" t="str">
        <f>IF($F1664="","",IFERROR(INDEX(Batches!$B$2:$B$301,MATCH($F1664,Batches!$A$2:$A$301,0))&amp;"","(not found)"))</f>
        <v/>
      </c>
      <c r="P1664" s="49" t="str">
        <f>IF(COUNTA($A1664:$L1664)=0,"",IF($A1664="","Missing: entry ID",IF(COUNTIF($A$2:$A$2001,$A1664)&gt;1,"Duplicate entry ID",IF(NOT(ISNUMBER($B1664)),"Missing or invalid: date",IF($C1664="","Missing: type",IF($D1664="","Missing: SKU",IF(NOT(ISNUMBER($E1664)),"Missing: qty",IF($F1664="","Missing: lot",IF($I1664="","Missing: source link",IF(COUNTIF(Config!$A$15:$A$34,$C1664)=0,"Unsupported type",IF(COUNTIF(Products!$A$2:$A$101,$D1664)=0,"Unknown SKU",IF(COUNTIFS(Batches!$A$2:$A$301,$F1664,Batches!$B$2:$B$301,$D1664)=0,"Unknown lot for this SKU",IF(AND($C1664="Adjustment",$G1664=""),"Missing: reason",IF(AND($G1664&lt;&gt;"",COUNTIF(Config!$B$15:$B$34,$G1664)=0),"Unsupported reason",IF(OR(INT($E1664)&lt;&gt;$E1664,AND(OR($C1664="Receipt",$C1664="Shipment"),$E1664&lt;=0),AND($C1664="Adjustment",$E1664=0)),"Invalid qty",IF($B1664&gt;Config!$B$4,"Date after the as-of date",IF($B1664&lt;Config!$B$5,"Date before the opening balance date","OK")))))))))))))))))</f>
        <v/>
      </c>
    </row>
    <row r="1665">
      <c r="A1665" s="46" t="n"/>
      <c r="B1665" s="54" t="n"/>
      <c r="C1665" s="46" t="n"/>
      <c r="D1665" s="46" t="n"/>
      <c r="E1665" s="55" t="n"/>
      <c r="F1665" s="46" t="n"/>
      <c r="G1665" s="46" t="n"/>
      <c r="H1665" s="46" t="n"/>
      <c r="I1665" s="46" t="n"/>
      <c r="J1665" s="46" t="n"/>
      <c r="K1665" s="46" t="n"/>
      <c r="L1665" s="46" t="n"/>
      <c r="M1665" s="51" t="str">
        <f>IF(NOT(ISNUMBER($E1665)),"",IF($C1665="Receipt",$E1665,IF($C1665="Shipment",-$E1665,IF($C1665="Adjustment",$E1665,0))))</f>
        <v/>
      </c>
      <c r="N1665" s="49" t="str">
        <f>IF($D1665="","",IFERROR(INDEX(Products!$B$2:$B$101,MATCH($D1665,Products!$A$2:$A$101,0))&amp;"","(not found)"))</f>
        <v/>
      </c>
      <c r="O1665" s="49" t="str">
        <f>IF($F1665="","",IFERROR(INDEX(Batches!$B$2:$B$301,MATCH($F1665,Batches!$A$2:$A$301,0))&amp;"","(not found)"))</f>
        <v/>
      </c>
      <c r="P1665" s="49" t="str">
        <f>IF(COUNTA($A1665:$L1665)=0,"",IF($A1665="","Missing: entry ID",IF(COUNTIF($A$2:$A$2001,$A1665)&gt;1,"Duplicate entry ID",IF(NOT(ISNUMBER($B1665)),"Missing or invalid: date",IF($C1665="","Missing: type",IF($D1665="","Missing: SKU",IF(NOT(ISNUMBER($E1665)),"Missing: qty",IF($F1665="","Missing: lot",IF($I1665="","Missing: source link",IF(COUNTIF(Config!$A$15:$A$34,$C1665)=0,"Unsupported type",IF(COUNTIF(Products!$A$2:$A$101,$D1665)=0,"Unknown SKU",IF(COUNTIFS(Batches!$A$2:$A$301,$F1665,Batches!$B$2:$B$301,$D1665)=0,"Unknown lot for this SKU",IF(AND($C1665="Adjustment",$G1665=""),"Missing: reason",IF(AND($G1665&lt;&gt;"",COUNTIF(Config!$B$15:$B$34,$G1665)=0),"Unsupported reason",IF(OR(INT($E1665)&lt;&gt;$E1665,AND(OR($C1665="Receipt",$C1665="Shipment"),$E1665&lt;=0),AND($C1665="Adjustment",$E1665=0)),"Invalid qty",IF($B1665&gt;Config!$B$4,"Date after the as-of date",IF($B1665&lt;Config!$B$5,"Date before the opening balance date","OK")))))))))))))))))</f>
        <v/>
      </c>
    </row>
    <row r="1666">
      <c r="A1666" s="46" t="n"/>
      <c r="B1666" s="54" t="n"/>
      <c r="C1666" s="46" t="n"/>
      <c r="D1666" s="46" t="n"/>
      <c r="E1666" s="55" t="n"/>
      <c r="F1666" s="46" t="n"/>
      <c r="G1666" s="46" t="n"/>
      <c r="H1666" s="46" t="n"/>
      <c r="I1666" s="46" t="n"/>
      <c r="J1666" s="46" t="n"/>
      <c r="K1666" s="46" t="n"/>
      <c r="L1666" s="46" t="n"/>
      <c r="M1666" s="51" t="str">
        <f>IF(NOT(ISNUMBER($E1666)),"",IF($C1666="Receipt",$E1666,IF($C1666="Shipment",-$E1666,IF($C1666="Adjustment",$E1666,0))))</f>
        <v/>
      </c>
      <c r="N1666" s="49" t="str">
        <f>IF($D1666="","",IFERROR(INDEX(Products!$B$2:$B$101,MATCH($D1666,Products!$A$2:$A$101,0))&amp;"","(not found)"))</f>
        <v/>
      </c>
      <c r="O1666" s="49" t="str">
        <f>IF($F1666="","",IFERROR(INDEX(Batches!$B$2:$B$301,MATCH($F1666,Batches!$A$2:$A$301,0))&amp;"","(not found)"))</f>
        <v/>
      </c>
      <c r="P1666" s="49" t="str">
        <f>IF(COUNTA($A1666:$L1666)=0,"",IF($A1666="","Missing: entry ID",IF(COUNTIF($A$2:$A$2001,$A1666)&gt;1,"Duplicate entry ID",IF(NOT(ISNUMBER($B1666)),"Missing or invalid: date",IF($C1666="","Missing: type",IF($D1666="","Missing: SKU",IF(NOT(ISNUMBER($E1666)),"Missing: qty",IF($F1666="","Missing: lot",IF($I1666="","Missing: source link",IF(COUNTIF(Config!$A$15:$A$34,$C1666)=0,"Unsupported type",IF(COUNTIF(Products!$A$2:$A$101,$D1666)=0,"Unknown SKU",IF(COUNTIFS(Batches!$A$2:$A$301,$F1666,Batches!$B$2:$B$301,$D1666)=0,"Unknown lot for this SKU",IF(AND($C1666="Adjustment",$G1666=""),"Missing: reason",IF(AND($G1666&lt;&gt;"",COUNTIF(Config!$B$15:$B$34,$G1666)=0),"Unsupported reason",IF(OR(INT($E1666)&lt;&gt;$E1666,AND(OR($C1666="Receipt",$C1666="Shipment"),$E1666&lt;=0),AND($C1666="Adjustment",$E1666=0)),"Invalid qty",IF($B1666&gt;Config!$B$4,"Date after the as-of date",IF($B1666&lt;Config!$B$5,"Date before the opening balance date","OK")))))))))))))))))</f>
        <v/>
      </c>
    </row>
    <row r="1667">
      <c r="A1667" s="46" t="n"/>
      <c r="B1667" s="54" t="n"/>
      <c r="C1667" s="46" t="n"/>
      <c r="D1667" s="46" t="n"/>
      <c r="E1667" s="55" t="n"/>
      <c r="F1667" s="46" t="n"/>
      <c r="G1667" s="46" t="n"/>
      <c r="H1667" s="46" t="n"/>
      <c r="I1667" s="46" t="n"/>
      <c r="J1667" s="46" t="n"/>
      <c r="K1667" s="46" t="n"/>
      <c r="L1667" s="46" t="n"/>
      <c r="M1667" s="51" t="str">
        <f>IF(NOT(ISNUMBER($E1667)),"",IF($C1667="Receipt",$E1667,IF($C1667="Shipment",-$E1667,IF($C1667="Adjustment",$E1667,0))))</f>
        <v/>
      </c>
      <c r="N1667" s="49" t="str">
        <f>IF($D1667="","",IFERROR(INDEX(Products!$B$2:$B$101,MATCH($D1667,Products!$A$2:$A$101,0))&amp;"","(not found)"))</f>
        <v/>
      </c>
      <c r="O1667" s="49" t="str">
        <f>IF($F1667="","",IFERROR(INDEX(Batches!$B$2:$B$301,MATCH($F1667,Batches!$A$2:$A$301,0))&amp;"","(not found)"))</f>
        <v/>
      </c>
      <c r="P1667" s="49" t="str">
        <f>IF(COUNTA($A1667:$L1667)=0,"",IF($A1667="","Missing: entry ID",IF(COUNTIF($A$2:$A$2001,$A1667)&gt;1,"Duplicate entry ID",IF(NOT(ISNUMBER($B1667)),"Missing or invalid: date",IF($C1667="","Missing: type",IF($D1667="","Missing: SKU",IF(NOT(ISNUMBER($E1667)),"Missing: qty",IF($F1667="","Missing: lot",IF($I1667="","Missing: source link",IF(COUNTIF(Config!$A$15:$A$34,$C1667)=0,"Unsupported type",IF(COUNTIF(Products!$A$2:$A$101,$D1667)=0,"Unknown SKU",IF(COUNTIFS(Batches!$A$2:$A$301,$F1667,Batches!$B$2:$B$301,$D1667)=0,"Unknown lot for this SKU",IF(AND($C1667="Adjustment",$G1667=""),"Missing: reason",IF(AND($G1667&lt;&gt;"",COUNTIF(Config!$B$15:$B$34,$G1667)=0),"Unsupported reason",IF(OR(INT($E1667)&lt;&gt;$E1667,AND(OR($C1667="Receipt",$C1667="Shipment"),$E1667&lt;=0),AND($C1667="Adjustment",$E1667=0)),"Invalid qty",IF($B1667&gt;Config!$B$4,"Date after the as-of date",IF($B1667&lt;Config!$B$5,"Date before the opening balance date","OK")))))))))))))))))</f>
        <v/>
      </c>
    </row>
    <row r="1668">
      <c r="A1668" s="46" t="n"/>
      <c r="B1668" s="54" t="n"/>
      <c r="C1668" s="46" t="n"/>
      <c r="D1668" s="46" t="n"/>
      <c r="E1668" s="55" t="n"/>
      <c r="F1668" s="46" t="n"/>
      <c r="G1668" s="46" t="n"/>
      <c r="H1668" s="46" t="n"/>
      <c r="I1668" s="46" t="n"/>
      <c r="J1668" s="46" t="n"/>
      <c r="K1668" s="46" t="n"/>
      <c r="L1668" s="46" t="n"/>
      <c r="M1668" s="51" t="str">
        <f>IF(NOT(ISNUMBER($E1668)),"",IF($C1668="Receipt",$E1668,IF($C1668="Shipment",-$E1668,IF($C1668="Adjustment",$E1668,0))))</f>
        <v/>
      </c>
      <c r="N1668" s="49" t="str">
        <f>IF($D1668="","",IFERROR(INDEX(Products!$B$2:$B$101,MATCH($D1668,Products!$A$2:$A$101,0))&amp;"","(not found)"))</f>
        <v/>
      </c>
      <c r="O1668" s="49" t="str">
        <f>IF($F1668="","",IFERROR(INDEX(Batches!$B$2:$B$301,MATCH($F1668,Batches!$A$2:$A$301,0))&amp;"","(not found)"))</f>
        <v/>
      </c>
      <c r="P1668" s="49" t="str">
        <f>IF(COUNTA($A1668:$L1668)=0,"",IF($A1668="","Missing: entry ID",IF(COUNTIF($A$2:$A$2001,$A1668)&gt;1,"Duplicate entry ID",IF(NOT(ISNUMBER($B1668)),"Missing or invalid: date",IF($C1668="","Missing: type",IF($D1668="","Missing: SKU",IF(NOT(ISNUMBER($E1668)),"Missing: qty",IF($F1668="","Missing: lot",IF($I1668="","Missing: source link",IF(COUNTIF(Config!$A$15:$A$34,$C1668)=0,"Unsupported type",IF(COUNTIF(Products!$A$2:$A$101,$D1668)=0,"Unknown SKU",IF(COUNTIFS(Batches!$A$2:$A$301,$F1668,Batches!$B$2:$B$301,$D1668)=0,"Unknown lot for this SKU",IF(AND($C1668="Adjustment",$G1668=""),"Missing: reason",IF(AND($G1668&lt;&gt;"",COUNTIF(Config!$B$15:$B$34,$G1668)=0),"Unsupported reason",IF(OR(INT($E1668)&lt;&gt;$E1668,AND(OR($C1668="Receipt",$C1668="Shipment"),$E1668&lt;=0),AND($C1668="Adjustment",$E1668=0)),"Invalid qty",IF($B1668&gt;Config!$B$4,"Date after the as-of date",IF($B1668&lt;Config!$B$5,"Date before the opening balance date","OK")))))))))))))))))</f>
        <v/>
      </c>
    </row>
    <row r="1669">
      <c r="A1669" s="46" t="n"/>
      <c r="B1669" s="54" t="n"/>
      <c r="C1669" s="46" t="n"/>
      <c r="D1669" s="46" t="n"/>
      <c r="E1669" s="55" t="n"/>
      <c r="F1669" s="46" t="n"/>
      <c r="G1669" s="46" t="n"/>
      <c r="H1669" s="46" t="n"/>
      <c r="I1669" s="46" t="n"/>
      <c r="J1669" s="46" t="n"/>
      <c r="K1669" s="46" t="n"/>
      <c r="L1669" s="46" t="n"/>
      <c r="M1669" s="51" t="str">
        <f>IF(NOT(ISNUMBER($E1669)),"",IF($C1669="Receipt",$E1669,IF($C1669="Shipment",-$E1669,IF($C1669="Adjustment",$E1669,0))))</f>
        <v/>
      </c>
      <c r="N1669" s="49" t="str">
        <f>IF($D1669="","",IFERROR(INDEX(Products!$B$2:$B$101,MATCH($D1669,Products!$A$2:$A$101,0))&amp;"","(not found)"))</f>
        <v/>
      </c>
      <c r="O1669" s="49" t="str">
        <f>IF($F1669="","",IFERROR(INDEX(Batches!$B$2:$B$301,MATCH($F1669,Batches!$A$2:$A$301,0))&amp;"","(not found)"))</f>
        <v/>
      </c>
      <c r="P1669" s="49" t="str">
        <f>IF(COUNTA($A1669:$L1669)=0,"",IF($A1669="","Missing: entry ID",IF(COUNTIF($A$2:$A$2001,$A1669)&gt;1,"Duplicate entry ID",IF(NOT(ISNUMBER($B1669)),"Missing or invalid: date",IF($C1669="","Missing: type",IF($D1669="","Missing: SKU",IF(NOT(ISNUMBER($E1669)),"Missing: qty",IF($F1669="","Missing: lot",IF($I1669="","Missing: source link",IF(COUNTIF(Config!$A$15:$A$34,$C1669)=0,"Unsupported type",IF(COUNTIF(Products!$A$2:$A$101,$D1669)=0,"Unknown SKU",IF(COUNTIFS(Batches!$A$2:$A$301,$F1669,Batches!$B$2:$B$301,$D1669)=0,"Unknown lot for this SKU",IF(AND($C1669="Adjustment",$G1669=""),"Missing: reason",IF(AND($G1669&lt;&gt;"",COUNTIF(Config!$B$15:$B$34,$G1669)=0),"Unsupported reason",IF(OR(INT($E1669)&lt;&gt;$E1669,AND(OR($C1669="Receipt",$C1669="Shipment"),$E1669&lt;=0),AND($C1669="Adjustment",$E1669=0)),"Invalid qty",IF($B1669&gt;Config!$B$4,"Date after the as-of date",IF($B1669&lt;Config!$B$5,"Date before the opening balance date","OK")))))))))))))))))</f>
        <v/>
      </c>
    </row>
    <row r="1670">
      <c r="A1670" s="46" t="n"/>
      <c r="B1670" s="54" t="n"/>
      <c r="C1670" s="46" t="n"/>
      <c r="D1670" s="46" t="n"/>
      <c r="E1670" s="55" t="n"/>
      <c r="F1670" s="46" t="n"/>
      <c r="G1670" s="46" t="n"/>
      <c r="H1670" s="46" t="n"/>
      <c r="I1670" s="46" t="n"/>
      <c r="J1670" s="46" t="n"/>
      <c r="K1670" s="46" t="n"/>
      <c r="L1670" s="46" t="n"/>
      <c r="M1670" s="51" t="str">
        <f>IF(NOT(ISNUMBER($E1670)),"",IF($C1670="Receipt",$E1670,IF($C1670="Shipment",-$E1670,IF($C1670="Adjustment",$E1670,0))))</f>
        <v/>
      </c>
      <c r="N1670" s="49" t="str">
        <f>IF($D1670="","",IFERROR(INDEX(Products!$B$2:$B$101,MATCH($D1670,Products!$A$2:$A$101,0))&amp;"","(not found)"))</f>
        <v/>
      </c>
      <c r="O1670" s="49" t="str">
        <f>IF($F1670="","",IFERROR(INDEX(Batches!$B$2:$B$301,MATCH($F1670,Batches!$A$2:$A$301,0))&amp;"","(not found)"))</f>
        <v/>
      </c>
      <c r="P1670" s="49" t="str">
        <f>IF(COUNTA($A1670:$L1670)=0,"",IF($A1670="","Missing: entry ID",IF(COUNTIF($A$2:$A$2001,$A1670)&gt;1,"Duplicate entry ID",IF(NOT(ISNUMBER($B1670)),"Missing or invalid: date",IF($C1670="","Missing: type",IF($D1670="","Missing: SKU",IF(NOT(ISNUMBER($E1670)),"Missing: qty",IF($F1670="","Missing: lot",IF($I1670="","Missing: source link",IF(COUNTIF(Config!$A$15:$A$34,$C1670)=0,"Unsupported type",IF(COUNTIF(Products!$A$2:$A$101,$D1670)=0,"Unknown SKU",IF(COUNTIFS(Batches!$A$2:$A$301,$F1670,Batches!$B$2:$B$301,$D1670)=0,"Unknown lot for this SKU",IF(AND($C1670="Adjustment",$G1670=""),"Missing: reason",IF(AND($G1670&lt;&gt;"",COUNTIF(Config!$B$15:$B$34,$G1670)=0),"Unsupported reason",IF(OR(INT($E1670)&lt;&gt;$E1670,AND(OR($C1670="Receipt",$C1670="Shipment"),$E1670&lt;=0),AND($C1670="Adjustment",$E1670=0)),"Invalid qty",IF($B1670&gt;Config!$B$4,"Date after the as-of date",IF($B1670&lt;Config!$B$5,"Date before the opening balance date","OK")))))))))))))))))</f>
        <v/>
      </c>
    </row>
    <row r="1671">
      <c r="A1671" s="46" t="n"/>
      <c r="B1671" s="54" t="n"/>
      <c r="C1671" s="46" t="n"/>
      <c r="D1671" s="46" t="n"/>
      <c r="E1671" s="55" t="n"/>
      <c r="F1671" s="46" t="n"/>
      <c r="G1671" s="46" t="n"/>
      <c r="H1671" s="46" t="n"/>
      <c r="I1671" s="46" t="n"/>
      <c r="J1671" s="46" t="n"/>
      <c r="K1671" s="46" t="n"/>
      <c r="L1671" s="46" t="n"/>
      <c r="M1671" s="51" t="str">
        <f>IF(NOT(ISNUMBER($E1671)),"",IF($C1671="Receipt",$E1671,IF($C1671="Shipment",-$E1671,IF($C1671="Adjustment",$E1671,0))))</f>
        <v/>
      </c>
      <c r="N1671" s="49" t="str">
        <f>IF($D1671="","",IFERROR(INDEX(Products!$B$2:$B$101,MATCH($D1671,Products!$A$2:$A$101,0))&amp;"","(not found)"))</f>
        <v/>
      </c>
      <c r="O1671" s="49" t="str">
        <f>IF($F1671="","",IFERROR(INDEX(Batches!$B$2:$B$301,MATCH($F1671,Batches!$A$2:$A$301,0))&amp;"","(not found)"))</f>
        <v/>
      </c>
      <c r="P1671" s="49" t="str">
        <f>IF(COUNTA($A1671:$L1671)=0,"",IF($A1671="","Missing: entry ID",IF(COUNTIF($A$2:$A$2001,$A1671)&gt;1,"Duplicate entry ID",IF(NOT(ISNUMBER($B1671)),"Missing or invalid: date",IF($C1671="","Missing: type",IF($D1671="","Missing: SKU",IF(NOT(ISNUMBER($E1671)),"Missing: qty",IF($F1671="","Missing: lot",IF($I1671="","Missing: source link",IF(COUNTIF(Config!$A$15:$A$34,$C1671)=0,"Unsupported type",IF(COUNTIF(Products!$A$2:$A$101,$D1671)=0,"Unknown SKU",IF(COUNTIFS(Batches!$A$2:$A$301,$F1671,Batches!$B$2:$B$301,$D1671)=0,"Unknown lot for this SKU",IF(AND($C1671="Adjustment",$G1671=""),"Missing: reason",IF(AND($G1671&lt;&gt;"",COUNTIF(Config!$B$15:$B$34,$G1671)=0),"Unsupported reason",IF(OR(INT($E1671)&lt;&gt;$E1671,AND(OR($C1671="Receipt",$C1671="Shipment"),$E1671&lt;=0),AND($C1671="Adjustment",$E1671=0)),"Invalid qty",IF($B1671&gt;Config!$B$4,"Date after the as-of date",IF($B1671&lt;Config!$B$5,"Date before the opening balance date","OK")))))))))))))))))</f>
        <v/>
      </c>
    </row>
    <row r="1672">
      <c r="A1672" s="46" t="n"/>
      <c r="B1672" s="54" t="n"/>
      <c r="C1672" s="46" t="n"/>
      <c r="D1672" s="46" t="n"/>
      <c r="E1672" s="55" t="n"/>
      <c r="F1672" s="46" t="n"/>
      <c r="G1672" s="46" t="n"/>
      <c r="H1672" s="46" t="n"/>
      <c r="I1672" s="46" t="n"/>
      <c r="J1672" s="46" t="n"/>
      <c r="K1672" s="46" t="n"/>
      <c r="L1672" s="46" t="n"/>
      <c r="M1672" s="51" t="str">
        <f>IF(NOT(ISNUMBER($E1672)),"",IF($C1672="Receipt",$E1672,IF($C1672="Shipment",-$E1672,IF($C1672="Adjustment",$E1672,0))))</f>
        <v/>
      </c>
      <c r="N1672" s="49" t="str">
        <f>IF($D1672="","",IFERROR(INDEX(Products!$B$2:$B$101,MATCH($D1672,Products!$A$2:$A$101,0))&amp;"","(not found)"))</f>
        <v/>
      </c>
      <c r="O1672" s="49" t="str">
        <f>IF($F1672="","",IFERROR(INDEX(Batches!$B$2:$B$301,MATCH($F1672,Batches!$A$2:$A$301,0))&amp;"","(not found)"))</f>
        <v/>
      </c>
      <c r="P1672" s="49" t="str">
        <f>IF(COUNTA($A1672:$L1672)=0,"",IF($A1672="","Missing: entry ID",IF(COUNTIF($A$2:$A$2001,$A1672)&gt;1,"Duplicate entry ID",IF(NOT(ISNUMBER($B1672)),"Missing or invalid: date",IF($C1672="","Missing: type",IF($D1672="","Missing: SKU",IF(NOT(ISNUMBER($E1672)),"Missing: qty",IF($F1672="","Missing: lot",IF($I1672="","Missing: source link",IF(COUNTIF(Config!$A$15:$A$34,$C1672)=0,"Unsupported type",IF(COUNTIF(Products!$A$2:$A$101,$D1672)=0,"Unknown SKU",IF(COUNTIFS(Batches!$A$2:$A$301,$F1672,Batches!$B$2:$B$301,$D1672)=0,"Unknown lot for this SKU",IF(AND($C1672="Adjustment",$G1672=""),"Missing: reason",IF(AND($G1672&lt;&gt;"",COUNTIF(Config!$B$15:$B$34,$G1672)=0),"Unsupported reason",IF(OR(INT($E1672)&lt;&gt;$E1672,AND(OR($C1672="Receipt",$C1672="Shipment"),$E1672&lt;=0),AND($C1672="Adjustment",$E1672=0)),"Invalid qty",IF($B1672&gt;Config!$B$4,"Date after the as-of date",IF($B1672&lt;Config!$B$5,"Date before the opening balance date","OK")))))))))))))))))</f>
        <v/>
      </c>
    </row>
    <row r="1673">
      <c r="A1673" s="46" t="n"/>
      <c r="B1673" s="54" t="n"/>
      <c r="C1673" s="46" t="n"/>
      <c r="D1673" s="46" t="n"/>
      <c r="E1673" s="55" t="n"/>
      <c r="F1673" s="46" t="n"/>
      <c r="G1673" s="46" t="n"/>
      <c r="H1673" s="46" t="n"/>
      <c r="I1673" s="46" t="n"/>
      <c r="J1673" s="46" t="n"/>
      <c r="K1673" s="46" t="n"/>
      <c r="L1673" s="46" t="n"/>
      <c r="M1673" s="51" t="str">
        <f>IF(NOT(ISNUMBER($E1673)),"",IF($C1673="Receipt",$E1673,IF($C1673="Shipment",-$E1673,IF($C1673="Adjustment",$E1673,0))))</f>
        <v/>
      </c>
      <c r="N1673" s="49" t="str">
        <f>IF($D1673="","",IFERROR(INDEX(Products!$B$2:$B$101,MATCH($D1673,Products!$A$2:$A$101,0))&amp;"","(not found)"))</f>
        <v/>
      </c>
      <c r="O1673" s="49" t="str">
        <f>IF($F1673="","",IFERROR(INDEX(Batches!$B$2:$B$301,MATCH($F1673,Batches!$A$2:$A$301,0))&amp;"","(not found)"))</f>
        <v/>
      </c>
      <c r="P1673" s="49" t="str">
        <f>IF(COUNTA($A1673:$L1673)=0,"",IF($A1673="","Missing: entry ID",IF(COUNTIF($A$2:$A$2001,$A1673)&gt;1,"Duplicate entry ID",IF(NOT(ISNUMBER($B1673)),"Missing or invalid: date",IF($C1673="","Missing: type",IF($D1673="","Missing: SKU",IF(NOT(ISNUMBER($E1673)),"Missing: qty",IF($F1673="","Missing: lot",IF($I1673="","Missing: source link",IF(COUNTIF(Config!$A$15:$A$34,$C1673)=0,"Unsupported type",IF(COUNTIF(Products!$A$2:$A$101,$D1673)=0,"Unknown SKU",IF(COUNTIFS(Batches!$A$2:$A$301,$F1673,Batches!$B$2:$B$301,$D1673)=0,"Unknown lot for this SKU",IF(AND($C1673="Adjustment",$G1673=""),"Missing: reason",IF(AND($G1673&lt;&gt;"",COUNTIF(Config!$B$15:$B$34,$G1673)=0),"Unsupported reason",IF(OR(INT($E1673)&lt;&gt;$E1673,AND(OR($C1673="Receipt",$C1673="Shipment"),$E1673&lt;=0),AND($C1673="Adjustment",$E1673=0)),"Invalid qty",IF($B1673&gt;Config!$B$4,"Date after the as-of date",IF($B1673&lt;Config!$B$5,"Date before the opening balance date","OK")))))))))))))))))</f>
        <v/>
      </c>
    </row>
    <row r="1674">
      <c r="A1674" s="46" t="n"/>
      <c r="B1674" s="54" t="n"/>
      <c r="C1674" s="46" t="n"/>
      <c r="D1674" s="46" t="n"/>
      <c r="E1674" s="55" t="n"/>
      <c r="F1674" s="46" t="n"/>
      <c r="G1674" s="46" t="n"/>
      <c r="H1674" s="46" t="n"/>
      <c r="I1674" s="46" t="n"/>
      <c r="J1674" s="46" t="n"/>
      <c r="K1674" s="46" t="n"/>
      <c r="L1674" s="46" t="n"/>
      <c r="M1674" s="51" t="str">
        <f>IF(NOT(ISNUMBER($E1674)),"",IF($C1674="Receipt",$E1674,IF($C1674="Shipment",-$E1674,IF($C1674="Adjustment",$E1674,0))))</f>
        <v/>
      </c>
      <c r="N1674" s="49" t="str">
        <f>IF($D1674="","",IFERROR(INDEX(Products!$B$2:$B$101,MATCH($D1674,Products!$A$2:$A$101,0))&amp;"","(not found)"))</f>
        <v/>
      </c>
      <c r="O1674" s="49" t="str">
        <f>IF($F1674="","",IFERROR(INDEX(Batches!$B$2:$B$301,MATCH($F1674,Batches!$A$2:$A$301,0))&amp;"","(not found)"))</f>
        <v/>
      </c>
      <c r="P1674" s="49" t="str">
        <f>IF(COUNTA($A1674:$L1674)=0,"",IF($A1674="","Missing: entry ID",IF(COUNTIF($A$2:$A$2001,$A1674)&gt;1,"Duplicate entry ID",IF(NOT(ISNUMBER($B1674)),"Missing or invalid: date",IF($C1674="","Missing: type",IF($D1674="","Missing: SKU",IF(NOT(ISNUMBER($E1674)),"Missing: qty",IF($F1674="","Missing: lot",IF($I1674="","Missing: source link",IF(COUNTIF(Config!$A$15:$A$34,$C1674)=0,"Unsupported type",IF(COUNTIF(Products!$A$2:$A$101,$D1674)=0,"Unknown SKU",IF(COUNTIFS(Batches!$A$2:$A$301,$F1674,Batches!$B$2:$B$301,$D1674)=0,"Unknown lot for this SKU",IF(AND($C1674="Adjustment",$G1674=""),"Missing: reason",IF(AND($G1674&lt;&gt;"",COUNTIF(Config!$B$15:$B$34,$G1674)=0),"Unsupported reason",IF(OR(INT($E1674)&lt;&gt;$E1674,AND(OR($C1674="Receipt",$C1674="Shipment"),$E1674&lt;=0),AND($C1674="Adjustment",$E1674=0)),"Invalid qty",IF($B1674&gt;Config!$B$4,"Date after the as-of date",IF($B1674&lt;Config!$B$5,"Date before the opening balance date","OK")))))))))))))))))</f>
        <v/>
      </c>
    </row>
    <row r="1675">
      <c r="A1675" s="46" t="n"/>
      <c r="B1675" s="54" t="n"/>
      <c r="C1675" s="46" t="n"/>
      <c r="D1675" s="46" t="n"/>
      <c r="E1675" s="55" t="n"/>
      <c r="F1675" s="46" t="n"/>
      <c r="G1675" s="46" t="n"/>
      <c r="H1675" s="46" t="n"/>
      <c r="I1675" s="46" t="n"/>
      <c r="J1675" s="46" t="n"/>
      <c r="K1675" s="46" t="n"/>
      <c r="L1675" s="46" t="n"/>
      <c r="M1675" s="51" t="str">
        <f>IF(NOT(ISNUMBER($E1675)),"",IF($C1675="Receipt",$E1675,IF($C1675="Shipment",-$E1675,IF($C1675="Adjustment",$E1675,0))))</f>
        <v/>
      </c>
      <c r="N1675" s="49" t="str">
        <f>IF($D1675="","",IFERROR(INDEX(Products!$B$2:$B$101,MATCH($D1675,Products!$A$2:$A$101,0))&amp;"","(not found)"))</f>
        <v/>
      </c>
      <c r="O1675" s="49" t="str">
        <f>IF($F1675="","",IFERROR(INDEX(Batches!$B$2:$B$301,MATCH($F1675,Batches!$A$2:$A$301,0))&amp;"","(not found)"))</f>
        <v/>
      </c>
      <c r="P1675" s="49" t="str">
        <f>IF(COUNTA($A1675:$L1675)=0,"",IF($A1675="","Missing: entry ID",IF(COUNTIF($A$2:$A$2001,$A1675)&gt;1,"Duplicate entry ID",IF(NOT(ISNUMBER($B1675)),"Missing or invalid: date",IF($C1675="","Missing: type",IF($D1675="","Missing: SKU",IF(NOT(ISNUMBER($E1675)),"Missing: qty",IF($F1675="","Missing: lot",IF($I1675="","Missing: source link",IF(COUNTIF(Config!$A$15:$A$34,$C1675)=0,"Unsupported type",IF(COUNTIF(Products!$A$2:$A$101,$D1675)=0,"Unknown SKU",IF(COUNTIFS(Batches!$A$2:$A$301,$F1675,Batches!$B$2:$B$301,$D1675)=0,"Unknown lot for this SKU",IF(AND($C1675="Adjustment",$G1675=""),"Missing: reason",IF(AND($G1675&lt;&gt;"",COUNTIF(Config!$B$15:$B$34,$G1675)=0),"Unsupported reason",IF(OR(INT($E1675)&lt;&gt;$E1675,AND(OR($C1675="Receipt",$C1675="Shipment"),$E1675&lt;=0),AND($C1675="Adjustment",$E1675=0)),"Invalid qty",IF($B1675&gt;Config!$B$4,"Date after the as-of date",IF($B1675&lt;Config!$B$5,"Date before the opening balance date","OK")))))))))))))))))</f>
        <v/>
      </c>
    </row>
    <row r="1676">
      <c r="A1676" s="46" t="n"/>
      <c r="B1676" s="54" t="n"/>
      <c r="C1676" s="46" t="n"/>
      <c r="D1676" s="46" t="n"/>
      <c r="E1676" s="55" t="n"/>
      <c r="F1676" s="46" t="n"/>
      <c r="G1676" s="46" t="n"/>
      <c r="H1676" s="46" t="n"/>
      <c r="I1676" s="46" t="n"/>
      <c r="J1676" s="46" t="n"/>
      <c r="K1676" s="46" t="n"/>
      <c r="L1676" s="46" t="n"/>
      <c r="M1676" s="51" t="str">
        <f>IF(NOT(ISNUMBER($E1676)),"",IF($C1676="Receipt",$E1676,IF($C1676="Shipment",-$E1676,IF($C1676="Adjustment",$E1676,0))))</f>
        <v/>
      </c>
      <c r="N1676" s="49" t="str">
        <f>IF($D1676="","",IFERROR(INDEX(Products!$B$2:$B$101,MATCH($D1676,Products!$A$2:$A$101,0))&amp;"","(not found)"))</f>
        <v/>
      </c>
      <c r="O1676" s="49" t="str">
        <f>IF($F1676="","",IFERROR(INDEX(Batches!$B$2:$B$301,MATCH($F1676,Batches!$A$2:$A$301,0))&amp;"","(not found)"))</f>
        <v/>
      </c>
      <c r="P1676" s="49" t="str">
        <f>IF(COUNTA($A1676:$L1676)=0,"",IF($A1676="","Missing: entry ID",IF(COUNTIF($A$2:$A$2001,$A1676)&gt;1,"Duplicate entry ID",IF(NOT(ISNUMBER($B1676)),"Missing or invalid: date",IF($C1676="","Missing: type",IF($D1676="","Missing: SKU",IF(NOT(ISNUMBER($E1676)),"Missing: qty",IF($F1676="","Missing: lot",IF($I1676="","Missing: source link",IF(COUNTIF(Config!$A$15:$A$34,$C1676)=0,"Unsupported type",IF(COUNTIF(Products!$A$2:$A$101,$D1676)=0,"Unknown SKU",IF(COUNTIFS(Batches!$A$2:$A$301,$F1676,Batches!$B$2:$B$301,$D1676)=0,"Unknown lot for this SKU",IF(AND($C1676="Adjustment",$G1676=""),"Missing: reason",IF(AND($G1676&lt;&gt;"",COUNTIF(Config!$B$15:$B$34,$G1676)=0),"Unsupported reason",IF(OR(INT($E1676)&lt;&gt;$E1676,AND(OR($C1676="Receipt",$C1676="Shipment"),$E1676&lt;=0),AND($C1676="Adjustment",$E1676=0)),"Invalid qty",IF($B1676&gt;Config!$B$4,"Date after the as-of date",IF($B1676&lt;Config!$B$5,"Date before the opening balance date","OK")))))))))))))))))</f>
        <v/>
      </c>
    </row>
    <row r="1677">
      <c r="A1677" s="46" t="n"/>
      <c r="B1677" s="54" t="n"/>
      <c r="C1677" s="46" t="n"/>
      <c r="D1677" s="46" t="n"/>
      <c r="E1677" s="55" t="n"/>
      <c r="F1677" s="46" t="n"/>
      <c r="G1677" s="46" t="n"/>
      <c r="H1677" s="46" t="n"/>
      <c r="I1677" s="46" t="n"/>
      <c r="J1677" s="46" t="n"/>
      <c r="K1677" s="46" t="n"/>
      <c r="L1677" s="46" t="n"/>
      <c r="M1677" s="51" t="str">
        <f>IF(NOT(ISNUMBER($E1677)),"",IF($C1677="Receipt",$E1677,IF($C1677="Shipment",-$E1677,IF($C1677="Adjustment",$E1677,0))))</f>
        <v/>
      </c>
      <c r="N1677" s="49" t="str">
        <f>IF($D1677="","",IFERROR(INDEX(Products!$B$2:$B$101,MATCH($D1677,Products!$A$2:$A$101,0))&amp;"","(not found)"))</f>
        <v/>
      </c>
      <c r="O1677" s="49" t="str">
        <f>IF($F1677="","",IFERROR(INDEX(Batches!$B$2:$B$301,MATCH($F1677,Batches!$A$2:$A$301,0))&amp;"","(not found)"))</f>
        <v/>
      </c>
      <c r="P1677" s="49" t="str">
        <f>IF(COUNTA($A1677:$L1677)=0,"",IF($A1677="","Missing: entry ID",IF(COUNTIF($A$2:$A$2001,$A1677)&gt;1,"Duplicate entry ID",IF(NOT(ISNUMBER($B1677)),"Missing or invalid: date",IF($C1677="","Missing: type",IF($D1677="","Missing: SKU",IF(NOT(ISNUMBER($E1677)),"Missing: qty",IF($F1677="","Missing: lot",IF($I1677="","Missing: source link",IF(COUNTIF(Config!$A$15:$A$34,$C1677)=0,"Unsupported type",IF(COUNTIF(Products!$A$2:$A$101,$D1677)=0,"Unknown SKU",IF(COUNTIFS(Batches!$A$2:$A$301,$F1677,Batches!$B$2:$B$301,$D1677)=0,"Unknown lot for this SKU",IF(AND($C1677="Adjustment",$G1677=""),"Missing: reason",IF(AND($G1677&lt;&gt;"",COUNTIF(Config!$B$15:$B$34,$G1677)=0),"Unsupported reason",IF(OR(INT($E1677)&lt;&gt;$E1677,AND(OR($C1677="Receipt",$C1677="Shipment"),$E1677&lt;=0),AND($C1677="Adjustment",$E1677=0)),"Invalid qty",IF($B1677&gt;Config!$B$4,"Date after the as-of date",IF($B1677&lt;Config!$B$5,"Date before the opening balance date","OK")))))))))))))))))</f>
        <v/>
      </c>
    </row>
    <row r="1678">
      <c r="A1678" s="46" t="n"/>
      <c r="B1678" s="54" t="n"/>
      <c r="C1678" s="46" t="n"/>
      <c r="D1678" s="46" t="n"/>
      <c r="E1678" s="55" t="n"/>
      <c r="F1678" s="46" t="n"/>
      <c r="G1678" s="46" t="n"/>
      <c r="H1678" s="46" t="n"/>
      <c r="I1678" s="46" t="n"/>
      <c r="J1678" s="46" t="n"/>
      <c r="K1678" s="46" t="n"/>
      <c r="L1678" s="46" t="n"/>
      <c r="M1678" s="51" t="str">
        <f>IF(NOT(ISNUMBER($E1678)),"",IF($C1678="Receipt",$E1678,IF($C1678="Shipment",-$E1678,IF($C1678="Adjustment",$E1678,0))))</f>
        <v/>
      </c>
      <c r="N1678" s="49" t="str">
        <f>IF($D1678="","",IFERROR(INDEX(Products!$B$2:$B$101,MATCH($D1678,Products!$A$2:$A$101,0))&amp;"","(not found)"))</f>
        <v/>
      </c>
      <c r="O1678" s="49" t="str">
        <f>IF($F1678="","",IFERROR(INDEX(Batches!$B$2:$B$301,MATCH($F1678,Batches!$A$2:$A$301,0))&amp;"","(not found)"))</f>
        <v/>
      </c>
      <c r="P1678" s="49" t="str">
        <f>IF(COUNTA($A1678:$L1678)=0,"",IF($A1678="","Missing: entry ID",IF(COUNTIF($A$2:$A$2001,$A1678)&gt;1,"Duplicate entry ID",IF(NOT(ISNUMBER($B1678)),"Missing or invalid: date",IF($C1678="","Missing: type",IF($D1678="","Missing: SKU",IF(NOT(ISNUMBER($E1678)),"Missing: qty",IF($F1678="","Missing: lot",IF($I1678="","Missing: source link",IF(COUNTIF(Config!$A$15:$A$34,$C1678)=0,"Unsupported type",IF(COUNTIF(Products!$A$2:$A$101,$D1678)=0,"Unknown SKU",IF(COUNTIFS(Batches!$A$2:$A$301,$F1678,Batches!$B$2:$B$301,$D1678)=0,"Unknown lot for this SKU",IF(AND($C1678="Adjustment",$G1678=""),"Missing: reason",IF(AND($G1678&lt;&gt;"",COUNTIF(Config!$B$15:$B$34,$G1678)=0),"Unsupported reason",IF(OR(INT($E1678)&lt;&gt;$E1678,AND(OR($C1678="Receipt",$C1678="Shipment"),$E1678&lt;=0),AND($C1678="Adjustment",$E1678=0)),"Invalid qty",IF($B1678&gt;Config!$B$4,"Date after the as-of date",IF($B1678&lt;Config!$B$5,"Date before the opening balance date","OK")))))))))))))))))</f>
        <v/>
      </c>
    </row>
    <row r="1679">
      <c r="A1679" s="46" t="n"/>
      <c r="B1679" s="54" t="n"/>
      <c r="C1679" s="46" t="n"/>
      <c r="D1679" s="46" t="n"/>
      <c r="E1679" s="55" t="n"/>
      <c r="F1679" s="46" t="n"/>
      <c r="G1679" s="46" t="n"/>
      <c r="H1679" s="46" t="n"/>
      <c r="I1679" s="46" t="n"/>
      <c r="J1679" s="46" t="n"/>
      <c r="K1679" s="46" t="n"/>
      <c r="L1679" s="46" t="n"/>
      <c r="M1679" s="51" t="str">
        <f>IF(NOT(ISNUMBER($E1679)),"",IF($C1679="Receipt",$E1679,IF($C1679="Shipment",-$E1679,IF($C1679="Adjustment",$E1679,0))))</f>
        <v/>
      </c>
      <c r="N1679" s="49" t="str">
        <f>IF($D1679="","",IFERROR(INDEX(Products!$B$2:$B$101,MATCH($D1679,Products!$A$2:$A$101,0))&amp;"","(not found)"))</f>
        <v/>
      </c>
      <c r="O1679" s="49" t="str">
        <f>IF($F1679="","",IFERROR(INDEX(Batches!$B$2:$B$301,MATCH($F1679,Batches!$A$2:$A$301,0))&amp;"","(not found)"))</f>
        <v/>
      </c>
      <c r="P1679" s="49" t="str">
        <f>IF(COUNTA($A1679:$L1679)=0,"",IF($A1679="","Missing: entry ID",IF(COUNTIF($A$2:$A$2001,$A1679)&gt;1,"Duplicate entry ID",IF(NOT(ISNUMBER($B1679)),"Missing or invalid: date",IF($C1679="","Missing: type",IF($D1679="","Missing: SKU",IF(NOT(ISNUMBER($E1679)),"Missing: qty",IF($F1679="","Missing: lot",IF($I1679="","Missing: source link",IF(COUNTIF(Config!$A$15:$A$34,$C1679)=0,"Unsupported type",IF(COUNTIF(Products!$A$2:$A$101,$D1679)=0,"Unknown SKU",IF(COUNTIFS(Batches!$A$2:$A$301,$F1679,Batches!$B$2:$B$301,$D1679)=0,"Unknown lot for this SKU",IF(AND($C1679="Adjustment",$G1679=""),"Missing: reason",IF(AND($G1679&lt;&gt;"",COUNTIF(Config!$B$15:$B$34,$G1679)=0),"Unsupported reason",IF(OR(INT($E1679)&lt;&gt;$E1679,AND(OR($C1679="Receipt",$C1679="Shipment"),$E1679&lt;=0),AND($C1679="Adjustment",$E1679=0)),"Invalid qty",IF($B1679&gt;Config!$B$4,"Date after the as-of date",IF($B1679&lt;Config!$B$5,"Date before the opening balance date","OK")))))))))))))))))</f>
        <v/>
      </c>
    </row>
    <row r="1680">
      <c r="A1680" s="46" t="n"/>
      <c r="B1680" s="54" t="n"/>
      <c r="C1680" s="46" t="n"/>
      <c r="D1680" s="46" t="n"/>
      <c r="E1680" s="55" t="n"/>
      <c r="F1680" s="46" t="n"/>
      <c r="G1680" s="46" t="n"/>
      <c r="H1680" s="46" t="n"/>
      <c r="I1680" s="46" t="n"/>
      <c r="J1680" s="46" t="n"/>
      <c r="K1680" s="46" t="n"/>
      <c r="L1680" s="46" t="n"/>
      <c r="M1680" s="51" t="str">
        <f>IF(NOT(ISNUMBER($E1680)),"",IF($C1680="Receipt",$E1680,IF($C1680="Shipment",-$E1680,IF($C1680="Adjustment",$E1680,0))))</f>
        <v/>
      </c>
      <c r="N1680" s="49" t="str">
        <f>IF($D1680="","",IFERROR(INDEX(Products!$B$2:$B$101,MATCH($D1680,Products!$A$2:$A$101,0))&amp;"","(not found)"))</f>
        <v/>
      </c>
      <c r="O1680" s="49" t="str">
        <f>IF($F1680="","",IFERROR(INDEX(Batches!$B$2:$B$301,MATCH($F1680,Batches!$A$2:$A$301,0))&amp;"","(not found)"))</f>
        <v/>
      </c>
      <c r="P1680" s="49" t="str">
        <f>IF(COUNTA($A1680:$L1680)=0,"",IF($A1680="","Missing: entry ID",IF(COUNTIF($A$2:$A$2001,$A1680)&gt;1,"Duplicate entry ID",IF(NOT(ISNUMBER($B1680)),"Missing or invalid: date",IF($C1680="","Missing: type",IF($D1680="","Missing: SKU",IF(NOT(ISNUMBER($E1680)),"Missing: qty",IF($F1680="","Missing: lot",IF($I1680="","Missing: source link",IF(COUNTIF(Config!$A$15:$A$34,$C1680)=0,"Unsupported type",IF(COUNTIF(Products!$A$2:$A$101,$D1680)=0,"Unknown SKU",IF(COUNTIFS(Batches!$A$2:$A$301,$F1680,Batches!$B$2:$B$301,$D1680)=0,"Unknown lot for this SKU",IF(AND($C1680="Adjustment",$G1680=""),"Missing: reason",IF(AND($G1680&lt;&gt;"",COUNTIF(Config!$B$15:$B$34,$G1680)=0),"Unsupported reason",IF(OR(INT($E1680)&lt;&gt;$E1680,AND(OR($C1680="Receipt",$C1680="Shipment"),$E1680&lt;=0),AND($C1680="Adjustment",$E1680=0)),"Invalid qty",IF($B1680&gt;Config!$B$4,"Date after the as-of date",IF($B1680&lt;Config!$B$5,"Date before the opening balance date","OK")))))))))))))))))</f>
        <v/>
      </c>
    </row>
    <row r="1681">
      <c r="A1681" s="46" t="n"/>
      <c r="B1681" s="54" t="n"/>
      <c r="C1681" s="46" t="n"/>
      <c r="D1681" s="46" t="n"/>
      <c r="E1681" s="55" t="n"/>
      <c r="F1681" s="46" t="n"/>
      <c r="G1681" s="46" t="n"/>
      <c r="H1681" s="46" t="n"/>
      <c r="I1681" s="46" t="n"/>
      <c r="J1681" s="46" t="n"/>
      <c r="K1681" s="46" t="n"/>
      <c r="L1681" s="46" t="n"/>
      <c r="M1681" s="51" t="str">
        <f>IF(NOT(ISNUMBER($E1681)),"",IF($C1681="Receipt",$E1681,IF($C1681="Shipment",-$E1681,IF($C1681="Adjustment",$E1681,0))))</f>
        <v/>
      </c>
      <c r="N1681" s="49" t="str">
        <f>IF($D1681="","",IFERROR(INDEX(Products!$B$2:$B$101,MATCH($D1681,Products!$A$2:$A$101,0))&amp;"","(not found)"))</f>
        <v/>
      </c>
      <c r="O1681" s="49" t="str">
        <f>IF($F1681="","",IFERROR(INDEX(Batches!$B$2:$B$301,MATCH($F1681,Batches!$A$2:$A$301,0))&amp;"","(not found)"))</f>
        <v/>
      </c>
      <c r="P1681" s="49" t="str">
        <f>IF(COUNTA($A1681:$L1681)=0,"",IF($A1681="","Missing: entry ID",IF(COUNTIF($A$2:$A$2001,$A1681)&gt;1,"Duplicate entry ID",IF(NOT(ISNUMBER($B1681)),"Missing or invalid: date",IF($C1681="","Missing: type",IF($D1681="","Missing: SKU",IF(NOT(ISNUMBER($E1681)),"Missing: qty",IF($F1681="","Missing: lot",IF($I1681="","Missing: source link",IF(COUNTIF(Config!$A$15:$A$34,$C1681)=0,"Unsupported type",IF(COUNTIF(Products!$A$2:$A$101,$D1681)=0,"Unknown SKU",IF(COUNTIFS(Batches!$A$2:$A$301,$F1681,Batches!$B$2:$B$301,$D1681)=0,"Unknown lot for this SKU",IF(AND($C1681="Adjustment",$G1681=""),"Missing: reason",IF(AND($G1681&lt;&gt;"",COUNTIF(Config!$B$15:$B$34,$G1681)=0),"Unsupported reason",IF(OR(INT($E1681)&lt;&gt;$E1681,AND(OR($C1681="Receipt",$C1681="Shipment"),$E1681&lt;=0),AND($C1681="Adjustment",$E1681=0)),"Invalid qty",IF($B1681&gt;Config!$B$4,"Date after the as-of date",IF($B1681&lt;Config!$B$5,"Date before the opening balance date","OK")))))))))))))))))</f>
        <v/>
      </c>
    </row>
    <row r="1682">
      <c r="A1682" s="46" t="n"/>
      <c r="B1682" s="54" t="n"/>
      <c r="C1682" s="46" t="n"/>
      <c r="D1682" s="46" t="n"/>
      <c r="E1682" s="55" t="n"/>
      <c r="F1682" s="46" t="n"/>
      <c r="G1682" s="46" t="n"/>
      <c r="H1682" s="46" t="n"/>
      <c r="I1682" s="46" t="n"/>
      <c r="J1682" s="46" t="n"/>
      <c r="K1682" s="46" t="n"/>
      <c r="L1682" s="46" t="n"/>
      <c r="M1682" s="51" t="str">
        <f>IF(NOT(ISNUMBER($E1682)),"",IF($C1682="Receipt",$E1682,IF($C1682="Shipment",-$E1682,IF($C1682="Adjustment",$E1682,0))))</f>
        <v/>
      </c>
      <c r="N1682" s="49" t="str">
        <f>IF($D1682="","",IFERROR(INDEX(Products!$B$2:$B$101,MATCH($D1682,Products!$A$2:$A$101,0))&amp;"","(not found)"))</f>
        <v/>
      </c>
      <c r="O1682" s="49" t="str">
        <f>IF($F1682="","",IFERROR(INDEX(Batches!$B$2:$B$301,MATCH($F1682,Batches!$A$2:$A$301,0))&amp;"","(not found)"))</f>
        <v/>
      </c>
      <c r="P1682" s="49" t="str">
        <f>IF(COUNTA($A1682:$L1682)=0,"",IF($A1682="","Missing: entry ID",IF(COUNTIF($A$2:$A$2001,$A1682)&gt;1,"Duplicate entry ID",IF(NOT(ISNUMBER($B1682)),"Missing or invalid: date",IF($C1682="","Missing: type",IF($D1682="","Missing: SKU",IF(NOT(ISNUMBER($E1682)),"Missing: qty",IF($F1682="","Missing: lot",IF($I1682="","Missing: source link",IF(COUNTIF(Config!$A$15:$A$34,$C1682)=0,"Unsupported type",IF(COUNTIF(Products!$A$2:$A$101,$D1682)=0,"Unknown SKU",IF(COUNTIFS(Batches!$A$2:$A$301,$F1682,Batches!$B$2:$B$301,$D1682)=0,"Unknown lot for this SKU",IF(AND($C1682="Adjustment",$G1682=""),"Missing: reason",IF(AND($G1682&lt;&gt;"",COUNTIF(Config!$B$15:$B$34,$G1682)=0),"Unsupported reason",IF(OR(INT($E1682)&lt;&gt;$E1682,AND(OR($C1682="Receipt",$C1682="Shipment"),$E1682&lt;=0),AND($C1682="Adjustment",$E1682=0)),"Invalid qty",IF($B1682&gt;Config!$B$4,"Date after the as-of date",IF($B1682&lt;Config!$B$5,"Date before the opening balance date","OK")))))))))))))))))</f>
        <v/>
      </c>
    </row>
    <row r="1683">
      <c r="A1683" s="46" t="n"/>
      <c r="B1683" s="54" t="n"/>
      <c r="C1683" s="46" t="n"/>
      <c r="D1683" s="46" t="n"/>
      <c r="E1683" s="55" t="n"/>
      <c r="F1683" s="46" t="n"/>
      <c r="G1683" s="46" t="n"/>
      <c r="H1683" s="46" t="n"/>
      <c r="I1683" s="46" t="n"/>
      <c r="J1683" s="46" t="n"/>
      <c r="K1683" s="46" t="n"/>
      <c r="L1683" s="46" t="n"/>
      <c r="M1683" s="51" t="str">
        <f>IF(NOT(ISNUMBER($E1683)),"",IF($C1683="Receipt",$E1683,IF($C1683="Shipment",-$E1683,IF($C1683="Adjustment",$E1683,0))))</f>
        <v/>
      </c>
      <c r="N1683" s="49" t="str">
        <f>IF($D1683="","",IFERROR(INDEX(Products!$B$2:$B$101,MATCH($D1683,Products!$A$2:$A$101,0))&amp;"","(not found)"))</f>
        <v/>
      </c>
      <c r="O1683" s="49" t="str">
        <f>IF($F1683="","",IFERROR(INDEX(Batches!$B$2:$B$301,MATCH($F1683,Batches!$A$2:$A$301,0))&amp;"","(not found)"))</f>
        <v/>
      </c>
      <c r="P1683" s="49" t="str">
        <f>IF(COUNTA($A1683:$L1683)=0,"",IF($A1683="","Missing: entry ID",IF(COUNTIF($A$2:$A$2001,$A1683)&gt;1,"Duplicate entry ID",IF(NOT(ISNUMBER($B1683)),"Missing or invalid: date",IF($C1683="","Missing: type",IF($D1683="","Missing: SKU",IF(NOT(ISNUMBER($E1683)),"Missing: qty",IF($F1683="","Missing: lot",IF($I1683="","Missing: source link",IF(COUNTIF(Config!$A$15:$A$34,$C1683)=0,"Unsupported type",IF(COUNTIF(Products!$A$2:$A$101,$D1683)=0,"Unknown SKU",IF(COUNTIFS(Batches!$A$2:$A$301,$F1683,Batches!$B$2:$B$301,$D1683)=0,"Unknown lot for this SKU",IF(AND($C1683="Adjustment",$G1683=""),"Missing: reason",IF(AND($G1683&lt;&gt;"",COUNTIF(Config!$B$15:$B$34,$G1683)=0),"Unsupported reason",IF(OR(INT($E1683)&lt;&gt;$E1683,AND(OR($C1683="Receipt",$C1683="Shipment"),$E1683&lt;=0),AND($C1683="Adjustment",$E1683=0)),"Invalid qty",IF($B1683&gt;Config!$B$4,"Date after the as-of date",IF($B1683&lt;Config!$B$5,"Date before the opening balance date","OK")))))))))))))))))</f>
        <v/>
      </c>
    </row>
    <row r="1684">
      <c r="A1684" s="46" t="n"/>
      <c r="B1684" s="54" t="n"/>
      <c r="C1684" s="46" t="n"/>
      <c r="D1684" s="46" t="n"/>
      <c r="E1684" s="55" t="n"/>
      <c r="F1684" s="46" t="n"/>
      <c r="G1684" s="46" t="n"/>
      <c r="H1684" s="46" t="n"/>
      <c r="I1684" s="46" t="n"/>
      <c r="J1684" s="46" t="n"/>
      <c r="K1684" s="46" t="n"/>
      <c r="L1684" s="46" t="n"/>
      <c r="M1684" s="51" t="str">
        <f>IF(NOT(ISNUMBER($E1684)),"",IF($C1684="Receipt",$E1684,IF($C1684="Shipment",-$E1684,IF($C1684="Adjustment",$E1684,0))))</f>
        <v/>
      </c>
      <c r="N1684" s="49" t="str">
        <f>IF($D1684="","",IFERROR(INDEX(Products!$B$2:$B$101,MATCH($D1684,Products!$A$2:$A$101,0))&amp;"","(not found)"))</f>
        <v/>
      </c>
      <c r="O1684" s="49" t="str">
        <f>IF($F1684="","",IFERROR(INDEX(Batches!$B$2:$B$301,MATCH($F1684,Batches!$A$2:$A$301,0))&amp;"","(not found)"))</f>
        <v/>
      </c>
      <c r="P1684" s="49" t="str">
        <f>IF(COUNTA($A1684:$L1684)=0,"",IF($A1684="","Missing: entry ID",IF(COUNTIF($A$2:$A$2001,$A1684)&gt;1,"Duplicate entry ID",IF(NOT(ISNUMBER($B1684)),"Missing or invalid: date",IF($C1684="","Missing: type",IF($D1684="","Missing: SKU",IF(NOT(ISNUMBER($E1684)),"Missing: qty",IF($F1684="","Missing: lot",IF($I1684="","Missing: source link",IF(COUNTIF(Config!$A$15:$A$34,$C1684)=0,"Unsupported type",IF(COUNTIF(Products!$A$2:$A$101,$D1684)=0,"Unknown SKU",IF(COUNTIFS(Batches!$A$2:$A$301,$F1684,Batches!$B$2:$B$301,$D1684)=0,"Unknown lot for this SKU",IF(AND($C1684="Adjustment",$G1684=""),"Missing: reason",IF(AND($G1684&lt;&gt;"",COUNTIF(Config!$B$15:$B$34,$G1684)=0),"Unsupported reason",IF(OR(INT($E1684)&lt;&gt;$E1684,AND(OR($C1684="Receipt",$C1684="Shipment"),$E1684&lt;=0),AND($C1684="Adjustment",$E1684=0)),"Invalid qty",IF($B1684&gt;Config!$B$4,"Date after the as-of date",IF($B1684&lt;Config!$B$5,"Date before the opening balance date","OK")))))))))))))))))</f>
        <v/>
      </c>
    </row>
    <row r="1685">
      <c r="A1685" s="46" t="n"/>
      <c r="B1685" s="54" t="n"/>
      <c r="C1685" s="46" t="n"/>
      <c r="D1685" s="46" t="n"/>
      <c r="E1685" s="55" t="n"/>
      <c r="F1685" s="46" t="n"/>
      <c r="G1685" s="46" t="n"/>
      <c r="H1685" s="46" t="n"/>
      <c r="I1685" s="46" t="n"/>
      <c r="J1685" s="46" t="n"/>
      <c r="K1685" s="46" t="n"/>
      <c r="L1685" s="46" t="n"/>
      <c r="M1685" s="51" t="str">
        <f>IF(NOT(ISNUMBER($E1685)),"",IF($C1685="Receipt",$E1685,IF($C1685="Shipment",-$E1685,IF($C1685="Adjustment",$E1685,0))))</f>
        <v/>
      </c>
      <c r="N1685" s="49" t="str">
        <f>IF($D1685="","",IFERROR(INDEX(Products!$B$2:$B$101,MATCH($D1685,Products!$A$2:$A$101,0))&amp;"","(not found)"))</f>
        <v/>
      </c>
      <c r="O1685" s="49" t="str">
        <f>IF($F1685="","",IFERROR(INDEX(Batches!$B$2:$B$301,MATCH($F1685,Batches!$A$2:$A$301,0))&amp;"","(not found)"))</f>
        <v/>
      </c>
      <c r="P1685" s="49" t="str">
        <f>IF(COUNTA($A1685:$L1685)=0,"",IF($A1685="","Missing: entry ID",IF(COUNTIF($A$2:$A$2001,$A1685)&gt;1,"Duplicate entry ID",IF(NOT(ISNUMBER($B1685)),"Missing or invalid: date",IF($C1685="","Missing: type",IF($D1685="","Missing: SKU",IF(NOT(ISNUMBER($E1685)),"Missing: qty",IF($F1685="","Missing: lot",IF($I1685="","Missing: source link",IF(COUNTIF(Config!$A$15:$A$34,$C1685)=0,"Unsupported type",IF(COUNTIF(Products!$A$2:$A$101,$D1685)=0,"Unknown SKU",IF(COUNTIFS(Batches!$A$2:$A$301,$F1685,Batches!$B$2:$B$301,$D1685)=0,"Unknown lot for this SKU",IF(AND($C1685="Adjustment",$G1685=""),"Missing: reason",IF(AND($G1685&lt;&gt;"",COUNTIF(Config!$B$15:$B$34,$G1685)=0),"Unsupported reason",IF(OR(INT($E1685)&lt;&gt;$E1685,AND(OR($C1685="Receipt",$C1685="Shipment"),$E1685&lt;=0),AND($C1685="Adjustment",$E1685=0)),"Invalid qty",IF($B1685&gt;Config!$B$4,"Date after the as-of date",IF($B1685&lt;Config!$B$5,"Date before the opening balance date","OK")))))))))))))))))</f>
        <v/>
      </c>
    </row>
    <row r="1686">
      <c r="A1686" s="46" t="n"/>
      <c r="B1686" s="54" t="n"/>
      <c r="C1686" s="46" t="n"/>
      <c r="D1686" s="46" t="n"/>
      <c r="E1686" s="55" t="n"/>
      <c r="F1686" s="46" t="n"/>
      <c r="G1686" s="46" t="n"/>
      <c r="H1686" s="46" t="n"/>
      <c r="I1686" s="46" t="n"/>
      <c r="J1686" s="46" t="n"/>
      <c r="K1686" s="46" t="n"/>
      <c r="L1686" s="46" t="n"/>
      <c r="M1686" s="51" t="str">
        <f>IF(NOT(ISNUMBER($E1686)),"",IF($C1686="Receipt",$E1686,IF($C1686="Shipment",-$E1686,IF($C1686="Adjustment",$E1686,0))))</f>
        <v/>
      </c>
      <c r="N1686" s="49" t="str">
        <f>IF($D1686="","",IFERROR(INDEX(Products!$B$2:$B$101,MATCH($D1686,Products!$A$2:$A$101,0))&amp;"","(not found)"))</f>
        <v/>
      </c>
      <c r="O1686" s="49" t="str">
        <f>IF($F1686="","",IFERROR(INDEX(Batches!$B$2:$B$301,MATCH($F1686,Batches!$A$2:$A$301,0))&amp;"","(not found)"))</f>
        <v/>
      </c>
      <c r="P1686" s="49" t="str">
        <f>IF(COUNTA($A1686:$L1686)=0,"",IF($A1686="","Missing: entry ID",IF(COUNTIF($A$2:$A$2001,$A1686)&gt;1,"Duplicate entry ID",IF(NOT(ISNUMBER($B1686)),"Missing or invalid: date",IF($C1686="","Missing: type",IF($D1686="","Missing: SKU",IF(NOT(ISNUMBER($E1686)),"Missing: qty",IF($F1686="","Missing: lot",IF($I1686="","Missing: source link",IF(COUNTIF(Config!$A$15:$A$34,$C1686)=0,"Unsupported type",IF(COUNTIF(Products!$A$2:$A$101,$D1686)=0,"Unknown SKU",IF(COUNTIFS(Batches!$A$2:$A$301,$F1686,Batches!$B$2:$B$301,$D1686)=0,"Unknown lot for this SKU",IF(AND($C1686="Adjustment",$G1686=""),"Missing: reason",IF(AND($G1686&lt;&gt;"",COUNTIF(Config!$B$15:$B$34,$G1686)=0),"Unsupported reason",IF(OR(INT($E1686)&lt;&gt;$E1686,AND(OR($C1686="Receipt",$C1686="Shipment"),$E1686&lt;=0),AND($C1686="Adjustment",$E1686=0)),"Invalid qty",IF($B1686&gt;Config!$B$4,"Date after the as-of date",IF($B1686&lt;Config!$B$5,"Date before the opening balance date","OK")))))))))))))))))</f>
        <v/>
      </c>
    </row>
    <row r="1687">
      <c r="A1687" s="46" t="n"/>
      <c r="B1687" s="54" t="n"/>
      <c r="C1687" s="46" t="n"/>
      <c r="D1687" s="46" t="n"/>
      <c r="E1687" s="55" t="n"/>
      <c r="F1687" s="46" t="n"/>
      <c r="G1687" s="46" t="n"/>
      <c r="H1687" s="46" t="n"/>
      <c r="I1687" s="46" t="n"/>
      <c r="J1687" s="46" t="n"/>
      <c r="K1687" s="46" t="n"/>
      <c r="L1687" s="46" t="n"/>
      <c r="M1687" s="51" t="str">
        <f>IF(NOT(ISNUMBER($E1687)),"",IF($C1687="Receipt",$E1687,IF($C1687="Shipment",-$E1687,IF($C1687="Adjustment",$E1687,0))))</f>
        <v/>
      </c>
      <c r="N1687" s="49" t="str">
        <f>IF($D1687="","",IFERROR(INDEX(Products!$B$2:$B$101,MATCH($D1687,Products!$A$2:$A$101,0))&amp;"","(not found)"))</f>
        <v/>
      </c>
      <c r="O1687" s="49" t="str">
        <f>IF($F1687="","",IFERROR(INDEX(Batches!$B$2:$B$301,MATCH($F1687,Batches!$A$2:$A$301,0))&amp;"","(not found)"))</f>
        <v/>
      </c>
      <c r="P1687" s="49" t="str">
        <f>IF(COUNTA($A1687:$L1687)=0,"",IF($A1687="","Missing: entry ID",IF(COUNTIF($A$2:$A$2001,$A1687)&gt;1,"Duplicate entry ID",IF(NOT(ISNUMBER($B1687)),"Missing or invalid: date",IF($C1687="","Missing: type",IF($D1687="","Missing: SKU",IF(NOT(ISNUMBER($E1687)),"Missing: qty",IF($F1687="","Missing: lot",IF($I1687="","Missing: source link",IF(COUNTIF(Config!$A$15:$A$34,$C1687)=0,"Unsupported type",IF(COUNTIF(Products!$A$2:$A$101,$D1687)=0,"Unknown SKU",IF(COUNTIFS(Batches!$A$2:$A$301,$F1687,Batches!$B$2:$B$301,$D1687)=0,"Unknown lot for this SKU",IF(AND($C1687="Adjustment",$G1687=""),"Missing: reason",IF(AND($G1687&lt;&gt;"",COUNTIF(Config!$B$15:$B$34,$G1687)=0),"Unsupported reason",IF(OR(INT($E1687)&lt;&gt;$E1687,AND(OR($C1687="Receipt",$C1687="Shipment"),$E1687&lt;=0),AND($C1687="Adjustment",$E1687=0)),"Invalid qty",IF($B1687&gt;Config!$B$4,"Date after the as-of date",IF($B1687&lt;Config!$B$5,"Date before the opening balance date","OK")))))))))))))))))</f>
        <v/>
      </c>
    </row>
    <row r="1688">
      <c r="A1688" s="46" t="n"/>
      <c r="B1688" s="54" t="n"/>
      <c r="C1688" s="46" t="n"/>
      <c r="D1688" s="46" t="n"/>
      <c r="E1688" s="55" t="n"/>
      <c r="F1688" s="46" t="n"/>
      <c r="G1688" s="46" t="n"/>
      <c r="H1688" s="46" t="n"/>
      <c r="I1688" s="46" t="n"/>
      <c r="J1688" s="46" t="n"/>
      <c r="K1688" s="46" t="n"/>
      <c r="L1688" s="46" t="n"/>
      <c r="M1688" s="51" t="str">
        <f>IF(NOT(ISNUMBER($E1688)),"",IF($C1688="Receipt",$E1688,IF($C1688="Shipment",-$E1688,IF($C1688="Adjustment",$E1688,0))))</f>
        <v/>
      </c>
      <c r="N1688" s="49" t="str">
        <f>IF($D1688="","",IFERROR(INDEX(Products!$B$2:$B$101,MATCH($D1688,Products!$A$2:$A$101,0))&amp;"","(not found)"))</f>
        <v/>
      </c>
      <c r="O1688" s="49" t="str">
        <f>IF($F1688="","",IFERROR(INDEX(Batches!$B$2:$B$301,MATCH($F1688,Batches!$A$2:$A$301,0))&amp;"","(not found)"))</f>
        <v/>
      </c>
      <c r="P1688" s="49" t="str">
        <f>IF(COUNTA($A1688:$L1688)=0,"",IF($A1688="","Missing: entry ID",IF(COUNTIF($A$2:$A$2001,$A1688)&gt;1,"Duplicate entry ID",IF(NOT(ISNUMBER($B1688)),"Missing or invalid: date",IF($C1688="","Missing: type",IF($D1688="","Missing: SKU",IF(NOT(ISNUMBER($E1688)),"Missing: qty",IF($F1688="","Missing: lot",IF($I1688="","Missing: source link",IF(COUNTIF(Config!$A$15:$A$34,$C1688)=0,"Unsupported type",IF(COUNTIF(Products!$A$2:$A$101,$D1688)=0,"Unknown SKU",IF(COUNTIFS(Batches!$A$2:$A$301,$F1688,Batches!$B$2:$B$301,$D1688)=0,"Unknown lot for this SKU",IF(AND($C1688="Adjustment",$G1688=""),"Missing: reason",IF(AND($G1688&lt;&gt;"",COUNTIF(Config!$B$15:$B$34,$G1688)=0),"Unsupported reason",IF(OR(INT($E1688)&lt;&gt;$E1688,AND(OR($C1688="Receipt",$C1688="Shipment"),$E1688&lt;=0),AND($C1688="Adjustment",$E1688=0)),"Invalid qty",IF($B1688&gt;Config!$B$4,"Date after the as-of date",IF($B1688&lt;Config!$B$5,"Date before the opening balance date","OK")))))))))))))))))</f>
        <v/>
      </c>
    </row>
    <row r="1689">
      <c r="A1689" s="46" t="n"/>
      <c r="B1689" s="54" t="n"/>
      <c r="C1689" s="46" t="n"/>
      <c r="D1689" s="46" t="n"/>
      <c r="E1689" s="55" t="n"/>
      <c r="F1689" s="46" t="n"/>
      <c r="G1689" s="46" t="n"/>
      <c r="H1689" s="46" t="n"/>
      <c r="I1689" s="46" t="n"/>
      <c r="J1689" s="46" t="n"/>
      <c r="K1689" s="46" t="n"/>
      <c r="L1689" s="46" t="n"/>
      <c r="M1689" s="51" t="str">
        <f>IF(NOT(ISNUMBER($E1689)),"",IF($C1689="Receipt",$E1689,IF($C1689="Shipment",-$E1689,IF($C1689="Adjustment",$E1689,0))))</f>
        <v/>
      </c>
      <c r="N1689" s="49" t="str">
        <f>IF($D1689="","",IFERROR(INDEX(Products!$B$2:$B$101,MATCH($D1689,Products!$A$2:$A$101,0))&amp;"","(not found)"))</f>
        <v/>
      </c>
      <c r="O1689" s="49" t="str">
        <f>IF($F1689="","",IFERROR(INDEX(Batches!$B$2:$B$301,MATCH($F1689,Batches!$A$2:$A$301,0))&amp;"","(not found)"))</f>
        <v/>
      </c>
      <c r="P1689" s="49" t="str">
        <f>IF(COUNTA($A1689:$L1689)=0,"",IF($A1689="","Missing: entry ID",IF(COUNTIF($A$2:$A$2001,$A1689)&gt;1,"Duplicate entry ID",IF(NOT(ISNUMBER($B1689)),"Missing or invalid: date",IF($C1689="","Missing: type",IF($D1689="","Missing: SKU",IF(NOT(ISNUMBER($E1689)),"Missing: qty",IF($F1689="","Missing: lot",IF($I1689="","Missing: source link",IF(COUNTIF(Config!$A$15:$A$34,$C1689)=0,"Unsupported type",IF(COUNTIF(Products!$A$2:$A$101,$D1689)=0,"Unknown SKU",IF(COUNTIFS(Batches!$A$2:$A$301,$F1689,Batches!$B$2:$B$301,$D1689)=0,"Unknown lot for this SKU",IF(AND($C1689="Adjustment",$G1689=""),"Missing: reason",IF(AND($G1689&lt;&gt;"",COUNTIF(Config!$B$15:$B$34,$G1689)=0),"Unsupported reason",IF(OR(INT($E1689)&lt;&gt;$E1689,AND(OR($C1689="Receipt",$C1689="Shipment"),$E1689&lt;=0),AND($C1689="Adjustment",$E1689=0)),"Invalid qty",IF($B1689&gt;Config!$B$4,"Date after the as-of date",IF($B1689&lt;Config!$B$5,"Date before the opening balance date","OK")))))))))))))))))</f>
        <v/>
      </c>
    </row>
    <row r="1690">
      <c r="A1690" s="46" t="n"/>
      <c r="B1690" s="54" t="n"/>
      <c r="C1690" s="46" t="n"/>
      <c r="D1690" s="46" t="n"/>
      <c r="E1690" s="55" t="n"/>
      <c r="F1690" s="46" t="n"/>
      <c r="G1690" s="46" t="n"/>
      <c r="H1690" s="46" t="n"/>
      <c r="I1690" s="46" t="n"/>
      <c r="J1690" s="46" t="n"/>
      <c r="K1690" s="46" t="n"/>
      <c r="L1690" s="46" t="n"/>
      <c r="M1690" s="51" t="str">
        <f>IF(NOT(ISNUMBER($E1690)),"",IF($C1690="Receipt",$E1690,IF($C1690="Shipment",-$E1690,IF($C1690="Adjustment",$E1690,0))))</f>
        <v/>
      </c>
      <c r="N1690" s="49" t="str">
        <f>IF($D1690="","",IFERROR(INDEX(Products!$B$2:$B$101,MATCH($D1690,Products!$A$2:$A$101,0))&amp;"","(not found)"))</f>
        <v/>
      </c>
      <c r="O1690" s="49" t="str">
        <f>IF($F1690="","",IFERROR(INDEX(Batches!$B$2:$B$301,MATCH($F1690,Batches!$A$2:$A$301,0))&amp;"","(not found)"))</f>
        <v/>
      </c>
      <c r="P1690" s="49" t="str">
        <f>IF(COUNTA($A1690:$L1690)=0,"",IF($A1690="","Missing: entry ID",IF(COUNTIF($A$2:$A$2001,$A1690)&gt;1,"Duplicate entry ID",IF(NOT(ISNUMBER($B1690)),"Missing or invalid: date",IF($C1690="","Missing: type",IF($D1690="","Missing: SKU",IF(NOT(ISNUMBER($E1690)),"Missing: qty",IF($F1690="","Missing: lot",IF($I1690="","Missing: source link",IF(COUNTIF(Config!$A$15:$A$34,$C1690)=0,"Unsupported type",IF(COUNTIF(Products!$A$2:$A$101,$D1690)=0,"Unknown SKU",IF(COUNTIFS(Batches!$A$2:$A$301,$F1690,Batches!$B$2:$B$301,$D1690)=0,"Unknown lot for this SKU",IF(AND($C1690="Adjustment",$G1690=""),"Missing: reason",IF(AND($G1690&lt;&gt;"",COUNTIF(Config!$B$15:$B$34,$G1690)=0),"Unsupported reason",IF(OR(INT($E1690)&lt;&gt;$E1690,AND(OR($C1690="Receipt",$C1690="Shipment"),$E1690&lt;=0),AND($C1690="Adjustment",$E1690=0)),"Invalid qty",IF($B1690&gt;Config!$B$4,"Date after the as-of date",IF($B1690&lt;Config!$B$5,"Date before the opening balance date","OK")))))))))))))))))</f>
        <v/>
      </c>
    </row>
    <row r="1691">
      <c r="A1691" s="46" t="n"/>
      <c r="B1691" s="54" t="n"/>
      <c r="C1691" s="46" t="n"/>
      <c r="D1691" s="46" t="n"/>
      <c r="E1691" s="55" t="n"/>
      <c r="F1691" s="46" t="n"/>
      <c r="G1691" s="46" t="n"/>
      <c r="H1691" s="46" t="n"/>
      <c r="I1691" s="46" t="n"/>
      <c r="J1691" s="46" t="n"/>
      <c r="K1691" s="46" t="n"/>
      <c r="L1691" s="46" t="n"/>
      <c r="M1691" s="51" t="str">
        <f>IF(NOT(ISNUMBER($E1691)),"",IF($C1691="Receipt",$E1691,IF($C1691="Shipment",-$E1691,IF($C1691="Adjustment",$E1691,0))))</f>
        <v/>
      </c>
      <c r="N1691" s="49" t="str">
        <f>IF($D1691="","",IFERROR(INDEX(Products!$B$2:$B$101,MATCH($D1691,Products!$A$2:$A$101,0))&amp;"","(not found)"))</f>
        <v/>
      </c>
      <c r="O1691" s="49" t="str">
        <f>IF($F1691="","",IFERROR(INDEX(Batches!$B$2:$B$301,MATCH($F1691,Batches!$A$2:$A$301,0))&amp;"","(not found)"))</f>
        <v/>
      </c>
      <c r="P1691" s="49" t="str">
        <f>IF(COUNTA($A1691:$L1691)=0,"",IF($A1691="","Missing: entry ID",IF(COUNTIF($A$2:$A$2001,$A1691)&gt;1,"Duplicate entry ID",IF(NOT(ISNUMBER($B1691)),"Missing or invalid: date",IF($C1691="","Missing: type",IF($D1691="","Missing: SKU",IF(NOT(ISNUMBER($E1691)),"Missing: qty",IF($F1691="","Missing: lot",IF($I1691="","Missing: source link",IF(COUNTIF(Config!$A$15:$A$34,$C1691)=0,"Unsupported type",IF(COUNTIF(Products!$A$2:$A$101,$D1691)=0,"Unknown SKU",IF(COUNTIFS(Batches!$A$2:$A$301,$F1691,Batches!$B$2:$B$301,$D1691)=0,"Unknown lot for this SKU",IF(AND($C1691="Adjustment",$G1691=""),"Missing: reason",IF(AND($G1691&lt;&gt;"",COUNTIF(Config!$B$15:$B$34,$G1691)=0),"Unsupported reason",IF(OR(INT($E1691)&lt;&gt;$E1691,AND(OR($C1691="Receipt",$C1691="Shipment"),$E1691&lt;=0),AND($C1691="Adjustment",$E1691=0)),"Invalid qty",IF($B1691&gt;Config!$B$4,"Date after the as-of date",IF($B1691&lt;Config!$B$5,"Date before the opening balance date","OK")))))))))))))))))</f>
        <v/>
      </c>
    </row>
    <row r="1692">
      <c r="A1692" s="46" t="n"/>
      <c r="B1692" s="54" t="n"/>
      <c r="C1692" s="46" t="n"/>
      <c r="D1692" s="46" t="n"/>
      <c r="E1692" s="55" t="n"/>
      <c r="F1692" s="46" t="n"/>
      <c r="G1692" s="46" t="n"/>
      <c r="H1692" s="46" t="n"/>
      <c r="I1692" s="46" t="n"/>
      <c r="J1692" s="46" t="n"/>
      <c r="K1692" s="46" t="n"/>
      <c r="L1692" s="46" t="n"/>
      <c r="M1692" s="51" t="str">
        <f>IF(NOT(ISNUMBER($E1692)),"",IF($C1692="Receipt",$E1692,IF($C1692="Shipment",-$E1692,IF($C1692="Adjustment",$E1692,0))))</f>
        <v/>
      </c>
      <c r="N1692" s="49" t="str">
        <f>IF($D1692="","",IFERROR(INDEX(Products!$B$2:$B$101,MATCH($D1692,Products!$A$2:$A$101,0))&amp;"","(not found)"))</f>
        <v/>
      </c>
      <c r="O1692" s="49" t="str">
        <f>IF($F1692="","",IFERROR(INDEX(Batches!$B$2:$B$301,MATCH($F1692,Batches!$A$2:$A$301,0))&amp;"","(not found)"))</f>
        <v/>
      </c>
      <c r="P1692" s="49" t="str">
        <f>IF(COUNTA($A1692:$L1692)=0,"",IF($A1692="","Missing: entry ID",IF(COUNTIF($A$2:$A$2001,$A1692)&gt;1,"Duplicate entry ID",IF(NOT(ISNUMBER($B1692)),"Missing or invalid: date",IF($C1692="","Missing: type",IF($D1692="","Missing: SKU",IF(NOT(ISNUMBER($E1692)),"Missing: qty",IF($F1692="","Missing: lot",IF($I1692="","Missing: source link",IF(COUNTIF(Config!$A$15:$A$34,$C1692)=0,"Unsupported type",IF(COUNTIF(Products!$A$2:$A$101,$D1692)=0,"Unknown SKU",IF(COUNTIFS(Batches!$A$2:$A$301,$F1692,Batches!$B$2:$B$301,$D1692)=0,"Unknown lot for this SKU",IF(AND($C1692="Adjustment",$G1692=""),"Missing: reason",IF(AND($G1692&lt;&gt;"",COUNTIF(Config!$B$15:$B$34,$G1692)=0),"Unsupported reason",IF(OR(INT($E1692)&lt;&gt;$E1692,AND(OR($C1692="Receipt",$C1692="Shipment"),$E1692&lt;=0),AND($C1692="Adjustment",$E1692=0)),"Invalid qty",IF($B1692&gt;Config!$B$4,"Date after the as-of date",IF($B1692&lt;Config!$B$5,"Date before the opening balance date","OK")))))))))))))))))</f>
        <v/>
      </c>
    </row>
    <row r="1693">
      <c r="A1693" s="46" t="n"/>
      <c r="B1693" s="54" t="n"/>
      <c r="C1693" s="46" t="n"/>
      <c r="D1693" s="46" t="n"/>
      <c r="E1693" s="55" t="n"/>
      <c r="F1693" s="46" t="n"/>
      <c r="G1693" s="46" t="n"/>
      <c r="H1693" s="46" t="n"/>
      <c r="I1693" s="46" t="n"/>
      <c r="J1693" s="46" t="n"/>
      <c r="K1693" s="46" t="n"/>
      <c r="L1693" s="46" t="n"/>
      <c r="M1693" s="51" t="str">
        <f>IF(NOT(ISNUMBER($E1693)),"",IF($C1693="Receipt",$E1693,IF($C1693="Shipment",-$E1693,IF($C1693="Adjustment",$E1693,0))))</f>
        <v/>
      </c>
      <c r="N1693" s="49" t="str">
        <f>IF($D1693="","",IFERROR(INDEX(Products!$B$2:$B$101,MATCH($D1693,Products!$A$2:$A$101,0))&amp;"","(not found)"))</f>
        <v/>
      </c>
      <c r="O1693" s="49" t="str">
        <f>IF($F1693="","",IFERROR(INDEX(Batches!$B$2:$B$301,MATCH($F1693,Batches!$A$2:$A$301,0))&amp;"","(not found)"))</f>
        <v/>
      </c>
      <c r="P1693" s="49" t="str">
        <f>IF(COUNTA($A1693:$L1693)=0,"",IF($A1693="","Missing: entry ID",IF(COUNTIF($A$2:$A$2001,$A1693)&gt;1,"Duplicate entry ID",IF(NOT(ISNUMBER($B1693)),"Missing or invalid: date",IF($C1693="","Missing: type",IF($D1693="","Missing: SKU",IF(NOT(ISNUMBER($E1693)),"Missing: qty",IF($F1693="","Missing: lot",IF($I1693="","Missing: source link",IF(COUNTIF(Config!$A$15:$A$34,$C1693)=0,"Unsupported type",IF(COUNTIF(Products!$A$2:$A$101,$D1693)=0,"Unknown SKU",IF(COUNTIFS(Batches!$A$2:$A$301,$F1693,Batches!$B$2:$B$301,$D1693)=0,"Unknown lot for this SKU",IF(AND($C1693="Adjustment",$G1693=""),"Missing: reason",IF(AND($G1693&lt;&gt;"",COUNTIF(Config!$B$15:$B$34,$G1693)=0),"Unsupported reason",IF(OR(INT($E1693)&lt;&gt;$E1693,AND(OR($C1693="Receipt",$C1693="Shipment"),$E1693&lt;=0),AND($C1693="Adjustment",$E1693=0)),"Invalid qty",IF($B1693&gt;Config!$B$4,"Date after the as-of date",IF($B1693&lt;Config!$B$5,"Date before the opening balance date","OK")))))))))))))))))</f>
        <v/>
      </c>
    </row>
    <row r="1694">
      <c r="A1694" s="46" t="n"/>
      <c r="B1694" s="54" t="n"/>
      <c r="C1694" s="46" t="n"/>
      <c r="D1694" s="46" t="n"/>
      <c r="E1694" s="55" t="n"/>
      <c r="F1694" s="46" t="n"/>
      <c r="G1694" s="46" t="n"/>
      <c r="H1694" s="46" t="n"/>
      <c r="I1694" s="46" t="n"/>
      <c r="J1694" s="46" t="n"/>
      <c r="K1694" s="46" t="n"/>
      <c r="L1694" s="46" t="n"/>
      <c r="M1694" s="51" t="str">
        <f>IF(NOT(ISNUMBER($E1694)),"",IF($C1694="Receipt",$E1694,IF($C1694="Shipment",-$E1694,IF($C1694="Adjustment",$E1694,0))))</f>
        <v/>
      </c>
      <c r="N1694" s="49" t="str">
        <f>IF($D1694="","",IFERROR(INDEX(Products!$B$2:$B$101,MATCH($D1694,Products!$A$2:$A$101,0))&amp;"","(not found)"))</f>
        <v/>
      </c>
      <c r="O1694" s="49" t="str">
        <f>IF($F1694="","",IFERROR(INDEX(Batches!$B$2:$B$301,MATCH($F1694,Batches!$A$2:$A$301,0))&amp;"","(not found)"))</f>
        <v/>
      </c>
      <c r="P1694" s="49" t="str">
        <f>IF(COUNTA($A1694:$L1694)=0,"",IF($A1694="","Missing: entry ID",IF(COUNTIF($A$2:$A$2001,$A1694)&gt;1,"Duplicate entry ID",IF(NOT(ISNUMBER($B1694)),"Missing or invalid: date",IF($C1694="","Missing: type",IF($D1694="","Missing: SKU",IF(NOT(ISNUMBER($E1694)),"Missing: qty",IF($F1694="","Missing: lot",IF($I1694="","Missing: source link",IF(COUNTIF(Config!$A$15:$A$34,$C1694)=0,"Unsupported type",IF(COUNTIF(Products!$A$2:$A$101,$D1694)=0,"Unknown SKU",IF(COUNTIFS(Batches!$A$2:$A$301,$F1694,Batches!$B$2:$B$301,$D1694)=0,"Unknown lot for this SKU",IF(AND($C1694="Adjustment",$G1694=""),"Missing: reason",IF(AND($G1694&lt;&gt;"",COUNTIF(Config!$B$15:$B$34,$G1694)=0),"Unsupported reason",IF(OR(INT($E1694)&lt;&gt;$E1694,AND(OR($C1694="Receipt",$C1694="Shipment"),$E1694&lt;=0),AND($C1694="Adjustment",$E1694=0)),"Invalid qty",IF($B1694&gt;Config!$B$4,"Date after the as-of date",IF($B1694&lt;Config!$B$5,"Date before the opening balance date","OK")))))))))))))))))</f>
        <v/>
      </c>
    </row>
    <row r="1695">
      <c r="A1695" s="46" t="n"/>
      <c r="B1695" s="54" t="n"/>
      <c r="C1695" s="46" t="n"/>
      <c r="D1695" s="46" t="n"/>
      <c r="E1695" s="55" t="n"/>
      <c r="F1695" s="46" t="n"/>
      <c r="G1695" s="46" t="n"/>
      <c r="H1695" s="46" t="n"/>
      <c r="I1695" s="46" t="n"/>
      <c r="J1695" s="46" t="n"/>
      <c r="K1695" s="46" t="n"/>
      <c r="L1695" s="46" t="n"/>
      <c r="M1695" s="51" t="str">
        <f>IF(NOT(ISNUMBER($E1695)),"",IF($C1695="Receipt",$E1695,IF($C1695="Shipment",-$E1695,IF($C1695="Adjustment",$E1695,0))))</f>
        <v/>
      </c>
      <c r="N1695" s="49" t="str">
        <f>IF($D1695="","",IFERROR(INDEX(Products!$B$2:$B$101,MATCH($D1695,Products!$A$2:$A$101,0))&amp;"","(not found)"))</f>
        <v/>
      </c>
      <c r="O1695" s="49" t="str">
        <f>IF($F1695="","",IFERROR(INDEX(Batches!$B$2:$B$301,MATCH($F1695,Batches!$A$2:$A$301,0))&amp;"","(not found)"))</f>
        <v/>
      </c>
      <c r="P1695" s="49" t="str">
        <f>IF(COUNTA($A1695:$L1695)=0,"",IF($A1695="","Missing: entry ID",IF(COUNTIF($A$2:$A$2001,$A1695)&gt;1,"Duplicate entry ID",IF(NOT(ISNUMBER($B1695)),"Missing or invalid: date",IF($C1695="","Missing: type",IF($D1695="","Missing: SKU",IF(NOT(ISNUMBER($E1695)),"Missing: qty",IF($F1695="","Missing: lot",IF($I1695="","Missing: source link",IF(COUNTIF(Config!$A$15:$A$34,$C1695)=0,"Unsupported type",IF(COUNTIF(Products!$A$2:$A$101,$D1695)=0,"Unknown SKU",IF(COUNTIFS(Batches!$A$2:$A$301,$F1695,Batches!$B$2:$B$301,$D1695)=0,"Unknown lot for this SKU",IF(AND($C1695="Adjustment",$G1695=""),"Missing: reason",IF(AND($G1695&lt;&gt;"",COUNTIF(Config!$B$15:$B$34,$G1695)=0),"Unsupported reason",IF(OR(INT($E1695)&lt;&gt;$E1695,AND(OR($C1695="Receipt",$C1695="Shipment"),$E1695&lt;=0),AND($C1695="Adjustment",$E1695=0)),"Invalid qty",IF($B1695&gt;Config!$B$4,"Date after the as-of date",IF($B1695&lt;Config!$B$5,"Date before the opening balance date","OK")))))))))))))))))</f>
        <v/>
      </c>
    </row>
    <row r="1696">
      <c r="A1696" s="46" t="n"/>
      <c r="B1696" s="54" t="n"/>
      <c r="C1696" s="46" t="n"/>
      <c r="D1696" s="46" t="n"/>
      <c r="E1696" s="55" t="n"/>
      <c r="F1696" s="46" t="n"/>
      <c r="G1696" s="46" t="n"/>
      <c r="H1696" s="46" t="n"/>
      <c r="I1696" s="46" t="n"/>
      <c r="J1696" s="46" t="n"/>
      <c r="K1696" s="46" t="n"/>
      <c r="L1696" s="46" t="n"/>
      <c r="M1696" s="51" t="str">
        <f>IF(NOT(ISNUMBER($E1696)),"",IF($C1696="Receipt",$E1696,IF($C1696="Shipment",-$E1696,IF($C1696="Adjustment",$E1696,0))))</f>
        <v/>
      </c>
      <c r="N1696" s="49" t="str">
        <f>IF($D1696="","",IFERROR(INDEX(Products!$B$2:$B$101,MATCH($D1696,Products!$A$2:$A$101,0))&amp;"","(not found)"))</f>
        <v/>
      </c>
      <c r="O1696" s="49" t="str">
        <f>IF($F1696="","",IFERROR(INDEX(Batches!$B$2:$B$301,MATCH($F1696,Batches!$A$2:$A$301,0))&amp;"","(not found)"))</f>
        <v/>
      </c>
      <c r="P1696" s="49" t="str">
        <f>IF(COUNTA($A1696:$L1696)=0,"",IF($A1696="","Missing: entry ID",IF(COUNTIF($A$2:$A$2001,$A1696)&gt;1,"Duplicate entry ID",IF(NOT(ISNUMBER($B1696)),"Missing or invalid: date",IF($C1696="","Missing: type",IF($D1696="","Missing: SKU",IF(NOT(ISNUMBER($E1696)),"Missing: qty",IF($F1696="","Missing: lot",IF($I1696="","Missing: source link",IF(COUNTIF(Config!$A$15:$A$34,$C1696)=0,"Unsupported type",IF(COUNTIF(Products!$A$2:$A$101,$D1696)=0,"Unknown SKU",IF(COUNTIFS(Batches!$A$2:$A$301,$F1696,Batches!$B$2:$B$301,$D1696)=0,"Unknown lot for this SKU",IF(AND($C1696="Adjustment",$G1696=""),"Missing: reason",IF(AND($G1696&lt;&gt;"",COUNTIF(Config!$B$15:$B$34,$G1696)=0),"Unsupported reason",IF(OR(INT($E1696)&lt;&gt;$E1696,AND(OR($C1696="Receipt",$C1696="Shipment"),$E1696&lt;=0),AND($C1696="Adjustment",$E1696=0)),"Invalid qty",IF($B1696&gt;Config!$B$4,"Date after the as-of date",IF($B1696&lt;Config!$B$5,"Date before the opening balance date","OK")))))))))))))))))</f>
        <v/>
      </c>
    </row>
    <row r="1697">
      <c r="A1697" s="46" t="n"/>
      <c r="B1697" s="54" t="n"/>
      <c r="C1697" s="46" t="n"/>
      <c r="D1697" s="46" t="n"/>
      <c r="E1697" s="55" t="n"/>
      <c r="F1697" s="46" t="n"/>
      <c r="G1697" s="46" t="n"/>
      <c r="H1697" s="46" t="n"/>
      <c r="I1697" s="46" t="n"/>
      <c r="J1697" s="46" t="n"/>
      <c r="K1697" s="46" t="n"/>
      <c r="L1697" s="46" t="n"/>
      <c r="M1697" s="51" t="str">
        <f>IF(NOT(ISNUMBER($E1697)),"",IF($C1697="Receipt",$E1697,IF($C1697="Shipment",-$E1697,IF($C1697="Adjustment",$E1697,0))))</f>
        <v/>
      </c>
      <c r="N1697" s="49" t="str">
        <f>IF($D1697="","",IFERROR(INDEX(Products!$B$2:$B$101,MATCH($D1697,Products!$A$2:$A$101,0))&amp;"","(not found)"))</f>
        <v/>
      </c>
      <c r="O1697" s="49" t="str">
        <f>IF($F1697="","",IFERROR(INDEX(Batches!$B$2:$B$301,MATCH($F1697,Batches!$A$2:$A$301,0))&amp;"","(not found)"))</f>
        <v/>
      </c>
      <c r="P1697" s="49" t="str">
        <f>IF(COUNTA($A1697:$L1697)=0,"",IF($A1697="","Missing: entry ID",IF(COUNTIF($A$2:$A$2001,$A1697)&gt;1,"Duplicate entry ID",IF(NOT(ISNUMBER($B1697)),"Missing or invalid: date",IF($C1697="","Missing: type",IF($D1697="","Missing: SKU",IF(NOT(ISNUMBER($E1697)),"Missing: qty",IF($F1697="","Missing: lot",IF($I1697="","Missing: source link",IF(COUNTIF(Config!$A$15:$A$34,$C1697)=0,"Unsupported type",IF(COUNTIF(Products!$A$2:$A$101,$D1697)=0,"Unknown SKU",IF(COUNTIFS(Batches!$A$2:$A$301,$F1697,Batches!$B$2:$B$301,$D1697)=0,"Unknown lot for this SKU",IF(AND($C1697="Adjustment",$G1697=""),"Missing: reason",IF(AND($G1697&lt;&gt;"",COUNTIF(Config!$B$15:$B$34,$G1697)=0),"Unsupported reason",IF(OR(INT($E1697)&lt;&gt;$E1697,AND(OR($C1697="Receipt",$C1697="Shipment"),$E1697&lt;=0),AND($C1697="Adjustment",$E1697=0)),"Invalid qty",IF($B1697&gt;Config!$B$4,"Date after the as-of date",IF($B1697&lt;Config!$B$5,"Date before the opening balance date","OK")))))))))))))))))</f>
        <v/>
      </c>
    </row>
    <row r="1698">
      <c r="A1698" s="46" t="n"/>
      <c r="B1698" s="54" t="n"/>
      <c r="C1698" s="46" t="n"/>
      <c r="D1698" s="46" t="n"/>
      <c r="E1698" s="55" t="n"/>
      <c r="F1698" s="46" t="n"/>
      <c r="G1698" s="46" t="n"/>
      <c r="H1698" s="46" t="n"/>
      <c r="I1698" s="46" t="n"/>
      <c r="J1698" s="46" t="n"/>
      <c r="K1698" s="46" t="n"/>
      <c r="L1698" s="46" t="n"/>
      <c r="M1698" s="51" t="str">
        <f>IF(NOT(ISNUMBER($E1698)),"",IF($C1698="Receipt",$E1698,IF($C1698="Shipment",-$E1698,IF($C1698="Adjustment",$E1698,0))))</f>
        <v/>
      </c>
      <c r="N1698" s="49" t="str">
        <f>IF($D1698="","",IFERROR(INDEX(Products!$B$2:$B$101,MATCH($D1698,Products!$A$2:$A$101,0))&amp;"","(not found)"))</f>
        <v/>
      </c>
      <c r="O1698" s="49" t="str">
        <f>IF($F1698="","",IFERROR(INDEX(Batches!$B$2:$B$301,MATCH($F1698,Batches!$A$2:$A$301,0))&amp;"","(not found)"))</f>
        <v/>
      </c>
      <c r="P1698" s="49" t="str">
        <f>IF(COUNTA($A1698:$L1698)=0,"",IF($A1698="","Missing: entry ID",IF(COUNTIF($A$2:$A$2001,$A1698)&gt;1,"Duplicate entry ID",IF(NOT(ISNUMBER($B1698)),"Missing or invalid: date",IF($C1698="","Missing: type",IF($D1698="","Missing: SKU",IF(NOT(ISNUMBER($E1698)),"Missing: qty",IF($F1698="","Missing: lot",IF($I1698="","Missing: source link",IF(COUNTIF(Config!$A$15:$A$34,$C1698)=0,"Unsupported type",IF(COUNTIF(Products!$A$2:$A$101,$D1698)=0,"Unknown SKU",IF(COUNTIFS(Batches!$A$2:$A$301,$F1698,Batches!$B$2:$B$301,$D1698)=0,"Unknown lot for this SKU",IF(AND($C1698="Adjustment",$G1698=""),"Missing: reason",IF(AND($G1698&lt;&gt;"",COUNTIF(Config!$B$15:$B$34,$G1698)=0),"Unsupported reason",IF(OR(INT($E1698)&lt;&gt;$E1698,AND(OR($C1698="Receipt",$C1698="Shipment"),$E1698&lt;=0),AND($C1698="Adjustment",$E1698=0)),"Invalid qty",IF($B1698&gt;Config!$B$4,"Date after the as-of date",IF($B1698&lt;Config!$B$5,"Date before the opening balance date","OK")))))))))))))))))</f>
        <v/>
      </c>
    </row>
    <row r="1699">
      <c r="A1699" s="46" t="n"/>
      <c r="B1699" s="54" t="n"/>
      <c r="C1699" s="46" t="n"/>
      <c r="D1699" s="46" t="n"/>
      <c r="E1699" s="55" t="n"/>
      <c r="F1699" s="46" t="n"/>
      <c r="G1699" s="46" t="n"/>
      <c r="H1699" s="46" t="n"/>
      <c r="I1699" s="46" t="n"/>
      <c r="J1699" s="46" t="n"/>
      <c r="K1699" s="46" t="n"/>
      <c r="L1699" s="46" t="n"/>
      <c r="M1699" s="51" t="str">
        <f>IF(NOT(ISNUMBER($E1699)),"",IF($C1699="Receipt",$E1699,IF($C1699="Shipment",-$E1699,IF($C1699="Adjustment",$E1699,0))))</f>
        <v/>
      </c>
      <c r="N1699" s="49" t="str">
        <f>IF($D1699="","",IFERROR(INDEX(Products!$B$2:$B$101,MATCH($D1699,Products!$A$2:$A$101,0))&amp;"","(not found)"))</f>
        <v/>
      </c>
      <c r="O1699" s="49" t="str">
        <f>IF($F1699="","",IFERROR(INDEX(Batches!$B$2:$B$301,MATCH($F1699,Batches!$A$2:$A$301,0))&amp;"","(not found)"))</f>
        <v/>
      </c>
      <c r="P1699" s="49" t="str">
        <f>IF(COUNTA($A1699:$L1699)=0,"",IF($A1699="","Missing: entry ID",IF(COUNTIF($A$2:$A$2001,$A1699)&gt;1,"Duplicate entry ID",IF(NOT(ISNUMBER($B1699)),"Missing or invalid: date",IF($C1699="","Missing: type",IF($D1699="","Missing: SKU",IF(NOT(ISNUMBER($E1699)),"Missing: qty",IF($F1699="","Missing: lot",IF($I1699="","Missing: source link",IF(COUNTIF(Config!$A$15:$A$34,$C1699)=0,"Unsupported type",IF(COUNTIF(Products!$A$2:$A$101,$D1699)=0,"Unknown SKU",IF(COUNTIFS(Batches!$A$2:$A$301,$F1699,Batches!$B$2:$B$301,$D1699)=0,"Unknown lot for this SKU",IF(AND($C1699="Adjustment",$G1699=""),"Missing: reason",IF(AND($G1699&lt;&gt;"",COUNTIF(Config!$B$15:$B$34,$G1699)=0),"Unsupported reason",IF(OR(INT($E1699)&lt;&gt;$E1699,AND(OR($C1699="Receipt",$C1699="Shipment"),$E1699&lt;=0),AND($C1699="Adjustment",$E1699=0)),"Invalid qty",IF($B1699&gt;Config!$B$4,"Date after the as-of date",IF($B1699&lt;Config!$B$5,"Date before the opening balance date","OK")))))))))))))))))</f>
        <v/>
      </c>
    </row>
    <row r="1700">
      <c r="A1700" s="46" t="n"/>
      <c r="B1700" s="54" t="n"/>
      <c r="C1700" s="46" t="n"/>
      <c r="D1700" s="46" t="n"/>
      <c r="E1700" s="55" t="n"/>
      <c r="F1700" s="46" t="n"/>
      <c r="G1700" s="46" t="n"/>
      <c r="H1700" s="46" t="n"/>
      <c r="I1700" s="46" t="n"/>
      <c r="J1700" s="46" t="n"/>
      <c r="K1700" s="46" t="n"/>
      <c r="L1700" s="46" t="n"/>
      <c r="M1700" s="51" t="str">
        <f>IF(NOT(ISNUMBER($E1700)),"",IF($C1700="Receipt",$E1700,IF($C1700="Shipment",-$E1700,IF($C1700="Adjustment",$E1700,0))))</f>
        <v/>
      </c>
      <c r="N1700" s="49" t="str">
        <f>IF($D1700="","",IFERROR(INDEX(Products!$B$2:$B$101,MATCH($D1700,Products!$A$2:$A$101,0))&amp;"","(not found)"))</f>
        <v/>
      </c>
      <c r="O1700" s="49" t="str">
        <f>IF($F1700="","",IFERROR(INDEX(Batches!$B$2:$B$301,MATCH($F1700,Batches!$A$2:$A$301,0))&amp;"","(not found)"))</f>
        <v/>
      </c>
      <c r="P1700" s="49" t="str">
        <f>IF(COUNTA($A1700:$L1700)=0,"",IF($A1700="","Missing: entry ID",IF(COUNTIF($A$2:$A$2001,$A1700)&gt;1,"Duplicate entry ID",IF(NOT(ISNUMBER($B1700)),"Missing or invalid: date",IF($C1700="","Missing: type",IF($D1700="","Missing: SKU",IF(NOT(ISNUMBER($E1700)),"Missing: qty",IF($F1700="","Missing: lot",IF($I1700="","Missing: source link",IF(COUNTIF(Config!$A$15:$A$34,$C1700)=0,"Unsupported type",IF(COUNTIF(Products!$A$2:$A$101,$D1700)=0,"Unknown SKU",IF(COUNTIFS(Batches!$A$2:$A$301,$F1700,Batches!$B$2:$B$301,$D1700)=0,"Unknown lot for this SKU",IF(AND($C1700="Adjustment",$G1700=""),"Missing: reason",IF(AND($G1700&lt;&gt;"",COUNTIF(Config!$B$15:$B$34,$G1700)=0),"Unsupported reason",IF(OR(INT($E1700)&lt;&gt;$E1700,AND(OR($C1700="Receipt",$C1700="Shipment"),$E1700&lt;=0),AND($C1700="Adjustment",$E1700=0)),"Invalid qty",IF($B1700&gt;Config!$B$4,"Date after the as-of date",IF($B1700&lt;Config!$B$5,"Date before the opening balance date","OK")))))))))))))))))</f>
        <v/>
      </c>
    </row>
    <row r="1701">
      <c r="A1701" s="46" t="n"/>
      <c r="B1701" s="54" t="n"/>
      <c r="C1701" s="46" t="n"/>
      <c r="D1701" s="46" t="n"/>
      <c r="E1701" s="55" t="n"/>
      <c r="F1701" s="46" t="n"/>
      <c r="G1701" s="46" t="n"/>
      <c r="H1701" s="46" t="n"/>
      <c r="I1701" s="46" t="n"/>
      <c r="J1701" s="46" t="n"/>
      <c r="K1701" s="46" t="n"/>
      <c r="L1701" s="46" t="n"/>
      <c r="M1701" s="51" t="str">
        <f>IF(NOT(ISNUMBER($E1701)),"",IF($C1701="Receipt",$E1701,IF($C1701="Shipment",-$E1701,IF($C1701="Adjustment",$E1701,0))))</f>
        <v/>
      </c>
      <c r="N1701" s="49" t="str">
        <f>IF($D1701="","",IFERROR(INDEX(Products!$B$2:$B$101,MATCH($D1701,Products!$A$2:$A$101,0))&amp;"","(not found)"))</f>
        <v/>
      </c>
      <c r="O1701" s="49" t="str">
        <f>IF($F1701="","",IFERROR(INDEX(Batches!$B$2:$B$301,MATCH($F1701,Batches!$A$2:$A$301,0))&amp;"","(not found)"))</f>
        <v/>
      </c>
      <c r="P1701" s="49" t="str">
        <f>IF(COUNTA($A1701:$L1701)=0,"",IF($A1701="","Missing: entry ID",IF(COUNTIF($A$2:$A$2001,$A1701)&gt;1,"Duplicate entry ID",IF(NOT(ISNUMBER($B1701)),"Missing or invalid: date",IF($C1701="","Missing: type",IF($D1701="","Missing: SKU",IF(NOT(ISNUMBER($E1701)),"Missing: qty",IF($F1701="","Missing: lot",IF($I1701="","Missing: source link",IF(COUNTIF(Config!$A$15:$A$34,$C1701)=0,"Unsupported type",IF(COUNTIF(Products!$A$2:$A$101,$D1701)=0,"Unknown SKU",IF(COUNTIFS(Batches!$A$2:$A$301,$F1701,Batches!$B$2:$B$301,$D1701)=0,"Unknown lot for this SKU",IF(AND($C1701="Adjustment",$G1701=""),"Missing: reason",IF(AND($G1701&lt;&gt;"",COUNTIF(Config!$B$15:$B$34,$G1701)=0),"Unsupported reason",IF(OR(INT($E1701)&lt;&gt;$E1701,AND(OR($C1701="Receipt",$C1701="Shipment"),$E1701&lt;=0),AND($C1701="Adjustment",$E1701=0)),"Invalid qty",IF($B1701&gt;Config!$B$4,"Date after the as-of date",IF($B1701&lt;Config!$B$5,"Date before the opening balance date","OK")))))))))))))))))</f>
        <v/>
      </c>
    </row>
    <row r="1702">
      <c r="A1702" s="46" t="n"/>
      <c r="B1702" s="54" t="n"/>
      <c r="C1702" s="46" t="n"/>
      <c r="D1702" s="46" t="n"/>
      <c r="E1702" s="55" t="n"/>
      <c r="F1702" s="46" t="n"/>
      <c r="G1702" s="46" t="n"/>
      <c r="H1702" s="46" t="n"/>
      <c r="I1702" s="46" t="n"/>
      <c r="J1702" s="46" t="n"/>
      <c r="K1702" s="46" t="n"/>
      <c r="L1702" s="46" t="n"/>
      <c r="M1702" s="51" t="str">
        <f>IF(NOT(ISNUMBER($E1702)),"",IF($C1702="Receipt",$E1702,IF($C1702="Shipment",-$E1702,IF($C1702="Adjustment",$E1702,0))))</f>
        <v/>
      </c>
      <c r="N1702" s="49" t="str">
        <f>IF($D1702="","",IFERROR(INDEX(Products!$B$2:$B$101,MATCH($D1702,Products!$A$2:$A$101,0))&amp;"","(not found)"))</f>
        <v/>
      </c>
      <c r="O1702" s="49" t="str">
        <f>IF($F1702="","",IFERROR(INDEX(Batches!$B$2:$B$301,MATCH($F1702,Batches!$A$2:$A$301,0))&amp;"","(not found)"))</f>
        <v/>
      </c>
      <c r="P1702" s="49" t="str">
        <f>IF(COUNTA($A1702:$L1702)=0,"",IF($A1702="","Missing: entry ID",IF(COUNTIF($A$2:$A$2001,$A1702)&gt;1,"Duplicate entry ID",IF(NOT(ISNUMBER($B1702)),"Missing or invalid: date",IF($C1702="","Missing: type",IF($D1702="","Missing: SKU",IF(NOT(ISNUMBER($E1702)),"Missing: qty",IF($F1702="","Missing: lot",IF($I1702="","Missing: source link",IF(COUNTIF(Config!$A$15:$A$34,$C1702)=0,"Unsupported type",IF(COUNTIF(Products!$A$2:$A$101,$D1702)=0,"Unknown SKU",IF(COUNTIFS(Batches!$A$2:$A$301,$F1702,Batches!$B$2:$B$301,$D1702)=0,"Unknown lot for this SKU",IF(AND($C1702="Adjustment",$G1702=""),"Missing: reason",IF(AND($G1702&lt;&gt;"",COUNTIF(Config!$B$15:$B$34,$G1702)=0),"Unsupported reason",IF(OR(INT($E1702)&lt;&gt;$E1702,AND(OR($C1702="Receipt",$C1702="Shipment"),$E1702&lt;=0),AND($C1702="Adjustment",$E1702=0)),"Invalid qty",IF($B1702&gt;Config!$B$4,"Date after the as-of date",IF($B1702&lt;Config!$B$5,"Date before the opening balance date","OK")))))))))))))))))</f>
        <v/>
      </c>
    </row>
    <row r="1703">
      <c r="A1703" s="46" t="n"/>
      <c r="B1703" s="54" t="n"/>
      <c r="C1703" s="46" t="n"/>
      <c r="D1703" s="46" t="n"/>
      <c r="E1703" s="55" t="n"/>
      <c r="F1703" s="46" t="n"/>
      <c r="G1703" s="46" t="n"/>
      <c r="H1703" s="46" t="n"/>
      <c r="I1703" s="46" t="n"/>
      <c r="J1703" s="46" t="n"/>
      <c r="K1703" s="46" t="n"/>
      <c r="L1703" s="46" t="n"/>
      <c r="M1703" s="51" t="str">
        <f>IF(NOT(ISNUMBER($E1703)),"",IF($C1703="Receipt",$E1703,IF($C1703="Shipment",-$E1703,IF($C1703="Adjustment",$E1703,0))))</f>
        <v/>
      </c>
      <c r="N1703" s="49" t="str">
        <f>IF($D1703="","",IFERROR(INDEX(Products!$B$2:$B$101,MATCH($D1703,Products!$A$2:$A$101,0))&amp;"","(not found)"))</f>
        <v/>
      </c>
      <c r="O1703" s="49" t="str">
        <f>IF($F1703="","",IFERROR(INDEX(Batches!$B$2:$B$301,MATCH($F1703,Batches!$A$2:$A$301,0))&amp;"","(not found)"))</f>
        <v/>
      </c>
      <c r="P1703" s="49" t="str">
        <f>IF(COUNTA($A1703:$L1703)=0,"",IF($A1703="","Missing: entry ID",IF(COUNTIF($A$2:$A$2001,$A1703)&gt;1,"Duplicate entry ID",IF(NOT(ISNUMBER($B1703)),"Missing or invalid: date",IF($C1703="","Missing: type",IF($D1703="","Missing: SKU",IF(NOT(ISNUMBER($E1703)),"Missing: qty",IF($F1703="","Missing: lot",IF($I1703="","Missing: source link",IF(COUNTIF(Config!$A$15:$A$34,$C1703)=0,"Unsupported type",IF(COUNTIF(Products!$A$2:$A$101,$D1703)=0,"Unknown SKU",IF(COUNTIFS(Batches!$A$2:$A$301,$F1703,Batches!$B$2:$B$301,$D1703)=0,"Unknown lot for this SKU",IF(AND($C1703="Adjustment",$G1703=""),"Missing: reason",IF(AND($G1703&lt;&gt;"",COUNTIF(Config!$B$15:$B$34,$G1703)=0),"Unsupported reason",IF(OR(INT($E1703)&lt;&gt;$E1703,AND(OR($C1703="Receipt",$C1703="Shipment"),$E1703&lt;=0),AND($C1703="Adjustment",$E1703=0)),"Invalid qty",IF($B1703&gt;Config!$B$4,"Date after the as-of date",IF($B1703&lt;Config!$B$5,"Date before the opening balance date","OK")))))))))))))))))</f>
        <v/>
      </c>
    </row>
    <row r="1704">
      <c r="A1704" s="46" t="n"/>
      <c r="B1704" s="54" t="n"/>
      <c r="C1704" s="46" t="n"/>
      <c r="D1704" s="46" t="n"/>
      <c r="E1704" s="55" t="n"/>
      <c r="F1704" s="46" t="n"/>
      <c r="G1704" s="46" t="n"/>
      <c r="H1704" s="46" t="n"/>
      <c r="I1704" s="46" t="n"/>
      <c r="J1704" s="46" t="n"/>
      <c r="K1704" s="46" t="n"/>
      <c r="L1704" s="46" t="n"/>
      <c r="M1704" s="51" t="str">
        <f>IF(NOT(ISNUMBER($E1704)),"",IF($C1704="Receipt",$E1704,IF($C1704="Shipment",-$E1704,IF($C1704="Adjustment",$E1704,0))))</f>
        <v/>
      </c>
      <c r="N1704" s="49" t="str">
        <f>IF($D1704="","",IFERROR(INDEX(Products!$B$2:$B$101,MATCH($D1704,Products!$A$2:$A$101,0))&amp;"","(not found)"))</f>
        <v/>
      </c>
      <c r="O1704" s="49" t="str">
        <f>IF($F1704="","",IFERROR(INDEX(Batches!$B$2:$B$301,MATCH($F1704,Batches!$A$2:$A$301,0))&amp;"","(not found)"))</f>
        <v/>
      </c>
      <c r="P1704" s="49" t="str">
        <f>IF(COUNTA($A1704:$L1704)=0,"",IF($A1704="","Missing: entry ID",IF(COUNTIF($A$2:$A$2001,$A1704)&gt;1,"Duplicate entry ID",IF(NOT(ISNUMBER($B1704)),"Missing or invalid: date",IF($C1704="","Missing: type",IF($D1704="","Missing: SKU",IF(NOT(ISNUMBER($E1704)),"Missing: qty",IF($F1704="","Missing: lot",IF($I1704="","Missing: source link",IF(COUNTIF(Config!$A$15:$A$34,$C1704)=0,"Unsupported type",IF(COUNTIF(Products!$A$2:$A$101,$D1704)=0,"Unknown SKU",IF(COUNTIFS(Batches!$A$2:$A$301,$F1704,Batches!$B$2:$B$301,$D1704)=0,"Unknown lot for this SKU",IF(AND($C1704="Adjustment",$G1704=""),"Missing: reason",IF(AND($G1704&lt;&gt;"",COUNTIF(Config!$B$15:$B$34,$G1704)=0),"Unsupported reason",IF(OR(INT($E1704)&lt;&gt;$E1704,AND(OR($C1704="Receipt",$C1704="Shipment"),$E1704&lt;=0),AND($C1704="Adjustment",$E1704=0)),"Invalid qty",IF($B1704&gt;Config!$B$4,"Date after the as-of date",IF($B1704&lt;Config!$B$5,"Date before the opening balance date","OK")))))))))))))))))</f>
        <v/>
      </c>
    </row>
    <row r="1705">
      <c r="A1705" s="46" t="n"/>
      <c r="B1705" s="54" t="n"/>
      <c r="C1705" s="46" t="n"/>
      <c r="D1705" s="46" t="n"/>
      <c r="E1705" s="55" t="n"/>
      <c r="F1705" s="46" t="n"/>
      <c r="G1705" s="46" t="n"/>
      <c r="H1705" s="46" t="n"/>
      <c r="I1705" s="46" t="n"/>
      <c r="J1705" s="46" t="n"/>
      <c r="K1705" s="46" t="n"/>
      <c r="L1705" s="46" t="n"/>
      <c r="M1705" s="51" t="str">
        <f>IF(NOT(ISNUMBER($E1705)),"",IF($C1705="Receipt",$E1705,IF($C1705="Shipment",-$E1705,IF($C1705="Adjustment",$E1705,0))))</f>
        <v/>
      </c>
      <c r="N1705" s="49" t="str">
        <f>IF($D1705="","",IFERROR(INDEX(Products!$B$2:$B$101,MATCH($D1705,Products!$A$2:$A$101,0))&amp;"","(not found)"))</f>
        <v/>
      </c>
      <c r="O1705" s="49" t="str">
        <f>IF($F1705="","",IFERROR(INDEX(Batches!$B$2:$B$301,MATCH($F1705,Batches!$A$2:$A$301,0))&amp;"","(not found)"))</f>
        <v/>
      </c>
      <c r="P1705" s="49" t="str">
        <f>IF(COUNTA($A1705:$L1705)=0,"",IF($A1705="","Missing: entry ID",IF(COUNTIF($A$2:$A$2001,$A1705)&gt;1,"Duplicate entry ID",IF(NOT(ISNUMBER($B1705)),"Missing or invalid: date",IF($C1705="","Missing: type",IF($D1705="","Missing: SKU",IF(NOT(ISNUMBER($E1705)),"Missing: qty",IF($F1705="","Missing: lot",IF($I1705="","Missing: source link",IF(COUNTIF(Config!$A$15:$A$34,$C1705)=0,"Unsupported type",IF(COUNTIF(Products!$A$2:$A$101,$D1705)=0,"Unknown SKU",IF(COUNTIFS(Batches!$A$2:$A$301,$F1705,Batches!$B$2:$B$301,$D1705)=0,"Unknown lot for this SKU",IF(AND($C1705="Adjustment",$G1705=""),"Missing: reason",IF(AND($G1705&lt;&gt;"",COUNTIF(Config!$B$15:$B$34,$G1705)=0),"Unsupported reason",IF(OR(INT($E1705)&lt;&gt;$E1705,AND(OR($C1705="Receipt",$C1705="Shipment"),$E1705&lt;=0),AND($C1705="Adjustment",$E1705=0)),"Invalid qty",IF($B1705&gt;Config!$B$4,"Date after the as-of date",IF($B1705&lt;Config!$B$5,"Date before the opening balance date","OK")))))))))))))))))</f>
        <v/>
      </c>
    </row>
    <row r="1706">
      <c r="A1706" s="46" t="n"/>
      <c r="B1706" s="54" t="n"/>
      <c r="C1706" s="46" t="n"/>
      <c r="D1706" s="46" t="n"/>
      <c r="E1706" s="55" t="n"/>
      <c r="F1706" s="46" t="n"/>
      <c r="G1706" s="46" t="n"/>
      <c r="H1706" s="46" t="n"/>
      <c r="I1706" s="46" t="n"/>
      <c r="J1706" s="46" t="n"/>
      <c r="K1706" s="46" t="n"/>
      <c r="L1706" s="46" t="n"/>
      <c r="M1706" s="51" t="str">
        <f>IF(NOT(ISNUMBER($E1706)),"",IF($C1706="Receipt",$E1706,IF($C1706="Shipment",-$E1706,IF($C1706="Adjustment",$E1706,0))))</f>
        <v/>
      </c>
      <c r="N1706" s="49" t="str">
        <f>IF($D1706="","",IFERROR(INDEX(Products!$B$2:$B$101,MATCH($D1706,Products!$A$2:$A$101,0))&amp;"","(not found)"))</f>
        <v/>
      </c>
      <c r="O1706" s="49" t="str">
        <f>IF($F1706="","",IFERROR(INDEX(Batches!$B$2:$B$301,MATCH($F1706,Batches!$A$2:$A$301,0))&amp;"","(not found)"))</f>
        <v/>
      </c>
      <c r="P1706" s="49" t="str">
        <f>IF(COUNTA($A1706:$L1706)=0,"",IF($A1706="","Missing: entry ID",IF(COUNTIF($A$2:$A$2001,$A1706)&gt;1,"Duplicate entry ID",IF(NOT(ISNUMBER($B1706)),"Missing or invalid: date",IF($C1706="","Missing: type",IF($D1706="","Missing: SKU",IF(NOT(ISNUMBER($E1706)),"Missing: qty",IF($F1706="","Missing: lot",IF($I1706="","Missing: source link",IF(COUNTIF(Config!$A$15:$A$34,$C1706)=0,"Unsupported type",IF(COUNTIF(Products!$A$2:$A$101,$D1706)=0,"Unknown SKU",IF(COUNTIFS(Batches!$A$2:$A$301,$F1706,Batches!$B$2:$B$301,$D1706)=0,"Unknown lot for this SKU",IF(AND($C1706="Adjustment",$G1706=""),"Missing: reason",IF(AND($G1706&lt;&gt;"",COUNTIF(Config!$B$15:$B$34,$G1706)=0),"Unsupported reason",IF(OR(INT($E1706)&lt;&gt;$E1706,AND(OR($C1706="Receipt",$C1706="Shipment"),$E1706&lt;=0),AND($C1706="Adjustment",$E1706=0)),"Invalid qty",IF($B1706&gt;Config!$B$4,"Date after the as-of date",IF($B1706&lt;Config!$B$5,"Date before the opening balance date","OK")))))))))))))))))</f>
        <v/>
      </c>
    </row>
    <row r="1707">
      <c r="A1707" s="46" t="n"/>
      <c r="B1707" s="54" t="n"/>
      <c r="C1707" s="46" t="n"/>
      <c r="D1707" s="46" t="n"/>
      <c r="E1707" s="55" t="n"/>
      <c r="F1707" s="46" t="n"/>
      <c r="G1707" s="46" t="n"/>
      <c r="H1707" s="46" t="n"/>
      <c r="I1707" s="46" t="n"/>
      <c r="J1707" s="46" t="n"/>
      <c r="K1707" s="46" t="n"/>
      <c r="L1707" s="46" t="n"/>
      <c r="M1707" s="51" t="str">
        <f>IF(NOT(ISNUMBER($E1707)),"",IF($C1707="Receipt",$E1707,IF($C1707="Shipment",-$E1707,IF($C1707="Adjustment",$E1707,0))))</f>
        <v/>
      </c>
      <c r="N1707" s="49" t="str">
        <f>IF($D1707="","",IFERROR(INDEX(Products!$B$2:$B$101,MATCH($D1707,Products!$A$2:$A$101,0))&amp;"","(not found)"))</f>
        <v/>
      </c>
      <c r="O1707" s="49" t="str">
        <f>IF($F1707="","",IFERROR(INDEX(Batches!$B$2:$B$301,MATCH($F1707,Batches!$A$2:$A$301,0))&amp;"","(not found)"))</f>
        <v/>
      </c>
      <c r="P1707" s="49" t="str">
        <f>IF(COUNTA($A1707:$L1707)=0,"",IF($A1707="","Missing: entry ID",IF(COUNTIF($A$2:$A$2001,$A1707)&gt;1,"Duplicate entry ID",IF(NOT(ISNUMBER($B1707)),"Missing or invalid: date",IF($C1707="","Missing: type",IF($D1707="","Missing: SKU",IF(NOT(ISNUMBER($E1707)),"Missing: qty",IF($F1707="","Missing: lot",IF($I1707="","Missing: source link",IF(COUNTIF(Config!$A$15:$A$34,$C1707)=0,"Unsupported type",IF(COUNTIF(Products!$A$2:$A$101,$D1707)=0,"Unknown SKU",IF(COUNTIFS(Batches!$A$2:$A$301,$F1707,Batches!$B$2:$B$301,$D1707)=0,"Unknown lot for this SKU",IF(AND($C1707="Adjustment",$G1707=""),"Missing: reason",IF(AND($G1707&lt;&gt;"",COUNTIF(Config!$B$15:$B$34,$G1707)=0),"Unsupported reason",IF(OR(INT($E1707)&lt;&gt;$E1707,AND(OR($C1707="Receipt",$C1707="Shipment"),$E1707&lt;=0),AND($C1707="Adjustment",$E1707=0)),"Invalid qty",IF($B1707&gt;Config!$B$4,"Date after the as-of date",IF($B1707&lt;Config!$B$5,"Date before the opening balance date","OK")))))))))))))))))</f>
        <v/>
      </c>
    </row>
    <row r="1708">
      <c r="A1708" s="46" t="n"/>
      <c r="B1708" s="54" t="n"/>
      <c r="C1708" s="46" t="n"/>
      <c r="D1708" s="46" t="n"/>
      <c r="E1708" s="55" t="n"/>
      <c r="F1708" s="46" t="n"/>
      <c r="G1708" s="46" t="n"/>
      <c r="H1708" s="46" t="n"/>
      <c r="I1708" s="46" t="n"/>
      <c r="J1708" s="46" t="n"/>
      <c r="K1708" s="46" t="n"/>
      <c r="L1708" s="46" t="n"/>
      <c r="M1708" s="51" t="str">
        <f>IF(NOT(ISNUMBER($E1708)),"",IF($C1708="Receipt",$E1708,IF($C1708="Shipment",-$E1708,IF($C1708="Adjustment",$E1708,0))))</f>
        <v/>
      </c>
      <c r="N1708" s="49" t="str">
        <f>IF($D1708="","",IFERROR(INDEX(Products!$B$2:$B$101,MATCH($D1708,Products!$A$2:$A$101,0))&amp;"","(not found)"))</f>
        <v/>
      </c>
      <c r="O1708" s="49" t="str">
        <f>IF($F1708="","",IFERROR(INDEX(Batches!$B$2:$B$301,MATCH($F1708,Batches!$A$2:$A$301,0))&amp;"","(not found)"))</f>
        <v/>
      </c>
      <c r="P1708" s="49" t="str">
        <f>IF(COUNTA($A1708:$L1708)=0,"",IF($A1708="","Missing: entry ID",IF(COUNTIF($A$2:$A$2001,$A1708)&gt;1,"Duplicate entry ID",IF(NOT(ISNUMBER($B1708)),"Missing or invalid: date",IF($C1708="","Missing: type",IF($D1708="","Missing: SKU",IF(NOT(ISNUMBER($E1708)),"Missing: qty",IF($F1708="","Missing: lot",IF($I1708="","Missing: source link",IF(COUNTIF(Config!$A$15:$A$34,$C1708)=0,"Unsupported type",IF(COUNTIF(Products!$A$2:$A$101,$D1708)=0,"Unknown SKU",IF(COUNTIFS(Batches!$A$2:$A$301,$F1708,Batches!$B$2:$B$301,$D1708)=0,"Unknown lot for this SKU",IF(AND($C1708="Adjustment",$G1708=""),"Missing: reason",IF(AND($G1708&lt;&gt;"",COUNTIF(Config!$B$15:$B$34,$G1708)=0),"Unsupported reason",IF(OR(INT($E1708)&lt;&gt;$E1708,AND(OR($C1708="Receipt",$C1708="Shipment"),$E1708&lt;=0),AND($C1708="Adjustment",$E1708=0)),"Invalid qty",IF($B1708&gt;Config!$B$4,"Date after the as-of date",IF($B1708&lt;Config!$B$5,"Date before the opening balance date","OK")))))))))))))))))</f>
        <v/>
      </c>
    </row>
    <row r="1709">
      <c r="A1709" s="46" t="n"/>
      <c r="B1709" s="54" t="n"/>
      <c r="C1709" s="46" t="n"/>
      <c r="D1709" s="46" t="n"/>
      <c r="E1709" s="55" t="n"/>
      <c r="F1709" s="46" t="n"/>
      <c r="G1709" s="46" t="n"/>
      <c r="H1709" s="46" t="n"/>
      <c r="I1709" s="46" t="n"/>
      <c r="J1709" s="46" t="n"/>
      <c r="K1709" s="46" t="n"/>
      <c r="L1709" s="46" t="n"/>
      <c r="M1709" s="51" t="str">
        <f>IF(NOT(ISNUMBER($E1709)),"",IF($C1709="Receipt",$E1709,IF($C1709="Shipment",-$E1709,IF($C1709="Adjustment",$E1709,0))))</f>
        <v/>
      </c>
      <c r="N1709" s="49" t="str">
        <f>IF($D1709="","",IFERROR(INDEX(Products!$B$2:$B$101,MATCH($D1709,Products!$A$2:$A$101,0))&amp;"","(not found)"))</f>
        <v/>
      </c>
      <c r="O1709" s="49" t="str">
        <f>IF($F1709="","",IFERROR(INDEX(Batches!$B$2:$B$301,MATCH($F1709,Batches!$A$2:$A$301,0))&amp;"","(not found)"))</f>
        <v/>
      </c>
      <c r="P1709" s="49" t="str">
        <f>IF(COUNTA($A1709:$L1709)=0,"",IF($A1709="","Missing: entry ID",IF(COUNTIF($A$2:$A$2001,$A1709)&gt;1,"Duplicate entry ID",IF(NOT(ISNUMBER($B1709)),"Missing or invalid: date",IF($C1709="","Missing: type",IF($D1709="","Missing: SKU",IF(NOT(ISNUMBER($E1709)),"Missing: qty",IF($F1709="","Missing: lot",IF($I1709="","Missing: source link",IF(COUNTIF(Config!$A$15:$A$34,$C1709)=0,"Unsupported type",IF(COUNTIF(Products!$A$2:$A$101,$D1709)=0,"Unknown SKU",IF(COUNTIFS(Batches!$A$2:$A$301,$F1709,Batches!$B$2:$B$301,$D1709)=0,"Unknown lot for this SKU",IF(AND($C1709="Adjustment",$G1709=""),"Missing: reason",IF(AND($G1709&lt;&gt;"",COUNTIF(Config!$B$15:$B$34,$G1709)=0),"Unsupported reason",IF(OR(INT($E1709)&lt;&gt;$E1709,AND(OR($C1709="Receipt",$C1709="Shipment"),$E1709&lt;=0),AND($C1709="Adjustment",$E1709=0)),"Invalid qty",IF($B1709&gt;Config!$B$4,"Date after the as-of date",IF($B1709&lt;Config!$B$5,"Date before the opening balance date","OK")))))))))))))))))</f>
        <v/>
      </c>
    </row>
    <row r="1710">
      <c r="A1710" s="46" t="n"/>
      <c r="B1710" s="54" t="n"/>
      <c r="C1710" s="46" t="n"/>
      <c r="D1710" s="46" t="n"/>
      <c r="E1710" s="55" t="n"/>
      <c r="F1710" s="46" t="n"/>
      <c r="G1710" s="46" t="n"/>
      <c r="H1710" s="46" t="n"/>
      <c r="I1710" s="46" t="n"/>
      <c r="J1710" s="46" t="n"/>
      <c r="K1710" s="46" t="n"/>
      <c r="L1710" s="46" t="n"/>
      <c r="M1710" s="51" t="str">
        <f>IF(NOT(ISNUMBER($E1710)),"",IF($C1710="Receipt",$E1710,IF($C1710="Shipment",-$E1710,IF($C1710="Adjustment",$E1710,0))))</f>
        <v/>
      </c>
      <c r="N1710" s="49" t="str">
        <f>IF($D1710="","",IFERROR(INDEX(Products!$B$2:$B$101,MATCH($D1710,Products!$A$2:$A$101,0))&amp;"","(not found)"))</f>
        <v/>
      </c>
      <c r="O1710" s="49" t="str">
        <f>IF($F1710="","",IFERROR(INDEX(Batches!$B$2:$B$301,MATCH($F1710,Batches!$A$2:$A$301,0))&amp;"","(not found)"))</f>
        <v/>
      </c>
      <c r="P1710" s="49" t="str">
        <f>IF(COUNTA($A1710:$L1710)=0,"",IF($A1710="","Missing: entry ID",IF(COUNTIF($A$2:$A$2001,$A1710)&gt;1,"Duplicate entry ID",IF(NOT(ISNUMBER($B1710)),"Missing or invalid: date",IF($C1710="","Missing: type",IF($D1710="","Missing: SKU",IF(NOT(ISNUMBER($E1710)),"Missing: qty",IF($F1710="","Missing: lot",IF($I1710="","Missing: source link",IF(COUNTIF(Config!$A$15:$A$34,$C1710)=0,"Unsupported type",IF(COUNTIF(Products!$A$2:$A$101,$D1710)=0,"Unknown SKU",IF(COUNTIFS(Batches!$A$2:$A$301,$F1710,Batches!$B$2:$B$301,$D1710)=0,"Unknown lot for this SKU",IF(AND($C1710="Adjustment",$G1710=""),"Missing: reason",IF(AND($G1710&lt;&gt;"",COUNTIF(Config!$B$15:$B$34,$G1710)=0),"Unsupported reason",IF(OR(INT($E1710)&lt;&gt;$E1710,AND(OR($C1710="Receipt",$C1710="Shipment"),$E1710&lt;=0),AND($C1710="Adjustment",$E1710=0)),"Invalid qty",IF($B1710&gt;Config!$B$4,"Date after the as-of date",IF($B1710&lt;Config!$B$5,"Date before the opening balance date","OK")))))))))))))))))</f>
        <v/>
      </c>
    </row>
    <row r="1711">
      <c r="A1711" s="46" t="n"/>
      <c r="B1711" s="54" t="n"/>
      <c r="C1711" s="46" t="n"/>
      <c r="D1711" s="46" t="n"/>
      <c r="E1711" s="55" t="n"/>
      <c r="F1711" s="46" t="n"/>
      <c r="G1711" s="46" t="n"/>
      <c r="H1711" s="46" t="n"/>
      <c r="I1711" s="46" t="n"/>
      <c r="J1711" s="46" t="n"/>
      <c r="K1711" s="46" t="n"/>
      <c r="L1711" s="46" t="n"/>
      <c r="M1711" s="51" t="str">
        <f>IF(NOT(ISNUMBER($E1711)),"",IF($C1711="Receipt",$E1711,IF($C1711="Shipment",-$E1711,IF($C1711="Adjustment",$E1711,0))))</f>
        <v/>
      </c>
      <c r="N1711" s="49" t="str">
        <f>IF($D1711="","",IFERROR(INDEX(Products!$B$2:$B$101,MATCH($D1711,Products!$A$2:$A$101,0))&amp;"","(not found)"))</f>
        <v/>
      </c>
      <c r="O1711" s="49" t="str">
        <f>IF($F1711="","",IFERROR(INDEX(Batches!$B$2:$B$301,MATCH($F1711,Batches!$A$2:$A$301,0))&amp;"","(not found)"))</f>
        <v/>
      </c>
      <c r="P1711" s="49" t="str">
        <f>IF(COUNTA($A1711:$L1711)=0,"",IF($A1711="","Missing: entry ID",IF(COUNTIF($A$2:$A$2001,$A1711)&gt;1,"Duplicate entry ID",IF(NOT(ISNUMBER($B1711)),"Missing or invalid: date",IF($C1711="","Missing: type",IF($D1711="","Missing: SKU",IF(NOT(ISNUMBER($E1711)),"Missing: qty",IF($F1711="","Missing: lot",IF($I1711="","Missing: source link",IF(COUNTIF(Config!$A$15:$A$34,$C1711)=0,"Unsupported type",IF(COUNTIF(Products!$A$2:$A$101,$D1711)=0,"Unknown SKU",IF(COUNTIFS(Batches!$A$2:$A$301,$F1711,Batches!$B$2:$B$301,$D1711)=0,"Unknown lot for this SKU",IF(AND($C1711="Adjustment",$G1711=""),"Missing: reason",IF(AND($G1711&lt;&gt;"",COUNTIF(Config!$B$15:$B$34,$G1711)=0),"Unsupported reason",IF(OR(INT($E1711)&lt;&gt;$E1711,AND(OR($C1711="Receipt",$C1711="Shipment"),$E1711&lt;=0),AND($C1711="Adjustment",$E1711=0)),"Invalid qty",IF($B1711&gt;Config!$B$4,"Date after the as-of date",IF($B1711&lt;Config!$B$5,"Date before the opening balance date","OK")))))))))))))))))</f>
        <v/>
      </c>
    </row>
    <row r="1712">
      <c r="A1712" s="46" t="n"/>
      <c r="B1712" s="54" t="n"/>
      <c r="C1712" s="46" t="n"/>
      <c r="D1712" s="46" t="n"/>
      <c r="E1712" s="55" t="n"/>
      <c r="F1712" s="46" t="n"/>
      <c r="G1712" s="46" t="n"/>
      <c r="H1712" s="46" t="n"/>
      <c r="I1712" s="46" t="n"/>
      <c r="J1712" s="46" t="n"/>
      <c r="K1712" s="46" t="n"/>
      <c r="L1712" s="46" t="n"/>
      <c r="M1712" s="51" t="str">
        <f>IF(NOT(ISNUMBER($E1712)),"",IF($C1712="Receipt",$E1712,IF($C1712="Shipment",-$E1712,IF($C1712="Adjustment",$E1712,0))))</f>
        <v/>
      </c>
      <c r="N1712" s="49" t="str">
        <f>IF($D1712="","",IFERROR(INDEX(Products!$B$2:$B$101,MATCH($D1712,Products!$A$2:$A$101,0))&amp;"","(not found)"))</f>
        <v/>
      </c>
      <c r="O1712" s="49" t="str">
        <f>IF($F1712="","",IFERROR(INDEX(Batches!$B$2:$B$301,MATCH($F1712,Batches!$A$2:$A$301,0))&amp;"","(not found)"))</f>
        <v/>
      </c>
      <c r="P1712" s="49" t="str">
        <f>IF(COUNTA($A1712:$L1712)=0,"",IF($A1712="","Missing: entry ID",IF(COUNTIF($A$2:$A$2001,$A1712)&gt;1,"Duplicate entry ID",IF(NOT(ISNUMBER($B1712)),"Missing or invalid: date",IF($C1712="","Missing: type",IF($D1712="","Missing: SKU",IF(NOT(ISNUMBER($E1712)),"Missing: qty",IF($F1712="","Missing: lot",IF($I1712="","Missing: source link",IF(COUNTIF(Config!$A$15:$A$34,$C1712)=0,"Unsupported type",IF(COUNTIF(Products!$A$2:$A$101,$D1712)=0,"Unknown SKU",IF(COUNTIFS(Batches!$A$2:$A$301,$F1712,Batches!$B$2:$B$301,$D1712)=0,"Unknown lot for this SKU",IF(AND($C1712="Adjustment",$G1712=""),"Missing: reason",IF(AND($G1712&lt;&gt;"",COUNTIF(Config!$B$15:$B$34,$G1712)=0),"Unsupported reason",IF(OR(INT($E1712)&lt;&gt;$E1712,AND(OR($C1712="Receipt",$C1712="Shipment"),$E1712&lt;=0),AND($C1712="Adjustment",$E1712=0)),"Invalid qty",IF($B1712&gt;Config!$B$4,"Date after the as-of date",IF($B1712&lt;Config!$B$5,"Date before the opening balance date","OK")))))))))))))))))</f>
        <v/>
      </c>
    </row>
    <row r="1713">
      <c r="A1713" s="46" t="n"/>
      <c r="B1713" s="54" t="n"/>
      <c r="C1713" s="46" t="n"/>
      <c r="D1713" s="46" t="n"/>
      <c r="E1713" s="55" t="n"/>
      <c r="F1713" s="46" t="n"/>
      <c r="G1713" s="46" t="n"/>
      <c r="H1713" s="46" t="n"/>
      <c r="I1713" s="46" t="n"/>
      <c r="J1713" s="46" t="n"/>
      <c r="K1713" s="46" t="n"/>
      <c r="L1713" s="46" t="n"/>
      <c r="M1713" s="51" t="str">
        <f>IF(NOT(ISNUMBER($E1713)),"",IF($C1713="Receipt",$E1713,IF($C1713="Shipment",-$E1713,IF($C1713="Adjustment",$E1713,0))))</f>
        <v/>
      </c>
      <c r="N1713" s="49" t="str">
        <f>IF($D1713="","",IFERROR(INDEX(Products!$B$2:$B$101,MATCH($D1713,Products!$A$2:$A$101,0))&amp;"","(not found)"))</f>
        <v/>
      </c>
      <c r="O1713" s="49" t="str">
        <f>IF($F1713="","",IFERROR(INDEX(Batches!$B$2:$B$301,MATCH($F1713,Batches!$A$2:$A$301,0))&amp;"","(not found)"))</f>
        <v/>
      </c>
      <c r="P1713" s="49" t="str">
        <f>IF(COUNTA($A1713:$L1713)=0,"",IF($A1713="","Missing: entry ID",IF(COUNTIF($A$2:$A$2001,$A1713)&gt;1,"Duplicate entry ID",IF(NOT(ISNUMBER($B1713)),"Missing or invalid: date",IF($C1713="","Missing: type",IF($D1713="","Missing: SKU",IF(NOT(ISNUMBER($E1713)),"Missing: qty",IF($F1713="","Missing: lot",IF($I1713="","Missing: source link",IF(COUNTIF(Config!$A$15:$A$34,$C1713)=0,"Unsupported type",IF(COUNTIF(Products!$A$2:$A$101,$D1713)=0,"Unknown SKU",IF(COUNTIFS(Batches!$A$2:$A$301,$F1713,Batches!$B$2:$B$301,$D1713)=0,"Unknown lot for this SKU",IF(AND($C1713="Adjustment",$G1713=""),"Missing: reason",IF(AND($G1713&lt;&gt;"",COUNTIF(Config!$B$15:$B$34,$G1713)=0),"Unsupported reason",IF(OR(INT($E1713)&lt;&gt;$E1713,AND(OR($C1713="Receipt",$C1713="Shipment"),$E1713&lt;=0),AND($C1713="Adjustment",$E1713=0)),"Invalid qty",IF($B1713&gt;Config!$B$4,"Date after the as-of date",IF($B1713&lt;Config!$B$5,"Date before the opening balance date","OK")))))))))))))))))</f>
        <v/>
      </c>
    </row>
    <row r="1714">
      <c r="A1714" s="46" t="n"/>
      <c r="B1714" s="54" t="n"/>
      <c r="C1714" s="46" t="n"/>
      <c r="D1714" s="46" t="n"/>
      <c r="E1714" s="55" t="n"/>
      <c r="F1714" s="46" t="n"/>
      <c r="G1714" s="46" t="n"/>
      <c r="H1714" s="46" t="n"/>
      <c r="I1714" s="46" t="n"/>
      <c r="J1714" s="46" t="n"/>
      <c r="K1714" s="46" t="n"/>
      <c r="L1714" s="46" t="n"/>
      <c r="M1714" s="51" t="str">
        <f>IF(NOT(ISNUMBER($E1714)),"",IF($C1714="Receipt",$E1714,IF($C1714="Shipment",-$E1714,IF($C1714="Adjustment",$E1714,0))))</f>
        <v/>
      </c>
      <c r="N1714" s="49" t="str">
        <f>IF($D1714="","",IFERROR(INDEX(Products!$B$2:$B$101,MATCH($D1714,Products!$A$2:$A$101,0))&amp;"","(not found)"))</f>
        <v/>
      </c>
      <c r="O1714" s="49" t="str">
        <f>IF($F1714="","",IFERROR(INDEX(Batches!$B$2:$B$301,MATCH($F1714,Batches!$A$2:$A$301,0))&amp;"","(not found)"))</f>
        <v/>
      </c>
      <c r="P1714" s="49" t="str">
        <f>IF(COUNTA($A1714:$L1714)=0,"",IF($A1714="","Missing: entry ID",IF(COUNTIF($A$2:$A$2001,$A1714)&gt;1,"Duplicate entry ID",IF(NOT(ISNUMBER($B1714)),"Missing or invalid: date",IF($C1714="","Missing: type",IF($D1714="","Missing: SKU",IF(NOT(ISNUMBER($E1714)),"Missing: qty",IF($F1714="","Missing: lot",IF($I1714="","Missing: source link",IF(COUNTIF(Config!$A$15:$A$34,$C1714)=0,"Unsupported type",IF(COUNTIF(Products!$A$2:$A$101,$D1714)=0,"Unknown SKU",IF(COUNTIFS(Batches!$A$2:$A$301,$F1714,Batches!$B$2:$B$301,$D1714)=0,"Unknown lot for this SKU",IF(AND($C1714="Adjustment",$G1714=""),"Missing: reason",IF(AND($G1714&lt;&gt;"",COUNTIF(Config!$B$15:$B$34,$G1714)=0),"Unsupported reason",IF(OR(INT($E1714)&lt;&gt;$E1714,AND(OR($C1714="Receipt",$C1714="Shipment"),$E1714&lt;=0),AND($C1714="Adjustment",$E1714=0)),"Invalid qty",IF($B1714&gt;Config!$B$4,"Date after the as-of date",IF($B1714&lt;Config!$B$5,"Date before the opening balance date","OK")))))))))))))))))</f>
        <v/>
      </c>
    </row>
    <row r="1715">
      <c r="A1715" s="46" t="n"/>
      <c r="B1715" s="54" t="n"/>
      <c r="C1715" s="46" t="n"/>
      <c r="D1715" s="46" t="n"/>
      <c r="E1715" s="55" t="n"/>
      <c r="F1715" s="46" t="n"/>
      <c r="G1715" s="46" t="n"/>
      <c r="H1715" s="46" t="n"/>
      <c r="I1715" s="46" t="n"/>
      <c r="J1715" s="46" t="n"/>
      <c r="K1715" s="46" t="n"/>
      <c r="L1715" s="46" t="n"/>
      <c r="M1715" s="51" t="str">
        <f>IF(NOT(ISNUMBER($E1715)),"",IF($C1715="Receipt",$E1715,IF($C1715="Shipment",-$E1715,IF($C1715="Adjustment",$E1715,0))))</f>
        <v/>
      </c>
      <c r="N1715" s="49" t="str">
        <f>IF($D1715="","",IFERROR(INDEX(Products!$B$2:$B$101,MATCH($D1715,Products!$A$2:$A$101,0))&amp;"","(not found)"))</f>
        <v/>
      </c>
      <c r="O1715" s="49" t="str">
        <f>IF($F1715="","",IFERROR(INDEX(Batches!$B$2:$B$301,MATCH($F1715,Batches!$A$2:$A$301,0))&amp;"","(not found)"))</f>
        <v/>
      </c>
      <c r="P1715" s="49" t="str">
        <f>IF(COUNTA($A1715:$L1715)=0,"",IF($A1715="","Missing: entry ID",IF(COUNTIF($A$2:$A$2001,$A1715)&gt;1,"Duplicate entry ID",IF(NOT(ISNUMBER($B1715)),"Missing or invalid: date",IF($C1715="","Missing: type",IF($D1715="","Missing: SKU",IF(NOT(ISNUMBER($E1715)),"Missing: qty",IF($F1715="","Missing: lot",IF($I1715="","Missing: source link",IF(COUNTIF(Config!$A$15:$A$34,$C1715)=0,"Unsupported type",IF(COUNTIF(Products!$A$2:$A$101,$D1715)=0,"Unknown SKU",IF(COUNTIFS(Batches!$A$2:$A$301,$F1715,Batches!$B$2:$B$301,$D1715)=0,"Unknown lot for this SKU",IF(AND($C1715="Adjustment",$G1715=""),"Missing: reason",IF(AND($G1715&lt;&gt;"",COUNTIF(Config!$B$15:$B$34,$G1715)=0),"Unsupported reason",IF(OR(INT($E1715)&lt;&gt;$E1715,AND(OR($C1715="Receipt",$C1715="Shipment"),$E1715&lt;=0),AND($C1715="Adjustment",$E1715=0)),"Invalid qty",IF($B1715&gt;Config!$B$4,"Date after the as-of date",IF($B1715&lt;Config!$B$5,"Date before the opening balance date","OK")))))))))))))))))</f>
        <v/>
      </c>
    </row>
    <row r="1716">
      <c r="A1716" s="46" t="n"/>
      <c r="B1716" s="54" t="n"/>
      <c r="C1716" s="46" t="n"/>
      <c r="D1716" s="46" t="n"/>
      <c r="E1716" s="55" t="n"/>
      <c r="F1716" s="46" t="n"/>
      <c r="G1716" s="46" t="n"/>
      <c r="H1716" s="46" t="n"/>
      <c r="I1716" s="46" t="n"/>
      <c r="J1716" s="46" t="n"/>
      <c r="K1716" s="46" t="n"/>
      <c r="L1716" s="46" t="n"/>
      <c r="M1716" s="51" t="str">
        <f>IF(NOT(ISNUMBER($E1716)),"",IF($C1716="Receipt",$E1716,IF($C1716="Shipment",-$E1716,IF($C1716="Adjustment",$E1716,0))))</f>
        <v/>
      </c>
      <c r="N1716" s="49" t="str">
        <f>IF($D1716="","",IFERROR(INDEX(Products!$B$2:$B$101,MATCH($D1716,Products!$A$2:$A$101,0))&amp;"","(not found)"))</f>
        <v/>
      </c>
      <c r="O1716" s="49" t="str">
        <f>IF($F1716="","",IFERROR(INDEX(Batches!$B$2:$B$301,MATCH($F1716,Batches!$A$2:$A$301,0))&amp;"","(not found)"))</f>
        <v/>
      </c>
      <c r="P1716" s="49" t="str">
        <f>IF(COUNTA($A1716:$L1716)=0,"",IF($A1716="","Missing: entry ID",IF(COUNTIF($A$2:$A$2001,$A1716)&gt;1,"Duplicate entry ID",IF(NOT(ISNUMBER($B1716)),"Missing or invalid: date",IF($C1716="","Missing: type",IF($D1716="","Missing: SKU",IF(NOT(ISNUMBER($E1716)),"Missing: qty",IF($F1716="","Missing: lot",IF($I1716="","Missing: source link",IF(COUNTIF(Config!$A$15:$A$34,$C1716)=0,"Unsupported type",IF(COUNTIF(Products!$A$2:$A$101,$D1716)=0,"Unknown SKU",IF(COUNTIFS(Batches!$A$2:$A$301,$F1716,Batches!$B$2:$B$301,$D1716)=0,"Unknown lot for this SKU",IF(AND($C1716="Adjustment",$G1716=""),"Missing: reason",IF(AND($G1716&lt;&gt;"",COUNTIF(Config!$B$15:$B$34,$G1716)=0),"Unsupported reason",IF(OR(INT($E1716)&lt;&gt;$E1716,AND(OR($C1716="Receipt",$C1716="Shipment"),$E1716&lt;=0),AND($C1716="Adjustment",$E1716=0)),"Invalid qty",IF($B1716&gt;Config!$B$4,"Date after the as-of date",IF($B1716&lt;Config!$B$5,"Date before the opening balance date","OK")))))))))))))))))</f>
        <v/>
      </c>
    </row>
    <row r="1717">
      <c r="A1717" s="46" t="n"/>
      <c r="B1717" s="54" t="n"/>
      <c r="C1717" s="46" t="n"/>
      <c r="D1717" s="46" t="n"/>
      <c r="E1717" s="55" t="n"/>
      <c r="F1717" s="46" t="n"/>
      <c r="G1717" s="46" t="n"/>
      <c r="H1717" s="46" t="n"/>
      <c r="I1717" s="46" t="n"/>
      <c r="J1717" s="46" t="n"/>
      <c r="K1717" s="46" t="n"/>
      <c r="L1717" s="46" t="n"/>
      <c r="M1717" s="51" t="str">
        <f>IF(NOT(ISNUMBER($E1717)),"",IF($C1717="Receipt",$E1717,IF($C1717="Shipment",-$E1717,IF($C1717="Adjustment",$E1717,0))))</f>
        <v/>
      </c>
      <c r="N1717" s="49" t="str">
        <f>IF($D1717="","",IFERROR(INDEX(Products!$B$2:$B$101,MATCH($D1717,Products!$A$2:$A$101,0))&amp;"","(not found)"))</f>
        <v/>
      </c>
      <c r="O1717" s="49" t="str">
        <f>IF($F1717="","",IFERROR(INDEX(Batches!$B$2:$B$301,MATCH($F1717,Batches!$A$2:$A$301,0))&amp;"","(not found)"))</f>
        <v/>
      </c>
      <c r="P1717" s="49" t="str">
        <f>IF(COUNTA($A1717:$L1717)=0,"",IF($A1717="","Missing: entry ID",IF(COUNTIF($A$2:$A$2001,$A1717)&gt;1,"Duplicate entry ID",IF(NOT(ISNUMBER($B1717)),"Missing or invalid: date",IF($C1717="","Missing: type",IF($D1717="","Missing: SKU",IF(NOT(ISNUMBER($E1717)),"Missing: qty",IF($F1717="","Missing: lot",IF($I1717="","Missing: source link",IF(COUNTIF(Config!$A$15:$A$34,$C1717)=0,"Unsupported type",IF(COUNTIF(Products!$A$2:$A$101,$D1717)=0,"Unknown SKU",IF(COUNTIFS(Batches!$A$2:$A$301,$F1717,Batches!$B$2:$B$301,$D1717)=0,"Unknown lot for this SKU",IF(AND($C1717="Adjustment",$G1717=""),"Missing: reason",IF(AND($G1717&lt;&gt;"",COUNTIF(Config!$B$15:$B$34,$G1717)=0),"Unsupported reason",IF(OR(INT($E1717)&lt;&gt;$E1717,AND(OR($C1717="Receipt",$C1717="Shipment"),$E1717&lt;=0),AND($C1717="Adjustment",$E1717=0)),"Invalid qty",IF($B1717&gt;Config!$B$4,"Date after the as-of date",IF($B1717&lt;Config!$B$5,"Date before the opening balance date","OK")))))))))))))))))</f>
        <v/>
      </c>
    </row>
    <row r="1718">
      <c r="A1718" s="46" t="n"/>
      <c r="B1718" s="54" t="n"/>
      <c r="C1718" s="46" t="n"/>
      <c r="D1718" s="46" t="n"/>
      <c r="E1718" s="55" t="n"/>
      <c r="F1718" s="46" t="n"/>
      <c r="G1718" s="46" t="n"/>
      <c r="H1718" s="46" t="n"/>
      <c r="I1718" s="46" t="n"/>
      <c r="J1718" s="46" t="n"/>
      <c r="K1718" s="46" t="n"/>
      <c r="L1718" s="46" t="n"/>
      <c r="M1718" s="51" t="str">
        <f>IF(NOT(ISNUMBER($E1718)),"",IF($C1718="Receipt",$E1718,IF($C1718="Shipment",-$E1718,IF($C1718="Adjustment",$E1718,0))))</f>
        <v/>
      </c>
      <c r="N1718" s="49" t="str">
        <f>IF($D1718="","",IFERROR(INDEX(Products!$B$2:$B$101,MATCH($D1718,Products!$A$2:$A$101,0))&amp;"","(not found)"))</f>
        <v/>
      </c>
      <c r="O1718" s="49" t="str">
        <f>IF($F1718="","",IFERROR(INDEX(Batches!$B$2:$B$301,MATCH($F1718,Batches!$A$2:$A$301,0))&amp;"","(not found)"))</f>
        <v/>
      </c>
      <c r="P1718" s="49" t="str">
        <f>IF(COUNTA($A1718:$L1718)=0,"",IF($A1718="","Missing: entry ID",IF(COUNTIF($A$2:$A$2001,$A1718)&gt;1,"Duplicate entry ID",IF(NOT(ISNUMBER($B1718)),"Missing or invalid: date",IF($C1718="","Missing: type",IF($D1718="","Missing: SKU",IF(NOT(ISNUMBER($E1718)),"Missing: qty",IF($F1718="","Missing: lot",IF($I1718="","Missing: source link",IF(COUNTIF(Config!$A$15:$A$34,$C1718)=0,"Unsupported type",IF(COUNTIF(Products!$A$2:$A$101,$D1718)=0,"Unknown SKU",IF(COUNTIFS(Batches!$A$2:$A$301,$F1718,Batches!$B$2:$B$301,$D1718)=0,"Unknown lot for this SKU",IF(AND($C1718="Adjustment",$G1718=""),"Missing: reason",IF(AND($G1718&lt;&gt;"",COUNTIF(Config!$B$15:$B$34,$G1718)=0),"Unsupported reason",IF(OR(INT($E1718)&lt;&gt;$E1718,AND(OR($C1718="Receipt",$C1718="Shipment"),$E1718&lt;=0),AND($C1718="Adjustment",$E1718=0)),"Invalid qty",IF($B1718&gt;Config!$B$4,"Date after the as-of date",IF($B1718&lt;Config!$B$5,"Date before the opening balance date","OK")))))))))))))))))</f>
        <v/>
      </c>
    </row>
    <row r="1719">
      <c r="A1719" s="46" t="n"/>
      <c r="B1719" s="54" t="n"/>
      <c r="C1719" s="46" t="n"/>
      <c r="D1719" s="46" t="n"/>
      <c r="E1719" s="55" t="n"/>
      <c r="F1719" s="46" t="n"/>
      <c r="G1719" s="46" t="n"/>
      <c r="H1719" s="46" t="n"/>
      <c r="I1719" s="46" t="n"/>
      <c r="J1719" s="46" t="n"/>
      <c r="K1719" s="46" t="n"/>
      <c r="L1719" s="46" t="n"/>
      <c r="M1719" s="51" t="str">
        <f>IF(NOT(ISNUMBER($E1719)),"",IF($C1719="Receipt",$E1719,IF($C1719="Shipment",-$E1719,IF($C1719="Adjustment",$E1719,0))))</f>
        <v/>
      </c>
      <c r="N1719" s="49" t="str">
        <f>IF($D1719="","",IFERROR(INDEX(Products!$B$2:$B$101,MATCH($D1719,Products!$A$2:$A$101,0))&amp;"","(not found)"))</f>
        <v/>
      </c>
      <c r="O1719" s="49" t="str">
        <f>IF($F1719="","",IFERROR(INDEX(Batches!$B$2:$B$301,MATCH($F1719,Batches!$A$2:$A$301,0))&amp;"","(not found)"))</f>
        <v/>
      </c>
      <c r="P1719" s="49" t="str">
        <f>IF(COUNTA($A1719:$L1719)=0,"",IF($A1719="","Missing: entry ID",IF(COUNTIF($A$2:$A$2001,$A1719)&gt;1,"Duplicate entry ID",IF(NOT(ISNUMBER($B1719)),"Missing or invalid: date",IF($C1719="","Missing: type",IF($D1719="","Missing: SKU",IF(NOT(ISNUMBER($E1719)),"Missing: qty",IF($F1719="","Missing: lot",IF($I1719="","Missing: source link",IF(COUNTIF(Config!$A$15:$A$34,$C1719)=0,"Unsupported type",IF(COUNTIF(Products!$A$2:$A$101,$D1719)=0,"Unknown SKU",IF(COUNTIFS(Batches!$A$2:$A$301,$F1719,Batches!$B$2:$B$301,$D1719)=0,"Unknown lot for this SKU",IF(AND($C1719="Adjustment",$G1719=""),"Missing: reason",IF(AND($G1719&lt;&gt;"",COUNTIF(Config!$B$15:$B$34,$G1719)=0),"Unsupported reason",IF(OR(INT($E1719)&lt;&gt;$E1719,AND(OR($C1719="Receipt",$C1719="Shipment"),$E1719&lt;=0),AND($C1719="Adjustment",$E1719=0)),"Invalid qty",IF($B1719&gt;Config!$B$4,"Date after the as-of date",IF($B1719&lt;Config!$B$5,"Date before the opening balance date","OK")))))))))))))))))</f>
        <v/>
      </c>
    </row>
    <row r="1720">
      <c r="A1720" s="46" t="n"/>
      <c r="B1720" s="54" t="n"/>
      <c r="C1720" s="46" t="n"/>
      <c r="D1720" s="46" t="n"/>
      <c r="E1720" s="55" t="n"/>
      <c r="F1720" s="46" t="n"/>
      <c r="G1720" s="46" t="n"/>
      <c r="H1720" s="46" t="n"/>
      <c r="I1720" s="46" t="n"/>
      <c r="J1720" s="46" t="n"/>
      <c r="K1720" s="46" t="n"/>
      <c r="L1720" s="46" t="n"/>
      <c r="M1720" s="51" t="str">
        <f>IF(NOT(ISNUMBER($E1720)),"",IF($C1720="Receipt",$E1720,IF($C1720="Shipment",-$E1720,IF($C1720="Adjustment",$E1720,0))))</f>
        <v/>
      </c>
      <c r="N1720" s="49" t="str">
        <f>IF($D1720="","",IFERROR(INDEX(Products!$B$2:$B$101,MATCH($D1720,Products!$A$2:$A$101,0))&amp;"","(not found)"))</f>
        <v/>
      </c>
      <c r="O1720" s="49" t="str">
        <f>IF($F1720="","",IFERROR(INDEX(Batches!$B$2:$B$301,MATCH($F1720,Batches!$A$2:$A$301,0))&amp;"","(not found)"))</f>
        <v/>
      </c>
      <c r="P1720" s="49" t="str">
        <f>IF(COUNTA($A1720:$L1720)=0,"",IF($A1720="","Missing: entry ID",IF(COUNTIF($A$2:$A$2001,$A1720)&gt;1,"Duplicate entry ID",IF(NOT(ISNUMBER($B1720)),"Missing or invalid: date",IF($C1720="","Missing: type",IF($D1720="","Missing: SKU",IF(NOT(ISNUMBER($E1720)),"Missing: qty",IF($F1720="","Missing: lot",IF($I1720="","Missing: source link",IF(COUNTIF(Config!$A$15:$A$34,$C1720)=0,"Unsupported type",IF(COUNTIF(Products!$A$2:$A$101,$D1720)=0,"Unknown SKU",IF(COUNTIFS(Batches!$A$2:$A$301,$F1720,Batches!$B$2:$B$301,$D1720)=0,"Unknown lot for this SKU",IF(AND($C1720="Adjustment",$G1720=""),"Missing: reason",IF(AND($G1720&lt;&gt;"",COUNTIF(Config!$B$15:$B$34,$G1720)=0),"Unsupported reason",IF(OR(INT($E1720)&lt;&gt;$E1720,AND(OR($C1720="Receipt",$C1720="Shipment"),$E1720&lt;=0),AND($C1720="Adjustment",$E1720=0)),"Invalid qty",IF($B1720&gt;Config!$B$4,"Date after the as-of date",IF($B1720&lt;Config!$B$5,"Date before the opening balance date","OK")))))))))))))))))</f>
        <v/>
      </c>
    </row>
    <row r="1721">
      <c r="A1721" s="46" t="n"/>
      <c r="B1721" s="54" t="n"/>
      <c r="C1721" s="46" t="n"/>
      <c r="D1721" s="46" t="n"/>
      <c r="E1721" s="55" t="n"/>
      <c r="F1721" s="46" t="n"/>
      <c r="G1721" s="46" t="n"/>
      <c r="H1721" s="46" t="n"/>
      <c r="I1721" s="46" t="n"/>
      <c r="J1721" s="46" t="n"/>
      <c r="K1721" s="46" t="n"/>
      <c r="L1721" s="46" t="n"/>
      <c r="M1721" s="51" t="str">
        <f>IF(NOT(ISNUMBER($E1721)),"",IF($C1721="Receipt",$E1721,IF($C1721="Shipment",-$E1721,IF($C1721="Adjustment",$E1721,0))))</f>
        <v/>
      </c>
      <c r="N1721" s="49" t="str">
        <f>IF($D1721="","",IFERROR(INDEX(Products!$B$2:$B$101,MATCH($D1721,Products!$A$2:$A$101,0))&amp;"","(not found)"))</f>
        <v/>
      </c>
      <c r="O1721" s="49" t="str">
        <f>IF($F1721="","",IFERROR(INDEX(Batches!$B$2:$B$301,MATCH($F1721,Batches!$A$2:$A$301,0))&amp;"","(not found)"))</f>
        <v/>
      </c>
      <c r="P1721" s="49" t="str">
        <f>IF(COUNTA($A1721:$L1721)=0,"",IF($A1721="","Missing: entry ID",IF(COUNTIF($A$2:$A$2001,$A1721)&gt;1,"Duplicate entry ID",IF(NOT(ISNUMBER($B1721)),"Missing or invalid: date",IF($C1721="","Missing: type",IF($D1721="","Missing: SKU",IF(NOT(ISNUMBER($E1721)),"Missing: qty",IF($F1721="","Missing: lot",IF($I1721="","Missing: source link",IF(COUNTIF(Config!$A$15:$A$34,$C1721)=0,"Unsupported type",IF(COUNTIF(Products!$A$2:$A$101,$D1721)=0,"Unknown SKU",IF(COUNTIFS(Batches!$A$2:$A$301,$F1721,Batches!$B$2:$B$301,$D1721)=0,"Unknown lot for this SKU",IF(AND($C1721="Adjustment",$G1721=""),"Missing: reason",IF(AND($G1721&lt;&gt;"",COUNTIF(Config!$B$15:$B$34,$G1721)=0),"Unsupported reason",IF(OR(INT($E1721)&lt;&gt;$E1721,AND(OR($C1721="Receipt",$C1721="Shipment"),$E1721&lt;=0),AND($C1721="Adjustment",$E1721=0)),"Invalid qty",IF($B1721&gt;Config!$B$4,"Date after the as-of date",IF($B1721&lt;Config!$B$5,"Date before the opening balance date","OK")))))))))))))))))</f>
        <v/>
      </c>
    </row>
    <row r="1722">
      <c r="A1722" s="46" t="n"/>
      <c r="B1722" s="54" t="n"/>
      <c r="C1722" s="46" t="n"/>
      <c r="D1722" s="46" t="n"/>
      <c r="E1722" s="55" t="n"/>
      <c r="F1722" s="46" t="n"/>
      <c r="G1722" s="46" t="n"/>
      <c r="H1722" s="46" t="n"/>
      <c r="I1722" s="46" t="n"/>
      <c r="J1722" s="46" t="n"/>
      <c r="K1722" s="46" t="n"/>
      <c r="L1722" s="46" t="n"/>
      <c r="M1722" s="51" t="str">
        <f>IF(NOT(ISNUMBER($E1722)),"",IF($C1722="Receipt",$E1722,IF($C1722="Shipment",-$E1722,IF($C1722="Adjustment",$E1722,0))))</f>
        <v/>
      </c>
      <c r="N1722" s="49" t="str">
        <f>IF($D1722="","",IFERROR(INDEX(Products!$B$2:$B$101,MATCH($D1722,Products!$A$2:$A$101,0))&amp;"","(not found)"))</f>
        <v/>
      </c>
      <c r="O1722" s="49" t="str">
        <f>IF($F1722="","",IFERROR(INDEX(Batches!$B$2:$B$301,MATCH($F1722,Batches!$A$2:$A$301,0))&amp;"","(not found)"))</f>
        <v/>
      </c>
      <c r="P1722" s="49" t="str">
        <f>IF(COUNTA($A1722:$L1722)=0,"",IF($A1722="","Missing: entry ID",IF(COUNTIF($A$2:$A$2001,$A1722)&gt;1,"Duplicate entry ID",IF(NOT(ISNUMBER($B1722)),"Missing or invalid: date",IF($C1722="","Missing: type",IF($D1722="","Missing: SKU",IF(NOT(ISNUMBER($E1722)),"Missing: qty",IF($F1722="","Missing: lot",IF($I1722="","Missing: source link",IF(COUNTIF(Config!$A$15:$A$34,$C1722)=0,"Unsupported type",IF(COUNTIF(Products!$A$2:$A$101,$D1722)=0,"Unknown SKU",IF(COUNTIFS(Batches!$A$2:$A$301,$F1722,Batches!$B$2:$B$301,$D1722)=0,"Unknown lot for this SKU",IF(AND($C1722="Adjustment",$G1722=""),"Missing: reason",IF(AND($G1722&lt;&gt;"",COUNTIF(Config!$B$15:$B$34,$G1722)=0),"Unsupported reason",IF(OR(INT($E1722)&lt;&gt;$E1722,AND(OR($C1722="Receipt",$C1722="Shipment"),$E1722&lt;=0),AND($C1722="Adjustment",$E1722=0)),"Invalid qty",IF($B1722&gt;Config!$B$4,"Date after the as-of date",IF($B1722&lt;Config!$B$5,"Date before the opening balance date","OK")))))))))))))))))</f>
        <v/>
      </c>
    </row>
    <row r="1723">
      <c r="A1723" s="46" t="n"/>
      <c r="B1723" s="54" t="n"/>
      <c r="C1723" s="46" t="n"/>
      <c r="D1723" s="46" t="n"/>
      <c r="E1723" s="55" t="n"/>
      <c r="F1723" s="46" t="n"/>
      <c r="G1723" s="46" t="n"/>
      <c r="H1723" s="46" t="n"/>
      <c r="I1723" s="46" t="n"/>
      <c r="J1723" s="46" t="n"/>
      <c r="K1723" s="46" t="n"/>
      <c r="L1723" s="46" t="n"/>
      <c r="M1723" s="51" t="str">
        <f>IF(NOT(ISNUMBER($E1723)),"",IF($C1723="Receipt",$E1723,IF($C1723="Shipment",-$E1723,IF($C1723="Adjustment",$E1723,0))))</f>
        <v/>
      </c>
      <c r="N1723" s="49" t="str">
        <f>IF($D1723="","",IFERROR(INDEX(Products!$B$2:$B$101,MATCH($D1723,Products!$A$2:$A$101,0))&amp;"","(not found)"))</f>
        <v/>
      </c>
      <c r="O1723" s="49" t="str">
        <f>IF($F1723="","",IFERROR(INDEX(Batches!$B$2:$B$301,MATCH($F1723,Batches!$A$2:$A$301,0))&amp;"","(not found)"))</f>
        <v/>
      </c>
      <c r="P1723" s="49" t="str">
        <f>IF(COUNTA($A1723:$L1723)=0,"",IF($A1723="","Missing: entry ID",IF(COUNTIF($A$2:$A$2001,$A1723)&gt;1,"Duplicate entry ID",IF(NOT(ISNUMBER($B1723)),"Missing or invalid: date",IF($C1723="","Missing: type",IF($D1723="","Missing: SKU",IF(NOT(ISNUMBER($E1723)),"Missing: qty",IF($F1723="","Missing: lot",IF($I1723="","Missing: source link",IF(COUNTIF(Config!$A$15:$A$34,$C1723)=0,"Unsupported type",IF(COUNTIF(Products!$A$2:$A$101,$D1723)=0,"Unknown SKU",IF(COUNTIFS(Batches!$A$2:$A$301,$F1723,Batches!$B$2:$B$301,$D1723)=0,"Unknown lot for this SKU",IF(AND($C1723="Adjustment",$G1723=""),"Missing: reason",IF(AND($G1723&lt;&gt;"",COUNTIF(Config!$B$15:$B$34,$G1723)=0),"Unsupported reason",IF(OR(INT($E1723)&lt;&gt;$E1723,AND(OR($C1723="Receipt",$C1723="Shipment"),$E1723&lt;=0),AND($C1723="Adjustment",$E1723=0)),"Invalid qty",IF($B1723&gt;Config!$B$4,"Date after the as-of date",IF($B1723&lt;Config!$B$5,"Date before the opening balance date","OK")))))))))))))))))</f>
        <v/>
      </c>
    </row>
    <row r="1724">
      <c r="A1724" s="46" t="n"/>
      <c r="B1724" s="54" t="n"/>
      <c r="C1724" s="46" t="n"/>
      <c r="D1724" s="46" t="n"/>
      <c r="E1724" s="55" t="n"/>
      <c r="F1724" s="46" t="n"/>
      <c r="G1724" s="46" t="n"/>
      <c r="H1724" s="46" t="n"/>
      <c r="I1724" s="46" t="n"/>
      <c r="J1724" s="46" t="n"/>
      <c r="K1724" s="46" t="n"/>
      <c r="L1724" s="46" t="n"/>
      <c r="M1724" s="51" t="str">
        <f>IF(NOT(ISNUMBER($E1724)),"",IF($C1724="Receipt",$E1724,IF($C1724="Shipment",-$E1724,IF($C1724="Adjustment",$E1724,0))))</f>
        <v/>
      </c>
      <c r="N1724" s="49" t="str">
        <f>IF($D1724="","",IFERROR(INDEX(Products!$B$2:$B$101,MATCH($D1724,Products!$A$2:$A$101,0))&amp;"","(not found)"))</f>
        <v/>
      </c>
      <c r="O1724" s="49" t="str">
        <f>IF($F1724="","",IFERROR(INDEX(Batches!$B$2:$B$301,MATCH($F1724,Batches!$A$2:$A$301,0))&amp;"","(not found)"))</f>
        <v/>
      </c>
      <c r="P1724" s="49" t="str">
        <f>IF(COUNTA($A1724:$L1724)=0,"",IF($A1724="","Missing: entry ID",IF(COUNTIF($A$2:$A$2001,$A1724)&gt;1,"Duplicate entry ID",IF(NOT(ISNUMBER($B1724)),"Missing or invalid: date",IF($C1724="","Missing: type",IF($D1724="","Missing: SKU",IF(NOT(ISNUMBER($E1724)),"Missing: qty",IF($F1724="","Missing: lot",IF($I1724="","Missing: source link",IF(COUNTIF(Config!$A$15:$A$34,$C1724)=0,"Unsupported type",IF(COUNTIF(Products!$A$2:$A$101,$D1724)=0,"Unknown SKU",IF(COUNTIFS(Batches!$A$2:$A$301,$F1724,Batches!$B$2:$B$301,$D1724)=0,"Unknown lot for this SKU",IF(AND($C1724="Adjustment",$G1724=""),"Missing: reason",IF(AND($G1724&lt;&gt;"",COUNTIF(Config!$B$15:$B$34,$G1724)=0),"Unsupported reason",IF(OR(INT($E1724)&lt;&gt;$E1724,AND(OR($C1724="Receipt",$C1724="Shipment"),$E1724&lt;=0),AND($C1724="Adjustment",$E1724=0)),"Invalid qty",IF($B1724&gt;Config!$B$4,"Date after the as-of date",IF($B1724&lt;Config!$B$5,"Date before the opening balance date","OK")))))))))))))))))</f>
        <v/>
      </c>
    </row>
    <row r="1725">
      <c r="A1725" s="46" t="n"/>
      <c r="B1725" s="54" t="n"/>
      <c r="C1725" s="46" t="n"/>
      <c r="D1725" s="46" t="n"/>
      <c r="E1725" s="55" t="n"/>
      <c r="F1725" s="46" t="n"/>
      <c r="G1725" s="46" t="n"/>
      <c r="H1725" s="46" t="n"/>
      <c r="I1725" s="46" t="n"/>
      <c r="J1725" s="46" t="n"/>
      <c r="K1725" s="46" t="n"/>
      <c r="L1725" s="46" t="n"/>
      <c r="M1725" s="51" t="str">
        <f>IF(NOT(ISNUMBER($E1725)),"",IF($C1725="Receipt",$E1725,IF($C1725="Shipment",-$E1725,IF($C1725="Adjustment",$E1725,0))))</f>
        <v/>
      </c>
      <c r="N1725" s="49" t="str">
        <f>IF($D1725="","",IFERROR(INDEX(Products!$B$2:$B$101,MATCH($D1725,Products!$A$2:$A$101,0))&amp;"","(not found)"))</f>
        <v/>
      </c>
      <c r="O1725" s="49" t="str">
        <f>IF($F1725="","",IFERROR(INDEX(Batches!$B$2:$B$301,MATCH($F1725,Batches!$A$2:$A$301,0))&amp;"","(not found)"))</f>
        <v/>
      </c>
      <c r="P1725" s="49" t="str">
        <f>IF(COUNTA($A1725:$L1725)=0,"",IF($A1725="","Missing: entry ID",IF(COUNTIF($A$2:$A$2001,$A1725)&gt;1,"Duplicate entry ID",IF(NOT(ISNUMBER($B1725)),"Missing or invalid: date",IF($C1725="","Missing: type",IF($D1725="","Missing: SKU",IF(NOT(ISNUMBER($E1725)),"Missing: qty",IF($F1725="","Missing: lot",IF($I1725="","Missing: source link",IF(COUNTIF(Config!$A$15:$A$34,$C1725)=0,"Unsupported type",IF(COUNTIF(Products!$A$2:$A$101,$D1725)=0,"Unknown SKU",IF(COUNTIFS(Batches!$A$2:$A$301,$F1725,Batches!$B$2:$B$301,$D1725)=0,"Unknown lot for this SKU",IF(AND($C1725="Adjustment",$G1725=""),"Missing: reason",IF(AND($G1725&lt;&gt;"",COUNTIF(Config!$B$15:$B$34,$G1725)=0),"Unsupported reason",IF(OR(INT($E1725)&lt;&gt;$E1725,AND(OR($C1725="Receipt",$C1725="Shipment"),$E1725&lt;=0),AND($C1725="Adjustment",$E1725=0)),"Invalid qty",IF($B1725&gt;Config!$B$4,"Date after the as-of date",IF($B1725&lt;Config!$B$5,"Date before the opening balance date","OK")))))))))))))))))</f>
        <v/>
      </c>
    </row>
    <row r="1726">
      <c r="A1726" s="46" t="n"/>
      <c r="B1726" s="54" t="n"/>
      <c r="C1726" s="46" t="n"/>
      <c r="D1726" s="46" t="n"/>
      <c r="E1726" s="55" t="n"/>
      <c r="F1726" s="46" t="n"/>
      <c r="G1726" s="46" t="n"/>
      <c r="H1726" s="46" t="n"/>
      <c r="I1726" s="46" t="n"/>
      <c r="J1726" s="46" t="n"/>
      <c r="K1726" s="46" t="n"/>
      <c r="L1726" s="46" t="n"/>
      <c r="M1726" s="51" t="str">
        <f>IF(NOT(ISNUMBER($E1726)),"",IF($C1726="Receipt",$E1726,IF($C1726="Shipment",-$E1726,IF($C1726="Adjustment",$E1726,0))))</f>
        <v/>
      </c>
      <c r="N1726" s="49" t="str">
        <f>IF($D1726="","",IFERROR(INDEX(Products!$B$2:$B$101,MATCH($D1726,Products!$A$2:$A$101,0))&amp;"","(not found)"))</f>
        <v/>
      </c>
      <c r="O1726" s="49" t="str">
        <f>IF($F1726="","",IFERROR(INDEX(Batches!$B$2:$B$301,MATCH($F1726,Batches!$A$2:$A$301,0))&amp;"","(not found)"))</f>
        <v/>
      </c>
      <c r="P1726" s="49" t="str">
        <f>IF(COUNTA($A1726:$L1726)=0,"",IF($A1726="","Missing: entry ID",IF(COUNTIF($A$2:$A$2001,$A1726)&gt;1,"Duplicate entry ID",IF(NOT(ISNUMBER($B1726)),"Missing or invalid: date",IF($C1726="","Missing: type",IF($D1726="","Missing: SKU",IF(NOT(ISNUMBER($E1726)),"Missing: qty",IF($F1726="","Missing: lot",IF($I1726="","Missing: source link",IF(COUNTIF(Config!$A$15:$A$34,$C1726)=0,"Unsupported type",IF(COUNTIF(Products!$A$2:$A$101,$D1726)=0,"Unknown SKU",IF(COUNTIFS(Batches!$A$2:$A$301,$F1726,Batches!$B$2:$B$301,$D1726)=0,"Unknown lot for this SKU",IF(AND($C1726="Adjustment",$G1726=""),"Missing: reason",IF(AND($G1726&lt;&gt;"",COUNTIF(Config!$B$15:$B$34,$G1726)=0),"Unsupported reason",IF(OR(INT($E1726)&lt;&gt;$E1726,AND(OR($C1726="Receipt",$C1726="Shipment"),$E1726&lt;=0),AND($C1726="Adjustment",$E1726=0)),"Invalid qty",IF($B1726&gt;Config!$B$4,"Date after the as-of date",IF($B1726&lt;Config!$B$5,"Date before the opening balance date","OK")))))))))))))))))</f>
        <v/>
      </c>
    </row>
    <row r="1727">
      <c r="A1727" s="46" t="n"/>
      <c r="B1727" s="54" t="n"/>
      <c r="C1727" s="46" t="n"/>
      <c r="D1727" s="46" t="n"/>
      <c r="E1727" s="55" t="n"/>
      <c r="F1727" s="46" t="n"/>
      <c r="G1727" s="46" t="n"/>
      <c r="H1727" s="46" t="n"/>
      <c r="I1727" s="46" t="n"/>
      <c r="J1727" s="46" t="n"/>
      <c r="K1727" s="46" t="n"/>
      <c r="L1727" s="46" t="n"/>
      <c r="M1727" s="51" t="str">
        <f>IF(NOT(ISNUMBER($E1727)),"",IF($C1727="Receipt",$E1727,IF($C1727="Shipment",-$E1727,IF($C1727="Adjustment",$E1727,0))))</f>
        <v/>
      </c>
      <c r="N1727" s="49" t="str">
        <f>IF($D1727="","",IFERROR(INDEX(Products!$B$2:$B$101,MATCH($D1727,Products!$A$2:$A$101,0))&amp;"","(not found)"))</f>
        <v/>
      </c>
      <c r="O1727" s="49" t="str">
        <f>IF($F1727="","",IFERROR(INDEX(Batches!$B$2:$B$301,MATCH($F1727,Batches!$A$2:$A$301,0))&amp;"","(not found)"))</f>
        <v/>
      </c>
      <c r="P1727" s="49" t="str">
        <f>IF(COUNTA($A1727:$L1727)=0,"",IF($A1727="","Missing: entry ID",IF(COUNTIF($A$2:$A$2001,$A1727)&gt;1,"Duplicate entry ID",IF(NOT(ISNUMBER($B1727)),"Missing or invalid: date",IF($C1727="","Missing: type",IF($D1727="","Missing: SKU",IF(NOT(ISNUMBER($E1727)),"Missing: qty",IF($F1727="","Missing: lot",IF($I1727="","Missing: source link",IF(COUNTIF(Config!$A$15:$A$34,$C1727)=0,"Unsupported type",IF(COUNTIF(Products!$A$2:$A$101,$D1727)=0,"Unknown SKU",IF(COUNTIFS(Batches!$A$2:$A$301,$F1727,Batches!$B$2:$B$301,$D1727)=0,"Unknown lot for this SKU",IF(AND($C1727="Adjustment",$G1727=""),"Missing: reason",IF(AND($G1727&lt;&gt;"",COUNTIF(Config!$B$15:$B$34,$G1727)=0),"Unsupported reason",IF(OR(INT($E1727)&lt;&gt;$E1727,AND(OR($C1727="Receipt",$C1727="Shipment"),$E1727&lt;=0),AND($C1727="Adjustment",$E1727=0)),"Invalid qty",IF($B1727&gt;Config!$B$4,"Date after the as-of date",IF($B1727&lt;Config!$B$5,"Date before the opening balance date","OK")))))))))))))))))</f>
        <v/>
      </c>
    </row>
    <row r="1728">
      <c r="A1728" s="46" t="n"/>
      <c r="B1728" s="54" t="n"/>
      <c r="C1728" s="46" t="n"/>
      <c r="D1728" s="46" t="n"/>
      <c r="E1728" s="55" t="n"/>
      <c r="F1728" s="46" t="n"/>
      <c r="G1728" s="46" t="n"/>
      <c r="H1728" s="46" t="n"/>
      <c r="I1728" s="46" t="n"/>
      <c r="J1728" s="46" t="n"/>
      <c r="K1728" s="46" t="n"/>
      <c r="L1728" s="46" t="n"/>
      <c r="M1728" s="51" t="str">
        <f>IF(NOT(ISNUMBER($E1728)),"",IF($C1728="Receipt",$E1728,IF($C1728="Shipment",-$E1728,IF($C1728="Adjustment",$E1728,0))))</f>
        <v/>
      </c>
      <c r="N1728" s="49" t="str">
        <f>IF($D1728="","",IFERROR(INDEX(Products!$B$2:$B$101,MATCH($D1728,Products!$A$2:$A$101,0))&amp;"","(not found)"))</f>
        <v/>
      </c>
      <c r="O1728" s="49" t="str">
        <f>IF($F1728="","",IFERROR(INDEX(Batches!$B$2:$B$301,MATCH($F1728,Batches!$A$2:$A$301,0))&amp;"","(not found)"))</f>
        <v/>
      </c>
      <c r="P1728" s="49" t="str">
        <f>IF(COUNTA($A1728:$L1728)=0,"",IF($A1728="","Missing: entry ID",IF(COUNTIF($A$2:$A$2001,$A1728)&gt;1,"Duplicate entry ID",IF(NOT(ISNUMBER($B1728)),"Missing or invalid: date",IF($C1728="","Missing: type",IF($D1728="","Missing: SKU",IF(NOT(ISNUMBER($E1728)),"Missing: qty",IF($F1728="","Missing: lot",IF($I1728="","Missing: source link",IF(COUNTIF(Config!$A$15:$A$34,$C1728)=0,"Unsupported type",IF(COUNTIF(Products!$A$2:$A$101,$D1728)=0,"Unknown SKU",IF(COUNTIFS(Batches!$A$2:$A$301,$F1728,Batches!$B$2:$B$301,$D1728)=0,"Unknown lot for this SKU",IF(AND($C1728="Adjustment",$G1728=""),"Missing: reason",IF(AND($G1728&lt;&gt;"",COUNTIF(Config!$B$15:$B$34,$G1728)=0),"Unsupported reason",IF(OR(INT($E1728)&lt;&gt;$E1728,AND(OR($C1728="Receipt",$C1728="Shipment"),$E1728&lt;=0),AND($C1728="Adjustment",$E1728=0)),"Invalid qty",IF($B1728&gt;Config!$B$4,"Date after the as-of date",IF($B1728&lt;Config!$B$5,"Date before the opening balance date","OK")))))))))))))))))</f>
        <v/>
      </c>
    </row>
    <row r="1729">
      <c r="A1729" s="46" t="n"/>
      <c r="B1729" s="54" t="n"/>
      <c r="C1729" s="46" t="n"/>
      <c r="D1729" s="46" t="n"/>
      <c r="E1729" s="55" t="n"/>
      <c r="F1729" s="46" t="n"/>
      <c r="G1729" s="46" t="n"/>
      <c r="H1729" s="46" t="n"/>
      <c r="I1729" s="46" t="n"/>
      <c r="J1729" s="46" t="n"/>
      <c r="K1729" s="46" t="n"/>
      <c r="L1729" s="46" t="n"/>
      <c r="M1729" s="51" t="str">
        <f>IF(NOT(ISNUMBER($E1729)),"",IF($C1729="Receipt",$E1729,IF($C1729="Shipment",-$E1729,IF($C1729="Adjustment",$E1729,0))))</f>
        <v/>
      </c>
      <c r="N1729" s="49" t="str">
        <f>IF($D1729="","",IFERROR(INDEX(Products!$B$2:$B$101,MATCH($D1729,Products!$A$2:$A$101,0))&amp;"","(not found)"))</f>
        <v/>
      </c>
      <c r="O1729" s="49" t="str">
        <f>IF($F1729="","",IFERROR(INDEX(Batches!$B$2:$B$301,MATCH($F1729,Batches!$A$2:$A$301,0))&amp;"","(not found)"))</f>
        <v/>
      </c>
      <c r="P1729" s="49" t="str">
        <f>IF(COUNTA($A1729:$L1729)=0,"",IF($A1729="","Missing: entry ID",IF(COUNTIF($A$2:$A$2001,$A1729)&gt;1,"Duplicate entry ID",IF(NOT(ISNUMBER($B1729)),"Missing or invalid: date",IF($C1729="","Missing: type",IF($D1729="","Missing: SKU",IF(NOT(ISNUMBER($E1729)),"Missing: qty",IF($F1729="","Missing: lot",IF($I1729="","Missing: source link",IF(COUNTIF(Config!$A$15:$A$34,$C1729)=0,"Unsupported type",IF(COUNTIF(Products!$A$2:$A$101,$D1729)=0,"Unknown SKU",IF(COUNTIFS(Batches!$A$2:$A$301,$F1729,Batches!$B$2:$B$301,$D1729)=0,"Unknown lot for this SKU",IF(AND($C1729="Adjustment",$G1729=""),"Missing: reason",IF(AND($G1729&lt;&gt;"",COUNTIF(Config!$B$15:$B$34,$G1729)=0),"Unsupported reason",IF(OR(INT($E1729)&lt;&gt;$E1729,AND(OR($C1729="Receipt",$C1729="Shipment"),$E1729&lt;=0),AND($C1729="Adjustment",$E1729=0)),"Invalid qty",IF($B1729&gt;Config!$B$4,"Date after the as-of date",IF($B1729&lt;Config!$B$5,"Date before the opening balance date","OK")))))))))))))))))</f>
        <v/>
      </c>
    </row>
    <row r="1730">
      <c r="A1730" s="46" t="n"/>
      <c r="B1730" s="54" t="n"/>
      <c r="C1730" s="46" t="n"/>
      <c r="D1730" s="46" t="n"/>
      <c r="E1730" s="55" t="n"/>
      <c r="F1730" s="46" t="n"/>
      <c r="G1730" s="46" t="n"/>
      <c r="H1730" s="46" t="n"/>
      <c r="I1730" s="46" t="n"/>
      <c r="J1730" s="46" t="n"/>
      <c r="K1730" s="46" t="n"/>
      <c r="L1730" s="46" t="n"/>
      <c r="M1730" s="51" t="str">
        <f>IF(NOT(ISNUMBER($E1730)),"",IF($C1730="Receipt",$E1730,IF($C1730="Shipment",-$E1730,IF($C1730="Adjustment",$E1730,0))))</f>
        <v/>
      </c>
      <c r="N1730" s="49" t="str">
        <f>IF($D1730="","",IFERROR(INDEX(Products!$B$2:$B$101,MATCH($D1730,Products!$A$2:$A$101,0))&amp;"","(not found)"))</f>
        <v/>
      </c>
      <c r="O1730" s="49" t="str">
        <f>IF($F1730="","",IFERROR(INDEX(Batches!$B$2:$B$301,MATCH($F1730,Batches!$A$2:$A$301,0))&amp;"","(not found)"))</f>
        <v/>
      </c>
      <c r="P1730" s="49" t="str">
        <f>IF(COUNTA($A1730:$L1730)=0,"",IF($A1730="","Missing: entry ID",IF(COUNTIF($A$2:$A$2001,$A1730)&gt;1,"Duplicate entry ID",IF(NOT(ISNUMBER($B1730)),"Missing or invalid: date",IF($C1730="","Missing: type",IF($D1730="","Missing: SKU",IF(NOT(ISNUMBER($E1730)),"Missing: qty",IF($F1730="","Missing: lot",IF($I1730="","Missing: source link",IF(COUNTIF(Config!$A$15:$A$34,$C1730)=0,"Unsupported type",IF(COUNTIF(Products!$A$2:$A$101,$D1730)=0,"Unknown SKU",IF(COUNTIFS(Batches!$A$2:$A$301,$F1730,Batches!$B$2:$B$301,$D1730)=0,"Unknown lot for this SKU",IF(AND($C1730="Adjustment",$G1730=""),"Missing: reason",IF(AND($G1730&lt;&gt;"",COUNTIF(Config!$B$15:$B$34,$G1730)=0),"Unsupported reason",IF(OR(INT($E1730)&lt;&gt;$E1730,AND(OR($C1730="Receipt",$C1730="Shipment"),$E1730&lt;=0),AND($C1730="Adjustment",$E1730=0)),"Invalid qty",IF($B1730&gt;Config!$B$4,"Date after the as-of date",IF($B1730&lt;Config!$B$5,"Date before the opening balance date","OK")))))))))))))))))</f>
        <v/>
      </c>
    </row>
    <row r="1731">
      <c r="A1731" s="46" t="n"/>
      <c r="B1731" s="54" t="n"/>
      <c r="C1731" s="46" t="n"/>
      <c r="D1731" s="46" t="n"/>
      <c r="E1731" s="55" t="n"/>
      <c r="F1731" s="46" t="n"/>
      <c r="G1731" s="46" t="n"/>
      <c r="H1731" s="46" t="n"/>
      <c r="I1731" s="46" t="n"/>
      <c r="J1731" s="46" t="n"/>
      <c r="K1731" s="46" t="n"/>
      <c r="L1731" s="46" t="n"/>
      <c r="M1731" s="51" t="str">
        <f>IF(NOT(ISNUMBER($E1731)),"",IF($C1731="Receipt",$E1731,IF($C1731="Shipment",-$E1731,IF($C1731="Adjustment",$E1731,0))))</f>
        <v/>
      </c>
      <c r="N1731" s="49" t="str">
        <f>IF($D1731="","",IFERROR(INDEX(Products!$B$2:$B$101,MATCH($D1731,Products!$A$2:$A$101,0))&amp;"","(not found)"))</f>
        <v/>
      </c>
      <c r="O1731" s="49" t="str">
        <f>IF($F1731="","",IFERROR(INDEX(Batches!$B$2:$B$301,MATCH($F1731,Batches!$A$2:$A$301,0))&amp;"","(not found)"))</f>
        <v/>
      </c>
      <c r="P1731" s="49" t="str">
        <f>IF(COUNTA($A1731:$L1731)=0,"",IF($A1731="","Missing: entry ID",IF(COUNTIF($A$2:$A$2001,$A1731)&gt;1,"Duplicate entry ID",IF(NOT(ISNUMBER($B1731)),"Missing or invalid: date",IF($C1731="","Missing: type",IF($D1731="","Missing: SKU",IF(NOT(ISNUMBER($E1731)),"Missing: qty",IF($F1731="","Missing: lot",IF($I1731="","Missing: source link",IF(COUNTIF(Config!$A$15:$A$34,$C1731)=0,"Unsupported type",IF(COUNTIF(Products!$A$2:$A$101,$D1731)=0,"Unknown SKU",IF(COUNTIFS(Batches!$A$2:$A$301,$F1731,Batches!$B$2:$B$301,$D1731)=0,"Unknown lot for this SKU",IF(AND($C1731="Adjustment",$G1731=""),"Missing: reason",IF(AND($G1731&lt;&gt;"",COUNTIF(Config!$B$15:$B$34,$G1731)=0),"Unsupported reason",IF(OR(INT($E1731)&lt;&gt;$E1731,AND(OR($C1731="Receipt",$C1731="Shipment"),$E1731&lt;=0),AND($C1731="Adjustment",$E1731=0)),"Invalid qty",IF($B1731&gt;Config!$B$4,"Date after the as-of date",IF($B1731&lt;Config!$B$5,"Date before the opening balance date","OK")))))))))))))))))</f>
        <v/>
      </c>
    </row>
    <row r="1732">
      <c r="A1732" s="46" t="n"/>
      <c r="B1732" s="54" t="n"/>
      <c r="C1732" s="46" t="n"/>
      <c r="D1732" s="46" t="n"/>
      <c r="E1732" s="55" t="n"/>
      <c r="F1732" s="46" t="n"/>
      <c r="G1732" s="46" t="n"/>
      <c r="H1732" s="46" t="n"/>
      <c r="I1732" s="46" t="n"/>
      <c r="J1732" s="46" t="n"/>
      <c r="K1732" s="46" t="n"/>
      <c r="L1732" s="46" t="n"/>
      <c r="M1732" s="51" t="str">
        <f>IF(NOT(ISNUMBER($E1732)),"",IF($C1732="Receipt",$E1732,IF($C1732="Shipment",-$E1732,IF($C1732="Adjustment",$E1732,0))))</f>
        <v/>
      </c>
      <c r="N1732" s="49" t="str">
        <f>IF($D1732="","",IFERROR(INDEX(Products!$B$2:$B$101,MATCH($D1732,Products!$A$2:$A$101,0))&amp;"","(not found)"))</f>
        <v/>
      </c>
      <c r="O1732" s="49" t="str">
        <f>IF($F1732="","",IFERROR(INDEX(Batches!$B$2:$B$301,MATCH($F1732,Batches!$A$2:$A$301,0))&amp;"","(not found)"))</f>
        <v/>
      </c>
      <c r="P1732" s="49" t="str">
        <f>IF(COUNTA($A1732:$L1732)=0,"",IF($A1732="","Missing: entry ID",IF(COUNTIF($A$2:$A$2001,$A1732)&gt;1,"Duplicate entry ID",IF(NOT(ISNUMBER($B1732)),"Missing or invalid: date",IF($C1732="","Missing: type",IF($D1732="","Missing: SKU",IF(NOT(ISNUMBER($E1732)),"Missing: qty",IF($F1732="","Missing: lot",IF($I1732="","Missing: source link",IF(COUNTIF(Config!$A$15:$A$34,$C1732)=0,"Unsupported type",IF(COUNTIF(Products!$A$2:$A$101,$D1732)=0,"Unknown SKU",IF(COUNTIFS(Batches!$A$2:$A$301,$F1732,Batches!$B$2:$B$301,$D1732)=0,"Unknown lot for this SKU",IF(AND($C1732="Adjustment",$G1732=""),"Missing: reason",IF(AND($G1732&lt;&gt;"",COUNTIF(Config!$B$15:$B$34,$G1732)=0),"Unsupported reason",IF(OR(INT($E1732)&lt;&gt;$E1732,AND(OR($C1732="Receipt",$C1732="Shipment"),$E1732&lt;=0),AND($C1732="Adjustment",$E1732=0)),"Invalid qty",IF($B1732&gt;Config!$B$4,"Date after the as-of date",IF($B1732&lt;Config!$B$5,"Date before the opening balance date","OK")))))))))))))))))</f>
        <v/>
      </c>
    </row>
    <row r="1733">
      <c r="A1733" s="46" t="n"/>
      <c r="B1733" s="54" t="n"/>
      <c r="C1733" s="46" t="n"/>
      <c r="D1733" s="46" t="n"/>
      <c r="E1733" s="55" t="n"/>
      <c r="F1733" s="46" t="n"/>
      <c r="G1733" s="46" t="n"/>
      <c r="H1733" s="46" t="n"/>
      <c r="I1733" s="46" t="n"/>
      <c r="J1733" s="46" t="n"/>
      <c r="K1733" s="46" t="n"/>
      <c r="L1733" s="46" t="n"/>
      <c r="M1733" s="51" t="str">
        <f>IF(NOT(ISNUMBER($E1733)),"",IF($C1733="Receipt",$E1733,IF($C1733="Shipment",-$E1733,IF($C1733="Adjustment",$E1733,0))))</f>
        <v/>
      </c>
      <c r="N1733" s="49" t="str">
        <f>IF($D1733="","",IFERROR(INDEX(Products!$B$2:$B$101,MATCH($D1733,Products!$A$2:$A$101,0))&amp;"","(not found)"))</f>
        <v/>
      </c>
      <c r="O1733" s="49" t="str">
        <f>IF($F1733="","",IFERROR(INDEX(Batches!$B$2:$B$301,MATCH($F1733,Batches!$A$2:$A$301,0))&amp;"","(not found)"))</f>
        <v/>
      </c>
      <c r="P1733" s="49" t="str">
        <f>IF(COUNTA($A1733:$L1733)=0,"",IF($A1733="","Missing: entry ID",IF(COUNTIF($A$2:$A$2001,$A1733)&gt;1,"Duplicate entry ID",IF(NOT(ISNUMBER($B1733)),"Missing or invalid: date",IF($C1733="","Missing: type",IF($D1733="","Missing: SKU",IF(NOT(ISNUMBER($E1733)),"Missing: qty",IF($F1733="","Missing: lot",IF($I1733="","Missing: source link",IF(COUNTIF(Config!$A$15:$A$34,$C1733)=0,"Unsupported type",IF(COUNTIF(Products!$A$2:$A$101,$D1733)=0,"Unknown SKU",IF(COUNTIFS(Batches!$A$2:$A$301,$F1733,Batches!$B$2:$B$301,$D1733)=0,"Unknown lot for this SKU",IF(AND($C1733="Adjustment",$G1733=""),"Missing: reason",IF(AND($G1733&lt;&gt;"",COUNTIF(Config!$B$15:$B$34,$G1733)=0),"Unsupported reason",IF(OR(INT($E1733)&lt;&gt;$E1733,AND(OR($C1733="Receipt",$C1733="Shipment"),$E1733&lt;=0),AND($C1733="Adjustment",$E1733=0)),"Invalid qty",IF($B1733&gt;Config!$B$4,"Date after the as-of date",IF($B1733&lt;Config!$B$5,"Date before the opening balance date","OK")))))))))))))))))</f>
        <v/>
      </c>
    </row>
    <row r="1734">
      <c r="A1734" s="46" t="n"/>
      <c r="B1734" s="54" t="n"/>
      <c r="C1734" s="46" t="n"/>
      <c r="D1734" s="46" t="n"/>
      <c r="E1734" s="55" t="n"/>
      <c r="F1734" s="46" t="n"/>
      <c r="G1734" s="46" t="n"/>
      <c r="H1734" s="46" t="n"/>
      <c r="I1734" s="46" t="n"/>
      <c r="J1734" s="46" t="n"/>
      <c r="K1734" s="46" t="n"/>
      <c r="L1734" s="46" t="n"/>
      <c r="M1734" s="51" t="str">
        <f>IF(NOT(ISNUMBER($E1734)),"",IF($C1734="Receipt",$E1734,IF($C1734="Shipment",-$E1734,IF($C1734="Adjustment",$E1734,0))))</f>
        <v/>
      </c>
      <c r="N1734" s="49" t="str">
        <f>IF($D1734="","",IFERROR(INDEX(Products!$B$2:$B$101,MATCH($D1734,Products!$A$2:$A$101,0))&amp;"","(not found)"))</f>
        <v/>
      </c>
      <c r="O1734" s="49" t="str">
        <f>IF($F1734="","",IFERROR(INDEX(Batches!$B$2:$B$301,MATCH($F1734,Batches!$A$2:$A$301,0))&amp;"","(not found)"))</f>
        <v/>
      </c>
      <c r="P1734" s="49" t="str">
        <f>IF(COUNTA($A1734:$L1734)=0,"",IF($A1734="","Missing: entry ID",IF(COUNTIF($A$2:$A$2001,$A1734)&gt;1,"Duplicate entry ID",IF(NOT(ISNUMBER($B1734)),"Missing or invalid: date",IF($C1734="","Missing: type",IF($D1734="","Missing: SKU",IF(NOT(ISNUMBER($E1734)),"Missing: qty",IF($F1734="","Missing: lot",IF($I1734="","Missing: source link",IF(COUNTIF(Config!$A$15:$A$34,$C1734)=0,"Unsupported type",IF(COUNTIF(Products!$A$2:$A$101,$D1734)=0,"Unknown SKU",IF(COUNTIFS(Batches!$A$2:$A$301,$F1734,Batches!$B$2:$B$301,$D1734)=0,"Unknown lot for this SKU",IF(AND($C1734="Adjustment",$G1734=""),"Missing: reason",IF(AND($G1734&lt;&gt;"",COUNTIF(Config!$B$15:$B$34,$G1734)=0),"Unsupported reason",IF(OR(INT($E1734)&lt;&gt;$E1734,AND(OR($C1734="Receipt",$C1734="Shipment"),$E1734&lt;=0),AND($C1734="Adjustment",$E1734=0)),"Invalid qty",IF($B1734&gt;Config!$B$4,"Date after the as-of date",IF($B1734&lt;Config!$B$5,"Date before the opening balance date","OK")))))))))))))))))</f>
        <v/>
      </c>
    </row>
    <row r="1735">
      <c r="A1735" s="46" t="n"/>
      <c r="B1735" s="54" t="n"/>
      <c r="C1735" s="46" t="n"/>
      <c r="D1735" s="46" t="n"/>
      <c r="E1735" s="55" t="n"/>
      <c r="F1735" s="46" t="n"/>
      <c r="G1735" s="46" t="n"/>
      <c r="H1735" s="46" t="n"/>
      <c r="I1735" s="46" t="n"/>
      <c r="J1735" s="46" t="n"/>
      <c r="K1735" s="46" t="n"/>
      <c r="L1735" s="46" t="n"/>
      <c r="M1735" s="51" t="str">
        <f>IF(NOT(ISNUMBER($E1735)),"",IF($C1735="Receipt",$E1735,IF($C1735="Shipment",-$E1735,IF($C1735="Adjustment",$E1735,0))))</f>
        <v/>
      </c>
      <c r="N1735" s="49" t="str">
        <f>IF($D1735="","",IFERROR(INDEX(Products!$B$2:$B$101,MATCH($D1735,Products!$A$2:$A$101,0))&amp;"","(not found)"))</f>
        <v/>
      </c>
      <c r="O1735" s="49" t="str">
        <f>IF($F1735="","",IFERROR(INDEX(Batches!$B$2:$B$301,MATCH($F1735,Batches!$A$2:$A$301,0))&amp;"","(not found)"))</f>
        <v/>
      </c>
      <c r="P1735" s="49" t="str">
        <f>IF(COUNTA($A1735:$L1735)=0,"",IF($A1735="","Missing: entry ID",IF(COUNTIF($A$2:$A$2001,$A1735)&gt;1,"Duplicate entry ID",IF(NOT(ISNUMBER($B1735)),"Missing or invalid: date",IF($C1735="","Missing: type",IF($D1735="","Missing: SKU",IF(NOT(ISNUMBER($E1735)),"Missing: qty",IF($F1735="","Missing: lot",IF($I1735="","Missing: source link",IF(COUNTIF(Config!$A$15:$A$34,$C1735)=0,"Unsupported type",IF(COUNTIF(Products!$A$2:$A$101,$D1735)=0,"Unknown SKU",IF(COUNTIFS(Batches!$A$2:$A$301,$F1735,Batches!$B$2:$B$301,$D1735)=0,"Unknown lot for this SKU",IF(AND($C1735="Adjustment",$G1735=""),"Missing: reason",IF(AND($G1735&lt;&gt;"",COUNTIF(Config!$B$15:$B$34,$G1735)=0),"Unsupported reason",IF(OR(INT($E1735)&lt;&gt;$E1735,AND(OR($C1735="Receipt",$C1735="Shipment"),$E1735&lt;=0),AND($C1735="Adjustment",$E1735=0)),"Invalid qty",IF($B1735&gt;Config!$B$4,"Date after the as-of date",IF($B1735&lt;Config!$B$5,"Date before the opening balance date","OK")))))))))))))))))</f>
        <v/>
      </c>
    </row>
    <row r="1736">
      <c r="A1736" s="46" t="n"/>
      <c r="B1736" s="54" t="n"/>
      <c r="C1736" s="46" t="n"/>
      <c r="D1736" s="46" t="n"/>
      <c r="E1736" s="55" t="n"/>
      <c r="F1736" s="46" t="n"/>
      <c r="G1736" s="46" t="n"/>
      <c r="H1736" s="46" t="n"/>
      <c r="I1736" s="46" t="n"/>
      <c r="J1736" s="46" t="n"/>
      <c r="K1736" s="46" t="n"/>
      <c r="L1736" s="46" t="n"/>
      <c r="M1736" s="51" t="str">
        <f>IF(NOT(ISNUMBER($E1736)),"",IF($C1736="Receipt",$E1736,IF($C1736="Shipment",-$E1736,IF($C1736="Adjustment",$E1736,0))))</f>
        <v/>
      </c>
      <c r="N1736" s="49" t="str">
        <f>IF($D1736="","",IFERROR(INDEX(Products!$B$2:$B$101,MATCH($D1736,Products!$A$2:$A$101,0))&amp;"","(not found)"))</f>
        <v/>
      </c>
      <c r="O1736" s="49" t="str">
        <f>IF($F1736="","",IFERROR(INDEX(Batches!$B$2:$B$301,MATCH($F1736,Batches!$A$2:$A$301,0))&amp;"","(not found)"))</f>
        <v/>
      </c>
      <c r="P1736" s="49" t="str">
        <f>IF(COUNTA($A1736:$L1736)=0,"",IF($A1736="","Missing: entry ID",IF(COUNTIF($A$2:$A$2001,$A1736)&gt;1,"Duplicate entry ID",IF(NOT(ISNUMBER($B1736)),"Missing or invalid: date",IF($C1736="","Missing: type",IF($D1736="","Missing: SKU",IF(NOT(ISNUMBER($E1736)),"Missing: qty",IF($F1736="","Missing: lot",IF($I1736="","Missing: source link",IF(COUNTIF(Config!$A$15:$A$34,$C1736)=0,"Unsupported type",IF(COUNTIF(Products!$A$2:$A$101,$D1736)=0,"Unknown SKU",IF(COUNTIFS(Batches!$A$2:$A$301,$F1736,Batches!$B$2:$B$301,$D1736)=0,"Unknown lot for this SKU",IF(AND($C1736="Adjustment",$G1736=""),"Missing: reason",IF(AND($G1736&lt;&gt;"",COUNTIF(Config!$B$15:$B$34,$G1736)=0),"Unsupported reason",IF(OR(INT($E1736)&lt;&gt;$E1736,AND(OR($C1736="Receipt",$C1736="Shipment"),$E1736&lt;=0),AND($C1736="Adjustment",$E1736=0)),"Invalid qty",IF($B1736&gt;Config!$B$4,"Date after the as-of date",IF($B1736&lt;Config!$B$5,"Date before the opening balance date","OK")))))))))))))))))</f>
        <v/>
      </c>
    </row>
    <row r="1737">
      <c r="A1737" s="46" t="n"/>
      <c r="B1737" s="54" t="n"/>
      <c r="C1737" s="46" t="n"/>
      <c r="D1737" s="46" t="n"/>
      <c r="E1737" s="55" t="n"/>
      <c r="F1737" s="46" t="n"/>
      <c r="G1737" s="46" t="n"/>
      <c r="H1737" s="46" t="n"/>
      <c r="I1737" s="46" t="n"/>
      <c r="J1737" s="46" t="n"/>
      <c r="K1737" s="46" t="n"/>
      <c r="L1737" s="46" t="n"/>
      <c r="M1737" s="51" t="str">
        <f>IF(NOT(ISNUMBER($E1737)),"",IF($C1737="Receipt",$E1737,IF($C1737="Shipment",-$E1737,IF($C1737="Adjustment",$E1737,0))))</f>
        <v/>
      </c>
      <c r="N1737" s="49" t="str">
        <f>IF($D1737="","",IFERROR(INDEX(Products!$B$2:$B$101,MATCH($D1737,Products!$A$2:$A$101,0))&amp;"","(not found)"))</f>
        <v/>
      </c>
      <c r="O1737" s="49" t="str">
        <f>IF($F1737="","",IFERROR(INDEX(Batches!$B$2:$B$301,MATCH($F1737,Batches!$A$2:$A$301,0))&amp;"","(not found)"))</f>
        <v/>
      </c>
      <c r="P1737" s="49" t="str">
        <f>IF(COUNTA($A1737:$L1737)=0,"",IF($A1737="","Missing: entry ID",IF(COUNTIF($A$2:$A$2001,$A1737)&gt;1,"Duplicate entry ID",IF(NOT(ISNUMBER($B1737)),"Missing or invalid: date",IF($C1737="","Missing: type",IF($D1737="","Missing: SKU",IF(NOT(ISNUMBER($E1737)),"Missing: qty",IF($F1737="","Missing: lot",IF($I1737="","Missing: source link",IF(COUNTIF(Config!$A$15:$A$34,$C1737)=0,"Unsupported type",IF(COUNTIF(Products!$A$2:$A$101,$D1737)=0,"Unknown SKU",IF(COUNTIFS(Batches!$A$2:$A$301,$F1737,Batches!$B$2:$B$301,$D1737)=0,"Unknown lot for this SKU",IF(AND($C1737="Adjustment",$G1737=""),"Missing: reason",IF(AND($G1737&lt;&gt;"",COUNTIF(Config!$B$15:$B$34,$G1737)=0),"Unsupported reason",IF(OR(INT($E1737)&lt;&gt;$E1737,AND(OR($C1737="Receipt",$C1737="Shipment"),$E1737&lt;=0),AND($C1737="Adjustment",$E1737=0)),"Invalid qty",IF($B1737&gt;Config!$B$4,"Date after the as-of date",IF($B1737&lt;Config!$B$5,"Date before the opening balance date","OK")))))))))))))))))</f>
        <v/>
      </c>
    </row>
    <row r="1738">
      <c r="A1738" s="46" t="n"/>
      <c r="B1738" s="54" t="n"/>
      <c r="C1738" s="46" t="n"/>
      <c r="D1738" s="46" t="n"/>
      <c r="E1738" s="55" t="n"/>
      <c r="F1738" s="46" t="n"/>
      <c r="G1738" s="46" t="n"/>
      <c r="H1738" s="46" t="n"/>
      <c r="I1738" s="46" t="n"/>
      <c r="J1738" s="46" t="n"/>
      <c r="K1738" s="46" t="n"/>
      <c r="L1738" s="46" t="n"/>
      <c r="M1738" s="51" t="str">
        <f>IF(NOT(ISNUMBER($E1738)),"",IF($C1738="Receipt",$E1738,IF($C1738="Shipment",-$E1738,IF($C1738="Adjustment",$E1738,0))))</f>
        <v/>
      </c>
      <c r="N1738" s="49" t="str">
        <f>IF($D1738="","",IFERROR(INDEX(Products!$B$2:$B$101,MATCH($D1738,Products!$A$2:$A$101,0))&amp;"","(not found)"))</f>
        <v/>
      </c>
      <c r="O1738" s="49" t="str">
        <f>IF($F1738="","",IFERROR(INDEX(Batches!$B$2:$B$301,MATCH($F1738,Batches!$A$2:$A$301,0))&amp;"","(not found)"))</f>
        <v/>
      </c>
      <c r="P1738" s="49" t="str">
        <f>IF(COUNTA($A1738:$L1738)=0,"",IF($A1738="","Missing: entry ID",IF(COUNTIF($A$2:$A$2001,$A1738)&gt;1,"Duplicate entry ID",IF(NOT(ISNUMBER($B1738)),"Missing or invalid: date",IF($C1738="","Missing: type",IF($D1738="","Missing: SKU",IF(NOT(ISNUMBER($E1738)),"Missing: qty",IF($F1738="","Missing: lot",IF($I1738="","Missing: source link",IF(COUNTIF(Config!$A$15:$A$34,$C1738)=0,"Unsupported type",IF(COUNTIF(Products!$A$2:$A$101,$D1738)=0,"Unknown SKU",IF(COUNTIFS(Batches!$A$2:$A$301,$F1738,Batches!$B$2:$B$301,$D1738)=0,"Unknown lot for this SKU",IF(AND($C1738="Adjustment",$G1738=""),"Missing: reason",IF(AND($G1738&lt;&gt;"",COUNTIF(Config!$B$15:$B$34,$G1738)=0),"Unsupported reason",IF(OR(INT($E1738)&lt;&gt;$E1738,AND(OR($C1738="Receipt",$C1738="Shipment"),$E1738&lt;=0),AND($C1738="Adjustment",$E1738=0)),"Invalid qty",IF($B1738&gt;Config!$B$4,"Date after the as-of date",IF($B1738&lt;Config!$B$5,"Date before the opening balance date","OK")))))))))))))))))</f>
        <v/>
      </c>
    </row>
    <row r="1739">
      <c r="A1739" s="46" t="n"/>
      <c r="B1739" s="54" t="n"/>
      <c r="C1739" s="46" t="n"/>
      <c r="D1739" s="46" t="n"/>
      <c r="E1739" s="55" t="n"/>
      <c r="F1739" s="46" t="n"/>
      <c r="G1739" s="46" t="n"/>
      <c r="H1739" s="46" t="n"/>
      <c r="I1739" s="46" t="n"/>
      <c r="J1739" s="46" t="n"/>
      <c r="K1739" s="46" t="n"/>
      <c r="L1739" s="46" t="n"/>
      <c r="M1739" s="51" t="str">
        <f>IF(NOT(ISNUMBER($E1739)),"",IF($C1739="Receipt",$E1739,IF($C1739="Shipment",-$E1739,IF($C1739="Adjustment",$E1739,0))))</f>
        <v/>
      </c>
      <c r="N1739" s="49" t="str">
        <f>IF($D1739="","",IFERROR(INDEX(Products!$B$2:$B$101,MATCH($D1739,Products!$A$2:$A$101,0))&amp;"","(not found)"))</f>
        <v/>
      </c>
      <c r="O1739" s="49" t="str">
        <f>IF($F1739="","",IFERROR(INDEX(Batches!$B$2:$B$301,MATCH($F1739,Batches!$A$2:$A$301,0))&amp;"","(not found)"))</f>
        <v/>
      </c>
      <c r="P1739" s="49" t="str">
        <f>IF(COUNTA($A1739:$L1739)=0,"",IF($A1739="","Missing: entry ID",IF(COUNTIF($A$2:$A$2001,$A1739)&gt;1,"Duplicate entry ID",IF(NOT(ISNUMBER($B1739)),"Missing or invalid: date",IF($C1739="","Missing: type",IF($D1739="","Missing: SKU",IF(NOT(ISNUMBER($E1739)),"Missing: qty",IF($F1739="","Missing: lot",IF($I1739="","Missing: source link",IF(COUNTIF(Config!$A$15:$A$34,$C1739)=0,"Unsupported type",IF(COUNTIF(Products!$A$2:$A$101,$D1739)=0,"Unknown SKU",IF(COUNTIFS(Batches!$A$2:$A$301,$F1739,Batches!$B$2:$B$301,$D1739)=0,"Unknown lot for this SKU",IF(AND($C1739="Adjustment",$G1739=""),"Missing: reason",IF(AND($G1739&lt;&gt;"",COUNTIF(Config!$B$15:$B$34,$G1739)=0),"Unsupported reason",IF(OR(INT($E1739)&lt;&gt;$E1739,AND(OR($C1739="Receipt",$C1739="Shipment"),$E1739&lt;=0),AND($C1739="Adjustment",$E1739=0)),"Invalid qty",IF($B1739&gt;Config!$B$4,"Date after the as-of date",IF($B1739&lt;Config!$B$5,"Date before the opening balance date","OK")))))))))))))))))</f>
        <v/>
      </c>
    </row>
    <row r="1740">
      <c r="A1740" s="46" t="n"/>
      <c r="B1740" s="54" t="n"/>
      <c r="C1740" s="46" t="n"/>
      <c r="D1740" s="46" t="n"/>
      <c r="E1740" s="55" t="n"/>
      <c r="F1740" s="46" t="n"/>
      <c r="G1740" s="46" t="n"/>
      <c r="H1740" s="46" t="n"/>
      <c r="I1740" s="46" t="n"/>
      <c r="J1740" s="46" t="n"/>
      <c r="K1740" s="46" t="n"/>
      <c r="L1740" s="46" t="n"/>
      <c r="M1740" s="51" t="str">
        <f>IF(NOT(ISNUMBER($E1740)),"",IF($C1740="Receipt",$E1740,IF($C1740="Shipment",-$E1740,IF($C1740="Adjustment",$E1740,0))))</f>
        <v/>
      </c>
      <c r="N1740" s="49" t="str">
        <f>IF($D1740="","",IFERROR(INDEX(Products!$B$2:$B$101,MATCH($D1740,Products!$A$2:$A$101,0))&amp;"","(not found)"))</f>
        <v/>
      </c>
      <c r="O1740" s="49" t="str">
        <f>IF($F1740="","",IFERROR(INDEX(Batches!$B$2:$B$301,MATCH($F1740,Batches!$A$2:$A$301,0))&amp;"","(not found)"))</f>
        <v/>
      </c>
      <c r="P1740" s="49" t="str">
        <f>IF(COUNTA($A1740:$L1740)=0,"",IF($A1740="","Missing: entry ID",IF(COUNTIF($A$2:$A$2001,$A1740)&gt;1,"Duplicate entry ID",IF(NOT(ISNUMBER($B1740)),"Missing or invalid: date",IF($C1740="","Missing: type",IF($D1740="","Missing: SKU",IF(NOT(ISNUMBER($E1740)),"Missing: qty",IF($F1740="","Missing: lot",IF($I1740="","Missing: source link",IF(COUNTIF(Config!$A$15:$A$34,$C1740)=0,"Unsupported type",IF(COUNTIF(Products!$A$2:$A$101,$D1740)=0,"Unknown SKU",IF(COUNTIFS(Batches!$A$2:$A$301,$F1740,Batches!$B$2:$B$301,$D1740)=0,"Unknown lot for this SKU",IF(AND($C1740="Adjustment",$G1740=""),"Missing: reason",IF(AND($G1740&lt;&gt;"",COUNTIF(Config!$B$15:$B$34,$G1740)=0),"Unsupported reason",IF(OR(INT($E1740)&lt;&gt;$E1740,AND(OR($C1740="Receipt",$C1740="Shipment"),$E1740&lt;=0),AND($C1740="Adjustment",$E1740=0)),"Invalid qty",IF($B1740&gt;Config!$B$4,"Date after the as-of date",IF($B1740&lt;Config!$B$5,"Date before the opening balance date","OK")))))))))))))))))</f>
        <v/>
      </c>
    </row>
    <row r="1741">
      <c r="A1741" s="46" t="n"/>
      <c r="B1741" s="54" t="n"/>
      <c r="C1741" s="46" t="n"/>
      <c r="D1741" s="46" t="n"/>
      <c r="E1741" s="55" t="n"/>
      <c r="F1741" s="46" t="n"/>
      <c r="G1741" s="46" t="n"/>
      <c r="H1741" s="46" t="n"/>
      <c r="I1741" s="46" t="n"/>
      <c r="J1741" s="46" t="n"/>
      <c r="K1741" s="46" t="n"/>
      <c r="L1741" s="46" t="n"/>
      <c r="M1741" s="51" t="str">
        <f>IF(NOT(ISNUMBER($E1741)),"",IF($C1741="Receipt",$E1741,IF($C1741="Shipment",-$E1741,IF($C1741="Adjustment",$E1741,0))))</f>
        <v/>
      </c>
      <c r="N1741" s="49" t="str">
        <f>IF($D1741="","",IFERROR(INDEX(Products!$B$2:$B$101,MATCH($D1741,Products!$A$2:$A$101,0))&amp;"","(not found)"))</f>
        <v/>
      </c>
      <c r="O1741" s="49" t="str">
        <f>IF($F1741="","",IFERROR(INDEX(Batches!$B$2:$B$301,MATCH($F1741,Batches!$A$2:$A$301,0))&amp;"","(not found)"))</f>
        <v/>
      </c>
      <c r="P1741" s="49" t="str">
        <f>IF(COUNTA($A1741:$L1741)=0,"",IF($A1741="","Missing: entry ID",IF(COUNTIF($A$2:$A$2001,$A1741)&gt;1,"Duplicate entry ID",IF(NOT(ISNUMBER($B1741)),"Missing or invalid: date",IF($C1741="","Missing: type",IF($D1741="","Missing: SKU",IF(NOT(ISNUMBER($E1741)),"Missing: qty",IF($F1741="","Missing: lot",IF($I1741="","Missing: source link",IF(COUNTIF(Config!$A$15:$A$34,$C1741)=0,"Unsupported type",IF(COUNTIF(Products!$A$2:$A$101,$D1741)=0,"Unknown SKU",IF(COUNTIFS(Batches!$A$2:$A$301,$F1741,Batches!$B$2:$B$301,$D1741)=0,"Unknown lot for this SKU",IF(AND($C1741="Adjustment",$G1741=""),"Missing: reason",IF(AND($G1741&lt;&gt;"",COUNTIF(Config!$B$15:$B$34,$G1741)=0),"Unsupported reason",IF(OR(INT($E1741)&lt;&gt;$E1741,AND(OR($C1741="Receipt",$C1741="Shipment"),$E1741&lt;=0),AND($C1741="Adjustment",$E1741=0)),"Invalid qty",IF($B1741&gt;Config!$B$4,"Date after the as-of date",IF($B1741&lt;Config!$B$5,"Date before the opening balance date","OK")))))))))))))))))</f>
        <v/>
      </c>
    </row>
    <row r="1742">
      <c r="A1742" s="46" t="n"/>
      <c r="B1742" s="54" t="n"/>
      <c r="C1742" s="46" t="n"/>
      <c r="D1742" s="46" t="n"/>
      <c r="E1742" s="55" t="n"/>
      <c r="F1742" s="46" t="n"/>
      <c r="G1742" s="46" t="n"/>
      <c r="H1742" s="46" t="n"/>
      <c r="I1742" s="46" t="n"/>
      <c r="J1742" s="46" t="n"/>
      <c r="K1742" s="46" t="n"/>
      <c r="L1742" s="46" t="n"/>
      <c r="M1742" s="51" t="str">
        <f>IF(NOT(ISNUMBER($E1742)),"",IF($C1742="Receipt",$E1742,IF($C1742="Shipment",-$E1742,IF($C1742="Adjustment",$E1742,0))))</f>
        <v/>
      </c>
      <c r="N1742" s="49" t="str">
        <f>IF($D1742="","",IFERROR(INDEX(Products!$B$2:$B$101,MATCH($D1742,Products!$A$2:$A$101,0))&amp;"","(not found)"))</f>
        <v/>
      </c>
      <c r="O1742" s="49" t="str">
        <f>IF($F1742="","",IFERROR(INDEX(Batches!$B$2:$B$301,MATCH($F1742,Batches!$A$2:$A$301,0))&amp;"","(not found)"))</f>
        <v/>
      </c>
      <c r="P1742" s="49" t="str">
        <f>IF(COUNTA($A1742:$L1742)=0,"",IF($A1742="","Missing: entry ID",IF(COUNTIF($A$2:$A$2001,$A1742)&gt;1,"Duplicate entry ID",IF(NOT(ISNUMBER($B1742)),"Missing or invalid: date",IF($C1742="","Missing: type",IF($D1742="","Missing: SKU",IF(NOT(ISNUMBER($E1742)),"Missing: qty",IF($F1742="","Missing: lot",IF($I1742="","Missing: source link",IF(COUNTIF(Config!$A$15:$A$34,$C1742)=0,"Unsupported type",IF(COUNTIF(Products!$A$2:$A$101,$D1742)=0,"Unknown SKU",IF(COUNTIFS(Batches!$A$2:$A$301,$F1742,Batches!$B$2:$B$301,$D1742)=0,"Unknown lot for this SKU",IF(AND($C1742="Adjustment",$G1742=""),"Missing: reason",IF(AND($G1742&lt;&gt;"",COUNTIF(Config!$B$15:$B$34,$G1742)=0),"Unsupported reason",IF(OR(INT($E1742)&lt;&gt;$E1742,AND(OR($C1742="Receipt",$C1742="Shipment"),$E1742&lt;=0),AND($C1742="Adjustment",$E1742=0)),"Invalid qty",IF($B1742&gt;Config!$B$4,"Date after the as-of date",IF($B1742&lt;Config!$B$5,"Date before the opening balance date","OK")))))))))))))))))</f>
        <v/>
      </c>
    </row>
    <row r="1743">
      <c r="A1743" s="46" t="n"/>
      <c r="B1743" s="54" t="n"/>
      <c r="C1743" s="46" t="n"/>
      <c r="D1743" s="46" t="n"/>
      <c r="E1743" s="55" t="n"/>
      <c r="F1743" s="46" t="n"/>
      <c r="G1743" s="46" t="n"/>
      <c r="H1743" s="46" t="n"/>
      <c r="I1743" s="46" t="n"/>
      <c r="J1743" s="46" t="n"/>
      <c r="K1743" s="46" t="n"/>
      <c r="L1743" s="46" t="n"/>
      <c r="M1743" s="51" t="str">
        <f>IF(NOT(ISNUMBER($E1743)),"",IF($C1743="Receipt",$E1743,IF($C1743="Shipment",-$E1743,IF($C1743="Adjustment",$E1743,0))))</f>
        <v/>
      </c>
      <c r="N1743" s="49" t="str">
        <f>IF($D1743="","",IFERROR(INDEX(Products!$B$2:$B$101,MATCH($D1743,Products!$A$2:$A$101,0))&amp;"","(not found)"))</f>
        <v/>
      </c>
      <c r="O1743" s="49" t="str">
        <f>IF($F1743="","",IFERROR(INDEX(Batches!$B$2:$B$301,MATCH($F1743,Batches!$A$2:$A$301,0))&amp;"","(not found)"))</f>
        <v/>
      </c>
      <c r="P1743" s="49" t="str">
        <f>IF(COUNTA($A1743:$L1743)=0,"",IF($A1743="","Missing: entry ID",IF(COUNTIF($A$2:$A$2001,$A1743)&gt;1,"Duplicate entry ID",IF(NOT(ISNUMBER($B1743)),"Missing or invalid: date",IF($C1743="","Missing: type",IF($D1743="","Missing: SKU",IF(NOT(ISNUMBER($E1743)),"Missing: qty",IF($F1743="","Missing: lot",IF($I1743="","Missing: source link",IF(COUNTIF(Config!$A$15:$A$34,$C1743)=0,"Unsupported type",IF(COUNTIF(Products!$A$2:$A$101,$D1743)=0,"Unknown SKU",IF(COUNTIFS(Batches!$A$2:$A$301,$F1743,Batches!$B$2:$B$301,$D1743)=0,"Unknown lot for this SKU",IF(AND($C1743="Adjustment",$G1743=""),"Missing: reason",IF(AND($G1743&lt;&gt;"",COUNTIF(Config!$B$15:$B$34,$G1743)=0),"Unsupported reason",IF(OR(INT($E1743)&lt;&gt;$E1743,AND(OR($C1743="Receipt",$C1743="Shipment"),$E1743&lt;=0),AND($C1743="Adjustment",$E1743=0)),"Invalid qty",IF($B1743&gt;Config!$B$4,"Date after the as-of date",IF($B1743&lt;Config!$B$5,"Date before the opening balance date","OK")))))))))))))))))</f>
        <v/>
      </c>
    </row>
    <row r="1744">
      <c r="A1744" s="46" t="n"/>
      <c r="B1744" s="54" t="n"/>
      <c r="C1744" s="46" t="n"/>
      <c r="D1744" s="46" t="n"/>
      <c r="E1744" s="55" t="n"/>
      <c r="F1744" s="46" t="n"/>
      <c r="G1744" s="46" t="n"/>
      <c r="H1744" s="46" t="n"/>
      <c r="I1744" s="46" t="n"/>
      <c r="J1744" s="46" t="n"/>
      <c r="K1744" s="46" t="n"/>
      <c r="L1744" s="46" t="n"/>
      <c r="M1744" s="51" t="str">
        <f>IF(NOT(ISNUMBER($E1744)),"",IF($C1744="Receipt",$E1744,IF($C1744="Shipment",-$E1744,IF($C1744="Adjustment",$E1744,0))))</f>
        <v/>
      </c>
      <c r="N1744" s="49" t="str">
        <f>IF($D1744="","",IFERROR(INDEX(Products!$B$2:$B$101,MATCH($D1744,Products!$A$2:$A$101,0))&amp;"","(not found)"))</f>
        <v/>
      </c>
      <c r="O1744" s="49" t="str">
        <f>IF($F1744="","",IFERROR(INDEX(Batches!$B$2:$B$301,MATCH($F1744,Batches!$A$2:$A$301,0))&amp;"","(not found)"))</f>
        <v/>
      </c>
      <c r="P1744" s="49" t="str">
        <f>IF(COUNTA($A1744:$L1744)=0,"",IF($A1744="","Missing: entry ID",IF(COUNTIF($A$2:$A$2001,$A1744)&gt;1,"Duplicate entry ID",IF(NOT(ISNUMBER($B1744)),"Missing or invalid: date",IF($C1744="","Missing: type",IF($D1744="","Missing: SKU",IF(NOT(ISNUMBER($E1744)),"Missing: qty",IF($F1744="","Missing: lot",IF($I1744="","Missing: source link",IF(COUNTIF(Config!$A$15:$A$34,$C1744)=0,"Unsupported type",IF(COUNTIF(Products!$A$2:$A$101,$D1744)=0,"Unknown SKU",IF(COUNTIFS(Batches!$A$2:$A$301,$F1744,Batches!$B$2:$B$301,$D1744)=0,"Unknown lot for this SKU",IF(AND($C1744="Adjustment",$G1744=""),"Missing: reason",IF(AND($G1744&lt;&gt;"",COUNTIF(Config!$B$15:$B$34,$G1744)=0),"Unsupported reason",IF(OR(INT($E1744)&lt;&gt;$E1744,AND(OR($C1744="Receipt",$C1744="Shipment"),$E1744&lt;=0),AND($C1744="Adjustment",$E1744=0)),"Invalid qty",IF($B1744&gt;Config!$B$4,"Date after the as-of date",IF($B1744&lt;Config!$B$5,"Date before the opening balance date","OK")))))))))))))))))</f>
        <v/>
      </c>
    </row>
    <row r="1745">
      <c r="A1745" s="46" t="n"/>
      <c r="B1745" s="54" t="n"/>
      <c r="C1745" s="46" t="n"/>
      <c r="D1745" s="46" t="n"/>
      <c r="E1745" s="55" t="n"/>
      <c r="F1745" s="46" t="n"/>
      <c r="G1745" s="46" t="n"/>
      <c r="H1745" s="46" t="n"/>
      <c r="I1745" s="46" t="n"/>
      <c r="J1745" s="46" t="n"/>
      <c r="K1745" s="46" t="n"/>
      <c r="L1745" s="46" t="n"/>
      <c r="M1745" s="51" t="str">
        <f>IF(NOT(ISNUMBER($E1745)),"",IF($C1745="Receipt",$E1745,IF($C1745="Shipment",-$E1745,IF($C1745="Adjustment",$E1745,0))))</f>
        <v/>
      </c>
      <c r="N1745" s="49" t="str">
        <f>IF($D1745="","",IFERROR(INDEX(Products!$B$2:$B$101,MATCH($D1745,Products!$A$2:$A$101,0))&amp;"","(not found)"))</f>
        <v/>
      </c>
      <c r="O1745" s="49" t="str">
        <f>IF($F1745="","",IFERROR(INDEX(Batches!$B$2:$B$301,MATCH($F1745,Batches!$A$2:$A$301,0))&amp;"","(not found)"))</f>
        <v/>
      </c>
      <c r="P1745" s="49" t="str">
        <f>IF(COUNTA($A1745:$L1745)=0,"",IF($A1745="","Missing: entry ID",IF(COUNTIF($A$2:$A$2001,$A1745)&gt;1,"Duplicate entry ID",IF(NOT(ISNUMBER($B1745)),"Missing or invalid: date",IF($C1745="","Missing: type",IF($D1745="","Missing: SKU",IF(NOT(ISNUMBER($E1745)),"Missing: qty",IF($F1745="","Missing: lot",IF($I1745="","Missing: source link",IF(COUNTIF(Config!$A$15:$A$34,$C1745)=0,"Unsupported type",IF(COUNTIF(Products!$A$2:$A$101,$D1745)=0,"Unknown SKU",IF(COUNTIFS(Batches!$A$2:$A$301,$F1745,Batches!$B$2:$B$301,$D1745)=0,"Unknown lot for this SKU",IF(AND($C1745="Adjustment",$G1745=""),"Missing: reason",IF(AND($G1745&lt;&gt;"",COUNTIF(Config!$B$15:$B$34,$G1745)=0),"Unsupported reason",IF(OR(INT($E1745)&lt;&gt;$E1745,AND(OR($C1745="Receipt",$C1745="Shipment"),$E1745&lt;=0),AND($C1745="Adjustment",$E1745=0)),"Invalid qty",IF($B1745&gt;Config!$B$4,"Date after the as-of date",IF($B1745&lt;Config!$B$5,"Date before the opening balance date","OK")))))))))))))))))</f>
        <v/>
      </c>
    </row>
    <row r="1746">
      <c r="A1746" s="46" t="n"/>
      <c r="B1746" s="54" t="n"/>
      <c r="C1746" s="46" t="n"/>
      <c r="D1746" s="46" t="n"/>
      <c r="E1746" s="55" t="n"/>
      <c r="F1746" s="46" t="n"/>
      <c r="G1746" s="46" t="n"/>
      <c r="H1746" s="46" t="n"/>
      <c r="I1746" s="46" t="n"/>
      <c r="J1746" s="46" t="n"/>
      <c r="K1746" s="46" t="n"/>
      <c r="L1746" s="46" t="n"/>
      <c r="M1746" s="51" t="str">
        <f>IF(NOT(ISNUMBER($E1746)),"",IF($C1746="Receipt",$E1746,IF($C1746="Shipment",-$E1746,IF($C1746="Adjustment",$E1746,0))))</f>
        <v/>
      </c>
      <c r="N1746" s="49" t="str">
        <f>IF($D1746="","",IFERROR(INDEX(Products!$B$2:$B$101,MATCH($D1746,Products!$A$2:$A$101,0))&amp;"","(not found)"))</f>
        <v/>
      </c>
      <c r="O1746" s="49" t="str">
        <f>IF($F1746="","",IFERROR(INDEX(Batches!$B$2:$B$301,MATCH($F1746,Batches!$A$2:$A$301,0))&amp;"","(not found)"))</f>
        <v/>
      </c>
      <c r="P1746" s="49" t="str">
        <f>IF(COUNTA($A1746:$L1746)=0,"",IF($A1746="","Missing: entry ID",IF(COUNTIF($A$2:$A$2001,$A1746)&gt;1,"Duplicate entry ID",IF(NOT(ISNUMBER($B1746)),"Missing or invalid: date",IF($C1746="","Missing: type",IF($D1746="","Missing: SKU",IF(NOT(ISNUMBER($E1746)),"Missing: qty",IF($F1746="","Missing: lot",IF($I1746="","Missing: source link",IF(COUNTIF(Config!$A$15:$A$34,$C1746)=0,"Unsupported type",IF(COUNTIF(Products!$A$2:$A$101,$D1746)=0,"Unknown SKU",IF(COUNTIFS(Batches!$A$2:$A$301,$F1746,Batches!$B$2:$B$301,$D1746)=0,"Unknown lot for this SKU",IF(AND($C1746="Adjustment",$G1746=""),"Missing: reason",IF(AND($G1746&lt;&gt;"",COUNTIF(Config!$B$15:$B$34,$G1746)=0),"Unsupported reason",IF(OR(INT($E1746)&lt;&gt;$E1746,AND(OR($C1746="Receipt",$C1746="Shipment"),$E1746&lt;=0),AND($C1746="Adjustment",$E1746=0)),"Invalid qty",IF($B1746&gt;Config!$B$4,"Date after the as-of date",IF($B1746&lt;Config!$B$5,"Date before the opening balance date","OK")))))))))))))))))</f>
        <v/>
      </c>
    </row>
    <row r="1747">
      <c r="A1747" s="46" t="n"/>
      <c r="B1747" s="54" t="n"/>
      <c r="C1747" s="46" t="n"/>
      <c r="D1747" s="46" t="n"/>
      <c r="E1747" s="55" t="n"/>
      <c r="F1747" s="46" t="n"/>
      <c r="G1747" s="46" t="n"/>
      <c r="H1747" s="46" t="n"/>
      <c r="I1747" s="46" t="n"/>
      <c r="J1747" s="46" t="n"/>
      <c r="K1747" s="46" t="n"/>
      <c r="L1747" s="46" t="n"/>
      <c r="M1747" s="51" t="str">
        <f>IF(NOT(ISNUMBER($E1747)),"",IF($C1747="Receipt",$E1747,IF($C1747="Shipment",-$E1747,IF($C1747="Adjustment",$E1747,0))))</f>
        <v/>
      </c>
      <c r="N1747" s="49" t="str">
        <f>IF($D1747="","",IFERROR(INDEX(Products!$B$2:$B$101,MATCH($D1747,Products!$A$2:$A$101,0))&amp;"","(not found)"))</f>
        <v/>
      </c>
      <c r="O1747" s="49" t="str">
        <f>IF($F1747="","",IFERROR(INDEX(Batches!$B$2:$B$301,MATCH($F1747,Batches!$A$2:$A$301,0))&amp;"","(not found)"))</f>
        <v/>
      </c>
      <c r="P1747" s="49" t="str">
        <f>IF(COUNTA($A1747:$L1747)=0,"",IF($A1747="","Missing: entry ID",IF(COUNTIF($A$2:$A$2001,$A1747)&gt;1,"Duplicate entry ID",IF(NOT(ISNUMBER($B1747)),"Missing or invalid: date",IF($C1747="","Missing: type",IF($D1747="","Missing: SKU",IF(NOT(ISNUMBER($E1747)),"Missing: qty",IF($F1747="","Missing: lot",IF($I1747="","Missing: source link",IF(COUNTIF(Config!$A$15:$A$34,$C1747)=0,"Unsupported type",IF(COUNTIF(Products!$A$2:$A$101,$D1747)=0,"Unknown SKU",IF(COUNTIFS(Batches!$A$2:$A$301,$F1747,Batches!$B$2:$B$301,$D1747)=0,"Unknown lot for this SKU",IF(AND($C1747="Adjustment",$G1747=""),"Missing: reason",IF(AND($G1747&lt;&gt;"",COUNTIF(Config!$B$15:$B$34,$G1747)=0),"Unsupported reason",IF(OR(INT($E1747)&lt;&gt;$E1747,AND(OR($C1747="Receipt",$C1747="Shipment"),$E1747&lt;=0),AND($C1747="Adjustment",$E1747=0)),"Invalid qty",IF($B1747&gt;Config!$B$4,"Date after the as-of date",IF($B1747&lt;Config!$B$5,"Date before the opening balance date","OK")))))))))))))))))</f>
        <v/>
      </c>
    </row>
    <row r="1748">
      <c r="A1748" s="46" t="n"/>
      <c r="B1748" s="54" t="n"/>
      <c r="C1748" s="46" t="n"/>
      <c r="D1748" s="46" t="n"/>
      <c r="E1748" s="55" t="n"/>
      <c r="F1748" s="46" t="n"/>
      <c r="G1748" s="46" t="n"/>
      <c r="H1748" s="46" t="n"/>
      <c r="I1748" s="46" t="n"/>
      <c r="J1748" s="46" t="n"/>
      <c r="K1748" s="46" t="n"/>
      <c r="L1748" s="46" t="n"/>
      <c r="M1748" s="51" t="str">
        <f>IF(NOT(ISNUMBER($E1748)),"",IF($C1748="Receipt",$E1748,IF($C1748="Shipment",-$E1748,IF($C1748="Adjustment",$E1748,0))))</f>
        <v/>
      </c>
      <c r="N1748" s="49" t="str">
        <f>IF($D1748="","",IFERROR(INDEX(Products!$B$2:$B$101,MATCH($D1748,Products!$A$2:$A$101,0))&amp;"","(not found)"))</f>
        <v/>
      </c>
      <c r="O1748" s="49" t="str">
        <f>IF($F1748="","",IFERROR(INDEX(Batches!$B$2:$B$301,MATCH($F1748,Batches!$A$2:$A$301,0))&amp;"","(not found)"))</f>
        <v/>
      </c>
      <c r="P1748" s="49" t="str">
        <f>IF(COUNTA($A1748:$L1748)=0,"",IF($A1748="","Missing: entry ID",IF(COUNTIF($A$2:$A$2001,$A1748)&gt;1,"Duplicate entry ID",IF(NOT(ISNUMBER($B1748)),"Missing or invalid: date",IF($C1748="","Missing: type",IF($D1748="","Missing: SKU",IF(NOT(ISNUMBER($E1748)),"Missing: qty",IF($F1748="","Missing: lot",IF($I1748="","Missing: source link",IF(COUNTIF(Config!$A$15:$A$34,$C1748)=0,"Unsupported type",IF(COUNTIF(Products!$A$2:$A$101,$D1748)=0,"Unknown SKU",IF(COUNTIFS(Batches!$A$2:$A$301,$F1748,Batches!$B$2:$B$301,$D1748)=0,"Unknown lot for this SKU",IF(AND($C1748="Adjustment",$G1748=""),"Missing: reason",IF(AND($G1748&lt;&gt;"",COUNTIF(Config!$B$15:$B$34,$G1748)=0),"Unsupported reason",IF(OR(INT($E1748)&lt;&gt;$E1748,AND(OR($C1748="Receipt",$C1748="Shipment"),$E1748&lt;=0),AND($C1748="Adjustment",$E1748=0)),"Invalid qty",IF($B1748&gt;Config!$B$4,"Date after the as-of date",IF($B1748&lt;Config!$B$5,"Date before the opening balance date","OK")))))))))))))))))</f>
        <v/>
      </c>
    </row>
    <row r="1749">
      <c r="A1749" s="46" t="n"/>
      <c r="B1749" s="54" t="n"/>
      <c r="C1749" s="46" t="n"/>
      <c r="D1749" s="46" t="n"/>
      <c r="E1749" s="55" t="n"/>
      <c r="F1749" s="46" t="n"/>
      <c r="G1749" s="46" t="n"/>
      <c r="H1749" s="46" t="n"/>
      <c r="I1749" s="46" t="n"/>
      <c r="J1749" s="46" t="n"/>
      <c r="K1749" s="46" t="n"/>
      <c r="L1749" s="46" t="n"/>
      <c r="M1749" s="51" t="str">
        <f>IF(NOT(ISNUMBER($E1749)),"",IF($C1749="Receipt",$E1749,IF($C1749="Shipment",-$E1749,IF($C1749="Adjustment",$E1749,0))))</f>
        <v/>
      </c>
      <c r="N1749" s="49" t="str">
        <f>IF($D1749="","",IFERROR(INDEX(Products!$B$2:$B$101,MATCH($D1749,Products!$A$2:$A$101,0))&amp;"","(not found)"))</f>
        <v/>
      </c>
      <c r="O1749" s="49" t="str">
        <f>IF($F1749="","",IFERROR(INDEX(Batches!$B$2:$B$301,MATCH($F1749,Batches!$A$2:$A$301,0))&amp;"","(not found)"))</f>
        <v/>
      </c>
      <c r="P1749" s="49" t="str">
        <f>IF(COUNTA($A1749:$L1749)=0,"",IF($A1749="","Missing: entry ID",IF(COUNTIF($A$2:$A$2001,$A1749)&gt;1,"Duplicate entry ID",IF(NOT(ISNUMBER($B1749)),"Missing or invalid: date",IF($C1749="","Missing: type",IF($D1749="","Missing: SKU",IF(NOT(ISNUMBER($E1749)),"Missing: qty",IF($F1749="","Missing: lot",IF($I1749="","Missing: source link",IF(COUNTIF(Config!$A$15:$A$34,$C1749)=0,"Unsupported type",IF(COUNTIF(Products!$A$2:$A$101,$D1749)=0,"Unknown SKU",IF(COUNTIFS(Batches!$A$2:$A$301,$F1749,Batches!$B$2:$B$301,$D1749)=0,"Unknown lot for this SKU",IF(AND($C1749="Adjustment",$G1749=""),"Missing: reason",IF(AND($G1749&lt;&gt;"",COUNTIF(Config!$B$15:$B$34,$G1749)=0),"Unsupported reason",IF(OR(INT($E1749)&lt;&gt;$E1749,AND(OR($C1749="Receipt",$C1749="Shipment"),$E1749&lt;=0),AND($C1749="Adjustment",$E1749=0)),"Invalid qty",IF($B1749&gt;Config!$B$4,"Date after the as-of date",IF($B1749&lt;Config!$B$5,"Date before the opening balance date","OK")))))))))))))))))</f>
        <v/>
      </c>
    </row>
    <row r="1750">
      <c r="A1750" s="46" t="n"/>
      <c r="B1750" s="54" t="n"/>
      <c r="C1750" s="46" t="n"/>
      <c r="D1750" s="46" t="n"/>
      <c r="E1750" s="55" t="n"/>
      <c r="F1750" s="46" t="n"/>
      <c r="G1750" s="46" t="n"/>
      <c r="H1750" s="46" t="n"/>
      <c r="I1750" s="46" t="n"/>
      <c r="J1750" s="46" t="n"/>
      <c r="K1750" s="46" t="n"/>
      <c r="L1750" s="46" t="n"/>
      <c r="M1750" s="51" t="str">
        <f>IF(NOT(ISNUMBER($E1750)),"",IF($C1750="Receipt",$E1750,IF($C1750="Shipment",-$E1750,IF($C1750="Adjustment",$E1750,0))))</f>
        <v/>
      </c>
      <c r="N1750" s="49" t="str">
        <f>IF($D1750="","",IFERROR(INDEX(Products!$B$2:$B$101,MATCH($D1750,Products!$A$2:$A$101,0))&amp;"","(not found)"))</f>
        <v/>
      </c>
      <c r="O1750" s="49" t="str">
        <f>IF($F1750="","",IFERROR(INDEX(Batches!$B$2:$B$301,MATCH($F1750,Batches!$A$2:$A$301,0))&amp;"","(not found)"))</f>
        <v/>
      </c>
      <c r="P1750" s="49" t="str">
        <f>IF(COUNTA($A1750:$L1750)=0,"",IF($A1750="","Missing: entry ID",IF(COUNTIF($A$2:$A$2001,$A1750)&gt;1,"Duplicate entry ID",IF(NOT(ISNUMBER($B1750)),"Missing or invalid: date",IF($C1750="","Missing: type",IF($D1750="","Missing: SKU",IF(NOT(ISNUMBER($E1750)),"Missing: qty",IF($F1750="","Missing: lot",IF($I1750="","Missing: source link",IF(COUNTIF(Config!$A$15:$A$34,$C1750)=0,"Unsupported type",IF(COUNTIF(Products!$A$2:$A$101,$D1750)=0,"Unknown SKU",IF(COUNTIFS(Batches!$A$2:$A$301,$F1750,Batches!$B$2:$B$301,$D1750)=0,"Unknown lot for this SKU",IF(AND($C1750="Adjustment",$G1750=""),"Missing: reason",IF(AND($G1750&lt;&gt;"",COUNTIF(Config!$B$15:$B$34,$G1750)=0),"Unsupported reason",IF(OR(INT($E1750)&lt;&gt;$E1750,AND(OR($C1750="Receipt",$C1750="Shipment"),$E1750&lt;=0),AND($C1750="Adjustment",$E1750=0)),"Invalid qty",IF($B1750&gt;Config!$B$4,"Date after the as-of date",IF($B1750&lt;Config!$B$5,"Date before the opening balance date","OK")))))))))))))))))</f>
        <v/>
      </c>
    </row>
    <row r="1751">
      <c r="A1751" s="46" t="n"/>
      <c r="B1751" s="54" t="n"/>
      <c r="C1751" s="46" t="n"/>
      <c r="D1751" s="46" t="n"/>
      <c r="E1751" s="55" t="n"/>
      <c r="F1751" s="46" t="n"/>
      <c r="G1751" s="46" t="n"/>
      <c r="H1751" s="46" t="n"/>
      <c r="I1751" s="46" t="n"/>
      <c r="J1751" s="46" t="n"/>
      <c r="K1751" s="46" t="n"/>
      <c r="L1751" s="46" t="n"/>
      <c r="M1751" s="51" t="str">
        <f>IF(NOT(ISNUMBER($E1751)),"",IF($C1751="Receipt",$E1751,IF($C1751="Shipment",-$E1751,IF($C1751="Adjustment",$E1751,0))))</f>
        <v/>
      </c>
      <c r="N1751" s="49" t="str">
        <f>IF($D1751="","",IFERROR(INDEX(Products!$B$2:$B$101,MATCH($D1751,Products!$A$2:$A$101,0))&amp;"","(not found)"))</f>
        <v/>
      </c>
      <c r="O1751" s="49" t="str">
        <f>IF($F1751="","",IFERROR(INDEX(Batches!$B$2:$B$301,MATCH($F1751,Batches!$A$2:$A$301,0))&amp;"","(not found)"))</f>
        <v/>
      </c>
      <c r="P1751" s="49" t="str">
        <f>IF(COUNTA($A1751:$L1751)=0,"",IF($A1751="","Missing: entry ID",IF(COUNTIF($A$2:$A$2001,$A1751)&gt;1,"Duplicate entry ID",IF(NOT(ISNUMBER($B1751)),"Missing or invalid: date",IF($C1751="","Missing: type",IF($D1751="","Missing: SKU",IF(NOT(ISNUMBER($E1751)),"Missing: qty",IF($F1751="","Missing: lot",IF($I1751="","Missing: source link",IF(COUNTIF(Config!$A$15:$A$34,$C1751)=0,"Unsupported type",IF(COUNTIF(Products!$A$2:$A$101,$D1751)=0,"Unknown SKU",IF(COUNTIFS(Batches!$A$2:$A$301,$F1751,Batches!$B$2:$B$301,$D1751)=0,"Unknown lot for this SKU",IF(AND($C1751="Adjustment",$G1751=""),"Missing: reason",IF(AND($G1751&lt;&gt;"",COUNTIF(Config!$B$15:$B$34,$G1751)=0),"Unsupported reason",IF(OR(INT($E1751)&lt;&gt;$E1751,AND(OR($C1751="Receipt",$C1751="Shipment"),$E1751&lt;=0),AND($C1751="Adjustment",$E1751=0)),"Invalid qty",IF($B1751&gt;Config!$B$4,"Date after the as-of date",IF($B1751&lt;Config!$B$5,"Date before the opening balance date","OK")))))))))))))))))</f>
        <v/>
      </c>
    </row>
    <row r="1752">
      <c r="A1752" s="46" t="n"/>
      <c r="B1752" s="54" t="n"/>
      <c r="C1752" s="46" t="n"/>
      <c r="D1752" s="46" t="n"/>
      <c r="E1752" s="55" t="n"/>
      <c r="F1752" s="46" t="n"/>
      <c r="G1752" s="46" t="n"/>
      <c r="H1752" s="46" t="n"/>
      <c r="I1752" s="46" t="n"/>
      <c r="J1752" s="46" t="n"/>
      <c r="K1752" s="46" t="n"/>
      <c r="L1752" s="46" t="n"/>
      <c r="M1752" s="51" t="str">
        <f>IF(NOT(ISNUMBER($E1752)),"",IF($C1752="Receipt",$E1752,IF($C1752="Shipment",-$E1752,IF($C1752="Adjustment",$E1752,0))))</f>
        <v/>
      </c>
      <c r="N1752" s="49" t="str">
        <f>IF($D1752="","",IFERROR(INDEX(Products!$B$2:$B$101,MATCH($D1752,Products!$A$2:$A$101,0))&amp;"","(not found)"))</f>
        <v/>
      </c>
      <c r="O1752" s="49" t="str">
        <f>IF($F1752="","",IFERROR(INDEX(Batches!$B$2:$B$301,MATCH($F1752,Batches!$A$2:$A$301,0))&amp;"","(not found)"))</f>
        <v/>
      </c>
      <c r="P1752" s="49" t="str">
        <f>IF(COUNTA($A1752:$L1752)=0,"",IF($A1752="","Missing: entry ID",IF(COUNTIF($A$2:$A$2001,$A1752)&gt;1,"Duplicate entry ID",IF(NOT(ISNUMBER($B1752)),"Missing or invalid: date",IF($C1752="","Missing: type",IF($D1752="","Missing: SKU",IF(NOT(ISNUMBER($E1752)),"Missing: qty",IF($F1752="","Missing: lot",IF($I1752="","Missing: source link",IF(COUNTIF(Config!$A$15:$A$34,$C1752)=0,"Unsupported type",IF(COUNTIF(Products!$A$2:$A$101,$D1752)=0,"Unknown SKU",IF(COUNTIFS(Batches!$A$2:$A$301,$F1752,Batches!$B$2:$B$301,$D1752)=0,"Unknown lot for this SKU",IF(AND($C1752="Adjustment",$G1752=""),"Missing: reason",IF(AND($G1752&lt;&gt;"",COUNTIF(Config!$B$15:$B$34,$G1752)=0),"Unsupported reason",IF(OR(INT($E1752)&lt;&gt;$E1752,AND(OR($C1752="Receipt",$C1752="Shipment"),$E1752&lt;=0),AND($C1752="Adjustment",$E1752=0)),"Invalid qty",IF($B1752&gt;Config!$B$4,"Date after the as-of date",IF($B1752&lt;Config!$B$5,"Date before the opening balance date","OK")))))))))))))))))</f>
        <v/>
      </c>
    </row>
    <row r="1753">
      <c r="A1753" s="46" t="n"/>
      <c r="B1753" s="54" t="n"/>
      <c r="C1753" s="46" t="n"/>
      <c r="D1753" s="46" t="n"/>
      <c r="E1753" s="55" t="n"/>
      <c r="F1753" s="46" t="n"/>
      <c r="G1753" s="46" t="n"/>
      <c r="H1753" s="46" t="n"/>
      <c r="I1753" s="46" t="n"/>
      <c r="J1753" s="46" t="n"/>
      <c r="K1753" s="46" t="n"/>
      <c r="L1753" s="46" t="n"/>
      <c r="M1753" s="51" t="str">
        <f>IF(NOT(ISNUMBER($E1753)),"",IF($C1753="Receipt",$E1753,IF($C1753="Shipment",-$E1753,IF($C1753="Adjustment",$E1753,0))))</f>
        <v/>
      </c>
      <c r="N1753" s="49" t="str">
        <f>IF($D1753="","",IFERROR(INDEX(Products!$B$2:$B$101,MATCH($D1753,Products!$A$2:$A$101,0))&amp;"","(not found)"))</f>
        <v/>
      </c>
      <c r="O1753" s="49" t="str">
        <f>IF($F1753="","",IFERROR(INDEX(Batches!$B$2:$B$301,MATCH($F1753,Batches!$A$2:$A$301,0))&amp;"","(not found)"))</f>
        <v/>
      </c>
      <c r="P1753" s="49" t="str">
        <f>IF(COUNTA($A1753:$L1753)=0,"",IF($A1753="","Missing: entry ID",IF(COUNTIF($A$2:$A$2001,$A1753)&gt;1,"Duplicate entry ID",IF(NOT(ISNUMBER($B1753)),"Missing or invalid: date",IF($C1753="","Missing: type",IF($D1753="","Missing: SKU",IF(NOT(ISNUMBER($E1753)),"Missing: qty",IF($F1753="","Missing: lot",IF($I1753="","Missing: source link",IF(COUNTIF(Config!$A$15:$A$34,$C1753)=0,"Unsupported type",IF(COUNTIF(Products!$A$2:$A$101,$D1753)=0,"Unknown SKU",IF(COUNTIFS(Batches!$A$2:$A$301,$F1753,Batches!$B$2:$B$301,$D1753)=0,"Unknown lot for this SKU",IF(AND($C1753="Adjustment",$G1753=""),"Missing: reason",IF(AND($G1753&lt;&gt;"",COUNTIF(Config!$B$15:$B$34,$G1753)=0),"Unsupported reason",IF(OR(INT($E1753)&lt;&gt;$E1753,AND(OR($C1753="Receipt",$C1753="Shipment"),$E1753&lt;=0),AND($C1753="Adjustment",$E1753=0)),"Invalid qty",IF($B1753&gt;Config!$B$4,"Date after the as-of date",IF($B1753&lt;Config!$B$5,"Date before the opening balance date","OK")))))))))))))))))</f>
        <v/>
      </c>
    </row>
    <row r="1754">
      <c r="A1754" s="46" t="n"/>
      <c r="B1754" s="54" t="n"/>
      <c r="C1754" s="46" t="n"/>
      <c r="D1754" s="46" t="n"/>
      <c r="E1754" s="55" t="n"/>
      <c r="F1754" s="46" t="n"/>
      <c r="G1754" s="46" t="n"/>
      <c r="H1754" s="46" t="n"/>
      <c r="I1754" s="46" t="n"/>
      <c r="J1754" s="46" t="n"/>
      <c r="K1754" s="46" t="n"/>
      <c r="L1754" s="46" t="n"/>
      <c r="M1754" s="51" t="str">
        <f>IF(NOT(ISNUMBER($E1754)),"",IF($C1754="Receipt",$E1754,IF($C1754="Shipment",-$E1754,IF($C1754="Adjustment",$E1754,0))))</f>
        <v/>
      </c>
      <c r="N1754" s="49" t="str">
        <f>IF($D1754="","",IFERROR(INDEX(Products!$B$2:$B$101,MATCH($D1754,Products!$A$2:$A$101,0))&amp;"","(not found)"))</f>
        <v/>
      </c>
      <c r="O1754" s="49" t="str">
        <f>IF($F1754="","",IFERROR(INDEX(Batches!$B$2:$B$301,MATCH($F1754,Batches!$A$2:$A$301,0))&amp;"","(not found)"))</f>
        <v/>
      </c>
      <c r="P1754" s="49" t="str">
        <f>IF(COUNTA($A1754:$L1754)=0,"",IF($A1754="","Missing: entry ID",IF(COUNTIF($A$2:$A$2001,$A1754)&gt;1,"Duplicate entry ID",IF(NOT(ISNUMBER($B1754)),"Missing or invalid: date",IF($C1754="","Missing: type",IF($D1754="","Missing: SKU",IF(NOT(ISNUMBER($E1754)),"Missing: qty",IF($F1754="","Missing: lot",IF($I1754="","Missing: source link",IF(COUNTIF(Config!$A$15:$A$34,$C1754)=0,"Unsupported type",IF(COUNTIF(Products!$A$2:$A$101,$D1754)=0,"Unknown SKU",IF(COUNTIFS(Batches!$A$2:$A$301,$F1754,Batches!$B$2:$B$301,$D1754)=0,"Unknown lot for this SKU",IF(AND($C1754="Adjustment",$G1754=""),"Missing: reason",IF(AND($G1754&lt;&gt;"",COUNTIF(Config!$B$15:$B$34,$G1754)=0),"Unsupported reason",IF(OR(INT($E1754)&lt;&gt;$E1754,AND(OR($C1754="Receipt",$C1754="Shipment"),$E1754&lt;=0),AND($C1754="Adjustment",$E1754=0)),"Invalid qty",IF($B1754&gt;Config!$B$4,"Date after the as-of date",IF($B1754&lt;Config!$B$5,"Date before the opening balance date","OK")))))))))))))))))</f>
        <v/>
      </c>
    </row>
    <row r="1755">
      <c r="A1755" s="46" t="n"/>
      <c r="B1755" s="54" t="n"/>
      <c r="C1755" s="46" t="n"/>
      <c r="D1755" s="46" t="n"/>
      <c r="E1755" s="55" t="n"/>
      <c r="F1755" s="46" t="n"/>
      <c r="G1755" s="46" t="n"/>
      <c r="H1755" s="46" t="n"/>
      <c r="I1755" s="46" t="n"/>
      <c r="J1755" s="46" t="n"/>
      <c r="K1755" s="46" t="n"/>
      <c r="L1755" s="46" t="n"/>
      <c r="M1755" s="51" t="str">
        <f>IF(NOT(ISNUMBER($E1755)),"",IF($C1755="Receipt",$E1755,IF($C1755="Shipment",-$E1755,IF($C1755="Adjustment",$E1755,0))))</f>
        <v/>
      </c>
      <c r="N1755" s="49" t="str">
        <f>IF($D1755="","",IFERROR(INDEX(Products!$B$2:$B$101,MATCH($D1755,Products!$A$2:$A$101,0))&amp;"","(not found)"))</f>
        <v/>
      </c>
      <c r="O1755" s="49" t="str">
        <f>IF($F1755="","",IFERROR(INDEX(Batches!$B$2:$B$301,MATCH($F1755,Batches!$A$2:$A$301,0))&amp;"","(not found)"))</f>
        <v/>
      </c>
      <c r="P1755" s="49" t="str">
        <f>IF(COUNTA($A1755:$L1755)=0,"",IF($A1755="","Missing: entry ID",IF(COUNTIF($A$2:$A$2001,$A1755)&gt;1,"Duplicate entry ID",IF(NOT(ISNUMBER($B1755)),"Missing or invalid: date",IF($C1755="","Missing: type",IF($D1755="","Missing: SKU",IF(NOT(ISNUMBER($E1755)),"Missing: qty",IF($F1755="","Missing: lot",IF($I1755="","Missing: source link",IF(COUNTIF(Config!$A$15:$A$34,$C1755)=0,"Unsupported type",IF(COUNTIF(Products!$A$2:$A$101,$D1755)=0,"Unknown SKU",IF(COUNTIFS(Batches!$A$2:$A$301,$F1755,Batches!$B$2:$B$301,$D1755)=0,"Unknown lot for this SKU",IF(AND($C1755="Adjustment",$G1755=""),"Missing: reason",IF(AND($G1755&lt;&gt;"",COUNTIF(Config!$B$15:$B$34,$G1755)=0),"Unsupported reason",IF(OR(INT($E1755)&lt;&gt;$E1755,AND(OR($C1755="Receipt",$C1755="Shipment"),$E1755&lt;=0),AND($C1755="Adjustment",$E1755=0)),"Invalid qty",IF($B1755&gt;Config!$B$4,"Date after the as-of date",IF($B1755&lt;Config!$B$5,"Date before the opening balance date","OK")))))))))))))))))</f>
        <v/>
      </c>
    </row>
    <row r="1756">
      <c r="A1756" s="46" t="n"/>
      <c r="B1756" s="54" t="n"/>
      <c r="C1756" s="46" t="n"/>
      <c r="D1756" s="46" t="n"/>
      <c r="E1756" s="55" t="n"/>
      <c r="F1756" s="46" t="n"/>
      <c r="G1756" s="46" t="n"/>
      <c r="H1756" s="46" t="n"/>
      <c r="I1756" s="46" t="n"/>
      <c r="J1756" s="46" t="n"/>
      <c r="K1756" s="46" t="n"/>
      <c r="L1756" s="46" t="n"/>
      <c r="M1756" s="51" t="str">
        <f>IF(NOT(ISNUMBER($E1756)),"",IF($C1756="Receipt",$E1756,IF($C1756="Shipment",-$E1756,IF($C1756="Adjustment",$E1756,0))))</f>
        <v/>
      </c>
      <c r="N1756" s="49" t="str">
        <f>IF($D1756="","",IFERROR(INDEX(Products!$B$2:$B$101,MATCH($D1756,Products!$A$2:$A$101,0))&amp;"","(not found)"))</f>
        <v/>
      </c>
      <c r="O1756" s="49" t="str">
        <f>IF($F1756="","",IFERROR(INDEX(Batches!$B$2:$B$301,MATCH($F1756,Batches!$A$2:$A$301,0))&amp;"","(not found)"))</f>
        <v/>
      </c>
      <c r="P1756" s="49" t="str">
        <f>IF(COUNTA($A1756:$L1756)=0,"",IF($A1756="","Missing: entry ID",IF(COUNTIF($A$2:$A$2001,$A1756)&gt;1,"Duplicate entry ID",IF(NOT(ISNUMBER($B1756)),"Missing or invalid: date",IF($C1756="","Missing: type",IF($D1756="","Missing: SKU",IF(NOT(ISNUMBER($E1756)),"Missing: qty",IF($F1756="","Missing: lot",IF($I1756="","Missing: source link",IF(COUNTIF(Config!$A$15:$A$34,$C1756)=0,"Unsupported type",IF(COUNTIF(Products!$A$2:$A$101,$D1756)=0,"Unknown SKU",IF(COUNTIFS(Batches!$A$2:$A$301,$F1756,Batches!$B$2:$B$301,$D1756)=0,"Unknown lot for this SKU",IF(AND($C1756="Adjustment",$G1756=""),"Missing: reason",IF(AND($G1756&lt;&gt;"",COUNTIF(Config!$B$15:$B$34,$G1756)=0),"Unsupported reason",IF(OR(INT($E1756)&lt;&gt;$E1756,AND(OR($C1756="Receipt",$C1756="Shipment"),$E1756&lt;=0),AND($C1756="Adjustment",$E1756=0)),"Invalid qty",IF($B1756&gt;Config!$B$4,"Date after the as-of date",IF($B1756&lt;Config!$B$5,"Date before the opening balance date","OK")))))))))))))))))</f>
        <v/>
      </c>
    </row>
    <row r="1757">
      <c r="A1757" s="46" t="n"/>
      <c r="B1757" s="54" t="n"/>
      <c r="C1757" s="46" t="n"/>
      <c r="D1757" s="46" t="n"/>
      <c r="E1757" s="55" t="n"/>
      <c r="F1757" s="46" t="n"/>
      <c r="G1757" s="46" t="n"/>
      <c r="H1757" s="46" t="n"/>
      <c r="I1757" s="46" t="n"/>
      <c r="J1757" s="46" t="n"/>
      <c r="K1757" s="46" t="n"/>
      <c r="L1757" s="46" t="n"/>
      <c r="M1757" s="51" t="str">
        <f>IF(NOT(ISNUMBER($E1757)),"",IF($C1757="Receipt",$E1757,IF($C1757="Shipment",-$E1757,IF($C1757="Adjustment",$E1757,0))))</f>
        <v/>
      </c>
      <c r="N1757" s="49" t="str">
        <f>IF($D1757="","",IFERROR(INDEX(Products!$B$2:$B$101,MATCH($D1757,Products!$A$2:$A$101,0))&amp;"","(not found)"))</f>
        <v/>
      </c>
      <c r="O1757" s="49" t="str">
        <f>IF($F1757="","",IFERROR(INDEX(Batches!$B$2:$B$301,MATCH($F1757,Batches!$A$2:$A$301,0))&amp;"","(not found)"))</f>
        <v/>
      </c>
      <c r="P1757" s="49" t="str">
        <f>IF(COUNTA($A1757:$L1757)=0,"",IF($A1757="","Missing: entry ID",IF(COUNTIF($A$2:$A$2001,$A1757)&gt;1,"Duplicate entry ID",IF(NOT(ISNUMBER($B1757)),"Missing or invalid: date",IF($C1757="","Missing: type",IF($D1757="","Missing: SKU",IF(NOT(ISNUMBER($E1757)),"Missing: qty",IF($F1757="","Missing: lot",IF($I1757="","Missing: source link",IF(COUNTIF(Config!$A$15:$A$34,$C1757)=0,"Unsupported type",IF(COUNTIF(Products!$A$2:$A$101,$D1757)=0,"Unknown SKU",IF(COUNTIFS(Batches!$A$2:$A$301,$F1757,Batches!$B$2:$B$301,$D1757)=0,"Unknown lot for this SKU",IF(AND($C1757="Adjustment",$G1757=""),"Missing: reason",IF(AND($G1757&lt;&gt;"",COUNTIF(Config!$B$15:$B$34,$G1757)=0),"Unsupported reason",IF(OR(INT($E1757)&lt;&gt;$E1757,AND(OR($C1757="Receipt",$C1757="Shipment"),$E1757&lt;=0),AND($C1757="Adjustment",$E1757=0)),"Invalid qty",IF($B1757&gt;Config!$B$4,"Date after the as-of date",IF($B1757&lt;Config!$B$5,"Date before the opening balance date","OK")))))))))))))))))</f>
        <v/>
      </c>
    </row>
    <row r="1758">
      <c r="A1758" s="46" t="n"/>
      <c r="B1758" s="54" t="n"/>
      <c r="C1758" s="46" t="n"/>
      <c r="D1758" s="46" t="n"/>
      <c r="E1758" s="55" t="n"/>
      <c r="F1758" s="46" t="n"/>
      <c r="G1758" s="46" t="n"/>
      <c r="H1758" s="46" t="n"/>
      <c r="I1758" s="46" t="n"/>
      <c r="J1758" s="46" t="n"/>
      <c r="K1758" s="46" t="n"/>
      <c r="L1758" s="46" t="n"/>
      <c r="M1758" s="51" t="str">
        <f>IF(NOT(ISNUMBER($E1758)),"",IF($C1758="Receipt",$E1758,IF($C1758="Shipment",-$E1758,IF($C1758="Adjustment",$E1758,0))))</f>
        <v/>
      </c>
      <c r="N1758" s="49" t="str">
        <f>IF($D1758="","",IFERROR(INDEX(Products!$B$2:$B$101,MATCH($D1758,Products!$A$2:$A$101,0))&amp;"","(not found)"))</f>
        <v/>
      </c>
      <c r="O1758" s="49" t="str">
        <f>IF($F1758="","",IFERROR(INDEX(Batches!$B$2:$B$301,MATCH($F1758,Batches!$A$2:$A$301,0))&amp;"","(not found)"))</f>
        <v/>
      </c>
      <c r="P1758" s="49" t="str">
        <f>IF(COUNTA($A1758:$L1758)=0,"",IF($A1758="","Missing: entry ID",IF(COUNTIF($A$2:$A$2001,$A1758)&gt;1,"Duplicate entry ID",IF(NOT(ISNUMBER($B1758)),"Missing or invalid: date",IF($C1758="","Missing: type",IF($D1758="","Missing: SKU",IF(NOT(ISNUMBER($E1758)),"Missing: qty",IF($F1758="","Missing: lot",IF($I1758="","Missing: source link",IF(COUNTIF(Config!$A$15:$A$34,$C1758)=0,"Unsupported type",IF(COUNTIF(Products!$A$2:$A$101,$D1758)=0,"Unknown SKU",IF(COUNTIFS(Batches!$A$2:$A$301,$F1758,Batches!$B$2:$B$301,$D1758)=0,"Unknown lot for this SKU",IF(AND($C1758="Adjustment",$G1758=""),"Missing: reason",IF(AND($G1758&lt;&gt;"",COUNTIF(Config!$B$15:$B$34,$G1758)=0),"Unsupported reason",IF(OR(INT($E1758)&lt;&gt;$E1758,AND(OR($C1758="Receipt",$C1758="Shipment"),$E1758&lt;=0),AND($C1758="Adjustment",$E1758=0)),"Invalid qty",IF($B1758&gt;Config!$B$4,"Date after the as-of date",IF($B1758&lt;Config!$B$5,"Date before the opening balance date","OK")))))))))))))))))</f>
        <v/>
      </c>
    </row>
    <row r="1759">
      <c r="A1759" s="46" t="n"/>
      <c r="B1759" s="54" t="n"/>
      <c r="C1759" s="46" t="n"/>
      <c r="D1759" s="46" t="n"/>
      <c r="E1759" s="55" t="n"/>
      <c r="F1759" s="46" t="n"/>
      <c r="G1759" s="46" t="n"/>
      <c r="H1759" s="46" t="n"/>
      <c r="I1759" s="46" t="n"/>
      <c r="J1759" s="46" t="n"/>
      <c r="K1759" s="46" t="n"/>
      <c r="L1759" s="46" t="n"/>
      <c r="M1759" s="51" t="str">
        <f>IF(NOT(ISNUMBER($E1759)),"",IF($C1759="Receipt",$E1759,IF($C1759="Shipment",-$E1759,IF($C1759="Adjustment",$E1759,0))))</f>
        <v/>
      </c>
      <c r="N1759" s="49" t="str">
        <f>IF($D1759="","",IFERROR(INDEX(Products!$B$2:$B$101,MATCH($D1759,Products!$A$2:$A$101,0))&amp;"","(not found)"))</f>
        <v/>
      </c>
      <c r="O1759" s="49" t="str">
        <f>IF($F1759="","",IFERROR(INDEX(Batches!$B$2:$B$301,MATCH($F1759,Batches!$A$2:$A$301,0))&amp;"","(not found)"))</f>
        <v/>
      </c>
      <c r="P1759" s="49" t="str">
        <f>IF(COUNTA($A1759:$L1759)=0,"",IF($A1759="","Missing: entry ID",IF(COUNTIF($A$2:$A$2001,$A1759)&gt;1,"Duplicate entry ID",IF(NOT(ISNUMBER($B1759)),"Missing or invalid: date",IF($C1759="","Missing: type",IF($D1759="","Missing: SKU",IF(NOT(ISNUMBER($E1759)),"Missing: qty",IF($F1759="","Missing: lot",IF($I1759="","Missing: source link",IF(COUNTIF(Config!$A$15:$A$34,$C1759)=0,"Unsupported type",IF(COUNTIF(Products!$A$2:$A$101,$D1759)=0,"Unknown SKU",IF(COUNTIFS(Batches!$A$2:$A$301,$F1759,Batches!$B$2:$B$301,$D1759)=0,"Unknown lot for this SKU",IF(AND($C1759="Adjustment",$G1759=""),"Missing: reason",IF(AND($G1759&lt;&gt;"",COUNTIF(Config!$B$15:$B$34,$G1759)=0),"Unsupported reason",IF(OR(INT($E1759)&lt;&gt;$E1759,AND(OR($C1759="Receipt",$C1759="Shipment"),$E1759&lt;=0),AND($C1759="Adjustment",$E1759=0)),"Invalid qty",IF($B1759&gt;Config!$B$4,"Date after the as-of date",IF($B1759&lt;Config!$B$5,"Date before the opening balance date","OK")))))))))))))))))</f>
        <v/>
      </c>
    </row>
    <row r="1760">
      <c r="A1760" s="46" t="n"/>
      <c r="B1760" s="54" t="n"/>
      <c r="C1760" s="46" t="n"/>
      <c r="D1760" s="46" t="n"/>
      <c r="E1760" s="55" t="n"/>
      <c r="F1760" s="46" t="n"/>
      <c r="G1760" s="46" t="n"/>
      <c r="H1760" s="46" t="n"/>
      <c r="I1760" s="46" t="n"/>
      <c r="J1760" s="46" t="n"/>
      <c r="K1760" s="46" t="n"/>
      <c r="L1760" s="46" t="n"/>
      <c r="M1760" s="51" t="str">
        <f>IF(NOT(ISNUMBER($E1760)),"",IF($C1760="Receipt",$E1760,IF($C1760="Shipment",-$E1760,IF($C1760="Adjustment",$E1760,0))))</f>
        <v/>
      </c>
      <c r="N1760" s="49" t="str">
        <f>IF($D1760="","",IFERROR(INDEX(Products!$B$2:$B$101,MATCH($D1760,Products!$A$2:$A$101,0))&amp;"","(not found)"))</f>
        <v/>
      </c>
      <c r="O1760" s="49" t="str">
        <f>IF($F1760="","",IFERROR(INDEX(Batches!$B$2:$B$301,MATCH($F1760,Batches!$A$2:$A$301,0))&amp;"","(not found)"))</f>
        <v/>
      </c>
      <c r="P1760" s="49" t="str">
        <f>IF(COUNTA($A1760:$L1760)=0,"",IF($A1760="","Missing: entry ID",IF(COUNTIF($A$2:$A$2001,$A1760)&gt;1,"Duplicate entry ID",IF(NOT(ISNUMBER($B1760)),"Missing or invalid: date",IF($C1760="","Missing: type",IF($D1760="","Missing: SKU",IF(NOT(ISNUMBER($E1760)),"Missing: qty",IF($F1760="","Missing: lot",IF($I1760="","Missing: source link",IF(COUNTIF(Config!$A$15:$A$34,$C1760)=0,"Unsupported type",IF(COUNTIF(Products!$A$2:$A$101,$D1760)=0,"Unknown SKU",IF(COUNTIFS(Batches!$A$2:$A$301,$F1760,Batches!$B$2:$B$301,$D1760)=0,"Unknown lot for this SKU",IF(AND($C1760="Adjustment",$G1760=""),"Missing: reason",IF(AND($G1760&lt;&gt;"",COUNTIF(Config!$B$15:$B$34,$G1760)=0),"Unsupported reason",IF(OR(INT($E1760)&lt;&gt;$E1760,AND(OR($C1760="Receipt",$C1760="Shipment"),$E1760&lt;=0),AND($C1760="Adjustment",$E1760=0)),"Invalid qty",IF($B1760&gt;Config!$B$4,"Date after the as-of date",IF($B1760&lt;Config!$B$5,"Date before the opening balance date","OK")))))))))))))))))</f>
        <v/>
      </c>
    </row>
    <row r="1761">
      <c r="A1761" s="46" t="n"/>
      <c r="B1761" s="54" t="n"/>
      <c r="C1761" s="46" t="n"/>
      <c r="D1761" s="46" t="n"/>
      <c r="E1761" s="55" t="n"/>
      <c r="F1761" s="46" t="n"/>
      <c r="G1761" s="46" t="n"/>
      <c r="H1761" s="46" t="n"/>
      <c r="I1761" s="46" t="n"/>
      <c r="J1761" s="46" t="n"/>
      <c r="K1761" s="46" t="n"/>
      <c r="L1761" s="46" t="n"/>
      <c r="M1761" s="51" t="str">
        <f>IF(NOT(ISNUMBER($E1761)),"",IF($C1761="Receipt",$E1761,IF($C1761="Shipment",-$E1761,IF($C1761="Adjustment",$E1761,0))))</f>
        <v/>
      </c>
      <c r="N1761" s="49" t="str">
        <f>IF($D1761="","",IFERROR(INDEX(Products!$B$2:$B$101,MATCH($D1761,Products!$A$2:$A$101,0))&amp;"","(not found)"))</f>
        <v/>
      </c>
      <c r="O1761" s="49" t="str">
        <f>IF($F1761="","",IFERROR(INDEX(Batches!$B$2:$B$301,MATCH($F1761,Batches!$A$2:$A$301,0))&amp;"","(not found)"))</f>
        <v/>
      </c>
      <c r="P1761" s="49" t="str">
        <f>IF(COUNTA($A1761:$L1761)=0,"",IF($A1761="","Missing: entry ID",IF(COUNTIF($A$2:$A$2001,$A1761)&gt;1,"Duplicate entry ID",IF(NOT(ISNUMBER($B1761)),"Missing or invalid: date",IF($C1761="","Missing: type",IF($D1761="","Missing: SKU",IF(NOT(ISNUMBER($E1761)),"Missing: qty",IF($F1761="","Missing: lot",IF($I1761="","Missing: source link",IF(COUNTIF(Config!$A$15:$A$34,$C1761)=0,"Unsupported type",IF(COUNTIF(Products!$A$2:$A$101,$D1761)=0,"Unknown SKU",IF(COUNTIFS(Batches!$A$2:$A$301,$F1761,Batches!$B$2:$B$301,$D1761)=0,"Unknown lot for this SKU",IF(AND($C1761="Adjustment",$G1761=""),"Missing: reason",IF(AND($G1761&lt;&gt;"",COUNTIF(Config!$B$15:$B$34,$G1761)=0),"Unsupported reason",IF(OR(INT($E1761)&lt;&gt;$E1761,AND(OR($C1761="Receipt",$C1761="Shipment"),$E1761&lt;=0),AND($C1761="Adjustment",$E1761=0)),"Invalid qty",IF($B1761&gt;Config!$B$4,"Date after the as-of date",IF($B1761&lt;Config!$B$5,"Date before the opening balance date","OK")))))))))))))))))</f>
        <v/>
      </c>
    </row>
    <row r="1762">
      <c r="A1762" s="46" t="n"/>
      <c r="B1762" s="54" t="n"/>
      <c r="C1762" s="46" t="n"/>
      <c r="D1762" s="46" t="n"/>
      <c r="E1762" s="55" t="n"/>
      <c r="F1762" s="46" t="n"/>
      <c r="G1762" s="46" t="n"/>
      <c r="H1762" s="46" t="n"/>
      <c r="I1762" s="46" t="n"/>
      <c r="J1762" s="46" t="n"/>
      <c r="K1762" s="46" t="n"/>
      <c r="L1762" s="46" t="n"/>
      <c r="M1762" s="51" t="str">
        <f>IF(NOT(ISNUMBER($E1762)),"",IF($C1762="Receipt",$E1762,IF($C1762="Shipment",-$E1762,IF($C1762="Adjustment",$E1762,0))))</f>
        <v/>
      </c>
      <c r="N1762" s="49" t="str">
        <f>IF($D1762="","",IFERROR(INDEX(Products!$B$2:$B$101,MATCH($D1762,Products!$A$2:$A$101,0))&amp;"","(not found)"))</f>
        <v/>
      </c>
      <c r="O1762" s="49" t="str">
        <f>IF($F1762="","",IFERROR(INDEX(Batches!$B$2:$B$301,MATCH($F1762,Batches!$A$2:$A$301,0))&amp;"","(not found)"))</f>
        <v/>
      </c>
      <c r="P1762" s="49" t="str">
        <f>IF(COUNTA($A1762:$L1762)=0,"",IF($A1762="","Missing: entry ID",IF(COUNTIF($A$2:$A$2001,$A1762)&gt;1,"Duplicate entry ID",IF(NOT(ISNUMBER($B1762)),"Missing or invalid: date",IF($C1762="","Missing: type",IF($D1762="","Missing: SKU",IF(NOT(ISNUMBER($E1762)),"Missing: qty",IF($F1762="","Missing: lot",IF($I1762="","Missing: source link",IF(COUNTIF(Config!$A$15:$A$34,$C1762)=0,"Unsupported type",IF(COUNTIF(Products!$A$2:$A$101,$D1762)=0,"Unknown SKU",IF(COUNTIFS(Batches!$A$2:$A$301,$F1762,Batches!$B$2:$B$301,$D1762)=0,"Unknown lot for this SKU",IF(AND($C1762="Adjustment",$G1762=""),"Missing: reason",IF(AND($G1762&lt;&gt;"",COUNTIF(Config!$B$15:$B$34,$G1762)=0),"Unsupported reason",IF(OR(INT($E1762)&lt;&gt;$E1762,AND(OR($C1762="Receipt",$C1762="Shipment"),$E1762&lt;=0),AND($C1762="Adjustment",$E1762=0)),"Invalid qty",IF($B1762&gt;Config!$B$4,"Date after the as-of date",IF($B1762&lt;Config!$B$5,"Date before the opening balance date","OK")))))))))))))))))</f>
        <v/>
      </c>
    </row>
    <row r="1763">
      <c r="A1763" s="46" t="n"/>
      <c r="B1763" s="54" t="n"/>
      <c r="C1763" s="46" t="n"/>
      <c r="D1763" s="46" t="n"/>
      <c r="E1763" s="55" t="n"/>
      <c r="F1763" s="46" t="n"/>
      <c r="G1763" s="46" t="n"/>
      <c r="H1763" s="46" t="n"/>
      <c r="I1763" s="46" t="n"/>
      <c r="J1763" s="46" t="n"/>
      <c r="K1763" s="46" t="n"/>
      <c r="L1763" s="46" t="n"/>
      <c r="M1763" s="51" t="str">
        <f>IF(NOT(ISNUMBER($E1763)),"",IF($C1763="Receipt",$E1763,IF($C1763="Shipment",-$E1763,IF($C1763="Adjustment",$E1763,0))))</f>
        <v/>
      </c>
      <c r="N1763" s="49" t="str">
        <f>IF($D1763="","",IFERROR(INDEX(Products!$B$2:$B$101,MATCH($D1763,Products!$A$2:$A$101,0))&amp;"","(not found)"))</f>
        <v/>
      </c>
      <c r="O1763" s="49" t="str">
        <f>IF($F1763="","",IFERROR(INDEX(Batches!$B$2:$B$301,MATCH($F1763,Batches!$A$2:$A$301,0))&amp;"","(not found)"))</f>
        <v/>
      </c>
      <c r="P1763" s="49" t="str">
        <f>IF(COUNTA($A1763:$L1763)=0,"",IF($A1763="","Missing: entry ID",IF(COUNTIF($A$2:$A$2001,$A1763)&gt;1,"Duplicate entry ID",IF(NOT(ISNUMBER($B1763)),"Missing or invalid: date",IF($C1763="","Missing: type",IF($D1763="","Missing: SKU",IF(NOT(ISNUMBER($E1763)),"Missing: qty",IF($F1763="","Missing: lot",IF($I1763="","Missing: source link",IF(COUNTIF(Config!$A$15:$A$34,$C1763)=0,"Unsupported type",IF(COUNTIF(Products!$A$2:$A$101,$D1763)=0,"Unknown SKU",IF(COUNTIFS(Batches!$A$2:$A$301,$F1763,Batches!$B$2:$B$301,$D1763)=0,"Unknown lot for this SKU",IF(AND($C1763="Adjustment",$G1763=""),"Missing: reason",IF(AND($G1763&lt;&gt;"",COUNTIF(Config!$B$15:$B$34,$G1763)=0),"Unsupported reason",IF(OR(INT($E1763)&lt;&gt;$E1763,AND(OR($C1763="Receipt",$C1763="Shipment"),$E1763&lt;=0),AND($C1763="Adjustment",$E1763=0)),"Invalid qty",IF($B1763&gt;Config!$B$4,"Date after the as-of date",IF($B1763&lt;Config!$B$5,"Date before the opening balance date","OK")))))))))))))))))</f>
        <v/>
      </c>
    </row>
    <row r="1764">
      <c r="A1764" s="46" t="n"/>
      <c r="B1764" s="54" t="n"/>
      <c r="C1764" s="46" t="n"/>
      <c r="D1764" s="46" t="n"/>
      <c r="E1764" s="55" t="n"/>
      <c r="F1764" s="46" t="n"/>
      <c r="G1764" s="46" t="n"/>
      <c r="H1764" s="46" t="n"/>
      <c r="I1764" s="46" t="n"/>
      <c r="J1764" s="46" t="n"/>
      <c r="K1764" s="46" t="n"/>
      <c r="L1764" s="46" t="n"/>
      <c r="M1764" s="51" t="str">
        <f>IF(NOT(ISNUMBER($E1764)),"",IF($C1764="Receipt",$E1764,IF($C1764="Shipment",-$E1764,IF($C1764="Adjustment",$E1764,0))))</f>
        <v/>
      </c>
      <c r="N1764" s="49" t="str">
        <f>IF($D1764="","",IFERROR(INDEX(Products!$B$2:$B$101,MATCH($D1764,Products!$A$2:$A$101,0))&amp;"","(not found)"))</f>
        <v/>
      </c>
      <c r="O1764" s="49" t="str">
        <f>IF($F1764="","",IFERROR(INDEX(Batches!$B$2:$B$301,MATCH($F1764,Batches!$A$2:$A$301,0))&amp;"","(not found)"))</f>
        <v/>
      </c>
      <c r="P1764" s="49" t="str">
        <f>IF(COUNTA($A1764:$L1764)=0,"",IF($A1764="","Missing: entry ID",IF(COUNTIF($A$2:$A$2001,$A1764)&gt;1,"Duplicate entry ID",IF(NOT(ISNUMBER($B1764)),"Missing or invalid: date",IF($C1764="","Missing: type",IF($D1764="","Missing: SKU",IF(NOT(ISNUMBER($E1764)),"Missing: qty",IF($F1764="","Missing: lot",IF($I1764="","Missing: source link",IF(COUNTIF(Config!$A$15:$A$34,$C1764)=0,"Unsupported type",IF(COUNTIF(Products!$A$2:$A$101,$D1764)=0,"Unknown SKU",IF(COUNTIFS(Batches!$A$2:$A$301,$F1764,Batches!$B$2:$B$301,$D1764)=0,"Unknown lot for this SKU",IF(AND($C1764="Adjustment",$G1764=""),"Missing: reason",IF(AND($G1764&lt;&gt;"",COUNTIF(Config!$B$15:$B$34,$G1764)=0),"Unsupported reason",IF(OR(INT($E1764)&lt;&gt;$E1764,AND(OR($C1764="Receipt",$C1764="Shipment"),$E1764&lt;=0),AND($C1764="Adjustment",$E1764=0)),"Invalid qty",IF($B1764&gt;Config!$B$4,"Date after the as-of date",IF($B1764&lt;Config!$B$5,"Date before the opening balance date","OK")))))))))))))))))</f>
        <v/>
      </c>
    </row>
    <row r="1765">
      <c r="A1765" s="46" t="n"/>
      <c r="B1765" s="54" t="n"/>
      <c r="C1765" s="46" t="n"/>
      <c r="D1765" s="46" t="n"/>
      <c r="E1765" s="55" t="n"/>
      <c r="F1765" s="46" t="n"/>
      <c r="G1765" s="46" t="n"/>
      <c r="H1765" s="46" t="n"/>
      <c r="I1765" s="46" t="n"/>
      <c r="J1765" s="46" t="n"/>
      <c r="K1765" s="46" t="n"/>
      <c r="L1765" s="46" t="n"/>
      <c r="M1765" s="51" t="str">
        <f>IF(NOT(ISNUMBER($E1765)),"",IF($C1765="Receipt",$E1765,IF($C1765="Shipment",-$E1765,IF($C1765="Adjustment",$E1765,0))))</f>
        <v/>
      </c>
      <c r="N1765" s="49" t="str">
        <f>IF($D1765="","",IFERROR(INDEX(Products!$B$2:$B$101,MATCH($D1765,Products!$A$2:$A$101,0))&amp;"","(not found)"))</f>
        <v/>
      </c>
      <c r="O1765" s="49" t="str">
        <f>IF($F1765="","",IFERROR(INDEX(Batches!$B$2:$B$301,MATCH($F1765,Batches!$A$2:$A$301,0))&amp;"","(not found)"))</f>
        <v/>
      </c>
      <c r="P1765" s="49" t="str">
        <f>IF(COUNTA($A1765:$L1765)=0,"",IF($A1765="","Missing: entry ID",IF(COUNTIF($A$2:$A$2001,$A1765)&gt;1,"Duplicate entry ID",IF(NOT(ISNUMBER($B1765)),"Missing or invalid: date",IF($C1765="","Missing: type",IF($D1765="","Missing: SKU",IF(NOT(ISNUMBER($E1765)),"Missing: qty",IF($F1765="","Missing: lot",IF($I1765="","Missing: source link",IF(COUNTIF(Config!$A$15:$A$34,$C1765)=0,"Unsupported type",IF(COUNTIF(Products!$A$2:$A$101,$D1765)=0,"Unknown SKU",IF(COUNTIFS(Batches!$A$2:$A$301,$F1765,Batches!$B$2:$B$301,$D1765)=0,"Unknown lot for this SKU",IF(AND($C1765="Adjustment",$G1765=""),"Missing: reason",IF(AND($G1765&lt;&gt;"",COUNTIF(Config!$B$15:$B$34,$G1765)=0),"Unsupported reason",IF(OR(INT($E1765)&lt;&gt;$E1765,AND(OR($C1765="Receipt",$C1765="Shipment"),$E1765&lt;=0),AND($C1765="Adjustment",$E1765=0)),"Invalid qty",IF($B1765&gt;Config!$B$4,"Date after the as-of date",IF($B1765&lt;Config!$B$5,"Date before the opening balance date","OK")))))))))))))))))</f>
        <v/>
      </c>
    </row>
    <row r="1766">
      <c r="A1766" s="46" t="n"/>
      <c r="B1766" s="54" t="n"/>
      <c r="C1766" s="46" t="n"/>
      <c r="D1766" s="46" t="n"/>
      <c r="E1766" s="55" t="n"/>
      <c r="F1766" s="46" t="n"/>
      <c r="G1766" s="46" t="n"/>
      <c r="H1766" s="46" t="n"/>
      <c r="I1766" s="46" t="n"/>
      <c r="J1766" s="46" t="n"/>
      <c r="K1766" s="46" t="n"/>
      <c r="L1766" s="46" t="n"/>
      <c r="M1766" s="51" t="str">
        <f>IF(NOT(ISNUMBER($E1766)),"",IF($C1766="Receipt",$E1766,IF($C1766="Shipment",-$E1766,IF($C1766="Adjustment",$E1766,0))))</f>
        <v/>
      </c>
      <c r="N1766" s="49" t="str">
        <f>IF($D1766="","",IFERROR(INDEX(Products!$B$2:$B$101,MATCH($D1766,Products!$A$2:$A$101,0))&amp;"","(not found)"))</f>
        <v/>
      </c>
      <c r="O1766" s="49" t="str">
        <f>IF($F1766="","",IFERROR(INDEX(Batches!$B$2:$B$301,MATCH($F1766,Batches!$A$2:$A$301,0))&amp;"","(not found)"))</f>
        <v/>
      </c>
      <c r="P1766" s="49" t="str">
        <f>IF(COUNTA($A1766:$L1766)=0,"",IF($A1766="","Missing: entry ID",IF(COUNTIF($A$2:$A$2001,$A1766)&gt;1,"Duplicate entry ID",IF(NOT(ISNUMBER($B1766)),"Missing or invalid: date",IF($C1766="","Missing: type",IF($D1766="","Missing: SKU",IF(NOT(ISNUMBER($E1766)),"Missing: qty",IF($F1766="","Missing: lot",IF($I1766="","Missing: source link",IF(COUNTIF(Config!$A$15:$A$34,$C1766)=0,"Unsupported type",IF(COUNTIF(Products!$A$2:$A$101,$D1766)=0,"Unknown SKU",IF(COUNTIFS(Batches!$A$2:$A$301,$F1766,Batches!$B$2:$B$301,$D1766)=0,"Unknown lot for this SKU",IF(AND($C1766="Adjustment",$G1766=""),"Missing: reason",IF(AND($G1766&lt;&gt;"",COUNTIF(Config!$B$15:$B$34,$G1766)=0),"Unsupported reason",IF(OR(INT($E1766)&lt;&gt;$E1766,AND(OR($C1766="Receipt",$C1766="Shipment"),$E1766&lt;=0),AND($C1766="Adjustment",$E1766=0)),"Invalid qty",IF($B1766&gt;Config!$B$4,"Date after the as-of date",IF($B1766&lt;Config!$B$5,"Date before the opening balance date","OK")))))))))))))))))</f>
        <v/>
      </c>
    </row>
    <row r="1767">
      <c r="A1767" s="46" t="n"/>
      <c r="B1767" s="54" t="n"/>
      <c r="C1767" s="46" t="n"/>
      <c r="D1767" s="46" t="n"/>
      <c r="E1767" s="55" t="n"/>
      <c r="F1767" s="46" t="n"/>
      <c r="G1767" s="46" t="n"/>
      <c r="H1767" s="46" t="n"/>
      <c r="I1767" s="46" t="n"/>
      <c r="J1767" s="46" t="n"/>
      <c r="K1767" s="46" t="n"/>
      <c r="L1767" s="46" t="n"/>
      <c r="M1767" s="51" t="str">
        <f>IF(NOT(ISNUMBER($E1767)),"",IF($C1767="Receipt",$E1767,IF($C1767="Shipment",-$E1767,IF($C1767="Adjustment",$E1767,0))))</f>
        <v/>
      </c>
      <c r="N1767" s="49" t="str">
        <f>IF($D1767="","",IFERROR(INDEX(Products!$B$2:$B$101,MATCH($D1767,Products!$A$2:$A$101,0))&amp;"","(not found)"))</f>
        <v/>
      </c>
      <c r="O1767" s="49" t="str">
        <f>IF($F1767="","",IFERROR(INDEX(Batches!$B$2:$B$301,MATCH($F1767,Batches!$A$2:$A$301,0))&amp;"","(not found)"))</f>
        <v/>
      </c>
      <c r="P1767" s="49" t="str">
        <f>IF(COUNTA($A1767:$L1767)=0,"",IF($A1767="","Missing: entry ID",IF(COUNTIF($A$2:$A$2001,$A1767)&gt;1,"Duplicate entry ID",IF(NOT(ISNUMBER($B1767)),"Missing or invalid: date",IF($C1767="","Missing: type",IF($D1767="","Missing: SKU",IF(NOT(ISNUMBER($E1767)),"Missing: qty",IF($F1767="","Missing: lot",IF($I1767="","Missing: source link",IF(COUNTIF(Config!$A$15:$A$34,$C1767)=0,"Unsupported type",IF(COUNTIF(Products!$A$2:$A$101,$D1767)=0,"Unknown SKU",IF(COUNTIFS(Batches!$A$2:$A$301,$F1767,Batches!$B$2:$B$301,$D1767)=0,"Unknown lot for this SKU",IF(AND($C1767="Adjustment",$G1767=""),"Missing: reason",IF(AND($G1767&lt;&gt;"",COUNTIF(Config!$B$15:$B$34,$G1767)=0),"Unsupported reason",IF(OR(INT($E1767)&lt;&gt;$E1767,AND(OR($C1767="Receipt",$C1767="Shipment"),$E1767&lt;=0),AND($C1767="Adjustment",$E1767=0)),"Invalid qty",IF($B1767&gt;Config!$B$4,"Date after the as-of date",IF($B1767&lt;Config!$B$5,"Date before the opening balance date","OK")))))))))))))))))</f>
        <v/>
      </c>
    </row>
    <row r="1768">
      <c r="A1768" s="46" t="n"/>
      <c r="B1768" s="54" t="n"/>
      <c r="C1768" s="46" t="n"/>
      <c r="D1768" s="46" t="n"/>
      <c r="E1768" s="55" t="n"/>
      <c r="F1768" s="46" t="n"/>
      <c r="G1768" s="46" t="n"/>
      <c r="H1768" s="46" t="n"/>
      <c r="I1768" s="46" t="n"/>
      <c r="J1768" s="46" t="n"/>
      <c r="K1768" s="46" t="n"/>
      <c r="L1768" s="46" t="n"/>
      <c r="M1768" s="51" t="str">
        <f>IF(NOT(ISNUMBER($E1768)),"",IF($C1768="Receipt",$E1768,IF($C1768="Shipment",-$E1768,IF($C1768="Adjustment",$E1768,0))))</f>
        <v/>
      </c>
      <c r="N1768" s="49" t="str">
        <f>IF($D1768="","",IFERROR(INDEX(Products!$B$2:$B$101,MATCH($D1768,Products!$A$2:$A$101,0))&amp;"","(not found)"))</f>
        <v/>
      </c>
      <c r="O1768" s="49" t="str">
        <f>IF($F1768="","",IFERROR(INDEX(Batches!$B$2:$B$301,MATCH($F1768,Batches!$A$2:$A$301,0))&amp;"","(not found)"))</f>
        <v/>
      </c>
      <c r="P1768" s="49" t="str">
        <f>IF(COUNTA($A1768:$L1768)=0,"",IF($A1768="","Missing: entry ID",IF(COUNTIF($A$2:$A$2001,$A1768)&gt;1,"Duplicate entry ID",IF(NOT(ISNUMBER($B1768)),"Missing or invalid: date",IF($C1768="","Missing: type",IF($D1768="","Missing: SKU",IF(NOT(ISNUMBER($E1768)),"Missing: qty",IF($F1768="","Missing: lot",IF($I1768="","Missing: source link",IF(COUNTIF(Config!$A$15:$A$34,$C1768)=0,"Unsupported type",IF(COUNTIF(Products!$A$2:$A$101,$D1768)=0,"Unknown SKU",IF(COUNTIFS(Batches!$A$2:$A$301,$F1768,Batches!$B$2:$B$301,$D1768)=0,"Unknown lot for this SKU",IF(AND($C1768="Adjustment",$G1768=""),"Missing: reason",IF(AND($G1768&lt;&gt;"",COUNTIF(Config!$B$15:$B$34,$G1768)=0),"Unsupported reason",IF(OR(INT($E1768)&lt;&gt;$E1768,AND(OR($C1768="Receipt",$C1768="Shipment"),$E1768&lt;=0),AND($C1768="Adjustment",$E1768=0)),"Invalid qty",IF($B1768&gt;Config!$B$4,"Date after the as-of date",IF($B1768&lt;Config!$B$5,"Date before the opening balance date","OK")))))))))))))))))</f>
        <v/>
      </c>
    </row>
    <row r="1769">
      <c r="A1769" s="46" t="n"/>
      <c r="B1769" s="54" t="n"/>
      <c r="C1769" s="46" t="n"/>
      <c r="D1769" s="46" t="n"/>
      <c r="E1769" s="55" t="n"/>
      <c r="F1769" s="46" t="n"/>
      <c r="G1769" s="46" t="n"/>
      <c r="H1769" s="46" t="n"/>
      <c r="I1769" s="46" t="n"/>
      <c r="J1769" s="46" t="n"/>
      <c r="K1769" s="46" t="n"/>
      <c r="L1769" s="46" t="n"/>
      <c r="M1769" s="51" t="str">
        <f>IF(NOT(ISNUMBER($E1769)),"",IF($C1769="Receipt",$E1769,IF($C1769="Shipment",-$E1769,IF($C1769="Adjustment",$E1769,0))))</f>
        <v/>
      </c>
      <c r="N1769" s="49" t="str">
        <f>IF($D1769="","",IFERROR(INDEX(Products!$B$2:$B$101,MATCH($D1769,Products!$A$2:$A$101,0))&amp;"","(not found)"))</f>
        <v/>
      </c>
      <c r="O1769" s="49" t="str">
        <f>IF($F1769="","",IFERROR(INDEX(Batches!$B$2:$B$301,MATCH($F1769,Batches!$A$2:$A$301,0))&amp;"","(not found)"))</f>
        <v/>
      </c>
      <c r="P1769" s="49" t="str">
        <f>IF(COUNTA($A1769:$L1769)=0,"",IF($A1769="","Missing: entry ID",IF(COUNTIF($A$2:$A$2001,$A1769)&gt;1,"Duplicate entry ID",IF(NOT(ISNUMBER($B1769)),"Missing or invalid: date",IF($C1769="","Missing: type",IF($D1769="","Missing: SKU",IF(NOT(ISNUMBER($E1769)),"Missing: qty",IF($F1769="","Missing: lot",IF($I1769="","Missing: source link",IF(COUNTIF(Config!$A$15:$A$34,$C1769)=0,"Unsupported type",IF(COUNTIF(Products!$A$2:$A$101,$D1769)=0,"Unknown SKU",IF(COUNTIFS(Batches!$A$2:$A$301,$F1769,Batches!$B$2:$B$301,$D1769)=0,"Unknown lot for this SKU",IF(AND($C1769="Adjustment",$G1769=""),"Missing: reason",IF(AND($G1769&lt;&gt;"",COUNTIF(Config!$B$15:$B$34,$G1769)=0),"Unsupported reason",IF(OR(INT($E1769)&lt;&gt;$E1769,AND(OR($C1769="Receipt",$C1769="Shipment"),$E1769&lt;=0),AND($C1769="Adjustment",$E1769=0)),"Invalid qty",IF($B1769&gt;Config!$B$4,"Date after the as-of date",IF($B1769&lt;Config!$B$5,"Date before the opening balance date","OK")))))))))))))))))</f>
        <v/>
      </c>
    </row>
    <row r="1770">
      <c r="A1770" s="46" t="n"/>
      <c r="B1770" s="54" t="n"/>
      <c r="C1770" s="46" t="n"/>
      <c r="D1770" s="46" t="n"/>
      <c r="E1770" s="55" t="n"/>
      <c r="F1770" s="46" t="n"/>
      <c r="G1770" s="46" t="n"/>
      <c r="H1770" s="46" t="n"/>
      <c r="I1770" s="46" t="n"/>
      <c r="J1770" s="46" t="n"/>
      <c r="K1770" s="46" t="n"/>
      <c r="L1770" s="46" t="n"/>
      <c r="M1770" s="51" t="str">
        <f>IF(NOT(ISNUMBER($E1770)),"",IF($C1770="Receipt",$E1770,IF($C1770="Shipment",-$E1770,IF($C1770="Adjustment",$E1770,0))))</f>
        <v/>
      </c>
      <c r="N1770" s="49" t="str">
        <f>IF($D1770="","",IFERROR(INDEX(Products!$B$2:$B$101,MATCH($D1770,Products!$A$2:$A$101,0))&amp;"","(not found)"))</f>
        <v/>
      </c>
      <c r="O1770" s="49" t="str">
        <f>IF($F1770="","",IFERROR(INDEX(Batches!$B$2:$B$301,MATCH($F1770,Batches!$A$2:$A$301,0))&amp;"","(not found)"))</f>
        <v/>
      </c>
      <c r="P1770" s="49" t="str">
        <f>IF(COUNTA($A1770:$L1770)=0,"",IF($A1770="","Missing: entry ID",IF(COUNTIF($A$2:$A$2001,$A1770)&gt;1,"Duplicate entry ID",IF(NOT(ISNUMBER($B1770)),"Missing or invalid: date",IF($C1770="","Missing: type",IF($D1770="","Missing: SKU",IF(NOT(ISNUMBER($E1770)),"Missing: qty",IF($F1770="","Missing: lot",IF($I1770="","Missing: source link",IF(COUNTIF(Config!$A$15:$A$34,$C1770)=0,"Unsupported type",IF(COUNTIF(Products!$A$2:$A$101,$D1770)=0,"Unknown SKU",IF(COUNTIFS(Batches!$A$2:$A$301,$F1770,Batches!$B$2:$B$301,$D1770)=0,"Unknown lot for this SKU",IF(AND($C1770="Adjustment",$G1770=""),"Missing: reason",IF(AND($G1770&lt;&gt;"",COUNTIF(Config!$B$15:$B$34,$G1770)=0),"Unsupported reason",IF(OR(INT($E1770)&lt;&gt;$E1770,AND(OR($C1770="Receipt",$C1770="Shipment"),$E1770&lt;=0),AND($C1770="Adjustment",$E1770=0)),"Invalid qty",IF($B1770&gt;Config!$B$4,"Date after the as-of date",IF($B1770&lt;Config!$B$5,"Date before the opening balance date","OK")))))))))))))))))</f>
        <v/>
      </c>
    </row>
    <row r="1771">
      <c r="A1771" s="46" t="n"/>
      <c r="B1771" s="54" t="n"/>
      <c r="C1771" s="46" t="n"/>
      <c r="D1771" s="46" t="n"/>
      <c r="E1771" s="55" t="n"/>
      <c r="F1771" s="46" t="n"/>
      <c r="G1771" s="46" t="n"/>
      <c r="H1771" s="46" t="n"/>
      <c r="I1771" s="46" t="n"/>
      <c r="J1771" s="46" t="n"/>
      <c r="K1771" s="46" t="n"/>
      <c r="L1771" s="46" t="n"/>
      <c r="M1771" s="51" t="str">
        <f>IF(NOT(ISNUMBER($E1771)),"",IF($C1771="Receipt",$E1771,IF($C1771="Shipment",-$E1771,IF($C1771="Adjustment",$E1771,0))))</f>
        <v/>
      </c>
      <c r="N1771" s="49" t="str">
        <f>IF($D1771="","",IFERROR(INDEX(Products!$B$2:$B$101,MATCH($D1771,Products!$A$2:$A$101,0))&amp;"","(not found)"))</f>
        <v/>
      </c>
      <c r="O1771" s="49" t="str">
        <f>IF($F1771="","",IFERROR(INDEX(Batches!$B$2:$B$301,MATCH($F1771,Batches!$A$2:$A$301,0))&amp;"","(not found)"))</f>
        <v/>
      </c>
      <c r="P1771" s="49" t="str">
        <f>IF(COUNTA($A1771:$L1771)=0,"",IF($A1771="","Missing: entry ID",IF(COUNTIF($A$2:$A$2001,$A1771)&gt;1,"Duplicate entry ID",IF(NOT(ISNUMBER($B1771)),"Missing or invalid: date",IF($C1771="","Missing: type",IF($D1771="","Missing: SKU",IF(NOT(ISNUMBER($E1771)),"Missing: qty",IF($F1771="","Missing: lot",IF($I1771="","Missing: source link",IF(COUNTIF(Config!$A$15:$A$34,$C1771)=0,"Unsupported type",IF(COUNTIF(Products!$A$2:$A$101,$D1771)=0,"Unknown SKU",IF(COUNTIFS(Batches!$A$2:$A$301,$F1771,Batches!$B$2:$B$301,$D1771)=0,"Unknown lot for this SKU",IF(AND($C1771="Adjustment",$G1771=""),"Missing: reason",IF(AND($G1771&lt;&gt;"",COUNTIF(Config!$B$15:$B$34,$G1771)=0),"Unsupported reason",IF(OR(INT($E1771)&lt;&gt;$E1771,AND(OR($C1771="Receipt",$C1771="Shipment"),$E1771&lt;=0),AND($C1771="Adjustment",$E1771=0)),"Invalid qty",IF($B1771&gt;Config!$B$4,"Date after the as-of date",IF($B1771&lt;Config!$B$5,"Date before the opening balance date","OK")))))))))))))))))</f>
        <v/>
      </c>
    </row>
    <row r="1772">
      <c r="A1772" s="46" t="n"/>
      <c r="B1772" s="54" t="n"/>
      <c r="C1772" s="46" t="n"/>
      <c r="D1772" s="46" t="n"/>
      <c r="E1772" s="55" t="n"/>
      <c r="F1772" s="46" t="n"/>
      <c r="G1772" s="46" t="n"/>
      <c r="H1772" s="46" t="n"/>
      <c r="I1772" s="46" t="n"/>
      <c r="J1772" s="46" t="n"/>
      <c r="K1772" s="46" t="n"/>
      <c r="L1772" s="46" t="n"/>
      <c r="M1772" s="51" t="str">
        <f>IF(NOT(ISNUMBER($E1772)),"",IF($C1772="Receipt",$E1772,IF($C1772="Shipment",-$E1772,IF($C1772="Adjustment",$E1772,0))))</f>
        <v/>
      </c>
      <c r="N1772" s="49" t="str">
        <f>IF($D1772="","",IFERROR(INDEX(Products!$B$2:$B$101,MATCH($D1772,Products!$A$2:$A$101,0))&amp;"","(not found)"))</f>
        <v/>
      </c>
      <c r="O1772" s="49" t="str">
        <f>IF($F1772="","",IFERROR(INDEX(Batches!$B$2:$B$301,MATCH($F1772,Batches!$A$2:$A$301,0))&amp;"","(not found)"))</f>
        <v/>
      </c>
      <c r="P1772" s="49" t="str">
        <f>IF(COUNTA($A1772:$L1772)=0,"",IF($A1772="","Missing: entry ID",IF(COUNTIF($A$2:$A$2001,$A1772)&gt;1,"Duplicate entry ID",IF(NOT(ISNUMBER($B1772)),"Missing or invalid: date",IF($C1772="","Missing: type",IF($D1772="","Missing: SKU",IF(NOT(ISNUMBER($E1772)),"Missing: qty",IF($F1772="","Missing: lot",IF($I1772="","Missing: source link",IF(COUNTIF(Config!$A$15:$A$34,$C1772)=0,"Unsupported type",IF(COUNTIF(Products!$A$2:$A$101,$D1772)=0,"Unknown SKU",IF(COUNTIFS(Batches!$A$2:$A$301,$F1772,Batches!$B$2:$B$301,$D1772)=0,"Unknown lot for this SKU",IF(AND($C1772="Adjustment",$G1772=""),"Missing: reason",IF(AND($G1772&lt;&gt;"",COUNTIF(Config!$B$15:$B$34,$G1772)=0),"Unsupported reason",IF(OR(INT($E1772)&lt;&gt;$E1772,AND(OR($C1772="Receipt",$C1772="Shipment"),$E1772&lt;=0),AND($C1772="Adjustment",$E1772=0)),"Invalid qty",IF($B1772&gt;Config!$B$4,"Date after the as-of date",IF($B1772&lt;Config!$B$5,"Date before the opening balance date","OK")))))))))))))))))</f>
        <v/>
      </c>
    </row>
    <row r="1773">
      <c r="A1773" s="46" t="n"/>
      <c r="B1773" s="54" t="n"/>
      <c r="C1773" s="46" t="n"/>
      <c r="D1773" s="46" t="n"/>
      <c r="E1773" s="55" t="n"/>
      <c r="F1773" s="46" t="n"/>
      <c r="G1773" s="46" t="n"/>
      <c r="H1773" s="46" t="n"/>
      <c r="I1773" s="46" t="n"/>
      <c r="J1773" s="46" t="n"/>
      <c r="K1773" s="46" t="n"/>
      <c r="L1773" s="46" t="n"/>
      <c r="M1773" s="51" t="str">
        <f>IF(NOT(ISNUMBER($E1773)),"",IF($C1773="Receipt",$E1773,IF($C1773="Shipment",-$E1773,IF($C1773="Adjustment",$E1773,0))))</f>
        <v/>
      </c>
      <c r="N1773" s="49" t="str">
        <f>IF($D1773="","",IFERROR(INDEX(Products!$B$2:$B$101,MATCH($D1773,Products!$A$2:$A$101,0))&amp;"","(not found)"))</f>
        <v/>
      </c>
      <c r="O1773" s="49" t="str">
        <f>IF($F1773="","",IFERROR(INDEX(Batches!$B$2:$B$301,MATCH($F1773,Batches!$A$2:$A$301,0))&amp;"","(not found)"))</f>
        <v/>
      </c>
      <c r="P1773" s="49" t="str">
        <f>IF(COUNTA($A1773:$L1773)=0,"",IF($A1773="","Missing: entry ID",IF(COUNTIF($A$2:$A$2001,$A1773)&gt;1,"Duplicate entry ID",IF(NOT(ISNUMBER($B1773)),"Missing or invalid: date",IF($C1773="","Missing: type",IF($D1773="","Missing: SKU",IF(NOT(ISNUMBER($E1773)),"Missing: qty",IF($F1773="","Missing: lot",IF($I1773="","Missing: source link",IF(COUNTIF(Config!$A$15:$A$34,$C1773)=0,"Unsupported type",IF(COUNTIF(Products!$A$2:$A$101,$D1773)=0,"Unknown SKU",IF(COUNTIFS(Batches!$A$2:$A$301,$F1773,Batches!$B$2:$B$301,$D1773)=0,"Unknown lot for this SKU",IF(AND($C1773="Adjustment",$G1773=""),"Missing: reason",IF(AND($G1773&lt;&gt;"",COUNTIF(Config!$B$15:$B$34,$G1773)=0),"Unsupported reason",IF(OR(INT($E1773)&lt;&gt;$E1773,AND(OR($C1773="Receipt",$C1773="Shipment"),$E1773&lt;=0),AND($C1773="Adjustment",$E1773=0)),"Invalid qty",IF($B1773&gt;Config!$B$4,"Date after the as-of date",IF($B1773&lt;Config!$B$5,"Date before the opening balance date","OK")))))))))))))))))</f>
        <v/>
      </c>
    </row>
    <row r="1774">
      <c r="A1774" s="46" t="n"/>
      <c r="B1774" s="54" t="n"/>
      <c r="C1774" s="46" t="n"/>
      <c r="D1774" s="46" t="n"/>
      <c r="E1774" s="55" t="n"/>
      <c r="F1774" s="46" t="n"/>
      <c r="G1774" s="46" t="n"/>
      <c r="H1774" s="46" t="n"/>
      <c r="I1774" s="46" t="n"/>
      <c r="J1774" s="46" t="n"/>
      <c r="K1774" s="46" t="n"/>
      <c r="L1774" s="46" t="n"/>
      <c r="M1774" s="51" t="str">
        <f>IF(NOT(ISNUMBER($E1774)),"",IF($C1774="Receipt",$E1774,IF($C1774="Shipment",-$E1774,IF($C1774="Adjustment",$E1774,0))))</f>
        <v/>
      </c>
      <c r="N1774" s="49" t="str">
        <f>IF($D1774="","",IFERROR(INDEX(Products!$B$2:$B$101,MATCH($D1774,Products!$A$2:$A$101,0))&amp;"","(not found)"))</f>
        <v/>
      </c>
      <c r="O1774" s="49" t="str">
        <f>IF($F1774="","",IFERROR(INDEX(Batches!$B$2:$B$301,MATCH($F1774,Batches!$A$2:$A$301,0))&amp;"","(not found)"))</f>
        <v/>
      </c>
      <c r="P1774" s="49" t="str">
        <f>IF(COUNTA($A1774:$L1774)=0,"",IF($A1774="","Missing: entry ID",IF(COUNTIF($A$2:$A$2001,$A1774)&gt;1,"Duplicate entry ID",IF(NOT(ISNUMBER($B1774)),"Missing or invalid: date",IF($C1774="","Missing: type",IF($D1774="","Missing: SKU",IF(NOT(ISNUMBER($E1774)),"Missing: qty",IF($F1774="","Missing: lot",IF($I1774="","Missing: source link",IF(COUNTIF(Config!$A$15:$A$34,$C1774)=0,"Unsupported type",IF(COUNTIF(Products!$A$2:$A$101,$D1774)=0,"Unknown SKU",IF(COUNTIFS(Batches!$A$2:$A$301,$F1774,Batches!$B$2:$B$301,$D1774)=0,"Unknown lot for this SKU",IF(AND($C1774="Adjustment",$G1774=""),"Missing: reason",IF(AND($G1774&lt;&gt;"",COUNTIF(Config!$B$15:$B$34,$G1774)=0),"Unsupported reason",IF(OR(INT($E1774)&lt;&gt;$E1774,AND(OR($C1774="Receipt",$C1774="Shipment"),$E1774&lt;=0),AND($C1774="Adjustment",$E1774=0)),"Invalid qty",IF($B1774&gt;Config!$B$4,"Date after the as-of date",IF($B1774&lt;Config!$B$5,"Date before the opening balance date","OK")))))))))))))))))</f>
        <v/>
      </c>
    </row>
    <row r="1775">
      <c r="A1775" s="46" t="n"/>
      <c r="B1775" s="54" t="n"/>
      <c r="C1775" s="46" t="n"/>
      <c r="D1775" s="46" t="n"/>
      <c r="E1775" s="55" t="n"/>
      <c r="F1775" s="46" t="n"/>
      <c r="G1775" s="46" t="n"/>
      <c r="H1775" s="46" t="n"/>
      <c r="I1775" s="46" t="n"/>
      <c r="J1775" s="46" t="n"/>
      <c r="K1775" s="46" t="n"/>
      <c r="L1775" s="46" t="n"/>
      <c r="M1775" s="51" t="str">
        <f>IF(NOT(ISNUMBER($E1775)),"",IF($C1775="Receipt",$E1775,IF($C1775="Shipment",-$E1775,IF($C1775="Adjustment",$E1775,0))))</f>
        <v/>
      </c>
      <c r="N1775" s="49" t="str">
        <f>IF($D1775="","",IFERROR(INDEX(Products!$B$2:$B$101,MATCH($D1775,Products!$A$2:$A$101,0))&amp;"","(not found)"))</f>
        <v/>
      </c>
      <c r="O1775" s="49" t="str">
        <f>IF($F1775="","",IFERROR(INDEX(Batches!$B$2:$B$301,MATCH($F1775,Batches!$A$2:$A$301,0))&amp;"","(not found)"))</f>
        <v/>
      </c>
      <c r="P1775" s="49" t="str">
        <f>IF(COUNTA($A1775:$L1775)=0,"",IF($A1775="","Missing: entry ID",IF(COUNTIF($A$2:$A$2001,$A1775)&gt;1,"Duplicate entry ID",IF(NOT(ISNUMBER($B1775)),"Missing or invalid: date",IF($C1775="","Missing: type",IF($D1775="","Missing: SKU",IF(NOT(ISNUMBER($E1775)),"Missing: qty",IF($F1775="","Missing: lot",IF($I1775="","Missing: source link",IF(COUNTIF(Config!$A$15:$A$34,$C1775)=0,"Unsupported type",IF(COUNTIF(Products!$A$2:$A$101,$D1775)=0,"Unknown SKU",IF(COUNTIFS(Batches!$A$2:$A$301,$F1775,Batches!$B$2:$B$301,$D1775)=0,"Unknown lot for this SKU",IF(AND($C1775="Adjustment",$G1775=""),"Missing: reason",IF(AND($G1775&lt;&gt;"",COUNTIF(Config!$B$15:$B$34,$G1775)=0),"Unsupported reason",IF(OR(INT($E1775)&lt;&gt;$E1775,AND(OR($C1775="Receipt",$C1775="Shipment"),$E1775&lt;=0),AND($C1775="Adjustment",$E1775=0)),"Invalid qty",IF($B1775&gt;Config!$B$4,"Date after the as-of date",IF($B1775&lt;Config!$B$5,"Date before the opening balance date","OK")))))))))))))))))</f>
        <v/>
      </c>
    </row>
    <row r="1776">
      <c r="A1776" s="46" t="n"/>
      <c r="B1776" s="54" t="n"/>
      <c r="C1776" s="46" t="n"/>
      <c r="D1776" s="46" t="n"/>
      <c r="E1776" s="55" t="n"/>
      <c r="F1776" s="46" t="n"/>
      <c r="G1776" s="46" t="n"/>
      <c r="H1776" s="46" t="n"/>
      <c r="I1776" s="46" t="n"/>
      <c r="J1776" s="46" t="n"/>
      <c r="K1776" s="46" t="n"/>
      <c r="L1776" s="46" t="n"/>
      <c r="M1776" s="51" t="str">
        <f>IF(NOT(ISNUMBER($E1776)),"",IF($C1776="Receipt",$E1776,IF($C1776="Shipment",-$E1776,IF($C1776="Adjustment",$E1776,0))))</f>
        <v/>
      </c>
      <c r="N1776" s="49" t="str">
        <f>IF($D1776="","",IFERROR(INDEX(Products!$B$2:$B$101,MATCH($D1776,Products!$A$2:$A$101,0))&amp;"","(not found)"))</f>
        <v/>
      </c>
      <c r="O1776" s="49" t="str">
        <f>IF($F1776="","",IFERROR(INDEX(Batches!$B$2:$B$301,MATCH($F1776,Batches!$A$2:$A$301,0))&amp;"","(not found)"))</f>
        <v/>
      </c>
      <c r="P1776" s="49" t="str">
        <f>IF(COUNTA($A1776:$L1776)=0,"",IF($A1776="","Missing: entry ID",IF(COUNTIF($A$2:$A$2001,$A1776)&gt;1,"Duplicate entry ID",IF(NOT(ISNUMBER($B1776)),"Missing or invalid: date",IF($C1776="","Missing: type",IF($D1776="","Missing: SKU",IF(NOT(ISNUMBER($E1776)),"Missing: qty",IF($F1776="","Missing: lot",IF($I1776="","Missing: source link",IF(COUNTIF(Config!$A$15:$A$34,$C1776)=0,"Unsupported type",IF(COUNTIF(Products!$A$2:$A$101,$D1776)=0,"Unknown SKU",IF(COUNTIFS(Batches!$A$2:$A$301,$F1776,Batches!$B$2:$B$301,$D1776)=0,"Unknown lot for this SKU",IF(AND($C1776="Adjustment",$G1776=""),"Missing: reason",IF(AND($G1776&lt;&gt;"",COUNTIF(Config!$B$15:$B$34,$G1776)=0),"Unsupported reason",IF(OR(INT($E1776)&lt;&gt;$E1776,AND(OR($C1776="Receipt",$C1776="Shipment"),$E1776&lt;=0),AND($C1776="Adjustment",$E1776=0)),"Invalid qty",IF($B1776&gt;Config!$B$4,"Date after the as-of date",IF($B1776&lt;Config!$B$5,"Date before the opening balance date","OK")))))))))))))))))</f>
        <v/>
      </c>
    </row>
    <row r="1777">
      <c r="A1777" s="46" t="n"/>
      <c r="B1777" s="54" t="n"/>
      <c r="C1777" s="46" t="n"/>
      <c r="D1777" s="46" t="n"/>
      <c r="E1777" s="55" t="n"/>
      <c r="F1777" s="46" t="n"/>
      <c r="G1777" s="46" t="n"/>
      <c r="H1777" s="46" t="n"/>
      <c r="I1777" s="46" t="n"/>
      <c r="J1777" s="46" t="n"/>
      <c r="K1777" s="46" t="n"/>
      <c r="L1777" s="46" t="n"/>
      <c r="M1777" s="51" t="str">
        <f>IF(NOT(ISNUMBER($E1777)),"",IF($C1777="Receipt",$E1777,IF($C1777="Shipment",-$E1777,IF($C1777="Adjustment",$E1777,0))))</f>
        <v/>
      </c>
      <c r="N1777" s="49" t="str">
        <f>IF($D1777="","",IFERROR(INDEX(Products!$B$2:$B$101,MATCH($D1777,Products!$A$2:$A$101,0))&amp;"","(not found)"))</f>
        <v/>
      </c>
      <c r="O1777" s="49" t="str">
        <f>IF($F1777="","",IFERROR(INDEX(Batches!$B$2:$B$301,MATCH($F1777,Batches!$A$2:$A$301,0))&amp;"","(not found)"))</f>
        <v/>
      </c>
      <c r="P1777" s="49" t="str">
        <f>IF(COUNTA($A1777:$L1777)=0,"",IF($A1777="","Missing: entry ID",IF(COUNTIF($A$2:$A$2001,$A1777)&gt;1,"Duplicate entry ID",IF(NOT(ISNUMBER($B1777)),"Missing or invalid: date",IF($C1777="","Missing: type",IF($D1777="","Missing: SKU",IF(NOT(ISNUMBER($E1777)),"Missing: qty",IF($F1777="","Missing: lot",IF($I1777="","Missing: source link",IF(COUNTIF(Config!$A$15:$A$34,$C1777)=0,"Unsupported type",IF(COUNTIF(Products!$A$2:$A$101,$D1777)=0,"Unknown SKU",IF(COUNTIFS(Batches!$A$2:$A$301,$F1777,Batches!$B$2:$B$301,$D1777)=0,"Unknown lot for this SKU",IF(AND($C1777="Adjustment",$G1777=""),"Missing: reason",IF(AND($G1777&lt;&gt;"",COUNTIF(Config!$B$15:$B$34,$G1777)=0),"Unsupported reason",IF(OR(INT($E1777)&lt;&gt;$E1777,AND(OR($C1777="Receipt",$C1777="Shipment"),$E1777&lt;=0),AND($C1777="Adjustment",$E1777=0)),"Invalid qty",IF($B1777&gt;Config!$B$4,"Date after the as-of date",IF($B1777&lt;Config!$B$5,"Date before the opening balance date","OK")))))))))))))))))</f>
        <v/>
      </c>
    </row>
    <row r="1778">
      <c r="A1778" s="46" t="n"/>
      <c r="B1778" s="54" t="n"/>
      <c r="C1778" s="46" t="n"/>
      <c r="D1778" s="46" t="n"/>
      <c r="E1778" s="55" t="n"/>
      <c r="F1778" s="46" t="n"/>
      <c r="G1778" s="46" t="n"/>
      <c r="H1778" s="46" t="n"/>
      <c r="I1778" s="46" t="n"/>
      <c r="J1778" s="46" t="n"/>
      <c r="K1778" s="46" t="n"/>
      <c r="L1778" s="46" t="n"/>
      <c r="M1778" s="51" t="str">
        <f>IF(NOT(ISNUMBER($E1778)),"",IF($C1778="Receipt",$E1778,IF($C1778="Shipment",-$E1778,IF($C1778="Adjustment",$E1778,0))))</f>
        <v/>
      </c>
      <c r="N1778" s="49" t="str">
        <f>IF($D1778="","",IFERROR(INDEX(Products!$B$2:$B$101,MATCH($D1778,Products!$A$2:$A$101,0))&amp;"","(not found)"))</f>
        <v/>
      </c>
      <c r="O1778" s="49" t="str">
        <f>IF($F1778="","",IFERROR(INDEX(Batches!$B$2:$B$301,MATCH($F1778,Batches!$A$2:$A$301,0))&amp;"","(not found)"))</f>
        <v/>
      </c>
      <c r="P1778" s="49" t="str">
        <f>IF(COUNTA($A1778:$L1778)=0,"",IF($A1778="","Missing: entry ID",IF(COUNTIF($A$2:$A$2001,$A1778)&gt;1,"Duplicate entry ID",IF(NOT(ISNUMBER($B1778)),"Missing or invalid: date",IF($C1778="","Missing: type",IF($D1778="","Missing: SKU",IF(NOT(ISNUMBER($E1778)),"Missing: qty",IF($F1778="","Missing: lot",IF($I1778="","Missing: source link",IF(COUNTIF(Config!$A$15:$A$34,$C1778)=0,"Unsupported type",IF(COUNTIF(Products!$A$2:$A$101,$D1778)=0,"Unknown SKU",IF(COUNTIFS(Batches!$A$2:$A$301,$F1778,Batches!$B$2:$B$301,$D1778)=0,"Unknown lot for this SKU",IF(AND($C1778="Adjustment",$G1778=""),"Missing: reason",IF(AND($G1778&lt;&gt;"",COUNTIF(Config!$B$15:$B$34,$G1778)=0),"Unsupported reason",IF(OR(INT($E1778)&lt;&gt;$E1778,AND(OR($C1778="Receipt",$C1778="Shipment"),$E1778&lt;=0),AND($C1778="Adjustment",$E1778=0)),"Invalid qty",IF($B1778&gt;Config!$B$4,"Date after the as-of date",IF($B1778&lt;Config!$B$5,"Date before the opening balance date","OK")))))))))))))))))</f>
        <v/>
      </c>
    </row>
    <row r="1779">
      <c r="A1779" s="46" t="n"/>
      <c r="B1779" s="54" t="n"/>
      <c r="C1779" s="46" t="n"/>
      <c r="D1779" s="46" t="n"/>
      <c r="E1779" s="55" t="n"/>
      <c r="F1779" s="46" t="n"/>
      <c r="G1779" s="46" t="n"/>
      <c r="H1779" s="46" t="n"/>
      <c r="I1779" s="46" t="n"/>
      <c r="J1779" s="46" t="n"/>
      <c r="K1779" s="46" t="n"/>
      <c r="L1779" s="46" t="n"/>
      <c r="M1779" s="51" t="str">
        <f>IF(NOT(ISNUMBER($E1779)),"",IF($C1779="Receipt",$E1779,IF($C1779="Shipment",-$E1779,IF($C1779="Adjustment",$E1779,0))))</f>
        <v/>
      </c>
      <c r="N1779" s="49" t="str">
        <f>IF($D1779="","",IFERROR(INDEX(Products!$B$2:$B$101,MATCH($D1779,Products!$A$2:$A$101,0))&amp;"","(not found)"))</f>
        <v/>
      </c>
      <c r="O1779" s="49" t="str">
        <f>IF($F1779="","",IFERROR(INDEX(Batches!$B$2:$B$301,MATCH($F1779,Batches!$A$2:$A$301,0))&amp;"","(not found)"))</f>
        <v/>
      </c>
      <c r="P1779" s="49" t="str">
        <f>IF(COUNTA($A1779:$L1779)=0,"",IF($A1779="","Missing: entry ID",IF(COUNTIF($A$2:$A$2001,$A1779)&gt;1,"Duplicate entry ID",IF(NOT(ISNUMBER($B1779)),"Missing or invalid: date",IF($C1779="","Missing: type",IF($D1779="","Missing: SKU",IF(NOT(ISNUMBER($E1779)),"Missing: qty",IF($F1779="","Missing: lot",IF($I1779="","Missing: source link",IF(COUNTIF(Config!$A$15:$A$34,$C1779)=0,"Unsupported type",IF(COUNTIF(Products!$A$2:$A$101,$D1779)=0,"Unknown SKU",IF(COUNTIFS(Batches!$A$2:$A$301,$F1779,Batches!$B$2:$B$301,$D1779)=0,"Unknown lot for this SKU",IF(AND($C1779="Adjustment",$G1779=""),"Missing: reason",IF(AND($G1779&lt;&gt;"",COUNTIF(Config!$B$15:$B$34,$G1779)=0),"Unsupported reason",IF(OR(INT($E1779)&lt;&gt;$E1779,AND(OR($C1779="Receipt",$C1779="Shipment"),$E1779&lt;=0),AND($C1779="Adjustment",$E1779=0)),"Invalid qty",IF($B1779&gt;Config!$B$4,"Date after the as-of date",IF($B1779&lt;Config!$B$5,"Date before the opening balance date","OK")))))))))))))))))</f>
        <v/>
      </c>
    </row>
    <row r="1780">
      <c r="A1780" s="46" t="n"/>
      <c r="B1780" s="54" t="n"/>
      <c r="C1780" s="46" t="n"/>
      <c r="D1780" s="46" t="n"/>
      <c r="E1780" s="55" t="n"/>
      <c r="F1780" s="46" t="n"/>
      <c r="G1780" s="46" t="n"/>
      <c r="H1780" s="46" t="n"/>
      <c r="I1780" s="46" t="n"/>
      <c r="J1780" s="46" t="n"/>
      <c r="K1780" s="46" t="n"/>
      <c r="L1780" s="46" t="n"/>
      <c r="M1780" s="51" t="str">
        <f>IF(NOT(ISNUMBER($E1780)),"",IF($C1780="Receipt",$E1780,IF($C1780="Shipment",-$E1780,IF($C1780="Adjustment",$E1780,0))))</f>
        <v/>
      </c>
      <c r="N1780" s="49" t="str">
        <f>IF($D1780="","",IFERROR(INDEX(Products!$B$2:$B$101,MATCH($D1780,Products!$A$2:$A$101,0))&amp;"","(not found)"))</f>
        <v/>
      </c>
      <c r="O1780" s="49" t="str">
        <f>IF($F1780="","",IFERROR(INDEX(Batches!$B$2:$B$301,MATCH($F1780,Batches!$A$2:$A$301,0))&amp;"","(not found)"))</f>
        <v/>
      </c>
      <c r="P1780" s="49" t="str">
        <f>IF(COUNTA($A1780:$L1780)=0,"",IF($A1780="","Missing: entry ID",IF(COUNTIF($A$2:$A$2001,$A1780)&gt;1,"Duplicate entry ID",IF(NOT(ISNUMBER($B1780)),"Missing or invalid: date",IF($C1780="","Missing: type",IF($D1780="","Missing: SKU",IF(NOT(ISNUMBER($E1780)),"Missing: qty",IF($F1780="","Missing: lot",IF($I1780="","Missing: source link",IF(COUNTIF(Config!$A$15:$A$34,$C1780)=0,"Unsupported type",IF(COUNTIF(Products!$A$2:$A$101,$D1780)=0,"Unknown SKU",IF(COUNTIFS(Batches!$A$2:$A$301,$F1780,Batches!$B$2:$B$301,$D1780)=0,"Unknown lot for this SKU",IF(AND($C1780="Adjustment",$G1780=""),"Missing: reason",IF(AND($G1780&lt;&gt;"",COUNTIF(Config!$B$15:$B$34,$G1780)=0),"Unsupported reason",IF(OR(INT($E1780)&lt;&gt;$E1780,AND(OR($C1780="Receipt",$C1780="Shipment"),$E1780&lt;=0),AND($C1780="Adjustment",$E1780=0)),"Invalid qty",IF($B1780&gt;Config!$B$4,"Date after the as-of date",IF($B1780&lt;Config!$B$5,"Date before the opening balance date","OK")))))))))))))))))</f>
        <v/>
      </c>
    </row>
    <row r="1781">
      <c r="A1781" s="46" t="n"/>
      <c r="B1781" s="54" t="n"/>
      <c r="C1781" s="46" t="n"/>
      <c r="D1781" s="46" t="n"/>
      <c r="E1781" s="55" t="n"/>
      <c r="F1781" s="46" t="n"/>
      <c r="G1781" s="46" t="n"/>
      <c r="H1781" s="46" t="n"/>
      <c r="I1781" s="46" t="n"/>
      <c r="J1781" s="46" t="n"/>
      <c r="K1781" s="46" t="n"/>
      <c r="L1781" s="46" t="n"/>
      <c r="M1781" s="51" t="str">
        <f>IF(NOT(ISNUMBER($E1781)),"",IF($C1781="Receipt",$E1781,IF($C1781="Shipment",-$E1781,IF($C1781="Adjustment",$E1781,0))))</f>
        <v/>
      </c>
      <c r="N1781" s="49" t="str">
        <f>IF($D1781="","",IFERROR(INDEX(Products!$B$2:$B$101,MATCH($D1781,Products!$A$2:$A$101,0))&amp;"","(not found)"))</f>
        <v/>
      </c>
      <c r="O1781" s="49" t="str">
        <f>IF($F1781="","",IFERROR(INDEX(Batches!$B$2:$B$301,MATCH($F1781,Batches!$A$2:$A$301,0))&amp;"","(not found)"))</f>
        <v/>
      </c>
      <c r="P1781" s="49" t="str">
        <f>IF(COUNTA($A1781:$L1781)=0,"",IF($A1781="","Missing: entry ID",IF(COUNTIF($A$2:$A$2001,$A1781)&gt;1,"Duplicate entry ID",IF(NOT(ISNUMBER($B1781)),"Missing or invalid: date",IF($C1781="","Missing: type",IF($D1781="","Missing: SKU",IF(NOT(ISNUMBER($E1781)),"Missing: qty",IF($F1781="","Missing: lot",IF($I1781="","Missing: source link",IF(COUNTIF(Config!$A$15:$A$34,$C1781)=0,"Unsupported type",IF(COUNTIF(Products!$A$2:$A$101,$D1781)=0,"Unknown SKU",IF(COUNTIFS(Batches!$A$2:$A$301,$F1781,Batches!$B$2:$B$301,$D1781)=0,"Unknown lot for this SKU",IF(AND($C1781="Adjustment",$G1781=""),"Missing: reason",IF(AND($G1781&lt;&gt;"",COUNTIF(Config!$B$15:$B$34,$G1781)=0),"Unsupported reason",IF(OR(INT($E1781)&lt;&gt;$E1781,AND(OR($C1781="Receipt",$C1781="Shipment"),$E1781&lt;=0),AND($C1781="Adjustment",$E1781=0)),"Invalid qty",IF($B1781&gt;Config!$B$4,"Date after the as-of date",IF($B1781&lt;Config!$B$5,"Date before the opening balance date","OK")))))))))))))))))</f>
        <v/>
      </c>
    </row>
    <row r="1782">
      <c r="A1782" s="46" t="n"/>
      <c r="B1782" s="54" t="n"/>
      <c r="C1782" s="46" t="n"/>
      <c r="D1782" s="46" t="n"/>
      <c r="E1782" s="55" t="n"/>
      <c r="F1782" s="46" t="n"/>
      <c r="G1782" s="46" t="n"/>
      <c r="H1782" s="46" t="n"/>
      <c r="I1782" s="46" t="n"/>
      <c r="J1782" s="46" t="n"/>
      <c r="K1782" s="46" t="n"/>
      <c r="L1782" s="46" t="n"/>
      <c r="M1782" s="51" t="str">
        <f>IF(NOT(ISNUMBER($E1782)),"",IF($C1782="Receipt",$E1782,IF($C1782="Shipment",-$E1782,IF($C1782="Adjustment",$E1782,0))))</f>
        <v/>
      </c>
      <c r="N1782" s="49" t="str">
        <f>IF($D1782="","",IFERROR(INDEX(Products!$B$2:$B$101,MATCH($D1782,Products!$A$2:$A$101,0))&amp;"","(not found)"))</f>
        <v/>
      </c>
      <c r="O1782" s="49" t="str">
        <f>IF($F1782="","",IFERROR(INDEX(Batches!$B$2:$B$301,MATCH($F1782,Batches!$A$2:$A$301,0))&amp;"","(not found)"))</f>
        <v/>
      </c>
      <c r="P1782" s="49" t="str">
        <f>IF(COUNTA($A1782:$L1782)=0,"",IF($A1782="","Missing: entry ID",IF(COUNTIF($A$2:$A$2001,$A1782)&gt;1,"Duplicate entry ID",IF(NOT(ISNUMBER($B1782)),"Missing or invalid: date",IF($C1782="","Missing: type",IF($D1782="","Missing: SKU",IF(NOT(ISNUMBER($E1782)),"Missing: qty",IF($F1782="","Missing: lot",IF($I1782="","Missing: source link",IF(COUNTIF(Config!$A$15:$A$34,$C1782)=0,"Unsupported type",IF(COUNTIF(Products!$A$2:$A$101,$D1782)=0,"Unknown SKU",IF(COUNTIFS(Batches!$A$2:$A$301,$F1782,Batches!$B$2:$B$301,$D1782)=0,"Unknown lot for this SKU",IF(AND($C1782="Adjustment",$G1782=""),"Missing: reason",IF(AND($G1782&lt;&gt;"",COUNTIF(Config!$B$15:$B$34,$G1782)=0),"Unsupported reason",IF(OR(INT($E1782)&lt;&gt;$E1782,AND(OR($C1782="Receipt",$C1782="Shipment"),$E1782&lt;=0),AND($C1782="Adjustment",$E1782=0)),"Invalid qty",IF($B1782&gt;Config!$B$4,"Date after the as-of date",IF($B1782&lt;Config!$B$5,"Date before the opening balance date","OK")))))))))))))))))</f>
        <v/>
      </c>
    </row>
    <row r="1783">
      <c r="A1783" s="46" t="n"/>
      <c r="B1783" s="54" t="n"/>
      <c r="C1783" s="46" t="n"/>
      <c r="D1783" s="46" t="n"/>
      <c r="E1783" s="55" t="n"/>
      <c r="F1783" s="46" t="n"/>
      <c r="G1783" s="46" t="n"/>
      <c r="H1783" s="46" t="n"/>
      <c r="I1783" s="46" t="n"/>
      <c r="J1783" s="46" t="n"/>
      <c r="K1783" s="46" t="n"/>
      <c r="L1783" s="46" t="n"/>
      <c r="M1783" s="51" t="str">
        <f>IF(NOT(ISNUMBER($E1783)),"",IF($C1783="Receipt",$E1783,IF($C1783="Shipment",-$E1783,IF($C1783="Adjustment",$E1783,0))))</f>
        <v/>
      </c>
      <c r="N1783" s="49" t="str">
        <f>IF($D1783="","",IFERROR(INDEX(Products!$B$2:$B$101,MATCH($D1783,Products!$A$2:$A$101,0))&amp;"","(not found)"))</f>
        <v/>
      </c>
      <c r="O1783" s="49" t="str">
        <f>IF($F1783="","",IFERROR(INDEX(Batches!$B$2:$B$301,MATCH($F1783,Batches!$A$2:$A$301,0))&amp;"","(not found)"))</f>
        <v/>
      </c>
      <c r="P1783" s="49" t="str">
        <f>IF(COUNTA($A1783:$L1783)=0,"",IF($A1783="","Missing: entry ID",IF(COUNTIF($A$2:$A$2001,$A1783)&gt;1,"Duplicate entry ID",IF(NOT(ISNUMBER($B1783)),"Missing or invalid: date",IF($C1783="","Missing: type",IF($D1783="","Missing: SKU",IF(NOT(ISNUMBER($E1783)),"Missing: qty",IF($F1783="","Missing: lot",IF($I1783="","Missing: source link",IF(COUNTIF(Config!$A$15:$A$34,$C1783)=0,"Unsupported type",IF(COUNTIF(Products!$A$2:$A$101,$D1783)=0,"Unknown SKU",IF(COUNTIFS(Batches!$A$2:$A$301,$F1783,Batches!$B$2:$B$301,$D1783)=0,"Unknown lot for this SKU",IF(AND($C1783="Adjustment",$G1783=""),"Missing: reason",IF(AND($G1783&lt;&gt;"",COUNTIF(Config!$B$15:$B$34,$G1783)=0),"Unsupported reason",IF(OR(INT($E1783)&lt;&gt;$E1783,AND(OR($C1783="Receipt",$C1783="Shipment"),$E1783&lt;=0),AND($C1783="Adjustment",$E1783=0)),"Invalid qty",IF($B1783&gt;Config!$B$4,"Date after the as-of date",IF($B1783&lt;Config!$B$5,"Date before the opening balance date","OK")))))))))))))))))</f>
        <v/>
      </c>
    </row>
    <row r="1784">
      <c r="A1784" s="46" t="n"/>
      <c r="B1784" s="54" t="n"/>
      <c r="C1784" s="46" t="n"/>
      <c r="D1784" s="46" t="n"/>
      <c r="E1784" s="55" t="n"/>
      <c r="F1784" s="46" t="n"/>
      <c r="G1784" s="46" t="n"/>
      <c r="H1784" s="46" t="n"/>
      <c r="I1784" s="46" t="n"/>
      <c r="J1784" s="46" t="n"/>
      <c r="K1784" s="46" t="n"/>
      <c r="L1784" s="46" t="n"/>
      <c r="M1784" s="51" t="str">
        <f>IF(NOT(ISNUMBER($E1784)),"",IF($C1784="Receipt",$E1784,IF($C1784="Shipment",-$E1784,IF($C1784="Adjustment",$E1784,0))))</f>
        <v/>
      </c>
      <c r="N1784" s="49" t="str">
        <f>IF($D1784="","",IFERROR(INDEX(Products!$B$2:$B$101,MATCH($D1784,Products!$A$2:$A$101,0))&amp;"","(not found)"))</f>
        <v/>
      </c>
      <c r="O1784" s="49" t="str">
        <f>IF($F1784="","",IFERROR(INDEX(Batches!$B$2:$B$301,MATCH($F1784,Batches!$A$2:$A$301,0))&amp;"","(not found)"))</f>
        <v/>
      </c>
      <c r="P1784" s="49" t="str">
        <f>IF(COUNTA($A1784:$L1784)=0,"",IF($A1784="","Missing: entry ID",IF(COUNTIF($A$2:$A$2001,$A1784)&gt;1,"Duplicate entry ID",IF(NOT(ISNUMBER($B1784)),"Missing or invalid: date",IF($C1784="","Missing: type",IF($D1784="","Missing: SKU",IF(NOT(ISNUMBER($E1784)),"Missing: qty",IF($F1784="","Missing: lot",IF($I1784="","Missing: source link",IF(COUNTIF(Config!$A$15:$A$34,$C1784)=0,"Unsupported type",IF(COUNTIF(Products!$A$2:$A$101,$D1784)=0,"Unknown SKU",IF(COUNTIFS(Batches!$A$2:$A$301,$F1784,Batches!$B$2:$B$301,$D1784)=0,"Unknown lot for this SKU",IF(AND($C1784="Adjustment",$G1784=""),"Missing: reason",IF(AND($G1784&lt;&gt;"",COUNTIF(Config!$B$15:$B$34,$G1784)=0),"Unsupported reason",IF(OR(INT($E1784)&lt;&gt;$E1784,AND(OR($C1784="Receipt",$C1784="Shipment"),$E1784&lt;=0),AND($C1784="Adjustment",$E1784=0)),"Invalid qty",IF($B1784&gt;Config!$B$4,"Date after the as-of date",IF($B1784&lt;Config!$B$5,"Date before the opening balance date","OK")))))))))))))))))</f>
        <v/>
      </c>
    </row>
    <row r="1785">
      <c r="A1785" s="46" t="n"/>
      <c r="B1785" s="54" t="n"/>
      <c r="C1785" s="46" t="n"/>
      <c r="D1785" s="46" t="n"/>
      <c r="E1785" s="55" t="n"/>
      <c r="F1785" s="46" t="n"/>
      <c r="G1785" s="46" t="n"/>
      <c r="H1785" s="46" t="n"/>
      <c r="I1785" s="46" t="n"/>
      <c r="J1785" s="46" t="n"/>
      <c r="K1785" s="46" t="n"/>
      <c r="L1785" s="46" t="n"/>
      <c r="M1785" s="51" t="str">
        <f>IF(NOT(ISNUMBER($E1785)),"",IF($C1785="Receipt",$E1785,IF($C1785="Shipment",-$E1785,IF($C1785="Adjustment",$E1785,0))))</f>
        <v/>
      </c>
      <c r="N1785" s="49" t="str">
        <f>IF($D1785="","",IFERROR(INDEX(Products!$B$2:$B$101,MATCH($D1785,Products!$A$2:$A$101,0))&amp;"","(not found)"))</f>
        <v/>
      </c>
      <c r="O1785" s="49" t="str">
        <f>IF($F1785="","",IFERROR(INDEX(Batches!$B$2:$B$301,MATCH($F1785,Batches!$A$2:$A$301,0))&amp;"","(not found)"))</f>
        <v/>
      </c>
      <c r="P1785" s="49" t="str">
        <f>IF(COUNTA($A1785:$L1785)=0,"",IF($A1785="","Missing: entry ID",IF(COUNTIF($A$2:$A$2001,$A1785)&gt;1,"Duplicate entry ID",IF(NOT(ISNUMBER($B1785)),"Missing or invalid: date",IF($C1785="","Missing: type",IF($D1785="","Missing: SKU",IF(NOT(ISNUMBER($E1785)),"Missing: qty",IF($F1785="","Missing: lot",IF($I1785="","Missing: source link",IF(COUNTIF(Config!$A$15:$A$34,$C1785)=0,"Unsupported type",IF(COUNTIF(Products!$A$2:$A$101,$D1785)=0,"Unknown SKU",IF(COUNTIFS(Batches!$A$2:$A$301,$F1785,Batches!$B$2:$B$301,$D1785)=0,"Unknown lot for this SKU",IF(AND($C1785="Adjustment",$G1785=""),"Missing: reason",IF(AND($G1785&lt;&gt;"",COUNTIF(Config!$B$15:$B$34,$G1785)=0),"Unsupported reason",IF(OR(INT($E1785)&lt;&gt;$E1785,AND(OR($C1785="Receipt",$C1785="Shipment"),$E1785&lt;=0),AND($C1785="Adjustment",$E1785=0)),"Invalid qty",IF($B1785&gt;Config!$B$4,"Date after the as-of date",IF($B1785&lt;Config!$B$5,"Date before the opening balance date","OK")))))))))))))))))</f>
        <v/>
      </c>
    </row>
    <row r="1786">
      <c r="A1786" s="46" t="n"/>
      <c r="B1786" s="54" t="n"/>
      <c r="C1786" s="46" t="n"/>
      <c r="D1786" s="46" t="n"/>
      <c r="E1786" s="55" t="n"/>
      <c r="F1786" s="46" t="n"/>
      <c r="G1786" s="46" t="n"/>
      <c r="H1786" s="46" t="n"/>
      <c r="I1786" s="46" t="n"/>
      <c r="J1786" s="46" t="n"/>
      <c r="K1786" s="46" t="n"/>
      <c r="L1786" s="46" t="n"/>
      <c r="M1786" s="51" t="str">
        <f>IF(NOT(ISNUMBER($E1786)),"",IF($C1786="Receipt",$E1786,IF($C1786="Shipment",-$E1786,IF($C1786="Adjustment",$E1786,0))))</f>
        <v/>
      </c>
      <c r="N1786" s="49" t="str">
        <f>IF($D1786="","",IFERROR(INDEX(Products!$B$2:$B$101,MATCH($D1786,Products!$A$2:$A$101,0))&amp;"","(not found)"))</f>
        <v/>
      </c>
      <c r="O1786" s="49" t="str">
        <f>IF($F1786="","",IFERROR(INDEX(Batches!$B$2:$B$301,MATCH($F1786,Batches!$A$2:$A$301,0))&amp;"","(not found)"))</f>
        <v/>
      </c>
      <c r="P1786" s="49" t="str">
        <f>IF(COUNTA($A1786:$L1786)=0,"",IF($A1786="","Missing: entry ID",IF(COUNTIF($A$2:$A$2001,$A1786)&gt;1,"Duplicate entry ID",IF(NOT(ISNUMBER($B1786)),"Missing or invalid: date",IF($C1786="","Missing: type",IF($D1786="","Missing: SKU",IF(NOT(ISNUMBER($E1786)),"Missing: qty",IF($F1786="","Missing: lot",IF($I1786="","Missing: source link",IF(COUNTIF(Config!$A$15:$A$34,$C1786)=0,"Unsupported type",IF(COUNTIF(Products!$A$2:$A$101,$D1786)=0,"Unknown SKU",IF(COUNTIFS(Batches!$A$2:$A$301,$F1786,Batches!$B$2:$B$301,$D1786)=0,"Unknown lot for this SKU",IF(AND($C1786="Adjustment",$G1786=""),"Missing: reason",IF(AND($G1786&lt;&gt;"",COUNTIF(Config!$B$15:$B$34,$G1786)=0),"Unsupported reason",IF(OR(INT($E1786)&lt;&gt;$E1786,AND(OR($C1786="Receipt",$C1786="Shipment"),$E1786&lt;=0),AND($C1786="Adjustment",$E1786=0)),"Invalid qty",IF($B1786&gt;Config!$B$4,"Date after the as-of date",IF($B1786&lt;Config!$B$5,"Date before the opening balance date","OK")))))))))))))))))</f>
        <v/>
      </c>
    </row>
    <row r="1787">
      <c r="A1787" s="46" t="n"/>
      <c r="B1787" s="54" t="n"/>
      <c r="C1787" s="46" t="n"/>
      <c r="D1787" s="46" t="n"/>
      <c r="E1787" s="55" t="n"/>
      <c r="F1787" s="46" t="n"/>
      <c r="G1787" s="46" t="n"/>
      <c r="H1787" s="46" t="n"/>
      <c r="I1787" s="46" t="n"/>
      <c r="J1787" s="46" t="n"/>
      <c r="K1787" s="46" t="n"/>
      <c r="L1787" s="46" t="n"/>
      <c r="M1787" s="51" t="str">
        <f>IF(NOT(ISNUMBER($E1787)),"",IF($C1787="Receipt",$E1787,IF($C1787="Shipment",-$E1787,IF($C1787="Adjustment",$E1787,0))))</f>
        <v/>
      </c>
      <c r="N1787" s="49" t="str">
        <f>IF($D1787="","",IFERROR(INDEX(Products!$B$2:$B$101,MATCH($D1787,Products!$A$2:$A$101,0))&amp;"","(not found)"))</f>
        <v/>
      </c>
      <c r="O1787" s="49" t="str">
        <f>IF($F1787="","",IFERROR(INDEX(Batches!$B$2:$B$301,MATCH($F1787,Batches!$A$2:$A$301,0))&amp;"","(not found)"))</f>
        <v/>
      </c>
      <c r="P1787" s="49" t="str">
        <f>IF(COUNTA($A1787:$L1787)=0,"",IF($A1787="","Missing: entry ID",IF(COUNTIF($A$2:$A$2001,$A1787)&gt;1,"Duplicate entry ID",IF(NOT(ISNUMBER($B1787)),"Missing or invalid: date",IF($C1787="","Missing: type",IF($D1787="","Missing: SKU",IF(NOT(ISNUMBER($E1787)),"Missing: qty",IF($F1787="","Missing: lot",IF($I1787="","Missing: source link",IF(COUNTIF(Config!$A$15:$A$34,$C1787)=0,"Unsupported type",IF(COUNTIF(Products!$A$2:$A$101,$D1787)=0,"Unknown SKU",IF(COUNTIFS(Batches!$A$2:$A$301,$F1787,Batches!$B$2:$B$301,$D1787)=0,"Unknown lot for this SKU",IF(AND($C1787="Adjustment",$G1787=""),"Missing: reason",IF(AND($G1787&lt;&gt;"",COUNTIF(Config!$B$15:$B$34,$G1787)=0),"Unsupported reason",IF(OR(INT($E1787)&lt;&gt;$E1787,AND(OR($C1787="Receipt",$C1787="Shipment"),$E1787&lt;=0),AND($C1787="Adjustment",$E1787=0)),"Invalid qty",IF($B1787&gt;Config!$B$4,"Date after the as-of date",IF($B1787&lt;Config!$B$5,"Date before the opening balance date","OK")))))))))))))))))</f>
        <v/>
      </c>
    </row>
    <row r="1788">
      <c r="A1788" s="46" t="n"/>
      <c r="B1788" s="54" t="n"/>
      <c r="C1788" s="46" t="n"/>
      <c r="D1788" s="46" t="n"/>
      <c r="E1788" s="55" t="n"/>
      <c r="F1788" s="46" t="n"/>
      <c r="G1788" s="46" t="n"/>
      <c r="H1788" s="46" t="n"/>
      <c r="I1788" s="46" t="n"/>
      <c r="J1788" s="46" t="n"/>
      <c r="K1788" s="46" t="n"/>
      <c r="L1788" s="46" t="n"/>
      <c r="M1788" s="51" t="str">
        <f>IF(NOT(ISNUMBER($E1788)),"",IF($C1788="Receipt",$E1788,IF($C1788="Shipment",-$E1788,IF($C1788="Adjustment",$E1788,0))))</f>
        <v/>
      </c>
      <c r="N1788" s="49" t="str">
        <f>IF($D1788="","",IFERROR(INDEX(Products!$B$2:$B$101,MATCH($D1788,Products!$A$2:$A$101,0))&amp;"","(not found)"))</f>
        <v/>
      </c>
      <c r="O1788" s="49" t="str">
        <f>IF($F1788="","",IFERROR(INDEX(Batches!$B$2:$B$301,MATCH($F1788,Batches!$A$2:$A$301,0))&amp;"","(not found)"))</f>
        <v/>
      </c>
      <c r="P1788" s="49" t="str">
        <f>IF(COUNTA($A1788:$L1788)=0,"",IF($A1788="","Missing: entry ID",IF(COUNTIF($A$2:$A$2001,$A1788)&gt;1,"Duplicate entry ID",IF(NOT(ISNUMBER($B1788)),"Missing or invalid: date",IF($C1788="","Missing: type",IF($D1788="","Missing: SKU",IF(NOT(ISNUMBER($E1788)),"Missing: qty",IF($F1788="","Missing: lot",IF($I1788="","Missing: source link",IF(COUNTIF(Config!$A$15:$A$34,$C1788)=0,"Unsupported type",IF(COUNTIF(Products!$A$2:$A$101,$D1788)=0,"Unknown SKU",IF(COUNTIFS(Batches!$A$2:$A$301,$F1788,Batches!$B$2:$B$301,$D1788)=0,"Unknown lot for this SKU",IF(AND($C1788="Adjustment",$G1788=""),"Missing: reason",IF(AND($G1788&lt;&gt;"",COUNTIF(Config!$B$15:$B$34,$G1788)=0),"Unsupported reason",IF(OR(INT($E1788)&lt;&gt;$E1788,AND(OR($C1788="Receipt",$C1788="Shipment"),$E1788&lt;=0),AND($C1788="Adjustment",$E1788=0)),"Invalid qty",IF($B1788&gt;Config!$B$4,"Date after the as-of date",IF($B1788&lt;Config!$B$5,"Date before the opening balance date","OK")))))))))))))))))</f>
        <v/>
      </c>
    </row>
    <row r="1789">
      <c r="A1789" s="46" t="n"/>
      <c r="B1789" s="54" t="n"/>
      <c r="C1789" s="46" t="n"/>
      <c r="D1789" s="46" t="n"/>
      <c r="E1789" s="55" t="n"/>
      <c r="F1789" s="46" t="n"/>
      <c r="G1789" s="46" t="n"/>
      <c r="H1789" s="46" t="n"/>
      <c r="I1789" s="46" t="n"/>
      <c r="J1789" s="46" t="n"/>
      <c r="K1789" s="46" t="n"/>
      <c r="L1789" s="46" t="n"/>
      <c r="M1789" s="51" t="str">
        <f>IF(NOT(ISNUMBER($E1789)),"",IF($C1789="Receipt",$E1789,IF($C1789="Shipment",-$E1789,IF($C1789="Adjustment",$E1789,0))))</f>
        <v/>
      </c>
      <c r="N1789" s="49" t="str">
        <f>IF($D1789="","",IFERROR(INDEX(Products!$B$2:$B$101,MATCH($D1789,Products!$A$2:$A$101,0))&amp;"","(not found)"))</f>
        <v/>
      </c>
      <c r="O1789" s="49" t="str">
        <f>IF($F1789="","",IFERROR(INDEX(Batches!$B$2:$B$301,MATCH($F1789,Batches!$A$2:$A$301,0))&amp;"","(not found)"))</f>
        <v/>
      </c>
      <c r="P1789" s="49" t="str">
        <f>IF(COUNTA($A1789:$L1789)=0,"",IF($A1789="","Missing: entry ID",IF(COUNTIF($A$2:$A$2001,$A1789)&gt;1,"Duplicate entry ID",IF(NOT(ISNUMBER($B1789)),"Missing or invalid: date",IF($C1789="","Missing: type",IF($D1789="","Missing: SKU",IF(NOT(ISNUMBER($E1789)),"Missing: qty",IF($F1789="","Missing: lot",IF($I1789="","Missing: source link",IF(COUNTIF(Config!$A$15:$A$34,$C1789)=0,"Unsupported type",IF(COUNTIF(Products!$A$2:$A$101,$D1789)=0,"Unknown SKU",IF(COUNTIFS(Batches!$A$2:$A$301,$F1789,Batches!$B$2:$B$301,$D1789)=0,"Unknown lot for this SKU",IF(AND($C1789="Adjustment",$G1789=""),"Missing: reason",IF(AND($G1789&lt;&gt;"",COUNTIF(Config!$B$15:$B$34,$G1789)=0),"Unsupported reason",IF(OR(INT($E1789)&lt;&gt;$E1789,AND(OR($C1789="Receipt",$C1789="Shipment"),$E1789&lt;=0),AND($C1789="Adjustment",$E1789=0)),"Invalid qty",IF($B1789&gt;Config!$B$4,"Date after the as-of date",IF($B1789&lt;Config!$B$5,"Date before the opening balance date","OK")))))))))))))))))</f>
        <v/>
      </c>
    </row>
    <row r="1790">
      <c r="A1790" s="46" t="n"/>
      <c r="B1790" s="54" t="n"/>
      <c r="C1790" s="46" t="n"/>
      <c r="D1790" s="46" t="n"/>
      <c r="E1790" s="55" t="n"/>
      <c r="F1790" s="46" t="n"/>
      <c r="G1790" s="46" t="n"/>
      <c r="H1790" s="46" t="n"/>
      <c r="I1790" s="46" t="n"/>
      <c r="J1790" s="46" t="n"/>
      <c r="K1790" s="46" t="n"/>
      <c r="L1790" s="46" t="n"/>
      <c r="M1790" s="51" t="str">
        <f>IF(NOT(ISNUMBER($E1790)),"",IF($C1790="Receipt",$E1790,IF($C1790="Shipment",-$E1790,IF($C1790="Adjustment",$E1790,0))))</f>
        <v/>
      </c>
      <c r="N1790" s="49" t="str">
        <f>IF($D1790="","",IFERROR(INDEX(Products!$B$2:$B$101,MATCH($D1790,Products!$A$2:$A$101,0))&amp;"","(not found)"))</f>
        <v/>
      </c>
      <c r="O1790" s="49" t="str">
        <f>IF($F1790="","",IFERROR(INDEX(Batches!$B$2:$B$301,MATCH($F1790,Batches!$A$2:$A$301,0))&amp;"","(not found)"))</f>
        <v/>
      </c>
      <c r="P1790" s="49" t="str">
        <f>IF(COUNTA($A1790:$L1790)=0,"",IF($A1790="","Missing: entry ID",IF(COUNTIF($A$2:$A$2001,$A1790)&gt;1,"Duplicate entry ID",IF(NOT(ISNUMBER($B1790)),"Missing or invalid: date",IF($C1790="","Missing: type",IF($D1790="","Missing: SKU",IF(NOT(ISNUMBER($E1790)),"Missing: qty",IF($F1790="","Missing: lot",IF($I1790="","Missing: source link",IF(COUNTIF(Config!$A$15:$A$34,$C1790)=0,"Unsupported type",IF(COUNTIF(Products!$A$2:$A$101,$D1790)=0,"Unknown SKU",IF(COUNTIFS(Batches!$A$2:$A$301,$F1790,Batches!$B$2:$B$301,$D1790)=0,"Unknown lot for this SKU",IF(AND($C1790="Adjustment",$G1790=""),"Missing: reason",IF(AND($G1790&lt;&gt;"",COUNTIF(Config!$B$15:$B$34,$G1790)=0),"Unsupported reason",IF(OR(INT($E1790)&lt;&gt;$E1790,AND(OR($C1790="Receipt",$C1790="Shipment"),$E1790&lt;=0),AND($C1790="Adjustment",$E1790=0)),"Invalid qty",IF($B1790&gt;Config!$B$4,"Date after the as-of date",IF($B1790&lt;Config!$B$5,"Date before the opening balance date","OK")))))))))))))))))</f>
        <v/>
      </c>
    </row>
    <row r="1791">
      <c r="A1791" s="46" t="n"/>
      <c r="B1791" s="54" t="n"/>
      <c r="C1791" s="46" t="n"/>
      <c r="D1791" s="46" t="n"/>
      <c r="E1791" s="55" t="n"/>
      <c r="F1791" s="46" t="n"/>
      <c r="G1791" s="46" t="n"/>
      <c r="H1791" s="46" t="n"/>
      <c r="I1791" s="46" t="n"/>
      <c r="J1791" s="46" t="n"/>
      <c r="K1791" s="46" t="n"/>
      <c r="L1791" s="46" t="n"/>
      <c r="M1791" s="51" t="str">
        <f>IF(NOT(ISNUMBER($E1791)),"",IF($C1791="Receipt",$E1791,IF($C1791="Shipment",-$E1791,IF($C1791="Adjustment",$E1791,0))))</f>
        <v/>
      </c>
      <c r="N1791" s="49" t="str">
        <f>IF($D1791="","",IFERROR(INDEX(Products!$B$2:$B$101,MATCH($D1791,Products!$A$2:$A$101,0))&amp;"","(not found)"))</f>
        <v/>
      </c>
      <c r="O1791" s="49" t="str">
        <f>IF($F1791="","",IFERROR(INDEX(Batches!$B$2:$B$301,MATCH($F1791,Batches!$A$2:$A$301,0))&amp;"","(not found)"))</f>
        <v/>
      </c>
      <c r="P1791" s="49" t="str">
        <f>IF(COUNTA($A1791:$L1791)=0,"",IF($A1791="","Missing: entry ID",IF(COUNTIF($A$2:$A$2001,$A1791)&gt;1,"Duplicate entry ID",IF(NOT(ISNUMBER($B1791)),"Missing or invalid: date",IF($C1791="","Missing: type",IF($D1791="","Missing: SKU",IF(NOT(ISNUMBER($E1791)),"Missing: qty",IF($F1791="","Missing: lot",IF($I1791="","Missing: source link",IF(COUNTIF(Config!$A$15:$A$34,$C1791)=0,"Unsupported type",IF(COUNTIF(Products!$A$2:$A$101,$D1791)=0,"Unknown SKU",IF(COUNTIFS(Batches!$A$2:$A$301,$F1791,Batches!$B$2:$B$301,$D1791)=0,"Unknown lot for this SKU",IF(AND($C1791="Adjustment",$G1791=""),"Missing: reason",IF(AND($G1791&lt;&gt;"",COUNTIF(Config!$B$15:$B$34,$G1791)=0),"Unsupported reason",IF(OR(INT($E1791)&lt;&gt;$E1791,AND(OR($C1791="Receipt",$C1791="Shipment"),$E1791&lt;=0),AND($C1791="Adjustment",$E1791=0)),"Invalid qty",IF($B1791&gt;Config!$B$4,"Date after the as-of date",IF($B1791&lt;Config!$B$5,"Date before the opening balance date","OK")))))))))))))))))</f>
        <v/>
      </c>
    </row>
    <row r="1792">
      <c r="A1792" s="46" t="n"/>
      <c r="B1792" s="54" t="n"/>
      <c r="C1792" s="46" t="n"/>
      <c r="D1792" s="46" t="n"/>
      <c r="E1792" s="55" t="n"/>
      <c r="F1792" s="46" t="n"/>
      <c r="G1792" s="46" t="n"/>
      <c r="H1792" s="46" t="n"/>
      <c r="I1792" s="46" t="n"/>
      <c r="J1792" s="46" t="n"/>
      <c r="K1792" s="46" t="n"/>
      <c r="L1792" s="46" t="n"/>
      <c r="M1792" s="51" t="str">
        <f>IF(NOT(ISNUMBER($E1792)),"",IF($C1792="Receipt",$E1792,IF($C1792="Shipment",-$E1792,IF($C1792="Adjustment",$E1792,0))))</f>
        <v/>
      </c>
      <c r="N1792" s="49" t="str">
        <f>IF($D1792="","",IFERROR(INDEX(Products!$B$2:$B$101,MATCH($D1792,Products!$A$2:$A$101,0))&amp;"","(not found)"))</f>
        <v/>
      </c>
      <c r="O1792" s="49" t="str">
        <f>IF($F1792="","",IFERROR(INDEX(Batches!$B$2:$B$301,MATCH($F1792,Batches!$A$2:$A$301,0))&amp;"","(not found)"))</f>
        <v/>
      </c>
      <c r="P1792" s="49" t="str">
        <f>IF(COUNTA($A1792:$L1792)=0,"",IF($A1792="","Missing: entry ID",IF(COUNTIF($A$2:$A$2001,$A1792)&gt;1,"Duplicate entry ID",IF(NOT(ISNUMBER($B1792)),"Missing or invalid: date",IF($C1792="","Missing: type",IF($D1792="","Missing: SKU",IF(NOT(ISNUMBER($E1792)),"Missing: qty",IF($F1792="","Missing: lot",IF($I1792="","Missing: source link",IF(COUNTIF(Config!$A$15:$A$34,$C1792)=0,"Unsupported type",IF(COUNTIF(Products!$A$2:$A$101,$D1792)=0,"Unknown SKU",IF(COUNTIFS(Batches!$A$2:$A$301,$F1792,Batches!$B$2:$B$301,$D1792)=0,"Unknown lot for this SKU",IF(AND($C1792="Adjustment",$G1792=""),"Missing: reason",IF(AND($G1792&lt;&gt;"",COUNTIF(Config!$B$15:$B$34,$G1792)=0),"Unsupported reason",IF(OR(INT($E1792)&lt;&gt;$E1792,AND(OR($C1792="Receipt",$C1792="Shipment"),$E1792&lt;=0),AND($C1792="Adjustment",$E1792=0)),"Invalid qty",IF($B1792&gt;Config!$B$4,"Date after the as-of date",IF($B1792&lt;Config!$B$5,"Date before the opening balance date","OK")))))))))))))))))</f>
        <v/>
      </c>
    </row>
    <row r="1793">
      <c r="A1793" s="46" t="n"/>
      <c r="B1793" s="54" t="n"/>
      <c r="C1793" s="46" t="n"/>
      <c r="D1793" s="46" t="n"/>
      <c r="E1793" s="55" t="n"/>
      <c r="F1793" s="46" t="n"/>
      <c r="G1793" s="46" t="n"/>
      <c r="H1793" s="46" t="n"/>
      <c r="I1793" s="46" t="n"/>
      <c r="J1793" s="46" t="n"/>
      <c r="K1793" s="46" t="n"/>
      <c r="L1793" s="46" t="n"/>
      <c r="M1793" s="51" t="str">
        <f>IF(NOT(ISNUMBER($E1793)),"",IF($C1793="Receipt",$E1793,IF($C1793="Shipment",-$E1793,IF($C1793="Adjustment",$E1793,0))))</f>
        <v/>
      </c>
      <c r="N1793" s="49" t="str">
        <f>IF($D1793="","",IFERROR(INDEX(Products!$B$2:$B$101,MATCH($D1793,Products!$A$2:$A$101,0))&amp;"","(not found)"))</f>
        <v/>
      </c>
      <c r="O1793" s="49" t="str">
        <f>IF($F1793="","",IFERROR(INDEX(Batches!$B$2:$B$301,MATCH($F1793,Batches!$A$2:$A$301,0))&amp;"","(not found)"))</f>
        <v/>
      </c>
      <c r="P1793" s="49" t="str">
        <f>IF(COUNTA($A1793:$L1793)=0,"",IF($A1793="","Missing: entry ID",IF(COUNTIF($A$2:$A$2001,$A1793)&gt;1,"Duplicate entry ID",IF(NOT(ISNUMBER($B1793)),"Missing or invalid: date",IF($C1793="","Missing: type",IF($D1793="","Missing: SKU",IF(NOT(ISNUMBER($E1793)),"Missing: qty",IF($F1793="","Missing: lot",IF($I1793="","Missing: source link",IF(COUNTIF(Config!$A$15:$A$34,$C1793)=0,"Unsupported type",IF(COUNTIF(Products!$A$2:$A$101,$D1793)=0,"Unknown SKU",IF(COUNTIFS(Batches!$A$2:$A$301,$F1793,Batches!$B$2:$B$301,$D1793)=0,"Unknown lot for this SKU",IF(AND($C1793="Adjustment",$G1793=""),"Missing: reason",IF(AND($G1793&lt;&gt;"",COUNTIF(Config!$B$15:$B$34,$G1793)=0),"Unsupported reason",IF(OR(INT($E1793)&lt;&gt;$E1793,AND(OR($C1793="Receipt",$C1793="Shipment"),$E1793&lt;=0),AND($C1793="Adjustment",$E1793=0)),"Invalid qty",IF($B1793&gt;Config!$B$4,"Date after the as-of date",IF($B1793&lt;Config!$B$5,"Date before the opening balance date","OK")))))))))))))))))</f>
        <v/>
      </c>
    </row>
    <row r="1794">
      <c r="A1794" s="46" t="n"/>
      <c r="B1794" s="54" t="n"/>
      <c r="C1794" s="46" t="n"/>
      <c r="D1794" s="46" t="n"/>
      <c r="E1794" s="55" t="n"/>
      <c r="F1794" s="46" t="n"/>
      <c r="G1794" s="46" t="n"/>
      <c r="H1794" s="46" t="n"/>
      <c r="I1794" s="46" t="n"/>
      <c r="J1794" s="46" t="n"/>
      <c r="K1794" s="46" t="n"/>
      <c r="L1794" s="46" t="n"/>
      <c r="M1794" s="51" t="str">
        <f>IF(NOT(ISNUMBER($E1794)),"",IF($C1794="Receipt",$E1794,IF($C1794="Shipment",-$E1794,IF($C1794="Adjustment",$E1794,0))))</f>
        <v/>
      </c>
      <c r="N1794" s="49" t="str">
        <f>IF($D1794="","",IFERROR(INDEX(Products!$B$2:$B$101,MATCH($D1794,Products!$A$2:$A$101,0))&amp;"","(not found)"))</f>
        <v/>
      </c>
      <c r="O1794" s="49" t="str">
        <f>IF($F1794="","",IFERROR(INDEX(Batches!$B$2:$B$301,MATCH($F1794,Batches!$A$2:$A$301,0))&amp;"","(not found)"))</f>
        <v/>
      </c>
      <c r="P1794" s="49" t="str">
        <f>IF(COUNTA($A1794:$L1794)=0,"",IF($A1794="","Missing: entry ID",IF(COUNTIF($A$2:$A$2001,$A1794)&gt;1,"Duplicate entry ID",IF(NOT(ISNUMBER($B1794)),"Missing or invalid: date",IF($C1794="","Missing: type",IF($D1794="","Missing: SKU",IF(NOT(ISNUMBER($E1794)),"Missing: qty",IF($F1794="","Missing: lot",IF($I1794="","Missing: source link",IF(COUNTIF(Config!$A$15:$A$34,$C1794)=0,"Unsupported type",IF(COUNTIF(Products!$A$2:$A$101,$D1794)=0,"Unknown SKU",IF(COUNTIFS(Batches!$A$2:$A$301,$F1794,Batches!$B$2:$B$301,$D1794)=0,"Unknown lot for this SKU",IF(AND($C1794="Adjustment",$G1794=""),"Missing: reason",IF(AND($G1794&lt;&gt;"",COUNTIF(Config!$B$15:$B$34,$G1794)=0),"Unsupported reason",IF(OR(INT($E1794)&lt;&gt;$E1794,AND(OR($C1794="Receipt",$C1794="Shipment"),$E1794&lt;=0),AND($C1794="Adjustment",$E1794=0)),"Invalid qty",IF($B1794&gt;Config!$B$4,"Date after the as-of date",IF($B1794&lt;Config!$B$5,"Date before the opening balance date","OK")))))))))))))))))</f>
        <v/>
      </c>
    </row>
    <row r="1795">
      <c r="A1795" s="46" t="n"/>
      <c r="B1795" s="54" t="n"/>
      <c r="C1795" s="46" t="n"/>
      <c r="D1795" s="46" t="n"/>
      <c r="E1795" s="55" t="n"/>
      <c r="F1795" s="46" t="n"/>
      <c r="G1795" s="46" t="n"/>
      <c r="H1795" s="46" t="n"/>
      <c r="I1795" s="46" t="n"/>
      <c r="J1795" s="46" t="n"/>
      <c r="K1795" s="46" t="n"/>
      <c r="L1795" s="46" t="n"/>
      <c r="M1795" s="51" t="str">
        <f>IF(NOT(ISNUMBER($E1795)),"",IF($C1795="Receipt",$E1795,IF($C1795="Shipment",-$E1795,IF($C1795="Adjustment",$E1795,0))))</f>
        <v/>
      </c>
      <c r="N1795" s="49" t="str">
        <f>IF($D1795="","",IFERROR(INDEX(Products!$B$2:$B$101,MATCH($D1795,Products!$A$2:$A$101,0))&amp;"","(not found)"))</f>
        <v/>
      </c>
      <c r="O1795" s="49" t="str">
        <f>IF($F1795="","",IFERROR(INDEX(Batches!$B$2:$B$301,MATCH($F1795,Batches!$A$2:$A$301,0))&amp;"","(not found)"))</f>
        <v/>
      </c>
      <c r="P1795" s="49" t="str">
        <f>IF(COUNTA($A1795:$L1795)=0,"",IF($A1795="","Missing: entry ID",IF(COUNTIF($A$2:$A$2001,$A1795)&gt;1,"Duplicate entry ID",IF(NOT(ISNUMBER($B1795)),"Missing or invalid: date",IF($C1795="","Missing: type",IF($D1795="","Missing: SKU",IF(NOT(ISNUMBER($E1795)),"Missing: qty",IF($F1795="","Missing: lot",IF($I1795="","Missing: source link",IF(COUNTIF(Config!$A$15:$A$34,$C1795)=0,"Unsupported type",IF(COUNTIF(Products!$A$2:$A$101,$D1795)=0,"Unknown SKU",IF(COUNTIFS(Batches!$A$2:$A$301,$F1795,Batches!$B$2:$B$301,$D1795)=0,"Unknown lot for this SKU",IF(AND($C1795="Adjustment",$G1795=""),"Missing: reason",IF(AND($G1795&lt;&gt;"",COUNTIF(Config!$B$15:$B$34,$G1795)=0),"Unsupported reason",IF(OR(INT($E1795)&lt;&gt;$E1795,AND(OR($C1795="Receipt",$C1795="Shipment"),$E1795&lt;=0),AND($C1795="Adjustment",$E1795=0)),"Invalid qty",IF($B1795&gt;Config!$B$4,"Date after the as-of date",IF($B1795&lt;Config!$B$5,"Date before the opening balance date","OK")))))))))))))))))</f>
        <v/>
      </c>
    </row>
    <row r="1796">
      <c r="A1796" s="46" t="n"/>
      <c r="B1796" s="54" t="n"/>
      <c r="C1796" s="46" t="n"/>
      <c r="D1796" s="46" t="n"/>
      <c r="E1796" s="55" t="n"/>
      <c r="F1796" s="46" t="n"/>
      <c r="G1796" s="46" t="n"/>
      <c r="H1796" s="46" t="n"/>
      <c r="I1796" s="46" t="n"/>
      <c r="J1796" s="46" t="n"/>
      <c r="K1796" s="46" t="n"/>
      <c r="L1796" s="46" t="n"/>
      <c r="M1796" s="51" t="str">
        <f>IF(NOT(ISNUMBER($E1796)),"",IF($C1796="Receipt",$E1796,IF($C1796="Shipment",-$E1796,IF($C1796="Adjustment",$E1796,0))))</f>
        <v/>
      </c>
      <c r="N1796" s="49" t="str">
        <f>IF($D1796="","",IFERROR(INDEX(Products!$B$2:$B$101,MATCH($D1796,Products!$A$2:$A$101,0))&amp;"","(not found)"))</f>
        <v/>
      </c>
      <c r="O1796" s="49" t="str">
        <f>IF($F1796="","",IFERROR(INDEX(Batches!$B$2:$B$301,MATCH($F1796,Batches!$A$2:$A$301,0))&amp;"","(not found)"))</f>
        <v/>
      </c>
      <c r="P1796" s="49" t="str">
        <f>IF(COUNTA($A1796:$L1796)=0,"",IF($A1796="","Missing: entry ID",IF(COUNTIF($A$2:$A$2001,$A1796)&gt;1,"Duplicate entry ID",IF(NOT(ISNUMBER($B1796)),"Missing or invalid: date",IF($C1796="","Missing: type",IF($D1796="","Missing: SKU",IF(NOT(ISNUMBER($E1796)),"Missing: qty",IF($F1796="","Missing: lot",IF($I1796="","Missing: source link",IF(COUNTIF(Config!$A$15:$A$34,$C1796)=0,"Unsupported type",IF(COUNTIF(Products!$A$2:$A$101,$D1796)=0,"Unknown SKU",IF(COUNTIFS(Batches!$A$2:$A$301,$F1796,Batches!$B$2:$B$301,$D1796)=0,"Unknown lot for this SKU",IF(AND($C1796="Adjustment",$G1796=""),"Missing: reason",IF(AND($G1796&lt;&gt;"",COUNTIF(Config!$B$15:$B$34,$G1796)=0),"Unsupported reason",IF(OR(INT($E1796)&lt;&gt;$E1796,AND(OR($C1796="Receipt",$C1796="Shipment"),$E1796&lt;=0),AND($C1796="Adjustment",$E1796=0)),"Invalid qty",IF($B1796&gt;Config!$B$4,"Date after the as-of date",IF($B1796&lt;Config!$B$5,"Date before the opening balance date","OK")))))))))))))))))</f>
        <v/>
      </c>
    </row>
    <row r="1797">
      <c r="A1797" s="46" t="n"/>
      <c r="B1797" s="54" t="n"/>
      <c r="C1797" s="46" t="n"/>
      <c r="D1797" s="46" t="n"/>
      <c r="E1797" s="55" t="n"/>
      <c r="F1797" s="46" t="n"/>
      <c r="G1797" s="46" t="n"/>
      <c r="H1797" s="46" t="n"/>
      <c r="I1797" s="46" t="n"/>
      <c r="J1797" s="46" t="n"/>
      <c r="K1797" s="46" t="n"/>
      <c r="L1797" s="46" t="n"/>
      <c r="M1797" s="51" t="str">
        <f>IF(NOT(ISNUMBER($E1797)),"",IF($C1797="Receipt",$E1797,IF($C1797="Shipment",-$E1797,IF($C1797="Adjustment",$E1797,0))))</f>
        <v/>
      </c>
      <c r="N1797" s="49" t="str">
        <f>IF($D1797="","",IFERROR(INDEX(Products!$B$2:$B$101,MATCH($D1797,Products!$A$2:$A$101,0))&amp;"","(not found)"))</f>
        <v/>
      </c>
      <c r="O1797" s="49" t="str">
        <f>IF($F1797="","",IFERROR(INDEX(Batches!$B$2:$B$301,MATCH($F1797,Batches!$A$2:$A$301,0))&amp;"","(not found)"))</f>
        <v/>
      </c>
      <c r="P1797" s="49" t="str">
        <f>IF(COUNTA($A1797:$L1797)=0,"",IF($A1797="","Missing: entry ID",IF(COUNTIF($A$2:$A$2001,$A1797)&gt;1,"Duplicate entry ID",IF(NOT(ISNUMBER($B1797)),"Missing or invalid: date",IF($C1797="","Missing: type",IF($D1797="","Missing: SKU",IF(NOT(ISNUMBER($E1797)),"Missing: qty",IF($F1797="","Missing: lot",IF($I1797="","Missing: source link",IF(COUNTIF(Config!$A$15:$A$34,$C1797)=0,"Unsupported type",IF(COUNTIF(Products!$A$2:$A$101,$D1797)=0,"Unknown SKU",IF(COUNTIFS(Batches!$A$2:$A$301,$F1797,Batches!$B$2:$B$301,$D1797)=0,"Unknown lot for this SKU",IF(AND($C1797="Adjustment",$G1797=""),"Missing: reason",IF(AND($G1797&lt;&gt;"",COUNTIF(Config!$B$15:$B$34,$G1797)=0),"Unsupported reason",IF(OR(INT($E1797)&lt;&gt;$E1797,AND(OR($C1797="Receipt",$C1797="Shipment"),$E1797&lt;=0),AND($C1797="Adjustment",$E1797=0)),"Invalid qty",IF($B1797&gt;Config!$B$4,"Date after the as-of date",IF($B1797&lt;Config!$B$5,"Date before the opening balance date","OK")))))))))))))))))</f>
        <v/>
      </c>
    </row>
    <row r="1798">
      <c r="A1798" s="46" t="n"/>
      <c r="B1798" s="54" t="n"/>
      <c r="C1798" s="46" t="n"/>
      <c r="D1798" s="46" t="n"/>
      <c r="E1798" s="55" t="n"/>
      <c r="F1798" s="46" t="n"/>
      <c r="G1798" s="46" t="n"/>
      <c r="H1798" s="46" t="n"/>
      <c r="I1798" s="46" t="n"/>
      <c r="J1798" s="46" t="n"/>
      <c r="K1798" s="46" t="n"/>
      <c r="L1798" s="46" t="n"/>
      <c r="M1798" s="51" t="str">
        <f>IF(NOT(ISNUMBER($E1798)),"",IF($C1798="Receipt",$E1798,IF($C1798="Shipment",-$E1798,IF($C1798="Adjustment",$E1798,0))))</f>
        <v/>
      </c>
      <c r="N1798" s="49" t="str">
        <f>IF($D1798="","",IFERROR(INDEX(Products!$B$2:$B$101,MATCH($D1798,Products!$A$2:$A$101,0))&amp;"","(not found)"))</f>
        <v/>
      </c>
      <c r="O1798" s="49" t="str">
        <f>IF($F1798="","",IFERROR(INDEX(Batches!$B$2:$B$301,MATCH($F1798,Batches!$A$2:$A$301,0))&amp;"","(not found)"))</f>
        <v/>
      </c>
      <c r="P1798" s="49" t="str">
        <f>IF(COUNTA($A1798:$L1798)=0,"",IF($A1798="","Missing: entry ID",IF(COUNTIF($A$2:$A$2001,$A1798)&gt;1,"Duplicate entry ID",IF(NOT(ISNUMBER($B1798)),"Missing or invalid: date",IF($C1798="","Missing: type",IF($D1798="","Missing: SKU",IF(NOT(ISNUMBER($E1798)),"Missing: qty",IF($F1798="","Missing: lot",IF($I1798="","Missing: source link",IF(COUNTIF(Config!$A$15:$A$34,$C1798)=0,"Unsupported type",IF(COUNTIF(Products!$A$2:$A$101,$D1798)=0,"Unknown SKU",IF(COUNTIFS(Batches!$A$2:$A$301,$F1798,Batches!$B$2:$B$301,$D1798)=0,"Unknown lot for this SKU",IF(AND($C1798="Adjustment",$G1798=""),"Missing: reason",IF(AND($G1798&lt;&gt;"",COUNTIF(Config!$B$15:$B$34,$G1798)=0),"Unsupported reason",IF(OR(INT($E1798)&lt;&gt;$E1798,AND(OR($C1798="Receipt",$C1798="Shipment"),$E1798&lt;=0),AND($C1798="Adjustment",$E1798=0)),"Invalid qty",IF($B1798&gt;Config!$B$4,"Date after the as-of date",IF($B1798&lt;Config!$B$5,"Date before the opening balance date","OK")))))))))))))))))</f>
        <v/>
      </c>
    </row>
    <row r="1799">
      <c r="A1799" s="46" t="n"/>
      <c r="B1799" s="54" t="n"/>
      <c r="C1799" s="46" t="n"/>
      <c r="D1799" s="46" t="n"/>
      <c r="E1799" s="55" t="n"/>
      <c r="F1799" s="46" t="n"/>
      <c r="G1799" s="46" t="n"/>
      <c r="H1799" s="46" t="n"/>
      <c r="I1799" s="46" t="n"/>
      <c r="J1799" s="46" t="n"/>
      <c r="K1799" s="46" t="n"/>
      <c r="L1799" s="46" t="n"/>
      <c r="M1799" s="51" t="str">
        <f>IF(NOT(ISNUMBER($E1799)),"",IF($C1799="Receipt",$E1799,IF($C1799="Shipment",-$E1799,IF($C1799="Adjustment",$E1799,0))))</f>
        <v/>
      </c>
      <c r="N1799" s="49" t="str">
        <f>IF($D1799="","",IFERROR(INDEX(Products!$B$2:$B$101,MATCH($D1799,Products!$A$2:$A$101,0))&amp;"","(not found)"))</f>
        <v/>
      </c>
      <c r="O1799" s="49" t="str">
        <f>IF($F1799="","",IFERROR(INDEX(Batches!$B$2:$B$301,MATCH($F1799,Batches!$A$2:$A$301,0))&amp;"","(not found)"))</f>
        <v/>
      </c>
      <c r="P1799" s="49" t="str">
        <f>IF(COUNTA($A1799:$L1799)=0,"",IF($A1799="","Missing: entry ID",IF(COUNTIF($A$2:$A$2001,$A1799)&gt;1,"Duplicate entry ID",IF(NOT(ISNUMBER($B1799)),"Missing or invalid: date",IF($C1799="","Missing: type",IF($D1799="","Missing: SKU",IF(NOT(ISNUMBER($E1799)),"Missing: qty",IF($F1799="","Missing: lot",IF($I1799="","Missing: source link",IF(COUNTIF(Config!$A$15:$A$34,$C1799)=0,"Unsupported type",IF(COUNTIF(Products!$A$2:$A$101,$D1799)=0,"Unknown SKU",IF(COUNTIFS(Batches!$A$2:$A$301,$F1799,Batches!$B$2:$B$301,$D1799)=0,"Unknown lot for this SKU",IF(AND($C1799="Adjustment",$G1799=""),"Missing: reason",IF(AND($G1799&lt;&gt;"",COUNTIF(Config!$B$15:$B$34,$G1799)=0),"Unsupported reason",IF(OR(INT($E1799)&lt;&gt;$E1799,AND(OR($C1799="Receipt",$C1799="Shipment"),$E1799&lt;=0),AND($C1799="Adjustment",$E1799=0)),"Invalid qty",IF($B1799&gt;Config!$B$4,"Date after the as-of date",IF($B1799&lt;Config!$B$5,"Date before the opening balance date","OK")))))))))))))))))</f>
        <v/>
      </c>
    </row>
    <row r="1800">
      <c r="A1800" s="46" t="n"/>
      <c r="B1800" s="54" t="n"/>
      <c r="C1800" s="46" t="n"/>
      <c r="D1800" s="46" t="n"/>
      <c r="E1800" s="55" t="n"/>
      <c r="F1800" s="46" t="n"/>
      <c r="G1800" s="46" t="n"/>
      <c r="H1800" s="46" t="n"/>
      <c r="I1800" s="46" t="n"/>
      <c r="J1800" s="46" t="n"/>
      <c r="K1800" s="46" t="n"/>
      <c r="L1800" s="46" t="n"/>
      <c r="M1800" s="51" t="str">
        <f>IF(NOT(ISNUMBER($E1800)),"",IF($C1800="Receipt",$E1800,IF($C1800="Shipment",-$E1800,IF($C1800="Adjustment",$E1800,0))))</f>
        <v/>
      </c>
      <c r="N1800" s="49" t="str">
        <f>IF($D1800="","",IFERROR(INDEX(Products!$B$2:$B$101,MATCH($D1800,Products!$A$2:$A$101,0))&amp;"","(not found)"))</f>
        <v/>
      </c>
      <c r="O1800" s="49" t="str">
        <f>IF($F1800="","",IFERROR(INDEX(Batches!$B$2:$B$301,MATCH($F1800,Batches!$A$2:$A$301,0))&amp;"","(not found)"))</f>
        <v/>
      </c>
      <c r="P1800" s="49" t="str">
        <f>IF(COUNTA($A1800:$L1800)=0,"",IF($A1800="","Missing: entry ID",IF(COUNTIF($A$2:$A$2001,$A1800)&gt;1,"Duplicate entry ID",IF(NOT(ISNUMBER($B1800)),"Missing or invalid: date",IF($C1800="","Missing: type",IF($D1800="","Missing: SKU",IF(NOT(ISNUMBER($E1800)),"Missing: qty",IF($F1800="","Missing: lot",IF($I1800="","Missing: source link",IF(COUNTIF(Config!$A$15:$A$34,$C1800)=0,"Unsupported type",IF(COUNTIF(Products!$A$2:$A$101,$D1800)=0,"Unknown SKU",IF(COUNTIFS(Batches!$A$2:$A$301,$F1800,Batches!$B$2:$B$301,$D1800)=0,"Unknown lot for this SKU",IF(AND($C1800="Adjustment",$G1800=""),"Missing: reason",IF(AND($G1800&lt;&gt;"",COUNTIF(Config!$B$15:$B$34,$G1800)=0),"Unsupported reason",IF(OR(INT($E1800)&lt;&gt;$E1800,AND(OR($C1800="Receipt",$C1800="Shipment"),$E1800&lt;=0),AND($C1800="Adjustment",$E1800=0)),"Invalid qty",IF($B1800&gt;Config!$B$4,"Date after the as-of date",IF($B1800&lt;Config!$B$5,"Date before the opening balance date","OK")))))))))))))))))</f>
        <v/>
      </c>
    </row>
    <row r="1801">
      <c r="A1801" s="46" t="n"/>
      <c r="B1801" s="54" t="n"/>
      <c r="C1801" s="46" t="n"/>
      <c r="D1801" s="46" t="n"/>
      <c r="E1801" s="55" t="n"/>
      <c r="F1801" s="46" t="n"/>
      <c r="G1801" s="46" t="n"/>
      <c r="H1801" s="46" t="n"/>
      <c r="I1801" s="46" t="n"/>
      <c r="J1801" s="46" t="n"/>
      <c r="K1801" s="46" t="n"/>
      <c r="L1801" s="46" t="n"/>
      <c r="M1801" s="51" t="str">
        <f>IF(NOT(ISNUMBER($E1801)),"",IF($C1801="Receipt",$E1801,IF($C1801="Shipment",-$E1801,IF($C1801="Adjustment",$E1801,0))))</f>
        <v/>
      </c>
      <c r="N1801" s="49" t="str">
        <f>IF($D1801="","",IFERROR(INDEX(Products!$B$2:$B$101,MATCH($D1801,Products!$A$2:$A$101,0))&amp;"","(not found)"))</f>
        <v/>
      </c>
      <c r="O1801" s="49" t="str">
        <f>IF($F1801="","",IFERROR(INDEX(Batches!$B$2:$B$301,MATCH($F1801,Batches!$A$2:$A$301,0))&amp;"","(not found)"))</f>
        <v/>
      </c>
      <c r="P1801" s="49" t="str">
        <f>IF(COUNTA($A1801:$L1801)=0,"",IF($A1801="","Missing: entry ID",IF(COUNTIF($A$2:$A$2001,$A1801)&gt;1,"Duplicate entry ID",IF(NOT(ISNUMBER($B1801)),"Missing or invalid: date",IF($C1801="","Missing: type",IF($D1801="","Missing: SKU",IF(NOT(ISNUMBER($E1801)),"Missing: qty",IF($F1801="","Missing: lot",IF($I1801="","Missing: source link",IF(COUNTIF(Config!$A$15:$A$34,$C1801)=0,"Unsupported type",IF(COUNTIF(Products!$A$2:$A$101,$D1801)=0,"Unknown SKU",IF(COUNTIFS(Batches!$A$2:$A$301,$F1801,Batches!$B$2:$B$301,$D1801)=0,"Unknown lot for this SKU",IF(AND($C1801="Adjustment",$G1801=""),"Missing: reason",IF(AND($G1801&lt;&gt;"",COUNTIF(Config!$B$15:$B$34,$G1801)=0),"Unsupported reason",IF(OR(INT($E1801)&lt;&gt;$E1801,AND(OR($C1801="Receipt",$C1801="Shipment"),$E1801&lt;=0),AND($C1801="Adjustment",$E1801=0)),"Invalid qty",IF($B1801&gt;Config!$B$4,"Date after the as-of date",IF($B1801&lt;Config!$B$5,"Date before the opening balance date","OK")))))))))))))))))</f>
        <v/>
      </c>
    </row>
    <row r="1802">
      <c r="A1802" s="46" t="n"/>
      <c r="B1802" s="54" t="n"/>
      <c r="C1802" s="46" t="n"/>
      <c r="D1802" s="46" t="n"/>
      <c r="E1802" s="55" t="n"/>
      <c r="F1802" s="46" t="n"/>
      <c r="G1802" s="46" t="n"/>
      <c r="H1802" s="46" t="n"/>
      <c r="I1802" s="46" t="n"/>
      <c r="J1802" s="46" t="n"/>
      <c r="K1802" s="46" t="n"/>
      <c r="L1802" s="46" t="n"/>
      <c r="M1802" s="51" t="str">
        <f>IF(NOT(ISNUMBER($E1802)),"",IF($C1802="Receipt",$E1802,IF($C1802="Shipment",-$E1802,IF($C1802="Adjustment",$E1802,0))))</f>
        <v/>
      </c>
      <c r="N1802" s="49" t="str">
        <f>IF($D1802="","",IFERROR(INDEX(Products!$B$2:$B$101,MATCH($D1802,Products!$A$2:$A$101,0))&amp;"","(not found)"))</f>
        <v/>
      </c>
      <c r="O1802" s="49" t="str">
        <f>IF($F1802="","",IFERROR(INDEX(Batches!$B$2:$B$301,MATCH($F1802,Batches!$A$2:$A$301,0))&amp;"","(not found)"))</f>
        <v/>
      </c>
      <c r="P1802" s="49" t="str">
        <f>IF(COUNTA($A1802:$L1802)=0,"",IF($A1802="","Missing: entry ID",IF(COUNTIF($A$2:$A$2001,$A1802)&gt;1,"Duplicate entry ID",IF(NOT(ISNUMBER($B1802)),"Missing or invalid: date",IF($C1802="","Missing: type",IF($D1802="","Missing: SKU",IF(NOT(ISNUMBER($E1802)),"Missing: qty",IF($F1802="","Missing: lot",IF($I1802="","Missing: source link",IF(COUNTIF(Config!$A$15:$A$34,$C1802)=0,"Unsupported type",IF(COUNTIF(Products!$A$2:$A$101,$D1802)=0,"Unknown SKU",IF(COUNTIFS(Batches!$A$2:$A$301,$F1802,Batches!$B$2:$B$301,$D1802)=0,"Unknown lot for this SKU",IF(AND($C1802="Adjustment",$G1802=""),"Missing: reason",IF(AND($G1802&lt;&gt;"",COUNTIF(Config!$B$15:$B$34,$G1802)=0),"Unsupported reason",IF(OR(INT($E1802)&lt;&gt;$E1802,AND(OR($C1802="Receipt",$C1802="Shipment"),$E1802&lt;=0),AND($C1802="Adjustment",$E1802=0)),"Invalid qty",IF($B1802&gt;Config!$B$4,"Date after the as-of date",IF($B1802&lt;Config!$B$5,"Date before the opening balance date","OK")))))))))))))))))</f>
        <v/>
      </c>
    </row>
    <row r="1803">
      <c r="A1803" s="46" t="n"/>
      <c r="B1803" s="54" t="n"/>
      <c r="C1803" s="46" t="n"/>
      <c r="D1803" s="46" t="n"/>
      <c r="E1803" s="55" t="n"/>
      <c r="F1803" s="46" t="n"/>
      <c r="G1803" s="46" t="n"/>
      <c r="H1803" s="46" t="n"/>
      <c r="I1803" s="46" t="n"/>
      <c r="J1803" s="46" t="n"/>
      <c r="K1803" s="46" t="n"/>
      <c r="L1803" s="46" t="n"/>
      <c r="M1803" s="51" t="str">
        <f>IF(NOT(ISNUMBER($E1803)),"",IF($C1803="Receipt",$E1803,IF($C1803="Shipment",-$E1803,IF($C1803="Adjustment",$E1803,0))))</f>
        <v/>
      </c>
      <c r="N1803" s="49" t="str">
        <f>IF($D1803="","",IFERROR(INDEX(Products!$B$2:$B$101,MATCH($D1803,Products!$A$2:$A$101,0))&amp;"","(not found)"))</f>
        <v/>
      </c>
      <c r="O1803" s="49" t="str">
        <f>IF($F1803="","",IFERROR(INDEX(Batches!$B$2:$B$301,MATCH($F1803,Batches!$A$2:$A$301,0))&amp;"","(not found)"))</f>
        <v/>
      </c>
      <c r="P1803" s="49" t="str">
        <f>IF(COUNTA($A1803:$L1803)=0,"",IF($A1803="","Missing: entry ID",IF(COUNTIF($A$2:$A$2001,$A1803)&gt;1,"Duplicate entry ID",IF(NOT(ISNUMBER($B1803)),"Missing or invalid: date",IF($C1803="","Missing: type",IF($D1803="","Missing: SKU",IF(NOT(ISNUMBER($E1803)),"Missing: qty",IF($F1803="","Missing: lot",IF($I1803="","Missing: source link",IF(COUNTIF(Config!$A$15:$A$34,$C1803)=0,"Unsupported type",IF(COUNTIF(Products!$A$2:$A$101,$D1803)=0,"Unknown SKU",IF(COUNTIFS(Batches!$A$2:$A$301,$F1803,Batches!$B$2:$B$301,$D1803)=0,"Unknown lot for this SKU",IF(AND($C1803="Adjustment",$G1803=""),"Missing: reason",IF(AND($G1803&lt;&gt;"",COUNTIF(Config!$B$15:$B$34,$G1803)=0),"Unsupported reason",IF(OR(INT($E1803)&lt;&gt;$E1803,AND(OR($C1803="Receipt",$C1803="Shipment"),$E1803&lt;=0),AND($C1803="Adjustment",$E1803=0)),"Invalid qty",IF($B1803&gt;Config!$B$4,"Date after the as-of date",IF($B1803&lt;Config!$B$5,"Date before the opening balance date","OK")))))))))))))))))</f>
        <v/>
      </c>
    </row>
    <row r="1804">
      <c r="A1804" s="46" t="n"/>
      <c r="B1804" s="54" t="n"/>
      <c r="C1804" s="46" t="n"/>
      <c r="D1804" s="46" t="n"/>
      <c r="E1804" s="55" t="n"/>
      <c r="F1804" s="46" t="n"/>
      <c r="G1804" s="46" t="n"/>
      <c r="H1804" s="46" t="n"/>
      <c r="I1804" s="46" t="n"/>
      <c r="J1804" s="46" t="n"/>
      <c r="K1804" s="46" t="n"/>
      <c r="L1804" s="46" t="n"/>
      <c r="M1804" s="51" t="str">
        <f>IF(NOT(ISNUMBER($E1804)),"",IF($C1804="Receipt",$E1804,IF($C1804="Shipment",-$E1804,IF($C1804="Adjustment",$E1804,0))))</f>
        <v/>
      </c>
      <c r="N1804" s="49" t="str">
        <f>IF($D1804="","",IFERROR(INDEX(Products!$B$2:$B$101,MATCH($D1804,Products!$A$2:$A$101,0))&amp;"","(not found)"))</f>
        <v/>
      </c>
      <c r="O1804" s="49" t="str">
        <f>IF($F1804="","",IFERROR(INDEX(Batches!$B$2:$B$301,MATCH($F1804,Batches!$A$2:$A$301,0))&amp;"","(not found)"))</f>
        <v/>
      </c>
      <c r="P1804" s="49" t="str">
        <f>IF(COUNTA($A1804:$L1804)=0,"",IF($A1804="","Missing: entry ID",IF(COUNTIF($A$2:$A$2001,$A1804)&gt;1,"Duplicate entry ID",IF(NOT(ISNUMBER($B1804)),"Missing or invalid: date",IF($C1804="","Missing: type",IF($D1804="","Missing: SKU",IF(NOT(ISNUMBER($E1804)),"Missing: qty",IF($F1804="","Missing: lot",IF($I1804="","Missing: source link",IF(COUNTIF(Config!$A$15:$A$34,$C1804)=0,"Unsupported type",IF(COUNTIF(Products!$A$2:$A$101,$D1804)=0,"Unknown SKU",IF(COUNTIFS(Batches!$A$2:$A$301,$F1804,Batches!$B$2:$B$301,$D1804)=0,"Unknown lot for this SKU",IF(AND($C1804="Adjustment",$G1804=""),"Missing: reason",IF(AND($G1804&lt;&gt;"",COUNTIF(Config!$B$15:$B$34,$G1804)=0),"Unsupported reason",IF(OR(INT($E1804)&lt;&gt;$E1804,AND(OR($C1804="Receipt",$C1804="Shipment"),$E1804&lt;=0),AND($C1804="Adjustment",$E1804=0)),"Invalid qty",IF($B1804&gt;Config!$B$4,"Date after the as-of date",IF($B1804&lt;Config!$B$5,"Date before the opening balance date","OK")))))))))))))))))</f>
        <v/>
      </c>
    </row>
    <row r="1805">
      <c r="A1805" s="46" t="n"/>
      <c r="B1805" s="54" t="n"/>
      <c r="C1805" s="46" t="n"/>
      <c r="D1805" s="46" t="n"/>
      <c r="E1805" s="55" t="n"/>
      <c r="F1805" s="46" t="n"/>
      <c r="G1805" s="46" t="n"/>
      <c r="H1805" s="46" t="n"/>
      <c r="I1805" s="46" t="n"/>
      <c r="J1805" s="46" t="n"/>
      <c r="K1805" s="46" t="n"/>
      <c r="L1805" s="46" t="n"/>
      <c r="M1805" s="51" t="str">
        <f>IF(NOT(ISNUMBER($E1805)),"",IF($C1805="Receipt",$E1805,IF($C1805="Shipment",-$E1805,IF($C1805="Adjustment",$E1805,0))))</f>
        <v/>
      </c>
      <c r="N1805" s="49" t="str">
        <f>IF($D1805="","",IFERROR(INDEX(Products!$B$2:$B$101,MATCH($D1805,Products!$A$2:$A$101,0))&amp;"","(not found)"))</f>
        <v/>
      </c>
      <c r="O1805" s="49" t="str">
        <f>IF($F1805="","",IFERROR(INDEX(Batches!$B$2:$B$301,MATCH($F1805,Batches!$A$2:$A$301,0))&amp;"","(not found)"))</f>
        <v/>
      </c>
      <c r="P1805" s="49" t="str">
        <f>IF(COUNTA($A1805:$L1805)=0,"",IF($A1805="","Missing: entry ID",IF(COUNTIF($A$2:$A$2001,$A1805)&gt;1,"Duplicate entry ID",IF(NOT(ISNUMBER($B1805)),"Missing or invalid: date",IF($C1805="","Missing: type",IF($D1805="","Missing: SKU",IF(NOT(ISNUMBER($E1805)),"Missing: qty",IF($F1805="","Missing: lot",IF($I1805="","Missing: source link",IF(COUNTIF(Config!$A$15:$A$34,$C1805)=0,"Unsupported type",IF(COUNTIF(Products!$A$2:$A$101,$D1805)=0,"Unknown SKU",IF(COUNTIFS(Batches!$A$2:$A$301,$F1805,Batches!$B$2:$B$301,$D1805)=0,"Unknown lot for this SKU",IF(AND($C1805="Adjustment",$G1805=""),"Missing: reason",IF(AND($G1805&lt;&gt;"",COUNTIF(Config!$B$15:$B$34,$G1805)=0),"Unsupported reason",IF(OR(INT($E1805)&lt;&gt;$E1805,AND(OR($C1805="Receipt",$C1805="Shipment"),$E1805&lt;=0),AND($C1805="Adjustment",$E1805=0)),"Invalid qty",IF($B1805&gt;Config!$B$4,"Date after the as-of date",IF($B1805&lt;Config!$B$5,"Date before the opening balance date","OK")))))))))))))))))</f>
        <v/>
      </c>
    </row>
    <row r="1806">
      <c r="A1806" s="46" t="n"/>
      <c r="B1806" s="54" t="n"/>
      <c r="C1806" s="46" t="n"/>
      <c r="D1806" s="46" t="n"/>
      <c r="E1806" s="55" t="n"/>
      <c r="F1806" s="46" t="n"/>
      <c r="G1806" s="46" t="n"/>
      <c r="H1806" s="46" t="n"/>
      <c r="I1806" s="46" t="n"/>
      <c r="J1806" s="46" t="n"/>
      <c r="K1806" s="46" t="n"/>
      <c r="L1806" s="46" t="n"/>
      <c r="M1806" s="51" t="str">
        <f>IF(NOT(ISNUMBER($E1806)),"",IF($C1806="Receipt",$E1806,IF($C1806="Shipment",-$E1806,IF($C1806="Adjustment",$E1806,0))))</f>
        <v/>
      </c>
      <c r="N1806" s="49" t="str">
        <f>IF($D1806="","",IFERROR(INDEX(Products!$B$2:$B$101,MATCH($D1806,Products!$A$2:$A$101,0))&amp;"","(not found)"))</f>
        <v/>
      </c>
      <c r="O1806" s="49" t="str">
        <f>IF($F1806="","",IFERROR(INDEX(Batches!$B$2:$B$301,MATCH($F1806,Batches!$A$2:$A$301,0))&amp;"","(not found)"))</f>
        <v/>
      </c>
      <c r="P1806" s="49" t="str">
        <f>IF(COUNTA($A1806:$L1806)=0,"",IF($A1806="","Missing: entry ID",IF(COUNTIF($A$2:$A$2001,$A1806)&gt;1,"Duplicate entry ID",IF(NOT(ISNUMBER($B1806)),"Missing or invalid: date",IF($C1806="","Missing: type",IF($D1806="","Missing: SKU",IF(NOT(ISNUMBER($E1806)),"Missing: qty",IF($F1806="","Missing: lot",IF($I1806="","Missing: source link",IF(COUNTIF(Config!$A$15:$A$34,$C1806)=0,"Unsupported type",IF(COUNTIF(Products!$A$2:$A$101,$D1806)=0,"Unknown SKU",IF(COUNTIFS(Batches!$A$2:$A$301,$F1806,Batches!$B$2:$B$301,$D1806)=0,"Unknown lot for this SKU",IF(AND($C1806="Adjustment",$G1806=""),"Missing: reason",IF(AND($G1806&lt;&gt;"",COUNTIF(Config!$B$15:$B$34,$G1806)=0),"Unsupported reason",IF(OR(INT($E1806)&lt;&gt;$E1806,AND(OR($C1806="Receipt",$C1806="Shipment"),$E1806&lt;=0),AND($C1806="Adjustment",$E1806=0)),"Invalid qty",IF($B1806&gt;Config!$B$4,"Date after the as-of date",IF($B1806&lt;Config!$B$5,"Date before the opening balance date","OK")))))))))))))))))</f>
        <v/>
      </c>
    </row>
    <row r="1807">
      <c r="A1807" s="46" t="n"/>
      <c r="B1807" s="54" t="n"/>
      <c r="C1807" s="46" t="n"/>
      <c r="D1807" s="46" t="n"/>
      <c r="E1807" s="55" t="n"/>
      <c r="F1807" s="46" t="n"/>
      <c r="G1807" s="46" t="n"/>
      <c r="H1807" s="46" t="n"/>
      <c r="I1807" s="46" t="n"/>
      <c r="J1807" s="46" t="n"/>
      <c r="K1807" s="46" t="n"/>
      <c r="L1807" s="46" t="n"/>
      <c r="M1807" s="51" t="str">
        <f>IF(NOT(ISNUMBER($E1807)),"",IF($C1807="Receipt",$E1807,IF($C1807="Shipment",-$E1807,IF($C1807="Adjustment",$E1807,0))))</f>
        <v/>
      </c>
      <c r="N1807" s="49" t="str">
        <f>IF($D1807="","",IFERROR(INDEX(Products!$B$2:$B$101,MATCH($D1807,Products!$A$2:$A$101,0))&amp;"","(not found)"))</f>
        <v/>
      </c>
      <c r="O1807" s="49" t="str">
        <f>IF($F1807="","",IFERROR(INDEX(Batches!$B$2:$B$301,MATCH($F1807,Batches!$A$2:$A$301,0))&amp;"","(not found)"))</f>
        <v/>
      </c>
      <c r="P1807" s="49" t="str">
        <f>IF(COUNTA($A1807:$L1807)=0,"",IF($A1807="","Missing: entry ID",IF(COUNTIF($A$2:$A$2001,$A1807)&gt;1,"Duplicate entry ID",IF(NOT(ISNUMBER($B1807)),"Missing or invalid: date",IF($C1807="","Missing: type",IF($D1807="","Missing: SKU",IF(NOT(ISNUMBER($E1807)),"Missing: qty",IF($F1807="","Missing: lot",IF($I1807="","Missing: source link",IF(COUNTIF(Config!$A$15:$A$34,$C1807)=0,"Unsupported type",IF(COUNTIF(Products!$A$2:$A$101,$D1807)=0,"Unknown SKU",IF(COUNTIFS(Batches!$A$2:$A$301,$F1807,Batches!$B$2:$B$301,$D1807)=0,"Unknown lot for this SKU",IF(AND($C1807="Adjustment",$G1807=""),"Missing: reason",IF(AND($G1807&lt;&gt;"",COUNTIF(Config!$B$15:$B$34,$G1807)=0),"Unsupported reason",IF(OR(INT($E1807)&lt;&gt;$E1807,AND(OR($C1807="Receipt",$C1807="Shipment"),$E1807&lt;=0),AND($C1807="Adjustment",$E1807=0)),"Invalid qty",IF($B1807&gt;Config!$B$4,"Date after the as-of date",IF($B1807&lt;Config!$B$5,"Date before the opening balance date","OK")))))))))))))))))</f>
        <v/>
      </c>
    </row>
    <row r="1808">
      <c r="A1808" s="46" t="n"/>
      <c r="B1808" s="54" t="n"/>
      <c r="C1808" s="46" t="n"/>
      <c r="D1808" s="46" t="n"/>
      <c r="E1808" s="55" t="n"/>
      <c r="F1808" s="46" t="n"/>
      <c r="G1808" s="46" t="n"/>
      <c r="H1808" s="46" t="n"/>
      <c r="I1808" s="46" t="n"/>
      <c r="J1808" s="46" t="n"/>
      <c r="K1808" s="46" t="n"/>
      <c r="L1808" s="46" t="n"/>
      <c r="M1808" s="51" t="str">
        <f>IF(NOT(ISNUMBER($E1808)),"",IF($C1808="Receipt",$E1808,IF($C1808="Shipment",-$E1808,IF($C1808="Adjustment",$E1808,0))))</f>
        <v/>
      </c>
      <c r="N1808" s="49" t="str">
        <f>IF($D1808="","",IFERROR(INDEX(Products!$B$2:$B$101,MATCH($D1808,Products!$A$2:$A$101,0))&amp;"","(not found)"))</f>
        <v/>
      </c>
      <c r="O1808" s="49" t="str">
        <f>IF($F1808="","",IFERROR(INDEX(Batches!$B$2:$B$301,MATCH($F1808,Batches!$A$2:$A$301,0))&amp;"","(not found)"))</f>
        <v/>
      </c>
      <c r="P1808" s="49" t="str">
        <f>IF(COUNTA($A1808:$L1808)=0,"",IF($A1808="","Missing: entry ID",IF(COUNTIF($A$2:$A$2001,$A1808)&gt;1,"Duplicate entry ID",IF(NOT(ISNUMBER($B1808)),"Missing or invalid: date",IF($C1808="","Missing: type",IF($D1808="","Missing: SKU",IF(NOT(ISNUMBER($E1808)),"Missing: qty",IF($F1808="","Missing: lot",IF($I1808="","Missing: source link",IF(COUNTIF(Config!$A$15:$A$34,$C1808)=0,"Unsupported type",IF(COUNTIF(Products!$A$2:$A$101,$D1808)=0,"Unknown SKU",IF(COUNTIFS(Batches!$A$2:$A$301,$F1808,Batches!$B$2:$B$301,$D1808)=0,"Unknown lot for this SKU",IF(AND($C1808="Adjustment",$G1808=""),"Missing: reason",IF(AND($G1808&lt;&gt;"",COUNTIF(Config!$B$15:$B$34,$G1808)=0),"Unsupported reason",IF(OR(INT($E1808)&lt;&gt;$E1808,AND(OR($C1808="Receipt",$C1808="Shipment"),$E1808&lt;=0),AND($C1808="Adjustment",$E1808=0)),"Invalid qty",IF($B1808&gt;Config!$B$4,"Date after the as-of date",IF($B1808&lt;Config!$B$5,"Date before the opening balance date","OK")))))))))))))))))</f>
        <v/>
      </c>
    </row>
    <row r="1809">
      <c r="A1809" s="46" t="n"/>
      <c r="B1809" s="54" t="n"/>
      <c r="C1809" s="46" t="n"/>
      <c r="D1809" s="46" t="n"/>
      <c r="E1809" s="55" t="n"/>
      <c r="F1809" s="46" t="n"/>
      <c r="G1809" s="46" t="n"/>
      <c r="H1809" s="46" t="n"/>
      <c r="I1809" s="46" t="n"/>
      <c r="J1809" s="46" t="n"/>
      <c r="K1809" s="46" t="n"/>
      <c r="L1809" s="46" t="n"/>
      <c r="M1809" s="51" t="str">
        <f>IF(NOT(ISNUMBER($E1809)),"",IF($C1809="Receipt",$E1809,IF($C1809="Shipment",-$E1809,IF($C1809="Adjustment",$E1809,0))))</f>
        <v/>
      </c>
      <c r="N1809" s="49" t="str">
        <f>IF($D1809="","",IFERROR(INDEX(Products!$B$2:$B$101,MATCH($D1809,Products!$A$2:$A$101,0))&amp;"","(not found)"))</f>
        <v/>
      </c>
      <c r="O1809" s="49" t="str">
        <f>IF($F1809="","",IFERROR(INDEX(Batches!$B$2:$B$301,MATCH($F1809,Batches!$A$2:$A$301,0))&amp;"","(not found)"))</f>
        <v/>
      </c>
      <c r="P1809" s="49" t="str">
        <f>IF(COUNTA($A1809:$L1809)=0,"",IF($A1809="","Missing: entry ID",IF(COUNTIF($A$2:$A$2001,$A1809)&gt;1,"Duplicate entry ID",IF(NOT(ISNUMBER($B1809)),"Missing or invalid: date",IF($C1809="","Missing: type",IF($D1809="","Missing: SKU",IF(NOT(ISNUMBER($E1809)),"Missing: qty",IF($F1809="","Missing: lot",IF($I1809="","Missing: source link",IF(COUNTIF(Config!$A$15:$A$34,$C1809)=0,"Unsupported type",IF(COUNTIF(Products!$A$2:$A$101,$D1809)=0,"Unknown SKU",IF(COUNTIFS(Batches!$A$2:$A$301,$F1809,Batches!$B$2:$B$301,$D1809)=0,"Unknown lot for this SKU",IF(AND($C1809="Adjustment",$G1809=""),"Missing: reason",IF(AND($G1809&lt;&gt;"",COUNTIF(Config!$B$15:$B$34,$G1809)=0),"Unsupported reason",IF(OR(INT($E1809)&lt;&gt;$E1809,AND(OR($C1809="Receipt",$C1809="Shipment"),$E1809&lt;=0),AND($C1809="Adjustment",$E1809=0)),"Invalid qty",IF($B1809&gt;Config!$B$4,"Date after the as-of date",IF($B1809&lt;Config!$B$5,"Date before the opening balance date","OK")))))))))))))))))</f>
        <v/>
      </c>
    </row>
    <row r="1810">
      <c r="A1810" s="46" t="n"/>
      <c r="B1810" s="54" t="n"/>
      <c r="C1810" s="46" t="n"/>
      <c r="D1810" s="46" t="n"/>
      <c r="E1810" s="55" t="n"/>
      <c r="F1810" s="46" t="n"/>
      <c r="G1810" s="46" t="n"/>
      <c r="H1810" s="46" t="n"/>
      <c r="I1810" s="46" t="n"/>
      <c r="J1810" s="46" t="n"/>
      <c r="K1810" s="46" t="n"/>
      <c r="L1810" s="46" t="n"/>
      <c r="M1810" s="51" t="str">
        <f>IF(NOT(ISNUMBER($E1810)),"",IF($C1810="Receipt",$E1810,IF($C1810="Shipment",-$E1810,IF($C1810="Adjustment",$E1810,0))))</f>
        <v/>
      </c>
      <c r="N1810" s="49" t="str">
        <f>IF($D1810="","",IFERROR(INDEX(Products!$B$2:$B$101,MATCH($D1810,Products!$A$2:$A$101,0))&amp;"","(not found)"))</f>
        <v/>
      </c>
      <c r="O1810" s="49" t="str">
        <f>IF($F1810="","",IFERROR(INDEX(Batches!$B$2:$B$301,MATCH($F1810,Batches!$A$2:$A$301,0))&amp;"","(not found)"))</f>
        <v/>
      </c>
      <c r="P1810" s="49" t="str">
        <f>IF(COUNTA($A1810:$L1810)=0,"",IF($A1810="","Missing: entry ID",IF(COUNTIF($A$2:$A$2001,$A1810)&gt;1,"Duplicate entry ID",IF(NOT(ISNUMBER($B1810)),"Missing or invalid: date",IF($C1810="","Missing: type",IF($D1810="","Missing: SKU",IF(NOT(ISNUMBER($E1810)),"Missing: qty",IF($F1810="","Missing: lot",IF($I1810="","Missing: source link",IF(COUNTIF(Config!$A$15:$A$34,$C1810)=0,"Unsupported type",IF(COUNTIF(Products!$A$2:$A$101,$D1810)=0,"Unknown SKU",IF(COUNTIFS(Batches!$A$2:$A$301,$F1810,Batches!$B$2:$B$301,$D1810)=0,"Unknown lot for this SKU",IF(AND($C1810="Adjustment",$G1810=""),"Missing: reason",IF(AND($G1810&lt;&gt;"",COUNTIF(Config!$B$15:$B$34,$G1810)=0),"Unsupported reason",IF(OR(INT($E1810)&lt;&gt;$E1810,AND(OR($C1810="Receipt",$C1810="Shipment"),$E1810&lt;=0),AND($C1810="Adjustment",$E1810=0)),"Invalid qty",IF($B1810&gt;Config!$B$4,"Date after the as-of date",IF($B1810&lt;Config!$B$5,"Date before the opening balance date","OK")))))))))))))))))</f>
        <v/>
      </c>
    </row>
    <row r="1811">
      <c r="A1811" s="46" t="n"/>
      <c r="B1811" s="54" t="n"/>
      <c r="C1811" s="46" t="n"/>
      <c r="D1811" s="46" t="n"/>
      <c r="E1811" s="55" t="n"/>
      <c r="F1811" s="46" t="n"/>
      <c r="G1811" s="46" t="n"/>
      <c r="H1811" s="46" t="n"/>
      <c r="I1811" s="46" t="n"/>
      <c r="J1811" s="46" t="n"/>
      <c r="K1811" s="46" t="n"/>
      <c r="L1811" s="46" t="n"/>
      <c r="M1811" s="51" t="str">
        <f>IF(NOT(ISNUMBER($E1811)),"",IF($C1811="Receipt",$E1811,IF($C1811="Shipment",-$E1811,IF($C1811="Adjustment",$E1811,0))))</f>
        <v/>
      </c>
      <c r="N1811" s="49" t="str">
        <f>IF($D1811="","",IFERROR(INDEX(Products!$B$2:$B$101,MATCH($D1811,Products!$A$2:$A$101,0))&amp;"","(not found)"))</f>
        <v/>
      </c>
      <c r="O1811" s="49" t="str">
        <f>IF($F1811="","",IFERROR(INDEX(Batches!$B$2:$B$301,MATCH($F1811,Batches!$A$2:$A$301,0))&amp;"","(not found)"))</f>
        <v/>
      </c>
      <c r="P1811" s="49" t="str">
        <f>IF(COUNTA($A1811:$L1811)=0,"",IF($A1811="","Missing: entry ID",IF(COUNTIF($A$2:$A$2001,$A1811)&gt;1,"Duplicate entry ID",IF(NOT(ISNUMBER($B1811)),"Missing or invalid: date",IF($C1811="","Missing: type",IF($D1811="","Missing: SKU",IF(NOT(ISNUMBER($E1811)),"Missing: qty",IF($F1811="","Missing: lot",IF($I1811="","Missing: source link",IF(COUNTIF(Config!$A$15:$A$34,$C1811)=0,"Unsupported type",IF(COUNTIF(Products!$A$2:$A$101,$D1811)=0,"Unknown SKU",IF(COUNTIFS(Batches!$A$2:$A$301,$F1811,Batches!$B$2:$B$301,$D1811)=0,"Unknown lot for this SKU",IF(AND($C1811="Adjustment",$G1811=""),"Missing: reason",IF(AND($G1811&lt;&gt;"",COUNTIF(Config!$B$15:$B$34,$G1811)=0),"Unsupported reason",IF(OR(INT($E1811)&lt;&gt;$E1811,AND(OR($C1811="Receipt",$C1811="Shipment"),$E1811&lt;=0),AND($C1811="Adjustment",$E1811=0)),"Invalid qty",IF($B1811&gt;Config!$B$4,"Date after the as-of date",IF($B1811&lt;Config!$B$5,"Date before the opening balance date","OK")))))))))))))))))</f>
        <v/>
      </c>
    </row>
    <row r="1812">
      <c r="A1812" s="46" t="n"/>
      <c r="B1812" s="54" t="n"/>
      <c r="C1812" s="46" t="n"/>
      <c r="D1812" s="46" t="n"/>
      <c r="E1812" s="55" t="n"/>
      <c r="F1812" s="46" t="n"/>
      <c r="G1812" s="46" t="n"/>
      <c r="H1812" s="46" t="n"/>
      <c r="I1812" s="46" t="n"/>
      <c r="J1812" s="46" t="n"/>
      <c r="K1812" s="46" t="n"/>
      <c r="L1812" s="46" t="n"/>
      <c r="M1812" s="51" t="str">
        <f>IF(NOT(ISNUMBER($E1812)),"",IF($C1812="Receipt",$E1812,IF($C1812="Shipment",-$E1812,IF($C1812="Adjustment",$E1812,0))))</f>
        <v/>
      </c>
      <c r="N1812" s="49" t="str">
        <f>IF($D1812="","",IFERROR(INDEX(Products!$B$2:$B$101,MATCH($D1812,Products!$A$2:$A$101,0))&amp;"","(not found)"))</f>
        <v/>
      </c>
      <c r="O1812" s="49" t="str">
        <f>IF($F1812="","",IFERROR(INDEX(Batches!$B$2:$B$301,MATCH($F1812,Batches!$A$2:$A$301,0))&amp;"","(not found)"))</f>
        <v/>
      </c>
      <c r="P1812" s="49" t="str">
        <f>IF(COUNTA($A1812:$L1812)=0,"",IF($A1812="","Missing: entry ID",IF(COUNTIF($A$2:$A$2001,$A1812)&gt;1,"Duplicate entry ID",IF(NOT(ISNUMBER($B1812)),"Missing or invalid: date",IF($C1812="","Missing: type",IF($D1812="","Missing: SKU",IF(NOT(ISNUMBER($E1812)),"Missing: qty",IF($F1812="","Missing: lot",IF($I1812="","Missing: source link",IF(COUNTIF(Config!$A$15:$A$34,$C1812)=0,"Unsupported type",IF(COUNTIF(Products!$A$2:$A$101,$D1812)=0,"Unknown SKU",IF(COUNTIFS(Batches!$A$2:$A$301,$F1812,Batches!$B$2:$B$301,$D1812)=0,"Unknown lot for this SKU",IF(AND($C1812="Adjustment",$G1812=""),"Missing: reason",IF(AND($G1812&lt;&gt;"",COUNTIF(Config!$B$15:$B$34,$G1812)=0),"Unsupported reason",IF(OR(INT($E1812)&lt;&gt;$E1812,AND(OR($C1812="Receipt",$C1812="Shipment"),$E1812&lt;=0),AND($C1812="Adjustment",$E1812=0)),"Invalid qty",IF($B1812&gt;Config!$B$4,"Date after the as-of date",IF($B1812&lt;Config!$B$5,"Date before the opening balance date","OK")))))))))))))))))</f>
        <v/>
      </c>
    </row>
    <row r="1813">
      <c r="A1813" s="46" t="n"/>
      <c r="B1813" s="54" t="n"/>
      <c r="C1813" s="46" t="n"/>
      <c r="D1813" s="46" t="n"/>
      <c r="E1813" s="55" t="n"/>
      <c r="F1813" s="46" t="n"/>
      <c r="G1813" s="46" t="n"/>
      <c r="H1813" s="46" t="n"/>
      <c r="I1813" s="46" t="n"/>
      <c r="J1813" s="46" t="n"/>
      <c r="K1813" s="46" t="n"/>
      <c r="L1813" s="46" t="n"/>
      <c r="M1813" s="51" t="str">
        <f>IF(NOT(ISNUMBER($E1813)),"",IF($C1813="Receipt",$E1813,IF($C1813="Shipment",-$E1813,IF($C1813="Adjustment",$E1813,0))))</f>
        <v/>
      </c>
      <c r="N1813" s="49" t="str">
        <f>IF($D1813="","",IFERROR(INDEX(Products!$B$2:$B$101,MATCH($D1813,Products!$A$2:$A$101,0))&amp;"","(not found)"))</f>
        <v/>
      </c>
      <c r="O1813" s="49" t="str">
        <f>IF($F1813="","",IFERROR(INDEX(Batches!$B$2:$B$301,MATCH($F1813,Batches!$A$2:$A$301,0))&amp;"","(not found)"))</f>
        <v/>
      </c>
      <c r="P1813" s="49" t="str">
        <f>IF(COUNTA($A1813:$L1813)=0,"",IF($A1813="","Missing: entry ID",IF(COUNTIF($A$2:$A$2001,$A1813)&gt;1,"Duplicate entry ID",IF(NOT(ISNUMBER($B1813)),"Missing or invalid: date",IF($C1813="","Missing: type",IF($D1813="","Missing: SKU",IF(NOT(ISNUMBER($E1813)),"Missing: qty",IF($F1813="","Missing: lot",IF($I1813="","Missing: source link",IF(COUNTIF(Config!$A$15:$A$34,$C1813)=0,"Unsupported type",IF(COUNTIF(Products!$A$2:$A$101,$D1813)=0,"Unknown SKU",IF(COUNTIFS(Batches!$A$2:$A$301,$F1813,Batches!$B$2:$B$301,$D1813)=0,"Unknown lot for this SKU",IF(AND($C1813="Adjustment",$G1813=""),"Missing: reason",IF(AND($G1813&lt;&gt;"",COUNTIF(Config!$B$15:$B$34,$G1813)=0),"Unsupported reason",IF(OR(INT($E1813)&lt;&gt;$E1813,AND(OR($C1813="Receipt",$C1813="Shipment"),$E1813&lt;=0),AND($C1813="Adjustment",$E1813=0)),"Invalid qty",IF($B1813&gt;Config!$B$4,"Date after the as-of date",IF($B1813&lt;Config!$B$5,"Date before the opening balance date","OK")))))))))))))))))</f>
        <v/>
      </c>
    </row>
    <row r="1814">
      <c r="A1814" s="46" t="n"/>
      <c r="B1814" s="54" t="n"/>
      <c r="C1814" s="46" t="n"/>
      <c r="D1814" s="46" t="n"/>
      <c r="E1814" s="55" t="n"/>
      <c r="F1814" s="46" t="n"/>
      <c r="G1814" s="46" t="n"/>
      <c r="H1814" s="46" t="n"/>
      <c r="I1814" s="46" t="n"/>
      <c r="J1814" s="46" t="n"/>
      <c r="K1814" s="46" t="n"/>
      <c r="L1814" s="46" t="n"/>
      <c r="M1814" s="51" t="str">
        <f>IF(NOT(ISNUMBER($E1814)),"",IF($C1814="Receipt",$E1814,IF($C1814="Shipment",-$E1814,IF($C1814="Adjustment",$E1814,0))))</f>
        <v/>
      </c>
      <c r="N1814" s="49" t="str">
        <f>IF($D1814="","",IFERROR(INDEX(Products!$B$2:$B$101,MATCH($D1814,Products!$A$2:$A$101,0))&amp;"","(not found)"))</f>
        <v/>
      </c>
      <c r="O1814" s="49" t="str">
        <f>IF($F1814="","",IFERROR(INDEX(Batches!$B$2:$B$301,MATCH($F1814,Batches!$A$2:$A$301,0))&amp;"","(not found)"))</f>
        <v/>
      </c>
      <c r="P1814" s="49" t="str">
        <f>IF(COUNTA($A1814:$L1814)=0,"",IF($A1814="","Missing: entry ID",IF(COUNTIF($A$2:$A$2001,$A1814)&gt;1,"Duplicate entry ID",IF(NOT(ISNUMBER($B1814)),"Missing or invalid: date",IF($C1814="","Missing: type",IF($D1814="","Missing: SKU",IF(NOT(ISNUMBER($E1814)),"Missing: qty",IF($F1814="","Missing: lot",IF($I1814="","Missing: source link",IF(COUNTIF(Config!$A$15:$A$34,$C1814)=0,"Unsupported type",IF(COUNTIF(Products!$A$2:$A$101,$D1814)=0,"Unknown SKU",IF(COUNTIFS(Batches!$A$2:$A$301,$F1814,Batches!$B$2:$B$301,$D1814)=0,"Unknown lot for this SKU",IF(AND($C1814="Adjustment",$G1814=""),"Missing: reason",IF(AND($G1814&lt;&gt;"",COUNTIF(Config!$B$15:$B$34,$G1814)=0),"Unsupported reason",IF(OR(INT($E1814)&lt;&gt;$E1814,AND(OR($C1814="Receipt",$C1814="Shipment"),$E1814&lt;=0),AND($C1814="Adjustment",$E1814=0)),"Invalid qty",IF($B1814&gt;Config!$B$4,"Date after the as-of date",IF($B1814&lt;Config!$B$5,"Date before the opening balance date","OK")))))))))))))))))</f>
        <v/>
      </c>
    </row>
    <row r="1815">
      <c r="A1815" s="46" t="n"/>
      <c r="B1815" s="54" t="n"/>
      <c r="C1815" s="46" t="n"/>
      <c r="D1815" s="46" t="n"/>
      <c r="E1815" s="55" t="n"/>
      <c r="F1815" s="46" t="n"/>
      <c r="G1815" s="46" t="n"/>
      <c r="H1815" s="46" t="n"/>
      <c r="I1815" s="46" t="n"/>
      <c r="J1815" s="46" t="n"/>
      <c r="K1815" s="46" t="n"/>
      <c r="L1815" s="46" t="n"/>
      <c r="M1815" s="51" t="str">
        <f>IF(NOT(ISNUMBER($E1815)),"",IF($C1815="Receipt",$E1815,IF($C1815="Shipment",-$E1815,IF($C1815="Adjustment",$E1815,0))))</f>
        <v/>
      </c>
      <c r="N1815" s="49" t="str">
        <f>IF($D1815="","",IFERROR(INDEX(Products!$B$2:$B$101,MATCH($D1815,Products!$A$2:$A$101,0))&amp;"","(not found)"))</f>
        <v/>
      </c>
      <c r="O1815" s="49" t="str">
        <f>IF($F1815="","",IFERROR(INDEX(Batches!$B$2:$B$301,MATCH($F1815,Batches!$A$2:$A$301,0))&amp;"","(not found)"))</f>
        <v/>
      </c>
      <c r="P1815" s="49" t="str">
        <f>IF(COUNTA($A1815:$L1815)=0,"",IF($A1815="","Missing: entry ID",IF(COUNTIF($A$2:$A$2001,$A1815)&gt;1,"Duplicate entry ID",IF(NOT(ISNUMBER($B1815)),"Missing or invalid: date",IF($C1815="","Missing: type",IF($D1815="","Missing: SKU",IF(NOT(ISNUMBER($E1815)),"Missing: qty",IF($F1815="","Missing: lot",IF($I1815="","Missing: source link",IF(COUNTIF(Config!$A$15:$A$34,$C1815)=0,"Unsupported type",IF(COUNTIF(Products!$A$2:$A$101,$D1815)=0,"Unknown SKU",IF(COUNTIFS(Batches!$A$2:$A$301,$F1815,Batches!$B$2:$B$301,$D1815)=0,"Unknown lot for this SKU",IF(AND($C1815="Adjustment",$G1815=""),"Missing: reason",IF(AND($G1815&lt;&gt;"",COUNTIF(Config!$B$15:$B$34,$G1815)=0),"Unsupported reason",IF(OR(INT($E1815)&lt;&gt;$E1815,AND(OR($C1815="Receipt",$C1815="Shipment"),$E1815&lt;=0),AND($C1815="Adjustment",$E1815=0)),"Invalid qty",IF($B1815&gt;Config!$B$4,"Date after the as-of date",IF($B1815&lt;Config!$B$5,"Date before the opening balance date","OK")))))))))))))))))</f>
        <v/>
      </c>
    </row>
    <row r="1816">
      <c r="A1816" s="46" t="n"/>
      <c r="B1816" s="54" t="n"/>
      <c r="C1816" s="46" t="n"/>
      <c r="D1816" s="46" t="n"/>
      <c r="E1816" s="55" t="n"/>
      <c r="F1816" s="46" t="n"/>
      <c r="G1816" s="46" t="n"/>
      <c r="H1816" s="46" t="n"/>
      <c r="I1816" s="46" t="n"/>
      <c r="J1816" s="46" t="n"/>
      <c r="K1816" s="46" t="n"/>
      <c r="L1816" s="46" t="n"/>
      <c r="M1816" s="51" t="str">
        <f>IF(NOT(ISNUMBER($E1816)),"",IF($C1816="Receipt",$E1816,IF($C1816="Shipment",-$E1816,IF($C1816="Adjustment",$E1816,0))))</f>
        <v/>
      </c>
      <c r="N1816" s="49" t="str">
        <f>IF($D1816="","",IFERROR(INDEX(Products!$B$2:$B$101,MATCH($D1816,Products!$A$2:$A$101,0))&amp;"","(not found)"))</f>
        <v/>
      </c>
      <c r="O1816" s="49" t="str">
        <f>IF($F1816="","",IFERROR(INDEX(Batches!$B$2:$B$301,MATCH($F1816,Batches!$A$2:$A$301,0))&amp;"","(not found)"))</f>
        <v/>
      </c>
      <c r="P1816" s="49" t="str">
        <f>IF(COUNTA($A1816:$L1816)=0,"",IF($A1816="","Missing: entry ID",IF(COUNTIF($A$2:$A$2001,$A1816)&gt;1,"Duplicate entry ID",IF(NOT(ISNUMBER($B1816)),"Missing or invalid: date",IF($C1816="","Missing: type",IF($D1816="","Missing: SKU",IF(NOT(ISNUMBER($E1816)),"Missing: qty",IF($F1816="","Missing: lot",IF($I1816="","Missing: source link",IF(COUNTIF(Config!$A$15:$A$34,$C1816)=0,"Unsupported type",IF(COUNTIF(Products!$A$2:$A$101,$D1816)=0,"Unknown SKU",IF(COUNTIFS(Batches!$A$2:$A$301,$F1816,Batches!$B$2:$B$301,$D1816)=0,"Unknown lot for this SKU",IF(AND($C1816="Adjustment",$G1816=""),"Missing: reason",IF(AND($G1816&lt;&gt;"",COUNTIF(Config!$B$15:$B$34,$G1816)=0),"Unsupported reason",IF(OR(INT($E1816)&lt;&gt;$E1816,AND(OR($C1816="Receipt",$C1816="Shipment"),$E1816&lt;=0),AND($C1816="Adjustment",$E1816=0)),"Invalid qty",IF($B1816&gt;Config!$B$4,"Date after the as-of date",IF($B1816&lt;Config!$B$5,"Date before the opening balance date","OK")))))))))))))))))</f>
        <v/>
      </c>
    </row>
    <row r="1817">
      <c r="A1817" s="46" t="n"/>
      <c r="B1817" s="54" t="n"/>
      <c r="C1817" s="46" t="n"/>
      <c r="D1817" s="46" t="n"/>
      <c r="E1817" s="55" t="n"/>
      <c r="F1817" s="46" t="n"/>
      <c r="G1817" s="46" t="n"/>
      <c r="H1817" s="46" t="n"/>
      <c r="I1817" s="46" t="n"/>
      <c r="J1817" s="46" t="n"/>
      <c r="K1817" s="46" t="n"/>
      <c r="L1817" s="46" t="n"/>
      <c r="M1817" s="51" t="str">
        <f>IF(NOT(ISNUMBER($E1817)),"",IF($C1817="Receipt",$E1817,IF($C1817="Shipment",-$E1817,IF($C1817="Adjustment",$E1817,0))))</f>
        <v/>
      </c>
      <c r="N1817" s="49" t="str">
        <f>IF($D1817="","",IFERROR(INDEX(Products!$B$2:$B$101,MATCH($D1817,Products!$A$2:$A$101,0))&amp;"","(not found)"))</f>
        <v/>
      </c>
      <c r="O1817" s="49" t="str">
        <f>IF($F1817="","",IFERROR(INDEX(Batches!$B$2:$B$301,MATCH($F1817,Batches!$A$2:$A$301,0))&amp;"","(not found)"))</f>
        <v/>
      </c>
      <c r="P1817" s="49" t="str">
        <f>IF(COUNTA($A1817:$L1817)=0,"",IF($A1817="","Missing: entry ID",IF(COUNTIF($A$2:$A$2001,$A1817)&gt;1,"Duplicate entry ID",IF(NOT(ISNUMBER($B1817)),"Missing or invalid: date",IF($C1817="","Missing: type",IF($D1817="","Missing: SKU",IF(NOT(ISNUMBER($E1817)),"Missing: qty",IF($F1817="","Missing: lot",IF($I1817="","Missing: source link",IF(COUNTIF(Config!$A$15:$A$34,$C1817)=0,"Unsupported type",IF(COUNTIF(Products!$A$2:$A$101,$D1817)=0,"Unknown SKU",IF(COUNTIFS(Batches!$A$2:$A$301,$F1817,Batches!$B$2:$B$301,$D1817)=0,"Unknown lot for this SKU",IF(AND($C1817="Adjustment",$G1817=""),"Missing: reason",IF(AND($G1817&lt;&gt;"",COUNTIF(Config!$B$15:$B$34,$G1817)=0),"Unsupported reason",IF(OR(INT($E1817)&lt;&gt;$E1817,AND(OR($C1817="Receipt",$C1817="Shipment"),$E1817&lt;=0),AND($C1817="Adjustment",$E1817=0)),"Invalid qty",IF($B1817&gt;Config!$B$4,"Date after the as-of date",IF($B1817&lt;Config!$B$5,"Date before the opening balance date","OK")))))))))))))))))</f>
        <v/>
      </c>
    </row>
    <row r="1818">
      <c r="A1818" s="46" t="n"/>
      <c r="B1818" s="54" t="n"/>
      <c r="C1818" s="46" t="n"/>
      <c r="D1818" s="46" t="n"/>
      <c r="E1818" s="55" t="n"/>
      <c r="F1818" s="46" t="n"/>
      <c r="G1818" s="46" t="n"/>
      <c r="H1818" s="46" t="n"/>
      <c r="I1818" s="46" t="n"/>
      <c r="J1818" s="46" t="n"/>
      <c r="K1818" s="46" t="n"/>
      <c r="L1818" s="46" t="n"/>
      <c r="M1818" s="51" t="str">
        <f>IF(NOT(ISNUMBER($E1818)),"",IF($C1818="Receipt",$E1818,IF($C1818="Shipment",-$E1818,IF($C1818="Adjustment",$E1818,0))))</f>
        <v/>
      </c>
      <c r="N1818" s="49" t="str">
        <f>IF($D1818="","",IFERROR(INDEX(Products!$B$2:$B$101,MATCH($D1818,Products!$A$2:$A$101,0))&amp;"","(not found)"))</f>
        <v/>
      </c>
      <c r="O1818" s="49" t="str">
        <f>IF($F1818="","",IFERROR(INDEX(Batches!$B$2:$B$301,MATCH($F1818,Batches!$A$2:$A$301,0))&amp;"","(not found)"))</f>
        <v/>
      </c>
      <c r="P1818" s="49" t="str">
        <f>IF(COUNTA($A1818:$L1818)=0,"",IF($A1818="","Missing: entry ID",IF(COUNTIF($A$2:$A$2001,$A1818)&gt;1,"Duplicate entry ID",IF(NOT(ISNUMBER($B1818)),"Missing or invalid: date",IF($C1818="","Missing: type",IF($D1818="","Missing: SKU",IF(NOT(ISNUMBER($E1818)),"Missing: qty",IF($F1818="","Missing: lot",IF($I1818="","Missing: source link",IF(COUNTIF(Config!$A$15:$A$34,$C1818)=0,"Unsupported type",IF(COUNTIF(Products!$A$2:$A$101,$D1818)=0,"Unknown SKU",IF(COUNTIFS(Batches!$A$2:$A$301,$F1818,Batches!$B$2:$B$301,$D1818)=0,"Unknown lot for this SKU",IF(AND($C1818="Adjustment",$G1818=""),"Missing: reason",IF(AND($G1818&lt;&gt;"",COUNTIF(Config!$B$15:$B$34,$G1818)=0),"Unsupported reason",IF(OR(INT($E1818)&lt;&gt;$E1818,AND(OR($C1818="Receipt",$C1818="Shipment"),$E1818&lt;=0),AND($C1818="Adjustment",$E1818=0)),"Invalid qty",IF($B1818&gt;Config!$B$4,"Date after the as-of date",IF($B1818&lt;Config!$B$5,"Date before the opening balance date","OK")))))))))))))))))</f>
        <v/>
      </c>
    </row>
    <row r="1819">
      <c r="A1819" s="46" t="n"/>
      <c r="B1819" s="54" t="n"/>
      <c r="C1819" s="46" t="n"/>
      <c r="D1819" s="46" t="n"/>
      <c r="E1819" s="55" t="n"/>
      <c r="F1819" s="46" t="n"/>
      <c r="G1819" s="46" t="n"/>
      <c r="H1819" s="46" t="n"/>
      <c r="I1819" s="46" t="n"/>
      <c r="J1819" s="46" t="n"/>
      <c r="K1819" s="46" t="n"/>
      <c r="L1819" s="46" t="n"/>
      <c r="M1819" s="51" t="str">
        <f>IF(NOT(ISNUMBER($E1819)),"",IF($C1819="Receipt",$E1819,IF($C1819="Shipment",-$E1819,IF($C1819="Adjustment",$E1819,0))))</f>
        <v/>
      </c>
      <c r="N1819" s="49" t="str">
        <f>IF($D1819="","",IFERROR(INDEX(Products!$B$2:$B$101,MATCH($D1819,Products!$A$2:$A$101,0))&amp;"","(not found)"))</f>
        <v/>
      </c>
      <c r="O1819" s="49" t="str">
        <f>IF($F1819="","",IFERROR(INDEX(Batches!$B$2:$B$301,MATCH($F1819,Batches!$A$2:$A$301,0))&amp;"","(not found)"))</f>
        <v/>
      </c>
      <c r="P1819" s="49" t="str">
        <f>IF(COUNTA($A1819:$L1819)=0,"",IF($A1819="","Missing: entry ID",IF(COUNTIF($A$2:$A$2001,$A1819)&gt;1,"Duplicate entry ID",IF(NOT(ISNUMBER($B1819)),"Missing or invalid: date",IF($C1819="","Missing: type",IF($D1819="","Missing: SKU",IF(NOT(ISNUMBER($E1819)),"Missing: qty",IF($F1819="","Missing: lot",IF($I1819="","Missing: source link",IF(COUNTIF(Config!$A$15:$A$34,$C1819)=0,"Unsupported type",IF(COUNTIF(Products!$A$2:$A$101,$D1819)=0,"Unknown SKU",IF(COUNTIFS(Batches!$A$2:$A$301,$F1819,Batches!$B$2:$B$301,$D1819)=0,"Unknown lot for this SKU",IF(AND($C1819="Adjustment",$G1819=""),"Missing: reason",IF(AND($G1819&lt;&gt;"",COUNTIF(Config!$B$15:$B$34,$G1819)=0),"Unsupported reason",IF(OR(INT($E1819)&lt;&gt;$E1819,AND(OR($C1819="Receipt",$C1819="Shipment"),$E1819&lt;=0),AND($C1819="Adjustment",$E1819=0)),"Invalid qty",IF($B1819&gt;Config!$B$4,"Date after the as-of date",IF($B1819&lt;Config!$B$5,"Date before the opening balance date","OK")))))))))))))))))</f>
        <v/>
      </c>
    </row>
    <row r="1820">
      <c r="A1820" s="46" t="n"/>
      <c r="B1820" s="54" t="n"/>
      <c r="C1820" s="46" t="n"/>
      <c r="D1820" s="46" t="n"/>
      <c r="E1820" s="55" t="n"/>
      <c r="F1820" s="46" t="n"/>
      <c r="G1820" s="46" t="n"/>
      <c r="H1820" s="46" t="n"/>
      <c r="I1820" s="46" t="n"/>
      <c r="J1820" s="46" t="n"/>
      <c r="K1820" s="46" t="n"/>
      <c r="L1820" s="46" t="n"/>
      <c r="M1820" s="51" t="str">
        <f>IF(NOT(ISNUMBER($E1820)),"",IF($C1820="Receipt",$E1820,IF($C1820="Shipment",-$E1820,IF($C1820="Adjustment",$E1820,0))))</f>
        <v/>
      </c>
      <c r="N1820" s="49" t="str">
        <f>IF($D1820="","",IFERROR(INDEX(Products!$B$2:$B$101,MATCH($D1820,Products!$A$2:$A$101,0))&amp;"","(not found)"))</f>
        <v/>
      </c>
      <c r="O1820" s="49" t="str">
        <f>IF($F1820="","",IFERROR(INDEX(Batches!$B$2:$B$301,MATCH($F1820,Batches!$A$2:$A$301,0))&amp;"","(not found)"))</f>
        <v/>
      </c>
      <c r="P1820" s="49" t="str">
        <f>IF(COUNTA($A1820:$L1820)=0,"",IF($A1820="","Missing: entry ID",IF(COUNTIF($A$2:$A$2001,$A1820)&gt;1,"Duplicate entry ID",IF(NOT(ISNUMBER($B1820)),"Missing or invalid: date",IF($C1820="","Missing: type",IF($D1820="","Missing: SKU",IF(NOT(ISNUMBER($E1820)),"Missing: qty",IF($F1820="","Missing: lot",IF($I1820="","Missing: source link",IF(COUNTIF(Config!$A$15:$A$34,$C1820)=0,"Unsupported type",IF(COUNTIF(Products!$A$2:$A$101,$D1820)=0,"Unknown SKU",IF(COUNTIFS(Batches!$A$2:$A$301,$F1820,Batches!$B$2:$B$301,$D1820)=0,"Unknown lot for this SKU",IF(AND($C1820="Adjustment",$G1820=""),"Missing: reason",IF(AND($G1820&lt;&gt;"",COUNTIF(Config!$B$15:$B$34,$G1820)=0),"Unsupported reason",IF(OR(INT($E1820)&lt;&gt;$E1820,AND(OR($C1820="Receipt",$C1820="Shipment"),$E1820&lt;=0),AND($C1820="Adjustment",$E1820=0)),"Invalid qty",IF($B1820&gt;Config!$B$4,"Date after the as-of date",IF($B1820&lt;Config!$B$5,"Date before the opening balance date","OK")))))))))))))))))</f>
        <v/>
      </c>
    </row>
    <row r="1821">
      <c r="A1821" s="46" t="n"/>
      <c r="B1821" s="54" t="n"/>
      <c r="C1821" s="46" t="n"/>
      <c r="D1821" s="46" t="n"/>
      <c r="E1821" s="55" t="n"/>
      <c r="F1821" s="46" t="n"/>
      <c r="G1821" s="46" t="n"/>
      <c r="H1821" s="46" t="n"/>
      <c r="I1821" s="46" t="n"/>
      <c r="J1821" s="46" t="n"/>
      <c r="K1821" s="46" t="n"/>
      <c r="L1821" s="46" t="n"/>
      <c r="M1821" s="51" t="str">
        <f>IF(NOT(ISNUMBER($E1821)),"",IF($C1821="Receipt",$E1821,IF($C1821="Shipment",-$E1821,IF($C1821="Adjustment",$E1821,0))))</f>
        <v/>
      </c>
      <c r="N1821" s="49" t="str">
        <f>IF($D1821="","",IFERROR(INDEX(Products!$B$2:$B$101,MATCH($D1821,Products!$A$2:$A$101,0))&amp;"","(not found)"))</f>
        <v/>
      </c>
      <c r="O1821" s="49" t="str">
        <f>IF($F1821="","",IFERROR(INDEX(Batches!$B$2:$B$301,MATCH($F1821,Batches!$A$2:$A$301,0))&amp;"","(not found)"))</f>
        <v/>
      </c>
      <c r="P1821" s="49" t="str">
        <f>IF(COUNTA($A1821:$L1821)=0,"",IF($A1821="","Missing: entry ID",IF(COUNTIF($A$2:$A$2001,$A1821)&gt;1,"Duplicate entry ID",IF(NOT(ISNUMBER($B1821)),"Missing or invalid: date",IF($C1821="","Missing: type",IF($D1821="","Missing: SKU",IF(NOT(ISNUMBER($E1821)),"Missing: qty",IF($F1821="","Missing: lot",IF($I1821="","Missing: source link",IF(COUNTIF(Config!$A$15:$A$34,$C1821)=0,"Unsupported type",IF(COUNTIF(Products!$A$2:$A$101,$D1821)=0,"Unknown SKU",IF(COUNTIFS(Batches!$A$2:$A$301,$F1821,Batches!$B$2:$B$301,$D1821)=0,"Unknown lot for this SKU",IF(AND($C1821="Adjustment",$G1821=""),"Missing: reason",IF(AND($G1821&lt;&gt;"",COUNTIF(Config!$B$15:$B$34,$G1821)=0),"Unsupported reason",IF(OR(INT($E1821)&lt;&gt;$E1821,AND(OR($C1821="Receipt",$C1821="Shipment"),$E1821&lt;=0),AND($C1821="Adjustment",$E1821=0)),"Invalid qty",IF($B1821&gt;Config!$B$4,"Date after the as-of date",IF($B1821&lt;Config!$B$5,"Date before the opening balance date","OK")))))))))))))))))</f>
        <v/>
      </c>
    </row>
    <row r="1822">
      <c r="A1822" s="46" t="n"/>
      <c r="B1822" s="54" t="n"/>
      <c r="C1822" s="46" t="n"/>
      <c r="D1822" s="46" t="n"/>
      <c r="E1822" s="55" t="n"/>
      <c r="F1822" s="46" t="n"/>
      <c r="G1822" s="46" t="n"/>
      <c r="H1822" s="46" t="n"/>
      <c r="I1822" s="46" t="n"/>
      <c r="J1822" s="46" t="n"/>
      <c r="K1822" s="46" t="n"/>
      <c r="L1822" s="46" t="n"/>
      <c r="M1822" s="51" t="str">
        <f>IF(NOT(ISNUMBER($E1822)),"",IF($C1822="Receipt",$E1822,IF($C1822="Shipment",-$E1822,IF($C1822="Adjustment",$E1822,0))))</f>
        <v/>
      </c>
      <c r="N1822" s="49" t="str">
        <f>IF($D1822="","",IFERROR(INDEX(Products!$B$2:$B$101,MATCH($D1822,Products!$A$2:$A$101,0))&amp;"","(not found)"))</f>
        <v/>
      </c>
      <c r="O1822" s="49" t="str">
        <f>IF($F1822="","",IFERROR(INDEX(Batches!$B$2:$B$301,MATCH($F1822,Batches!$A$2:$A$301,0))&amp;"","(not found)"))</f>
        <v/>
      </c>
      <c r="P1822" s="49" t="str">
        <f>IF(COUNTA($A1822:$L1822)=0,"",IF($A1822="","Missing: entry ID",IF(COUNTIF($A$2:$A$2001,$A1822)&gt;1,"Duplicate entry ID",IF(NOT(ISNUMBER($B1822)),"Missing or invalid: date",IF($C1822="","Missing: type",IF($D1822="","Missing: SKU",IF(NOT(ISNUMBER($E1822)),"Missing: qty",IF($F1822="","Missing: lot",IF($I1822="","Missing: source link",IF(COUNTIF(Config!$A$15:$A$34,$C1822)=0,"Unsupported type",IF(COUNTIF(Products!$A$2:$A$101,$D1822)=0,"Unknown SKU",IF(COUNTIFS(Batches!$A$2:$A$301,$F1822,Batches!$B$2:$B$301,$D1822)=0,"Unknown lot for this SKU",IF(AND($C1822="Adjustment",$G1822=""),"Missing: reason",IF(AND($G1822&lt;&gt;"",COUNTIF(Config!$B$15:$B$34,$G1822)=0),"Unsupported reason",IF(OR(INT($E1822)&lt;&gt;$E1822,AND(OR($C1822="Receipt",$C1822="Shipment"),$E1822&lt;=0),AND($C1822="Adjustment",$E1822=0)),"Invalid qty",IF($B1822&gt;Config!$B$4,"Date after the as-of date",IF($B1822&lt;Config!$B$5,"Date before the opening balance date","OK")))))))))))))))))</f>
        <v/>
      </c>
    </row>
    <row r="1823">
      <c r="A1823" s="46" t="n"/>
      <c r="B1823" s="54" t="n"/>
      <c r="C1823" s="46" t="n"/>
      <c r="D1823" s="46" t="n"/>
      <c r="E1823" s="55" t="n"/>
      <c r="F1823" s="46" t="n"/>
      <c r="G1823" s="46" t="n"/>
      <c r="H1823" s="46" t="n"/>
      <c r="I1823" s="46" t="n"/>
      <c r="J1823" s="46" t="n"/>
      <c r="K1823" s="46" t="n"/>
      <c r="L1823" s="46" t="n"/>
      <c r="M1823" s="51" t="str">
        <f>IF(NOT(ISNUMBER($E1823)),"",IF($C1823="Receipt",$E1823,IF($C1823="Shipment",-$E1823,IF($C1823="Adjustment",$E1823,0))))</f>
        <v/>
      </c>
      <c r="N1823" s="49" t="str">
        <f>IF($D1823="","",IFERROR(INDEX(Products!$B$2:$B$101,MATCH($D1823,Products!$A$2:$A$101,0))&amp;"","(not found)"))</f>
        <v/>
      </c>
      <c r="O1823" s="49" t="str">
        <f>IF($F1823="","",IFERROR(INDEX(Batches!$B$2:$B$301,MATCH($F1823,Batches!$A$2:$A$301,0))&amp;"","(not found)"))</f>
        <v/>
      </c>
      <c r="P1823" s="49" t="str">
        <f>IF(COUNTA($A1823:$L1823)=0,"",IF($A1823="","Missing: entry ID",IF(COUNTIF($A$2:$A$2001,$A1823)&gt;1,"Duplicate entry ID",IF(NOT(ISNUMBER($B1823)),"Missing or invalid: date",IF($C1823="","Missing: type",IF($D1823="","Missing: SKU",IF(NOT(ISNUMBER($E1823)),"Missing: qty",IF($F1823="","Missing: lot",IF($I1823="","Missing: source link",IF(COUNTIF(Config!$A$15:$A$34,$C1823)=0,"Unsupported type",IF(COUNTIF(Products!$A$2:$A$101,$D1823)=0,"Unknown SKU",IF(COUNTIFS(Batches!$A$2:$A$301,$F1823,Batches!$B$2:$B$301,$D1823)=0,"Unknown lot for this SKU",IF(AND($C1823="Adjustment",$G1823=""),"Missing: reason",IF(AND($G1823&lt;&gt;"",COUNTIF(Config!$B$15:$B$34,$G1823)=0),"Unsupported reason",IF(OR(INT($E1823)&lt;&gt;$E1823,AND(OR($C1823="Receipt",$C1823="Shipment"),$E1823&lt;=0),AND($C1823="Adjustment",$E1823=0)),"Invalid qty",IF($B1823&gt;Config!$B$4,"Date after the as-of date",IF($B1823&lt;Config!$B$5,"Date before the opening balance date","OK")))))))))))))))))</f>
        <v/>
      </c>
    </row>
    <row r="1824">
      <c r="A1824" s="46" t="n"/>
      <c r="B1824" s="54" t="n"/>
      <c r="C1824" s="46" t="n"/>
      <c r="D1824" s="46" t="n"/>
      <c r="E1824" s="55" t="n"/>
      <c r="F1824" s="46" t="n"/>
      <c r="G1824" s="46" t="n"/>
      <c r="H1824" s="46" t="n"/>
      <c r="I1824" s="46" t="n"/>
      <c r="J1824" s="46" t="n"/>
      <c r="K1824" s="46" t="n"/>
      <c r="L1824" s="46" t="n"/>
      <c r="M1824" s="51" t="str">
        <f>IF(NOT(ISNUMBER($E1824)),"",IF($C1824="Receipt",$E1824,IF($C1824="Shipment",-$E1824,IF($C1824="Adjustment",$E1824,0))))</f>
        <v/>
      </c>
      <c r="N1824" s="49" t="str">
        <f>IF($D1824="","",IFERROR(INDEX(Products!$B$2:$B$101,MATCH($D1824,Products!$A$2:$A$101,0))&amp;"","(not found)"))</f>
        <v/>
      </c>
      <c r="O1824" s="49" t="str">
        <f>IF($F1824="","",IFERROR(INDEX(Batches!$B$2:$B$301,MATCH($F1824,Batches!$A$2:$A$301,0))&amp;"","(not found)"))</f>
        <v/>
      </c>
      <c r="P1824" s="49" t="str">
        <f>IF(COUNTA($A1824:$L1824)=0,"",IF($A1824="","Missing: entry ID",IF(COUNTIF($A$2:$A$2001,$A1824)&gt;1,"Duplicate entry ID",IF(NOT(ISNUMBER($B1824)),"Missing or invalid: date",IF($C1824="","Missing: type",IF($D1824="","Missing: SKU",IF(NOT(ISNUMBER($E1824)),"Missing: qty",IF($F1824="","Missing: lot",IF($I1824="","Missing: source link",IF(COUNTIF(Config!$A$15:$A$34,$C1824)=0,"Unsupported type",IF(COUNTIF(Products!$A$2:$A$101,$D1824)=0,"Unknown SKU",IF(COUNTIFS(Batches!$A$2:$A$301,$F1824,Batches!$B$2:$B$301,$D1824)=0,"Unknown lot for this SKU",IF(AND($C1824="Adjustment",$G1824=""),"Missing: reason",IF(AND($G1824&lt;&gt;"",COUNTIF(Config!$B$15:$B$34,$G1824)=0),"Unsupported reason",IF(OR(INT($E1824)&lt;&gt;$E1824,AND(OR($C1824="Receipt",$C1824="Shipment"),$E1824&lt;=0),AND($C1824="Adjustment",$E1824=0)),"Invalid qty",IF($B1824&gt;Config!$B$4,"Date after the as-of date",IF($B1824&lt;Config!$B$5,"Date before the opening balance date","OK")))))))))))))))))</f>
        <v/>
      </c>
    </row>
    <row r="1825">
      <c r="A1825" s="46" t="n"/>
      <c r="B1825" s="54" t="n"/>
      <c r="C1825" s="46" t="n"/>
      <c r="D1825" s="46" t="n"/>
      <c r="E1825" s="55" t="n"/>
      <c r="F1825" s="46" t="n"/>
      <c r="G1825" s="46" t="n"/>
      <c r="H1825" s="46" t="n"/>
      <c r="I1825" s="46" t="n"/>
      <c r="J1825" s="46" t="n"/>
      <c r="K1825" s="46" t="n"/>
      <c r="L1825" s="46" t="n"/>
      <c r="M1825" s="51" t="str">
        <f>IF(NOT(ISNUMBER($E1825)),"",IF($C1825="Receipt",$E1825,IF($C1825="Shipment",-$E1825,IF($C1825="Adjustment",$E1825,0))))</f>
        <v/>
      </c>
      <c r="N1825" s="49" t="str">
        <f>IF($D1825="","",IFERROR(INDEX(Products!$B$2:$B$101,MATCH($D1825,Products!$A$2:$A$101,0))&amp;"","(not found)"))</f>
        <v/>
      </c>
      <c r="O1825" s="49" t="str">
        <f>IF($F1825="","",IFERROR(INDEX(Batches!$B$2:$B$301,MATCH($F1825,Batches!$A$2:$A$301,0))&amp;"","(not found)"))</f>
        <v/>
      </c>
      <c r="P1825" s="49" t="str">
        <f>IF(COUNTA($A1825:$L1825)=0,"",IF($A1825="","Missing: entry ID",IF(COUNTIF($A$2:$A$2001,$A1825)&gt;1,"Duplicate entry ID",IF(NOT(ISNUMBER($B1825)),"Missing or invalid: date",IF($C1825="","Missing: type",IF($D1825="","Missing: SKU",IF(NOT(ISNUMBER($E1825)),"Missing: qty",IF($F1825="","Missing: lot",IF($I1825="","Missing: source link",IF(COUNTIF(Config!$A$15:$A$34,$C1825)=0,"Unsupported type",IF(COUNTIF(Products!$A$2:$A$101,$D1825)=0,"Unknown SKU",IF(COUNTIFS(Batches!$A$2:$A$301,$F1825,Batches!$B$2:$B$301,$D1825)=0,"Unknown lot for this SKU",IF(AND($C1825="Adjustment",$G1825=""),"Missing: reason",IF(AND($G1825&lt;&gt;"",COUNTIF(Config!$B$15:$B$34,$G1825)=0),"Unsupported reason",IF(OR(INT($E1825)&lt;&gt;$E1825,AND(OR($C1825="Receipt",$C1825="Shipment"),$E1825&lt;=0),AND($C1825="Adjustment",$E1825=0)),"Invalid qty",IF($B1825&gt;Config!$B$4,"Date after the as-of date",IF($B1825&lt;Config!$B$5,"Date before the opening balance date","OK")))))))))))))))))</f>
        <v/>
      </c>
    </row>
    <row r="1826">
      <c r="A1826" s="46" t="n"/>
      <c r="B1826" s="54" t="n"/>
      <c r="C1826" s="46" t="n"/>
      <c r="D1826" s="46" t="n"/>
      <c r="E1826" s="55" t="n"/>
      <c r="F1826" s="46" t="n"/>
      <c r="G1826" s="46" t="n"/>
      <c r="H1826" s="46" t="n"/>
      <c r="I1826" s="46" t="n"/>
      <c r="J1826" s="46" t="n"/>
      <c r="K1826" s="46" t="n"/>
      <c r="L1826" s="46" t="n"/>
      <c r="M1826" s="51" t="str">
        <f>IF(NOT(ISNUMBER($E1826)),"",IF($C1826="Receipt",$E1826,IF($C1826="Shipment",-$E1826,IF($C1826="Adjustment",$E1826,0))))</f>
        <v/>
      </c>
      <c r="N1826" s="49" t="str">
        <f>IF($D1826="","",IFERROR(INDEX(Products!$B$2:$B$101,MATCH($D1826,Products!$A$2:$A$101,0))&amp;"","(not found)"))</f>
        <v/>
      </c>
      <c r="O1826" s="49" t="str">
        <f>IF($F1826="","",IFERROR(INDEX(Batches!$B$2:$B$301,MATCH($F1826,Batches!$A$2:$A$301,0))&amp;"","(not found)"))</f>
        <v/>
      </c>
      <c r="P1826" s="49" t="str">
        <f>IF(COUNTA($A1826:$L1826)=0,"",IF($A1826="","Missing: entry ID",IF(COUNTIF($A$2:$A$2001,$A1826)&gt;1,"Duplicate entry ID",IF(NOT(ISNUMBER($B1826)),"Missing or invalid: date",IF($C1826="","Missing: type",IF($D1826="","Missing: SKU",IF(NOT(ISNUMBER($E1826)),"Missing: qty",IF($F1826="","Missing: lot",IF($I1826="","Missing: source link",IF(COUNTIF(Config!$A$15:$A$34,$C1826)=0,"Unsupported type",IF(COUNTIF(Products!$A$2:$A$101,$D1826)=0,"Unknown SKU",IF(COUNTIFS(Batches!$A$2:$A$301,$F1826,Batches!$B$2:$B$301,$D1826)=0,"Unknown lot for this SKU",IF(AND($C1826="Adjustment",$G1826=""),"Missing: reason",IF(AND($G1826&lt;&gt;"",COUNTIF(Config!$B$15:$B$34,$G1826)=0),"Unsupported reason",IF(OR(INT($E1826)&lt;&gt;$E1826,AND(OR($C1826="Receipt",$C1826="Shipment"),$E1826&lt;=0),AND($C1826="Adjustment",$E1826=0)),"Invalid qty",IF($B1826&gt;Config!$B$4,"Date after the as-of date",IF($B1826&lt;Config!$B$5,"Date before the opening balance date","OK")))))))))))))))))</f>
        <v/>
      </c>
    </row>
    <row r="1827">
      <c r="A1827" s="46" t="n"/>
      <c r="B1827" s="54" t="n"/>
      <c r="C1827" s="46" t="n"/>
      <c r="D1827" s="46" t="n"/>
      <c r="E1827" s="55" t="n"/>
      <c r="F1827" s="46" t="n"/>
      <c r="G1827" s="46" t="n"/>
      <c r="H1827" s="46" t="n"/>
      <c r="I1827" s="46" t="n"/>
      <c r="J1827" s="46" t="n"/>
      <c r="K1827" s="46" t="n"/>
      <c r="L1827" s="46" t="n"/>
      <c r="M1827" s="51" t="str">
        <f>IF(NOT(ISNUMBER($E1827)),"",IF($C1827="Receipt",$E1827,IF($C1827="Shipment",-$E1827,IF($C1827="Adjustment",$E1827,0))))</f>
        <v/>
      </c>
      <c r="N1827" s="49" t="str">
        <f>IF($D1827="","",IFERROR(INDEX(Products!$B$2:$B$101,MATCH($D1827,Products!$A$2:$A$101,0))&amp;"","(not found)"))</f>
        <v/>
      </c>
      <c r="O1827" s="49" t="str">
        <f>IF($F1827="","",IFERROR(INDEX(Batches!$B$2:$B$301,MATCH($F1827,Batches!$A$2:$A$301,0))&amp;"","(not found)"))</f>
        <v/>
      </c>
      <c r="P1827" s="49" t="str">
        <f>IF(COUNTA($A1827:$L1827)=0,"",IF($A1827="","Missing: entry ID",IF(COUNTIF($A$2:$A$2001,$A1827)&gt;1,"Duplicate entry ID",IF(NOT(ISNUMBER($B1827)),"Missing or invalid: date",IF($C1827="","Missing: type",IF($D1827="","Missing: SKU",IF(NOT(ISNUMBER($E1827)),"Missing: qty",IF($F1827="","Missing: lot",IF($I1827="","Missing: source link",IF(COUNTIF(Config!$A$15:$A$34,$C1827)=0,"Unsupported type",IF(COUNTIF(Products!$A$2:$A$101,$D1827)=0,"Unknown SKU",IF(COUNTIFS(Batches!$A$2:$A$301,$F1827,Batches!$B$2:$B$301,$D1827)=0,"Unknown lot for this SKU",IF(AND($C1827="Adjustment",$G1827=""),"Missing: reason",IF(AND($G1827&lt;&gt;"",COUNTIF(Config!$B$15:$B$34,$G1827)=0),"Unsupported reason",IF(OR(INT($E1827)&lt;&gt;$E1827,AND(OR($C1827="Receipt",$C1827="Shipment"),$E1827&lt;=0),AND($C1827="Adjustment",$E1827=0)),"Invalid qty",IF($B1827&gt;Config!$B$4,"Date after the as-of date",IF($B1827&lt;Config!$B$5,"Date before the opening balance date","OK")))))))))))))))))</f>
        <v/>
      </c>
    </row>
    <row r="1828">
      <c r="A1828" s="46" t="n"/>
      <c r="B1828" s="54" t="n"/>
      <c r="C1828" s="46" t="n"/>
      <c r="D1828" s="46" t="n"/>
      <c r="E1828" s="55" t="n"/>
      <c r="F1828" s="46" t="n"/>
      <c r="G1828" s="46" t="n"/>
      <c r="H1828" s="46" t="n"/>
      <c r="I1828" s="46" t="n"/>
      <c r="J1828" s="46" t="n"/>
      <c r="K1828" s="46" t="n"/>
      <c r="L1828" s="46" t="n"/>
      <c r="M1828" s="51" t="str">
        <f>IF(NOT(ISNUMBER($E1828)),"",IF($C1828="Receipt",$E1828,IF($C1828="Shipment",-$E1828,IF($C1828="Adjustment",$E1828,0))))</f>
        <v/>
      </c>
      <c r="N1828" s="49" t="str">
        <f>IF($D1828="","",IFERROR(INDEX(Products!$B$2:$B$101,MATCH($D1828,Products!$A$2:$A$101,0))&amp;"","(not found)"))</f>
        <v/>
      </c>
      <c r="O1828" s="49" t="str">
        <f>IF($F1828="","",IFERROR(INDEX(Batches!$B$2:$B$301,MATCH($F1828,Batches!$A$2:$A$301,0))&amp;"","(not found)"))</f>
        <v/>
      </c>
      <c r="P1828" s="49" t="str">
        <f>IF(COUNTA($A1828:$L1828)=0,"",IF($A1828="","Missing: entry ID",IF(COUNTIF($A$2:$A$2001,$A1828)&gt;1,"Duplicate entry ID",IF(NOT(ISNUMBER($B1828)),"Missing or invalid: date",IF($C1828="","Missing: type",IF($D1828="","Missing: SKU",IF(NOT(ISNUMBER($E1828)),"Missing: qty",IF($F1828="","Missing: lot",IF($I1828="","Missing: source link",IF(COUNTIF(Config!$A$15:$A$34,$C1828)=0,"Unsupported type",IF(COUNTIF(Products!$A$2:$A$101,$D1828)=0,"Unknown SKU",IF(COUNTIFS(Batches!$A$2:$A$301,$F1828,Batches!$B$2:$B$301,$D1828)=0,"Unknown lot for this SKU",IF(AND($C1828="Adjustment",$G1828=""),"Missing: reason",IF(AND($G1828&lt;&gt;"",COUNTIF(Config!$B$15:$B$34,$G1828)=0),"Unsupported reason",IF(OR(INT($E1828)&lt;&gt;$E1828,AND(OR($C1828="Receipt",$C1828="Shipment"),$E1828&lt;=0),AND($C1828="Adjustment",$E1828=0)),"Invalid qty",IF($B1828&gt;Config!$B$4,"Date after the as-of date",IF($B1828&lt;Config!$B$5,"Date before the opening balance date","OK")))))))))))))))))</f>
        <v/>
      </c>
    </row>
    <row r="1829">
      <c r="A1829" s="46" t="n"/>
      <c r="B1829" s="54" t="n"/>
      <c r="C1829" s="46" t="n"/>
      <c r="D1829" s="46" t="n"/>
      <c r="E1829" s="55" t="n"/>
      <c r="F1829" s="46" t="n"/>
      <c r="G1829" s="46" t="n"/>
      <c r="H1829" s="46" t="n"/>
      <c r="I1829" s="46" t="n"/>
      <c r="J1829" s="46" t="n"/>
      <c r="K1829" s="46" t="n"/>
      <c r="L1829" s="46" t="n"/>
      <c r="M1829" s="51" t="str">
        <f>IF(NOT(ISNUMBER($E1829)),"",IF($C1829="Receipt",$E1829,IF($C1829="Shipment",-$E1829,IF($C1829="Adjustment",$E1829,0))))</f>
        <v/>
      </c>
      <c r="N1829" s="49" t="str">
        <f>IF($D1829="","",IFERROR(INDEX(Products!$B$2:$B$101,MATCH($D1829,Products!$A$2:$A$101,0))&amp;"","(not found)"))</f>
        <v/>
      </c>
      <c r="O1829" s="49" t="str">
        <f>IF($F1829="","",IFERROR(INDEX(Batches!$B$2:$B$301,MATCH($F1829,Batches!$A$2:$A$301,0))&amp;"","(not found)"))</f>
        <v/>
      </c>
      <c r="P1829" s="49" t="str">
        <f>IF(COUNTA($A1829:$L1829)=0,"",IF($A1829="","Missing: entry ID",IF(COUNTIF($A$2:$A$2001,$A1829)&gt;1,"Duplicate entry ID",IF(NOT(ISNUMBER($B1829)),"Missing or invalid: date",IF($C1829="","Missing: type",IF($D1829="","Missing: SKU",IF(NOT(ISNUMBER($E1829)),"Missing: qty",IF($F1829="","Missing: lot",IF($I1829="","Missing: source link",IF(COUNTIF(Config!$A$15:$A$34,$C1829)=0,"Unsupported type",IF(COUNTIF(Products!$A$2:$A$101,$D1829)=0,"Unknown SKU",IF(COUNTIFS(Batches!$A$2:$A$301,$F1829,Batches!$B$2:$B$301,$D1829)=0,"Unknown lot for this SKU",IF(AND($C1829="Adjustment",$G1829=""),"Missing: reason",IF(AND($G1829&lt;&gt;"",COUNTIF(Config!$B$15:$B$34,$G1829)=0),"Unsupported reason",IF(OR(INT($E1829)&lt;&gt;$E1829,AND(OR($C1829="Receipt",$C1829="Shipment"),$E1829&lt;=0),AND($C1829="Adjustment",$E1829=0)),"Invalid qty",IF($B1829&gt;Config!$B$4,"Date after the as-of date",IF($B1829&lt;Config!$B$5,"Date before the opening balance date","OK")))))))))))))))))</f>
        <v/>
      </c>
    </row>
    <row r="1830">
      <c r="A1830" s="46" t="n"/>
      <c r="B1830" s="54" t="n"/>
      <c r="C1830" s="46" t="n"/>
      <c r="D1830" s="46" t="n"/>
      <c r="E1830" s="55" t="n"/>
      <c r="F1830" s="46" t="n"/>
      <c r="G1830" s="46" t="n"/>
      <c r="H1830" s="46" t="n"/>
      <c r="I1830" s="46" t="n"/>
      <c r="J1830" s="46" t="n"/>
      <c r="K1830" s="46" t="n"/>
      <c r="L1830" s="46" t="n"/>
      <c r="M1830" s="51" t="str">
        <f>IF(NOT(ISNUMBER($E1830)),"",IF($C1830="Receipt",$E1830,IF($C1830="Shipment",-$E1830,IF($C1830="Adjustment",$E1830,0))))</f>
        <v/>
      </c>
      <c r="N1830" s="49" t="str">
        <f>IF($D1830="","",IFERROR(INDEX(Products!$B$2:$B$101,MATCH($D1830,Products!$A$2:$A$101,0))&amp;"","(not found)"))</f>
        <v/>
      </c>
      <c r="O1830" s="49" t="str">
        <f>IF($F1830="","",IFERROR(INDEX(Batches!$B$2:$B$301,MATCH($F1830,Batches!$A$2:$A$301,0))&amp;"","(not found)"))</f>
        <v/>
      </c>
      <c r="P1830" s="49" t="str">
        <f>IF(COUNTA($A1830:$L1830)=0,"",IF($A1830="","Missing: entry ID",IF(COUNTIF($A$2:$A$2001,$A1830)&gt;1,"Duplicate entry ID",IF(NOT(ISNUMBER($B1830)),"Missing or invalid: date",IF($C1830="","Missing: type",IF($D1830="","Missing: SKU",IF(NOT(ISNUMBER($E1830)),"Missing: qty",IF($F1830="","Missing: lot",IF($I1830="","Missing: source link",IF(COUNTIF(Config!$A$15:$A$34,$C1830)=0,"Unsupported type",IF(COUNTIF(Products!$A$2:$A$101,$D1830)=0,"Unknown SKU",IF(COUNTIFS(Batches!$A$2:$A$301,$F1830,Batches!$B$2:$B$301,$D1830)=0,"Unknown lot for this SKU",IF(AND($C1830="Adjustment",$G1830=""),"Missing: reason",IF(AND($G1830&lt;&gt;"",COUNTIF(Config!$B$15:$B$34,$G1830)=0),"Unsupported reason",IF(OR(INT($E1830)&lt;&gt;$E1830,AND(OR($C1830="Receipt",$C1830="Shipment"),$E1830&lt;=0),AND($C1830="Adjustment",$E1830=0)),"Invalid qty",IF($B1830&gt;Config!$B$4,"Date after the as-of date",IF($B1830&lt;Config!$B$5,"Date before the opening balance date","OK")))))))))))))))))</f>
        <v/>
      </c>
    </row>
    <row r="1831">
      <c r="A1831" s="46" t="n"/>
      <c r="B1831" s="54" t="n"/>
      <c r="C1831" s="46" t="n"/>
      <c r="D1831" s="46" t="n"/>
      <c r="E1831" s="55" t="n"/>
      <c r="F1831" s="46" t="n"/>
      <c r="G1831" s="46" t="n"/>
      <c r="H1831" s="46" t="n"/>
      <c r="I1831" s="46" t="n"/>
      <c r="J1831" s="46" t="n"/>
      <c r="K1831" s="46" t="n"/>
      <c r="L1831" s="46" t="n"/>
      <c r="M1831" s="51" t="str">
        <f>IF(NOT(ISNUMBER($E1831)),"",IF($C1831="Receipt",$E1831,IF($C1831="Shipment",-$E1831,IF($C1831="Adjustment",$E1831,0))))</f>
        <v/>
      </c>
      <c r="N1831" s="49" t="str">
        <f>IF($D1831="","",IFERROR(INDEX(Products!$B$2:$B$101,MATCH($D1831,Products!$A$2:$A$101,0))&amp;"","(not found)"))</f>
        <v/>
      </c>
      <c r="O1831" s="49" t="str">
        <f>IF($F1831="","",IFERROR(INDEX(Batches!$B$2:$B$301,MATCH($F1831,Batches!$A$2:$A$301,0))&amp;"","(not found)"))</f>
        <v/>
      </c>
      <c r="P1831" s="49" t="str">
        <f>IF(COUNTA($A1831:$L1831)=0,"",IF($A1831="","Missing: entry ID",IF(COUNTIF($A$2:$A$2001,$A1831)&gt;1,"Duplicate entry ID",IF(NOT(ISNUMBER($B1831)),"Missing or invalid: date",IF($C1831="","Missing: type",IF($D1831="","Missing: SKU",IF(NOT(ISNUMBER($E1831)),"Missing: qty",IF($F1831="","Missing: lot",IF($I1831="","Missing: source link",IF(COUNTIF(Config!$A$15:$A$34,$C1831)=0,"Unsupported type",IF(COUNTIF(Products!$A$2:$A$101,$D1831)=0,"Unknown SKU",IF(COUNTIFS(Batches!$A$2:$A$301,$F1831,Batches!$B$2:$B$301,$D1831)=0,"Unknown lot for this SKU",IF(AND($C1831="Adjustment",$G1831=""),"Missing: reason",IF(AND($G1831&lt;&gt;"",COUNTIF(Config!$B$15:$B$34,$G1831)=0),"Unsupported reason",IF(OR(INT($E1831)&lt;&gt;$E1831,AND(OR($C1831="Receipt",$C1831="Shipment"),$E1831&lt;=0),AND($C1831="Adjustment",$E1831=0)),"Invalid qty",IF($B1831&gt;Config!$B$4,"Date after the as-of date",IF($B1831&lt;Config!$B$5,"Date before the opening balance date","OK")))))))))))))))))</f>
        <v/>
      </c>
    </row>
    <row r="1832">
      <c r="A1832" s="46" t="n"/>
      <c r="B1832" s="54" t="n"/>
      <c r="C1832" s="46" t="n"/>
      <c r="D1832" s="46" t="n"/>
      <c r="E1832" s="55" t="n"/>
      <c r="F1832" s="46" t="n"/>
      <c r="G1832" s="46" t="n"/>
      <c r="H1832" s="46" t="n"/>
      <c r="I1832" s="46" t="n"/>
      <c r="J1832" s="46" t="n"/>
      <c r="K1832" s="46" t="n"/>
      <c r="L1832" s="46" t="n"/>
      <c r="M1832" s="51" t="str">
        <f>IF(NOT(ISNUMBER($E1832)),"",IF($C1832="Receipt",$E1832,IF($C1832="Shipment",-$E1832,IF($C1832="Adjustment",$E1832,0))))</f>
        <v/>
      </c>
      <c r="N1832" s="49" t="str">
        <f>IF($D1832="","",IFERROR(INDEX(Products!$B$2:$B$101,MATCH($D1832,Products!$A$2:$A$101,0))&amp;"","(not found)"))</f>
        <v/>
      </c>
      <c r="O1832" s="49" t="str">
        <f>IF($F1832="","",IFERROR(INDEX(Batches!$B$2:$B$301,MATCH($F1832,Batches!$A$2:$A$301,0))&amp;"","(not found)"))</f>
        <v/>
      </c>
      <c r="P1832" s="49" t="str">
        <f>IF(COUNTA($A1832:$L1832)=0,"",IF($A1832="","Missing: entry ID",IF(COUNTIF($A$2:$A$2001,$A1832)&gt;1,"Duplicate entry ID",IF(NOT(ISNUMBER($B1832)),"Missing or invalid: date",IF($C1832="","Missing: type",IF($D1832="","Missing: SKU",IF(NOT(ISNUMBER($E1832)),"Missing: qty",IF($F1832="","Missing: lot",IF($I1832="","Missing: source link",IF(COUNTIF(Config!$A$15:$A$34,$C1832)=0,"Unsupported type",IF(COUNTIF(Products!$A$2:$A$101,$D1832)=0,"Unknown SKU",IF(COUNTIFS(Batches!$A$2:$A$301,$F1832,Batches!$B$2:$B$301,$D1832)=0,"Unknown lot for this SKU",IF(AND($C1832="Adjustment",$G1832=""),"Missing: reason",IF(AND($G1832&lt;&gt;"",COUNTIF(Config!$B$15:$B$34,$G1832)=0),"Unsupported reason",IF(OR(INT($E1832)&lt;&gt;$E1832,AND(OR($C1832="Receipt",$C1832="Shipment"),$E1832&lt;=0),AND($C1832="Adjustment",$E1832=0)),"Invalid qty",IF($B1832&gt;Config!$B$4,"Date after the as-of date",IF($B1832&lt;Config!$B$5,"Date before the opening balance date","OK")))))))))))))))))</f>
        <v/>
      </c>
    </row>
    <row r="1833">
      <c r="A1833" s="46" t="n"/>
      <c r="B1833" s="54" t="n"/>
      <c r="C1833" s="46" t="n"/>
      <c r="D1833" s="46" t="n"/>
      <c r="E1833" s="55" t="n"/>
      <c r="F1833" s="46" t="n"/>
      <c r="G1833" s="46" t="n"/>
      <c r="H1833" s="46" t="n"/>
      <c r="I1833" s="46" t="n"/>
      <c r="J1833" s="46" t="n"/>
      <c r="K1833" s="46" t="n"/>
      <c r="L1833" s="46" t="n"/>
      <c r="M1833" s="51" t="str">
        <f>IF(NOT(ISNUMBER($E1833)),"",IF($C1833="Receipt",$E1833,IF($C1833="Shipment",-$E1833,IF($C1833="Adjustment",$E1833,0))))</f>
        <v/>
      </c>
      <c r="N1833" s="49" t="str">
        <f>IF($D1833="","",IFERROR(INDEX(Products!$B$2:$B$101,MATCH($D1833,Products!$A$2:$A$101,0))&amp;"","(not found)"))</f>
        <v/>
      </c>
      <c r="O1833" s="49" t="str">
        <f>IF($F1833="","",IFERROR(INDEX(Batches!$B$2:$B$301,MATCH($F1833,Batches!$A$2:$A$301,0))&amp;"","(not found)"))</f>
        <v/>
      </c>
      <c r="P1833" s="49" t="str">
        <f>IF(COUNTA($A1833:$L1833)=0,"",IF($A1833="","Missing: entry ID",IF(COUNTIF($A$2:$A$2001,$A1833)&gt;1,"Duplicate entry ID",IF(NOT(ISNUMBER($B1833)),"Missing or invalid: date",IF($C1833="","Missing: type",IF($D1833="","Missing: SKU",IF(NOT(ISNUMBER($E1833)),"Missing: qty",IF($F1833="","Missing: lot",IF($I1833="","Missing: source link",IF(COUNTIF(Config!$A$15:$A$34,$C1833)=0,"Unsupported type",IF(COUNTIF(Products!$A$2:$A$101,$D1833)=0,"Unknown SKU",IF(COUNTIFS(Batches!$A$2:$A$301,$F1833,Batches!$B$2:$B$301,$D1833)=0,"Unknown lot for this SKU",IF(AND($C1833="Adjustment",$G1833=""),"Missing: reason",IF(AND($G1833&lt;&gt;"",COUNTIF(Config!$B$15:$B$34,$G1833)=0),"Unsupported reason",IF(OR(INT($E1833)&lt;&gt;$E1833,AND(OR($C1833="Receipt",$C1833="Shipment"),$E1833&lt;=0),AND($C1833="Adjustment",$E1833=0)),"Invalid qty",IF($B1833&gt;Config!$B$4,"Date after the as-of date",IF($B1833&lt;Config!$B$5,"Date before the opening balance date","OK")))))))))))))))))</f>
        <v/>
      </c>
    </row>
    <row r="1834">
      <c r="A1834" s="46" t="n"/>
      <c r="B1834" s="54" t="n"/>
      <c r="C1834" s="46" t="n"/>
      <c r="D1834" s="46" t="n"/>
      <c r="E1834" s="55" t="n"/>
      <c r="F1834" s="46" t="n"/>
      <c r="G1834" s="46" t="n"/>
      <c r="H1834" s="46" t="n"/>
      <c r="I1834" s="46" t="n"/>
      <c r="J1834" s="46" t="n"/>
      <c r="K1834" s="46" t="n"/>
      <c r="L1834" s="46" t="n"/>
      <c r="M1834" s="51" t="str">
        <f>IF(NOT(ISNUMBER($E1834)),"",IF($C1834="Receipt",$E1834,IF($C1834="Shipment",-$E1834,IF($C1834="Adjustment",$E1834,0))))</f>
        <v/>
      </c>
      <c r="N1834" s="49" t="str">
        <f>IF($D1834="","",IFERROR(INDEX(Products!$B$2:$B$101,MATCH($D1834,Products!$A$2:$A$101,0))&amp;"","(not found)"))</f>
        <v/>
      </c>
      <c r="O1834" s="49" t="str">
        <f>IF($F1834="","",IFERROR(INDEX(Batches!$B$2:$B$301,MATCH($F1834,Batches!$A$2:$A$301,0))&amp;"","(not found)"))</f>
        <v/>
      </c>
      <c r="P1834" s="49" t="str">
        <f>IF(COUNTA($A1834:$L1834)=0,"",IF($A1834="","Missing: entry ID",IF(COUNTIF($A$2:$A$2001,$A1834)&gt;1,"Duplicate entry ID",IF(NOT(ISNUMBER($B1834)),"Missing or invalid: date",IF($C1834="","Missing: type",IF($D1834="","Missing: SKU",IF(NOT(ISNUMBER($E1834)),"Missing: qty",IF($F1834="","Missing: lot",IF($I1834="","Missing: source link",IF(COUNTIF(Config!$A$15:$A$34,$C1834)=0,"Unsupported type",IF(COUNTIF(Products!$A$2:$A$101,$D1834)=0,"Unknown SKU",IF(COUNTIFS(Batches!$A$2:$A$301,$F1834,Batches!$B$2:$B$301,$D1834)=0,"Unknown lot for this SKU",IF(AND($C1834="Adjustment",$G1834=""),"Missing: reason",IF(AND($G1834&lt;&gt;"",COUNTIF(Config!$B$15:$B$34,$G1834)=0),"Unsupported reason",IF(OR(INT($E1834)&lt;&gt;$E1834,AND(OR($C1834="Receipt",$C1834="Shipment"),$E1834&lt;=0),AND($C1834="Adjustment",$E1834=0)),"Invalid qty",IF($B1834&gt;Config!$B$4,"Date after the as-of date",IF($B1834&lt;Config!$B$5,"Date before the opening balance date","OK")))))))))))))))))</f>
        <v/>
      </c>
    </row>
    <row r="1835">
      <c r="A1835" s="46" t="n"/>
      <c r="B1835" s="54" t="n"/>
      <c r="C1835" s="46" t="n"/>
      <c r="D1835" s="46" t="n"/>
      <c r="E1835" s="55" t="n"/>
      <c r="F1835" s="46" t="n"/>
      <c r="G1835" s="46" t="n"/>
      <c r="H1835" s="46" t="n"/>
      <c r="I1835" s="46" t="n"/>
      <c r="J1835" s="46" t="n"/>
      <c r="K1835" s="46" t="n"/>
      <c r="L1835" s="46" t="n"/>
      <c r="M1835" s="51" t="str">
        <f>IF(NOT(ISNUMBER($E1835)),"",IF($C1835="Receipt",$E1835,IF($C1835="Shipment",-$E1835,IF($C1835="Adjustment",$E1835,0))))</f>
        <v/>
      </c>
      <c r="N1835" s="49" t="str">
        <f>IF($D1835="","",IFERROR(INDEX(Products!$B$2:$B$101,MATCH($D1835,Products!$A$2:$A$101,0))&amp;"","(not found)"))</f>
        <v/>
      </c>
      <c r="O1835" s="49" t="str">
        <f>IF($F1835="","",IFERROR(INDEX(Batches!$B$2:$B$301,MATCH($F1835,Batches!$A$2:$A$301,0))&amp;"","(not found)"))</f>
        <v/>
      </c>
      <c r="P1835" s="49" t="str">
        <f>IF(COUNTA($A1835:$L1835)=0,"",IF($A1835="","Missing: entry ID",IF(COUNTIF($A$2:$A$2001,$A1835)&gt;1,"Duplicate entry ID",IF(NOT(ISNUMBER($B1835)),"Missing or invalid: date",IF($C1835="","Missing: type",IF($D1835="","Missing: SKU",IF(NOT(ISNUMBER($E1835)),"Missing: qty",IF($F1835="","Missing: lot",IF($I1835="","Missing: source link",IF(COUNTIF(Config!$A$15:$A$34,$C1835)=0,"Unsupported type",IF(COUNTIF(Products!$A$2:$A$101,$D1835)=0,"Unknown SKU",IF(COUNTIFS(Batches!$A$2:$A$301,$F1835,Batches!$B$2:$B$301,$D1835)=0,"Unknown lot for this SKU",IF(AND($C1835="Adjustment",$G1835=""),"Missing: reason",IF(AND($G1835&lt;&gt;"",COUNTIF(Config!$B$15:$B$34,$G1835)=0),"Unsupported reason",IF(OR(INT($E1835)&lt;&gt;$E1835,AND(OR($C1835="Receipt",$C1835="Shipment"),$E1835&lt;=0),AND($C1835="Adjustment",$E1835=0)),"Invalid qty",IF($B1835&gt;Config!$B$4,"Date after the as-of date",IF($B1835&lt;Config!$B$5,"Date before the opening balance date","OK")))))))))))))))))</f>
        <v/>
      </c>
    </row>
    <row r="1836">
      <c r="A1836" s="46" t="n"/>
      <c r="B1836" s="54" t="n"/>
      <c r="C1836" s="46" t="n"/>
      <c r="D1836" s="46" t="n"/>
      <c r="E1836" s="55" t="n"/>
      <c r="F1836" s="46" t="n"/>
      <c r="G1836" s="46" t="n"/>
      <c r="H1836" s="46" t="n"/>
      <c r="I1836" s="46" t="n"/>
      <c r="J1836" s="46" t="n"/>
      <c r="K1836" s="46" t="n"/>
      <c r="L1836" s="46" t="n"/>
      <c r="M1836" s="51" t="str">
        <f>IF(NOT(ISNUMBER($E1836)),"",IF($C1836="Receipt",$E1836,IF($C1836="Shipment",-$E1836,IF($C1836="Adjustment",$E1836,0))))</f>
        <v/>
      </c>
      <c r="N1836" s="49" t="str">
        <f>IF($D1836="","",IFERROR(INDEX(Products!$B$2:$B$101,MATCH($D1836,Products!$A$2:$A$101,0))&amp;"","(not found)"))</f>
        <v/>
      </c>
      <c r="O1836" s="49" t="str">
        <f>IF($F1836="","",IFERROR(INDEX(Batches!$B$2:$B$301,MATCH($F1836,Batches!$A$2:$A$301,0))&amp;"","(not found)"))</f>
        <v/>
      </c>
      <c r="P1836" s="49" t="str">
        <f>IF(COUNTA($A1836:$L1836)=0,"",IF($A1836="","Missing: entry ID",IF(COUNTIF($A$2:$A$2001,$A1836)&gt;1,"Duplicate entry ID",IF(NOT(ISNUMBER($B1836)),"Missing or invalid: date",IF($C1836="","Missing: type",IF($D1836="","Missing: SKU",IF(NOT(ISNUMBER($E1836)),"Missing: qty",IF($F1836="","Missing: lot",IF($I1836="","Missing: source link",IF(COUNTIF(Config!$A$15:$A$34,$C1836)=0,"Unsupported type",IF(COUNTIF(Products!$A$2:$A$101,$D1836)=0,"Unknown SKU",IF(COUNTIFS(Batches!$A$2:$A$301,$F1836,Batches!$B$2:$B$301,$D1836)=0,"Unknown lot for this SKU",IF(AND($C1836="Adjustment",$G1836=""),"Missing: reason",IF(AND($G1836&lt;&gt;"",COUNTIF(Config!$B$15:$B$34,$G1836)=0),"Unsupported reason",IF(OR(INT($E1836)&lt;&gt;$E1836,AND(OR($C1836="Receipt",$C1836="Shipment"),$E1836&lt;=0),AND($C1836="Adjustment",$E1836=0)),"Invalid qty",IF($B1836&gt;Config!$B$4,"Date after the as-of date",IF($B1836&lt;Config!$B$5,"Date before the opening balance date","OK")))))))))))))))))</f>
        <v/>
      </c>
    </row>
    <row r="1837">
      <c r="A1837" s="46" t="n"/>
      <c r="B1837" s="54" t="n"/>
      <c r="C1837" s="46" t="n"/>
      <c r="D1837" s="46" t="n"/>
      <c r="E1837" s="55" t="n"/>
      <c r="F1837" s="46" t="n"/>
      <c r="G1837" s="46" t="n"/>
      <c r="H1837" s="46" t="n"/>
      <c r="I1837" s="46" t="n"/>
      <c r="J1837" s="46" t="n"/>
      <c r="K1837" s="46" t="n"/>
      <c r="L1837" s="46" t="n"/>
      <c r="M1837" s="51" t="str">
        <f>IF(NOT(ISNUMBER($E1837)),"",IF($C1837="Receipt",$E1837,IF($C1837="Shipment",-$E1837,IF($C1837="Adjustment",$E1837,0))))</f>
        <v/>
      </c>
      <c r="N1837" s="49" t="str">
        <f>IF($D1837="","",IFERROR(INDEX(Products!$B$2:$B$101,MATCH($D1837,Products!$A$2:$A$101,0))&amp;"","(not found)"))</f>
        <v/>
      </c>
      <c r="O1837" s="49" t="str">
        <f>IF($F1837="","",IFERROR(INDEX(Batches!$B$2:$B$301,MATCH($F1837,Batches!$A$2:$A$301,0))&amp;"","(not found)"))</f>
        <v/>
      </c>
      <c r="P1837" s="49" t="str">
        <f>IF(COUNTA($A1837:$L1837)=0,"",IF($A1837="","Missing: entry ID",IF(COUNTIF($A$2:$A$2001,$A1837)&gt;1,"Duplicate entry ID",IF(NOT(ISNUMBER($B1837)),"Missing or invalid: date",IF($C1837="","Missing: type",IF($D1837="","Missing: SKU",IF(NOT(ISNUMBER($E1837)),"Missing: qty",IF($F1837="","Missing: lot",IF($I1837="","Missing: source link",IF(COUNTIF(Config!$A$15:$A$34,$C1837)=0,"Unsupported type",IF(COUNTIF(Products!$A$2:$A$101,$D1837)=0,"Unknown SKU",IF(COUNTIFS(Batches!$A$2:$A$301,$F1837,Batches!$B$2:$B$301,$D1837)=0,"Unknown lot for this SKU",IF(AND($C1837="Adjustment",$G1837=""),"Missing: reason",IF(AND($G1837&lt;&gt;"",COUNTIF(Config!$B$15:$B$34,$G1837)=0),"Unsupported reason",IF(OR(INT($E1837)&lt;&gt;$E1837,AND(OR($C1837="Receipt",$C1837="Shipment"),$E1837&lt;=0),AND($C1837="Adjustment",$E1837=0)),"Invalid qty",IF($B1837&gt;Config!$B$4,"Date after the as-of date",IF($B1837&lt;Config!$B$5,"Date before the opening balance date","OK")))))))))))))))))</f>
        <v/>
      </c>
    </row>
    <row r="1838">
      <c r="A1838" s="46" t="n"/>
      <c r="B1838" s="54" t="n"/>
      <c r="C1838" s="46" t="n"/>
      <c r="D1838" s="46" t="n"/>
      <c r="E1838" s="55" t="n"/>
      <c r="F1838" s="46" t="n"/>
      <c r="G1838" s="46" t="n"/>
      <c r="H1838" s="46" t="n"/>
      <c r="I1838" s="46" t="n"/>
      <c r="J1838" s="46" t="n"/>
      <c r="K1838" s="46" t="n"/>
      <c r="L1838" s="46" t="n"/>
      <c r="M1838" s="51" t="str">
        <f>IF(NOT(ISNUMBER($E1838)),"",IF($C1838="Receipt",$E1838,IF($C1838="Shipment",-$E1838,IF($C1838="Adjustment",$E1838,0))))</f>
        <v/>
      </c>
      <c r="N1838" s="49" t="str">
        <f>IF($D1838="","",IFERROR(INDEX(Products!$B$2:$B$101,MATCH($D1838,Products!$A$2:$A$101,0))&amp;"","(not found)"))</f>
        <v/>
      </c>
      <c r="O1838" s="49" t="str">
        <f>IF($F1838="","",IFERROR(INDEX(Batches!$B$2:$B$301,MATCH($F1838,Batches!$A$2:$A$301,0))&amp;"","(not found)"))</f>
        <v/>
      </c>
      <c r="P1838" s="49" t="str">
        <f>IF(COUNTA($A1838:$L1838)=0,"",IF($A1838="","Missing: entry ID",IF(COUNTIF($A$2:$A$2001,$A1838)&gt;1,"Duplicate entry ID",IF(NOT(ISNUMBER($B1838)),"Missing or invalid: date",IF($C1838="","Missing: type",IF($D1838="","Missing: SKU",IF(NOT(ISNUMBER($E1838)),"Missing: qty",IF($F1838="","Missing: lot",IF($I1838="","Missing: source link",IF(COUNTIF(Config!$A$15:$A$34,$C1838)=0,"Unsupported type",IF(COUNTIF(Products!$A$2:$A$101,$D1838)=0,"Unknown SKU",IF(COUNTIFS(Batches!$A$2:$A$301,$F1838,Batches!$B$2:$B$301,$D1838)=0,"Unknown lot for this SKU",IF(AND($C1838="Adjustment",$G1838=""),"Missing: reason",IF(AND($G1838&lt;&gt;"",COUNTIF(Config!$B$15:$B$34,$G1838)=0),"Unsupported reason",IF(OR(INT($E1838)&lt;&gt;$E1838,AND(OR($C1838="Receipt",$C1838="Shipment"),$E1838&lt;=0),AND($C1838="Adjustment",$E1838=0)),"Invalid qty",IF($B1838&gt;Config!$B$4,"Date after the as-of date",IF($B1838&lt;Config!$B$5,"Date before the opening balance date","OK")))))))))))))))))</f>
        <v/>
      </c>
    </row>
    <row r="1839">
      <c r="A1839" s="46" t="n"/>
      <c r="B1839" s="54" t="n"/>
      <c r="C1839" s="46" t="n"/>
      <c r="D1839" s="46" t="n"/>
      <c r="E1839" s="55" t="n"/>
      <c r="F1839" s="46" t="n"/>
      <c r="G1839" s="46" t="n"/>
      <c r="H1839" s="46" t="n"/>
      <c r="I1839" s="46" t="n"/>
      <c r="J1839" s="46" t="n"/>
      <c r="K1839" s="46" t="n"/>
      <c r="L1839" s="46" t="n"/>
      <c r="M1839" s="51" t="str">
        <f>IF(NOT(ISNUMBER($E1839)),"",IF($C1839="Receipt",$E1839,IF($C1839="Shipment",-$E1839,IF($C1839="Adjustment",$E1839,0))))</f>
        <v/>
      </c>
      <c r="N1839" s="49" t="str">
        <f>IF($D1839="","",IFERROR(INDEX(Products!$B$2:$B$101,MATCH($D1839,Products!$A$2:$A$101,0))&amp;"","(not found)"))</f>
        <v/>
      </c>
      <c r="O1839" s="49" t="str">
        <f>IF($F1839="","",IFERROR(INDEX(Batches!$B$2:$B$301,MATCH($F1839,Batches!$A$2:$A$301,0))&amp;"","(not found)"))</f>
        <v/>
      </c>
      <c r="P1839" s="49" t="str">
        <f>IF(COUNTA($A1839:$L1839)=0,"",IF($A1839="","Missing: entry ID",IF(COUNTIF($A$2:$A$2001,$A1839)&gt;1,"Duplicate entry ID",IF(NOT(ISNUMBER($B1839)),"Missing or invalid: date",IF($C1839="","Missing: type",IF($D1839="","Missing: SKU",IF(NOT(ISNUMBER($E1839)),"Missing: qty",IF($F1839="","Missing: lot",IF($I1839="","Missing: source link",IF(COUNTIF(Config!$A$15:$A$34,$C1839)=0,"Unsupported type",IF(COUNTIF(Products!$A$2:$A$101,$D1839)=0,"Unknown SKU",IF(COUNTIFS(Batches!$A$2:$A$301,$F1839,Batches!$B$2:$B$301,$D1839)=0,"Unknown lot for this SKU",IF(AND($C1839="Adjustment",$G1839=""),"Missing: reason",IF(AND($G1839&lt;&gt;"",COUNTIF(Config!$B$15:$B$34,$G1839)=0),"Unsupported reason",IF(OR(INT($E1839)&lt;&gt;$E1839,AND(OR($C1839="Receipt",$C1839="Shipment"),$E1839&lt;=0),AND($C1839="Adjustment",$E1839=0)),"Invalid qty",IF($B1839&gt;Config!$B$4,"Date after the as-of date",IF($B1839&lt;Config!$B$5,"Date before the opening balance date","OK")))))))))))))))))</f>
        <v/>
      </c>
    </row>
    <row r="1840">
      <c r="A1840" s="46" t="n"/>
      <c r="B1840" s="54" t="n"/>
      <c r="C1840" s="46" t="n"/>
      <c r="D1840" s="46" t="n"/>
      <c r="E1840" s="55" t="n"/>
      <c r="F1840" s="46" t="n"/>
      <c r="G1840" s="46" t="n"/>
      <c r="H1840" s="46" t="n"/>
      <c r="I1840" s="46" t="n"/>
      <c r="J1840" s="46" t="n"/>
      <c r="K1840" s="46" t="n"/>
      <c r="L1840" s="46" t="n"/>
      <c r="M1840" s="51" t="str">
        <f>IF(NOT(ISNUMBER($E1840)),"",IF($C1840="Receipt",$E1840,IF($C1840="Shipment",-$E1840,IF($C1840="Adjustment",$E1840,0))))</f>
        <v/>
      </c>
      <c r="N1840" s="49" t="str">
        <f>IF($D1840="","",IFERROR(INDEX(Products!$B$2:$B$101,MATCH($D1840,Products!$A$2:$A$101,0))&amp;"","(not found)"))</f>
        <v/>
      </c>
      <c r="O1840" s="49" t="str">
        <f>IF($F1840="","",IFERROR(INDEX(Batches!$B$2:$B$301,MATCH($F1840,Batches!$A$2:$A$301,0))&amp;"","(not found)"))</f>
        <v/>
      </c>
      <c r="P1840" s="49" t="str">
        <f>IF(COUNTA($A1840:$L1840)=0,"",IF($A1840="","Missing: entry ID",IF(COUNTIF($A$2:$A$2001,$A1840)&gt;1,"Duplicate entry ID",IF(NOT(ISNUMBER($B1840)),"Missing or invalid: date",IF($C1840="","Missing: type",IF($D1840="","Missing: SKU",IF(NOT(ISNUMBER($E1840)),"Missing: qty",IF($F1840="","Missing: lot",IF($I1840="","Missing: source link",IF(COUNTIF(Config!$A$15:$A$34,$C1840)=0,"Unsupported type",IF(COUNTIF(Products!$A$2:$A$101,$D1840)=0,"Unknown SKU",IF(COUNTIFS(Batches!$A$2:$A$301,$F1840,Batches!$B$2:$B$301,$D1840)=0,"Unknown lot for this SKU",IF(AND($C1840="Adjustment",$G1840=""),"Missing: reason",IF(AND($G1840&lt;&gt;"",COUNTIF(Config!$B$15:$B$34,$G1840)=0),"Unsupported reason",IF(OR(INT($E1840)&lt;&gt;$E1840,AND(OR($C1840="Receipt",$C1840="Shipment"),$E1840&lt;=0),AND($C1840="Adjustment",$E1840=0)),"Invalid qty",IF($B1840&gt;Config!$B$4,"Date after the as-of date",IF($B1840&lt;Config!$B$5,"Date before the opening balance date","OK")))))))))))))))))</f>
        <v/>
      </c>
    </row>
    <row r="1841">
      <c r="A1841" s="46" t="n"/>
      <c r="B1841" s="54" t="n"/>
      <c r="C1841" s="46" t="n"/>
      <c r="D1841" s="46" t="n"/>
      <c r="E1841" s="55" t="n"/>
      <c r="F1841" s="46" t="n"/>
      <c r="G1841" s="46" t="n"/>
      <c r="H1841" s="46" t="n"/>
      <c r="I1841" s="46" t="n"/>
      <c r="J1841" s="46" t="n"/>
      <c r="K1841" s="46" t="n"/>
      <c r="L1841" s="46" t="n"/>
      <c r="M1841" s="51" t="str">
        <f>IF(NOT(ISNUMBER($E1841)),"",IF($C1841="Receipt",$E1841,IF($C1841="Shipment",-$E1841,IF($C1841="Adjustment",$E1841,0))))</f>
        <v/>
      </c>
      <c r="N1841" s="49" t="str">
        <f>IF($D1841="","",IFERROR(INDEX(Products!$B$2:$B$101,MATCH($D1841,Products!$A$2:$A$101,0))&amp;"","(not found)"))</f>
        <v/>
      </c>
      <c r="O1841" s="49" t="str">
        <f>IF($F1841="","",IFERROR(INDEX(Batches!$B$2:$B$301,MATCH($F1841,Batches!$A$2:$A$301,0))&amp;"","(not found)"))</f>
        <v/>
      </c>
      <c r="P1841" s="49" t="str">
        <f>IF(COUNTA($A1841:$L1841)=0,"",IF($A1841="","Missing: entry ID",IF(COUNTIF($A$2:$A$2001,$A1841)&gt;1,"Duplicate entry ID",IF(NOT(ISNUMBER($B1841)),"Missing or invalid: date",IF($C1841="","Missing: type",IF($D1841="","Missing: SKU",IF(NOT(ISNUMBER($E1841)),"Missing: qty",IF($F1841="","Missing: lot",IF($I1841="","Missing: source link",IF(COUNTIF(Config!$A$15:$A$34,$C1841)=0,"Unsupported type",IF(COUNTIF(Products!$A$2:$A$101,$D1841)=0,"Unknown SKU",IF(COUNTIFS(Batches!$A$2:$A$301,$F1841,Batches!$B$2:$B$301,$D1841)=0,"Unknown lot for this SKU",IF(AND($C1841="Adjustment",$G1841=""),"Missing: reason",IF(AND($G1841&lt;&gt;"",COUNTIF(Config!$B$15:$B$34,$G1841)=0),"Unsupported reason",IF(OR(INT($E1841)&lt;&gt;$E1841,AND(OR($C1841="Receipt",$C1841="Shipment"),$E1841&lt;=0),AND($C1841="Adjustment",$E1841=0)),"Invalid qty",IF($B1841&gt;Config!$B$4,"Date after the as-of date",IF($B1841&lt;Config!$B$5,"Date before the opening balance date","OK")))))))))))))))))</f>
        <v/>
      </c>
    </row>
    <row r="1842">
      <c r="A1842" s="46" t="n"/>
      <c r="B1842" s="54" t="n"/>
      <c r="C1842" s="46" t="n"/>
      <c r="D1842" s="46" t="n"/>
      <c r="E1842" s="55" t="n"/>
      <c r="F1842" s="46" t="n"/>
      <c r="G1842" s="46" t="n"/>
      <c r="H1842" s="46" t="n"/>
      <c r="I1842" s="46" t="n"/>
      <c r="J1842" s="46" t="n"/>
      <c r="K1842" s="46" t="n"/>
      <c r="L1842" s="46" t="n"/>
      <c r="M1842" s="51" t="str">
        <f>IF(NOT(ISNUMBER($E1842)),"",IF($C1842="Receipt",$E1842,IF($C1842="Shipment",-$E1842,IF($C1842="Adjustment",$E1842,0))))</f>
        <v/>
      </c>
      <c r="N1842" s="49" t="str">
        <f>IF($D1842="","",IFERROR(INDEX(Products!$B$2:$B$101,MATCH($D1842,Products!$A$2:$A$101,0))&amp;"","(not found)"))</f>
        <v/>
      </c>
      <c r="O1842" s="49" t="str">
        <f>IF($F1842="","",IFERROR(INDEX(Batches!$B$2:$B$301,MATCH($F1842,Batches!$A$2:$A$301,0))&amp;"","(not found)"))</f>
        <v/>
      </c>
      <c r="P1842" s="49" t="str">
        <f>IF(COUNTA($A1842:$L1842)=0,"",IF($A1842="","Missing: entry ID",IF(COUNTIF($A$2:$A$2001,$A1842)&gt;1,"Duplicate entry ID",IF(NOT(ISNUMBER($B1842)),"Missing or invalid: date",IF($C1842="","Missing: type",IF($D1842="","Missing: SKU",IF(NOT(ISNUMBER($E1842)),"Missing: qty",IF($F1842="","Missing: lot",IF($I1842="","Missing: source link",IF(COUNTIF(Config!$A$15:$A$34,$C1842)=0,"Unsupported type",IF(COUNTIF(Products!$A$2:$A$101,$D1842)=0,"Unknown SKU",IF(COUNTIFS(Batches!$A$2:$A$301,$F1842,Batches!$B$2:$B$301,$D1842)=0,"Unknown lot for this SKU",IF(AND($C1842="Adjustment",$G1842=""),"Missing: reason",IF(AND($G1842&lt;&gt;"",COUNTIF(Config!$B$15:$B$34,$G1842)=0),"Unsupported reason",IF(OR(INT($E1842)&lt;&gt;$E1842,AND(OR($C1842="Receipt",$C1842="Shipment"),$E1842&lt;=0),AND($C1842="Adjustment",$E1842=0)),"Invalid qty",IF($B1842&gt;Config!$B$4,"Date after the as-of date",IF($B1842&lt;Config!$B$5,"Date before the opening balance date","OK")))))))))))))))))</f>
        <v/>
      </c>
    </row>
    <row r="1843">
      <c r="A1843" s="46" t="n"/>
      <c r="B1843" s="54" t="n"/>
      <c r="C1843" s="46" t="n"/>
      <c r="D1843" s="46" t="n"/>
      <c r="E1843" s="55" t="n"/>
      <c r="F1843" s="46" t="n"/>
      <c r="G1843" s="46" t="n"/>
      <c r="H1843" s="46" t="n"/>
      <c r="I1843" s="46" t="n"/>
      <c r="J1843" s="46" t="n"/>
      <c r="K1843" s="46" t="n"/>
      <c r="L1843" s="46" t="n"/>
      <c r="M1843" s="51" t="str">
        <f>IF(NOT(ISNUMBER($E1843)),"",IF($C1843="Receipt",$E1843,IF($C1843="Shipment",-$E1843,IF($C1843="Adjustment",$E1843,0))))</f>
        <v/>
      </c>
      <c r="N1843" s="49" t="str">
        <f>IF($D1843="","",IFERROR(INDEX(Products!$B$2:$B$101,MATCH($D1843,Products!$A$2:$A$101,0))&amp;"","(not found)"))</f>
        <v/>
      </c>
      <c r="O1843" s="49" t="str">
        <f>IF($F1843="","",IFERROR(INDEX(Batches!$B$2:$B$301,MATCH($F1843,Batches!$A$2:$A$301,0))&amp;"","(not found)"))</f>
        <v/>
      </c>
      <c r="P1843" s="49" t="str">
        <f>IF(COUNTA($A1843:$L1843)=0,"",IF($A1843="","Missing: entry ID",IF(COUNTIF($A$2:$A$2001,$A1843)&gt;1,"Duplicate entry ID",IF(NOT(ISNUMBER($B1843)),"Missing or invalid: date",IF($C1843="","Missing: type",IF($D1843="","Missing: SKU",IF(NOT(ISNUMBER($E1843)),"Missing: qty",IF($F1843="","Missing: lot",IF($I1843="","Missing: source link",IF(COUNTIF(Config!$A$15:$A$34,$C1843)=0,"Unsupported type",IF(COUNTIF(Products!$A$2:$A$101,$D1843)=0,"Unknown SKU",IF(COUNTIFS(Batches!$A$2:$A$301,$F1843,Batches!$B$2:$B$301,$D1843)=0,"Unknown lot for this SKU",IF(AND($C1843="Adjustment",$G1843=""),"Missing: reason",IF(AND($G1843&lt;&gt;"",COUNTIF(Config!$B$15:$B$34,$G1843)=0),"Unsupported reason",IF(OR(INT($E1843)&lt;&gt;$E1843,AND(OR($C1843="Receipt",$C1843="Shipment"),$E1843&lt;=0),AND($C1843="Adjustment",$E1843=0)),"Invalid qty",IF($B1843&gt;Config!$B$4,"Date after the as-of date",IF($B1843&lt;Config!$B$5,"Date before the opening balance date","OK")))))))))))))))))</f>
        <v/>
      </c>
    </row>
    <row r="1844">
      <c r="A1844" s="46" t="n"/>
      <c r="B1844" s="54" t="n"/>
      <c r="C1844" s="46" t="n"/>
      <c r="D1844" s="46" t="n"/>
      <c r="E1844" s="55" t="n"/>
      <c r="F1844" s="46" t="n"/>
      <c r="G1844" s="46" t="n"/>
      <c r="H1844" s="46" t="n"/>
      <c r="I1844" s="46" t="n"/>
      <c r="J1844" s="46" t="n"/>
      <c r="K1844" s="46" t="n"/>
      <c r="L1844" s="46" t="n"/>
      <c r="M1844" s="51" t="str">
        <f>IF(NOT(ISNUMBER($E1844)),"",IF($C1844="Receipt",$E1844,IF($C1844="Shipment",-$E1844,IF($C1844="Adjustment",$E1844,0))))</f>
        <v/>
      </c>
      <c r="N1844" s="49" t="str">
        <f>IF($D1844="","",IFERROR(INDEX(Products!$B$2:$B$101,MATCH($D1844,Products!$A$2:$A$101,0))&amp;"","(not found)"))</f>
        <v/>
      </c>
      <c r="O1844" s="49" t="str">
        <f>IF($F1844="","",IFERROR(INDEX(Batches!$B$2:$B$301,MATCH($F1844,Batches!$A$2:$A$301,0))&amp;"","(not found)"))</f>
        <v/>
      </c>
      <c r="P1844" s="49" t="str">
        <f>IF(COUNTA($A1844:$L1844)=0,"",IF($A1844="","Missing: entry ID",IF(COUNTIF($A$2:$A$2001,$A1844)&gt;1,"Duplicate entry ID",IF(NOT(ISNUMBER($B1844)),"Missing or invalid: date",IF($C1844="","Missing: type",IF($D1844="","Missing: SKU",IF(NOT(ISNUMBER($E1844)),"Missing: qty",IF($F1844="","Missing: lot",IF($I1844="","Missing: source link",IF(COUNTIF(Config!$A$15:$A$34,$C1844)=0,"Unsupported type",IF(COUNTIF(Products!$A$2:$A$101,$D1844)=0,"Unknown SKU",IF(COUNTIFS(Batches!$A$2:$A$301,$F1844,Batches!$B$2:$B$301,$D1844)=0,"Unknown lot for this SKU",IF(AND($C1844="Adjustment",$G1844=""),"Missing: reason",IF(AND($G1844&lt;&gt;"",COUNTIF(Config!$B$15:$B$34,$G1844)=0),"Unsupported reason",IF(OR(INT($E1844)&lt;&gt;$E1844,AND(OR($C1844="Receipt",$C1844="Shipment"),$E1844&lt;=0),AND($C1844="Adjustment",$E1844=0)),"Invalid qty",IF($B1844&gt;Config!$B$4,"Date after the as-of date",IF($B1844&lt;Config!$B$5,"Date before the opening balance date","OK")))))))))))))))))</f>
        <v/>
      </c>
    </row>
    <row r="1845">
      <c r="A1845" s="46" t="n"/>
      <c r="B1845" s="54" t="n"/>
      <c r="C1845" s="46" t="n"/>
      <c r="D1845" s="46" t="n"/>
      <c r="E1845" s="55" t="n"/>
      <c r="F1845" s="46" t="n"/>
      <c r="G1845" s="46" t="n"/>
      <c r="H1845" s="46" t="n"/>
      <c r="I1845" s="46" t="n"/>
      <c r="J1845" s="46" t="n"/>
      <c r="K1845" s="46" t="n"/>
      <c r="L1845" s="46" t="n"/>
      <c r="M1845" s="51" t="str">
        <f>IF(NOT(ISNUMBER($E1845)),"",IF($C1845="Receipt",$E1845,IF($C1845="Shipment",-$E1845,IF($C1845="Adjustment",$E1845,0))))</f>
        <v/>
      </c>
      <c r="N1845" s="49" t="str">
        <f>IF($D1845="","",IFERROR(INDEX(Products!$B$2:$B$101,MATCH($D1845,Products!$A$2:$A$101,0))&amp;"","(not found)"))</f>
        <v/>
      </c>
      <c r="O1845" s="49" t="str">
        <f>IF($F1845="","",IFERROR(INDEX(Batches!$B$2:$B$301,MATCH($F1845,Batches!$A$2:$A$301,0))&amp;"","(not found)"))</f>
        <v/>
      </c>
      <c r="P1845" s="49" t="str">
        <f>IF(COUNTA($A1845:$L1845)=0,"",IF($A1845="","Missing: entry ID",IF(COUNTIF($A$2:$A$2001,$A1845)&gt;1,"Duplicate entry ID",IF(NOT(ISNUMBER($B1845)),"Missing or invalid: date",IF($C1845="","Missing: type",IF($D1845="","Missing: SKU",IF(NOT(ISNUMBER($E1845)),"Missing: qty",IF($F1845="","Missing: lot",IF($I1845="","Missing: source link",IF(COUNTIF(Config!$A$15:$A$34,$C1845)=0,"Unsupported type",IF(COUNTIF(Products!$A$2:$A$101,$D1845)=0,"Unknown SKU",IF(COUNTIFS(Batches!$A$2:$A$301,$F1845,Batches!$B$2:$B$301,$D1845)=0,"Unknown lot for this SKU",IF(AND($C1845="Adjustment",$G1845=""),"Missing: reason",IF(AND($G1845&lt;&gt;"",COUNTIF(Config!$B$15:$B$34,$G1845)=0),"Unsupported reason",IF(OR(INT($E1845)&lt;&gt;$E1845,AND(OR($C1845="Receipt",$C1845="Shipment"),$E1845&lt;=0),AND($C1845="Adjustment",$E1845=0)),"Invalid qty",IF($B1845&gt;Config!$B$4,"Date after the as-of date",IF($B1845&lt;Config!$B$5,"Date before the opening balance date","OK")))))))))))))))))</f>
        <v/>
      </c>
    </row>
    <row r="1846">
      <c r="A1846" s="46" t="n"/>
      <c r="B1846" s="54" t="n"/>
      <c r="C1846" s="46" t="n"/>
      <c r="D1846" s="46" t="n"/>
      <c r="E1846" s="55" t="n"/>
      <c r="F1846" s="46" t="n"/>
      <c r="G1846" s="46" t="n"/>
      <c r="H1846" s="46" t="n"/>
      <c r="I1846" s="46" t="n"/>
      <c r="J1846" s="46" t="n"/>
      <c r="K1846" s="46" t="n"/>
      <c r="L1846" s="46" t="n"/>
      <c r="M1846" s="51" t="str">
        <f>IF(NOT(ISNUMBER($E1846)),"",IF($C1846="Receipt",$E1846,IF($C1846="Shipment",-$E1846,IF($C1846="Adjustment",$E1846,0))))</f>
        <v/>
      </c>
      <c r="N1846" s="49" t="str">
        <f>IF($D1846="","",IFERROR(INDEX(Products!$B$2:$B$101,MATCH($D1846,Products!$A$2:$A$101,0))&amp;"","(not found)"))</f>
        <v/>
      </c>
      <c r="O1846" s="49" t="str">
        <f>IF($F1846="","",IFERROR(INDEX(Batches!$B$2:$B$301,MATCH($F1846,Batches!$A$2:$A$301,0))&amp;"","(not found)"))</f>
        <v/>
      </c>
      <c r="P1846" s="49" t="str">
        <f>IF(COUNTA($A1846:$L1846)=0,"",IF($A1846="","Missing: entry ID",IF(COUNTIF($A$2:$A$2001,$A1846)&gt;1,"Duplicate entry ID",IF(NOT(ISNUMBER($B1846)),"Missing or invalid: date",IF($C1846="","Missing: type",IF($D1846="","Missing: SKU",IF(NOT(ISNUMBER($E1846)),"Missing: qty",IF($F1846="","Missing: lot",IF($I1846="","Missing: source link",IF(COUNTIF(Config!$A$15:$A$34,$C1846)=0,"Unsupported type",IF(COUNTIF(Products!$A$2:$A$101,$D1846)=0,"Unknown SKU",IF(COUNTIFS(Batches!$A$2:$A$301,$F1846,Batches!$B$2:$B$301,$D1846)=0,"Unknown lot for this SKU",IF(AND($C1846="Adjustment",$G1846=""),"Missing: reason",IF(AND($G1846&lt;&gt;"",COUNTIF(Config!$B$15:$B$34,$G1846)=0),"Unsupported reason",IF(OR(INT($E1846)&lt;&gt;$E1846,AND(OR($C1846="Receipt",$C1846="Shipment"),$E1846&lt;=0),AND($C1846="Adjustment",$E1846=0)),"Invalid qty",IF($B1846&gt;Config!$B$4,"Date after the as-of date",IF($B1846&lt;Config!$B$5,"Date before the opening balance date","OK")))))))))))))))))</f>
        <v/>
      </c>
    </row>
    <row r="1847">
      <c r="A1847" s="46" t="n"/>
      <c r="B1847" s="54" t="n"/>
      <c r="C1847" s="46" t="n"/>
      <c r="D1847" s="46" t="n"/>
      <c r="E1847" s="55" t="n"/>
      <c r="F1847" s="46" t="n"/>
      <c r="G1847" s="46" t="n"/>
      <c r="H1847" s="46" t="n"/>
      <c r="I1847" s="46" t="n"/>
      <c r="J1847" s="46" t="n"/>
      <c r="K1847" s="46" t="n"/>
      <c r="L1847" s="46" t="n"/>
      <c r="M1847" s="51" t="str">
        <f>IF(NOT(ISNUMBER($E1847)),"",IF($C1847="Receipt",$E1847,IF($C1847="Shipment",-$E1847,IF($C1847="Adjustment",$E1847,0))))</f>
        <v/>
      </c>
      <c r="N1847" s="49" t="str">
        <f>IF($D1847="","",IFERROR(INDEX(Products!$B$2:$B$101,MATCH($D1847,Products!$A$2:$A$101,0))&amp;"","(not found)"))</f>
        <v/>
      </c>
      <c r="O1847" s="49" t="str">
        <f>IF($F1847="","",IFERROR(INDEX(Batches!$B$2:$B$301,MATCH($F1847,Batches!$A$2:$A$301,0))&amp;"","(not found)"))</f>
        <v/>
      </c>
      <c r="P1847" s="49" t="str">
        <f>IF(COUNTA($A1847:$L1847)=0,"",IF($A1847="","Missing: entry ID",IF(COUNTIF($A$2:$A$2001,$A1847)&gt;1,"Duplicate entry ID",IF(NOT(ISNUMBER($B1847)),"Missing or invalid: date",IF($C1847="","Missing: type",IF($D1847="","Missing: SKU",IF(NOT(ISNUMBER($E1847)),"Missing: qty",IF($F1847="","Missing: lot",IF($I1847="","Missing: source link",IF(COUNTIF(Config!$A$15:$A$34,$C1847)=0,"Unsupported type",IF(COUNTIF(Products!$A$2:$A$101,$D1847)=0,"Unknown SKU",IF(COUNTIFS(Batches!$A$2:$A$301,$F1847,Batches!$B$2:$B$301,$D1847)=0,"Unknown lot for this SKU",IF(AND($C1847="Adjustment",$G1847=""),"Missing: reason",IF(AND($G1847&lt;&gt;"",COUNTIF(Config!$B$15:$B$34,$G1847)=0),"Unsupported reason",IF(OR(INT($E1847)&lt;&gt;$E1847,AND(OR($C1847="Receipt",$C1847="Shipment"),$E1847&lt;=0),AND($C1847="Adjustment",$E1847=0)),"Invalid qty",IF($B1847&gt;Config!$B$4,"Date after the as-of date",IF($B1847&lt;Config!$B$5,"Date before the opening balance date","OK")))))))))))))))))</f>
        <v/>
      </c>
    </row>
    <row r="1848">
      <c r="A1848" s="46" t="n"/>
      <c r="B1848" s="54" t="n"/>
      <c r="C1848" s="46" t="n"/>
      <c r="D1848" s="46" t="n"/>
      <c r="E1848" s="55" t="n"/>
      <c r="F1848" s="46" t="n"/>
      <c r="G1848" s="46" t="n"/>
      <c r="H1848" s="46" t="n"/>
      <c r="I1848" s="46" t="n"/>
      <c r="J1848" s="46" t="n"/>
      <c r="K1848" s="46" t="n"/>
      <c r="L1848" s="46" t="n"/>
      <c r="M1848" s="51" t="str">
        <f>IF(NOT(ISNUMBER($E1848)),"",IF($C1848="Receipt",$E1848,IF($C1848="Shipment",-$E1848,IF($C1848="Adjustment",$E1848,0))))</f>
        <v/>
      </c>
      <c r="N1848" s="49" t="str">
        <f>IF($D1848="","",IFERROR(INDEX(Products!$B$2:$B$101,MATCH($D1848,Products!$A$2:$A$101,0))&amp;"","(not found)"))</f>
        <v/>
      </c>
      <c r="O1848" s="49" t="str">
        <f>IF($F1848="","",IFERROR(INDEX(Batches!$B$2:$B$301,MATCH($F1848,Batches!$A$2:$A$301,0))&amp;"","(not found)"))</f>
        <v/>
      </c>
      <c r="P1848" s="49" t="str">
        <f>IF(COUNTA($A1848:$L1848)=0,"",IF($A1848="","Missing: entry ID",IF(COUNTIF($A$2:$A$2001,$A1848)&gt;1,"Duplicate entry ID",IF(NOT(ISNUMBER($B1848)),"Missing or invalid: date",IF($C1848="","Missing: type",IF($D1848="","Missing: SKU",IF(NOT(ISNUMBER($E1848)),"Missing: qty",IF($F1848="","Missing: lot",IF($I1848="","Missing: source link",IF(COUNTIF(Config!$A$15:$A$34,$C1848)=0,"Unsupported type",IF(COUNTIF(Products!$A$2:$A$101,$D1848)=0,"Unknown SKU",IF(COUNTIFS(Batches!$A$2:$A$301,$F1848,Batches!$B$2:$B$301,$D1848)=0,"Unknown lot for this SKU",IF(AND($C1848="Adjustment",$G1848=""),"Missing: reason",IF(AND($G1848&lt;&gt;"",COUNTIF(Config!$B$15:$B$34,$G1848)=0),"Unsupported reason",IF(OR(INT($E1848)&lt;&gt;$E1848,AND(OR($C1848="Receipt",$C1848="Shipment"),$E1848&lt;=0),AND($C1848="Adjustment",$E1848=0)),"Invalid qty",IF($B1848&gt;Config!$B$4,"Date after the as-of date",IF($B1848&lt;Config!$B$5,"Date before the opening balance date","OK")))))))))))))))))</f>
        <v/>
      </c>
    </row>
    <row r="1849">
      <c r="A1849" s="46" t="n"/>
      <c r="B1849" s="54" t="n"/>
      <c r="C1849" s="46" t="n"/>
      <c r="D1849" s="46" t="n"/>
      <c r="E1849" s="55" t="n"/>
      <c r="F1849" s="46" t="n"/>
      <c r="G1849" s="46" t="n"/>
      <c r="H1849" s="46" t="n"/>
      <c r="I1849" s="46" t="n"/>
      <c r="J1849" s="46" t="n"/>
      <c r="K1849" s="46" t="n"/>
      <c r="L1849" s="46" t="n"/>
      <c r="M1849" s="51" t="str">
        <f>IF(NOT(ISNUMBER($E1849)),"",IF($C1849="Receipt",$E1849,IF($C1849="Shipment",-$E1849,IF($C1849="Adjustment",$E1849,0))))</f>
        <v/>
      </c>
      <c r="N1849" s="49" t="str">
        <f>IF($D1849="","",IFERROR(INDEX(Products!$B$2:$B$101,MATCH($D1849,Products!$A$2:$A$101,0))&amp;"","(not found)"))</f>
        <v/>
      </c>
      <c r="O1849" s="49" t="str">
        <f>IF($F1849="","",IFERROR(INDEX(Batches!$B$2:$B$301,MATCH($F1849,Batches!$A$2:$A$301,0))&amp;"","(not found)"))</f>
        <v/>
      </c>
      <c r="P1849" s="49" t="str">
        <f>IF(COUNTA($A1849:$L1849)=0,"",IF($A1849="","Missing: entry ID",IF(COUNTIF($A$2:$A$2001,$A1849)&gt;1,"Duplicate entry ID",IF(NOT(ISNUMBER($B1849)),"Missing or invalid: date",IF($C1849="","Missing: type",IF($D1849="","Missing: SKU",IF(NOT(ISNUMBER($E1849)),"Missing: qty",IF($F1849="","Missing: lot",IF($I1849="","Missing: source link",IF(COUNTIF(Config!$A$15:$A$34,$C1849)=0,"Unsupported type",IF(COUNTIF(Products!$A$2:$A$101,$D1849)=0,"Unknown SKU",IF(COUNTIFS(Batches!$A$2:$A$301,$F1849,Batches!$B$2:$B$301,$D1849)=0,"Unknown lot for this SKU",IF(AND($C1849="Adjustment",$G1849=""),"Missing: reason",IF(AND($G1849&lt;&gt;"",COUNTIF(Config!$B$15:$B$34,$G1849)=0),"Unsupported reason",IF(OR(INT($E1849)&lt;&gt;$E1849,AND(OR($C1849="Receipt",$C1849="Shipment"),$E1849&lt;=0),AND($C1849="Adjustment",$E1849=0)),"Invalid qty",IF($B1849&gt;Config!$B$4,"Date after the as-of date",IF($B1849&lt;Config!$B$5,"Date before the opening balance date","OK")))))))))))))))))</f>
        <v/>
      </c>
    </row>
    <row r="1850">
      <c r="A1850" s="46" t="n"/>
      <c r="B1850" s="54" t="n"/>
      <c r="C1850" s="46" t="n"/>
      <c r="D1850" s="46" t="n"/>
      <c r="E1850" s="55" t="n"/>
      <c r="F1850" s="46" t="n"/>
      <c r="G1850" s="46" t="n"/>
      <c r="H1850" s="46" t="n"/>
      <c r="I1850" s="46" t="n"/>
      <c r="J1850" s="46" t="n"/>
      <c r="K1850" s="46" t="n"/>
      <c r="L1850" s="46" t="n"/>
      <c r="M1850" s="51" t="str">
        <f>IF(NOT(ISNUMBER($E1850)),"",IF($C1850="Receipt",$E1850,IF($C1850="Shipment",-$E1850,IF($C1850="Adjustment",$E1850,0))))</f>
        <v/>
      </c>
      <c r="N1850" s="49" t="str">
        <f>IF($D1850="","",IFERROR(INDEX(Products!$B$2:$B$101,MATCH($D1850,Products!$A$2:$A$101,0))&amp;"","(not found)"))</f>
        <v/>
      </c>
      <c r="O1850" s="49" t="str">
        <f>IF($F1850="","",IFERROR(INDEX(Batches!$B$2:$B$301,MATCH($F1850,Batches!$A$2:$A$301,0))&amp;"","(not found)"))</f>
        <v/>
      </c>
      <c r="P1850" s="49" t="str">
        <f>IF(COUNTA($A1850:$L1850)=0,"",IF($A1850="","Missing: entry ID",IF(COUNTIF($A$2:$A$2001,$A1850)&gt;1,"Duplicate entry ID",IF(NOT(ISNUMBER($B1850)),"Missing or invalid: date",IF($C1850="","Missing: type",IF($D1850="","Missing: SKU",IF(NOT(ISNUMBER($E1850)),"Missing: qty",IF($F1850="","Missing: lot",IF($I1850="","Missing: source link",IF(COUNTIF(Config!$A$15:$A$34,$C1850)=0,"Unsupported type",IF(COUNTIF(Products!$A$2:$A$101,$D1850)=0,"Unknown SKU",IF(COUNTIFS(Batches!$A$2:$A$301,$F1850,Batches!$B$2:$B$301,$D1850)=0,"Unknown lot for this SKU",IF(AND($C1850="Adjustment",$G1850=""),"Missing: reason",IF(AND($G1850&lt;&gt;"",COUNTIF(Config!$B$15:$B$34,$G1850)=0),"Unsupported reason",IF(OR(INT($E1850)&lt;&gt;$E1850,AND(OR($C1850="Receipt",$C1850="Shipment"),$E1850&lt;=0),AND($C1850="Adjustment",$E1850=0)),"Invalid qty",IF($B1850&gt;Config!$B$4,"Date after the as-of date",IF($B1850&lt;Config!$B$5,"Date before the opening balance date","OK")))))))))))))))))</f>
        <v/>
      </c>
    </row>
    <row r="1851">
      <c r="A1851" s="46" t="n"/>
      <c r="B1851" s="54" t="n"/>
      <c r="C1851" s="46" t="n"/>
      <c r="D1851" s="46" t="n"/>
      <c r="E1851" s="55" t="n"/>
      <c r="F1851" s="46" t="n"/>
      <c r="G1851" s="46" t="n"/>
      <c r="H1851" s="46" t="n"/>
      <c r="I1851" s="46" t="n"/>
      <c r="J1851" s="46" t="n"/>
      <c r="K1851" s="46" t="n"/>
      <c r="L1851" s="46" t="n"/>
      <c r="M1851" s="51" t="str">
        <f>IF(NOT(ISNUMBER($E1851)),"",IF($C1851="Receipt",$E1851,IF($C1851="Shipment",-$E1851,IF($C1851="Adjustment",$E1851,0))))</f>
        <v/>
      </c>
      <c r="N1851" s="49" t="str">
        <f>IF($D1851="","",IFERROR(INDEX(Products!$B$2:$B$101,MATCH($D1851,Products!$A$2:$A$101,0))&amp;"","(not found)"))</f>
        <v/>
      </c>
      <c r="O1851" s="49" t="str">
        <f>IF($F1851="","",IFERROR(INDEX(Batches!$B$2:$B$301,MATCH($F1851,Batches!$A$2:$A$301,0))&amp;"","(not found)"))</f>
        <v/>
      </c>
      <c r="P1851" s="49" t="str">
        <f>IF(COUNTA($A1851:$L1851)=0,"",IF($A1851="","Missing: entry ID",IF(COUNTIF($A$2:$A$2001,$A1851)&gt;1,"Duplicate entry ID",IF(NOT(ISNUMBER($B1851)),"Missing or invalid: date",IF($C1851="","Missing: type",IF($D1851="","Missing: SKU",IF(NOT(ISNUMBER($E1851)),"Missing: qty",IF($F1851="","Missing: lot",IF($I1851="","Missing: source link",IF(COUNTIF(Config!$A$15:$A$34,$C1851)=0,"Unsupported type",IF(COUNTIF(Products!$A$2:$A$101,$D1851)=0,"Unknown SKU",IF(COUNTIFS(Batches!$A$2:$A$301,$F1851,Batches!$B$2:$B$301,$D1851)=0,"Unknown lot for this SKU",IF(AND($C1851="Adjustment",$G1851=""),"Missing: reason",IF(AND($G1851&lt;&gt;"",COUNTIF(Config!$B$15:$B$34,$G1851)=0),"Unsupported reason",IF(OR(INT($E1851)&lt;&gt;$E1851,AND(OR($C1851="Receipt",$C1851="Shipment"),$E1851&lt;=0),AND($C1851="Adjustment",$E1851=0)),"Invalid qty",IF($B1851&gt;Config!$B$4,"Date after the as-of date",IF($B1851&lt;Config!$B$5,"Date before the opening balance date","OK")))))))))))))))))</f>
        <v/>
      </c>
    </row>
    <row r="1852">
      <c r="A1852" s="46" t="n"/>
      <c r="B1852" s="54" t="n"/>
      <c r="C1852" s="46" t="n"/>
      <c r="D1852" s="46" t="n"/>
      <c r="E1852" s="55" t="n"/>
      <c r="F1852" s="46" t="n"/>
      <c r="G1852" s="46" t="n"/>
      <c r="H1852" s="46" t="n"/>
      <c r="I1852" s="46" t="n"/>
      <c r="J1852" s="46" t="n"/>
      <c r="K1852" s="46" t="n"/>
      <c r="L1852" s="46" t="n"/>
      <c r="M1852" s="51" t="str">
        <f>IF(NOT(ISNUMBER($E1852)),"",IF($C1852="Receipt",$E1852,IF($C1852="Shipment",-$E1852,IF($C1852="Adjustment",$E1852,0))))</f>
        <v/>
      </c>
      <c r="N1852" s="49" t="str">
        <f>IF($D1852="","",IFERROR(INDEX(Products!$B$2:$B$101,MATCH($D1852,Products!$A$2:$A$101,0))&amp;"","(not found)"))</f>
        <v/>
      </c>
      <c r="O1852" s="49" t="str">
        <f>IF($F1852="","",IFERROR(INDEX(Batches!$B$2:$B$301,MATCH($F1852,Batches!$A$2:$A$301,0))&amp;"","(not found)"))</f>
        <v/>
      </c>
      <c r="P1852" s="49" t="str">
        <f>IF(COUNTA($A1852:$L1852)=0,"",IF($A1852="","Missing: entry ID",IF(COUNTIF($A$2:$A$2001,$A1852)&gt;1,"Duplicate entry ID",IF(NOT(ISNUMBER($B1852)),"Missing or invalid: date",IF($C1852="","Missing: type",IF($D1852="","Missing: SKU",IF(NOT(ISNUMBER($E1852)),"Missing: qty",IF($F1852="","Missing: lot",IF($I1852="","Missing: source link",IF(COUNTIF(Config!$A$15:$A$34,$C1852)=0,"Unsupported type",IF(COUNTIF(Products!$A$2:$A$101,$D1852)=0,"Unknown SKU",IF(COUNTIFS(Batches!$A$2:$A$301,$F1852,Batches!$B$2:$B$301,$D1852)=0,"Unknown lot for this SKU",IF(AND($C1852="Adjustment",$G1852=""),"Missing: reason",IF(AND($G1852&lt;&gt;"",COUNTIF(Config!$B$15:$B$34,$G1852)=0),"Unsupported reason",IF(OR(INT($E1852)&lt;&gt;$E1852,AND(OR($C1852="Receipt",$C1852="Shipment"),$E1852&lt;=0),AND($C1852="Adjustment",$E1852=0)),"Invalid qty",IF($B1852&gt;Config!$B$4,"Date after the as-of date",IF($B1852&lt;Config!$B$5,"Date before the opening balance date","OK")))))))))))))))))</f>
        <v/>
      </c>
    </row>
    <row r="1853">
      <c r="A1853" s="46" t="n"/>
      <c r="B1853" s="54" t="n"/>
      <c r="C1853" s="46" t="n"/>
      <c r="D1853" s="46" t="n"/>
      <c r="E1853" s="55" t="n"/>
      <c r="F1853" s="46" t="n"/>
      <c r="G1853" s="46" t="n"/>
      <c r="H1853" s="46" t="n"/>
      <c r="I1853" s="46" t="n"/>
      <c r="J1853" s="46" t="n"/>
      <c r="K1853" s="46" t="n"/>
      <c r="L1853" s="46" t="n"/>
      <c r="M1853" s="51" t="str">
        <f>IF(NOT(ISNUMBER($E1853)),"",IF($C1853="Receipt",$E1853,IF($C1853="Shipment",-$E1853,IF($C1853="Adjustment",$E1853,0))))</f>
        <v/>
      </c>
      <c r="N1853" s="49" t="str">
        <f>IF($D1853="","",IFERROR(INDEX(Products!$B$2:$B$101,MATCH($D1853,Products!$A$2:$A$101,0))&amp;"","(not found)"))</f>
        <v/>
      </c>
      <c r="O1853" s="49" t="str">
        <f>IF($F1853="","",IFERROR(INDEX(Batches!$B$2:$B$301,MATCH($F1853,Batches!$A$2:$A$301,0))&amp;"","(not found)"))</f>
        <v/>
      </c>
      <c r="P1853" s="49" t="str">
        <f>IF(COUNTA($A1853:$L1853)=0,"",IF($A1853="","Missing: entry ID",IF(COUNTIF($A$2:$A$2001,$A1853)&gt;1,"Duplicate entry ID",IF(NOT(ISNUMBER($B1853)),"Missing or invalid: date",IF($C1853="","Missing: type",IF($D1853="","Missing: SKU",IF(NOT(ISNUMBER($E1853)),"Missing: qty",IF($F1853="","Missing: lot",IF($I1853="","Missing: source link",IF(COUNTIF(Config!$A$15:$A$34,$C1853)=0,"Unsupported type",IF(COUNTIF(Products!$A$2:$A$101,$D1853)=0,"Unknown SKU",IF(COUNTIFS(Batches!$A$2:$A$301,$F1853,Batches!$B$2:$B$301,$D1853)=0,"Unknown lot for this SKU",IF(AND($C1853="Adjustment",$G1853=""),"Missing: reason",IF(AND($G1853&lt;&gt;"",COUNTIF(Config!$B$15:$B$34,$G1853)=0),"Unsupported reason",IF(OR(INT($E1853)&lt;&gt;$E1853,AND(OR($C1853="Receipt",$C1853="Shipment"),$E1853&lt;=0),AND($C1853="Adjustment",$E1853=0)),"Invalid qty",IF($B1853&gt;Config!$B$4,"Date after the as-of date",IF($B1853&lt;Config!$B$5,"Date before the opening balance date","OK")))))))))))))))))</f>
        <v/>
      </c>
    </row>
    <row r="1854">
      <c r="A1854" s="46" t="n"/>
      <c r="B1854" s="54" t="n"/>
      <c r="C1854" s="46" t="n"/>
      <c r="D1854" s="46" t="n"/>
      <c r="E1854" s="55" t="n"/>
      <c r="F1854" s="46" t="n"/>
      <c r="G1854" s="46" t="n"/>
      <c r="H1854" s="46" t="n"/>
      <c r="I1854" s="46" t="n"/>
      <c r="J1854" s="46" t="n"/>
      <c r="K1854" s="46" t="n"/>
      <c r="L1854" s="46" t="n"/>
      <c r="M1854" s="51" t="str">
        <f>IF(NOT(ISNUMBER($E1854)),"",IF($C1854="Receipt",$E1854,IF($C1854="Shipment",-$E1854,IF($C1854="Adjustment",$E1854,0))))</f>
        <v/>
      </c>
      <c r="N1854" s="49" t="str">
        <f>IF($D1854="","",IFERROR(INDEX(Products!$B$2:$B$101,MATCH($D1854,Products!$A$2:$A$101,0))&amp;"","(not found)"))</f>
        <v/>
      </c>
      <c r="O1854" s="49" t="str">
        <f>IF($F1854="","",IFERROR(INDEX(Batches!$B$2:$B$301,MATCH($F1854,Batches!$A$2:$A$301,0))&amp;"","(not found)"))</f>
        <v/>
      </c>
      <c r="P1854" s="49" t="str">
        <f>IF(COUNTA($A1854:$L1854)=0,"",IF($A1854="","Missing: entry ID",IF(COUNTIF($A$2:$A$2001,$A1854)&gt;1,"Duplicate entry ID",IF(NOT(ISNUMBER($B1854)),"Missing or invalid: date",IF($C1854="","Missing: type",IF($D1854="","Missing: SKU",IF(NOT(ISNUMBER($E1854)),"Missing: qty",IF($F1854="","Missing: lot",IF($I1854="","Missing: source link",IF(COUNTIF(Config!$A$15:$A$34,$C1854)=0,"Unsupported type",IF(COUNTIF(Products!$A$2:$A$101,$D1854)=0,"Unknown SKU",IF(COUNTIFS(Batches!$A$2:$A$301,$F1854,Batches!$B$2:$B$301,$D1854)=0,"Unknown lot for this SKU",IF(AND($C1854="Adjustment",$G1854=""),"Missing: reason",IF(AND($G1854&lt;&gt;"",COUNTIF(Config!$B$15:$B$34,$G1854)=0),"Unsupported reason",IF(OR(INT($E1854)&lt;&gt;$E1854,AND(OR($C1854="Receipt",$C1854="Shipment"),$E1854&lt;=0),AND($C1854="Adjustment",$E1854=0)),"Invalid qty",IF($B1854&gt;Config!$B$4,"Date after the as-of date",IF($B1854&lt;Config!$B$5,"Date before the opening balance date","OK")))))))))))))))))</f>
        <v/>
      </c>
    </row>
    <row r="1855">
      <c r="A1855" s="46" t="n"/>
      <c r="B1855" s="54" t="n"/>
      <c r="C1855" s="46" t="n"/>
      <c r="D1855" s="46" t="n"/>
      <c r="E1855" s="55" t="n"/>
      <c r="F1855" s="46" t="n"/>
      <c r="G1855" s="46" t="n"/>
      <c r="H1855" s="46" t="n"/>
      <c r="I1855" s="46" t="n"/>
      <c r="J1855" s="46" t="n"/>
      <c r="K1855" s="46" t="n"/>
      <c r="L1855" s="46" t="n"/>
      <c r="M1855" s="51" t="str">
        <f>IF(NOT(ISNUMBER($E1855)),"",IF($C1855="Receipt",$E1855,IF($C1855="Shipment",-$E1855,IF($C1855="Adjustment",$E1855,0))))</f>
        <v/>
      </c>
      <c r="N1855" s="49" t="str">
        <f>IF($D1855="","",IFERROR(INDEX(Products!$B$2:$B$101,MATCH($D1855,Products!$A$2:$A$101,0))&amp;"","(not found)"))</f>
        <v/>
      </c>
      <c r="O1855" s="49" t="str">
        <f>IF($F1855="","",IFERROR(INDEX(Batches!$B$2:$B$301,MATCH($F1855,Batches!$A$2:$A$301,0))&amp;"","(not found)"))</f>
        <v/>
      </c>
      <c r="P1855" s="49" t="str">
        <f>IF(COUNTA($A1855:$L1855)=0,"",IF($A1855="","Missing: entry ID",IF(COUNTIF($A$2:$A$2001,$A1855)&gt;1,"Duplicate entry ID",IF(NOT(ISNUMBER($B1855)),"Missing or invalid: date",IF($C1855="","Missing: type",IF($D1855="","Missing: SKU",IF(NOT(ISNUMBER($E1855)),"Missing: qty",IF($F1855="","Missing: lot",IF($I1855="","Missing: source link",IF(COUNTIF(Config!$A$15:$A$34,$C1855)=0,"Unsupported type",IF(COUNTIF(Products!$A$2:$A$101,$D1855)=0,"Unknown SKU",IF(COUNTIFS(Batches!$A$2:$A$301,$F1855,Batches!$B$2:$B$301,$D1855)=0,"Unknown lot for this SKU",IF(AND($C1855="Adjustment",$G1855=""),"Missing: reason",IF(AND($G1855&lt;&gt;"",COUNTIF(Config!$B$15:$B$34,$G1855)=0),"Unsupported reason",IF(OR(INT($E1855)&lt;&gt;$E1855,AND(OR($C1855="Receipt",$C1855="Shipment"),$E1855&lt;=0),AND($C1855="Adjustment",$E1855=0)),"Invalid qty",IF($B1855&gt;Config!$B$4,"Date after the as-of date",IF($B1855&lt;Config!$B$5,"Date before the opening balance date","OK")))))))))))))))))</f>
        <v/>
      </c>
    </row>
    <row r="1856">
      <c r="A1856" s="46" t="n"/>
      <c r="B1856" s="54" t="n"/>
      <c r="C1856" s="46" t="n"/>
      <c r="D1856" s="46" t="n"/>
      <c r="E1856" s="55" t="n"/>
      <c r="F1856" s="46" t="n"/>
      <c r="G1856" s="46" t="n"/>
      <c r="H1856" s="46" t="n"/>
      <c r="I1856" s="46" t="n"/>
      <c r="J1856" s="46" t="n"/>
      <c r="K1856" s="46" t="n"/>
      <c r="L1856" s="46" t="n"/>
      <c r="M1856" s="51" t="str">
        <f>IF(NOT(ISNUMBER($E1856)),"",IF($C1856="Receipt",$E1856,IF($C1856="Shipment",-$E1856,IF($C1856="Adjustment",$E1856,0))))</f>
        <v/>
      </c>
      <c r="N1856" s="49" t="str">
        <f>IF($D1856="","",IFERROR(INDEX(Products!$B$2:$B$101,MATCH($D1856,Products!$A$2:$A$101,0))&amp;"","(not found)"))</f>
        <v/>
      </c>
      <c r="O1856" s="49" t="str">
        <f>IF($F1856="","",IFERROR(INDEX(Batches!$B$2:$B$301,MATCH($F1856,Batches!$A$2:$A$301,0))&amp;"","(not found)"))</f>
        <v/>
      </c>
      <c r="P1856" s="49" t="str">
        <f>IF(COUNTA($A1856:$L1856)=0,"",IF($A1856="","Missing: entry ID",IF(COUNTIF($A$2:$A$2001,$A1856)&gt;1,"Duplicate entry ID",IF(NOT(ISNUMBER($B1856)),"Missing or invalid: date",IF($C1856="","Missing: type",IF($D1856="","Missing: SKU",IF(NOT(ISNUMBER($E1856)),"Missing: qty",IF($F1856="","Missing: lot",IF($I1856="","Missing: source link",IF(COUNTIF(Config!$A$15:$A$34,$C1856)=0,"Unsupported type",IF(COUNTIF(Products!$A$2:$A$101,$D1856)=0,"Unknown SKU",IF(COUNTIFS(Batches!$A$2:$A$301,$F1856,Batches!$B$2:$B$301,$D1856)=0,"Unknown lot for this SKU",IF(AND($C1856="Adjustment",$G1856=""),"Missing: reason",IF(AND($G1856&lt;&gt;"",COUNTIF(Config!$B$15:$B$34,$G1856)=0),"Unsupported reason",IF(OR(INT($E1856)&lt;&gt;$E1856,AND(OR($C1856="Receipt",$C1856="Shipment"),$E1856&lt;=0),AND($C1856="Adjustment",$E1856=0)),"Invalid qty",IF($B1856&gt;Config!$B$4,"Date after the as-of date",IF($B1856&lt;Config!$B$5,"Date before the opening balance date","OK")))))))))))))))))</f>
        <v/>
      </c>
    </row>
    <row r="1857">
      <c r="A1857" s="46" t="n"/>
      <c r="B1857" s="54" t="n"/>
      <c r="C1857" s="46" t="n"/>
      <c r="D1857" s="46" t="n"/>
      <c r="E1857" s="55" t="n"/>
      <c r="F1857" s="46" t="n"/>
      <c r="G1857" s="46" t="n"/>
      <c r="H1857" s="46" t="n"/>
      <c r="I1857" s="46" t="n"/>
      <c r="J1857" s="46" t="n"/>
      <c r="K1857" s="46" t="n"/>
      <c r="L1857" s="46" t="n"/>
      <c r="M1857" s="51" t="str">
        <f>IF(NOT(ISNUMBER($E1857)),"",IF($C1857="Receipt",$E1857,IF($C1857="Shipment",-$E1857,IF($C1857="Adjustment",$E1857,0))))</f>
        <v/>
      </c>
      <c r="N1857" s="49" t="str">
        <f>IF($D1857="","",IFERROR(INDEX(Products!$B$2:$B$101,MATCH($D1857,Products!$A$2:$A$101,0))&amp;"","(not found)"))</f>
        <v/>
      </c>
      <c r="O1857" s="49" t="str">
        <f>IF($F1857="","",IFERROR(INDEX(Batches!$B$2:$B$301,MATCH($F1857,Batches!$A$2:$A$301,0))&amp;"","(not found)"))</f>
        <v/>
      </c>
      <c r="P1857" s="49" t="str">
        <f>IF(COUNTA($A1857:$L1857)=0,"",IF($A1857="","Missing: entry ID",IF(COUNTIF($A$2:$A$2001,$A1857)&gt;1,"Duplicate entry ID",IF(NOT(ISNUMBER($B1857)),"Missing or invalid: date",IF($C1857="","Missing: type",IF($D1857="","Missing: SKU",IF(NOT(ISNUMBER($E1857)),"Missing: qty",IF($F1857="","Missing: lot",IF($I1857="","Missing: source link",IF(COUNTIF(Config!$A$15:$A$34,$C1857)=0,"Unsupported type",IF(COUNTIF(Products!$A$2:$A$101,$D1857)=0,"Unknown SKU",IF(COUNTIFS(Batches!$A$2:$A$301,$F1857,Batches!$B$2:$B$301,$D1857)=0,"Unknown lot for this SKU",IF(AND($C1857="Adjustment",$G1857=""),"Missing: reason",IF(AND($G1857&lt;&gt;"",COUNTIF(Config!$B$15:$B$34,$G1857)=0),"Unsupported reason",IF(OR(INT($E1857)&lt;&gt;$E1857,AND(OR($C1857="Receipt",$C1857="Shipment"),$E1857&lt;=0),AND($C1857="Adjustment",$E1857=0)),"Invalid qty",IF($B1857&gt;Config!$B$4,"Date after the as-of date",IF($B1857&lt;Config!$B$5,"Date before the opening balance date","OK")))))))))))))))))</f>
        <v/>
      </c>
    </row>
    <row r="1858">
      <c r="A1858" s="46" t="n"/>
      <c r="B1858" s="54" t="n"/>
      <c r="C1858" s="46" t="n"/>
      <c r="D1858" s="46" t="n"/>
      <c r="E1858" s="55" t="n"/>
      <c r="F1858" s="46" t="n"/>
      <c r="G1858" s="46" t="n"/>
      <c r="H1858" s="46" t="n"/>
      <c r="I1858" s="46" t="n"/>
      <c r="J1858" s="46" t="n"/>
      <c r="K1858" s="46" t="n"/>
      <c r="L1858" s="46" t="n"/>
      <c r="M1858" s="51" t="str">
        <f>IF(NOT(ISNUMBER($E1858)),"",IF($C1858="Receipt",$E1858,IF($C1858="Shipment",-$E1858,IF($C1858="Adjustment",$E1858,0))))</f>
        <v/>
      </c>
      <c r="N1858" s="49" t="str">
        <f>IF($D1858="","",IFERROR(INDEX(Products!$B$2:$B$101,MATCH($D1858,Products!$A$2:$A$101,0))&amp;"","(not found)"))</f>
        <v/>
      </c>
      <c r="O1858" s="49" t="str">
        <f>IF($F1858="","",IFERROR(INDEX(Batches!$B$2:$B$301,MATCH($F1858,Batches!$A$2:$A$301,0))&amp;"","(not found)"))</f>
        <v/>
      </c>
      <c r="P1858" s="49" t="str">
        <f>IF(COUNTA($A1858:$L1858)=0,"",IF($A1858="","Missing: entry ID",IF(COUNTIF($A$2:$A$2001,$A1858)&gt;1,"Duplicate entry ID",IF(NOT(ISNUMBER($B1858)),"Missing or invalid: date",IF($C1858="","Missing: type",IF($D1858="","Missing: SKU",IF(NOT(ISNUMBER($E1858)),"Missing: qty",IF($F1858="","Missing: lot",IF($I1858="","Missing: source link",IF(COUNTIF(Config!$A$15:$A$34,$C1858)=0,"Unsupported type",IF(COUNTIF(Products!$A$2:$A$101,$D1858)=0,"Unknown SKU",IF(COUNTIFS(Batches!$A$2:$A$301,$F1858,Batches!$B$2:$B$301,$D1858)=0,"Unknown lot for this SKU",IF(AND($C1858="Adjustment",$G1858=""),"Missing: reason",IF(AND($G1858&lt;&gt;"",COUNTIF(Config!$B$15:$B$34,$G1858)=0),"Unsupported reason",IF(OR(INT($E1858)&lt;&gt;$E1858,AND(OR($C1858="Receipt",$C1858="Shipment"),$E1858&lt;=0),AND($C1858="Adjustment",$E1858=0)),"Invalid qty",IF($B1858&gt;Config!$B$4,"Date after the as-of date",IF($B1858&lt;Config!$B$5,"Date before the opening balance date","OK")))))))))))))))))</f>
        <v/>
      </c>
    </row>
    <row r="1859">
      <c r="A1859" s="46" t="n"/>
      <c r="B1859" s="54" t="n"/>
      <c r="C1859" s="46" t="n"/>
      <c r="D1859" s="46" t="n"/>
      <c r="E1859" s="55" t="n"/>
      <c r="F1859" s="46" t="n"/>
      <c r="G1859" s="46" t="n"/>
      <c r="H1859" s="46" t="n"/>
      <c r="I1859" s="46" t="n"/>
      <c r="J1859" s="46" t="n"/>
      <c r="K1859" s="46" t="n"/>
      <c r="L1859" s="46" t="n"/>
      <c r="M1859" s="51" t="str">
        <f>IF(NOT(ISNUMBER($E1859)),"",IF($C1859="Receipt",$E1859,IF($C1859="Shipment",-$E1859,IF($C1859="Adjustment",$E1859,0))))</f>
        <v/>
      </c>
      <c r="N1859" s="49" t="str">
        <f>IF($D1859="","",IFERROR(INDEX(Products!$B$2:$B$101,MATCH($D1859,Products!$A$2:$A$101,0))&amp;"","(not found)"))</f>
        <v/>
      </c>
      <c r="O1859" s="49" t="str">
        <f>IF($F1859="","",IFERROR(INDEX(Batches!$B$2:$B$301,MATCH($F1859,Batches!$A$2:$A$301,0))&amp;"","(not found)"))</f>
        <v/>
      </c>
      <c r="P1859" s="49" t="str">
        <f>IF(COUNTA($A1859:$L1859)=0,"",IF($A1859="","Missing: entry ID",IF(COUNTIF($A$2:$A$2001,$A1859)&gt;1,"Duplicate entry ID",IF(NOT(ISNUMBER($B1859)),"Missing or invalid: date",IF($C1859="","Missing: type",IF($D1859="","Missing: SKU",IF(NOT(ISNUMBER($E1859)),"Missing: qty",IF($F1859="","Missing: lot",IF($I1859="","Missing: source link",IF(COUNTIF(Config!$A$15:$A$34,$C1859)=0,"Unsupported type",IF(COUNTIF(Products!$A$2:$A$101,$D1859)=0,"Unknown SKU",IF(COUNTIFS(Batches!$A$2:$A$301,$F1859,Batches!$B$2:$B$301,$D1859)=0,"Unknown lot for this SKU",IF(AND($C1859="Adjustment",$G1859=""),"Missing: reason",IF(AND($G1859&lt;&gt;"",COUNTIF(Config!$B$15:$B$34,$G1859)=0),"Unsupported reason",IF(OR(INT($E1859)&lt;&gt;$E1859,AND(OR($C1859="Receipt",$C1859="Shipment"),$E1859&lt;=0),AND($C1859="Adjustment",$E1859=0)),"Invalid qty",IF($B1859&gt;Config!$B$4,"Date after the as-of date",IF($B1859&lt;Config!$B$5,"Date before the opening balance date","OK")))))))))))))))))</f>
        <v/>
      </c>
    </row>
    <row r="1860">
      <c r="A1860" s="46" t="n"/>
      <c r="B1860" s="54" t="n"/>
      <c r="C1860" s="46" t="n"/>
      <c r="D1860" s="46" t="n"/>
      <c r="E1860" s="55" t="n"/>
      <c r="F1860" s="46" t="n"/>
      <c r="G1860" s="46" t="n"/>
      <c r="H1860" s="46" t="n"/>
      <c r="I1860" s="46" t="n"/>
      <c r="J1860" s="46" t="n"/>
      <c r="K1860" s="46" t="n"/>
      <c r="L1860" s="46" t="n"/>
      <c r="M1860" s="51" t="str">
        <f>IF(NOT(ISNUMBER($E1860)),"",IF($C1860="Receipt",$E1860,IF($C1860="Shipment",-$E1860,IF($C1860="Adjustment",$E1860,0))))</f>
        <v/>
      </c>
      <c r="N1860" s="49" t="str">
        <f>IF($D1860="","",IFERROR(INDEX(Products!$B$2:$B$101,MATCH($D1860,Products!$A$2:$A$101,0))&amp;"","(not found)"))</f>
        <v/>
      </c>
      <c r="O1860" s="49" t="str">
        <f>IF($F1860="","",IFERROR(INDEX(Batches!$B$2:$B$301,MATCH($F1860,Batches!$A$2:$A$301,0))&amp;"","(not found)"))</f>
        <v/>
      </c>
      <c r="P1860" s="49" t="str">
        <f>IF(COUNTA($A1860:$L1860)=0,"",IF($A1860="","Missing: entry ID",IF(COUNTIF($A$2:$A$2001,$A1860)&gt;1,"Duplicate entry ID",IF(NOT(ISNUMBER($B1860)),"Missing or invalid: date",IF($C1860="","Missing: type",IF($D1860="","Missing: SKU",IF(NOT(ISNUMBER($E1860)),"Missing: qty",IF($F1860="","Missing: lot",IF($I1860="","Missing: source link",IF(COUNTIF(Config!$A$15:$A$34,$C1860)=0,"Unsupported type",IF(COUNTIF(Products!$A$2:$A$101,$D1860)=0,"Unknown SKU",IF(COUNTIFS(Batches!$A$2:$A$301,$F1860,Batches!$B$2:$B$301,$D1860)=0,"Unknown lot for this SKU",IF(AND($C1860="Adjustment",$G1860=""),"Missing: reason",IF(AND($G1860&lt;&gt;"",COUNTIF(Config!$B$15:$B$34,$G1860)=0),"Unsupported reason",IF(OR(INT($E1860)&lt;&gt;$E1860,AND(OR($C1860="Receipt",$C1860="Shipment"),$E1860&lt;=0),AND($C1860="Adjustment",$E1860=0)),"Invalid qty",IF($B1860&gt;Config!$B$4,"Date after the as-of date",IF($B1860&lt;Config!$B$5,"Date before the opening balance date","OK")))))))))))))))))</f>
        <v/>
      </c>
    </row>
    <row r="1861">
      <c r="A1861" s="46" t="n"/>
      <c r="B1861" s="54" t="n"/>
      <c r="C1861" s="46" t="n"/>
      <c r="D1861" s="46" t="n"/>
      <c r="E1861" s="55" t="n"/>
      <c r="F1861" s="46" t="n"/>
      <c r="G1861" s="46" t="n"/>
      <c r="H1861" s="46" t="n"/>
      <c r="I1861" s="46" t="n"/>
      <c r="J1861" s="46" t="n"/>
      <c r="K1861" s="46" t="n"/>
      <c r="L1861" s="46" t="n"/>
      <c r="M1861" s="51" t="str">
        <f>IF(NOT(ISNUMBER($E1861)),"",IF($C1861="Receipt",$E1861,IF($C1861="Shipment",-$E1861,IF($C1861="Adjustment",$E1861,0))))</f>
        <v/>
      </c>
      <c r="N1861" s="49" t="str">
        <f>IF($D1861="","",IFERROR(INDEX(Products!$B$2:$B$101,MATCH($D1861,Products!$A$2:$A$101,0))&amp;"","(not found)"))</f>
        <v/>
      </c>
      <c r="O1861" s="49" t="str">
        <f>IF($F1861="","",IFERROR(INDEX(Batches!$B$2:$B$301,MATCH($F1861,Batches!$A$2:$A$301,0))&amp;"","(not found)"))</f>
        <v/>
      </c>
      <c r="P1861" s="49" t="str">
        <f>IF(COUNTA($A1861:$L1861)=0,"",IF($A1861="","Missing: entry ID",IF(COUNTIF($A$2:$A$2001,$A1861)&gt;1,"Duplicate entry ID",IF(NOT(ISNUMBER($B1861)),"Missing or invalid: date",IF($C1861="","Missing: type",IF($D1861="","Missing: SKU",IF(NOT(ISNUMBER($E1861)),"Missing: qty",IF($F1861="","Missing: lot",IF($I1861="","Missing: source link",IF(COUNTIF(Config!$A$15:$A$34,$C1861)=0,"Unsupported type",IF(COUNTIF(Products!$A$2:$A$101,$D1861)=0,"Unknown SKU",IF(COUNTIFS(Batches!$A$2:$A$301,$F1861,Batches!$B$2:$B$301,$D1861)=0,"Unknown lot for this SKU",IF(AND($C1861="Adjustment",$G1861=""),"Missing: reason",IF(AND($G1861&lt;&gt;"",COUNTIF(Config!$B$15:$B$34,$G1861)=0),"Unsupported reason",IF(OR(INT($E1861)&lt;&gt;$E1861,AND(OR($C1861="Receipt",$C1861="Shipment"),$E1861&lt;=0),AND($C1861="Adjustment",$E1861=0)),"Invalid qty",IF($B1861&gt;Config!$B$4,"Date after the as-of date",IF($B1861&lt;Config!$B$5,"Date before the opening balance date","OK")))))))))))))))))</f>
        <v/>
      </c>
    </row>
    <row r="1862">
      <c r="A1862" s="46" t="n"/>
      <c r="B1862" s="54" t="n"/>
      <c r="C1862" s="46" t="n"/>
      <c r="D1862" s="46" t="n"/>
      <c r="E1862" s="55" t="n"/>
      <c r="F1862" s="46" t="n"/>
      <c r="G1862" s="46" t="n"/>
      <c r="H1862" s="46" t="n"/>
      <c r="I1862" s="46" t="n"/>
      <c r="J1862" s="46" t="n"/>
      <c r="K1862" s="46" t="n"/>
      <c r="L1862" s="46" t="n"/>
      <c r="M1862" s="51" t="str">
        <f>IF(NOT(ISNUMBER($E1862)),"",IF($C1862="Receipt",$E1862,IF($C1862="Shipment",-$E1862,IF($C1862="Adjustment",$E1862,0))))</f>
        <v/>
      </c>
      <c r="N1862" s="49" t="str">
        <f>IF($D1862="","",IFERROR(INDEX(Products!$B$2:$B$101,MATCH($D1862,Products!$A$2:$A$101,0))&amp;"","(not found)"))</f>
        <v/>
      </c>
      <c r="O1862" s="49" t="str">
        <f>IF($F1862="","",IFERROR(INDEX(Batches!$B$2:$B$301,MATCH($F1862,Batches!$A$2:$A$301,0))&amp;"","(not found)"))</f>
        <v/>
      </c>
      <c r="P1862" s="49" t="str">
        <f>IF(COUNTA($A1862:$L1862)=0,"",IF($A1862="","Missing: entry ID",IF(COUNTIF($A$2:$A$2001,$A1862)&gt;1,"Duplicate entry ID",IF(NOT(ISNUMBER($B1862)),"Missing or invalid: date",IF($C1862="","Missing: type",IF($D1862="","Missing: SKU",IF(NOT(ISNUMBER($E1862)),"Missing: qty",IF($F1862="","Missing: lot",IF($I1862="","Missing: source link",IF(COUNTIF(Config!$A$15:$A$34,$C1862)=0,"Unsupported type",IF(COUNTIF(Products!$A$2:$A$101,$D1862)=0,"Unknown SKU",IF(COUNTIFS(Batches!$A$2:$A$301,$F1862,Batches!$B$2:$B$301,$D1862)=0,"Unknown lot for this SKU",IF(AND($C1862="Adjustment",$G1862=""),"Missing: reason",IF(AND($G1862&lt;&gt;"",COUNTIF(Config!$B$15:$B$34,$G1862)=0),"Unsupported reason",IF(OR(INT($E1862)&lt;&gt;$E1862,AND(OR($C1862="Receipt",$C1862="Shipment"),$E1862&lt;=0),AND($C1862="Adjustment",$E1862=0)),"Invalid qty",IF($B1862&gt;Config!$B$4,"Date after the as-of date",IF($B1862&lt;Config!$B$5,"Date before the opening balance date","OK")))))))))))))))))</f>
        <v/>
      </c>
    </row>
    <row r="1863">
      <c r="A1863" s="46" t="n"/>
      <c r="B1863" s="54" t="n"/>
      <c r="C1863" s="46" t="n"/>
      <c r="D1863" s="46" t="n"/>
      <c r="E1863" s="55" t="n"/>
      <c r="F1863" s="46" t="n"/>
      <c r="G1863" s="46" t="n"/>
      <c r="H1863" s="46" t="n"/>
      <c r="I1863" s="46" t="n"/>
      <c r="J1863" s="46" t="n"/>
      <c r="K1863" s="46" t="n"/>
      <c r="L1863" s="46" t="n"/>
      <c r="M1863" s="51" t="str">
        <f>IF(NOT(ISNUMBER($E1863)),"",IF($C1863="Receipt",$E1863,IF($C1863="Shipment",-$E1863,IF($C1863="Adjustment",$E1863,0))))</f>
        <v/>
      </c>
      <c r="N1863" s="49" t="str">
        <f>IF($D1863="","",IFERROR(INDEX(Products!$B$2:$B$101,MATCH($D1863,Products!$A$2:$A$101,0))&amp;"","(not found)"))</f>
        <v/>
      </c>
      <c r="O1863" s="49" t="str">
        <f>IF($F1863="","",IFERROR(INDEX(Batches!$B$2:$B$301,MATCH($F1863,Batches!$A$2:$A$301,0))&amp;"","(not found)"))</f>
        <v/>
      </c>
      <c r="P1863" s="49" t="str">
        <f>IF(COUNTA($A1863:$L1863)=0,"",IF($A1863="","Missing: entry ID",IF(COUNTIF($A$2:$A$2001,$A1863)&gt;1,"Duplicate entry ID",IF(NOT(ISNUMBER($B1863)),"Missing or invalid: date",IF($C1863="","Missing: type",IF($D1863="","Missing: SKU",IF(NOT(ISNUMBER($E1863)),"Missing: qty",IF($F1863="","Missing: lot",IF($I1863="","Missing: source link",IF(COUNTIF(Config!$A$15:$A$34,$C1863)=0,"Unsupported type",IF(COUNTIF(Products!$A$2:$A$101,$D1863)=0,"Unknown SKU",IF(COUNTIFS(Batches!$A$2:$A$301,$F1863,Batches!$B$2:$B$301,$D1863)=0,"Unknown lot for this SKU",IF(AND($C1863="Adjustment",$G1863=""),"Missing: reason",IF(AND($G1863&lt;&gt;"",COUNTIF(Config!$B$15:$B$34,$G1863)=0),"Unsupported reason",IF(OR(INT($E1863)&lt;&gt;$E1863,AND(OR($C1863="Receipt",$C1863="Shipment"),$E1863&lt;=0),AND($C1863="Adjustment",$E1863=0)),"Invalid qty",IF($B1863&gt;Config!$B$4,"Date after the as-of date",IF($B1863&lt;Config!$B$5,"Date before the opening balance date","OK")))))))))))))))))</f>
        <v/>
      </c>
    </row>
    <row r="1864">
      <c r="A1864" s="46" t="n"/>
      <c r="B1864" s="54" t="n"/>
      <c r="C1864" s="46" t="n"/>
      <c r="D1864" s="46" t="n"/>
      <c r="E1864" s="55" t="n"/>
      <c r="F1864" s="46" t="n"/>
      <c r="G1864" s="46" t="n"/>
      <c r="H1864" s="46" t="n"/>
      <c r="I1864" s="46" t="n"/>
      <c r="J1864" s="46" t="n"/>
      <c r="K1864" s="46" t="n"/>
      <c r="L1864" s="46" t="n"/>
      <c r="M1864" s="51" t="str">
        <f>IF(NOT(ISNUMBER($E1864)),"",IF($C1864="Receipt",$E1864,IF($C1864="Shipment",-$E1864,IF($C1864="Adjustment",$E1864,0))))</f>
        <v/>
      </c>
      <c r="N1864" s="49" t="str">
        <f>IF($D1864="","",IFERROR(INDEX(Products!$B$2:$B$101,MATCH($D1864,Products!$A$2:$A$101,0))&amp;"","(not found)"))</f>
        <v/>
      </c>
      <c r="O1864" s="49" t="str">
        <f>IF($F1864="","",IFERROR(INDEX(Batches!$B$2:$B$301,MATCH($F1864,Batches!$A$2:$A$301,0))&amp;"","(not found)"))</f>
        <v/>
      </c>
      <c r="P1864" s="49" t="str">
        <f>IF(COUNTA($A1864:$L1864)=0,"",IF($A1864="","Missing: entry ID",IF(COUNTIF($A$2:$A$2001,$A1864)&gt;1,"Duplicate entry ID",IF(NOT(ISNUMBER($B1864)),"Missing or invalid: date",IF($C1864="","Missing: type",IF($D1864="","Missing: SKU",IF(NOT(ISNUMBER($E1864)),"Missing: qty",IF($F1864="","Missing: lot",IF($I1864="","Missing: source link",IF(COUNTIF(Config!$A$15:$A$34,$C1864)=0,"Unsupported type",IF(COUNTIF(Products!$A$2:$A$101,$D1864)=0,"Unknown SKU",IF(COUNTIFS(Batches!$A$2:$A$301,$F1864,Batches!$B$2:$B$301,$D1864)=0,"Unknown lot for this SKU",IF(AND($C1864="Adjustment",$G1864=""),"Missing: reason",IF(AND($G1864&lt;&gt;"",COUNTIF(Config!$B$15:$B$34,$G1864)=0),"Unsupported reason",IF(OR(INT($E1864)&lt;&gt;$E1864,AND(OR($C1864="Receipt",$C1864="Shipment"),$E1864&lt;=0),AND($C1864="Adjustment",$E1864=0)),"Invalid qty",IF($B1864&gt;Config!$B$4,"Date after the as-of date",IF($B1864&lt;Config!$B$5,"Date before the opening balance date","OK")))))))))))))))))</f>
        <v/>
      </c>
    </row>
    <row r="1865">
      <c r="A1865" s="46" t="n"/>
      <c r="B1865" s="54" t="n"/>
      <c r="C1865" s="46" t="n"/>
      <c r="D1865" s="46" t="n"/>
      <c r="E1865" s="55" t="n"/>
      <c r="F1865" s="46" t="n"/>
      <c r="G1865" s="46" t="n"/>
      <c r="H1865" s="46" t="n"/>
      <c r="I1865" s="46" t="n"/>
      <c r="J1865" s="46" t="n"/>
      <c r="K1865" s="46" t="n"/>
      <c r="L1865" s="46" t="n"/>
      <c r="M1865" s="51" t="str">
        <f>IF(NOT(ISNUMBER($E1865)),"",IF($C1865="Receipt",$E1865,IF($C1865="Shipment",-$E1865,IF($C1865="Adjustment",$E1865,0))))</f>
        <v/>
      </c>
      <c r="N1865" s="49" t="str">
        <f>IF($D1865="","",IFERROR(INDEX(Products!$B$2:$B$101,MATCH($D1865,Products!$A$2:$A$101,0))&amp;"","(not found)"))</f>
        <v/>
      </c>
      <c r="O1865" s="49" t="str">
        <f>IF($F1865="","",IFERROR(INDEX(Batches!$B$2:$B$301,MATCH($F1865,Batches!$A$2:$A$301,0))&amp;"","(not found)"))</f>
        <v/>
      </c>
      <c r="P1865" s="49" t="str">
        <f>IF(COUNTA($A1865:$L1865)=0,"",IF($A1865="","Missing: entry ID",IF(COUNTIF($A$2:$A$2001,$A1865)&gt;1,"Duplicate entry ID",IF(NOT(ISNUMBER($B1865)),"Missing or invalid: date",IF($C1865="","Missing: type",IF($D1865="","Missing: SKU",IF(NOT(ISNUMBER($E1865)),"Missing: qty",IF($F1865="","Missing: lot",IF($I1865="","Missing: source link",IF(COUNTIF(Config!$A$15:$A$34,$C1865)=0,"Unsupported type",IF(COUNTIF(Products!$A$2:$A$101,$D1865)=0,"Unknown SKU",IF(COUNTIFS(Batches!$A$2:$A$301,$F1865,Batches!$B$2:$B$301,$D1865)=0,"Unknown lot for this SKU",IF(AND($C1865="Adjustment",$G1865=""),"Missing: reason",IF(AND($G1865&lt;&gt;"",COUNTIF(Config!$B$15:$B$34,$G1865)=0),"Unsupported reason",IF(OR(INT($E1865)&lt;&gt;$E1865,AND(OR($C1865="Receipt",$C1865="Shipment"),$E1865&lt;=0),AND($C1865="Adjustment",$E1865=0)),"Invalid qty",IF($B1865&gt;Config!$B$4,"Date after the as-of date",IF($B1865&lt;Config!$B$5,"Date before the opening balance date","OK")))))))))))))))))</f>
        <v/>
      </c>
    </row>
    <row r="1866">
      <c r="A1866" s="46" t="n"/>
      <c r="B1866" s="54" t="n"/>
      <c r="C1866" s="46" t="n"/>
      <c r="D1866" s="46" t="n"/>
      <c r="E1866" s="55" t="n"/>
      <c r="F1866" s="46" t="n"/>
      <c r="G1866" s="46" t="n"/>
      <c r="H1866" s="46" t="n"/>
      <c r="I1866" s="46" t="n"/>
      <c r="J1866" s="46" t="n"/>
      <c r="K1866" s="46" t="n"/>
      <c r="L1866" s="46" t="n"/>
      <c r="M1866" s="51" t="str">
        <f>IF(NOT(ISNUMBER($E1866)),"",IF($C1866="Receipt",$E1866,IF($C1866="Shipment",-$E1866,IF($C1866="Adjustment",$E1866,0))))</f>
        <v/>
      </c>
      <c r="N1866" s="49" t="str">
        <f>IF($D1866="","",IFERROR(INDEX(Products!$B$2:$B$101,MATCH($D1866,Products!$A$2:$A$101,0))&amp;"","(not found)"))</f>
        <v/>
      </c>
      <c r="O1866" s="49" t="str">
        <f>IF($F1866="","",IFERROR(INDEX(Batches!$B$2:$B$301,MATCH($F1866,Batches!$A$2:$A$301,0))&amp;"","(not found)"))</f>
        <v/>
      </c>
      <c r="P1866" s="49" t="str">
        <f>IF(COUNTA($A1866:$L1866)=0,"",IF($A1866="","Missing: entry ID",IF(COUNTIF($A$2:$A$2001,$A1866)&gt;1,"Duplicate entry ID",IF(NOT(ISNUMBER($B1866)),"Missing or invalid: date",IF($C1866="","Missing: type",IF($D1866="","Missing: SKU",IF(NOT(ISNUMBER($E1866)),"Missing: qty",IF($F1866="","Missing: lot",IF($I1866="","Missing: source link",IF(COUNTIF(Config!$A$15:$A$34,$C1866)=0,"Unsupported type",IF(COUNTIF(Products!$A$2:$A$101,$D1866)=0,"Unknown SKU",IF(COUNTIFS(Batches!$A$2:$A$301,$F1866,Batches!$B$2:$B$301,$D1866)=0,"Unknown lot for this SKU",IF(AND($C1866="Adjustment",$G1866=""),"Missing: reason",IF(AND($G1866&lt;&gt;"",COUNTIF(Config!$B$15:$B$34,$G1866)=0),"Unsupported reason",IF(OR(INT($E1866)&lt;&gt;$E1866,AND(OR($C1866="Receipt",$C1866="Shipment"),$E1866&lt;=0),AND($C1866="Adjustment",$E1866=0)),"Invalid qty",IF($B1866&gt;Config!$B$4,"Date after the as-of date",IF($B1866&lt;Config!$B$5,"Date before the opening balance date","OK")))))))))))))))))</f>
        <v/>
      </c>
    </row>
    <row r="1867">
      <c r="A1867" s="46" t="n"/>
      <c r="B1867" s="54" t="n"/>
      <c r="C1867" s="46" t="n"/>
      <c r="D1867" s="46" t="n"/>
      <c r="E1867" s="55" t="n"/>
      <c r="F1867" s="46" t="n"/>
      <c r="G1867" s="46" t="n"/>
      <c r="H1867" s="46" t="n"/>
      <c r="I1867" s="46" t="n"/>
      <c r="J1867" s="46" t="n"/>
      <c r="K1867" s="46" t="n"/>
      <c r="L1867" s="46" t="n"/>
      <c r="M1867" s="51" t="str">
        <f>IF(NOT(ISNUMBER($E1867)),"",IF($C1867="Receipt",$E1867,IF($C1867="Shipment",-$E1867,IF($C1867="Adjustment",$E1867,0))))</f>
        <v/>
      </c>
      <c r="N1867" s="49" t="str">
        <f>IF($D1867="","",IFERROR(INDEX(Products!$B$2:$B$101,MATCH($D1867,Products!$A$2:$A$101,0))&amp;"","(not found)"))</f>
        <v/>
      </c>
      <c r="O1867" s="49" t="str">
        <f>IF($F1867="","",IFERROR(INDEX(Batches!$B$2:$B$301,MATCH($F1867,Batches!$A$2:$A$301,0))&amp;"","(not found)"))</f>
        <v/>
      </c>
      <c r="P1867" s="49" t="str">
        <f>IF(COUNTA($A1867:$L1867)=0,"",IF($A1867="","Missing: entry ID",IF(COUNTIF($A$2:$A$2001,$A1867)&gt;1,"Duplicate entry ID",IF(NOT(ISNUMBER($B1867)),"Missing or invalid: date",IF($C1867="","Missing: type",IF($D1867="","Missing: SKU",IF(NOT(ISNUMBER($E1867)),"Missing: qty",IF($F1867="","Missing: lot",IF($I1867="","Missing: source link",IF(COUNTIF(Config!$A$15:$A$34,$C1867)=0,"Unsupported type",IF(COUNTIF(Products!$A$2:$A$101,$D1867)=0,"Unknown SKU",IF(COUNTIFS(Batches!$A$2:$A$301,$F1867,Batches!$B$2:$B$301,$D1867)=0,"Unknown lot for this SKU",IF(AND($C1867="Adjustment",$G1867=""),"Missing: reason",IF(AND($G1867&lt;&gt;"",COUNTIF(Config!$B$15:$B$34,$G1867)=0),"Unsupported reason",IF(OR(INT($E1867)&lt;&gt;$E1867,AND(OR($C1867="Receipt",$C1867="Shipment"),$E1867&lt;=0),AND($C1867="Adjustment",$E1867=0)),"Invalid qty",IF($B1867&gt;Config!$B$4,"Date after the as-of date",IF($B1867&lt;Config!$B$5,"Date before the opening balance date","OK")))))))))))))))))</f>
        <v/>
      </c>
    </row>
    <row r="1868">
      <c r="A1868" s="46" t="n"/>
      <c r="B1868" s="54" t="n"/>
      <c r="C1868" s="46" t="n"/>
      <c r="D1868" s="46" t="n"/>
      <c r="E1868" s="55" t="n"/>
      <c r="F1868" s="46" t="n"/>
      <c r="G1868" s="46" t="n"/>
      <c r="H1868" s="46" t="n"/>
      <c r="I1868" s="46" t="n"/>
      <c r="J1868" s="46" t="n"/>
      <c r="K1868" s="46" t="n"/>
      <c r="L1868" s="46" t="n"/>
      <c r="M1868" s="51" t="str">
        <f>IF(NOT(ISNUMBER($E1868)),"",IF($C1868="Receipt",$E1868,IF($C1868="Shipment",-$E1868,IF($C1868="Adjustment",$E1868,0))))</f>
        <v/>
      </c>
      <c r="N1868" s="49" t="str">
        <f>IF($D1868="","",IFERROR(INDEX(Products!$B$2:$B$101,MATCH($D1868,Products!$A$2:$A$101,0))&amp;"","(not found)"))</f>
        <v/>
      </c>
      <c r="O1868" s="49" t="str">
        <f>IF($F1868="","",IFERROR(INDEX(Batches!$B$2:$B$301,MATCH($F1868,Batches!$A$2:$A$301,0))&amp;"","(not found)"))</f>
        <v/>
      </c>
      <c r="P1868" s="49" t="str">
        <f>IF(COUNTA($A1868:$L1868)=0,"",IF($A1868="","Missing: entry ID",IF(COUNTIF($A$2:$A$2001,$A1868)&gt;1,"Duplicate entry ID",IF(NOT(ISNUMBER($B1868)),"Missing or invalid: date",IF($C1868="","Missing: type",IF($D1868="","Missing: SKU",IF(NOT(ISNUMBER($E1868)),"Missing: qty",IF($F1868="","Missing: lot",IF($I1868="","Missing: source link",IF(COUNTIF(Config!$A$15:$A$34,$C1868)=0,"Unsupported type",IF(COUNTIF(Products!$A$2:$A$101,$D1868)=0,"Unknown SKU",IF(COUNTIFS(Batches!$A$2:$A$301,$F1868,Batches!$B$2:$B$301,$D1868)=0,"Unknown lot for this SKU",IF(AND($C1868="Adjustment",$G1868=""),"Missing: reason",IF(AND($G1868&lt;&gt;"",COUNTIF(Config!$B$15:$B$34,$G1868)=0),"Unsupported reason",IF(OR(INT($E1868)&lt;&gt;$E1868,AND(OR($C1868="Receipt",$C1868="Shipment"),$E1868&lt;=0),AND($C1868="Adjustment",$E1868=0)),"Invalid qty",IF($B1868&gt;Config!$B$4,"Date after the as-of date",IF($B1868&lt;Config!$B$5,"Date before the opening balance date","OK")))))))))))))))))</f>
        <v/>
      </c>
    </row>
    <row r="1869">
      <c r="A1869" s="46" t="n"/>
      <c r="B1869" s="54" t="n"/>
      <c r="C1869" s="46" t="n"/>
      <c r="D1869" s="46" t="n"/>
      <c r="E1869" s="55" t="n"/>
      <c r="F1869" s="46" t="n"/>
      <c r="G1869" s="46" t="n"/>
      <c r="H1869" s="46" t="n"/>
      <c r="I1869" s="46" t="n"/>
      <c r="J1869" s="46" t="n"/>
      <c r="K1869" s="46" t="n"/>
      <c r="L1869" s="46" t="n"/>
      <c r="M1869" s="51" t="str">
        <f>IF(NOT(ISNUMBER($E1869)),"",IF($C1869="Receipt",$E1869,IF($C1869="Shipment",-$E1869,IF($C1869="Adjustment",$E1869,0))))</f>
        <v/>
      </c>
      <c r="N1869" s="49" t="str">
        <f>IF($D1869="","",IFERROR(INDEX(Products!$B$2:$B$101,MATCH($D1869,Products!$A$2:$A$101,0))&amp;"","(not found)"))</f>
        <v/>
      </c>
      <c r="O1869" s="49" t="str">
        <f>IF($F1869="","",IFERROR(INDEX(Batches!$B$2:$B$301,MATCH($F1869,Batches!$A$2:$A$301,0))&amp;"","(not found)"))</f>
        <v/>
      </c>
      <c r="P1869" s="49" t="str">
        <f>IF(COUNTA($A1869:$L1869)=0,"",IF($A1869="","Missing: entry ID",IF(COUNTIF($A$2:$A$2001,$A1869)&gt;1,"Duplicate entry ID",IF(NOT(ISNUMBER($B1869)),"Missing or invalid: date",IF($C1869="","Missing: type",IF($D1869="","Missing: SKU",IF(NOT(ISNUMBER($E1869)),"Missing: qty",IF($F1869="","Missing: lot",IF($I1869="","Missing: source link",IF(COUNTIF(Config!$A$15:$A$34,$C1869)=0,"Unsupported type",IF(COUNTIF(Products!$A$2:$A$101,$D1869)=0,"Unknown SKU",IF(COUNTIFS(Batches!$A$2:$A$301,$F1869,Batches!$B$2:$B$301,$D1869)=0,"Unknown lot for this SKU",IF(AND($C1869="Adjustment",$G1869=""),"Missing: reason",IF(AND($G1869&lt;&gt;"",COUNTIF(Config!$B$15:$B$34,$G1869)=0),"Unsupported reason",IF(OR(INT($E1869)&lt;&gt;$E1869,AND(OR($C1869="Receipt",$C1869="Shipment"),$E1869&lt;=0),AND($C1869="Adjustment",$E1869=0)),"Invalid qty",IF($B1869&gt;Config!$B$4,"Date after the as-of date",IF($B1869&lt;Config!$B$5,"Date before the opening balance date","OK")))))))))))))))))</f>
        <v/>
      </c>
    </row>
    <row r="1870">
      <c r="A1870" s="46" t="n"/>
      <c r="B1870" s="54" t="n"/>
      <c r="C1870" s="46" t="n"/>
      <c r="D1870" s="46" t="n"/>
      <c r="E1870" s="55" t="n"/>
      <c r="F1870" s="46" t="n"/>
      <c r="G1870" s="46" t="n"/>
      <c r="H1870" s="46" t="n"/>
      <c r="I1870" s="46" t="n"/>
      <c r="J1870" s="46" t="n"/>
      <c r="K1870" s="46" t="n"/>
      <c r="L1870" s="46" t="n"/>
      <c r="M1870" s="51" t="str">
        <f>IF(NOT(ISNUMBER($E1870)),"",IF($C1870="Receipt",$E1870,IF($C1870="Shipment",-$E1870,IF($C1870="Adjustment",$E1870,0))))</f>
        <v/>
      </c>
      <c r="N1870" s="49" t="str">
        <f>IF($D1870="","",IFERROR(INDEX(Products!$B$2:$B$101,MATCH($D1870,Products!$A$2:$A$101,0))&amp;"","(not found)"))</f>
        <v/>
      </c>
      <c r="O1870" s="49" t="str">
        <f>IF($F1870="","",IFERROR(INDEX(Batches!$B$2:$B$301,MATCH($F1870,Batches!$A$2:$A$301,0))&amp;"","(not found)"))</f>
        <v/>
      </c>
      <c r="P1870" s="49" t="str">
        <f>IF(COUNTA($A1870:$L1870)=0,"",IF($A1870="","Missing: entry ID",IF(COUNTIF($A$2:$A$2001,$A1870)&gt;1,"Duplicate entry ID",IF(NOT(ISNUMBER($B1870)),"Missing or invalid: date",IF($C1870="","Missing: type",IF($D1870="","Missing: SKU",IF(NOT(ISNUMBER($E1870)),"Missing: qty",IF($F1870="","Missing: lot",IF($I1870="","Missing: source link",IF(COUNTIF(Config!$A$15:$A$34,$C1870)=0,"Unsupported type",IF(COUNTIF(Products!$A$2:$A$101,$D1870)=0,"Unknown SKU",IF(COUNTIFS(Batches!$A$2:$A$301,$F1870,Batches!$B$2:$B$301,$D1870)=0,"Unknown lot for this SKU",IF(AND($C1870="Adjustment",$G1870=""),"Missing: reason",IF(AND($G1870&lt;&gt;"",COUNTIF(Config!$B$15:$B$34,$G1870)=0),"Unsupported reason",IF(OR(INT($E1870)&lt;&gt;$E1870,AND(OR($C1870="Receipt",$C1870="Shipment"),$E1870&lt;=0),AND($C1870="Adjustment",$E1870=0)),"Invalid qty",IF($B1870&gt;Config!$B$4,"Date after the as-of date",IF($B1870&lt;Config!$B$5,"Date before the opening balance date","OK")))))))))))))))))</f>
        <v/>
      </c>
    </row>
    <row r="1871">
      <c r="A1871" s="46" t="n"/>
      <c r="B1871" s="54" t="n"/>
      <c r="C1871" s="46" t="n"/>
      <c r="D1871" s="46" t="n"/>
      <c r="E1871" s="55" t="n"/>
      <c r="F1871" s="46" t="n"/>
      <c r="G1871" s="46" t="n"/>
      <c r="H1871" s="46" t="n"/>
      <c r="I1871" s="46" t="n"/>
      <c r="J1871" s="46" t="n"/>
      <c r="K1871" s="46" t="n"/>
      <c r="L1871" s="46" t="n"/>
      <c r="M1871" s="51" t="str">
        <f>IF(NOT(ISNUMBER($E1871)),"",IF($C1871="Receipt",$E1871,IF($C1871="Shipment",-$E1871,IF($C1871="Adjustment",$E1871,0))))</f>
        <v/>
      </c>
      <c r="N1871" s="49" t="str">
        <f>IF($D1871="","",IFERROR(INDEX(Products!$B$2:$B$101,MATCH($D1871,Products!$A$2:$A$101,0))&amp;"","(not found)"))</f>
        <v/>
      </c>
      <c r="O1871" s="49" t="str">
        <f>IF($F1871="","",IFERROR(INDEX(Batches!$B$2:$B$301,MATCH($F1871,Batches!$A$2:$A$301,0))&amp;"","(not found)"))</f>
        <v/>
      </c>
      <c r="P1871" s="49" t="str">
        <f>IF(COUNTA($A1871:$L1871)=0,"",IF($A1871="","Missing: entry ID",IF(COUNTIF($A$2:$A$2001,$A1871)&gt;1,"Duplicate entry ID",IF(NOT(ISNUMBER($B1871)),"Missing or invalid: date",IF($C1871="","Missing: type",IF($D1871="","Missing: SKU",IF(NOT(ISNUMBER($E1871)),"Missing: qty",IF($F1871="","Missing: lot",IF($I1871="","Missing: source link",IF(COUNTIF(Config!$A$15:$A$34,$C1871)=0,"Unsupported type",IF(COUNTIF(Products!$A$2:$A$101,$D1871)=0,"Unknown SKU",IF(COUNTIFS(Batches!$A$2:$A$301,$F1871,Batches!$B$2:$B$301,$D1871)=0,"Unknown lot for this SKU",IF(AND($C1871="Adjustment",$G1871=""),"Missing: reason",IF(AND($G1871&lt;&gt;"",COUNTIF(Config!$B$15:$B$34,$G1871)=0),"Unsupported reason",IF(OR(INT($E1871)&lt;&gt;$E1871,AND(OR($C1871="Receipt",$C1871="Shipment"),$E1871&lt;=0),AND($C1871="Adjustment",$E1871=0)),"Invalid qty",IF($B1871&gt;Config!$B$4,"Date after the as-of date",IF($B1871&lt;Config!$B$5,"Date before the opening balance date","OK")))))))))))))))))</f>
        <v/>
      </c>
    </row>
    <row r="1872">
      <c r="A1872" s="46" t="n"/>
      <c r="B1872" s="54" t="n"/>
      <c r="C1872" s="46" t="n"/>
      <c r="D1872" s="46" t="n"/>
      <c r="E1872" s="55" t="n"/>
      <c r="F1872" s="46" t="n"/>
      <c r="G1872" s="46" t="n"/>
      <c r="H1872" s="46" t="n"/>
      <c r="I1872" s="46" t="n"/>
      <c r="J1872" s="46" t="n"/>
      <c r="K1872" s="46" t="n"/>
      <c r="L1872" s="46" t="n"/>
      <c r="M1872" s="51" t="str">
        <f>IF(NOT(ISNUMBER($E1872)),"",IF($C1872="Receipt",$E1872,IF($C1872="Shipment",-$E1872,IF($C1872="Adjustment",$E1872,0))))</f>
        <v/>
      </c>
      <c r="N1872" s="49" t="str">
        <f>IF($D1872="","",IFERROR(INDEX(Products!$B$2:$B$101,MATCH($D1872,Products!$A$2:$A$101,0))&amp;"","(not found)"))</f>
        <v/>
      </c>
      <c r="O1872" s="49" t="str">
        <f>IF($F1872="","",IFERROR(INDEX(Batches!$B$2:$B$301,MATCH($F1872,Batches!$A$2:$A$301,0))&amp;"","(not found)"))</f>
        <v/>
      </c>
      <c r="P1872" s="49" t="str">
        <f>IF(COUNTA($A1872:$L1872)=0,"",IF($A1872="","Missing: entry ID",IF(COUNTIF($A$2:$A$2001,$A1872)&gt;1,"Duplicate entry ID",IF(NOT(ISNUMBER($B1872)),"Missing or invalid: date",IF($C1872="","Missing: type",IF($D1872="","Missing: SKU",IF(NOT(ISNUMBER($E1872)),"Missing: qty",IF($F1872="","Missing: lot",IF($I1872="","Missing: source link",IF(COUNTIF(Config!$A$15:$A$34,$C1872)=0,"Unsupported type",IF(COUNTIF(Products!$A$2:$A$101,$D1872)=0,"Unknown SKU",IF(COUNTIFS(Batches!$A$2:$A$301,$F1872,Batches!$B$2:$B$301,$D1872)=0,"Unknown lot for this SKU",IF(AND($C1872="Adjustment",$G1872=""),"Missing: reason",IF(AND($G1872&lt;&gt;"",COUNTIF(Config!$B$15:$B$34,$G1872)=0),"Unsupported reason",IF(OR(INT($E1872)&lt;&gt;$E1872,AND(OR($C1872="Receipt",$C1872="Shipment"),$E1872&lt;=0),AND($C1872="Adjustment",$E1872=0)),"Invalid qty",IF($B1872&gt;Config!$B$4,"Date after the as-of date",IF($B1872&lt;Config!$B$5,"Date before the opening balance date","OK")))))))))))))))))</f>
        <v/>
      </c>
    </row>
    <row r="1873">
      <c r="A1873" s="46" t="n"/>
      <c r="B1873" s="54" t="n"/>
      <c r="C1873" s="46" t="n"/>
      <c r="D1873" s="46" t="n"/>
      <c r="E1873" s="55" t="n"/>
      <c r="F1873" s="46" t="n"/>
      <c r="G1873" s="46" t="n"/>
      <c r="H1873" s="46" t="n"/>
      <c r="I1873" s="46" t="n"/>
      <c r="J1873" s="46" t="n"/>
      <c r="K1873" s="46" t="n"/>
      <c r="L1873" s="46" t="n"/>
      <c r="M1873" s="51" t="str">
        <f>IF(NOT(ISNUMBER($E1873)),"",IF($C1873="Receipt",$E1873,IF($C1873="Shipment",-$E1873,IF($C1873="Adjustment",$E1873,0))))</f>
        <v/>
      </c>
      <c r="N1873" s="49" t="str">
        <f>IF($D1873="","",IFERROR(INDEX(Products!$B$2:$B$101,MATCH($D1873,Products!$A$2:$A$101,0))&amp;"","(not found)"))</f>
        <v/>
      </c>
      <c r="O1873" s="49" t="str">
        <f>IF($F1873="","",IFERROR(INDEX(Batches!$B$2:$B$301,MATCH($F1873,Batches!$A$2:$A$301,0))&amp;"","(not found)"))</f>
        <v/>
      </c>
      <c r="P1873" s="49" t="str">
        <f>IF(COUNTA($A1873:$L1873)=0,"",IF($A1873="","Missing: entry ID",IF(COUNTIF($A$2:$A$2001,$A1873)&gt;1,"Duplicate entry ID",IF(NOT(ISNUMBER($B1873)),"Missing or invalid: date",IF($C1873="","Missing: type",IF($D1873="","Missing: SKU",IF(NOT(ISNUMBER($E1873)),"Missing: qty",IF($F1873="","Missing: lot",IF($I1873="","Missing: source link",IF(COUNTIF(Config!$A$15:$A$34,$C1873)=0,"Unsupported type",IF(COUNTIF(Products!$A$2:$A$101,$D1873)=0,"Unknown SKU",IF(COUNTIFS(Batches!$A$2:$A$301,$F1873,Batches!$B$2:$B$301,$D1873)=0,"Unknown lot for this SKU",IF(AND($C1873="Adjustment",$G1873=""),"Missing: reason",IF(AND($G1873&lt;&gt;"",COUNTIF(Config!$B$15:$B$34,$G1873)=0),"Unsupported reason",IF(OR(INT($E1873)&lt;&gt;$E1873,AND(OR($C1873="Receipt",$C1873="Shipment"),$E1873&lt;=0),AND($C1873="Adjustment",$E1873=0)),"Invalid qty",IF($B1873&gt;Config!$B$4,"Date after the as-of date",IF($B1873&lt;Config!$B$5,"Date before the opening balance date","OK")))))))))))))))))</f>
        <v/>
      </c>
    </row>
    <row r="1874">
      <c r="A1874" s="46" t="n"/>
      <c r="B1874" s="54" t="n"/>
      <c r="C1874" s="46" t="n"/>
      <c r="D1874" s="46" t="n"/>
      <c r="E1874" s="55" t="n"/>
      <c r="F1874" s="46" t="n"/>
      <c r="G1874" s="46" t="n"/>
      <c r="H1874" s="46" t="n"/>
      <c r="I1874" s="46" t="n"/>
      <c r="J1874" s="46" t="n"/>
      <c r="K1874" s="46" t="n"/>
      <c r="L1874" s="46" t="n"/>
      <c r="M1874" s="51" t="str">
        <f>IF(NOT(ISNUMBER($E1874)),"",IF($C1874="Receipt",$E1874,IF($C1874="Shipment",-$E1874,IF($C1874="Adjustment",$E1874,0))))</f>
        <v/>
      </c>
      <c r="N1874" s="49" t="str">
        <f>IF($D1874="","",IFERROR(INDEX(Products!$B$2:$B$101,MATCH($D1874,Products!$A$2:$A$101,0))&amp;"","(not found)"))</f>
        <v/>
      </c>
      <c r="O1874" s="49" t="str">
        <f>IF($F1874="","",IFERROR(INDEX(Batches!$B$2:$B$301,MATCH($F1874,Batches!$A$2:$A$301,0))&amp;"","(not found)"))</f>
        <v/>
      </c>
      <c r="P1874" s="49" t="str">
        <f>IF(COUNTA($A1874:$L1874)=0,"",IF($A1874="","Missing: entry ID",IF(COUNTIF($A$2:$A$2001,$A1874)&gt;1,"Duplicate entry ID",IF(NOT(ISNUMBER($B1874)),"Missing or invalid: date",IF($C1874="","Missing: type",IF($D1874="","Missing: SKU",IF(NOT(ISNUMBER($E1874)),"Missing: qty",IF($F1874="","Missing: lot",IF($I1874="","Missing: source link",IF(COUNTIF(Config!$A$15:$A$34,$C1874)=0,"Unsupported type",IF(COUNTIF(Products!$A$2:$A$101,$D1874)=0,"Unknown SKU",IF(COUNTIFS(Batches!$A$2:$A$301,$F1874,Batches!$B$2:$B$301,$D1874)=0,"Unknown lot for this SKU",IF(AND($C1874="Adjustment",$G1874=""),"Missing: reason",IF(AND($G1874&lt;&gt;"",COUNTIF(Config!$B$15:$B$34,$G1874)=0),"Unsupported reason",IF(OR(INT($E1874)&lt;&gt;$E1874,AND(OR($C1874="Receipt",$C1874="Shipment"),$E1874&lt;=0),AND($C1874="Adjustment",$E1874=0)),"Invalid qty",IF($B1874&gt;Config!$B$4,"Date after the as-of date",IF($B1874&lt;Config!$B$5,"Date before the opening balance date","OK")))))))))))))))))</f>
        <v/>
      </c>
    </row>
    <row r="1875">
      <c r="A1875" s="46" t="n"/>
      <c r="B1875" s="54" t="n"/>
      <c r="C1875" s="46" t="n"/>
      <c r="D1875" s="46" t="n"/>
      <c r="E1875" s="55" t="n"/>
      <c r="F1875" s="46" t="n"/>
      <c r="G1875" s="46" t="n"/>
      <c r="H1875" s="46" t="n"/>
      <c r="I1875" s="46" t="n"/>
      <c r="J1875" s="46" t="n"/>
      <c r="K1875" s="46" t="n"/>
      <c r="L1875" s="46" t="n"/>
      <c r="M1875" s="51" t="str">
        <f>IF(NOT(ISNUMBER($E1875)),"",IF($C1875="Receipt",$E1875,IF($C1875="Shipment",-$E1875,IF($C1875="Adjustment",$E1875,0))))</f>
        <v/>
      </c>
      <c r="N1875" s="49" t="str">
        <f>IF($D1875="","",IFERROR(INDEX(Products!$B$2:$B$101,MATCH($D1875,Products!$A$2:$A$101,0))&amp;"","(not found)"))</f>
        <v/>
      </c>
      <c r="O1875" s="49" t="str">
        <f>IF($F1875="","",IFERROR(INDEX(Batches!$B$2:$B$301,MATCH($F1875,Batches!$A$2:$A$301,0))&amp;"","(not found)"))</f>
        <v/>
      </c>
      <c r="P1875" s="49" t="str">
        <f>IF(COUNTA($A1875:$L1875)=0,"",IF($A1875="","Missing: entry ID",IF(COUNTIF($A$2:$A$2001,$A1875)&gt;1,"Duplicate entry ID",IF(NOT(ISNUMBER($B1875)),"Missing or invalid: date",IF($C1875="","Missing: type",IF($D1875="","Missing: SKU",IF(NOT(ISNUMBER($E1875)),"Missing: qty",IF($F1875="","Missing: lot",IF($I1875="","Missing: source link",IF(COUNTIF(Config!$A$15:$A$34,$C1875)=0,"Unsupported type",IF(COUNTIF(Products!$A$2:$A$101,$D1875)=0,"Unknown SKU",IF(COUNTIFS(Batches!$A$2:$A$301,$F1875,Batches!$B$2:$B$301,$D1875)=0,"Unknown lot for this SKU",IF(AND($C1875="Adjustment",$G1875=""),"Missing: reason",IF(AND($G1875&lt;&gt;"",COUNTIF(Config!$B$15:$B$34,$G1875)=0),"Unsupported reason",IF(OR(INT($E1875)&lt;&gt;$E1875,AND(OR($C1875="Receipt",$C1875="Shipment"),$E1875&lt;=0),AND($C1875="Adjustment",$E1875=0)),"Invalid qty",IF($B1875&gt;Config!$B$4,"Date after the as-of date",IF($B1875&lt;Config!$B$5,"Date before the opening balance date","OK")))))))))))))))))</f>
        <v/>
      </c>
    </row>
    <row r="1876">
      <c r="A1876" s="46" t="n"/>
      <c r="B1876" s="54" t="n"/>
      <c r="C1876" s="46" t="n"/>
      <c r="D1876" s="46" t="n"/>
      <c r="E1876" s="55" t="n"/>
      <c r="F1876" s="46" t="n"/>
      <c r="G1876" s="46" t="n"/>
      <c r="H1876" s="46" t="n"/>
      <c r="I1876" s="46" t="n"/>
      <c r="J1876" s="46" t="n"/>
      <c r="K1876" s="46" t="n"/>
      <c r="L1876" s="46" t="n"/>
      <c r="M1876" s="51" t="str">
        <f>IF(NOT(ISNUMBER($E1876)),"",IF($C1876="Receipt",$E1876,IF($C1876="Shipment",-$E1876,IF($C1876="Adjustment",$E1876,0))))</f>
        <v/>
      </c>
      <c r="N1876" s="49" t="str">
        <f>IF($D1876="","",IFERROR(INDEX(Products!$B$2:$B$101,MATCH($D1876,Products!$A$2:$A$101,0))&amp;"","(not found)"))</f>
        <v/>
      </c>
      <c r="O1876" s="49" t="str">
        <f>IF($F1876="","",IFERROR(INDEX(Batches!$B$2:$B$301,MATCH($F1876,Batches!$A$2:$A$301,0))&amp;"","(not found)"))</f>
        <v/>
      </c>
      <c r="P1876" s="49" t="str">
        <f>IF(COUNTA($A1876:$L1876)=0,"",IF($A1876="","Missing: entry ID",IF(COUNTIF($A$2:$A$2001,$A1876)&gt;1,"Duplicate entry ID",IF(NOT(ISNUMBER($B1876)),"Missing or invalid: date",IF($C1876="","Missing: type",IF($D1876="","Missing: SKU",IF(NOT(ISNUMBER($E1876)),"Missing: qty",IF($F1876="","Missing: lot",IF($I1876="","Missing: source link",IF(COUNTIF(Config!$A$15:$A$34,$C1876)=0,"Unsupported type",IF(COUNTIF(Products!$A$2:$A$101,$D1876)=0,"Unknown SKU",IF(COUNTIFS(Batches!$A$2:$A$301,$F1876,Batches!$B$2:$B$301,$D1876)=0,"Unknown lot for this SKU",IF(AND($C1876="Adjustment",$G1876=""),"Missing: reason",IF(AND($G1876&lt;&gt;"",COUNTIF(Config!$B$15:$B$34,$G1876)=0),"Unsupported reason",IF(OR(INT($E1876)&lt;&gt;$E1876,AND(OR($C1876="Receipt",$C1876="Shipment"),$E1876&lt;=0),AND($C1876="Adjustment",$E1876=0)),"Invalid qty",IF($B1876&gt;Config!$B$4,"Date after the as-of date",IF($B1876&lt;Config!$B$5,"Date before the opening balance date","OK")))))))))))))))))</f>
        <v/>
      </c>
    </row>
    <row r="1877">
      <c r="A1877" s="46" t="n"/>
      <c r="B1877" s="54" t="n"/>
      <c r="C1877" s="46" t="n"/>
      <c r="D1877" s="46" t="n"/>
      <c r="E1877" s="55" t="n"/>
      <c r="F1877" s="46" t="n"/>
      <c r="G1877" s="46" t="n"/>
      <c r="H1877" s="46" t="n"/>
      <c r="I1877" s="46" t="n"/>
      <c r="J1877" s="46" t="n"/>
      <c r="K1877" s="46" t="n"/>
      <c r="L1877" s="46" t="n"/>
      <c r="M1877" s="51" t="str">
        <f>IF(NOT(ISNUMBER($E1877)),"",IF($C1877="Receipt",$E1877,IF($C1877="Shipment",-$E1877,IF($C1877="Adjustment",$E1877,0))))</f>
        <v/>
      </c>
      <c r="N1877" s="49" t="str">
        <f>IF($D1877="","",IFERROR(INDEX(Products!$B$2:$B$101,MATCH($D1877,Products!$A$2:$A$101,0))&amp;"","(not found)"))</f>
        <v/>
      </c>
      <c r="O1877" s="49" t="str">
        <f>IF($F1877="","",IFERROR(INDEX(Batches!$B$2:$B$301,MATCH($F1877,Batches!$A$2:$A$301,0))&amp;"","(not found)"))</f>
        <v/>
      </c>
      <c r="P1877" s="49" t="str">
        <f>IF(COUNTA($A1877:$L1877)=0,"",IF($A1877="","Missing: entry ID",IF(COUNTIF($A$2:$A$2001,$A1877)&gt;1,"Duplicate entry ID",IF(NOT(ISNUMBER($B1877)),"Missing or invalid: date",IF($C1877="","Missing: type",IF($D1877="","Missing: SKU",IF(NOT(ISNUMBER($E1877)),"Missing: qty",IF($F1877="","Missing: lot",IF($I1877="","Missing: source link",IF(COUNTIF(Config!$A$15:$A$34,$C1877)=0,"Unsupported type",IF(COUNTIF(Products!$A$2:$A$101,$D1877)=0,"Unknown SKU",IF(COUNTIFS(Batches!$A$2:$A$301,$F1877,Batches!$B$2:$B$301,$D1877)=0,"Unknown lot for this SKU",IF(AND($C1877="Adjustment",$G1877=""),"Missing: reason",IF(AND($G1877&lt;&gt;"",COUNTIF(Config!$B$15:$B$34,$G1877)=0),"Unsupported reason",IF(OR(INT($E1877)&lt;&gt;$E1877,AND(OR($C1877="Receipt",$C1877="Shipment"),$E1877&lt;=0),AND($C1877="Adjustment",$E1877=0)),"Invalid qty",IF($B1877&gt;Config!$B$4,"Date after the as-of date",IF($B1877&lt;Config!$B$5,"Date before the opening balance date","OK")))))))))))))))))</f>
        <v/>
      </c>
    </row>
    <row r="1878">
      <c r="A1878" s="46" t="n"/>
      <c r="B1878" s="54" t="n"/>
      <c r="C1878" s="46" t="n"/>
      <c r="D1878" s="46" t="n"/>
      <c r="E1878" s="55" t="n"/>
      <c r="F1878" s="46" t="n"/>
      <c r="G1878" s="46" t="n"/>
      <c r="H1878" s="46" t="n"/>
      <c r="I1878" s="46" t="n"/>
      <c r="J1878" s="46" t="n"/>
      <c r="K1878" s="46" t="n"/>
      <c r="L1878" s="46" t="n"/>
      <c r="M1878" s="51" t="str">
        <f>IF(NOT(ISNUMBER($E1878)),"",IF($C1878="Receipt",$E1878,IF($C1878="Shipment",-$E1878,IF($C1878="Adjustment",$E1878,0))))</f>
        <v/>
      </c>
      <c r="N1878" s="49" t="str">
        <f>IF($D1878="","",IFERROR(INDEX(Products!$B$2:$B$101,MATCH($D1878,Products!$A$2:$A$101,0))&amp;"","(not found)"))</f>
        <v/>
      </c>
      <c r="O1878" s="49" t="str">
        <f>IF($F1878="","",IFERROR(INDEX(Batches!$B$2:$B$301,MATCH($F1878,Batches!$A$2:$A$301,0))&amp;"","(not found)"))</f>
        <v/>
      </c>
      <c r="P1878" s="49" t="str">
        <f>IF(COUNTA($A1878:$L1878)=0,"",IF($A1878="","Missing: entry ID",IF(COUNTIF($A$2:$A$2001,$A1878)&gt;1,"Duplicate entry ID",IF(NOT(ISNUMBER($B1878)),"Missing or invalid: date",IF($C1878="","Missing: type",IF($D1878="","Missing: SKU",IF(NOT(ISNUMBER($E1878)),"Missing: qty",IF($F1878="","Missing: lot",IF($I1878="","Missing: source link",IF(COUNTIF(Config!$A$15:$A$34,$C1878)=0,"Unsupported type",IF(COUNTIF(Products!$A$2:$A$101,$D1878)=0,"Unknown SKU",IF(COUNTIFS(Batches!$A$2:$A$301,$F1878,Batches!$B$2:$B$301,$D1878)=0,"Unknown lot for this SKU",IF(AND($C1878="Adjustment",$G1878=""),"Missing: reason",IF(AND($G1878&lt;&gt;"",COUNTIF(Config!$B$15:$B$34,$G1878)=0),"Unsupported reason",IF(OR(INT($E1878)&lt;&gt;$E1878,AND(OR($C1878="Receipt",$C1878="Shipment"),$E1878&lt;=0),AND($C1878="Adjustment",$E1878=0)),"Invalid qty",IF($B1878&gt;Config!$B$4,"Date after the as-of date",IF($B1878&lt;Config!$B$5,"Date before the opening balance date","OK")))))))))))))))))</f>
        <v/>
      </c>
    </row>
    <row r="1879">
      <c r="A1879" s="46" t="n"/>
      <c r="B1879" s="54" t="n"/>
      <c r="C1879" s="46" t="n"/>
      <c r="D1879" s="46" t="n"/>
      <c r="E1879" s="55" t="n"/>
      <c r="F1879" s="46" t="n"/>
      <c r="G1879" s="46" t="n"/>
      <c r="H1879" s="46" t="n"/>
      <c r="I1879" s="46" t="n"/>
      <c r="J1879" s="46" t="n"/>
      <c r="K1879" s="46" t="n"/>
      <c r="L1879" s="46" t="n"/>
      <c r="M1879" s="51" t="str">
        <f>IF(NOT(ISNUMBER($E1879)),"",IF($C1879="Receipt",$E1879,IF($C1879="Shipment",-$E1879,IF($C1879="Adjustment",$E1879,0))))</f>
        <v/>
      </c>
      <c r="N1879" s="49" t="str">
        <f>IF($D1879="","",IFERROR(INDEX(Products!$B$2:$B$101,MATCH($D1879,Products!$A$2:$A$101,0))&amp;"","(not found)"))</f>
        <v/>
      </c>
      <c r="O1879" s="49" t="str">
        <f>IF($F1879="","",IFERROR(INDEX(Batches!$B$2:$B$301,MATCH($F1879,Batches!$A$2:$A$301,0))&amp;"","(not found)"))</f>
        <v/>
      </c>
      <c r="P1879" s="49" t="str">
        <f>IF(COUNTA($A1879:$L1879)=0,"",IF($A1879="","Missing: entry ID",IF(COUNTIF($A$2:$A$2001,$A1879)&gt;1,"Duplicate entry ID",IF(NOT(ISNUMBER($B1879)),"Missing or invalid: date",IF($C1879="","Missing: type",IF($D1879="","Missing: SKU",IF(NOT(ISNUMBER($E1879)),"Missing: qty",IF($F1879="","Missing: lot",IF($I1879="","Missing: source link",IF(COUNTIF(Config!$A$15:$A$34,$C1879)=0,"Unsupported type",IF(COUNTIF(Products!$A$2:$A$101,$D1879)=0,"Unknown SKU",IF(COUNTIFS(Batches!$A$2:$A$301,$F1879,Batches!$B$2:$B$301,$D1879)=0,"Unknown lot for this SKU",IF(AND($C1879="Adjustment",$G1879=""),"Missing: reason",IF(AND($G1879&lt;&gt;"",COUNTIF(Config!$B$15:$B$34,$G1879)=0),"Unsupported reason",IF(OR(INT($E1879)&lt;&gt;$E1879,AND(OR($C1879="Receipt",$C1879="Shipment"),$E1879&lt;=0),AND($C1879="Adjustment",$E1879=0)),"Invalid qty",IF($B1879&gt;Config!$B$4,"Date after the as-of date",IF($B1879&lt;Config!$B$5,"Date before the opening balance date","OK")))))))))))))))))</f>
        <v/>
      </c>
    </row>
    <row r="1880">
      <c r="A1880" s="46" t="n"/>
      <c r="B1880" s="54" t="n"/>
      <c r="C1880" s="46" t="n"/>
      <c r="D1880" s="46" t="n"/>
      <c r="E1880" s="55" t="n"/>
      <c r="F1880" s="46" t="n"/>
      <c r="G1880" s="46" t="n"/>
      <c r="H1880" s="46" t="n"/>
      <c r="I1880" s="46" t="n"/>
      <c r="J1880" s="46" t="n"/>
      <c r="K1880" s="46" t="n"/>
      <c r="L1880" s="46" t="n"/>
      <c r="M1880" s="51" t="str">
        <f>IF(NOT(ISNUMBER($E1880)),"",IF($C1880="Receipt",$E1880,IF($C1880="Shipment",-$E1880,IF($C1880="Adjustment",$E1880,0))))</f>
        <v/>
      </c>
      <c r="N1880" s="49" t="str">
        <f>IF($D1880="","",IFERROR(INDEX(Products!$B$2:$B$101,MATCH($D1880,Products!$A$2:$A$101,0))&amp;"","(not found)"))</f>
        <v/>
      </c>
      <c r="O1880" s="49" t="str">
        <f>IF($F1880="","",IFERROR(INDEX(Batches!$B$2:$B$301,MATCH($F1880,Batches!$A$2:$A$301,0))&amp;"","(not found)"))</f>
        <v/>
      </c>
      <c r="P1880" s="49" t="str">
        <f>IF(COUNTA($A1880:$L1880)=0,"",IF($A1880="","Missing: entry ID",IF(COUNTIF($A$2:$A$2001,$A1880)&gt;1,"Duplicate entry ID",IF(NOT(ISNUMBER($B1880)),"Missing or invalid: date",IF($C1880="","Missing: type",IF($D1880="","Missing: SKU",IF(NOT(ISNUMBER($E1880)),"Missing: qty",IF($F1880="","Missing: lot",IF($I1880="","Missing: source link",IF(COUNTIF(Config!$A$15:$A$34,$C1880)=0,"Unsupported type",IF(COUNTIF(Products!$A$2:$A$101,$D1880)=0,"Unknown SKU",IF(COUNTIFS(Batches!$A$2:$A$301,$F1880,Batches!$B$2:$B$301,$D1880)=0,"Unknown lot for this SKU",IF(AND($C1880="Adjustment",$G1880=""),"Missing: reason",IF(AND($G1880&lt;&gt;"",COUNTIF(Config!$B$15:$B$34,$G1880)=0),"Unsupported reason",IF(OR(INT($E1880)&lt;&gt;$E1880,AND(OR($C1880="Receipt",$C1880="Shipment"),$E1880&lt;=0),AND($C1880="Adjustment",$E1880=0)),"Invalid qty",IF($B1880&gt;Config!$B$4,"Date after the as-of date",IF($B1880&lt;Config!$B$5,"Date before the opening balance date","OK")))))))))))))))))</f>
        <v/>
      </c>
    </row>
    <row r="1881">
      <c r="A1881" s="46" t="n"/>
      <c r="B1881" s="54" t="n"/>
      <c r="C1881" s="46" t="n"/>
      <c r="D1881" s="46" t="n"/>
      <c r="E1881" s="55" t="n"/>
      <c r="F1881" s="46" t="n"/>
      <c r="G1881" s="46" t="n"/>
      <c r="H1881" s="46" t="n"/>
      <c r="I1881" s="46" t="n"/>
      <c r="J1881" s="46" t="n"/>
      <c r="K1881" s="46" t="n"/>
      <c r="L1881" s="46" t="n"/>
      <c r="M1881" s="51" t="str">
        <f>IF(NOT(ISNUMBER($E1881)),"",IF($C1881="Receipt",$E1881,IF($C1881="Shipment",-$E1881,IF($C1881="Adjustment",$E1881,0))))</f>
        <v/>
      </c>
      <c r="N1881" s="49" t="str">
        <f>IF($D1881="","",IFERROR(INDEX(Products!$B$2:$B$101,MATCH($D1881,Products!$A$2:$A$101,0))&amp;"","(not found)"))</f>
        <v/>
      </c>
      <c r="O1881" s="49" t="str">
        <f>IF($F1881="","",IFERROR(INDEX(Batches!$B$2:$B$301,MATCH($F1881,Batches!$A$2:$A$301,0))&amp;"","(not found)"))</f>
        <v/>
      </c>
      <c r="P1881" s="49" t="str">
        <f>IF(COUNTA($A1881:$L1881)=0,"",IF($A1881="","Missing: entry ID",IF(COUNTIF($A$2:$A$2001,$A1881)&gt;1,"Duplicate entry ID",IF(NOT(ISNUMBER($B1881)),"Missing or invalid: date",IF($C1881="","Missing: type",IF($D1881="","Missing: SKU",IF(NOT(ISNUMBER($E1881)),"Missing: qty",IF($F1881="","Missing: lot",IF($I1881="","Missing: source link",IF(COUNTIF(Config!$A$15:$A$34,$C1881)=0,"Unsupported type",IF(COUNTIF(Products!$A$2:$A$101,$D1881)=0,"Unknown SKU",IF(COUNTIFS(Batches!$A$2:$A$301,$F1881,Batches!$B$2:$B$301,$D1881)=0,"Unknown lot for this SKU",IF(AND($C1881="Adjustment",$G1881=""),"Missing: reason",IF(AND($G1881&lt;&gt;"",COUNTIF(Config!$B$15:$B$34,$G1881)=0),"Unsupported reason",IF(OR(INT($E1881)&lt;&gt;$E1881,AND(OR($C1881="Receipt",$C1881="Shipment"),$E1881&lt;=0),AND($C1881="Adjustment",$E1881=0)),"Invalid qty",IF($B1881&gt;Config!$B$4,"Date after the as-of date",IF($B1881&lt;Config!$B$5,"Date before the opening balance date","OK")))))))))))))))))</f>
        <v/>
      </c>
    </row>
    <row r="1882">
      <c r="A1882" s="46" t="n"/>
      <c r="B1882" s="54" t="n"/>
      <c r="C1882" s="46" t="n"/>
      <c r="D1882" s="46" t="n"/>
      <c r="E1882" s="55" t="n"/>
      <c r="F1882" s="46" t="n"/>
      <c r="G1882" s="46" t="n"/>
      <c r="H1882" s="46" t="n"/>
      <c r="I1882" s="46" t="n"/>
      <c r="J1882" s="46" t="n"/>
      <c r="K1882" s="46" t="n"/>
      <c r="L1882" s="46" t="n"/>
      <c r="M1882" s="51" t="str">
        <f>IF(NOT(ISNUMBER($E1882)),"",IF($C1882="Receipt",$E1882,IF($C1882="Shipment",-$E1882,IF($C1882="Adjustment",$E1882,0))))</f>
        <v/>
      </c>
      <c r="N1882" s="49" t="str">
        <f>IF($D1882="","",IFERROR(INDEX(Products!$B$2:$B$101,MATCH($D1882,Products!$A$2:$A$101,0))&amp;"","(not found)"))</f>
        <v/>
      </c>
      <c r="O1882" s="49" t="str">
        <f>IF($F1882="","",IFERROR(INDEX(Batches!$B$2:$B$301,MATCH($F1882,Batches!$A$2:$A$301,0))&amp;"","(not found)"))</f>
        <v/>
      </c>
      <c r="P1882" s="49" t="str">
        <f>IF(COUNTA($A1882:$L1882)=0,"",IF($A1882="","Missing: entry ID",IF(COUNTIF($A$2:$A$2001,$A1882)&gt;1,"Duplicate entry ID",IF(NOT(ISNUMBER($B1882)),"Missing or invalid: date",IF($C1882="","Missing: type",IF($D1882="","Missing: SKU",IF(NOT(ISNUMBER($E1882)),"Missing: qty",IF($F1882="","Missing: lot",IF($I1882="","Missing: source link",IF(COUNTIF(Config!$A$15:$A$34,$C1882)=0,"Unsupported type",IF(COUNTIF(Products!$A$2:$A$101,$D1882)=0,"Unknown SKU",IF(COUNTIFS(Batches!$A$2:$A$301,$F1882,Batches!$B$2:$B$301,$D1882)=0,"Unknown lot for this SKU",IF(AND($C1882="Adjustment",$G1882=""),"Missing: reason",IF(AND($G1882&lt;&gt;"",COUNTIF(Config!$B$15:$B$34,$G1882)=0),"Unsupported reason",IF(OR(INT($E1882)&lt;&gt;$E1882,AND(OR($C1882="Receipt",$C1882="Shipment"),$E1882&lt;=0),AND($C1882="Adjustment",$E1882=0)),"Invalid qty",IF($B1882&gt;Config!$B$4,"Date after the as-of date",IF($B1882&lt;Config!$B$5,"Date before the opening balance date","OK")))))))))))))))))</f>
        <v/>
      </c>
    </row>
    <row r="1883">
      <c r="A1883" s="46" t="n"/>
      <c r="B1883" s="54" t="n"/>
      <c r="C1883" s="46" t="n"/>
      <c r="D1883" s="46" t="n"/>
      <c r="E1883" s="55" t="n"/>
      <c r="F1883" s="46" t="n"/>
      <c r="G1883" s="46" t="n"/>
      <c r="H1883" s="46" t="n"/>
      <c r="I1883" s="46" t="n"/>
      <c r="J1883" s="46" t="n"/>
      <c r="K1883" s="46" t="n"/>
      <c r="L1883" s="46" t="n"/>
      <c r="M1883" s="51" t="str">
        <f>IF(NOT(ISNUMBER($E1883)),"",IF($C1883="Receipt",$E1883,IF($C1883="Shipment",-$E1883,IF($C1883="Adjustment",$E1883,0))))</f>
        <v/>
      </c>
      <c r="N1883" s="49" t="str">
        <f>IF($D1883="","",IFERROR(INDEX(Products!$B$2:$B$101,MATCH($D1883,Products!$A$2:$A$101,0))&amp;"","(not found)"))</f>
        <v/>
      </c>
      <c r="O1883" s="49" t="str">
        <f>IF($F1883="","",IFERROR(INDEX(Batches!$B$2:$B$301,MATCH($F1883,Batches!$A$2:$A$301,0))&amp;"","(not found)"))</f>
        <v/>
      </c>
      <c r="P1883" s="49" t="str">
        <f>IF(COUNTA($A1883:$L1883)=0,"",IF($A1883="","Missing: entry ID",IF(COUNTIF($A$2:$A$2001,$A1883)&gt;1,"Duplicate entry ID",IF(NOT(ISNUMBER($B1883)),"Missing or invalid: date",IF($C1883="","Missing: type",IF($D1883="","Missing: SKU",IF(NOT(ISNUMBER($E1883)),"Missing: qty",IF($F1883="","Missing: lot",IF($I1883="","Missing: source link",IF(COUNTIF(Config!$A$15:$A$34,$C1883)=0,"Unsupported type",IF(COUNTIF(Products!$A$2:$A$101,$D1883)=0,"Unknown SKU",IF(COUNTIFS(Batches!$A$2:$A$301,$F1883,Batches!$B$2:$B$301,$D1883)=0,"Unknown lot for this SKU",IF(AND($C1883="Adjustment",$G1883=""),"Missing: reason",IF(AND($G1883&lt;&gt;"",COUNTIF(Config!$B$15:$B$34,$G1883)=0),"Unsupported reason",IF(OR(INT($E1883)&lt;&gt;$E1883,AND(OR($C1883="Receipt",$C1883="Shipment"),$E1883&lt;=0),AND($C1883="Adjustment",$E1883=0)),"Invalid qty",IF($B1883&gt;Config!$B$4,"Date after the as-of date",IF($B1883&lt;Config!$B$5,"Date before the opening balance date","OK")))))))))))))))))</f>
        <v/>
      </c>
    </row>
    <row r="1884">
      <c r="A1884" s="46" t="n"/>
      <c r="B1884" s="54" t="n"/>
      <c r="C1884" s="46" t="n"/>
      <c r="D1884" s="46" t="n"/>
      <c r="E1884" s="55" t="n"/>
      <c r="F1884" s="46" t="n"/>
      <c r="G1884" s="46" t="n"/>
      <c r="H1884" s="46" t="n"/>
      <c r="I1884" s="46" t="n"/>
      <c r="J1884" s="46" t="n"/>
      <c r="K1884" s="46" t="n"/>
      <c r="L1884" s="46" t="n"/>
      <c r="M1884" s="51" t="str">
        <f>IF(NOT(ISNUMBER($E1884)),"",IF($C1884="Receipt",$E1884,IF($C1884="Shipment",-$E1884,IF($C1884="Adjustment",$E1884,0))))</f>
        <v/>
      </c>
      <c r="N1884" s="49" t="str">
        <f>IF($D1884="","",IFERROR(INDEX(Products!$B$2:$B$101,MATCH($D1884,Products!$A$2:$A$101,0))&amp;"","(not found)"))</f>
        <v/>
      </c>
      <c r="O1884" s="49" t="str">
        <f>IF($F1884="","",IFERROR(INDEX(Batches!$B$2:$B$301,MATCH($F1884,Batches!$A$2:$A$301,0))&amp;"","(not found)"))</f>
        <v/>
      </c>
      <c r="P1884" s="49" t="str">
        <f>IF(COUNTA($A1884:$L1884)=0,"",IF($A1884="","Missing: entry ID",IF(COUNTIF($A$2:$A$2001,$A1884)&gt;1,"Duplicate entry ID",IF(NOT(ISNUMBER($B1884)),"Missing or invalid: date",IF($C1884="","Missing: type",IF($D1884="","Missing: SKU",IF(NOT(ISNUMBER($E1884)),"Missing: qty",IF($F1884="","Missing: lot",IF($I1884="","Missing: source link",IF(COUNTIF(Config!$A$15:$A$34,$C1884)=0,"Unsupported type",IF(COUNTIF(Products!$A$2:$A$101,$D1884)=0,"Unknown SKU",IF(COUNTIFS(Batches!$A$2:$A$301,$F1884,Batches!$B$2:$B$301,$D1884)=0,"Unknown lot for this SKU",IF(AND($C1884="Adjustment",$G1884=""),"Missing: reason",IF(AND($G1884&lt;&gt;"",COUNTIF(Config!$B$15:$B$34,$G1884)=0),"Unsupported reason",IF(OR(INT($E1884)&lt;&gt;$E1884,AND(OR($C1884="Receipt",$C1884="Shipment"),$E1884&lt;=0),AND($C1884="Adjustment",$E1884=0)),"Invalid qty",IF($B1884&gt;Config!$B$4,"Date after the as-of date",IF($B1884&lt;Config!$B$5,"Date before the opening balance date","OK")))))))))))))))))</f>
        <v/>
      </c>
    </row>
    <row r="1885">
      <c r="A1885" s="46" t="n"/>
      <c r="B1885" s="54" t="n"/>
      <c r="C1885" s="46" t="n"/>
      <c r="D1885" s="46" t="n"/>
      <c r="E1885" s="55" t="n"/>
      <c r="F1885" s="46" t="n"/>
      <c r="G1885" s="46" t="n"/>
      <c r="H1885" s="46" t="n"/>
      <c r="I1885" s="46" t="n"/>
      <c r="J1885" s="46" t="n"/>
      <c r="K1885" s="46" t="n"/>
      <c r="L1885" s="46" t="n"/>
      <c r="M1885" s="51" t="str">
        <f>IF(NOT(ISNUMBER($E1885)),"",IF($C1885="Receipt",$E1885,IF($C1885="Shipment",-$E1885,IF($C1885="Adjustment",$E1885,0))))</f>
        <v/>
      </c>
      <c r="N1885" s="49" t="str">
        <f>IF($D1885="","",IFERROR(INDEX(Products!$B$2:$B$101,MATCH($D1885,Products!$A$2:$A$101,0))&amp;"","(not found)"))</f>
        <v/>
      </c>
      <c r="O1885" s="49" t="str">
        <f>IF($F1885="","",IFERROR(INDEX(Batches!$B$2:$B$301,MATCH($F1885,Batches!$A$2:$A$301,0))&amp;"","(not found)"))</f>
        <v/>
      </c>
      <c r="P1885" s="49" t="str">
        <f>IF(COUNTA($A1885:$L1885)=0,"",IF($A1885="","Missing: entry ID",IF(COUNTIF($A$2:$A$2001,$A1885)&gt;1,"Duplicate entry ID",IF(NOT(ISNUMBER($B1885)),"Missing or invalid: date",IF($C1885="","Missing: type",IF($D1885="","Missing: SKU",IF(NOT(ISNUMBER($E1885)),"Missing: qty",IF($F1885="","Missing: lot",IF($I1885="","Missing: source link",IF(COUNTIF(Config!$A$15:$A$34,$C1885)=0,"Unsupported type",IF(COUNTIF(Products!$A$2:$A$101,$D1885)=0,"Unknown SKU",IF(COUNTIFS(Batches!$A$2:$A$301,$F1885,Batches!$B$2:$B$301,$D1885)=0,"Unknown lot for this SKU",IF(AND($C1885="Adjustment",$G1885=""),"Missing: reason",IF(AND($G1885&lt;&gt;"",COUNTIF(Config!$B$15:$B$34,$G1885)=0),"Unsupported reason",IF(OR(INT($E1885)&lt;&gt;$E1885,AND(OR($C1885="Receipt",$C1885="Shipment"),$E1885&lt;=0),AND($C1885="Adjustment",$E1885=0)),"Invalid qty",IF($B1885&gt;Config!$B$4,"Date after the as-of date",IF($B1885&lt;Config!$B$5,"Date before the opening balance date","OK")))))))))))))))))</f>
        <v/>
      </c>
    </row>
    <row r="1886">
      <c r="A1886" s="46" t="n"/>
      <c r="B1886" s="54" t="n"/>
      <c r="C1886" s="46" t="n"/>
      <c r="D1886" s="46" t="n"/>
      <c r="E1886" s="55" t="n"/>
      <c r="F1886" s="46" t="n"/>
      <c r="G1886" s="46" t="n"/>
      <c r="H1886" s="46" t="n"/>
      <c r="I1886" s="46" t="n"/>
      <c r="J1886" s="46" t="n"/>
      <c r="K1886" s="46" t="n"/>
      <c r="L1886" s="46" t="n"/>
      <c r="M1886" s="51" t="str">
        <f>IF(NOT(ISNUMBER($E1886)),"",IF($C1886="Receipt",$E1886,IF($C1886="Shipment",-$E1886,IF($C1886="Adjustment",$E1886,0))))</f>
        <v/>
      </c>
      <c r="N1886" s="49" t="str">
        <f>IF($D1886="","",IFERROR(INDEX(Products!$B$2:$B$101,MATCH($D1886,Products!$A$2:$A$101,0))&amp;"","(not found)"))</f>
        <v/>
      </c>
      <c r="O1886" s="49" t="str">
        <f>IF($F1886="","",IFERROR(INDEX(Batches!$B$2:$B$301,MATCH($F1886,Batches!$A$2:$A$301,0))&amp;"","(not found)"))</f>
        <v/>
      </c>
      <c r="P1886" s="49" t="str">
        <f>IF(COUNTA($A1886:$L1886)=0,"",IF($A1886="","Missing: entry ID",IF(COUNTIF($A$2:$A$2001,$A1886)&gt;1,"Duplicate entry ID",IF(NOT(ISNUMBER($B1886)),"Missing or invalid: date",IF($C1886="","Missing: type",IF($D1886="","Missing: SKU",IF(NOT(ISNUMBER($E1886)),"Missing: qty",IF($F1886="","Missing: lot",IF($I1886="","Missing: source link",IF(COUNTIF(Config!$A$15:$A$34,$C1886)=0,"Unsupported type",IF(COUNTIF(Products!$A$2:$A$101,$D1886)=0,"Unknown SKU",IF(COUNTIFS(Batches!$A$2:$A$301,$F1886,Batches!$B$2:$B$301,$D1886)=0,"Unknown lot for this SKU",IF(AND($C1886="Adjustment",$G1886=""),"Missing: reason",IF(AND($G1886&lt;&gt;"",COUNTIF(Config!$B$15:$B$34,$G1886)=0),"Unsupported reason",IF(OR(INT($E1886)&lt;&gt;$E1886,AND(OR($C1886="Receipt",$C1886="Shipment"),$E1886&lt;=0),AND($C1886="Adjustment",$E1886=0)),"Invalid qty",IF($B1886&gt;Config!$B$4,"Date after the as-of date",IF($B1886&lt;Config!$B$5,"Date before the opening balance date","OK")))))))))))))))))</f>
        <v/>
      </c>
    </row>
    <row r="1887">
      <c r="A1887" s="46" t="n"/>
      <c r="B1887" s="54" t="n"/>
      <c r="C1887" s="46" t="n"/>
      <c r="D1887" s="46" t="n"/>
      <c r="E1887" s="55" t="n"/>
      <c r="F1887" s="46" t="n"/>
      <c r="G1887" s="46" t="n"/>
      <c r="H1887" s="46" t="n"/>
      <c r="I1887" s="46" t="n"/>
      <c r="J1887" s="46" t="n"/>
      <c r="K1887" s="46" t="n"/>
      <c r="L1887" s="46" t="n"/>
      <c r="M1887" s="51" t="str">
        <f>IF(NOT(ISNUMBER($E1887)),"",IF($C1887="Receipt",$E1887,IF($C1887="Shipment",-$E1887,IF($C1887="Adjustment",$E1887,0))))</f>
        <v/>
      </c>
      <c r="N1887" s="49" t="str">
        <f>IF($D1887="","",IFERROR(INDEX(Products!$B$2:$B$101,MATCH($D1887,Products!$A$2:$A$101,0))&amp;"","(not found)"))</f>
        <v/>
      </c>
      <c r="O1887" s="49" t="str">
        <f>IF($F1887="","",IFERROR(INDEX(Batches!$B$2:$B$301,MATCH($F1887,Batches!$A$2:$A$301,0))&amp;"","(not found)"))</f>
        <v/>
      </c>
      <c r="P1887" s="49" t="str">
        <f>IF(COUNTA($A1887:$L1887)=0,"",IF($A1887="","Missing: entry ID",IF(COUNTIF($A$2:$A$2001,$A1887)&gt;1,"Duplicate entry ID",IF(NOT(ISNUMBER($B1887)),"Missing or invalid: date",IF($C1887="","Missing: type",IF($D1887="","Missing: SKU",IF(NOT(ISNUMBER($E1887)),"Missing: qty",IF($F1887="","Missing: lot",IF($I1887="","Missing: source link",IF(COUNTIF(Config!$A$15:$A$34,$C1887)=0,"Unsupported type",IF(COUNTIF(Products!$A$2:$A$101,$D1887)=0,"Unknown SKU",IF(COUNTIFS(Batches!$A$2:$A$301,$F1887,Batches!$B$2:$B$301,$D1887)=0,"Unknown lot for this SKU",IF(AND($C1887="Adjustment",$G1887=""),"Missing: reason",IF(AND($G1887&lt;&gt;"",COUNTIF(Config!$B$15:$B$34,$G1887)=0),"Unsupported reason",IF(OR(INT($E1887)&lt;&gt;$E1887,AND(OR($C1887="Receipt",$C1887="Shipment"),$E1887&lt;=0),AND($C1887="Adjustment",$E1887=0)),"Invalid qty",IF($B1887&gt;Config!$B$4,"Date after the as-of date",IF($B1887&lt;Config!$B$5,"Date before the opening balance date","OK")))))))))))))))))</f>
        <v/>
      </c>
    </row>
    <row r="1888">
      <c r="A1888" s="46" t="n"/>
      <c r="B1888" s="54" t="n"/>
      <c r="C1888" s="46" t="n"/>
      <c r="D1888" s="46" t="n"/>
      <c r="E1888" s="55" t="n"/>
      <c r="F1888" s="46" t="n"/>
      <c r="G1888" s="46" t="n"/>
      <c r="H1888" s="46" t="n"/>
      <c r="I1888" s="46" t="n"/>
      <c r="J1888" s="46" t="n"/>
      <c r="K1888" s="46" t="n"/>
      <c r="L1888" s="46" t="n"/>
      <c r="M1888" s="51" t="str">
        <f>IF(NOT(ISNUMBER($E1888)),"",IF($C1888="Receipt",$E1888,IF($C1888="Shipment",-$E1888,IF($C1888="Adjustment",$E1888,0))))</f>
        <v/>
      </c>
      <c r="N1888" s="49" t="str">
        <f>IF($D1888="","",IFERROR(INDEX(Products!$B$2:$B$101,MATCH($D1888,Products!$A$2:$A$101,0))&amp;"","(not found)"))</f>
        <v/>
      </c>
      <c r="O1888" s="49" t="str">
        <f>IF($F1888="","",IFERROR(INDEX(Batches!$B$2:$B$301,MATCH($F1888,Batches!$A$2:$A$301,0))&amp;"","(not found)"))</f>
        <v/>
      </c>
      <c r="P1888" s="49" t="str">
        <f>IF(COUNTA($A1888:$L1888)=0,"",IF($A1888="","Missing: entry ID",IF(COUNTIF($A$2:$A$2001,$A1888)&gt;1,"Duplicate entry ID",IF(NOT(ISNUMBER($B1888)),"Missing or invalid: date",IF($C1888="","Missing: type",IF($D1888="","Missing: SKU",IF(NOT(ISNUMBER($E1888)),"Missing: qty",IF($F1888="","Missing: lot",IF($I1888="","Missing: source link",IF(COUNTIF(Config!$A$15:$A$34,$C1888)=0,"Unsupported type",IF(COUNTIF(Products!$A$2:$A$101,$D1888)=0,"Unknown SKU",IF(COUNTIFS(Batches!$A$2:$A$301,$F1888,Batches!$B$2:$B$301,$D1888)=0,"Unknown lot for this SKU",IF(AND($C1888="Adjustment",$G1888=""),"Missing: reason",IF(AND($G1888&lt;&gt;"",COUNTIF(Config!$B$15:$B$34,$G1888)=0),"Unsupported reason",IF(OR(INT($E1888)&lt;&gt;$E1888,AND(OR($C1888="Receipt",$C1888="Shipment"),$E1888&lt;=0),AND($C1888="Adjustment",$E1888=0)),"Invalid qty",IF($B1888&gt;Config!$B$4,"Date after the as-of date",IF($B1888&lt;Config!$B$5,"Date before the opening balance date","OK")))))))))))))))))</f>
        <v/>
      </c>
    </row>
    <row r="1889">
      <c r="A1889" s="46" t="n"/>
      <c r="B1889" s="54" t="n"/>
      <c r="C1889" s="46" t="n"/>
      <c r="D1889" s="46" t="n"/>
      <c r="E1889" s="55" t="n"/>
      <c r="F1889" s="46" t="n"/>
      <c r="G1889" s="46" t="n"/>
      <c r="H1889" s="46" t="n"/>
      <c r="I1889" s="46" t="n"/>
      <c r="J1889" s="46" t="n"/>
      <c r="K1889" s="46" t="n"/>
      <c r="L1889" s="46" t="n"/>
      <c r="M1889" s="51" t="str">
        <f>IF(NOT(ISNUMBER($E1889)),"",IF($C1889="Receipt",$E1889,IF($C1889="Shipment",-$E1889,IF($C1889="Adjustment",$E1889,0))))</f>
        <v/>
      </c>
      <c r="N1889" s="49" t="str">
        <f>IF($D1889="","",IFERROR(INDEX(Products!$B$2:$B$101,MATCH($D1889,Products!$A$2:$A$101,0))&amp;"","(not found)"))</f>
        <v/>
      </c>
      <c r="O1889" s="49" t="str">
        <f>IF($F1889="","",IFERROR(INDEX(Batches!$B$2:$B$301,MATCH($F1889,Batches!$A$2:$A$301,0))&amp;"","(not found)"))</f>
        <v/>
      </c>
      <c r="P1889" s="49" t="str">
        <f>IF(COUNTA($A1889:$L1889)=0,"",IF($A1889="","Missing: entry ID",IF(COUNTIF($A$2:$A$2001,$A1889)&gt;1,"Duplicate entry ID",IF(NOT(ISNUMBER($B1889)),"Missing or invalid: date",IF($C1889="","Missing: type",IF($D1889="","Missing: SKU",IF(NOT(ISNUMBER($E1889)),"Missing: qty",IF($F1889="","Missing: lot",IF($I1889="","Missing: source link",IF(COUNTIF(Config!$A$15:$A$34,$C1889)=0,"Unsupported type",IF(COUNTIF(Products!$A$2:$A$101,$D1889)=0,"Unknown SKU",IF(COUNTIFS(Batches!$A$2:$A$301,$F1889,Batches!$B$2:$B$301,$D1889)=0,"Unknown lot for this SKU",IF(AND($C1889="Adjustment",$G1889=""),"Missing: reason",IF(AND($G1889&lt;&gt;"",COUNTIF(Config!$B$15:$B$34,$G1889)=0),"Unsupported reason",IF(OR(INT($E1889)&lt;&gt;$E1889,AND(OR($C1889="Receipt",$C1889="Shipment"),$E1889&lt;=0),AND($C1889="Adjustment",$E1889=0)),"Invalid qty",IF($B1889&gt;Config!$B$4,"Date after the as-of date",IF($B1889&lt;Config!$B$5,"Date before the opening balance date","OK")))))))))))))))))</f>
        <v/>
      </c>
    </row>
    <row r="1890">
      <c r="A1890" s="46" t="n"/>
      <c r="B1890" s="54" t="n"/>
      <c r="C1890" s="46" t="n"/>
      <c r="D1890" s="46" t="n"/>
      <c r="E1890" s="55" t="n"/>
      <c r="F1890" s="46" t="n"/>
      <c r="G1890" s="46" t="n"/>
      <c r="H1890" s="46" t="n"/>
      <c r="I1890" s="46" t="n"/>
      <c r="J1890" s="46" t="n"/>
      <c r="K1890" s="46" t="n"/>
      <c r="L1890" s="46" t="n"/>
      <c r="M1890" s="51" t="str">
        <f>IF(NOT(ISNUMBER($E1890)),"",IF($C1890="Receipt",$E1890,IF($C1890="Shipment",-$E1890,IF($C1890="Adjustment",$E1890,0))))</f>
        <v/>
      </c>
      <c r="N1890" s="49" t="str">
        <f>IF($D1890="","",IFERROR(INDEX(Products!$B$2:$B$101,MATCH($D1890,Products!$A$2:$A$101,0))&amp;"","(not found)"))</f>
        <v/>
      </c>
      <c r="O1890" s="49" t="str">
        <f>IF($F1890="","",IFERROR(INDEX(Batches!$B$2:$B$301,MATCH($F1890,Batches!$A$2:$A$301,0))&amp;"","(not found)"))</f>
        <v/>
      </c>
      <c r="P1890" s="49" t="str">
        <f>IF(COUNTA($A1890:$L1890)=0,"",IF($A1890="","Missing: entry ID",IF(COUNTIF($A$2:$A$2001,$A1890)&gt;1,"Duplicate entry ID",IF(NOT(ISNUMBER($B1890)),"Missing or invalid: date",IF($C1890="","Missing: type",IF($D1890="","Missing: SKU",IF(NOT(ISNUMBER($E1890)),"Missing: qty",IF($F1890="","Missing: lot",IF($I1890="","Missing: source link",IF(COUNTIF(Config!$A$15:$A$34,$C1890)=0,"Unsupported type",IF(COUNTIF(Products!$A$2:$A$101,$D1890)=0,"Unknown SKU",IF(COUNTIFS(Batches!$A$2:$A$301,$F1890,Batches!$B$2:$B$301,$D1890)=0,"Unknown lot for this SKU",IF(AND($C1890="Adjustment",$G1890=""),"Missing: reason",IF(AND($G1890&lt;&gt;"",COUNTIF(Config!$B$15:$B$34,$G1890)=0),"Unsupported reason",IF(OR(INT($E1890)&lt;&gt;$E1890,AND(OR($C1890="Receipt",$C1890="Shipment"),$E1890&lt;=0),AND($C1890="Adjustment",$E1890=0)),"Invalid qty",IF($B1890&gt;Config!$B$4,"Date after the as-of date",IF($B1890&lt;Config!$B$5,"Date before the opening balance date","OK")))))))))))))))))</f>
        <v/>
      </c>
    </row>
    <row r="1891">
      <c r="A1891" s="46" t="n"/>
      <c r="B1891" s="54" t="n"/>
      <c r="C1891" s="46" t="n"/>
      <c r="D1891" s="46" t="n"/>
      <c r="E1891" s="55" t="n"/>
      <c r="F1891" s="46" t="n"/>
      <c r="G1891" s="46" t="n"/>
      <c r="H1891" s="46" t="n"/>
      <c r="I1891" s="46" t="n"/>
      <c r="J1891" s="46" t="n"/>
      <c r="K1891" s="46" t="n"/>
      <c r="L1891" s="46" t="n"/>
      <c r="M1891" s="51" t="str">
        <f>IF(NOT(ISNUMBER($E1891)),"",IF($C1891="Receipt",$E1891,IF($C1891="Shipment",-$E1891,IF($C1891="Adjustment",$E1891,0))))</f>
        <v/>
      </c>
      <c r="N1891" s="49" t="str">
        <f>IF($D1891="","",IFERROR(INDEX(Products!$B$2:$B$101,MATCH($D1891,Products!$A$2:$A$101,0))&amp;"","(not found)"))</f>
        <v/>
      </c>
      <c r="O1891" s="49" t="str">
        <f>IF($F1891="","",IFERROR(INDEX(Batches!$B$2:$B$301,MATCH($F1891,Batches!$A$2:$A$301,0))&amp;"","(not found)"))</f>
        <v/>
      </c>
      <c r="P1891" s="49" t="str">
        <f>IF(COUNTA($A1891:$L1891)=0,"",IF($A1891="","Missing: entry ID",IF(COUNTIF($A$2:$A$2001,$A1891)&gt;1,"Duplicate entry ID",IF(NOT(ISNUMBER($B1891)),"Missing or invalid: date",IF($C1891="","Missing: type",IF($D1891="","Missing: SKU",IF(NOT(ISNUMBER($E1891)),"Missing: qty",IF($F1891="","Missing: lot",IF($I1891="","Missing: source link",IF(COUNTIF(Config!$A$15:$A$34,$C1891)=0,"Unsupported type",IF(COUNTIF(Products!$A$2:$A$101,$D1891)=0,"Unknown SKU",IF(COUNTIFS(Batches!$A$2:$A$301,$F1891,Batches!$B$2:$B$301,$D1891)=0,"Unknown lot for this SKU",IF(AND($C1891="Adjustment",$G1891=""),"Missing: reason",IF(AND($G1891&lt;&gt;"",COUNTIF(Config!$B$15:$B$34,$G1891)=0),"Unsupported reason",IF(OR(INT($E1891)&lt;&gt;$E1891,AND(OR($C1891="Receipt",$C1891="Shipment"),$E1891&lt;=0),AND($C1891="Adjustment",$E1891=0)),"Invalid qty",IF($B1891&gt;Config!$B$4,"Date after the as-of date",IF($B1891&lt;Config!$B$5,"Date before the opening balance date","OK")))))))))))))))))</f>
        <v/>
      </c>
    </row>
    <row r="1892">
      <c r="A1892" s="46" t="n"/>
      <c r="B1892" s="54" t="n"/>
      <c r="C1892" s="46" t="n"/>
      <c r="D1892" s="46" t="n"/>
      <c r="E1892" s="55" t="n"/>
      <c r="F1892" s="46" t="n"/>
      <c r="G1892" s="46" t="n"/>
      <c r="H1892" s="46" t="n"/>
      <c r="I1892" s="46" t="n"/>
      <c r="J1892" s="46" t="n"/>
      <c r="K1892" s="46" t="n"/>
      <c r="L1892" s="46" t="n"/>
      <c r="M1892" s="51" t="str">
        <f>IF(NOT(ISNUMBER($E1892)),"",IF($C1892="Receipt",$E1892,IF($C1892="Shipment",-$E1892,IF($C1892="Adjustment",$E1892,0))))</f>
        <v/>
      </c>
      <c r="N1892" s="49" t="str">
        <f>IF($D1892="","",IFERROR(INDEX(Products!$B$2:$B$101,MATCH($D1892,Products!$A$2:$A$101,0))&amp;"","(not found)"))</f>
        <v/>
      </c>
      <c r="O1892" s="49" t="str">
        <f>IF($F1892="","",IFERROR(INDEX(Batches!$B$2:$B$301,MATCH($F1892,Batches!$A$2:$A$301,0))&amp;"","(not found)"))</f>
        <v/>
      </c>
      <c r="P1892" s="49" t="str">
        <f>IF(COUNTA($A1892:$L1892)=0,"",IF($A1892="","Missing: entry ID",IF(COUNTIF($A$2:$A$2001,$A1892)&gt;1,"Duplicate entry ID",IF(NOT(ISNUMBER($B1892)),"Missing or invalid: date",IF($C1892="","Missing: type",IF($D1892="","Missing: SKU",IF(NOT(ISNUMBER($E1892)),"Missing: qty",IF($F1892="","Missing: lot",IF($I1892="","Missing: source link",IF(COUNTIF(Config!$A$15:$A$34,$C1892)=0,"Unsupported type",IF(COUNTIF(Products!$A$2:$A$101,$D1892)=0,"Unknown SKU",IF(COUNTIFS(Batches!$A$2:$A$301,$F1892,Batches!$B$2:$B$301,$D1892)=0,"Unknown lot for this SKU",IF(AND($C1892="Adjustment",$G1892=""),"Missing: reason",IF(AND($G1892&lt;&gt;"",COUNTIF(Config!$B$15:$B$34,$G1892)=0),"Unsupported reason",IF(OR(INT($E1892)&lt;&gt;$E1892,AND(OR($C1892="Receipt",$C1892="Shipment"),$E1892&lt;=0),AND($C1892="Adjustment",$E1892=0)),"Invalid qty",IF($B1892&gt;Config!$B$4,"Date after the as-of date",IF($B1892&lt;Config!$B$5,"Date before the opening balance date","OK")))))))))))))))))</f>
        <v/>
      </c>
    </row>
    <row r="1893">
      <c r="A1893" s="46" t="n"/>
      <c r="B1893" s="54" t="n"/>
      <c r="C1893" s="46" t="n"/>
      <c r="D1893" s="46" t="n"/>
      <c r="E1893" s="55" t="n"/>
      <c r="F1893" s="46" t="n"/>
      <c r="G1893" s="46" t="n"/>
      <c r="H1893" s="46" t="n"/>
      <c r="I1893" s="46" t="n"/>
      <c r="J1893" s="46" t="n"/>
      <c r="K1893" s="46" t="n"/>
      <c r="L1893" s="46" t="n"/>
      <c r="M1893" s="51" t="str">
        <f>IF(NOT(ISNUMBER($E1893)),"",IF($C1893="Receipt",$E1893,IF($C1893="Shipment",-$E1893,IF($C1893="Adjustment",$E1893,0))))</f>
        <v/>
      </c>
      <c r="N1893" s="49" t="str">
        <f>IF($D1893="","",IFERROR(INDEX(Products!$B$2:$B$101,MATCH($D1893,Products!$A$2:$A$101,0))&amp;"","(not found)"))</f>
        <v/>
      </c>
      <c r="O1893" s="49" t="str">
        <f>IF($F1893="","",IFERROR(INDEX(Batches!$B$2:$B$301,MATCH($F1893,Batches!$A$2:$A$301,0))&amp;"","(not found)"))</f>
        <v/>
      </c>
      <c r="P1893" s="49" t="str">
        <f>IF(COUNTA($A1893:$L1893)=0,"",IF($A1893="","Missing: entry ID",IF(COUNTIF($A$2:$A$2001,$A1893)&gt;1,"Duplicate entry ID",IF(NOT(ISNUMBER($B1893)),"Missing or invalid: date",IF($C1893="","Missing: type",IF($D1893="","Missing: SKU",IF(NOT(ISNUMBER($E1893)),"Missing: qty",IF($F1893="","Missing: lot",IF($I1893="","Missing: source link",IF(COUNTIF(Config!$A$15:$A$34,$C1893)=0,"Unsupported type",IF(COUNTIF(Products!$A$2:$A$101,$D1893)=0,"Unknown SKU",IF(COUNTIFS(Batches!$A$2:$A$301,$F1893,Batches!$B$2:$B$301,$D1893)=0,"Unknown lot for this SKU",IF(AND($C1893="Adjustment",$G1893=""),"Missing: reason",IF(AND($G1893&lt;&gt;"",COUNTIF(Config!$B$15:$B$34,$G1893)=0),"Unsupported reason",IF(OR(INT($E1893)&lt;&gt;$E1893,AND(OR($C1893="Receipt",$C1893="Shipment"),$E1893&lt;=0),AND($C1893="Adjustment",$E1893=0)),"Invalid qty",IF($B1893&gt;Config!$B$4,"Date after the as-of date",IF($B1893&lt;Config!$B$5,"Date before the opening balance date","OK")))))))))))))))))</f>
        <v/>
      </c>
    </row>
    <row r="1894">
      <c r="A1894" s="46" t="n"/>
      <c r="B1894" s="54" t="n"/>
      <c r="C1894" s="46" t="n"/>
      <c r="D1894" s="46" t="n"/>
      <c r="E1894" s="55" t="n"/>
      <c r="F1894" s="46" t="n"/>
      <c r="G1894" s="46" t="n"/>
      <c r="H1894" s="46" t="n"/>
      <c r="I1894" s="46" t="n"/>
      <c r="J1894" s="46" t="n"/>
      <c r="K1894" s="46" t="n"/>
      <c r="L1894" s="46" t="n"/>
      <c r="M1894" s="51" t="str">
        <f>IF(NOT(ISNUMBER($E1894)),"",IF($C1894="Receipt",$E1894,IF($C1894="Shipment",-$E1894,IF($C1894="Adjustment",$E1894,0))))</f>
        <v/>
      </c>
      <c r="N1894" s="49" t="str">
        <f>IF($D1894="","",IFERROR(INDEX(Products!$B$2:$B$101,MATCH($D1894,Products!$A$2:$A$101,0))&amp;"","(not found)"))</f>
        <v/>
      </c>
      <c r="O1894" s="49" t="str">
        <f>IF($F1894="","",IFERROR(INDEX(Batches!$B$2:$B$301,MATCH($F1894,Batches!$A$2:$A$301,0))&amp;"","(not found)"))</f>
        <v/>
      </c>
      <c r="P1894" s="49" t="str">
        <f>IF(COUNTA($A1894:$L1894)=0,"",IF($A1894="","Missing: entry ID",IF(COUNTIF($A$2:$A$2001,$A1894)&gt;1,"Duplicate entry ID",IF(NOT(ISNUMBER($B1894)),"Missing or invalid: date",IF($C1894="","Missing: type",IF($D1894="","Missing: SKU",IF(NOT(ISNUMBER($E1894)),"Missing: qty",IF($F1894="","Missing: lot",IF($I1894="","Missing: source link",IF(COUNTIF(Config!$A$15:$A$34,$C1894)=0,"Unsupported type",IF(COUNTIF(Products!$A$2:$A$101,$D1894)=0,"Unknown SKU",IF(COUNTIFS(Batches!$A$2:$A$301,$F1894,Batches!$B$2:$B$301,$D1894)=0,"Unknown lot for this SKU",IF(AND($C1894="Adjustment",$G1894=""),"Missing: reason",IF(AND($G1894&lt;&gt;"",COUNTIF(Config!$B$15:$B$34,$G1894)=0),"Unsupported reason",IF(OR(INT($E1894)&lt;&gt;$E1894,AND(OR($C1894="Receipt",$C1894="Shipment"),$E1894&lt;=0),AND($C1894="Adjustment",$E1894=0)),"Invalid qty",IF($B1894&gt;Config!$B$4,"Date after the as-of date",IF($B1894&lt;Config!$B$5,"Date before the opening balance date","OK")))))))))))))))))</f>
        <v/>
      </c>
    </row>
    <row r="1895">
      <c r="A1895" s="46" t="n"/>
      <c r="B1895" s="54" t="n"/>
      <c r="C1895" s="46" t="n"/>
      <c r="D1895" s="46" t="n"/>
      <c r="E1895" s="55" t="n"/>
      <c r="F1895" s="46" t="n"/>
      <c r="G1895" s="46" t="n"/>
      <c r="H1895" s="46" t="n"/>
      <c r="I1895" s="46" t="n"/>
      <c r="J1895" s="46" t="n"/>
      <c r="K1895" s="46" t="n"/>
      <c r="L1895" s="46" t="n"/>
      <c r="M1895" s="51" t="str">
        <f>IF(NOT(ISNUMBER($E1895)),"",IF($C1895="Receipt",$E1895,IF($C1895="Shipment",-$E1895,IF($C1895="Adjustment",$E1895,0))))</f>
        <v/>
      </c>
      <c r="N1895" s="49" t="str">
        <f>IF($D1895="","",IFERROR(INDEX(Products!$B$2:$B$101,MATCH($D1895,Products!$A$2:$A$101,0))&amp;"","(not found)"))</f>
        <v/>
      </c>
      <c r="O1895" s="49" t="str">
        <f>IF($F1895="","",IFERROR(INDEX(Batches!$B$2:$B$301,MATCH($F1895,Batches!$A$2:$A$301,0))&amp;"","(not found)"))</f>
        <v/>
      </c>
      <c r="P1895" s="49" t="str">
        <f>IF(COUNTA($A1895:$L1895)=0,"",IF($A1895="","Missing: entry ID",IF(COUNTIF($A$2:$A$2001,$A1895)&gt;1,"Duplicate entry ID",IF(NOT(ISNUMBER($B1895)),"Missing or invalid: date",IF($C1895="","Missing: type",IF($D1895="","Missing: SKU",IF(NOT(ISNUMBER($E1895)),"Missing: qty",IF($F1895="","Missing: lot",IF($I1895="","Missing: source link",IF(COUNTIF(Config!$A$15:$A$34,$C1895)=0,"Unsupported type",IF(COUNTIF(Products!$A$2:$A$101,$D1895)=0,"Unknown SKU",IF(COUNTIFS(Batches!$A$2:$A$301,$F1895,Batches!$B$2:$B$301,$D1895)=0,"Unknown lot for this SKU",IF(AND($C1895="Adjustment",$G1895=""),"Missing: reason",IF(AND($G1895&lt;&gt;"",COUNTIF(Config!$B$15:$B$34,$G1895)=0),"Unsupported reason",IF(OR(INT($E1895)&lt;&gt;$E1895,AND(OR($C1895="Receipt",$C1895="Shipment"),$E1895&lt;=0),AND($C1895="Adjustment",$E1895=0)),"Invalid qty",IF($B1895&gt;Config!$B$4,"Date after the as-of date",IF($B1895&lt;Config!$B$5,"Date before the opening balance date","OK")))))))))))))))))</f>
        <v/>
      </c>
    </row>
    <row r="1896">
      <c r="A1896" s="46" t="n"/>
      <c r="B1896" s="54" t="n"/>
      <c r="C1896" s="46" t="n"/>
      <c r="D1896" s="46" t="n"/>
      <c r="E1896" s="55" t="n"/>
      <c r="F1896" s="46" t="n"/>
      <c r="G1896" s="46" t="n"/>
      <c r="H1896" s="46" t="n"/>
      <c r="I1896" s="46" t="n"/>
      <c r="J1896" s="46" t="n"/>
      <c r="K1896" s="46" t="n"/>
      <c r="L1896" s="46" t="n"/>
      <c r="M1896" s="51" t="str">
        <f>IF(NOT(ISNUMBER($E1896)),"",IF($C1896="Receipt",$E1896,IF($C1896="Shipment",-$E1896,IF($C1896="Adjustment",$E1896,0))))</f>
        <v/>
      </c>
      <c r="N1896" s="49" t="str">
        <f>IF($D1896="","",IFERROR(INDEX(Products!$B$2:$B$101,MATCH($D1896,Products!$A$2:$A$101,0))&amp;"","(not found)"))</f>
        <v/>
      </c>
      <c r="O1896" s="49" t="str">
        <f>IF($F1896="","",IFERROR(INDEX(Batches!$B$2:$B$301,MATCH($F1896,Batches!$A$2:$A$301,0))&amp;"","(not found)"))</f>
        <v/>
      </c>
      <c r="P1896" s="49" t="str">
        <f>IF(COUNTA($A1896:$L1896)=0,"",IF($A1896="","Missing: entry ID",IF(COUNTIF($A$2:$A$2001,$A1896)&gt;1,"Duplicate entry ID",IF(NOT(ISNUMBER($B1896)),"Missing or invalid: date",IF($C1896="","Missing: type",IF($D1896="","Missing: SKU",IF(NOT(ISNUMBER($E1896)),"Missing: qty",IF($F1896="","Missing: lot",IF($I1896="","Missing: source link",IF(COUNTIF(Config!$A$15:$A$34,$C1896)=0,"Unsupported type",IF(COUNTIF(Products!$A$2:$A$101,$D1896)=0,"Unknown SKU",IF(COUNTIFS(Batches!$A$2:$A$301,$F1896,Batches!$B$2:$B$301,$D1896)=0,"Unknown lot for this SKU",IF(AND($C1896="Adjustment",$G1896=""),"Missing: reason",IF(AND($G1896&lt;&gt;"",COUNTIF(Config!$B$15:$B$34,$G1896)=0),"Unsupported reason",IF(OR(INT($E1896)&lt;&gt;$E1896,AND(OR($C1896="Receipt",$C1896="Shipment"),$E1896&lt;=0),AND($C1896="Adjustment",$E1896=0)),"Invalid qty",IF($B1896&gt;Config!$B$4,"Date after the as-of date",IF($B1896&lt;Config!$B$5,"Date before the opening balance date","OK")))))))))))))))))</f>
        <v/>
      </c>
    </row>
    <row r="1897">
      <c r="A1897" s="46" t="n"/>
      <c r="B1897" s="54" t="n"/>
      <c r="C1897" s="46" t="n"/>
      <c r="D1897" s="46" t="n"/>
      <c r="E1897" s="55" t="n"/>
      <c r="F1897" s="46" t="n"/>
      <c r="G1897" s="46" t="n"/>
      <c r="H1897" s="46" t="n"/>
      <c r="I1897" s="46" t="n"/>
      <c r="J1897" s="46" t="n"/>
      <c r="K1897" s="46" t="n"/>
      <c r="L1897" s="46" t="n"/>
      <c r="M1897" s="51" t="str">
        <f>IF(NOT(ISNUMBER($E1897)),"",IF($C1897="Receipt",$E1897,IF($C1897="Shipment",-$E1897,IF($C1897="Adjustment",$E1897,0))))</f>
        <v/>
      </c>
      <c r="N1897" s="49" t="str">
        <f>IF($D1897="","",IFERROR(INDEX(Products!$B$2:$B$101,MATCH($D1897,Products!$A$2:$A$101,0))&amp;"","(not found)"))</f>
        <v/>
      </c>
      <c r="O1897" s="49" t="str">
        <f>IF($F1897="","",IFERROR(INDEX(Batches!$B$2:$B$301,MATCH($F1897,Batches!$A$2:$A$301,0))&amp;"","(not found)"))</f>
        <v/>
      </c>
      <c r="P1897" s="49" t="str">
        <f>IF(COUNTA($A1897:$L1897)=0,"",IF($A1897="","Missing: entry ID",IF(COUNTIF($A$2:$A$2001,$A1897)&gt;1,"Duplicate entry ID",IF(NOT(ISNUMBER($B1897)),"Missing or invalid: date",IF($C1897="","Missing: type",IF($D1897="","Missing: SKU",IF(NOT(ISNUMBER($E1897)),"Missing: qty",IF($F1897="","Missing: lot",IF($I1897="","Missing: source link",IF(COUNTIF(Config!$A$15:$A$34,$C1897)=0,"Unsupported type",IF(COUNTIF(Products!$A$2:$A$101,$D1897)=0,"Unknown SKU",IF(COUNTIFS(Batches!$A$2:$A$301,$F1897,Batches!$B$2:$B$301,$D1897)=0,"Unknown lot for this SKU",IF(AND($C1897="Adjustment",$G1897=""),"Missing: reason",IF(AND($G1897&lt;&gt;"",COUNTIF(Config!$B$15:$B$34,$G1897)=0),"Unsupported reason",IF(OR(INT($E1897)&lt;&gt;$E1897,AND(OR($C1897="Receipt",$C1897="Shipment"),$E1897&lt;=0),AND($C1897="Adjustment",$E1897=0)),"Invalid qty",IF($B1897&gt;Config!$B$4,"Date after the as-of date",IF($B1897&lt;Config!$B$5,"Date before the opening balance date","OK")))))))))))))))))</f>
        <v/>
      </c>
    </row>
    <row r="1898">
      <c r="A1898" s="46" t="n"/>
      <c r="B1898" s="54" t="n"/>
      <c r="C1898" s="46" t="n"/>
      <c r="D1898" s="46" t="n"/>
      <c r="E1898" s="55" t="n"/>
      <c r="F1898" s="46" t="n"/>
      <c r="G1898" s="46" t="n"/>
      <c r="H1898" s="46" t="n"/>
      <c r="I1898" s="46" t="n"/>
      <c r="J1898" s="46" t="n"/>
      <c r="K1898" s="46" t="n"/>
      <c r="L1898" s="46" t="n"/>
      <c r="M1898" s="51" t="str">
        <f>IF(NOT(ISNUMBER($E1898)),"",IF($C1898="Receipt",$E1898,IF($C1898="Shipment",-$E1898,IF($C1898="Adjustment",$E1898,0))))</f>
        <v/>
      </c>
      <c r="N1898" s="49" t="str">
        <f>IF($D1898="","",IFERROR(INDEX(Products!$B$2:$B$101,MATCH($D1898,Products!$A$2:$A$101,0))&amp;"","(not found)"))</f>
        <v/>
      </c>
      <c r="O1898" s="49" t="str">
        <f>IF($F1898="","",IFERROR(INDEX(Batches!$B$2:$B$301,MATCH($F1898,Batches!$A$2:$A$301,0))&amp;"","(not found)"))</f>
        <v/>
      </c>
      <c r="P1898" s="49" t="str">
        <f>IF(COUNTA($A1898:$L1898)=0,"",IF($A1898="","Missing: entry ID",IF(COUNTIF($A$2:$A$2001,$A1898)&gt;1,"Duplicate entry ID",IF(NOT(ISNUMBER($B1898)),"Missing or invalid: date",IF($C1898="","Missing: type",IF($D1898="","Missing: SKU",IF(NOT(ISNUMBER($E1898)),"Missing: qty",IF($F1898="","Missing: lot",IF($I1898="","Missing: source link",IF(COUNTIF(Config!$A$15:$A$34,$C1898)=0,"Unsupported type",IF(COUNTIF(Products!$A$2:$A$101,$D1898)=0,"Unknown SKU",IF(COUNTIFS(Batches!$A$2:$A$301,$F1898,Batches!$B$2:$B$301,$D1898)=0,"Unknown lot for this SKU",IF(AND($C1898="Adjustment",$G1898=""),"Missing: reason",IF(AND($G1898&lt;&gt;"",COUNTIF(Config!$B$15:$B$34,$G1898)=0),"Unsupported reason",IF(OR(INT($E1898)&lt;&gt;$E1898,AND(OR($C1898="Receipt",$C1898="Shipment"),$E1898&lt;=0),AND($C1898="Adjustment",$E1898=0)),"Invalid qty",IF($B1898&gt;Config!$B$4,"Date after the as-of date",IF($B1898&lt;Config!$B$5,"Date before the opening balance date","OK")))))))))))))))))</f>
        <v/>
      </c>
    </row>
    <row r="1899">
      <c r="A1899" s="46" t="n"/>
      <c r="B1899" s="54" t="n"/>
      <c r="C1899" s="46" t="n"/>
      <c r="D1899" s="46" t="n"/>
      <c r="E1899" s="55" t="n"/>
      <c r="F1899" s="46" t="n"/>
      <c r="G1899" s="46" t="n"/>
      <c r="H1899" s="46" t="n"/>
      <c r="I1899" s="46" t="n"/>
      <c r="J1899" s="46" t="n"/>
      <c r="K1899" s="46" t="n"/>
      <c r="L1899" s="46" t="n"/>
      <c r="M1899" s="51" t="str">
        <f>IF(NOT(ISNUMBER($E1899)),"",IF($C1899="Receipt",$E1899,IF($C1899="Shipment",-$E1899,IF($C1899="Adjustment",$E1899,0))))</f>
        <v/>
      </c>
      <c r="N1899" s="49" t="str">
        <f>IF($D1899="","",IFERROR(INDEX(Products!$B$2:$B$101,MATCH($D1899,Products!$A$2:$A$101,0))&amp;"","(not found)"))</f>
        <v/>
      </c>
      <c r="O1899" s="49" t="str">
        <f>IF($F1899="","",IFERROR(INDEX(Batches!$B$2:$B$301,MATCH($F1899,Batches!$A$2:$A$301,0))&amp;"","(not found)"))</f>
        <v/>
      </c>
      <c r="P1899" s="49" t="str">
        <f>IF(COUNTA($A1899:$L1899)=0,"",IF($A1899="","Missing: entry ID",IF(COUNTIF($A$2:$A$2001,$A1899)&gt;1,"Duplicate entry ID",IF(NOT(ISNUMBER($B1899)),"Missing or invalid: date",IF($C1899="","Missing: type",IF($D1899="","Missing: SKU",IF(NOT(ISNUMBER($E1899)),"Missing: qty",IF($F1899="","Missing: lot",IF($I1899="","Missing: source link",IF(COUNTIF(Config!$A$15:$A$34,$C1899)=0,"Unsupported type",IF(COUNTIF(Products!$A$2:$A$101,$D1899)=0,"Unknown SKU",IF(COUNTIFS(Batches!$A$2:$A$301,$F1899,Batches!$B$2:$B$301,$D1899)=0,"Unknown lot for this SKU",IF(AND($C1899="Adjustment",$G1899=""),"Missing: reason",IF(AND($G1899&lt;&gt;"",COUNTIF(Config!$B$15:$B$34,$G1899)=0),"Unsupported reason",IF(OR(INT($E1899)&lt;&gt;$E1899,AND(OR($C1899="Receipt",$C1899="Shipment"),$E1899&lt;=0),AND($C1899="Adjustment",$E1899=0)),"Invalid qty",IF($B1899&gt;Config!$B$4,"Date after the as-of date",IF($B1899&lt;Config!$B$5,"Date before the opening balance date","OK")))))))))))))))))</f>
        <v/>
      </c>
    </row>
    <row r="1900">
      <c r="A1900" s="46" t="n"/>
      <c r="B1900" s="54" t="n"/>
      <c r="C1900" s="46" t="n"/>
      <c r="D1900" s="46" t="n"/>
      <c r="E1900" s="55" t="n"/>
      <c r="F1900" s="46" t="n"/>
      <c r="G1900" s="46" t="n"/>
      <c r="H1900" s="46" t="n"/>
      <c r="I1900" s="46" t="n"/>
      <c r="J1900" s="46" t="n"/>
      <c r="K1900" s="46" t="n"/>
      <c r="L1900" s="46" t="n"/>
      <c r="M1900" s="51" t="str">
        <f>IF(NOT(ISNUMBER($E1900)),"",IF($C1900="Receipt",$E1900,IF($C1900="Shipment",-$E1900,IF($C1900="Adjustment",$E1900,0))))</f>
        <v/>
      </c>
      <c r="N1900" s="49" t="str">
        <f>IF($D1900="","",IFERROR(INDEX(Products!$B$2:$B$101,MATCH($D1900,Products!$A$2:$A$101,0))&amp;"","(not found)"))</f>
        <v/>
      </c>
      <c r="O1900" s="49" t="str">
        <f>IF($F1900="","",IFERROR(INDEX(Batches!$B$2:$B$301,MATCH($F1900,Batches!$A$2:$A$301,0))&amp;"","(not found)"))</f>
        <v/>
      </c>
      <c r="P1900" s="49" t="str">
        <f>IF(COUNTA($A1900:$L1900)=0,"",IF($A1900="","Missing: entry ID",IF(COUNTIF($A$2:$A$2001,$A1900)&gt;1,"Duplicate entry ID",IF(NOT(ISNUMBER($B1900)),"Missing or invalid: date",IF($C1900="","Missing: type",IF($D1900="","Missing: SKU",IF(NOT(ISNUMBER($E1900)),"Missing: qty",IF($F1900="","Missing: lot",IF($I1900="","Missing: source link",IF(COUNTIF(Config!$A$15:$A$34,$C1900)=0,"Unsupported type",IF(COUNTIF(Products!$A$2:$A$101,$D1900)=0,"Unknown SKU",IF(COUNTIFS(Batches!$A$2:$A$301,$F1900,Batches!$B$2:$B$301,$D1900)=0,"Unknown lot for this SKU",IF(AND($C1900="Adjustment",$G1900=""),"Missing: reason",IF(AND($G1900&lt;&gt;"",COUNTIF(Config!$B$15:$B$34,$G1900)=0),"Unsupported reason",IF(OR(INT($E1900)&lt;&gt;$E1900,AND(OR($C1900="Receipt",$C1900="Shipment"),$E1900&lt;=0),AND($C1900="Adjustment",$E1900=0)),"Invalid qty",IF($B1900&gt;Config!$B$4,"Date after the as-of date",IF($B1900&lt;Config!$B$5,"Date before the opening balance date","OK")))))))))))))))))</f>
        <v/>
      </c>
    </row>
    <row r="1901">
      <c r="A1901" s="46" t="n"/>
      <c r="B1901" s="54" t="n"/>
      <c r="C1901" s="46" t="n"/>
      <c r="D1901" s="46" t="n"/>
      <c r="E1901" s="55" t="n"/>
      <c r="F1901" s="46" t="n"/>
      <c r="G1901" s="46" t="n"/>
      <c r="H1901" s="46" t="n"/>
      <c r="I1901" s="46" t="n"/>
      <c r="J1901" s="46" t="n"/>
      <c r="K1901" s="46" t="n"/>
      <c r="L1901" s="46" t="n"/>
      <c r="M1901" s="51" t="str">
        <f>IF(NOT(ISNUMBER($E1901)),"",IF($C1901="Receipt",$E1901,IF($C1901="Shipment",-$E1901,IF($C1901="Adjustment",$E1901,0))))</f>
        <v/>
      </c>
      <c r="N1901" s="49" t="str">
        <f>IF($D1901="","",IFERROR(INDEX(Products!$B$2:$B$101,MATCH($D1901,Products!$A$2:$A$101,0))&amp;"","(not found)"))</f>
        <v/>
      </c>
      <c r="O1901" s="49" t="str">
        <f>IF($F1901="","",IFERROR(INDEX(Batches!$B$2:$B$301,MATCH($F1901,Batches!$A$2:$A$301,0))&amp;"","(not found)"))</f>
        <v/>
      </c>
      <c r="P1901" s="49" t="str">
        <f>IF(COUNTA($A1901:$L1901)=0,"",IF($A1901="","Missing: entry ID",IF(COUNTIF($A$2:$A$2001,$A1901)&gt;1,"Duplicate entry ID",IF(NOT(ISNUMBER($B1901)),"Missing or invalid: date",IF($C1901="","Missing: type",IF($D1901="","Missing: SKU",IF(NOT(ISNUMBER($E1901)),"Missing: qty",IF($F1901="","Missing: lot",IF($I1901="","Missing: source link",IF(COUNTIF(Config!$A$15:$A$34,$C1901)=0,"Unsupported type",IF(COUNTIF(Products!$A$2:$A$101,$D1901)=0,"Unknown SKU",IF(COUNTIFS(Batches!$A$2:$A$301,$F1901,Batches!$B$2:$B$301,$D1901)=0,"Unknown lot for this SKU",IF(AND($C1901="Adjustment",$G1901=""),"Missing: reason",IF(AND($G1901&lt;&gt;"",COUNTIF(Config!$B$15:$B$34,$G1901)=0),"Unsupported reason",IF(OR(INT($E1901)&lt;&gt;$E1901,AND(OR($C1901="Receipt",$C1901="Shipment"),$E1901&lt;=0),AND($C1901="Adjustment",$E1901=0)),"Invalid qty",IF($B1901&gt;Config!$B$4,"Date after the as-of date",IF($B1901&lt;Config!$B$5,"Date before the opening balance date","OK")))))))))))))))))</f>
        <v/>
      </c>
    </row>
    <row r="1902">
      <c r="A1902" s="46" t="n"/>
      <c r="B1902" s="54" t="n"/>
      <c r="C1902" s="46" t="n"/>
      <c r="D1902" s="46" t="n"/>
      <c r="E1902" s="55" t="n"/>
      <c r="F1902" s="46" t="n"/>
      <c r="G1902" s="46" t="n"/>
      <c r="H1902" s="46" t="n"/>
      <c r="I1902" s="46" t="n"/>
      <c r="J1902" s="46" t="n"/>
      <c r="K1902" s="46" t="n"/>
      <c r="L1902" s="46" t="n"/>
      <c r="M1902" s="51" t="str">
        <f>IF(NOT(ISNUMBER($E1902)),"",IF($C1902="Receipt",$E1902,IF($C1902="Shipment",-$E1902,IF($C1902="Adjustment",$E1902,0))))</f>
        <v/>
      </c>
      <c r="N1902" s="49" t="str">
        <f>IF($D1902="","",IFERROR(INDEX(Products!$B$2:$B$101,MATCH($D1902,Products!$A$2:$A$101,0))&amp;"","(not found)"))</f>
        <v/>
      </c>
      <c r="O1902" s="49" t="str">
        <f>IF($F1902="","",IFERROR(INDEX(Batches!$B$2:$B$301,MATCH($F1902,Batches!$A$2:$A$301,0))&amp;"","(not found)"))</f>
        <v/>
      </c>
      <c r="P1902" s="49" t="str">
        <f>IF(COUNTA($A1902:$L1902)=0,"",IF($A1902="","Missing: entry ID",IF(COUNTIF($A$2:$A$2001,$A1902)&gt;1,"Duplicate entry ID",IF(NOT(ISNUMBER($B1902)),"Missing or invalid: date",IF($C1902="","Missing: type",IF($D1902="","Missing: SKU",IF(NOT(ISNUMBER($E1902)),"Missing: qty",IF($F1902="","Missing: lot",IF($I1902="","Missing: source link",IF(COUNTIF(Config!$A$15:$A$34,$C1902)=0,"Unsupported type",IF(COUNTIF(Products!$A$2:$A$101,$D1902)=0,"Unknown SKU",IF(COUNTIFS(Batches!$A$2:$A$301,$F1902,Batches!$B$2:$B$301,$D1902)=0,"Unknown lot for this SKU",IF(AND($C1902="Adjustment",$G1902=""),"Missing: reason",IF(AND($G1902&lt;&gt;"",COUNTIF(Config!$B$15:$B$34,$G1902)=0),"Unsupported reason",IF(OR(INT($E1902)&lt;&gt;$E1902,AND(OR($C1902="Receipt",$C1902="Shipment"),$E1902&lt;=0),AND($C1902="Adjustment",$E1902=0)),"Invalid qty",IF($B1902&gt;Config!$B$4,"Date after the as-of date",IF($B1902&lt;Config!$B$5,"Date before the opening balance date","OK")))))))))))))))))</f>
        <v/>
      </c>
    </row>
    <row r="1903">
      <c r="A1903" s="46" t="n"/>
      <c r="B1903" s="54" t="n"/>
      <c r="C1903" s="46" t="n"/>
      <c r="D1903" s="46" t="n"/>
      <c r="E1903" s="55" t="n"/>
      <c r="F1903" s="46" t="n"/>
      <c r="G1903" s="46" t="n"/>
      <c r="H1903" s="46" t="n"/>
      <c r="I1903" s="46" t="n"/>
      <c r="J1903" s="46" t="n"/>
      <c r="K1903" s="46" t="n"/>
      <c r="L1903" s="46" t="n"/>
      <c r="M1903" s="51" t="str">
        <f>IF(NOT(ISNUMBER($E1903)),"",IF($C1903="Receipt",$E1903,IF($C1903="Shipment",-$E1903,IF($C1903="Adjustment",$E1903,0))))</f>
        <v/>
      </c>
      <c r="N1903" s="49" t="str">
        <f>IF($D1903="","",IFERROR(INDEX(Products!$B$2:$B$101,MATCH($D1903,Products!$A$2:$A$101,0))&amp;"","(not found)"))</f>
        <v/>
      </c>
      <c r="O1903" s="49" t="str">
        <f>IF($F1903="","",IFERROR(INDEX(Batches!$B$2:$B$301,MATCH($F1903,Batches!$A$2:$A$301,0))&amp;"","(not found)"))</f>
        <v/>
      </c>
      <c r="P1903" s="49" t="str">
        <f>IF(COUNTA($A1903:$L1903)=0,"",IF($A1903="","Missing: entry ID",IF(COUNTIF($A$2:$A$2001,$A1903)&gt;1,"Duplicate entry ID",IF(NOT(ISNUMBER($B1903)),"Missing or invalid: date",IF($C1903="","Missing: type",IF($D1903="","Missing: SKU",IF(NOT(ISNUMBER($E1903)),"Missing: qty",IF($F1903="","Missing: lot",IF($I1903="","Missing: source link",IF(COUNTIF(Config!$A$15:$A$34,$C1903)=0,"Unsupported type",IF(COUNTIF(Products!$A$2:$A$101,$D1903)=0,"Unknown SKU",IF(COUNTIFS(Batches!$A$2:$A$301,$F1903,Batches!$B$2:$B$301,$D1903)=0,"Unknown lot for this SKU",IF(AND($C1903="Adjustment",$G1903=""),"Missing: reason",IF(AND($G1903&lt;&gt;"",COUNTIF(Config!$B$15:$B$34,$G1903)=0),"Unsupported reason",IF(OR(INT($E1903)&lt;&gt;$E1903,AND(OR($C1903="Receipt",$C1903="Shipment"),$E1903&lt;=0),AND($C1903="Adjustment",$E1903=0)),"Invalid qty",IF($B1903&gt;Config!$B$4,"Date after the as-of date",IF($B1903&lt;Config!$B$5,"Date before the opening balance date","OK")))))))))))))))))</f>
        <v/>
      </c>
    </row>
    <row r="1904">
      <c r="A1904" s="46" t="n"/>
      <c r="B1904" s="54" t="n"/>
      <c r="C1904" s="46" t="n"/>
      <c r="D1904" s="46" t="n"/>
      <c r="E1904" s="55" t="n"/>
      <c r="F1904" s="46" t="n"/>
      <c r="G1904" s="46" t="n"/>
      <c r="H1904" s="46" t="n"/>
      <c r="I1904" s="46" t="n"/>
      <c r="J1904" s="46" t="n"/>
      <c r="K1904" s="46" t="n"/>
      <c r="L1904" s="46" t="n"/>
      <c r="M1904" s="51" t="str">
        <f>IF(NOT(ISNUMBER($E1904)),"",IF($C1904="Receipt",$E1904,IF($C1904="Shipment",-$E1904,IF($C1904="Adjustment",$E1904,0))))</f>
        <v/>
      </c>
      <c r="N1904" s="49" t="str">
        <f>IF($D1904="","",IFERROR(INDEX(Products!$B$2:$B$101,MATCH($D1904,Products!$A$2:$A$101,0))&amp;"","(not found)"))</f>
        <v/>
      </c>
      <c r="O1904" s="49" t="str">
        <f>IF($F1904="","",IFERROR(INDEX(Batches!$B$2:$B$301,MATCH($F1904,Batches!$A$2:$A$301,0))&amp;"","(not found)"))</f>
        <v/>
      </c>
      <c r="P1904" s="49" t="str">
        <f>IF(COUNTA($A1904:$L1904)=0,"",IF($A1904="","Missing: entry ID",IF(COUNTIF($A$2:$A$2001,$A1904)&gt;1,"Duplicate entry ID",IF(NOT(ISNUMBER($B1904)),"Missing or invalid: date",IF($C1904="","Missing: type",IF($D1904="","Missing: SKU",IF(NOT(ISNUMBER($E1904)),"Missing: qty",IF($F1904="","Missing: lot",IF($I1904="","Missing: source link",IF(COUNTIF(Config!$A$15:$A$34,$C1904)=0,"Unsupported type",IF(COUNTIF(Products!$A$2:$A$101,$D1904)=0,"Unknown SKU",IF(COUNTIFS(Batches!$A$2:$A$301,$F1904,Batches!$B$2:$B$301,$D1904)=0,"Unknown lot for this SKU",IF(AND($C1904="Adjustment",$G1904=""),"Missing: reason",IF(AND($G1904&lt;&gt;"",COUNTIF(Config!$B$15:$B$34,$G1904)=0),"Unsupported reason",IF(OR(INT($E1904)&lt;&gt;$E1904,AND(OR($C1904="Receipt",$C1904="Shipment"),$E1904&lt;=0),AND($C1904="Adjustment",$E1904=0)),"Invalid qty",IF($B1904&gt;Config!$B$4,"Date after the as-of date",IF($B1904&lt;Config!$B$5,"Date before the opening balance date","OK")))))))))))))))))</f>
        <v/>
      </c>
    </row>
    <row r="1905">
      <c r="A1905" s="46" t="n"/>
      <c r="B1905" s="54" t="n"/>
      <c r="C1905" s="46" t="n"/>
      <c r="D1905" s="46" t="n"/>
      <c r="E1905" s="55" t="n"/>
      <c r="F1905" s="46" t="n"/>
      <c r="G1905" s="46" t="n"/>
      <c r="H1905" s="46" t="n"/>
      <c r="I1905" s="46" t="n"/>
      <c r="J1905" s="46" t="n"/>
      <c r="K1905" s="46" t="n"/>
      <c r="L1905" s="46" t="n"/>
      <c r="M1905" s="51" t="str">
        <f>IF(NOT(ISNUMBER($E1905)),"",IF($C1905="Receipt",$E1905,IF($C1905="Shipment",-$E1905,IF($C1905="Adjustment",$E1905,0))))</f>
        <v/>
      </c>
      <c r="N1905" s="49" t="str">
        <f>IF($D1905="","",IFERROR(INDEX(Products!$B$2:$B$101,MATCH($D1905,Products!$A$2:$A$101,0))&amp;"","(not found)"))</f>
        <v/>
      </c>
      <c r="O1905" s="49" t="str">
        <f>IF($F1905="","",IFERROR(INDEX(Batches!$B$2:$B$301,MATCH($F1905,Batches!$A$2:$A$301,0))&amp;"","(not found)"))</f>
        <v/>
      </c>
      <c r="P1905" s="49" t="str">
        <f>IF(COUNTA($A1905:$L1905)=0,"",IF($A1905="","Missing: entry ID",IF(COUNTIF($A$2:$A$2001,$A1905)&gt;1,"Duplicate entry ID",IF(NOT(ISNUMBER($B1905)),"Missing or invalid: date",IF($C1905="","Missing: type",IF($D1905="","Missing: SKU",IF(NOT(ISNUMBER($E1905)),"Missing: qty",IF($F1905="","Missing: lot",IF($I1905="","Missing: source link",IF(COUNTIF(Config!$A$15:$A$34,$C1905)=0,"Unsupported type",IF(COUNTIF(Products!$A$2:$A$101,$D1905)=0,"Unknown SKU",IF(COUNTIFS(Batches!$A$2:$A$301,$F1905,Batches!$B$2:$B$301,$D1905)=0,"Unknown lot for this SKU",IF(AND($C1905="Adjustment",$G1905=""),"Missing: reason",IF(AND($G1905&lt;&gt;"",COUNTIF(Config!$B$15:$B$34,$G1905)=0),"Unsupported reason",IF(OR(INT($E1905)&lt;&gt;$E1905,AND(OR($C1905="Receipt",$C1905="Shipment"),$E1905&lt;=0),AND($C1905="Adjustment",$E1905=0)),"Invalid qty",IF($B1905&gt;Config!$B$4,"Date after the as-of date",IF($B1905&lt;Config!$B$5,"Date before the opening balance date","OK")))))))))))))))))</f>
        <v/>
      </c>
    </row>
    <row r="1906">
      <c r="A1906" s="46" t="n"/>
      <c r="B1906" s="54" t="n"/>
      <c r="C1906" s="46" t="n"/>
      <c r="D1906" s="46" t="n"/>
      <c r="E1906" s="55" t="n"/>
      <c r="F1906" s="46" t="n"/>
      <c r="G1906" s="46" t="n"/>
      <c r="H1906" s="46" t="n"/>
      <c r="I1906" s="46" t="n"/>
      <c r="J1906" s="46" t="n"/>
      <c r="K1906" s="46" t="n"/>
      <c r="L1906" s="46" t="n"/>
      <c r="M1906" s="51" t="str">
        <f>IF(NOT(ISNUMBER($E1906)),"",IF($C1906="Receipt",$E1906,IF($C1906="Shipment",-$E1906,IF($C1906="Adjustment",$E1906,0))))</f>
        <v/>
      </c>
      <c r="N1906" s="49" t="str">
        <f>IF($D1906="","",IFERROR(INDEX(Products!$B$2:$B$101,MATCH($D1906,Products!$A$2:$A$101,0))&amp;"","(not found)"))</f>
        <v/>
      </c>
      <c r="O1906" s="49" t="str">
        <f>IF($F1906="","",IFERROR(INDEX(Batches!$B$2:$B$301,MATCH($F1906,Batches!$A$2:$A$301,0))&amp;"","(not found)"))</f>
        <v/>
      </c>
      <c r="P1906" s="49" t="str">
        <f>IF(COUNTA($A1906:$L1906)=0,"",IF($A1906="","Missing: entry ID",IF(COUNTIF($A$2:$A$2001,$A1906)&gt;1,"Duplicate entry ID",IF(NOT(ISNUMBER($B1906)),"Missing or invalid: date",IF($C1906="","Missing: type",IF($D1906="","Missing: SKU",IF(NOT(ISNUMBER($E1906)),"Missing: qty",IF($F1906="","Missing: lot",IF($I1906="","Missing: source link",IF(COUNTIF(Config!$A$15:$A$34,$C1906)=0,"Unsupported type",IF(COUNTIF(Products!$A$2:$A$101,$D1906)=0,"Unknown SKU",IF(COUNTIFS(Batches!$A$2:$A$301,$F1906,Batches!$B$2:$B$301,$D1906)=0,"Unknown lot for this SKU",IF(AND($C1906="Adjustment",$G1906=""),"Missing: reason",IF(AND($G1906&lt;&gt;"",COUNTIF(Config!$B$15:$B$34,$G1906)=0),"Unsupported reason",IF(OR(INT($E1906)&lt;&gt;$E1906,AND(OR($C1906="Receipt",$C1906="Shipment"),$E1906&lt;=0),AND($C1906="Adjustment",$E1906=0)),"Invalid qty",IF($B1906&gt;Config!$B$4,"Date after the as-of date",IF($B1906&lt;Config!$B$5,"Date before the opening balance date","OK")))))))))))))))))</f>
        <v/>
      </c>
    </row>
    <row r="1907">
      <c r="A1907" s="46" t="n"/>
      <c r="B1907" s="54" t="n"/>
      <c r="C1907" s="46" t="n"/>
      <c r="D1907" s="46" t="n"/>
      <c r="E1907" s="55" t="n"/>
      <c r="F1907" s="46" t="n"/>
      <c r="G1907" s="46" t="n"/>
      <c r="H1907" s="46" t="n"/>
      <c r="I1907" s="46" t="n"/>
      <c r="J1907" s="46" t="n"/>
      <c r="K1907" s="46" t="n"/>
      <c r="L1907" s="46" t="n"/>
      <c r="M1907" s="51" t="str">
        <f>IF(NOT(ISNUMBER($E1907)),"",IF($C1907="Receipt",$E1907,IF($C1907="Shipment",-$E1907,IF($C1907="Adjustment",$E1907,0))))</f>
        <v/>
      </c>
      <c r="N1907" s="49" t="str">
        <f>IF($D1907="","",IFERROR(INDEX(Products!$B$2:$B$101,MATCH($D1907,Products!$A$2:$A$101,0))&amp;"","(not found)"))</f>
        <v/>
      </c>
      <c r="O1907" s="49" t="str">
        <f>IF($F1907="","",IFERROR(INDEX(Batches!$B$2:$B$301,MATCH($F1907,Batches!$A$2:$A$301,0))&amp;"","(not found)"))</f>
        <v/>
      </c>
      <c r="P1907" s="49" t="str">
        <f>IF(COUNTA($A1907:$L1907)=0,"",IF($A1907="","Missing: entry ID",IF(COUNTIF($A$2:$A$2001,$A1907)&gt;1,"Duplicate entry ID",IF(NOT(ISNUMBER($B1907)),"Missing or invalid: date",IF($C1907="","Missing: type",IF($D1907="","Missing: SKU",IF(NOT(ISNUMBER($E1907)),"Missing: qty",IF($F1907="","Missing: lot",IF($I1907="","Missing: source link",IF(COUNTIF(Config!$A$15:$A$34,$C1907)=0,"Unsupported type",IF(COUNTIF(Products!$A$2:$A$101,$D1907)=0,"Unknown SKU",IF(COUNTIFS(Batches!$A$2:$A$301,$F1907,Batches!$B$2:$B$301,$D1907)=0,"Unknown lot for this SKU",IF(AND($C1907="Adjustment",$G1907=""),"Missing: reason",IF(AND($G1907&lt;&gt;"",COUNTIF(Config!$B$15:$B$34,$G1907)=0),"Unsupported reason",IF(OR(INT($E1907)&lt;&gt;$E1907,AND(OR($C1907="Receipt",$C1907="Shipment"),$E1907&lt;=0),AND($C1907="Adjustment",$E1907=0)),"Invalid qty",IF($B1907&gt;Config!$B$4,"Date after the as-of date",IF($B1907&lt;Config!$B$5,"Date before the opening balance date","OK")))))))))))))))))</f>
        <v/>
      </c>
    </row>
    <row r="1908">
      <c r="A1908" s="46" t="n"/>
      <c r="B1908" s="54" t="n"/>
      <c r="C1908" s="46" t="n"/>
      <c r="D1908" s="46" t="n"/>
      <c r="E1908" s="55" t="n"/>
      <c r="F1908" s="46" t="n"/>
      <c r="G1908" s="46" t="n"/>
      <c r="H1908" s="46" t="n"/>
      <c r="I1908" s="46" t="n"/>
      <c r="J1908" s="46" t="n"/>
      <c r="K1908" s="46" t="n"/>
      <c r="L1908" s="46" t="n"/>
      <c r="M1908" s="51" t="str">
        <f>IF(NOT(ISNUMBER($E1908)),"",IF($C1908="Receipt",$E1908,IF($C1908="Shipment",-$E1908,IF($C1908="Adjustment",$E1908,0))))</f>
        <v/>
      </c>
      <c r="N1908" s="49" t="str">
        <f>IF($D1908="","",IFERROR(INDEX(Products!$B$2:$B$101,MATCH($D1908,Products!$A$2:$A$101,0))&amp;"","(not found)"))</f>
        <v/>
      </c>
      <c r="O1908" s="49" t="str">
        <f>IF($F1908="","",IFERROR(INDEX(Batches!$B$2:$B$301,MATCH($F1908,Batches!$A$2:$A$301,0))&amp;"","(not found)"))</f>
        <v/>
      </c>
      <c r="P1908" s="49" t="str">
        <f>IF(COUNTA($A1908:$L1908)=0,"",IF($A1908="","Missing: entry ID",IF(COUNTIF($A$2:$A$2001,$A1908)&gt;1,"Duplicate entry ID",IF(NOT(ISNUMBER($B1908)),"Missing or invalid: date",IF($C1908="","Missing: type",IF($D1908="","Missing: SKU",IF(NOT(ISNUMBER($E1908)),"Missing: qty",IF($F1908="","Missing: lot",IF($I1908="","Missing: source link",IF(COUNTIF(Config!$A$15:$A$34,$C1908)=0,"Unsupported type",IF(COUNTIF(Products!$A$2:$A$101,$D1908)=0,"Unknown SKU",IF(COUNTIFS(Batches!$A$2:$A$301,$F1908,Batches!$B$2:$B$301,$D1908)=0,"Unknown lot for this SKU",IF(AND($C1908="Adjustment",$G1908=""),"Missing: reason",IF(AND($G1908&lt;&gt;"",COUNTIF(Config!$B$15:$B$34,$G1908)=0),"Unsupported reason",IF(OR(INT($E1908)&lt;&gt;$E1908,AND(OR($C1908="Receipt",$C1908="Shipment"),$E1908&lt;=0),AND($C1908="Adjustment",$E1908=0)),"Invalid qty",IF($B1908&gt;Config!$B$4,"Date after the as-of date",IF($B1908&lt;Config!$B$5,"Date before the opening balance date","OK")))))))))))))))))</f>
        <v/>
      </c>
    </row>
    <row r="1909">
      <c r="A1909" s="46" t="n"/>
      <c r="B1909" s="54" t="n"/>
      <c r="C1909" s="46" t="n"/>
      <c r="D1909" s="46" t="n"/>
      <c r="E1909" s="55" t="n"/>
      <c r="F1909" s="46" t="n"/>
      <c r="G1909" s="46" t="n"/>
      <c r="H1909" s="46" t="n"/>
      <c r="I1909" s="46" t="n"/>
      <c r="J1909" s="46" t="n"/>
      <c r="K1909" s="46" t="n"/>
      <c r="L1909" s="46" t="n"/>
      <c r="M1909" s="51" t="str">
        <f>IF(NOT(ISNUMBER($E1909)),"",IF($C1909="Receipt",$E1909,IF($C1909="Shipment",-$E1909,IF($C1909="Adjustment",$E1909,0))))</f>
        <v/>
      </c>
      <c r="N1909" s="49" t="str">
        <f>IF($D1909="","",IFERROR(INDEX(Products!$B$2:$B$101,MATCH($D1909,Products!$A$2:$A$101,0))&amp;"","(not found)"))</f>
        <v/>
      </c>
      <c r="O1909" s="49" t="str">
        <f>IF($F1909="","",IFERROR(INDEX(Batches!$B$2:$B$301,MATCH($F1909,Batches!$A$2:$A$301,0))&amp;"","(not found)"))</f>
        <v/>
      </c>
      <c r="P1909" s="49" t="str">
        <f>IF(COUNTA($A1909:$L1909)=0,"",IF($A1909="","Missing: entry ID",IF(COUNTIF($A$2:$A$2001,$A1909)&gt;1,"Duplicate entry ID",IF(NOT(ISNUMBER($B1909)),"Missing or invalid: date",IF($C1909="","Missing: type",IF($D1909="","Missing: SKU",IF(NOT(ISNUMBER($E1909)),"Missing: qty",IF($F1909="","Missing: lot",IF($I1909="","Missing: source link",IF(COUNTIF(Config!$A$15:$A$34,$C1909)=0,"Unsupported type",IF(COUNTIF(Products!$A$2:$A$101,$D1909)=0,"Unknown SKU",IF(COUNTIFS(Batches!$A$2:$A$301,$F1909,Batches!$B$2:$B$301,$D1909)=0,"Unknown lot for this SKU",IF(AND($C1909="Adjustment",$G1909=""),"Missing: reason",IF(AND($G1909&lt;&gt;"",COUNTIF(Config!$B$15:$B$34,$G1909)=0),"Unsupported reason",IF(OR(INT($E1909)&lt;&gt;$E1909,AND(OR($C1909="Receipt",$C1909="Shipment"),$E1909&lt;=0),AND($C1909="Adjustment",$E1909=0)),"Invalid qty",IF($B1909&gt;Config!$B$4,"Date after the as-of date",IF($B1909&lt;Config!$B$5,"Date before the opening balance date","OK")))))))))))))))))</f>
        <v/>
      </c>
    </row>
    <row r="1910">
      <c r="A1910" s="46" t="n"/>
      <c r="B1910" s="54" t="n"/>
      <c r="C1910" s="46" t="n"/>
      <c r="D1910" s="46" t="n"/>
      <c r="E1910" s="55" t="n"/>
      <c r="F1910" s="46" t="n"/>
      <c r="G1910" s="46" t="n"/>
      <c r="H1910" s="46" t="n"/>
      <c r="I1910" s="46" t="n"/>
      <c r="J1910" s="46" t="n"/>
      <c r="K1910" s="46" t="n"/>
      <c r="L1910" s="46" t="n"/>
      <c r="M1910" s="51" t="str">
        <f>IF(NOT(ISNUMBER($E1910)),"",IF($C1910="Receipt",$E1910,IF($C1910="Shipment",-$E1910,IF($C1910="Adjustment",$E1910,0))))</f>
        <v/>
      </c>
      <c r="N1910" s="49" t="str">
        <f>IF($D1910="","",IFERROR(INDEX(Products!$B$2:$B$101,MATCH($D1910,Products!$A$2:$A$101,0))&amp;"","(not found)"))</f>
        <v/>
      </c>
      <c r="O1910" s="49" t="str">
        <f>IF($F1910="","",IFERROR(INDEX(Batches!$B$2:$B$301,MATCH($F1910,Batches!$A$2:$A$301,0))&amp;"","(not found)"))</f>
        <v/>
      </c>
      <c r="P1910" s="49" t="str">
        <f>IF(COUNTA($A1910:$L1910)=0,"",IF($A1910="","Missing: entry ID",IF(COUNTIF($A$2:$A$2001,$A1910)&gt;1,"Duplicate entry ID",IF(NOT(ISNUMBER($B1910)),"Missing or invalid: date",IF($C1910="","Missing: type",IF($D1910="","Missing: SKU",IF(NOT(ISNUMBER($E1910)),"Missing: qty",IF($F1910="","Missing: lot",IF($I1910="","Missing: source link",IF(COUNTIF(Config!$A$15:$A$34,$C1910)=0,"Unsupported type",IF(COUNTIF(Products!$A$2:$A$101,$D1910)=0,"Unknown SKU",IF(COUNTIFS(Batches!$A$2:$A$301,$F1910,Batches!$B$2:$B$301,$D1910)=0,"Unknown lot for this SKU",IF(AND($C1910="Adjustment",$G1910=""),"Missing: reason",IF(AND($G1910&lt;&gt;"",COUNTIF(Config!$B$15:$B$34,$G1910)=0),"Unsupported reason",IF(OR(INT($E1910)&lt;&gt;$E1910,AND(OR($C1910="Receipt",$C1910="Shipment"),$E1910&lt;=0),AND($C1910="Adjustment",$E1910=0)),"Invalid qty",IF($B1910&gt;Config!$B$4,"Date after the as-of date",IF($B1910&lt;Config!$B$5,"Date before the opening balance date","OK")))))))))))))))))</f>
        <v/>
      </c>
    </row>
    <row r="1911">
      <c r="A1911" s="46" t="n"/>
      <c r="B1911" s="54" t="n"/>
      <c r="C1911" s="46" t="n"/>
      <c r="D1911" s="46" t="n"/>
      <c r="E1911" s="55" t="n"/>
      <c r="F1911" s="46" t="n"/>
      <c r="G1911" s="46" t="n"/>
      <c r="H1911" s="46" t="n"/>
      <c r="I1911" s="46" t="n"/>
      <c r="J1911" s="46" t="n"/>
      <c r="K1911" s="46" t="n"/>
      <c r="L1911" s="46" t="n"/>
      <c r="M1911" s="51" t="str">
        <f>IF(NOT(ISNUMBER($E1911)),"",IF($C1911="Receipt",$E1911,IF($C1911="Shipment",-$E1911,IF($C1911="Adjustment",$E1911,0))))</f>
        <v/>
      </c>
      <c r="N1911" s="49" t="str">
        <f>IF($D1911="","",IFERROR(INDEX(Products!$B$2:$B$101,MATCH($D1911,Products!$A$2:$A$101,0))&amp;"","(not found)"))</f>
        <v/>
      </c>
      <c r="O1911" s="49" t="str">
        <f>IF($F1911="","",IFERROR(INDEX(Batches!$B$2:$B$301,MATCH($F1911,Batches!$A$2:$A$301,0))&amp;"","(not found)"))</f>
        <v/>
      </c>
      <c r="P1911" s="49" t="str">
        <f>IF(COUNTA($A1911:$L1911)=0,"",IF($A1911="","Missing: entry ID",IF(COUNTIF($A$2:$A$2001,$A1911)&gt;1,"Duplicate entry ID",IF(NOT(ISNUMBER($B1911)),"Missing or invalid: date",IF($C1911="","Missing: type",IF($D1911="","Missing: SKU",IF(NOT(ISNUMBER($E1911)),"Missing: qty",IF($F1911="","Missing: lot",IF($I1911="","Missing: source link",IF(COUNTIF(Config!$A$15:$A$34,$C1911)=0,"Unsupported type",IF(COUNTIF(Products!$A$2:$A$101,$D1911)=0,"Unknown SKU",IF(COUNTIFS(Batches!$A$2:$A$301,$F1911,Batches!$B$2:$B$301,$D1911)=0,"Unknown lot for this SKU",IF(AND($C1911="Adjustment",$G1911=""),"Missing: reason",IF(AND($G1911&lt;&gt;"",COUNTIF(Config!$B$15:$B$34,$G1911)=0),"Unsupported reason",IF(OR(INT($E1911)&lt;&gt;$E1911,AND(OR($C1911="Receipt",$C1911="Shipment"),$E1911&lt;=0),AND($C1911="Adjustment",$E1911=0)),"Invalid qty",IF($B1911&gt;Config!$B$4,"Date after the as-of date",IF($B1911&lt;Config!$B$5,"Date before the opening balance date","OK")))))))))))))))))</f>
        <v/>
      </c>
    </row>
    <row r="1912">
      <c r="A1912" s="46" t="n"/>
      <c r="B1912" s="54" t="n"/>
      <c r="C1912" s="46" t="n"/>
      <c r="D1912" s="46" t="n"/>
      <c r="E1912" s="55" t="n"/>
      <c r="F1912" s="46" t="n"/>
      <c r="G1912" s="46" t="n"/>
      <c r="H1912" s="46" t="n"/>
      <c r="I1912" s="46" t="n"/>
      <c r="J1912" s="46" t="n"/>
      <c r="K1912" s="46" t="n"/>
      <c r="L1912" s="46" t="n"/>
      <c r="M1912" s="51" t="str">
        <f>IF(NOT(ISNUMBER($E1912)),"",IF($C1912="Receipt",$E1912,IF($C1912="Shipment",-$E1912,IF($C1912="Adjustment",$E1912,0))))</f>
        <v/>
      </c>
      <c r="N1912" s="49" t="str">
        <f>IF($D1912="","",IFERROR(INDEX(Products!$B$2:$B$101,MATCH($D1912,Products!$A$2:$A$101,0))&amp;"","(not found)"))</f>
        <v/>
      </c>
      <c r="O1912" s="49" t="str">
        <f>IF($F1912="","",IFERROR(INDEX(Batches!$B$2:$B$301,MATCH($F1912,Batches!$A$2:$A$301,0))&amp;"","(not found)"))</f>
        <v/>
      </c>
      <c r="P1912" s="49" t="str">
        <f>IF(COUNTA($A1912:$L1912)=0,"",IF($A1912="","Missing: entry ID",IF(COUNTIF($A$2:$A$2001,$A1912)&gt;1,"Duplicate entry ID",IF(NOT(ISNUMBER($B1912)),"Missing or invalid: date",IF($C1912="","Missing: type",IF($D1912="","Missing: SKU",IF(NOT(ISNUMBER($E1912)),"Missing: qty",IF($F1912="","Missing: lot",IF($I1912="","Missing: source link",IF(COUNTIF(Config!$A$15:$A$34,$C1912)=0,"Unsupported type",IF(COUNTIF(Products!$A$2:$A$101,$D1912)=0,"Unknown SKU",IF(COUNTIFS(Batches!$A$2:$A$301,$F1912,Batches!$B$2:$B$301,$D1912)=0,"Unknown lot for this SKU",IF(AND($C1912="Adjustment",$G1912=""),"Missing: reason",IF(AND($G1912&lt;&gt;"",COUNTIF(Config!$B$15:$B$34,$G1912)=0),"Unsupported reason",IF(OR(INT($E1912)&lt;&gt;$E1912,AND(OR($C1912="Receipt",$C1912="Shipment"),$E1912&lt;=0),AND($C1912="Adjustment",$E1912=0)),"Invalid qty",IF($B1912&gt;Config!$B$4,"Date after the as-of date",IF($B1912&lt;Config!$B$5,"Date before the opening balance date","OK")))))))))))))))))</f>
        <v/>
      </c>
    </row>
    <row r="1913">
      <c r="A1913" s="46" t="n"/>
      <c r="B1913" s="54" t="n"/>
      <c r="C1913" s="46" t="n"/>
      <c r="D1913" s="46" t="n"/>
      <c r="E1913" s="55" t="n"/>
      <c r="F1913" s="46" t="n"/>
      <c r="G1913" s="46" t="n"/>
      <c r="H1913" s="46" t="n"/>
      <c r="I1913" s="46" t="n"/>
      <c r="J1913" s="46" t="n"/>
      <c r="K1913" s="46" t="n"/>
      <c r="L1913" s="46" t="n"/>
      <c r="M1913" s="51" t="str">
        <f>IF(NOT(ISNUMBER($E1913)),"",IF($C1913="Receipt",$E1913,IF($C1913="Shipment",-$E1913,IF($C1913="Adjustment",$E1913,0))))</f>
        <v/>
      </c>
      <c r="N1913" s="49" t="str">
        <f>IF($D1913="","",IFERROR(INDEX(Products!$B$2:$B$101,MATCH($D1913,Products!$A$2:$A$101,0))&amp;"","(not found)"))</f>
        <v/>
      </c>
      <c r="O1913" s="49" t="str">
        <f>IF($F1913="","",IFERROR(INDEX(Batches!$B$2:$B$301,MATCH($F1913,Batches!$A$2:$A$301,0))&amp;"","(not found)"))</f>
        <v/>
      </c>
      <c r="P1913" s="49" t="str">
        <f>IF(COUNTA($A1913:$L1913)=0,"",IF($A1913="","Missing: entry ID",IF(COUNTIF($A$2:$A$2001,$A1913)&gt;1,"Duplicate entry ID",IF(NOT(ISNUMBER($B1913)),"Missing or invalid: date",IF($C1913="","Missing: type",IF($D1913="","Missing: SKU",IF(NOT(ISNUMBER($E1913)),"Missing: qty",IF($F1913="","Missing: lot",IF($I1913="","Missing: source link",IF(COUNTIF(Config!$A$15:$A$34,$C1913)=0,"Unsupported type",IF(COUNTIF(Products!$A$2:$A$101,$D1913)=0,"Unknown SKU",IF(COUNTIFS(Batches!$A$2:$A$301,$F1913,Batches!$B$2:$B$301,$D1913)=0,"Unknown lot for this SKU",IF(AND($C1913="Adjustment",$G1913=""),"Missing: reason",IF(AND($G1913&lt;&gt;"",COUNTIF(Config!$B$15:$B$34,$G1913)=0),"Unsupported reason",IF(OR(INT($E1913)&lt;&gt;$E1913,AND(OR($C1913="Receipt",$C1913="Shipment"),$E1913&lt;=0),AND($C1913="Adjustment",$E1913=0)),"Invalid qty",IF($B1913&gt;Config!$B$4,"Date after the as-of date",IF($B1913&lt;Config!$B$5,"Date before the opening balance date","OK")))))))))))))))))</f>
        <v/>
      </c>
    </row>
    <row r="1914">
      <c r="A1914" s="46" t="n"/>
      <c r="B1914" s="54" t="n"/>
      <c r="C1914" s="46" t="n"/>
      <c r="D1914" s="46" t="n"/>
      <c r="E1914" s="55" t="n"/>
      <c r="F1914" s="46" t="n"/>
      <c r="G1914" s="46" t="n"/>
      <c r="H1914" s="46" t="n"/>
      <c r="I1914" s="46" t="n"/>
      <c r="J1914" s="46" t="n"/>
      <c r="K1914" s="46" t="n"/>
      <c r="L1914" s="46" t="n"/>
      <c r="M1914" s="51" t="str">
        <f>IF(NOT(ISNUMBER($E1914)),"",IF($C1914="Receipt",$E1914,IF($C1914="Shipment",-$E1914,IF($C1914="Adjustment",$E1914,0))))</f>
        <v/>
      </c>
      <c r="N1914" s="49" t="str">
        <f>IF($D1914="","",IFERROR(INDEX(Products!$B$2:$B$101,MATCH($D1914,Products!$A$2:$A$101,0))&amp;"","(not found)"))</f>
        <v/>
      </c>
      <c r="O1914" s="49" t="str">
        <f>IF($F1914="","",IFERROR(INDEX(Batches!$B$2:$B$301,MATCH($F1914,Batches!$A$2:$A$301,0))&amp;"","(not found)"))</f>
        <v/>
      </c>
      <c r="P1914" s="49" t="str">
        <f>IF(COUNTA($A1914:$L1914)=0,"",IF($A1914="","Missing: entry ID",IF(COUNTIF($A$2:$A$2001,$A1914)&gt;1,"Duplicate entry ID",IF(NOT(ISNUMBER($B1914)),"Missing or invalid: date",IF($C1914="","Missing: type",IF($D1914="","Missing: SKU",IF(NOT(ISNUMBER($E1914)),"Missing: qty",IF($F1914="","Missing: lot",IF($I1914="","Missing: source link",IF(COUNTIF(Config!$A$15:$A$34,$C1914)=0,"Unsupported type",IF(COUNTIF(Products!$A$2:$A$101,$D1914)=0,"Unknown SKU",IF(COUNTIFS(Batches!$A$2:$A$301,$F1914,Batches!$B$2:$B$301,$D1914)=0,"Unknown lot for this SKU",IF(AND($C1914="Adjustment",$G1914=""),"Missing: reason",IF(AND($G1914&lt;&gt;"",COUNTIF(Config!$B$15:$B$34,$G1914)=0),"Unsupported reason",IF(OR(INT($E1914)&lt;&gt;$E1914,AND(OR($C1914="Receipt",$C1914="Shipment"),$E1914&lt;=0),AND($C1914="Adjustment",$E1914=0)),"Invalid qty",IF($B1914&gt;Config!$B$4,"Date after the as-of date",IF($B1914&lt;Config!$B$5,"Date before the opening balance date","OK")))))))))))))))))</f>
        <v/>
      </c>
    </row>
    <row r="1915">
      <c r="A1915" s="46" t="n"/>
      <c r="B1915" s="54" t="n"/>
      <c r="C1915" s="46" t="n"/>
      <c r="D1915" s="46" t="n"/>
      <c r="E1915" s="55" t="n"/>
      <c r="F1915" s="46" t="n"/>
      <c r="G1915" s="46" t="n"/>
      <c r="H1915" s="46" t="n"/>
      <c r="I1915" s="46" t="n"/>
      <c r="J1915" s="46" t="n"/>
      <c r="K1915" s="46" t="n"/>
      <c r="L1915" s="46" t="n"/>
      <c r="M1915" s="51" t="str">
        <f>IF(NOT(ISNUMBER($E1915)),"",IF($C1915="Receipt",$E1915,IF($C1915="Shipment",-$E1915,IF($C1915="Adjustment",$E1915,0))))</f>
        <v/>
      </c>
      <c r="N1915" s="49" t="str">
        <f>IF($D1915="","",IFERROR(INDEX(Products!$B$2:$B$101,MATCH($D1915,Products!$A$2:$A$101,0))&amp;"","(not found)"))</f>
        <v/>
      </c>
      <c r="O1915" s="49" t="str">
        <f>IF($F1915="","",IFERROR(INDEX(Batches!$B$2:$B$301,MATCH($F1915,Batches!$A$2:$A$301,0))&amp;"","(not found)"))</f>
        <v/>
      </c>
      <c r="P1915" s="49" t="str">
        <f>IF(COUNTA($A1915:$L1915)=0,"",IF($A1915="","Missing: entry ID",IF(COUNTIF($A$2:$A$2001,$A1915)&gt;1,"Duplicate entry ID",IF(NOT(ISNUMBER($B1915)),"Missing or invalid: date",IF($C1915="","Missing: type",IF($D1915="","Missing: SKU",IF(NOT(ISNUMBER($E1915)),"Missing: qty",IF($F1915="","Missing: lot",IF($I1915="","Missing: source link",IF(COUNTIF(Config!$A$15:$A$34,$C1915)=0,"Unsupported type",IF(COUNTIF(Products!$A$2:$A$101,$D1915)=0,"Unknown SKU",IF(COUNTIFS(Batches!$A$2:$A$301,$F1915,Batches!$B$2:$B$301,$D1915)=0,"Unknown lot for this SKU",IF(AND($C1915="Adjustment",$G1915=""),"Missing: reason",IF(AND($G1915&lt;&gt;"",COUNTIF(Config!$B$15:$B$34,$G1915)=0),"Unsupported reason",IF(OR(INT($E1915)&lt;&gt;$E1915,AND(OR($C1915="Receipt",$C1915="Shipment"),$E1915&lt;=0),AND($C1915="Adjustment",$E1915=0)),"Invalid qty",IF($B1915&gt;Config!$B$4,"Date after the as-of date",IF($B1915&lt;Config!$B$5,"Date before the opening balance date","OK")))))))))))))))))</f>
        <v/>
      </c>
    </row>
    <row r="1916">
      <c r="A1916" s="46" t="n"/>
      <c r="B1916" s="54" t="n"/>
      <c r="C1916" s="46" t="n"/>
      <c r="D1916" s="46" t="n"/>
      <c r="E1916" s="55" t="n"/>
      <c r="F1916" s="46" t="n"/>
      <c r="G1916" s="46" t="n"/>
      <c r="H1916" s="46" t="n"/>
      <c r="I1916" s="46" t="n"/>
      <c r="J1916" s="46" t="n"/>
      <c r="K1916" s="46" t="n"/>
      <c r="L1916" s="46" t="n"/>
      <c r="M1916" s="51" t="str">
        <f>IF(NOT(ISNUMBER($E1916)),"",IF($C1916="Receipt",$E1916,IF($C1916="Shipment",-$E1916,IF($C1916="Adjustment",$E1916,0))))</f>
        <v/>
      </c>
      <c r="N1916" s="49" t="str">
        <f>IF($D1916="","",IFERROR(INDEX(Products!$B$2:$B$101,MATCH($D1916,Products!$A$2:$A$101,0))&amp;"","(not found)"))</f>
        <v/>
      </c>
      <c r="O1916" s="49" t="str">
        <f>IF($F1916="","",IFERROR(INDEX(Batches!$B$2:$B$301,MATCH($F1916,Batches!$A$2:$A$301,0))&amp;"","(not found)"))</f>
        <v/>
      </c>
      <c r="P1916" s="49" t="str">
        <f>IF(COUNTA($A1916:$L1916)=0,"",IF($A1916="","Missing: entry ID",IF(COUNTIF($A$2:$A$2001,$A1916)&gt;1,"Duplicate entry ID",IF(NOT(ISNUMBER($B1916)),"Missing or invalid: date",IF($C1916="","Missing: type",IF($D1916="","Missing: SKU",IF(NOT(ISNUMBER($E1916)),"Missing: qty",IF($F1916="","Missing: lot",IF($I1916="","Missing: source link",IF(COUNTIF(Config!$A$15:$A$34,$C1916)=0,"Unsupported type",IF(COUNTIF(Products!$A$2:$A$101,$D1916)=0,"Unknown SKU",IF(COUNTIFS(Batches!$A$2:$A$301,$F1916,Batches!$B$2:$B$301,$D1916)=0,"Unknown lot for this SKU",IF(AND($C1916="Adjustment",$G1916=""),"Missing: reason",IF(AND($G1916&lt;&gt;"",COUNTIF(Config!$B$15:$B$34,$G1916)=0),"Unsupported reason",IF(OR(INT($E1916)&lt;&gt;$E1916,AND(OR($C1916="Receipt",$C1916="Shipment"),$E1916&lt;=0),AND($C1916="Adjustment",$E1916=0)),"Invalid qty",IF($B1916&gt;Config!$B$4,"Date after the as-of date",IF($B1916&lt;Config!$B$5,"Date before the opening balance date","OK")))))))))))))))))</f>
        <v/>
      </c>
    </row>
    <row r="1917">
      <c r="A1917" s="46" t="n"/>
      <c r="B1917" s="54" t="n"/>
      <c r="C1917" s="46" t="n"/>
      <c r="D1917" s="46" t="n"/>
      <c r="E1917" s="55" t="n"/>
      <c r="F1917" s="46" t="n"/>
      <c r="G1917" s="46" t="n"/>
      <c r="H1917" s="46" t="n"/>
      <c r="I1917" s="46" t="n"/>
      <c r="J1917" s="46" t="n"/>
      <c r="K1917" s="46" t="n"/>
      <c r="L1917" s="46" t="n"/>
      <c r="M1917" s="51" t="str">
        <f>IF(NOT(ISNUMBER($E1917)),"",IF($C1917="Receipt",$E1917,IF($C1917="Shipment",-$E1917,IF($C1917="Adjustment",$E1917,0))))</f>
        <v/>
      </c>
      <c r="N1917" s="49" t="str">
        <f>IF($D1917="","",IFERROR(INDEX(Products!$B$2:$B$101,MATCH($D1917,Products!$A$2:$A$101,0))&amp;"","(not found)"))</f>
        <v/>
      </c>
      <c r="O1917" s="49" t="str">
        <f>IF($F1917="","",IFERROR(INDEX(Batches!$B$2:$B$301,MATCH($F1917,Batches!$A$2:$A$301,0))&amp;"","(not found)"))</f>
        <v/>
      </c>
      <c r="P1917" s="49" t="str">
        <f>IF(COUNTA($A1917:$L1917)=0,"",IF($A1917="","Missing: entry ID",IF(COUNTIF($A$2:$A$2001,$A1917)&gt;1,"Duplicate entry ID",IF(NOT(ISNUMBER($B1917)),"Missing or invalid: date",IF($C1917="","Missing: type",IF($D1917="","Missing: SKU",IF(NOT(ISNUMBER($E1917)),"Missing: qty",IF($F1917="","Missing: lot",IF($I1917="","Missing: source link",IF(COUNTIF(Config!$A$15:$A$34,$C1917)=0,"Unsupported type",IF(COUNTIF(Products!$A$2:$A$101,$D1917)=0,"Unknown SKU",IF(COUNTIFS(Batches!$A$2:$A$301,$F1917,Batches!$B$2:$B$301,$D1917)=0,"Unknown lot for this SKU",IF(AND($C1917="Adjustment",$G1917=""),"Missing: reason",IF(AND($G1917&lt;&gt;"",COUNTIF(Config!$B$15:$B$34,$G1917)=0),"Unsupported reason",IF(OR(INT($E1917)&lt;&gt;$E1917,AND(OR($C1917="Receipt",$C1917="Shipment"),$E1917&lt;=0),AND($C1917="Adjustment",$E1917=0)),"Invalid qty",IF($B1917&gt;Config!$B$4,"Date after the as-of date",IF($B1917&lt;Config!$B$5,"Date before the opening balance date","OK")))))))))))))))))</f>
        <v/>
      </c>
    </row>
    <row r="1918">
      <c r="A1918" s="46" t="n"/>
      <c r="B1918" s="54" t="n"/>
      <c r="C1918" s="46" t="n"/>
      <c r="D1918" s="46" t="n"/>
      <c r="E1918" s="55" t="n"/>
      <c r="F1918" s="46" t="n"/>
      <c r="G1918" s="46" t="n"/>
      <c r="H1918" s="46" t="n"/>
      <c r="I1918" s="46" t="n"/>
      <c r="J1918" s="46" t="n"/>
      <c r="K1918" s="46" t="n"/>
      <c r="L1918" s="46" t="n"/>
      <c r="M1918" s="51" t="str">
        <f>IF(NOT(ISNUMBER($E1918)),"",IF($C1918="Receipt",$E1918,IF($C1918="Shipment",-$E1918,IF($C1918="Adjustment",$E1918,0))))</f>
        <v/>
      </c>
      <c r="N1918" s="49" t="str">
        <f>IF($D1918="","",IFERROR(INDEX(Products!$B$2:$B$101,MATCH($D1918,Products!$A$2:$A$101,0))&amp;"","(not found)"))</f>
        <v/>
      </c>
      <c r="O1918" s="49" t="str">
        <f>IF($F1918="","",IFERROR(INDEX(Batches!$B$2:$B$301,MATCH($F1918,Batches!$A$2:$A$301,0))&amp;"","(not found)"))</f>
        <v/>
      </c>
      <c r="P1918" s="49" t="str">
        <f>IF(COUNTA($A1918:$L1918)=0,"",IF($A1918="","Missing: entry ID",IF(COUNTIF($A$2:$A$2001,$A1918)&gt;1,"Duplicate entry ID",IF(NOT(ISNUMBER($B1918)),"Missing or invalid: date",IF($C1918="","Missing: type",IF($D1918="","Missing: SKU",IF(NOT(ISNUMBER($E1918)),"Missing: qty",IF($F1918="","Missing: lot",IF($I1918="","Missing: source link",IF(COUNTIF(Config!$A$15:$A$34,$C1918)=0,"Unsupported type",IF(COUNTIF(Products!$A$2:$A$101,$D1918)=0,"Unknown SKU",IF(COUNTIFS(Batches!$A$2:$A$301,$F1918,Batches!$B$2:$B$301,$D1918)=0,"Unknown lot for this SKU",IF(AND($C1918="Adjustment",$G1918=""),"Missing: reason",IF(AND($G1918&lt;&gt;"",COUNTIF(Config!$B$15:$B$34,$G1918)=0),"Unsupported reason",IF(OR(INT($E1918)&lt;&gt;$E1918,AND(OR($C1918="Receipt",$C1918="Shipment"),$E1918&lt;=0),AND($C1918="Adjustment",$E1918=0)),"Invalid qty",IF($B1918&gt;Config!$B$4,"Date after the as-of date",IF($B1918&lt;Config!$B$5,"Date before the opening balance date","OK")))))))))))))))))</f>
        <v/>
      </c>
    </row>
    <row r="1919">
      <c r="A1919" s="46" t="n"/>
      <c r="B1919" s="54" t="n"/>
      <c r="C1919" s="46" t="n"/>
      <c r="D1919" s="46" t="n"/>
      <c r="E1919" s="55" t="n"/>
      <c r="F1919" s="46" t="n"/>
      <c r="G1919" s="46" t="n"/>
      <c r="H1919" s="46" t="n"/>
      <c r="I1919" s="46" t="n"/>
      <c r="J1919" s="46" t="n"/>
      <c r="K1919" s="46" t="n"/>
      <c r="L1919" s="46" t="n"/>
      <c r="M1919" s="51" t="str">
        <f>IF(NOT(ISNUMBER($E1919)),"",IF($C1919="Receipt",$E1919,IF($C1919="Shipment",-$E1919,IF($C1919="Adjustment",$E1919,0))))</f>
        <v/>
      </c>
      <c r="N1919" s="49" t="str">
        <f>IF($D1919="","",IFERROR(INDEX(Products!$B$2:$B$101,MATCH($D1919,Products!$A$2:$A$101,0))&amp;"","(not found)"))</f>
        <v/>
      </c>
      <c r="O1919" s="49" t="str">
        <f>IF($F1919="","",IFERROR(INDEX(Batches!$B$2:$B$301,MATCH($F1919,Batches!$A$2:$A$301,0))&amp;"","(not found)"))</f>
        <v/>
      </c>
      <c r="P1919" s="49" t="str">
        <f>IF(COUNTA($A1919:$L1919)=0,"",IF($A1919="","Missing: entry ID",IF(COUNTIF($A$2:$A$2001,$A1919)&gt;1,"Duplicate entry ID",IF(NOT(ISNUMBER($B1919)),"Missing or invalid: date",IF($C1919="","Missing: type",IF($D1919="","Missing: SKU",IF(NOT(ISNUMBER($E1919)),"Missing: qty",IF($F1919="","Missing: lot",IF($I1919="","Missing: source link",IF(COUNTIF(Config!$A$15:$A$34,$C1919)=0,"Unsupported type",IF(COUNTIF(Products!$A$2:$A$101,$D1919)=0,"Unknown SKU",IF(COUNTIFS(Batches!$A$2:$A$301,$F1919,Batches!$B$2:$B$301,$D1919)=0,"Unknown lot for this SKU",IF(AND($C1919="Adjustment",$G1919=""),"Missing: reason",IF(AND($G1919&lt;&gt;"",COUNTIF(Config!$B$15:$B$34,$G1919)=0),"Unsupported reason",IF(OR(INT($E1919)&lt;&gt;$E1919,AND(OR($C1919="Receipt",$C1919="Shipment"),$E1919&lt;=0),AND($C1919="Adjustment",$E1919=0)),"Invalid qty",IF($B1919&gt;Config!$B$4,"Date after the as-of date",IF($B1919&lt;Config!$B$5,"Date before the opening balance date","OK")))))))))))))))))</f>
        <v/>
      </c>
    </row>
    <row r="1920">
      <c r="A1920" s="46" t="n"/>
      <c r="B1920" s="54" t="n"/>
      <c r="C1920" s="46" t="n"/>
      <c r="D1920" s="46" t="n"/>
      <c r="E1920" s="55" t="n"/>
      <c r="F1920" s="46" t="n"/>
      <c r="G1920" s="46" t="n"/>
      <c r="H1920" s="46" t="n"/>
      <c r="I1920" s="46" t="n"/>
      <c r="J1920" s="46" t="n"/>
      <c r="K1920" s="46" t="n"/>
      <c r="L1920" s="46" t="n"/>
      <c r="M1920" s="51" t="str">
        <f>IF(NOT(ISNUMBER($E1920)),"",IF($C1920="Receipt",$E1920,IF($C1920="Shipment",-$E1920,IF($C1920="Adjustment",$E1920,0))))</f>
        <v/>
      </c>
      <c r="N1920" s="49" t="str">
        <f>IF($D1920="","",IFERROR(INDEX(Products!$B$2:$B$101,MATCH($D1920,Products!$A$2:$A$101,0))&amp;"","(not found)"))</f>
        <v/>
      </c>
      <c r="O1920" s="49" t="str">
        <f>IF($F1920="","",IFERROR(INDEX(Batches!$B$2:$B$301,MATCH($F1920,Batches!$A$2:$A$301,0))&amp;"","(not found)"))</f>
        <v/>
      </c>
      <c r="P1920" s="49" t="str">
        <f>IF(COUNTA($A1920:$L1920)=0,"",IF($A1920="","Missing: entry ID",IF(COUNTIF($A$2:$A$2001,$A1920)&gt;1,"Duplicate entry ID",IF(NOT(ISNUMBER($B1920)),"Missing or invalid: date",IF($C1920="","Missing: type",IF($D1920="","Missing: SKU",IF(NOT(ISNUMBER($E1920)),"Missing: qty",IF($F1920="","Missing: lot",IF($I1920="","Missing: source link",IF(COUNTIF(Config!$A$15:$A$34,$C1920)=0,"Unsupported type",IF(COUNTIF(Products!$A$2:$A$101,$D1920)=0,"Unknown SKU",IF(COUNTIFS(Batches!$A$2:$A$301,$F1920,Batches!$B$2:$B$301,$D1920)=0,"Unknown lot for this SKU",IF(AND($C1920="Adjustment",$G1920=""),"Missing: reason",IF(AND($G1920&lt;&gt;"",COUNTIF(Config!$B$15:$B$34,$G1920)=0),"Unsupported reason",IF(OR(INT($E1920)&lt;&gt;$E1920,AND(OR($C1920="Receipt",$C1920="Shipment"),$E1920&lt;=0),AND($C1920="Adjustment",$E1920=0)),"Invalid qty",IF($B1920&gt;Config!$B$4,"Date after the as-of date",IF($B1920&lt;Config!$B$5,"Date before the opening balance date","OK")))))))))))))))))</f>
        <v/>
      </c>
    </row>
    <row r="1921">
      <c r="A1921" s="46" t="n"/>
      <c r="B1921" s="54" t="n"/>
      <c r="C1921" s="46" t="n"/>
      <c r="D1921" s="46" t="n"/>
      <c r="E1921" s="55" t="n"/>
      <c r="F1921" s="46" t="n"/>
      <c r="G1921" s="46" t="n"/>
      <c r="H1921" s="46" t="n"/>
      <c r="I1921" s="46" t="n"/>
      <c r="J1921" s="46" t="n"/>
      <c r="K1921" s="46" t="n"/>
      <c r="L1921" s="46" t="n"/>
      <c r="M1921" s="51" t="str">
        <f>IF(NOT(ISNUMBER($E1921)),"",IF($C1921="Receipt",$E1921,IF($C1921="Shipment",-$E1921,IF($C1921="Adjustment",$E1921,0))))</f>
        <v/>
      </c>
      <c r="N1921" s="49" t="str">
        <f>IF($D1921="","",IFERROR(INDEX(Products!$B$2:$B$101,MATCH($D1921,Products!$A$2:$A$101,0))&amp;"","(not found)"))</f>
        <v/>
      </c>
      <c r="O1921" s="49" t="str">
        <f>IF($F1921="","",IFERROR(INDEX(Batches!$B$2:$B$301,MATCH($F1921,Batches!$A$2:$A$301,0))&amp;"","(not found)"))</f>
        <v/>
      </c>
      <c r="P1921" s="49" t="str">
        <f>IF(COUNTA($A1921:$L1921)=0,"",IF($A1921="","Missing: entry ID",IF(COUNTIF($A$2:$A$2001,$A1921)&gt;1,"Duplicate entry ID",IF(NOT(ISNUMBER($B1921)),"Missing or invalid: date",IF($C1921="","Missing: type",IF($D1921="","Missing: SKU",IF(NOT(ISNUMBER($E1921)),"Missing: qty",IF($F1921="","Missing: lot",IF($I1921="","Missing: source link",IF(COUNTIF(Config!$A$15:$A$34,$C1921)=0,"Unsupported type",IF(COUNTIF(Products!$A$2:$A$101,$D1921)=0,"Unknown SKU",IF(COUNTIFS(Batches!$A$2:$A$301,$F1921,Batches!$B$2:$B$301,$D1921)=0,"Unknown lot for this SKU",IF(AND($C1921="Adjustment",$G1921=""),"Missing: reason",IF(AND($G1921&lt;&gt;"",COUNTIF(Config!$B$15:$B$34,$G1921)=0),"Unsupported reason",IF(OR(INT($E1921)&lt;&gt;$E1921,AND(OR($C1921="Receipt",$C1921="Shipment"),$E1921&lt;=0),AND($C1921="Adjustment",$E1921=0)),"Invalid qty",IF($B1921&gt;Config!$B$4,"Date after the as-of date",IF($B1921&lt;Config!$B$5,"Date before the opening balance date","OK")))))))))))))))))</f>
        <v/>
      </c>
    </row>
    <row r="1922">
      <c r="A1922" s="46" t="n"/>
      <c r="B1922" s="54" t="n"/>
      <c r="C1922" s="46" t="n"/>
      <c r="D1922" s="46" t="n"/>
      <c r="E1922" s="55" t="n"/>
      <c r="F1922" s="46" t="n"/>
      <c r="G1922" s="46" t="n"/>
      <c r="H1922" s="46" t="n"/>
      <c r="I1922" s="46" t="n"/>
      <c r="J1922" s="46" t="n"/>
      <c r="K1922" s="46" t="n"/>
      <c r="L1922" s="46" t="n"/>
      <c r="M1922" s="51" t="str">
        <f>IF(NOT(ISNUMBER($E1922)),"",IF($C1922="Receipt",$E1922,IF($C1922="Shipment",-$E1922,IF($C1922="Adjustment",$E1922,0))))</f>
        <v/>
      </c>
      <c r="N1922" s="49" t="str">
        <f>IF($D1922="","",IFERROR(INDEX(Products!$B$2:$B$101,MATCH($D1922,Products!$A$2:$A$101,0))&amp;"","(not found)"))</f>
        <v/>
      </c>
      <c r="O1922" s="49" t="str">
        <f>IF($F1922="","",IFERROR(INDEX(Batches!$B$2:$B$301,MATCH($F1922,Batches!$A$2:$A$301,0))&amp;"","(not found)"))</f>
        <v/>
      </c>
      <c r="P1922" s="49" t="str">
        <f>IF(COUNTA($A1922:$L1922)=0,"",IF($A1922="","Missing: entry ID",IF(COUNTIF($A$2:$A$2001,$A1922)&gt;1,"Duplicate entry ID",IF(NOT(ISNUMBER($B1922)),"Missing or invalid: date",IF($C1922="","Missing: type",IF($D1922="","Missing: SKU",IF(NOT(ISNUMBER($E1922)),"Missing: qty",IF($F1922="","Missing: lot",IF($I1922="","Missing: source link",IF(COUNTIF(Config!$A$15:$A$34,$C1922)=0,"Unsupported type",IF(COUNTIF(Products!$A$2:$A$101,$D1922)=0,"Unknown SKU",IF(COUNTIFS(Batches!$A$2:$A$301,$F1922,Batches!$B$2:$B$301,$D1922)=0,"Unknown lot for this SKU",IF(AND($C1922="Adjustment",$G1922=""),"Missing: reason",IF(AND($G1922&lt;&gt;"",COUNTIF(Config!$B$15:$B$34,$G1922)=0),"Unsupported reason",IF(OR(INT($E1922)&lt;&gt;$E1922,AND(OR($C1922="Receipt",$C1922="Shipment"),$E1922&lt;=0),AND($C1922="Adjustment",$E1922=0)),"Invalid qty",IF($B1922&gt;Config!$B$4,"Date after the as-of date",IF($B1922&lt;Config!$B$5,"Date before the opening balance date","OK")))))))))))))))))</f>
        <v/>
      </c>
    </row>
    <row r="1923">
      <c r="A1923" s="46" t="n"/>
      <c r="B1923" s="54" t="n"/>
      <c r="C1923" s="46" t="n"/>
      <c r="D1923" s="46" t="n"/>
      <c r="E1923" s="55" t="n"/>
      <c r="F1923" s="46" t="n"/>
      <c r="G1923" s="46" t="n"/>
      <c r="H1923" s="46" t="n"/>
      <c r="I1923" s="46" t="n"/>
      <c r="J1923" s="46" t="n"/>
      <c r="K1923" s="46" t="n"/>
      <c r="L1923" s="46" t="n"/>
      <c r="M1923" s="51" t="str">
        <f>IF(NOT(ISNUMBER($E1923)),"",IF($C1923="Receipt",$E1923,IF($C1923="Shipment",-$E1923,IF($C1923="Adjustment",$E1923,0))))</f>
        <v/>
      </c>
      <c r="N1923" s="49" t="str">
        <f>IF($D1923="","",IFERROR(INDEX(Products!$B$2:$B$101,MATCH($D1923,Products!$A$2:$A$101,0))&amp;"","(not found)"))</f>
        <v/>
      </c>
      <c r="O1923" s="49" t="str">
        <f>IF($F1923="","",IFERROR(INDEX(Batches!$B$2:$B$301,MATCH($F1923,Batches!$A$2:$A$301,0))&amp;"","(not found)"))</f>
        <v/>
      </c>
      <c r="P1923" s="49" t="str">
        <f>IF(COUNTA($A1923:$L1923)=0,"",IF($A1923="","Missing: entry ID",IF(COUNTIF($A$2:$A$2001,$A1923)&gt;1,"Duplicate entry ID",IF(NOT(ISNUMBER($B1923)),"Missing or invalid: date",IF($C1923="","Missing: type",IF($D1923="","Missing: SKU",IF(NOT(ISNUMBER($E1923)),"Missing: qty",IF($F1923="","Missing: lot",IF($I1923="","Missing: source link",IF(COUNTIF(Config!$A$15:$A$34,$C1923)=0,"Unsupported type",IF(COUNTIF(Products!$A$2:$A$101,$D1923)=0,"Unknown SKU",IF(COUNTIFS(Batches!$A$2:$A$301,$F1923,Batches!$B$2:$B$301,$D1923)=0,"Unknown lot for this SKU",IF(AND($C1923="Adjustment",$G1923=""),"Missing: reason",IF(AND($G1923&lt;&gt;"",COUNTIF(Config!$B$15:$B$34,$G1923)=0),"Unsupported reason",IF(OR(INT($E1923)&lt;&gt;$E1923,AND(OR($C1923="Receipt",$C1923="Shipment"),$E1923&lt;=0),AND($C1923="Adjustment",$E1923=0)),"Invalid qty",IF($B1923&gt;Config!$B$4,"Date after the as-of date",IF($B1923&lt;Config!$B$5,"Date before the opening balance date","OK")))))))))))))))))</f>
        <v/>
      </c>
    </row>
    <row r="1924">
      <c r="A1924" s="46" t="n"/>
      <c r="B1924" s="54" t="n"/>
      <c r="C1924" s="46" t="n"/>
      <c r="D1924" s="46" t="n"/>
      <c r="E1924" s="55" t="n"/>
      <c r="F1924" s="46" t="n"/>
      <c r="G1924" s="46" t="n"/>
      <c r="H1924" s="46" t="n"/>
      <c r="I1924" s="46" t="n"/>
      <c r="J1924" s="46" t="n"/>
      <c r="K1924" s="46" t="n"/>
      <c r="L1924" s="46" t="n"/>
      <c r="M1924" s="51" t="str">
        <f>IF(NOT(ISNUMBER($E1924)),"",IF($C1924="Receipt",$E1924,IF($C1924="Shipment",-$E1924,IF($C1924="Adjustment",$E1924,0))))</f>
        <v/>
      </c>
      <c r="N1924" s="49" t="str">
        <f>IF($D1924="","",IFERROR(INDEX(Products!$B$2:$B$101,MATCH($D1924,Products!$A$2:$A$101,0))&amp;"","(not found)"))</f>
        <v/>
      </c>
      <c r="O1924" s="49" t="str">
        <f>IF($F1924="","",IFERROR(INDEX(Batches!$B$2:$B$301,MATCH($F1924,Batches!$A$2:$A$301,0))&amp;"","(not found)"))</f>
        <v/>
      </c>
      <c r="P1924" s="49" t="str">
        <f>IF(COUNTA($A1924:$L1924)=0,"",IF($A1924="","Missing: entry ID",IF(COUNTIF($A$2:$A$2001,$A1924)&gt;1,"Duplicate entry ID",IF(NOT(ISNUMBER($B1924)),"Missing or invalid: date",IF($C1924="","Missing: type",IF($D1924="","Missing: SKU",IF(NOT(ISNUMBER($E1924)),"Missing: qty",IF($F1924="","Missing: lot",IF($I1924="","Missing: source link",IF(COUNTIF(Config!$A$15:$A$34,$C1924)=0,"Unsupported type",IF(COUNTIF(Products!$A$2:$A$101,$D1924)=0,"Unknown SKU",IF(COUNTIFS(Batches!$A$2:$A$301,$F1924,Batches!$B$2:$B$301,$D1924)=0,"Unknown lot for this SKU",IF(AND($C1924="Adjustment",$G1924=""),"Missing: reason",IF(AND($G1924&lt;&gt;"",COUNTIF(Config!$B$15:$B$34,$G1924)=0),"Unsupported reason",IF(OR(INT($E1924)&lt;&gt;$E1924,AND(OR($C1924="Receipt",$C1924="Shipment"),$E1924&lt;=0),AND($C1924="Adjustment",$E1924=0)),"Invalid qty",IF($B1924&gt;Config!$B$4,"Date after the as-of date",IF($B1924&lt;Config!$B$5,"Date before the opening balance date","OK")))))))))))))))))</f>
        <v/>
      </c>
    </row>
    <row r="1925">
      <c r="A1925" s="46" t="n"/>
      <c r="B1925" s="54" t="n"/>
      <c r="C1925" s="46" t="n"/>
      <c r="D1925" s="46" t="n"/>
      <c r="E1925" s="55" t="n"/>
      <c r="F1925" s="46" t="n"/>
      <c r="G1925" s="46" t="n"/>
      <c r="H1925" s="46" t="n"/>
      <c r="I1925" s="46" t="n"/>
      <c r="J1925" s="46" t="n"/>
      <c r="K1925" s="46" t="n"/>
      <c r="L1925" s="46" t="n"/>
      <c r="M1925" s="51" t="str">
        <f>IF(NOT(ISNUMBER($E1925)),"",IF($C1925="Receipt",$E1925,IF($C1925="Shipment",-$E1925,IF($C1925="Adjustment",$E1925,0))))</f>
        <v/>
      </c>
      <c r="N1925" s="49" t="str">
        <f>IF($D1925="","",IFERROR(INDEX(Products!$B$2:$B$101,MATCH($D1925,Products!$A$2:$A$101,0))&amp;"","(not found)"))</f>
        <v/>
      </c>
      <c r="O1925" s="49" t="str">
        <f>IF($F1925="","",IFERROR(INDEX(Batches!$B$2:$B$301,MATCH($F1925,Batches!$A$2:$A$301,0))&amp;"","(not found)"))</f>
        <v/>
      </c>
      <c r="P1925" s="49" t="str">
        <f>IF(COUNTA($A1925:$L1925)=0,"",IF($A1925="","Missing: entry ID",IF(COUNTIF($A$2:$A$2001,$A1925)&gt;1,"Duplicate entry ID",IF(NOT(ISNUMBER($B1925)),"Missing or invalid: date",IF($C1925="","Missing: type",IF($D1925="","Missing: SKU",IF(NOT(ISNUMBER($E1925)),"Missing: qty",IF($F1925="","Missing: lot",IF($I1925="","Missing: source link",IF(COUNTIF(Config!$A$15:$A$34,$C1925)=0,"Unsupported type",IF(COUNTIF(Products!$A$2:$A$101,$D1925)=0,"Unknown SKU",IF(COUNTIFS(Batches!$A$2:$A$301,$F1925,Batches!$B$2:$B$301,$D1925)=0,"Unknown lot for this SKU",IF(AND($C1925="Adjustment",$G1925=""),"Missing: reason",IF(AND($G1925&lt;&gt;"",COUNTIF(Config!$B$15:$B$34,$G1925)=0),"Unsupported reason",IF(OR(INT($E1925)&lt;&gt;$E1925,AND(OR($C1925="Receipt",$C1925="Shipment"),$E1925&lt;=0),AND($C1925="Adjustment",$E1925=0)),"Invalid qty",IF($B1925&gt;Config!$B$4,"Date after the as-of date",IF($B1925&lt;Config!$B$5,"Date before the opening balance date","OK")))))))))))))))))</f>
        <v/>
      </c>
    </row>
    <row r="1926">
      <c r="A1926" s="46" t="n"/>
      <c r="B1926" s="54" t="n"/>
      <c r="C1926" s="46" t="n"/>
      <c r="D1926" s="46" t="n"/>
      <c r="E1926" s="55" t="n"/>
      <c r="F1926" s="46" t="n"/>
      <c r="G1926" s="46" t="n"/>
      <c r="H1926" s="46" t="n"/>
      <c r="I1926" s="46" t="n"/>
      <c r="J1926" s="46" t="n"/>
      <c r="K1926" s="46" t="n"/>
      <c r="L1926" s="46" t="n"/>
      <c r="M1926" s="51" t="str">
        <f>IF(NOT(ISNUMBER($E1926)),"",IF($C1926="Receipt",$E1926,IF($C1926="Shipment",-$E1926,IF($C1926="Adjustment",$E1926,0))))</f>
        <v/>
      </c>
      <c r="N1926" s="49" t="str">
        <f>IF($D1926="","",IFERROR(INDEX(Products!$B$2:$B$101,MATCH($D1926,Products!$A$2:$A$101,0))&amp;"","(not found)"))</f>
        <v/>
      </c>
      <c r="O1926" s="49" t="str">
        <f>IF($F1926="","",IFERROR(INDEX(Batches!$B$2:$B$301,MATCH($F1926,Batches!$A$2:$A$301,0))&amp;"","(not found)"))</f>
        <v/>
      </c>
      <c r="P1926" s="49" t="str">
        <f>IF(COUNTA($A1926:$L1926)=0,"",IF($A1926="","Missing: entry ID",IF(COUNTIF($A$2:$A$2001,$A1926)&gt;1,"Duplicate entry ID",IF(NOT(ISNUMBER($B1926)),"Missing or invalid: date",IF($C1926="","Missing: type",IF($D1926="","Missing: SKU",IF(NOT(ISNUMBER($E1926)),"Missing: qty",IF($F1926="","Missing: lot",IF($I1926="","Missing: source link",IF(COUNTIF(Config!$A$15:$A$34,$C1926)=0,"Unsupported type",IF(COUNTIF(Products!$A$2:$A$101,$D1926)=0,"Unknown SKU",IF(COUNTIFS(Batches!$A$2:$A$301,$F1926,Batches!$B$2:$B$301,$D1926)=0,"Unknown lot for this SKU",IF(AND($C1926="Adjustment",$G1926=""),"Missing: reason",IF(AND($G1926&lt;&gt;"",COUNTIF(Config!$B$15:$B$34,$G1926)=0),"Unsupported reason",IF(OR(INT($E1926)&lt;&gt;$E1926,AND(OR($C1926="Receipt",$C1926="Shipment"),$E1926&lt;=0),AND($C1926="Adjustment",$E1926=0)),"Invalid qty",IF($B1926&gt;Config!$B$4,"Date after the as-of date",IF($B1926&lt;Config!$B$5,"Date before the opening balance date","OK")))))))))))))))))</f>
        <v/>
      </c>
    </row>
    <row r="1927">
      <c r="A1927" s="46" t="n"/>
      <c r="B1927" s="54" t="n"/>
      <c r="C1927" s="46" t="n"/>
      <c r="D1927" s="46" t="n"/>
      <c r="E1927" s="55" t="n"/>
      <c r="F1927" s="46" t="n"/>
      <c r="G1927" s="46" t="n"/>
      <c r="H1927" s="46" t="n"/>
      <c r="I1927" s="46" t="n"/>
      <c r="J1927" s="46" t="n"/>
      <c r="K1927" s="46" t="n"/>
      <c r="L1927" s="46" t="n"/>
      <c r="M1927" s="51" t="str">
        <f>IF(NOT(ISNUMBER($E1927)),"",IF($C1927="Receipt",$E1927,IF($C1927="Shipment",-$E1927,IF($C1927="Adjustment",$E1927,0))))</f>
        <v/>
      </c>
      <c r="N1927" s="49" t="str">
        <f>IF($D1927="","",IFERROR(INDEX(Products!$B$2:$B$101,MATCH($D1927,Products!$A$2:$A$101,0))&amp;"","(not found)"))</f>
        <v/>
      </c>
      <c r="O1927" s="49" t="str">
        <f>IF($F1927="","",IFERROR(INDEX(Batches!$B$2:$B$301,MATCH($F1927,Batches!$A$2:$A$301,0))&amp;"","(not found)"))</f>
        <v/>
      </c>
      <c r="P1927" s="49" t="str">
        <f>IF(COUNTA($A1927:$L1927)=0,"",IF($A1927="","Missing: entry ID",IF(COUNTIF($A$2:$A$2001,$A1927)&gt;1,"Duplicate entry ID",IF(NOT(ISNUMBER($B1927)),"Missing or invalid: date",IF($C1927="","Missing: type",IF($D1927="","Missing: SKU",IF(NOT(ISNUMBER($E1927)),"Missing: qty",IF($F1927="","Missing: lot",IF($I1927="","Missing: source link",IF(COUNTIF(Config!$A$15:$A$34,$C1927)=0,"Unsupported type",IF(COUNTIF(Products!$A$2:$A$101,$D1927)=0,"Unknown SKU",IF(COUNTIFS(Batches!$A$2:$A$301,$F1927,Batches!$B$2:$B$301,$D1927)=0,"Unknown lot for this SKU",IF(AND($C1927="Adjustment",$G1927=""),"Missing: reason",IF(AND($G1927&lt;&gt;"",COUNTIF(Config!$B$15:$B$34,$G1927)=0),"Unsupported reason",IF(OR(INT($E1927)&lt;&gt;$E1927,AND(OR($C1927="Receipt",$C1927="Shipment"),$E1927&lt;=0),AND($C1927="Adjustment",$E1927=0)),"Invalid qty",IF($B1927&gt;Config!$B$4,"Date after the as-of date",IF($B1927&lt;Config!$B$5,"Date before the opening balance date","OK")))))))))))))))))</f>
        <v/>
      </c>
    </row>
    <row r="1928">
      <c r="A1928" s="46" t="n"/>
      <c r="B1928" s="54" t="n"/>
      <c r="C1928" s="46" t="n"/>
      <c r="D1928" s="46" t="n"/>
      <c r="E1928" s="55" t="n"/>
      <c r="F1928" s="46" t="n"/>
      <c r="G1928" s="46" t="n"/>
      <c r="H1928" s="46" t="n"/>
      <c r="I1928" s="46" t="n"/>
      <c r="J1928" s="46" t="n"/>
      <c r="K1928" s="46" t="n"/>
      <c r="L1928" s="46" t="n"/>
      <c r="M1928" s="51" t="str">
        <f>IF(NOT(ISNUMBER($E1928)),"",IF($C1928="Receipt",$E1928,IF($C1928="Shipment",-$E1928,IF($C1928="Adjustment",$E1928,0))))</f>
        <v/>
      </c>
      <c r="N1928" s="49" t="str">
        <f>IF($D1928="","",IFERROR(INDEX(Products!$B$2:$B$101,MATCH($D1928,Products!$A$2:$A$101,0))&amp;"","(not found)"))</f>
        <v/>
      </c>
      <c r="O1928" s="49" t="str">
        <f>IF($F1928="","",IFERROR(INDEX(Batches!$B$2:$B$301,MATCH($F1928,Batches!$A$2:$A$301,0))&amp;"","(not found)"))</f>
        <v/>
      </c>
      <c r="P1928" s="49" t="str">
        <f>IF(COUNTA($A1928:$L1928)=0,"",IF($A1928="","Missing: entry ID",IF(COUNTIF($A$2:$A$2001,$A1928)&gt;1,"Duplicate entry ID",IF(NOT(ISNUMBER($B1928)),"Missing or invalid: date",IF($C1928="","Missing: type",IF($D1928="","Missing: SKU",IF(NOT(ISNUMBER($E1928)),"Missing: qty",IF($F1928="","Missing: lot",IF($I1928="","Missing: source link",IF(COUNTIF(Config!$A$15:$A$34,$C1928)=0,"Unsupported type",IF(COUNTIF(Products!$A$2:$A$101,$D1928)=0,"Unknown SKU",IF(COUNTIFS(Batches!$A$2:$A$301,$F1928,Batches!$B$2:$B$301,$D1928)=0,"Unknown lot for this SKU",IF(AND($C1928="Adjustment",$G1928=""),"Missing: reason",IF(AND($G1928&lt;&gt;"",COUNTIF(Config!$B$15:$B$34,$G1928)=0),"Unsupported reason",IF(OR(INT($E1928)&lt;&gt;$E1928,AND(OR($C1928="Receipt",$C1928="Shipment"),$E1928&lt;=0),AND($C1928="Adjustment",$E1928=0)),"Invalid qty",IF($B1928&gt;Config!$B$4,"Date after the as-of date",IF($B1928&lt;Config!$B$5,"Date before the opening balance date","OK")))))))))))))))))</f>
        <v/>
      </c>
    </row>
    <row r="1929">
      <c r="A1929" s="46" t="n"/>
      <c r="B1929" s="54" t="n"/>
      <c r="C1929" s="46" t="n"/>
      <c r="D1929" s="46" t="n"/>
      <c r="E1929" s="55" t="n"/>
      <c r="F1929" s="46" t="n"/>
      <c r="G1929" s="46" t="n"/>
      <c r="H1929" s="46" t="n"/>
      <c r="I1929" s="46" t="n"/>
      <c r="J1929" s="46" t="n"/>
      <c r="K1929" s="46" t="n"/>
      <c r="L1929" s="46" t="n"/>
      <c r="M1929" s="51" t="str">
        <f>IF(NOT(ISNUMBER($E1929)),"",IF($C1929="Receipt",$E1929,IF($C1929="Shipment",-$E1929,IF($C1929="Adjustment",$E1929,0))))</f>
        <v/>
      </c>
      <c r="N1929" s="49" t="str">
        <f>IF($D1929="","",IFERROR(INDEX(Products!$B$2:$B$101,MATCH($D1929,Products!$A$2:$A$101,0))&amp;"","(not found)"))</f>
        <v/>
      </c>
      <c r="O1929" s="49" t="str">
        <f>IF($F1929="","",IFERROR(INDEX(Batches!$B$2:$B$301,MATCH($F1929,Batches!$A$2:$A$301,0))&amp;"","(not found)"))</f>
        <v/>
      </c>
      <c r="P1929" s="49" t="str">
        <f>IF(COUNTA($A1929:$L1929)=0,"",IF($A1929="","Missing: entry ID",IF(COUNTIF($A$2:$A$2001,$A1929)&gt;1,"Duplicate entry ID",IF(NOT(ISNUMBER($B1929)),"Missing or invalid: date",IF($C1929="","Missing: type",IF($D1929="","Missing: SKU",IF(NOT(ISNUMBER($E1929)),"Missing: qty",IF($F1929="","Missing: lot",IF($I1929="","Missing: source link",IF(COUNTIF(Config!$A$15:$A$34,$C1929)=0,"Unsupported type",IF(COUNTIF(Products!$A$2:$A$101,$D1929)=0,"Unknown SKU",IF(COUNTIFS(Batches!$A$2:$A$301,$F1929,Batches!$B$2:$B$301,$D1929)=0,"Unknown lot for this SKU",IF(AND($C1929="Adjustment",$G1929=""),"Missing: reason",IF(AND($G1929&lt;&gt;"",COUNTIF(Config!$B$15:$B$34,$G1929)=0),"Unsupported reason",IF(OR(INT($E1929)&lt;&gt;$E1929,AND(OR($C1929="Receipt",$C1929="Shipment"),$E1929&lt;=0),AND($C1929="Adjustment",$E1929=0)),"Invalid qty",IF($B1929&gt;Config!$B$4,"Date after the as-of date",IF($B1929&lt;Config!$B$5,"Date before the opening balance date","OK")))))))))))))))))</f>
        <v/>
      </c>
    </row>
    <row r="1930">
      <c r="A1930" s="46" t="n"/>
      <c r="B1930" s="54" t="n"/>
      <c r="C1930" s="46" t="n"/>
      <c r="D1930" s="46" t="n"/>
      <c r="E1930" s="55" t="n"/>
      <c r="F1930" s="46" t="n"/>
      <c r="G1930" s="46" t="n"/>
      <c r="H1930" s="46" t="n"/>
      <c r="I1930" s="46" t="n"/>
      <c r="J1930" s="46" t="n"/>
      <c r="K1930" s="46" t="n"/>
      <c r="L1930" s="46" t="n"/>
      <c r="M1930" s="51" t="str">
        <f>IF(NOT(ISNUMBER($E1930)),"",IF($C1930="Receipt",$E1930,IF($C1930="Shipment",-$E1930,IF($C1930="Adjustment",$E1930,0))))</f>
        <v/>
      </c>
      <c r="N1930" s="49" t="str">
        <f>IF($D1930="","",IFERROR(INDEX(Products!$B$2:$B$101,MATCH($D1930,Products!$A$2:$A$101,0))&amp;"","(not found)"))</f>
        <v/>
      </c>
      <c r="O1930" s="49" t="str">
        <f>IF($F1930="","",IFERROR(INDEX(Batches!$B$2:$B$301,MATCH($F1930,Batches!$A$2:$A$301,0))&amp;"","(not found)"))</f>
        <v/>
      </c>
      <c r="P1930" s="49" t="str">
        <f>IF(COUNTA($A1930:$L1930)=0,"",IF($A1930="","Missing: entry ID",IF(COUNTIF($A$2:$A$2001,$A1930)&gt;1,"Duplicate entry ID",IF(NOT(ISNUMBER($B1930)),"Missing or invalid: date",IF($C1930="","Missing: type",IF($D1930="","Missing: SKU",IF(NOT(ISNUMBER($E1930)),"Missing: qty",IF($F1930="","Missing: lot",IF($I1930="","Missing: source link",IF(COUNTIF(Config!$A$15:$A$34,$C1930)=0,"Unsupported type",IF(COUNTIF(Products!$A$2:$A$101,$D1930)=0,"Unknown SKU",IF(COUNTIFS(Batches!$A$2:$A$301,$F1930,Batches!$B$2:$B$301,$D1930)=0,"Unknown lot for this SKU",IF(AND($C1930="Adjustment",$G1930=""),"Missing: reason",IF(AND($G1930&lt;&gt;"",COUNTIF(Config!$B$15:$B$34,$G1930)=0),"Unsupported reason",IF(OR(INT($E1930)&lt;&gt;$E1930,AND(OR($C1930="Receipt",$C1930="Shipment"),$E1930&lt;=0),AND($C1930="Adjustment",$E1930=0)),"Invalid qty",IF($B1930&gt;Config!$B$4,"Date after the as-of date",IF($B1930&lt;Config!$B$5,"Date before the opening balance date","OK")))))))))))))))))</f>
        <v/>
      </c>
    </row>
    <row r="1931">
      <c r="A1931" s="46" t="n"/>
      <c r="B1931" s="54" t="n"/>
      <c r="C1931" s="46" t="n"/>
      <c r="D1931" s="46" t="n"/>
      <c r="E1931" s="55" t="n"/>
      <c r="F1931" s="46" t="n"/>
      <c r="G1931" s="46" t="n"/>
      <c r="H1931" s="46" t="n"/>
      <c r="I1931" s="46" t="n"/>
      <c r="J1931" s="46" t="n"/>
      <c r="K1931" s="46" t="n"/>
      <c r="L1931" s="46" t="n"/>
      <c r="M1931" s="51" t="str">
        <f>IF(NOT(ISNUMBER($E1931)),"",IF($C1931="Receipt",$E1931,IF($C1931="Shipment",-$E1931,IF($C1931="Adjustment",$E1931,0))))</f>
        <v/>
      </c>
      <c r="N1931" s="49" t="str">
        <f>IF($D1931="","",IFERROR(INDEX(Products!$B$2:$B$101,MATCH($D1931,Products!$A$2:$A$101,0))&amp;"","(not found)"))</f>
        <v/>
      </c>
      <c r="O1931" s="49" t="str">
        <f>IF($F1931="","",IFERROR(INDEX(Batches!$B$2:$B$301,MATCH($F1931,Batches!$A$2:$A$301,0))&amp;"","(not found)"))</f>
        <v/>
      </c>
      <c r="P1931" s="49" t="str">
        <f>IF(COUNTA($A1931:$L1931)=0,"",IF($A1931="","Missing: entry ID",IF(COUNTIF($A$2:$A$2001,$A1931)&gt;1,"Duplicate entry ID",IF(NOT(ISNUMBER($B1931)),"Missing or invalid: date",IF($C1931="","Missing: type",IF($D1931="","Missing: SKU",IF(NOT(ISNUMBER($E1931)),"Missing: qty",IF($F1931="","Missing: lot",IF($I1931="","Missing: source link",IF(COUNTIF(Config!$A$15:$A$34,$C1931)=0,"Unsupported type",IF(COUNTIF(Products!$A$2:$A$101,$D1931)=0,"Unknown SKU",IF(COUNTIFS(Batches!$A$2:$A$301,$F1931,Batches!$B$2:$B$301,$D1931)=0,"Unknown lot for this SKU",IF(AND($C1931="Adjustment",$G1931=""),"Missing: reason",IF(AND($G1931&lt;&gt;"",COUNTIF(Config!$B$15:$B$34,$G1931)=0),"Unsupported reason",IF(OR(INT($E1931)&lt;&gt;$E1931,AND(OR($C1931="Receipt",$C1931="Shipment"),$E1931&lt;=0),AND($C1931="Adjustment",$E1931=0)),"Invalid qty",IF($B1931&gt;Config!$B$4,"Date after the as-of date",IF($B1931&lt;Config!$B$5,"Date before the opening balance date","OK")))))))))))))))))</f>
        <v/>
      </c>
    </row>
    <row r="1932">
      <c r="A1932" s="46" t="n"/>
      <c r="B1932" s="54" t="n"/>
      <c r="C1932" s="46" t="n"/>
      <c r="D1932" s="46" t="n"/>
      <c r="E1932" s="55" t="n"/>
      <c r="F1932" s="46" t="n"/>
      <c r="G1932" s="46" t="n"/>
      <c r="H1932" s="46" t="n"/>
      <c r="I1932" s="46" t="n"/>
      <c r="J1932" s="46" t="n"/>
      <c r="K1932" s="46" t="n"/>
      <c r="L1932" s="46" t="n"/>
      <c r="M1932" s="51" t="str">
        <f>IF(NOT(ISNUMBER($E1932)),"",IF($C1932="Receipt",$E1932,IF($C1932="Shipment",-$E1932,IF($C1932="Adjustment",$E1932,0))))</f>
        <v/>
      </c>
      <c r="N1932" s="49" t="str">
        <f>IF($D1932="","",IFERROR(INDEX(Products!$B$2:$B$101,MATCH($D1932,Products!$A$2:$A$101,0))&amp;"","(not found)"))</f>
        <v/>
      </c>
      <c r="O1932" s="49" t="str">
        <f>IF($F1932="","",IFERROR(INDEX(Batches!$B$2:$B$301,MATCH($F1932,Batches!$A$2:$A$301,0))&amp;"","(not found)"))</f>
        <v/>
      </c>
      <c r="P1932" s="49" t="str">
        <f>IF(COUNTA($A1932:$L1932)=0,"",IF($A1932="","Missing: entry ID",IF(COUNTIF($A$2:$A$2001,$A1932)&gt;1,"Duplicate entry ID",IF(NOT(ISNUMBER($B1932)),"Missing or invalid: date",IF($C1932="","Missing: type",IF($D1932="","Missing: SKU",IF(NOT(ISNUMBER($E1932)),"Missing: qty",IF($F1932="","Missing: lot",IF($I1932="","Missing: source link",IF(COUNTIF(Config!$A$15:$A$34,$C1932)=0,"Unsupported type",IF(COUNTIF(Products!$A$2:$A$101,$D1932)=0,"Unknown SKU",IF(COUNTIFS(Batches!$A$2:$A$301,$F1932,Batches!$B$2:$B$301,$D1932)=0,"Unknown lot for this SKU",IF(AND($C1932="Adjustment",$G1932=""),"Missing: reason",IF(AND($G1932&lt;&gt;"",COUNTIF(Config!$B$15:$B$34,$G1932)=0),"Unsupported reason",IF(OR(INT($E1932)&lt;&gt;$E1932,AND(OR($C1932="Receipt",$C1932="Shipment"),$E1932&lt;=0),AND($C1932="Adjustment",$E1932=0)),"Invalid qty",IF($B1932&gt;Config!$B$4,"Date after the as-of date",IF($B1932&lt;Config!$B$5,"Date before the opening balance date","OK")))))))))))))))))</f>
        <v/>
      </c>
    </row>
    <row r="1933">
      <c r="A1933" s="46" t="n"/>
      <c r="B1933" s="54" t="n"/>
      <c r="C1933" s="46" t="n"/>
      <c r="D1933" s="46" t="n"/>
      <c r="E1933" s="55" t="n"/>
      <c r="F1933" s="46" t="n"/>
      <c r="G1933" s="46" t="n"/>
      <c r="H1933" s="46" t="n"/>
      <c r="I1933" s="46" t="n"/>
      <c r="J1933" s="46" t="n"/>
      <c r="K1933" s="46" t="n"/>
      <c r="L1933" s="46" t="n"/>
      <c r="M1933" s="51" t="str">
        <f>IF(NOT(ISNUMBER($E1933)),"",IF($C1933="Receipt",$E1933,IF($C1933="Shipment",-$E1933,IF($C1933="Adjustment",$E1933,0))))</f>
        <v/>
      </c>
      <c r="N1933" s="49" t="str">
        <f>IF($D1933="","",IFERROR(INDEX(Products!$B$2:$B$101,MATCH($D1933,Products!$A$2:$A$101,0))&amp;"","(not found)"))</f>
        <v/>
      </c>
      <c r="O1933" s="49" t="str">
        <f>IF($F1933="","",IFERROR(INDEX(Batches!$B$2:$B$301,MATCH($F1933,Batches!$A$2:$A$301,0))&amp;"","(not found)"))</f>
        <v/>
      </c>
      <c r="P1933" s="49" t="str">
        <f>IF(COUNTA($A1933:$L1933)=0,"",IF($A1933="","Missing: entry ID",IF(COUNTIF($A$2:$A$2001,$A1933)&gt;1,"Duplicate entry ID",IF(NOT(ISNUMBER($B1933)),"Missing or invalid: date",IF($C1933="","Missing: type",IF($D1933="","Missing: SKU",IF(NOT(ISNUMBER($E1933)),"Missing: qty",IF($F1933="","Missing: lot",IF($I1933="","Missing: source link",IF(COUNTIF(Config!$A$15:$A$34,$C1933)=0,"Unsupported type",IF(COUNTIF(Products!$A$2:$A$101,$D1933)=0,"Unknown SKU",IF(COUNTIFS(Batches!$A$2:$A$301,$F1933,Batches!$B$2:$B$301,$D1933)=0,"Unknown lot for this SKU",IF(AND($C1933="Adjustment",$G1933=""),"Missing: reason",IF(AND($G1933&lt;&gt;"",COUNTIF(Config!$B$15:$B$34,$G1933)=0),"Unsupported reason",IF(OR(INT($E1933)&lt;&gt;$E1933,AND(OR($C1933="Receipt",$C1933="Shipment"),$E1933&lt;=0),AND($C1933="Adjustment",$E1933=0)),"Invalid qty",IF($B1933&gt;Config!$B$4,"Date after the as-of date",IF($B1933&lt;Config!$B$5,"Date before the opening balance date","OK")))))))))))))))))</f>
        <v/>
      </c>
    </row>
    <row r="1934">
      <c r="A1934" s="46" t="n"/>
      <c r="B1934" s="54" t="n"/>
      <c r="C1934" s="46" t="n"/>
      <c r="D1934" s="46" t="n"/>
      <c r="E1934" s="55" t="n"/>
      <c r="F1934" s="46" t="n"/>
      <c r="G1934" s="46" t="n"/>
      <c r="H1934" s="46" t="n"/>
      <c r="I1934" s="46" t="n"/>
      <c r="J1934" s="46" t="n"/>
      <c r="K1934" s="46" t="n"/>
      <c r="L1934" s="46" t="n"/>
      <c r="M1934" s="51" t="str">
        <f>IF(NOT(ISNUMBER($E1934)),"",IF($C1934="Receipt",$E1934,IF($C1934="Shipment",-$E1934,IF($C1934="Adjustment",$E1934,0))))</f>
        <v/>
      </c>
      <c r="N1934" s="49" t="str">
        <f>IF($D1934="","",IFERROR(INDEX(Products!$B$2:$B$101,MATCH($D1934,Products!$A$2:$A$101,0))&amp;"","(not found)"))</f>
        <v/>
      </c>
      <c r="O1934" s="49" t="str">
        <f>IF($F1934="","",IFERROR(INDEX(Batches!$B$2:$B$301,MATCH($F1934,Batches!$A$2:$A$301,0))&amp;"","(not found)"))</f>
        <v/>
      </c>
      <c r="P1934" s="49" t="str">
        <f>IF(COUNTA($A1934:$L1934)=0,"",IF($A1934="","Missing: entry ID",IF(COUNTIF($A$2:$A$2001,$A1934)&gt;1,"Duplicate entry ID",IF(NOT(ISNUMBER($B1934)),"Missing or invalid: date",IF($C1934="","Missing: type",IF($D1934="","Missing: SKU",IF(NOT(ISNUMBER($E1934)),"Missing: qty",IF($F1934="","Missing: lot",IF($I1934="","Missing: source link",IF(COUNTIF(Config!$A$15:$A$34,$C1934)=0,"Unsupported type",IF(COUNTIF(Products!$A$2:$A$101,$D1934)=0,"Unknown SKU",IF(COUNTIFS(Batches!$A$2:$A$301,$F1934,Batches!$B$2:$B$301,$D1934)=0,"Unknown lot for this SKU",IF(AND($C1934="Adjustment",$G1934=""),"Missing: reason",IF(AND($G1934&lt;&gt;"",COUNTIF(Config!$B$15:$B$34,$G1934)=0),"Unsupported reason",IF(OR(INT($E1934)&lt;&gt;$E1934,AND(OR($C1934="Receipt",$C1934="Shipment"),$E1934&lt;=0),AND($C1934="Adjustment",$E1934=0)),"Invalid qty",IF($B1934&gt;Config!$B$4,"Date after the as-of date",IF($B1934&lt;Config!$B$5,"Date before the opening balance date","OK")))))))))))))))))</f>
        <v/>
      </c>
    </row>
    <row r="1935">
      <c r="A1935" s="46" t="n"/>
      <c r="B1935" s="54" t="n"/>
      <c r="C1935" s="46" t="n"/>
      <c r="D1935" s="46" t="n"/>
      <c r="E1935" s="55" t="n"/>
      <c r="F1935" s="46" t="n"/>
      <c r="G1935" s="46" t="n"/>
      <c r="H1935" s="46" t="n"/>
      <c r="I1935" s="46" t="n"/>
      <c r="J1935" s="46" t="n"/>
      <c r="K1935" s="46" t="n"/>
      <c r="L1935" s="46" t="n"/>
      <c r="M1935" s="51" t="str">
        <f>IF(NOT(ISNUMBER($E1935)),"",IF($C1935="Receipt",$E1935,IF($C1935="Shipment",-$E1935,IF($C1935="Adjustment",$E1935,0))))</f>
        <v/>
      </c>
      <c r="N1935" s="49" t="str">
        <f>IF($D1935="","",IFERROR(INDEX(Products!$B$2:$B$101,MATCH($D1935,Products!$A$2:$A$101,0))&amp;"","(not found)"))</f>
        <v/>
      </c>
      <c r="O1935" s="49" t="str">
        <f>IF($F1935="","",IFERROR(INDEX(Batches!$B$2:$B$301,MATCH($F1935,Batches!$A$2:$A$301,0))&amp;"","(not found)"))</f>
        <v/>
      </c>
      <c r="P1935" s="49" t="str">
        <f>IF(COUNTA($A1935:$L1935)=0,"",IF($A1935="","Missing: entry ID",IF(COUNTIF($A$2:$A$2001,$A1935)&gt;1,"Duplicate entry ID",IF(NOT(ISNUMBER($B1935)),"Missing or invalid: date",IF($C1935="","Missing: type",IF($D1935="","Missing: SKU",IF(NOT(ISNUMBER($E1935)),"Missing: qty",IF($F1935="","Missing: lot",IF($I1935="","Missing: source link",IF(COUNTIF(Config!$A$15:$A$34,$C1935)=0,"Unsupported type",IF(COUNTIF(Products!$A$2:$A$101,$D1935)=0,"Unknown SKU",IF(COUNTIFS(Batches!$A$2:$A$301,$F1935,Batches!$B$2:$B$301,$D1935)=0,"Unknown lot for this SKU",IF(AND($C1935="Adjustment",$G1935=""),"Missing: reason",IF(AND($G1935&lt;&gt;"",COUNTIF(Config!$B$15:$B$34,$G1935)=0),"Unsupported reason",IF(OR(INT($E1935)&lt;&gt;$E1935,AND(OR($C1935="Receipt",$C1935="Shipment"),$E1935&lt;=0),AND($C1935="Adjustment",$E1935=0)),"Invalid qty",IF($B1935&gt;Config!$B$4,"Date after the as-of date",IF($B1935&lt;Config!$B$5,"Date before the opening balance date","OK")))))))))))))))))</f>
        <v/>
      </c>
    </row>
    <row r="1936">
      <c r="A1936" s="46" t="n"/>
      <c r="B1936" s="54" t="n"/>
      <c r="C1936" s="46" t="n"/>
      <c r="D1936" s="46" t="n"/>
      <c r="E1936" s="55" t="n"/>
      <c r="F1936" s="46" t="n"/>
      <c r="G1936" s="46" t="n"/>
      <c r="H1936" s="46" t="n"/>
      <c r="I1936" s="46" t="n"/>
      <c r="J1936" s="46" t="n"/>
      <c r="K1936" s="46" t="n"/>
      <c r="L1936" s="46" t="n"/>
      <c r="M1936" s="51" t="str">
        <f>IF(NOT(ISNUMBER($E1936)),"",IF($C1936="Receipt",$E1936,IF($C1936="Shipment",-$E1936,IF($C1936="Adjustment",$E1936,0))))</f>
        <v/>
      </c>
      <c r="N1936" s="49" t="str">
        <f>IF($D1936="","",IFERROR(INDEX(Products!$B$2:$B$101,MATCH($D1936,Products!$A$2:$A$101,0))&amp;"","(not found)"))</f>
        <v/>
      </c>
      <c r="O1936" s="49" t="str">
        <f>IF($F1936="","",IFERROR(INDEX(Batches!$B$2:$B$301,MATCH($F1936,Batches!$A$2:$A$301,0))&amp;"","(not found)"))</f>
        <v/>
      </c>
      <c r="P1936" s="49" t="str">
        <f>IF(COUNTA($A1936:$L1936)=0,"",IF($A1936="","Missing: entry ID",IF(COUNTIF($A$2:$A$2001,$A1936)&gt;1,"Duplicate entry ID",IF(NOT(ISNUMBER($B1936)),"Missing or invalid: date",IF($C1936="","Missing: type",IF($D1936="","Missing: SKU",IF(NOT(ISNUMBER($E1936)),"Missing: qty",IF($F1936="","Missing: lot",IF($I1936="","Missing: source link",IF(COUNTIF(Config!$A$15:$A$34,$C1936)=0,"Unsupported type",IF(COUNTIF(Products!$A$2:$A$101,$D1936)=0,"Unknown SKU",IF(COUNTIFS(Batches!$A$2:$A$301,$F1936,Batches!$B$2:$B$301,$D1936)=0,"Unknown lot for this SKU",IF(AND($C1936="Adjustment",$G1936=""),"Missing: reason",IF(AND($G1936&lt;&gt;"",COUNTIF(Config!$B$15:$B$34,$G1936)=0),"Unsupported reason",IF(OR(INT($E1936)&lt;&gt;$E1936,AND(OR($C1936="Receipt",$C1936="Shipment"),$E1936&lt;=0),AND($C1936="Adjustment",$E1936=0)),"Invalid qty",IF($B1936&gt;Config!$B$4,"Date after the as-of date",IF($B1936&lt;Config!$B$5,"Date before the opening balance date","OK")))))))))))))))))</f>
        <v/>
      </c>
    </row>
    <row r="1937">
      <c r="A1937" s="46" t="n"/>
      <c r="B1937" s="54" t="n"/>
      <c r="C1937" s="46" t="n"/>
      <c r="D1937" s="46" t="n"/>
      <c r="E1937" s="55" t="n"/>
      <c r="F1937" s="46" t="n"/>
      <c r="G1937" s="46" t="n"/>
      <c r="H1937" s="46" t="n"/>
      <c r="I1937" s="46" t="n"/>
      <c r="J1937" s="46" t="n"/>
      <c r="K1937" s="46" t="n"/>
      <c r="L1937" s="46" t="n"/>
      <c r="M1937" s="51" t="str">
        <f>IF(NOT(ISNUMBER($E1937)),"",IF($C1937="Receipt",$E1937,IF($C1937="Shipment",-$E1937,IF($C1937="Adjustment",$E1937,0))))</f>
        <v/>
      </c>
      <c r="N1937" s="49" t="str">
        <f>IF($D1937="","",IFERROR(INDEX(Products!$B$2:$B$101,MATCH($D1937,Products!$A$2:$A$101,0))&amp;"","(not found)"))</f>
        <v/>
      </c>
      <c r="O1937" s="49" t="str">
        <f>IF($F1937="","",IFERROR(INDEX(Batches!$B$2:$B$301,MATCH($F1937,Batches!$A$2:$A$301,0))&amp;"","(not found)"))</f>
        <v/>
      </c>
      <c r="P1937" s="49" t="str">
        <f>IF(COUNTA($A1937:$L1937)=0,"",IF($A1937="","Missing: entry ID",IF(COUNTIF($A$2:$A$2001,$A1937)&gt;1,"Duplicate entry ID",IF(NOT(ISNUMBER($B1937)),"Missing or invalid: date",IF($C1937="","Missing: type",IF($D1937="","Missing: SKU",IF(NOT(ISNUMBER($E1937)),"Missing: qty",IF($F1937="","Missing: lot",IF($I1937="","Missing: source link",IF(COUNTIF(Config!$A$15:$A$34,$C1937)=0,"Unsupported type",IF(COUNTIF(Products!$A$2:$A$101,$D1937)=0,"Unknown SKU",IF(COUNTIFS(Batches!$A$2:$A$301,$F1937,Batches!$B$2:$B$301,$D1937)=0,"Unknown lot for this SKU",IF(AND($C1937="Adjustment",$G1937=""),"Missing: reason",IF(AND($G1937&lt;&gt;"",COUNTIF(Config!$B$15:$B$34,$G1937)=0),"Unsupported reason",IF(OR(INT($E1937)&lt;&gt;$E1937,AND(OR($C1937="Receipt",$C1937="Shipment"),$E1937&lt;=0),AND($C1937="Adjustment",$E1937=0)),"Invalid qty",IF($B1937&gt;Config!$B$4,"Date after the as-of date",IF($B1937&lt;Config!$B$5,"Date before the opening balance date","OK")))))))))))))))))</f>
        <v/>
      </c>
    </row>
    <row r="1938">
      <c r="A1938" s="46" t="n"/>
      <c r="B1938" s="54" t="n"/>
      <c r="C1938" s="46" t="n"/>
      <c r="D1938" s="46" t="n"/>
      <c r="E1938" s="55" t="n"/>
      <c r="F1938" s="46" t="n"/>
      <c r="G1938" s="46" t="n"/>
      <c r="H1938" s="46" t="n"/>
      <c r="I1938" s="46" t="n"/>
      <c r="J1938" s="46" t="n"/>
      <c r="K1938" s="46" t="n"/>
      <c r="L1938" s="46" t="n"/>
      <c r="M1938" s="51" t="str">
        <f>IF(NOT(ISNUMBER($E1938)),"",IF($C1938="Receipt",$E1938,IF($C1938="Shipment",-$E1938,IF($C1938="Adjustment",$E1938,0))))</f>
        <v/>
      </c>
      <c r="N1938" s="49" t="str">
        <f>IF($D1938="","",IFERROR(INDEX(Products!$B$2:$B$101,MATCH($D1938,Products!$A$2:$A$101,0))&amp;"","(not found)"))</f>
        <v/>
      </c>
      <c r="O1938" s="49" t="str">
        <f>IF($F1938="","",IFERROR(INDEX(Batches!$B$2:$B$301,MATCH($F1938,Batches!$A$2:$A$301,0))&amp;"","(not found)"))</f>
        <v/>
      </c>
      <c r="P1938" s="49" t="str">
        <f>IF(COUNTA($A1938:$L1938)=0,"",IF($A1938="","Missing: entry ID",IF(COUNTIF($A$2:$A$2001,$A1938)&gt;1,"Duplicate entry ID",IF(NOT(ISNUMBER($B1938)),"Missing or invalid: date",IF($C1938="","Missing: type",IF($D1938="","Missing: SKU",IF(NOT(ISNUMBER($E1938)),"Missing: qty",IF($F1938="","Missing: lot",IF($I1938="","Missing: source link",IF(COUNTIF(Config!$A$15:$A$34,$C1938)=0,"Unsupported type",IF(COUNTIF(Products!$A$2:$A$101,$D1938)=0,"Unknown SKU",IF(COUNTIFS(Batches!$A$2:$A$301,$F1938,Batches!$B$2:$B$301,$D1938)=0,"Unknown lot for this SKU",IF(AND($C1938="Adjustment",$G1938=""),"Missing: reason",IF(AND($G1938&lt;&gt;"",COUNTIF(Config!$B$15:$B$34,$G1938)=0),"Unsupported reason",IF(OR(INT($E1938)&lt;&gt;$E1938,AND(OR($C1938="Receipt",$C1938="Shipment"),$E1938&lt;=0),AND($C1938="Adjustment",$E1938=0)),"Invalid qty",IF($B1938&gt;Config!$B$4,"Date after the as-of date",IF($B1938&lt;Config!$B$5,"Date before the opening balance date","OK")))))))))))))))))</f>
        <v/>
      </c>
    </row>
    <row r="1939">
      <c r="A1939" s="46" t="n"/>
      <c r="B1939" s="54" t="n"/>
      <c r="C1939" s="46" t="n"/>
      <c r="D1939" s="46" t="n"/>
      <c r="E1939" s="55" t="n"/>
      <c r="F1939" s="46" t="n"/>
      <c r="G1939" s="46" t="n"/>
      <c r="H1939" s="46" t="n"/>
      <c r="I1939" s="46" t="n"/>
      <c r="J1939" s="46" t="n"/>
      <c r="K1939" s="46" t="n"/>
      <c r="L1939" s="46" t="n"/>
      <c r="M1939" s="51" t="str">
        <f>IF(NOT(ISNUMBER($E1939)),"",IF($C1939="Receipt",$E1939,IF($C1939="Shipment",-$E1939,IF($C1939="Adjustment",$E1939,0))))</f>
        <v/>
      </c>
      <c r="N1939" s="49" t="str">
        <f>IF($D1939="","",IFERROR(INDEX(Products!$B$2:$B$101,MATCH($D1939,Products!$A$2:$A$101,0))&amp;"","(not found)"))</f>
        <v/>
      </c>
      <c r="O1939" s="49" t="str">
        <f>IF($F1939="","",IFERROR(INDEX(Batches!$B$2:$B$301,MATCH($F1939,Batches!$A$2:$A$301,0))&amp;"","(not found)"))</f>
        <v/>
      </c>
      <c r="P1939" s="49" t="str">
        <f>IF(COUNTA($A1939:$L1939)=0,"",IF($A1939="","Missing: entry ID",IF(COUNTIF($A$2:$A$2001,$A1939)&gt;1,"Duplicate entry ID",IF(NOT(ISNUMBER($B1939)),"Missing or invalid: date",IF($C1939="","Missing: type",IF($D1939="","Missing: SKU",IF(NOT(ISNUMBER($E1939)),"Missing: qty",IF($F1939="","Missing: lot",IF($I1939="","Missing: source link",IF(COUNTIF(Config!$A$15:$A$34,$C1939)=0,"Unsupported type",IF(COUNTIF(Products!$A$2:$A$101,$D1939)=0,"Unknown SKU",IF(COUNTIFS(Batches!$A$2:$A$301,$F1939,Batches!$B$2:$B$301,$D1939)=0,"Unknown lot for this SKU",IF(AND($C1939="Adjustment",$G1939=""),"Missing: reason",IF(AND($G1939&lt;&gt;"",COUNTIF(Config!$B$15:$B$34,$G1939)=0),"Unsupported reason",IF(OR(INT($E1939)&lt;&gt;$E1939,AND(OR($C1939="Receipt",$C1939="Shipment"),$E1939&lt;=0),AND($C1939="Adjustment",$E1939=0)),"Invalid qty",IF($B1939&gt;Config!$B$4,"Date after the as-of date",IF($B1939&lt;Config!$B$5,"Date before the opening balance date","OK")))))))))))))))))</f>
        <v/>
      </c>
    </row>
    <row r="1940">
      <c r="A1940" s="46" t="n"/>
      <c r="B1940" s="54" t="n"/>
      <c r="C1940" s="46" t="n"/>
      <c r="D1940" s="46" t="n"/>
      <c r="E1940" s="55" t="n"/>
      <c r="F1940" s="46" t="n"/>
      <c r="G1940" s="46" t="n"/>
      <c r="H1940" s="46" t="n"/>
      <c r="I1940" s="46" t="n"/>
      <c r="J1940" s="46" t="n"/>
      <c r="K1940" s="46" t="n"/>
      <c r="L1940" s="46" t="n"/>
      <c r="M1940" s="51" t="str">
        <f>IF(NOT(ISNUMBER($E1940)),"",IF($C1940="Receipt",$E1940,IF($C1940="Shipment",-$E1940,IF($C1940="Adjustment",$E1940,0))))</f>
        <v/>
      </c>
      <c r="N1940" s="49" t="str">
        <f>IF($D1940="","",IFERROR(INDEX(Products!$B$2:$B$101,MATCH($D1940,Products!$A$2:$A$101,0))&amp;"","(not found)"))</f>
        <v/>
      </c>
      <c r="O1940" s="49" t="str">
        <f>IF($F1940="","",IFERROR(INDEX(Batches!$B$2:$B$301,MATCH($F1940,Batches!$A$2:$A$301,0))&amp;"","(not found)"))</f>
        <v/>
      </c>
      <c r="P1940" s="49" t="str">
        <f>IF(COUNTA($A1940:$L1940)=0,"",IF($A1940="","Missing: entry ID",IF(COUNTIF($A$2:$A$2001,$A1940)&gt;1,"Duplicate entry ID",IF(NOT(ISNUMBER($B1940)),"Missing or invalid: date",IF($C1940="","Missing: type",IF($D1940="","Missing: SKU",IF(NOT(ISNUMBER($E1940)),"Missing: qty",IF($F1940="","Missing: lot",IF($I1940="","Missing: source link",IF(COUNTIF(Config!$A$15:$A$34,$C1940)=0,"Unsupported type",IF(COUNTIF(Products!$A$2:$A$101,$D1940)=0,"Unknown SKU",IF(COUNTIFS(Batches!$A$2:$A$301,$F1940,Batches!$B$2:$B$301,$D1940)=0,"Unknown lot for this SKU",IF(AND($C1940="Adjustment",$G1940=""),"Missing: reason",IF(AND($G1940&lt;&gt;"",COUNTIF(Config!$B$15:$B$34,$G1940)=0),"Unsupported reason",IF(OR(INT($E1940)&lt;&gt;$E1940,AND(OR($C1940="Receipt",$C1940="Shipment"),$E1940&lt;=0),AND($C1940="Adjustment",$E1940=0)),"Invalid qty",IF($B1940&gt;Config!$B$4,"Date after the as-of date",IF($B1940&lt;Config!$B$5,"Date before the opening balance date","OK")))))))))))))))))</f>
        <v/>
      </c>
    </row>
    <row r="1941">
      <c r="A1941" s="46" t="n"/>
      <c r="B1941" s="54" t="n"/>
      <c r="C1941" s="46" t="n"/>
      <c r="D1941" s="46" t="n"/>
      <c r="E1941" s="55" t="n"/>
      <c r="F1941" s="46" t="n"/>
      <c r="G1941" s="46" t="n"/>
      <c r="H1941" s="46" t="n"/>
      <c r="I1941" s="46" t="n"/>
      <c r="J1941" s="46" t="n"/>
      <c r="K1941" s="46" t="n"/>
      <c r="L1941" s="46" t="n"/>
      <c r="M1941" s="51" t="str">
        <f>IF(NOT(ISNUMBER($E1941)),"",IF($C1941="Receipt",$E1941,IF($C1941="Shipment",-$E1941,IF($C1941="Adjustment",$E1941,0))))</f>
        <v/>
      </c>
      <c r="N1941" s="49" t="str">
        <f>IF($D1941="","",IFERROR(INDEX(Products!$B$2:$B$101,MATCH($D1941,Products!$A$2:$A$101,0))&amp;"","(not found)"))</f>
        <v/>
      </c>
      <c r="O1941" s="49" t="str">
        <f>IF($F1941="","",IFERROR(INDEX(Batches!$B$2:$B$301,MATCH($F1941,Batches!$A$2:$A$301,0))&amp;"","(not found)"))</f>
        <v/>
      </c>
      <c r="P1941" s="49" t="str">
        <f>IF(COUNTA($A1941:$L1941)=0,"",IF($A1941="","Missing: entry ID",IF(COUNTIF($A$2:$A$2001,$A1941)&gt;1,"Duplicate entry ID",IF(NOT(ISNUMBER($B1941)),"Missing or invalid: date",IF($C1941="","Missing: type",IF($D1941="","Missing: SKU",IF(NOT(ISNUMBER($E1941)),"Missing: qty",IF($F1941="","Missing: lot",IF($I1941="","Missing: source link",IF(COUNTIF(Config!$A$15:$A$34,$C1941)=0,"Unsupported type",IF(COUNTIF(Products!$A$2:$A$101,$D1941)=0,"Unknown SKU",IF(COUNTIFS(Batches!$A$2:$A$301,$F1941,Batches!$B$2:$B$301,$D1941)=0,"Unknown lot for this SKU",IF(AND($C1941="Adjustment",$G1941=""),"Missing: reason",IF(AND($G1941&lt;&gt;"",COUNTIF(Config!$B$15:$B$34,$G1941)=0),"Unsupported reason",IF(OR(INT($E1941)&lt;&gt;$E1941,AND(OR($C1941="Receipt",$C1941="Shipment"),$E1941&lt;=0),AND($C1941="Adjustment",$E1941=0)),"Invalid qty",IF($B1941&gt;Config!$B$4,"Date after the as-of date",IF($B1941&lt;Config!$B$5,"Date before the opening balance date","OK")))))))))))))))))</f>
        <v/>
      </c>
    </row>
    <row r="1942">
      <c r="A1942" s="46" t="n"/>
      <c r="B1942" s="54" t="n"/>
      <c r="C1942" s="46" t="n"/>
      <c r="D1942" s="46" t="n"/>
      <c r="E1942" s="55" t="n"/>
      <c r="F1942" s="46" t="n"/>
      <c r="G1942" s="46" t="n"/>
      <c r="H1942" s="46" t="n"/>
      <c r="I1942" s="46" t="n"/>
      <c r="J1942" s="46" t="n"/>
      <c r="K1942" s="46" t="n"/>
      <c r="L1942" s="46" t="n"/>
      <c r="M1942" s="51" t="str">
        <f>IF(NOT(ISNUMBER($E1942)),"",IF($C1942="Receipt",$E1942,IF($C1942="Shipment",-$E1942,IF($C1942="Adjustment",$E1942,0))))</f>
        <v/>
      </c>
      <c r="N1942" s="49" t="str">
        <f>IF($D1942="","",IFERROR(INDEX(Products!$B$2:$B$101,MATCH($D1942,Products!$A$2:$A$101,0))&amp;"","(not found)"))</f>
        <v/>
      </c>
      <c r="O1942" s="49" t="str">
        <f>IF($F1942="","",IFERROR(INDEX(Batches!$B$2:$B$301,MATCH($F1942,Batches!$A$2:$A$301,0))&amp;"","(not found)"))</f>
        <v/>
      </c>
      <c r="P1942" s="49" t="str">
        <f>IF(COUNTA($A1942:$L1942)=0,"",IF($A1942="","Missing: entry ID",IF(COUNTIF($A$2:$A$2001,$A1942)&gt;1,"Duplicate entry ID",IF(NOT(ISNUMBER($B1942)),"Missing or invalid: date",IF($C1942="","Missing: type",IF($D1942="","Missing: SKU",IF(NOT(ISNUMBER($E1942)),"Missing: qty",IF($F1942="","Missing: lot",IF($I1942="","Missing: source link",IF(COUNTIF(Config!$A$15:$A$34,$C1942)=0,"Unsupported type",IF(COUNTIF(Products!$A$2:$A$101,$D1942)=0,"Unknown SKU",IF(COUNTIFS(Batches!$A$2:$A$301,$F1942,Batches!$B$2:$B$301,$D1942)=0,"Unknown lot for this SKU",IF(AND($C1942="Adjustment",$G1942=""),"Missing: reason",IF(AND($G1942&lt;&gt;"",COUNTIF(Config!$B$15:$B$34,$G1942)=0),"Unsupported reason",IF(OR(INT($E1942)&lt;&gt;$E1942,AND(OR($C1942="Receipt",$C1942="Shipment"),$E1942&lt;=0),AND($C1942="Adjustment",$E1942=0)),"Invalid qty",IF($B1942&gt;Config!$B$4,"Date after the as-of date",IF($B1942&lt;Config!$B$5,"Date before the opening balance date","OK")))))))))))))))))</f>
        <v/>
      </c>
    </row>
    <row r="1943">
      <c r="A1943" s="46" t="n"/>
      <c r="B1943" s="54" t="n"/>
      <c r="C1943" s="46" t="n"/>
      <c r="D1943" s="46" t="n"/>
      <c r="E1943" s="55" t="n"/>
      <c r="F1943" s="46" t="n"/>
      <c r="G1943" s="46" t="n"/>
      <c r="H1943" s="46" t="n"/>
      <c r="I1943" s="46" t="n"/>
      <c r="J1943" s="46" t="n"/>
      <c r="K1943" s="46" t="n"/>
      <c r="L1943" s="46" t="n"/>
      <c r="M1943" s="51" t="str">
        <f>IF(NOT(ISNUMBER($E1943)),"",IF($C1943="Receipt",$E1943,IF($C1943="Shipment",-$E1943,IF($C1943="Adjustment",$E1943,0))))</f>
        <v/>
      </c>
      <c r="N1943" s="49" t="str">
        <f>IF($D1943="","",IFERROR(INDEX(Products!$B$2:$B$101,MATCH($D1943,Products!$A$2:$A$101,0))&amp;"","(not found)"))</f>
        <v/>
      </c>
      <c r="O1943" s="49" t="str">
        <f>IF($F1943="","",IFERROR(INDEX(Batches!$B$2:$B$301,MATCH($F1943,Batches!$A$2:$A$301,0))&amp;"","(not found)"))</f>
        <v/>
      </c>
      <c r="P1943" s="49" t="str">
        <f>IF(COUNTA($A1943:$L1943)=0,"",IF($A1943="","Missing: entry ID",IF(COUNTIF($A$2:$A$2001,$A1943)&gt;1,"Duplicate entry ID",IF(NOT(ISNUMBER($B1943)),"Missing or invalid: date",IF($C1943="","Missing: type",IF($D1943="","Missing: SKU",IF(NOT(ISNUMBER($E1943)),"Missing: qty",IF($F1943="","Missing: lot",IF($I1943="","Missing: source link",IF(COUNTIF(Config!$A$15:$A$34,$C1943)=0,"Unsupported type",IF(COUNTIF(Products!$A$2:$A$101,$D1943)=0,"Unknown SKU",IF(COUNTIFS(Batches!$A$2:$A$301,$F1943,Batches!$B$2:$B$301,$D1943)=0,"Unknown lot for this SKU",IF(AND($C1943="Adjustment",$G1943=""),"Missing: reason",IF(AND($G1943&lt;&gt;"",COUNTIF(Config!$B$15:$B$34,$G1943)=0),"Unsupported reason",IF(OR(INT($E1943)&lt;&gt;$E1943,AND(OR($C1943="Receipt",$C1943="Shipment"),$E1943&lt;=0),AND($C1943="Adjustment",$E1943=0)),"Invalid qty",IF($B1943&gt;Config!$B$4,"Date after the as-of date",IF($B1943&lt;Config!$B$5,"Date before the opening balance date","OK")))))))))))))))))</f>
        <v/>
      </c>
    </row>
    <row r="1944">
      <c r="A1944" s="46" t="n"/>
      <c r="B1944" s="54" t="n"/>
      <c r="C1944" s="46" t="n"/>
      <c r="D1944" s="46" t="n"/>
      <c r="E1944" s="55" t="n"/>
      <c r="F1944" s="46" t="n"/>
      <c r="G1944" s="46" t="n"/>
      <c r="H1944" s="46" t="n"/>
      <c r="I1944" s="46" t="n"/>
      <c r="J1944" s="46" t="n"/>
      <c r="K1944" s="46" t="n"/>
      <c r="L1944" s="46" t="n"/>
      <c r="M1944" s="51" t="str">
        <f>IF(NOT(ISNUMBER($E1944)),"",IF($C1944="Receipt",$E1944,IF($C1944="Shipment",-$E1944,IF($C1944="Adjustment",$E1944,0))))</f>
        <v/>
      </c>
      <c r="N1944" s="49" t="str">
        <f>IF($D1944="","",IFERROR(INDEX(Products!$B$2:$B$101,MATCH($D1944,Products!$A$2:$A$101,0))&amp;"","(not found)"))</f>
        <v/>
      </c>
      <c r="O1944" s="49" t="str">
        <f>IF($F1944="","",IFERROR(INDEX(Batches!$B$2:$B$301,MATCH($F1944,Batches!$A$2:$A$301,0))&amp;"","(not found)"))</f>
        <v/>
      </c>
      <c r="P1944" s="49" t="str">
        <f>IF(COUNTA($A1944:$L1944)=0,"",IF($A1944="","Missing: entry ID",IF(COUNTIF($A$2:$A$2001,$A1944)&gt;1,"Duplicate entry ID",IF(NOT(ISNUMBER($B1944)),"Missing or invalid: date",IF($C1944="","Missing: type",IF($D1944="","Missing: SKU",IF(NOT(ISNUMBER($E1944)),"Missing: qty",IF($F1944="","Missing: lot",IF($I1944="","Missing: source link",IF(COUNTIF(Config!$A$15:$A$34,$C1944)=0,"Unsupported type",IF(COUNTIF(Products!$A$2:$A$101,$D1944)=0,"Unknown SKU",IF(COUNTIFS(Batches!$A$2:$A$301,$F1944,Batches!$B$2:$B$301,$D1944)=0,"Unknown lot for this SKU",IF(AND($C1944="Adjustment",$G1944=""),"Missing: reason",IF(AND($G1944&lt;&gt;"",COUNTIF(Config!$B$15:$B$34,$G1944)=0),"Unsupported reason",IF(OR(INT($E1944)&lt;&gt;$E1944,AND(OR($C1944="Receipt",$C1944="Shipment"),$E1944&lt;=0),AND($C1944="Adjustment",$E1944=0)),"Invalid qty",IF($B1944&gt;Config!$B$4,"Date after the as-of date",IF($B1944&lt;Config!$B$5,"Date before the opening balance date","OK")))))))))))))))))</f>
        <v/>
      </c>
    </row>
    <row r="1945">
      <c r="A1945" s="46" t="n"/>
      <c r="B1945" s="54" t="n"/>
      <c r="C1945" s="46" t="n"/>
      <c r="D1945" s="46" t="n"/>
      <c r="E1945" s="55" t="n"/>
      <c r="F1945" s="46" t="n"/>
      <c r="G1945" s="46" t="n"/>
      <c r="H1945" s="46" t="n"/>
      <c r="I1945" s="46" t="n"/>
      <c r="J1945" s="46" t="n"/>
      <c r="K1945" s="46" t="n"/>
      <c r="L1945" s="46" t="n"/>
      <c r="M1945" s="51" t="str">
        <f>IF(NOT(ISNUMBER($E1945)),"",IF($C1945="Receipt",$E1945,IF($C1945="Shipment",-$E1945,IF($C1945="Adjustment",$E1945,0))))</f>
        <v/>
      </c>
      <c r="N1945" s="49" t="str">
        <f>IF($D1945="","",IFERROR(INDEX(Products!$B$2:$B$101,MATCH($D1945,Products!$A$2:$A$101,0))&amp;"","(not found)"))</f>
        <v/>
      </c>
      <c r="O1945" s="49" t="str">
        <f>IF($F1945="","",IFERROR(INDEX(Batches!$B$2:$B$301,MATCH($F1945,Batches!$A$2:$A$301,0))&amp;"","(not found)"))</f>
        <v/>
      </c>
      <c r="P1945" s="49" t="str">
        <f>IF(COUNTA($A1945:$L1945)=0,"",IF($A1945="","Missing: entry ID",IF(COUNTIF($A$2:$A$2001,$A1945)&gt;1,"Duplicate entry ID",IF(NOT(ISNUMBER($B1945)),"Missing or invalid: date",IF($C1945="","Missing: type",IF($D1945="","Missing: SKU",IF(NOT(ISNUMBER($E1945)),"Missing: qty",IF($F1945="","Missing: lot",IF($I1945="","Missing: source link",IF(COUNTIF(Config!$A$15:$A$34,$C1945)=0,"Unsupported type",IF(COUNTIF(Products!$A$2:$A$101,$D1945)=0,"Unknown SKU",IF(COUNTIFS(Batches!$A$2:$A$301,$F1945,Batches!$B$2:$B$301,$D1945)=0,"Unknown lot for this SKU",IF(AND($C1945="Adjustment",$G1945=""),"Missing: reason",IF(AND($G1945&lt;&gt;"",COUNTIF(Config!$B$15:$B$34,$G1945)=0),"Unsupported reason",IF(OR(INT($E1945)&lt;&gt;$E1945,AND(OR($C1945="Receipt",$C1945="Shipment"),$E1945&lt;=0),AND($C1945="Adjustment",$E1945=0)),"Invalid qty",IF($B1945&gt;Config!$B$4,"Date after the as-of date",IF($B1945&lt;Config!$B$5,"Date before the opening balance date","OK")))))))))))))))))</f>
        <v/>
      </c>
    </row>
    <row r="1946">
      <c r="A1946" s="46" t="n"/>
      <c r="B1946" s="54" t="n"/>
      <c r="C1946" s="46" t="n"/>
      <c r="D1946" s="46" t="n"/>
      <c r="E1946" s="55" t="n"/>
      <c r="F1946" s="46" t="n"/>
      <c r="G1946" s="46" t="n"/>
      <c r="H1946" s="46" t="n"/>
      <c r="I1946" s="46" t="n"/>
      <c r="J1946" s="46" t="n"/>
      <c r="K1946" s="46" t="n"/>
      <c r="L1946" s="46" t="n"/>
      <c r="M1946" s="51" t="str">
        <f>IF(NOT(ISNUMBER($E1946)),"",IF($C1946="Receipt",$E1946,IF($C1946="Shipment",-$E1946,IF($C1946="Adjustment",$E1946,0))))</f>
        <v/>
      </c>
      <c r="N1946" s="49" t="str">
        <f>IF($D1946="","",IFERROR(INDEX(Products!$B$2:$B$101,MATCH($D1946,Products!$A$2:$A$101,0))&amp;"","(not found)"))</f>
        <v/>
      </c>
      <c r="O1946" s="49" t="str">
        <f>IF($F1946="","",IFERROR(INDEX(Batches!$B$2:$B$301,MATCH($F1946,Batches!$A$2:$A$301,0))&amp;"","(not found)"))</f>
        <v/>
      </c>
      <c r="P1946" s="49" t="str">
        <f>IF(COUNTA($A1946:$L1946)=0,"",IF($A1946="","Missing: entry ID",IF(COUNTIF($A$2:$A$2001,$A1946)&gt;1,"Duplicate entry ID",IF(NOT(ISNUMBER($B1946)),"Missing or invalid: date",IF($C1946="","Missing: type",IF($D1946="","Missing: SKU",IF(NOT(ISNUMBER($E1946)),"Missing: qty",IF($F1946="","Missing: lot",IF($I1946="","Missing: source link",IF(COUNTIF(Config!$A$15:$A$34,$C1946)=0,"Unsupported type",IF(COUNTIF(Products!$A$2:$A$101,$D1946)=0,"Unknown SKU",IF(COUNTIFS(Batches!$A$2:$A$301,$F1946,Batches!$B$2:$B$301,$D1946)=0,"Unknown lot for this SKU",IF(AND($C1946="Adjustment",$G1946=""),"Missing: reason",IF(AND($G1946&lt;&gt;"",COUNTIF(Config!$B$15:$B$34,$G1946)=0),"Unsupported reason",IF(OR(INT($E1946)&lt;&gt;$E1946,AND(OR($C1946="Receipt",$C1946="Shipment"),$E1946&lt;=0),AND($C1946="Adjustment",$E1946=0)),"Invalid qty",IF($B1946&gt;Config!$B$4,"Date after the as-of date",IF($B1946&lt;Config!$B$5,"Date before the opening balance date","OK")))))))))))))))))</f>
        <v/>
      </c>
    </row>
    <row r="1947">
      <c r="A1947" s="46" t="n"/>
      <c r="B1947" s="54" t="n"/>
      <c r="C1947" s="46" t="n"/>
      <c r="D1947" s="46" t="n"/>
      <c r="E1947" s="55" t="n"/>
      <c r="F1947" s="46" t="n"/>
      <c r="G1947" s="46" t="n"/>
      <c r="H1947" s="46" t="n"/>
      <c r="I1947" s="46" t="n"/>
      <c r="J1947" s="46" t="n"/>
      <c r="K1947" s="46" t="n"/>
      <c r="L1947" s="46" t="n"/>
      <c r="M1947" s="51" t="str">
        <f>IF(NOT(ISNUMBER($E1947)),"",IF($C1947="Receipt",$E1947,IF($C1947="Shipment",-$E1947,IF($C1947="Adjustment",$E1947,0))))</f>
        <v/>
      </c>
      <c r="N1947" s="49" t="str">
        <f>IF($D1947="","",IFERROR(INDEX(Products!$B$2:$B$101,MATCH($D1947,Products!$A$2:$A$101,0))&amp;"","(not found)"))</f>
        <v/>
      </c>
      <c r="O1947" s="49" t="str">
        <f>IF($F1947="","",IFERROR(INDEX(Batches!$B$2:$B$301,MATCH($F1947,Batches!$A$2:$A$301,0))&amp;"","(not found)"))</f>
        <v/>
      </c>
      <c r="P1947" s="49" t="str">
        <f>IF(COUNTA($A1947:$L1947)=0,"",IF($A1947="","Missing: entry ID",IF(COUNTIF($A$2:$A$2001,$A1947)&gt;1,"Duplicate entry ID",IF(NOT(ISNUMBER($B1947)),"Missing or invalid: date",IF($C1947="","Missing: type",IF($D1947="","Missing: SKU",IF(NOT(ISNUMBER($E1947)),"Missing: qty",IF($F1947="","Missing: lot",IF($I1947="","Missing: source link",IF(COUNTIF(Config!$A$15:$A$34,$C1947)=0,"Unsupported type",IF(COUNTIF(Products!$A$2:$A$101,$D1947)=0,"Unknown SKU",IF(COUNTIFS(Batches!$A$2:$A$301,$F1947,Batches!$B$2:$B$301,$D1947)=0,"Unknown lot for this SKU",IF(AND($C1947="Adjustment",$G1947=""),"Missing: reason",IF(AND($G1947&lt;&gt;"",COUNTIF(Config!$B$15:$B$34,$G1947)=0),"Unsupported reason",IF(OR(INT($E1947)&lt;&gt;$E1947,AND(OR($C1947="Receipt",$C1947="Shipment"),$E1947&lt;=0),AND($C1947="Adjustment",$E1947=0)),"Invalid qty",IF($B1947&gt;Config!$B$4,"Date after the as-of date",IF($B1947&lt;Config!$B$5,"Date before the opening balance date","OK")))))))))))))))))</f>
        <v/>
      </c>
    </row>
    <row r="1948">
      <c r="A1948" s="46" t="n"/>
      <c r="B1948" s="54" t="n"/>
      <c r="C1948" s="46" t="n"/>
      <c r="D1948" s="46" t="n"/>
      <c r="E1948" s="55" t="n"/>
      <c r="F1948" s="46" t="n"/>
      <c r="G1948" s="46" t="n"/>
      <c r="H1948" s="46" t="n"/>
      <c r="I1948" s="46" t="n"/>
      <c r="J1948" s="46" t="n"/>
      <c r="K1948" s="46" t="n"/>
      <c r="L1948" s="46" t="n"/>
      <c r="M1948" s="51" t="str">
        <f>IF(NOT(ISNUMBER($E1948)),"",IF($C1948="Receipt",$E1948,IF($C1948="Shipment",-$E1948,IF($C1948="Adjustment",$E1948,0))))</f>
        <v/>
      </c>
      <c r="N1948" s="49" t="str">
        <f>IF($D1948="","",IFERROR(INDEX(Products!$B$2:$B$101,MATCH($D1948,Products!$A$2:$A$101,0))&amp;"","(not found)"))</f>
        <v/>
      </c>
      <c r="O1948" s="49" t="str">
        <f>IF($F1948="","",IFERROR(INDEX(Batches!$B$2:$B$301,MATCH($F1948,Batches!$A$2:$A$301,0))&amp;"","(not found)"))</f>
        <v/>
      </c>
      <c r="P1948" s="49" t="str">
        <f>IF(COUNTA($A1948:$L1948)=0,"",IF($A1948="","Missing: entry ID",IF(COUNTIF($A$2:$A$2001,$A1948)&gt;1,"Duplicate entry ID",IF(NOT(ISNUMBER($B1948)),"Missing or invalid: date",IF($C1948="","Missing: type",IF($D1948="","Missing: SKU",IF(NOT(ISNUMBER($E1948)),"Missing: qty",IF($F1948="","Missing: lot",IF($I1948="","Missing: source link",IF(COUNTIF(Config!$A$15:$A$34,$C1948)=0,"Unsupported type",IF(COUNTIF(Products!$A$2:$A$101,$D1948)=0,"Unknown SKU",IF(COUNTIFS(Batches!$A$2:$A$301,$F1948,Batches!$B$2:$B$301,$D1948)=0,"Unknown lot for this SKU",IF(AND($C1948="Adjustment",$G1948=""),"Missing: reason",IF(AND($G1948&lt;&gt;"",COUNTIF(Config!$B$15:$B$34,$G1948)=0),"Unsupported reason",IF(OR(INT($E1948)&lt;&gt;$E1948,AND(OR($C1948="Receipt",$C1948="Shipment"),$E1948&lt;=0),AND($C1948="Adjustment",$E1948=0)),"Invalid qty",IF($B1948&gt;Config!$B$4,"Date after the as-of date",IF($B1948&lt;Config!$B$5,"Date before the opening balance date","OK")))))))))))))))))</f>
        <v/>
      </c>
    </row>
    <row r="1949">
      <c r="A1949" s="46" t="n"/>
      <c r="B1949" s="54" t="n"/>
      <c r="C1949" s="46" t="n"/>
      <c r="D1949" s="46" t="n"/>
      <c r="E1949" s="55" t="n"/>
      <c r="F1949" s="46" t="n"/>
      <c r="G1949" s="46" t="n"/>
      <c r="H1949" s="46" t="n"/>
      <c r="I1949" s="46" t="n"/>
      <c r="J1949" s="46" t="n"/>
      <c r="K1949" s="46" t="n"/>
      <c r="L1949" s="46" t="n"/>
      <c r="M1949" s="51" t="str">
        <f>IF(NOT(ISNUMBER($E1949)),"",IF($C1949="Receipt",$E1949,IF($C1949="Shipment",-$E1949,IF($C1949="Adjustment",$E1949,0))))</f>
        <v/>
      </c>
      <c r="N1949" s="49" t="str">
        <f>IF($D1949="","",IFERROR(INDEX(Products!$B$2:$B$101,MATCH($D1949,Products!$A$2:$A$101,0))&amp;"","(not found)"))</f>
        <v/>
      </c>
      <c r="O1949" s="49" t="str">
        <f>IF($F1949="","",IFERROR(INDEX(Batches!$B$2:$B$301,MATCH($F1949,Batches!$A$2:$A$301,0))&amp;"","(not found)"))</f>
        <v/>
      </c>
      <c r="P1949" s="49" t="str">
        <f>IF(COUNTA($A1949:$L1949)=0,"",IF($A1949="","Missing: entry ID",IF(COUNTIF($A$2:$A$2001,$A1949)&gt;1,"Duplicate entry ID",IF(NOT(ISNUMBER($B1949)),"Missing or invalid: date",IF($C1949="","Missing: type",IF($D1949="","Missing: SKU",IF(NOT(ISNUMBER($E1949)),"Missing: qty",IF($F1949="","Missing: lot",IF($I1949="","Missing: source link",IF(COUNTIF(Config!$A$15:$A$34,$C1949)=0,"Unsupported type",IF(COUNTIF(Products!$A$2:$A$101,$D1949)=0,"Unknown SKU",IF(COUNTIFS(Batches!$A$2:$A$301,$F1949,Batches!$B$2:$B$301,$D1949)=0,"Unknown lot for this SKU",IF(AND($C1949="Adjustment",$G1949=""),"Missing: reason",IF(AND($G1949&lt;&gt;"",COUNTIF(Config!$B$15:$B$34,$G1949)=0),"Unsupported reason",IF(OR(INT($E1949)&lt;&gt;$E1949,AND(OR($C1949="Receipt",$C1949="Shipment"),$E1949&lt;=0),AND($C1949="Adjustment",$E1949=0)),"Invalid qty",IF($B1949&gt;Config!$B$4,"Date after the as-of date",IF($B1949&lt;Config!$B$5,"Date before the opening balance date","OK")))))))))))))))))</f>
        <v/>
      </c>
    </row>
    <row r="1950">
      <c r="A1950" s="46" t="n"/>
      <c r="B1950" s="54" t="n"/>
      <c r="C1950" s="46" t="n"/>
      <c r="D1950" s="46" t="n"/>
      <c r="E1950" s="55" t="n"/>
      <c r="F1950" s="46" t="n"/>
      <c r="G1950" s="46" t="n"/>
      <c r="H1950" s="46" t="n"/>
      <c r="I1950" s="46" t="n"/>
      <c r="J1950" s="46" t="n"/>
      <c r="K1950" s="46" t="n"/>
      <c r="L1950" s="46" t="n"/>
      <c r="M1950" s="51" t="str">
        <f>IF(NOT(ISNUMBER($E1950)),"",IF($C1950="Receipt",$E1950,IF($C1950="Shipment",-$E1950,IF($C1950="Adjustment",$E1950,0))))</f>
        <v/>
      </c>
      <c r="N1950" s="49" t="str">
        <f>IF($D1950="","",IFERROR(INDEX(Products!$B$2:$B$101,MATCH($D1950,Products!$A$2:$A$101,0))&amp;"","(not found)"))</f>
        <v/>
      </c>
      <c r="O1950" s="49" t="str">
        <f>IF($F1950="","",IFERROR(INDEX(Batches!$B$2:$B$301,MATCH($F1950,Batches!$A$2:$A$301,0))&amp;"","(not found)"))</f>
        <v/>
      </c>
      <c r="P1950" s="49" t="str">
        <f>IF(COUNTA($A1950:$L1950)=0,"",IF($A1950="","Missing: entry ID",IF(COUNTIF($A$2:$A$2001,$A1950)&gt;1,"Duplicate entry ID",IF(NOT(ISNUMBER($B1950)),"Missing or invalid: date",IF($C1950="","Missing: type",IF($D1950="","Missing: SKU",IF(NOT(ISNUMBER($E1950)),"Missing: qty",IF($F1950="","Missing: lot",IF($I1950="","Missing: source link",IF(COUNTIF(Config!$A$15:$A$34,$C1950)=0,"Unsupported type",IF(COUNTIF(Products!$A$2:$A$101,$D1950)=0,"Unknown SKU",IF(COUNTIFS(Batches!$A$2:$A$301,$F1950,Batches!$B$2:$B$301,$D1950)=0,"Unknown lot for this SKU",IF(AND($C1950="Adjustment",$G1950=""),"Missing: reason",IF(AND($G1950&lt;&gt;"",COUNTIF(Config!$B$15:$B$34,$G1950)=0),"Unsupported reason",IF(OR(INT($E1950)&lt;&gt;$E1950,AND(OR($C1950="Receipt",$C1950="Shipment"),$E1950&lt;=0),AND($C1950="Adjustment",$E1950=0)),"Invalid qty",IF($B1950&gt;Config!$B$4,"Date after the as-of date",IF($B1950&lt;Config!$B$5,"Date before the opening balance date","OK")))))))))))))))))</f>
        <v/>
      </c>
    </row>
    <row r="1951">
      <c r="A1951" s="46" t="n"/>
      <c r="B1951" s="54" t="n"/>
      <c r="C1951" s="46" t="n"/>
      <c r="D1951" s="46" t="n"/>
      <c r="E1951" s="55" t="n"/>
      <c r="F1951" s="46" t="n"/>
      <c r="G1951" s="46" t="n"/>
      <c r="H1951" s="46" t="n"/>
      <c r="I1951" s="46" t="n"/>
      <c r="J1951" s="46" t="n"/>
      <c r="K1951" s="46" t="n"/>
      <c r="L1951" s="46" t="n"/>
      <c r="M1951" s="51" t="str">
        <f>IF(NOT(ISNUMBER($E1951)),"",IF($C1951="Receipt",$E1951,IF($C1951="Shipment",-$E1951,IF($C1951="Adjustment",$E1951,0))))</f>
        <v/>
      </c>
      <c r="N1951" s="49" t="str">
        <f>IF($D1951="","",IFERROR(INDEX(Products!$B$2:$B$101,MATCH($D1951,Products!$A$2:$A$101,0))&amp;"","(not found)"))</f>
        <v/>
      </c>
      <c r="O1951" s="49" t="str">
        <f>IF($F1951="","",IFERROR(INDEX(Batches!$B$2:$B$301,MATCH($F1951,Batches!$A$2:$A$301,0))&amp;"","(not found)"))</f>
        <v/>
      </c>
      <c r="P1951" s="49" t="str">
        <f>IF(COUNTA($A1951:$L1951)=0,"",IF($A1951="","Missing: entry ID",IF(COUNTIF($A$2:$A$2001,$A1951)&gt;1,"Duplicate entry ID",IF(NOT(ISNUMBER($B1951)),"Missing or invalid: date",IF($C1951="","Missing: type",IF($D1951="","Missing: SKU",IF(NOT(ISNUMBER($E1951)),"Missing: qty",IF($F1951="","Missing: lot",IF($I1951="","Missing: source link",IF(COUNTIF(Config!$A$15:$A$34,$C1951)=0,"Unsupported type",IF(COUNTIF(Products!$A$2:$A$101,$D1951)=0,"Unknown SKU",IF(COUNTIFS(Batches!$A$2:$A$301,$F1951,Batches!$B$2:$B$301,$D1951)=0,"Unknown lot for this SKU",IF(AND($C1951="Adjustment",$G1951=""),"Missing: reason",IF(AND($G1951&lt;&gt;"",COUNTIF(Config!$B$15:$B$34,$G1951)=0),"Unsupported reason",IF(OR(INT($E1951)&lt;&gt;$E1951,AND(OR($C1951="Receipt",$C1951="Shipment"),$E1951&lt;=0),AND($C1951="Adjustment",$E1951=0)),"Invalid qty",IF($B1951&gt;Config!$B$4,"Date after the as-of date",IF($B1951&lt;Config!$B$5,"Date before the opening balance date","OK")))))))))))))))))</f>
        <v/>
      </c>
    </row>
    <row r="1952">
      <c r="A1952" s="46" t="n"/>
      <c r="B1952" s="54" t="n"/>
      <c r="C1952" s="46" t="n"/>
      <c r="D1952" s="46" t="n"/>
      <c r="E1952" s="55" t="n"/>
      <c r="F1952" s="46" t="n"/>
      <c r="G1952" s="46" t="n"/>
      <c r="H1952" s="46" t="n"/>
      <c r="I1952" s="46" t="n"/>
      <c r="J1952" s="46" t="n"/>
      <c r="K1952" s="46" t="n"/>
      <c r="L1952" s="46" t="n"/>
      <c r="M1952" s="51" t="str">
        <f>IF(NOT(ISNUMBER($E1952)),"",IF($C1952="Receipt",$E1952,IF($C1952="Shipment",-$E1952,IF($C1952="Adjustment",$E1952,0))))</f>
        <v/>
      </c>
      <c r="N1952" s="49" t="str">
        <f>IF($D1952="","",IFERROR(INDEX(Products!$B$2:$B$101,MATCH($D1952,Products!$A$2:$A$101,0))&amp;"","(not found)"))</f>
        <v/>
      </c>
      <c r="O1952" s="49" t="str">
        <f>IF($F1952="","",IFERROR(INDEX(Batches!$B$2:$B$301,MATCH($F1952,Batches!$A$2:$A$301,0))&amp;"","(not found)"))</f>
        <v/>
      </c>
      <c r="P1952" s="49" t="str">
        <f>IF(COUNTA($A1952:$L1952)=0,"",IF($A1952="","Missing: entry ID",IF(COUNTIF($A$2:$A$2001,$A1952)&gt;1,"Duplicate entry ID",IF(NOT(ISNUMBER($B1952)),"Missing or invalid: date",IF($C1952="","Missing: type",IF($D1952="","Missing: SKU",IF(NOT(ISNUMBER($E1952)),"Missing: qty",IF($F1952="","Missing: lot",IF($I1952="","Missing: source link",IF(COUNTIF(Config!$A$15:$A$34,$C1952)=0,"Unsupported type",IF(COUNTIF(Products!$A$2:$A$101,$D1952)=0,"Unknown SKU",IF(COUNTIFS(Batches!$A$2:$A$301,$F1952,Batches!$B$2:$B$301,$D1952)=0,"Unknown lot for this SKU",IF(AND($C1952="Adjustment",$G1952=""),"Missing: reason",IF(AND($G1952&lt;&gt;"",COUNTIF(Config!$B$15:$B$34,$G1952)=0),"Unsupported reason",IF(OR(INT($E1952)&lt;&gt;$E1952,AND(OR($C1952="Receipt",$C1952="Shipment"),$E1952&lt;=0),AND($C1952="Adjustment",$E1952=0)),"Invalid qty",IF($B1952&gt;Config!$B$4,"Date after the as-of date",IF($B1952&lt;Config!$B$5,"Date before the opening balance date","OK")))))))))))))))))</f>
        <v/>
      </c>
    </row>
    <row r="1953">
      <c r="A1953" s="46" t="n"/>
      <c r="B1953" s="54" t="n"/>
      <c r="C1953" s="46" t="n"/>
      <c r="D1953" s="46" t="n"/>
      <c r="E1953" s="55" t="n"/>
      <c r="F1953" s="46" t="n"/>
      <c r="G1953" s="46" t="n"/>
      <c r="H1953" s="46" t="n"/>
      <c r="I1953" s="46" t="n"/>
      <c r="J1953" s="46" t="n"/>
      <c r="K1953" s="46" t="n"/>
      <c r="L1953" s="46" t="n"/>
      <c r="M1953" s="51" t="str">
        <f>IF(NOT(ISNUMBER($E1953)),"",IF($C1953="Receipt",$E1953,IF($C1953="Shipment",-$E1953,IF($C1953="Adjustment",$E1953,0))))</f>
        <v/>
      </c>
      <c r="N1953" s="49" t="str">
        <f>IF($D1953="","",IFERROR(INDEX(Products!$B$2:$B$101,MATCH($D1953,Products!$A$2:$A$101,0))&amp;"","(not found)"))</f>
        <v/>
      </c>
      <c r="O1953" s="49" t="str">
        <f>IF($F1953="","",IFERROR(INDEX(Batches!$B$2:$B$301,MATCH($F1953,Batches!$A$2:$A$301,0))&amp;"","(not found)"))</f>
        <v/>
      </c>
      <c r="P1953" s="49" t="str">
        <f>IF(COUNTA($A1953:$L1953)=0,"",IF($A1953="","Missing: entry ID",IF(COUNTIF($A$2:$A$2001,$A1953)&gt;1,"Duplicate entry ID",IF(NOT(ISNUMBER($B1953)),"Missing or invalid: date",IF($C1953="","Missing: type",IF($D1953="","Missing: SKU",IF(NOT(ISNUMBER($E1953)),"Missing: qty",IF($F1953="","Missing: lot",IF($I1953="","Missing: source link",IF(COUNTIF(Config!$A$15:$A$34,$C1953)=0,"Unsupported type",IF(COUNTIF(Products!$A$2:$A$101,$D1953)=0,"Unknown SKU",IF(COUNTIFS(Batches!$A$2:$A$301,$F1953,Batches!$B$2:$B$301,$D1953)=0,"Unknown lot for this SKU",IF(AND($C1953="Adjustment",$G1953=""),"Missing: reason",IF(AND($G1953&lt;&gt;"",COUNTIF(Config!$B$15:$B$34,$G1953)=0),"Unsupported reason",IF(OR(INT($E1953)&lt;&gt;$E1953,AND(OR($C1953="Receipt",$C1953="Shipment"),$E1953&lt;=0),AND($C1953="Adjustment",$E1953=0)),"Invalid qty",IF($B1953&gt;Config!$B$4,"Date after the as-of date",IF($B1953&lt;Config!$B$5,"Date before the opening balance date","OK")))))))))))))))))</f>
        <v/>
      </c>
    </row>
    <row r="1954">
      <c r="A1954" s="46" t="n"/>
      <c r="B1954" s="54" t="n"/>
      <c r="C1954" s="46" t="n"/>
      <c r="D1954" s="46" t="n"/>
      <c r="E1954" s="55" t="n"/>
      <c r="F1954" s="46" t="n"/>
      <c r="G1954" s="46" t="n"/>
      <c r="H1954" s="46" t="n"/>
      <c r="I1954" s="46" t="n"/>
      <c r="J1954" s="46" t="n"/>
      <c r="K1954" s="46" t="n"/>
      <c r="L1954" s="46" t="n"/>
      <c r="M1954" s="51" t="str">
        <f>IF(NOT(ISNUMBER($E1954)),"",IF($C1954="Receipt",$E1954,IF($C1954="Shipment",-$E1954,IF($C1954="Adjustment",$E1954,0))))</f>
        <v/>
      </c>
      <c r="N1954" s="49" t="str">
        <f>IF($D1954="","",IFERROR(INDEX(Products!$B$2:$B$101,MATCH($D1954,Products!$A$2:$A$101,0))&amp;"","(not found)"))</f>
        <v/>
      </c>
      <c r="O1954" s="49" t="str">
        <f>IF($F1954="","",IFERROR(INDEX(Batches!$B$2:$B$301,MATCH($F1954,Batches!$A$2:$A$301,0))&amp;"","(not found)"))</f>
        <v/>
      </c>
      <c r="P1954" s="49" t="str">
        <f>IF(COUNTA($A1954:$L1954)=0,"",IF($A1954="","Missing: entry ID",IF(COUNTIF($A$2:$A$2001,$A1954)&gt;1,"Duplicate entry ID",IF(NOT(ISNUMBER($B1954)),"Missing or invalid: date",IF($C1954="","Missing: type",IF($D1954="","Missing: SKU",IF(NOT(ISNUMBER($E1954)),"Missing: qty",IF($F1954="","Missing: lot",IF($I1954="","Missing: source link",IF(COUNTIF(Config!$A$15:$A$34,$C1954)=0,"Unsupported type",IF(COUNTIF(Products!$A$2:$A$101,$D1954)=0,"Unknown SKU",IF(COUNTIFS(Batches!$A$2:$A$301,$F1954,Batches!$B$2:$B$301,$D1954)=0,"Unknown lot for this SKU",IF(AND($C1954="Adjustment",$G1954=""),"Missing: reason",IF(AND($G1954&lt;&gt;"",COUNTIF(Config!$B$15:$B$34,$G1954)=0),"Unsupported reason",IF(OR(INT($E1954)&lt;&gt;$E1954,AND(OR($C1954="Receipt",$C1954="Shipment"),$E1954&lt;=0),AND($C1954="Adjustment",$E1954=0)),"Invalid qty",IF($B1954&gt;Config!$B$4,"Date after the as-of date",IF($B1954&lt;Config!$B$5,"Date before the opening balance date","OK")))))))))))))))))</f>
        <v/>
      </c>
    </row>
    <row r="1955">
      <c r="A1955" s="46" t="n"/>
      <c r="B1955" s="54" t="n"/>
      <c r="C1955" s="46" t="n"/>
      <c r="D1955" s="46" t="n"/>
      <c r="E1955" s="55" t="n"/>
      <c r="F1955" s="46" t="n"/>
      <c r="G1955" s="46" t="n"/>
      <c r="H1955" s="46" t="n"/>
      <c r="I1955" s="46" t="n"/>
      <c r="J1955" s="46" t="n"/>
      <c r="K1955" s="46" t="n"/>
      <c r="L1955" s="46" t="n"/>
      <c r="M1955" s="51" t="str">
        <f>IF(NOT(ISNUMBER($E1955)),"",IF($C1955="Receipt",$E1955,IF($C1955="Shipment",-$E1955,IF($C1955="Adjustment",$E1955,0))))</f>
        <v/>
      </c>
      <c r="N1955" s="49" t="str">
        <f>IF($D1955="","",IFERROR(INDEX(Products!$B$2:$B$101,MATCH($D1955,Products!$A$2:$A$101,0))&amp;"","(not found)"))</f>
        <v/>
      </c>
      <c r="O1955" s="49" t="str">
        <f>IF($F1955="","",IFERROR(INDEX(Batches!$B$2:$B$301,MATCH($F1955,Batches!$A$2:$A$301,0))&amp;"","(not found)"))</f>
        <v/>
      </c>
      <c r="P1955" s="49" t="str">
        <f>IF(COUNTA($A1955:$L1955)=0,"",IF($A1955="","Missing: entry ID",IF(COUNTIF($A$2:$A$2001,$A1955)&gt;1,"Duplicate entry ID",IF(NOT(ISNUMBER($B1955)),"Missing or invalid: date",IF($C1955="","Missing: type",IF($D1955="","Missing: SKU",IF(NOT(ISNUMBER($E1955)),"Missing: qty",IF($F1955="","Missing: lot",IF($I1955="","Missing: source link",IF(COUNTIF(Config!$A$15:$A$34,$C1955)=0,"Unsupported type",IF(COUNTIF(Products!$A$2:$A$101,$D1955)=0,"Unknown SKU",IF(COUNTIFS(Batches!$A$2:$A$301,$F1955,Batches!$B$2:$B$301,$D1955)=0,"Unknown lot for this SKU",IF(AND($C1955="Adjustment",$G1955=""),"Missing: reason",IF(AND($G1955&lt;&gt;"",COUNTIF(Config!$B$15:$B$34,$G1955)=0),"Unsupported reason",IF(OR(INT($E1955)&lt;&gt;$E1955,AND(OR($C1955="Receipt",$C1955="Shipment"),$E1955&lt;=0),AND($C1955="Adjustment",$E1955=0)),"Invalid qty",IF($B1955&gt;Config!$B$4,"Date after the as-of date",IF($B1955&lt;Config!$B$5,"Date before the opening balance date","OK")))))))))))))))))</f>
        <v/>
      </c>
    </row>
    <row r="1956">
      <c r="A1956" s="46" t="n"/>
      <c r="B1956" s="54" t="n"/>
      <c r="C1956" s="46" t="n"/>
      <c r="D1956" s="46" t="n"/>
      <c r="E1956" s="55" t="n"/>
      <c r="F1956" s="46" t="n"/>
      <c r="G1956" s="46" t="n"/>
      <c r="H1956" s="46" t="n"/>
      <c r="I1956" s="46" t="n"/>
      <c r="J1956" s="46" t="n"/>
      <c r="K1956" s="46" t="n"/>
      <c r="L1956" s="46" t="n"/>
      <c r="M1956" s="51" t="str">
        <f>IF(NOT(ISNUMBER($E1956)),"",IF($C1956="Receipt",$E1956,IF($C1956="Shipment",-$E1956,IF($C1956="Adjustment",$E1956,0))))</f>
        <v/>
      </c>
      <c r="N1956" s="49" t="str">
        <f>IF($D1956="","",IFERROR(INDEX(Products!$B$2:$B$101,MATCH($D1956,Products!$A$2:$A$101,0))&amp;"","(not found)"))</f>
        <v/>
      </c>
      <c r="O1956" s="49" t="str">
        <f>IF($F1956="","",IFERROR(INDEX(Batches!$B$2:$B$301,MATCH($F1956,Batches!$A$2:$A$301,0))&amp;"","(not found)"))</f>
        <v/>
      </c>
      <c r="P1956" s="49" t="str">
        <f>IF(COUNTA($A1956:$L1956)=0,"",IF($A1956="","Missing: entry ID",IF(COUNTIF($A$2:$A$2001,$A1956)&gt;1,"Duplicate entry ID",IF(NOT(ISNUMBER($B1956)),"Missing or invalid: date",IF($C1956="","Missing: type",IF($D1956="","Missing: SKU",IF(NOT(ISNUMBER($E1956)),"Missing: qty",IF($F1956="","Missing: lot",IF($I1956="","Missing: source link",IF(COUNTIF(Config!$A$15:$A$34,$C1956)=0,"Unsupported type",IF(COUNTIF(Products!$A$2:$A$101,$D1956)=0,"Unknown SKU",IF(COUNTIFS(Batches!$A$2:$A$301,$F1956,Batches!$B$2:$B$301,$D1956)=0,"Unknown lot for this SKU",IF(AND($C1956="Adjustment",$G1956=""),"Missing: reason",IF(AND($G1956&lt;&gt;"",COUNTIF(Config!$B$15:$B$34,$G1956)=0),"Unsupported reason",IF(OR(INT($E1956)&lt;&gt;$E1956,AND(OR($C1956="Receipt",$C1956="Shipment"),$E1956&lt;=0),AND($C1956="Adjustment",$E1956=0)),"Invalid qty",IF($B1956&gt;Config!$B$4,"Date after the as-of date",IF($B1956&lt;Config!$B$5,"Date before the opening balance date","OK")))))))))))))))))</f>
        <v/>
      </c>
    </row>
    <row r="1957">
      <c r="A1957" s="46" t="n"/>
      <c r="B1957" s="54" t="n"/>
      <c r="C1957" s="46" t="n"/>
      <c r="D1957" s="46" t="n"/>
      <c r="E1957" s="55" t="n"/>
      <c r="F1957" s="46" t="n"/>
      <c r="G1957" s="46" t="n"/>
      <c r="H1957" s="46" t="n"/>
      <c r="I1957" s="46" t="n"/>
      <c r="J1957" s="46" t="n"/>
      <c r="K1957" s="46" t="n"/>
      <c r="L1957" s="46" t="n"/>
      <c r="M1957" s="51" t="str">
        <f>IF(NOT(ISNUMBER($E1957)),"",IF($C1957="Receipt",$E1957,IF($C1957="Shipment",-$E1957,IF($C1957="Adjustment",$E1957,0))))</f>
        <v/>
      </c>
      <c r="N1957" s="49" t="str">
        <f>IF($D1957="","",IFERROR(INDEX(Products!$B$2:$B$101,MATCH($D1957,Products!$A$2:$A$101,0))&amp;"","(not found)"))</f>
        <v/>
      </c>
      <c r="O1957" s="49" t="str">
        <f>IF($F1957="","",IFERROR(INDEX(Batches!$B$2:$B$301,MATCH($F1957,Batches!$A$2:$A$301,0))&amp;"","(not found)"))</f>
        <v/>
      </c>
      <c r="P1957" s="49" t="str">
        <f>IF(COUNTA($A1957:$L1957)=0,"",IF($A1957="","Missing: entry ID",IF(COUNTIF($A$2:$A$2001,$A1957)&gt;1,"Duplicate entry ID",IF(NOT(ISNUMBER($B1957)),"Missing or invalid: date",IF($C1957="","Missing: type",IF($D1957="","Missing: SKU",IF(NOT(ISNUMBER($E1957)),"Missing: qty",IF($F1957="","Missing: lot",IF($I1957="","Missing: source link",IF(COUNTIF(Config!$A$15:$A$34,$C1957)=0,"Unsupported type",IF(COUNTIF(Products!$A$2:$A$101,$D1957)=0,"Unknown SKU",IF(COUNTIFS(Batches!$A$2:$A$301,$F1957,Batches!$B$2:$B$301,$D1957)=0,"Unknown lot for this SKU",IF(AND($C1957="Adjustment",$G1957=""),"Missing: reason",IF(AND($G1957&lt;&gt;"",COUNTIF(Config!$B$15:$B$34,$G1957)=0),"Unsupported reason",IF(OR(INT($E1957)&lt;&gt;$E1957,AND(OR($C1957="Receipt",$C1957="Shipment"),$E1957&lt;=0),AND($C1957="Adjustment",$E1957=0)),"Invalid qty",IF($B1957&gt;Config!$B$4,"Date after the as-of date",IF($B1957&lt;Config!$B$5,"Date before the opening balance date","OK")))))))))))))))))</f>
        <v/>
      </c>
    </row>
    <row r="1958">
      <c r="A1958" s="46" t="n"/>
      <c r="B1958" s="54" t="n"/>
      <c r="C1958" s="46" t="n"/>
      <c r="D1958" s="46" t="n"/>
      <c r="E1958" s="55" t="n"/>
      <c r="F1958" s="46" t="n"/>
      <c r="G1958" s="46" t="n"/>
      <c r="H1958" s="46" t="n"/>
      <c r="I1958" s="46" t="n"/>
      <c r="J1958" s="46" t="n"/>
      <c r="K1958" s="46" t="n"/>
      <c r="L1958" s="46" t="n"/>
      <c r="M1958" s="51" t="str">
        <f>IF(NOT(ISNUMBER($E1958)),"",IF($C1958="Receipt",$E1958,IF($C1958="Shipment",-$E1958,IF($C1958="Adjustment",$E1958,0))))</f>
        <v/>
      </c>
      <c r="N1958" s="49" t="str">
        <f>IF($D1958="","",IFERROR(INDEX(Products!$B$2:$B$101,MATCH($D1958,Products!$A$2:$A$101,0))&amp;"","(not found)"))</f>
        <v/>
      </c>
      <c r="O1958" s="49" t="str">
        <f>IF($F1958="","",IFERROR(INDEX(Batches!$B$2:$B$301,MATCH($F1958,Batches!$A$2:$A$301,0))&amp;"","(not found)"))</f>
        <v/>
      </c>
      <c r="P1958" s="49" t="str">
        <f>IF(COUNTA($A1958:$L1958)=0,"",IF($A1958="","Missing: entry ID",IF(COUNTIF($A$2:$A$2001,$A1958)&gt;1,"Duplicate entry ID",IF(NOT(ISNUMBER($B1958)),"Missing or invalid: date",IF($C1958="","Missing: type",IF($D1958="","Missing: SKU",IF(NOT(ISNUMBER($E1958)),"Missing: qty",IF($F1958="","Missing: lot",IF($I1958="","Missing: source link",IF(COUNTIF(Config!$A$15:$A$34,$C1958)=0,"Unsupported type",IF(COUNTIF(Products!$A$2:$A$101,$D1958)=0,"Unknown SKU",IF(COUNTIFS(Batches!$A$2:$A$301,$F1958,Batches!$B$2:$B$301,$D1958)=0,"Unknown lot for this SKU",IF(AND($C1958="Adjustment",$G1958=""),"Missing: reason",IF(AND($G1958&lt;&gt;"",COUNTIF(Config!$B$15:$B$34,$G1958)=0),"Unsupported reason",IF(OR(INT($E1958)&lt;&gt;$E1958,AND(OR($C1958="Receipt",$C1958="Shipment"),$E1958&lt;=0),AND($C1958="Adjustment",$E1958=0)),"Invalid qty",IF($B1958&gt;Config!$B$4,"Date after the as-of date",IF($B1958&lt;Config!$B$5,"Date before the opening balance date","OK")))))))))))))))))</f>
        <v/>
      </c>
    </row>
    <row r="1959">
      <c r="A1959" s="46" t="n"/>
      <c r="B1959" s="54" t="n"/>
      <c r="C1959" s="46" t="n"/>
      <c r="D1959" s="46" t="n"/>
      <c r="E1959" s="55" t="n"/>
      <c r="F1959" s="46" t="n"/>
      <c r="G1959" s="46" t="n"/>
      <c r="H1959" s="46" t="n"/>
      <c r="I1959" s="46" t="n"/>
      <c r="J1959" s="46" t="n"/>
      <c r="K1959" s="46" t="n"/>
      <c r="L1959" s="46" t="n"/>
      <c r="M1959" s="51" t="str">
        <f>IF(NOT(ISNUMBER($E1959)),"",IF($C1959="Receipt",$E1959,IF($C1959="Shipment",-$E1959,IF($C1959="Adjustment",$E1959,0))))</f>
        <v/>
      </c>
      <c r="N1959" s="49" t="str">
        <f>IF($D1959="","",IFERROR(INDEX(Products!$B$2:$B$101,MATCH($D1959,Products!$A$2:$A$101,0))&amp;"","(not found)"))</f>
        <v/>
      </c>
      <c r="O1959" s="49" t="str">
        <f>IF($F1959="","",IFERROR(INDEX(Batches!$B$2:$B$301,MATCH($F1959,Batches!$A$2:$A$301,0))&amp;"","(not found)"))</f>
        <v/>
      </c>
      <c r="P1959" s="49" t="str">
        <f>IF(COUNTA($A1959:$L1959)=0,"",IF($A1959="","Missing: entry ID",IF(COUNTIF($A$2:$A$2001,$A1959)&gt;1,"Duplicate entry ID",IF(NOT(ISNUMBER($B1959)),"Missing or invalid: date",IF($C1959="","Missing: type",IF($D1959="","Missing: SKU",IF(NOT(ISNUMBER($E1959)),"Missing: qty",IF($F1959="","Missing: lot",IF($I1959="","Missing: source link",IF(COUNTIF(Config!$A$15:$A$34,$C1959)=0,"Unsupported type",IF(COUNTIF(Products!$A$2:$A$101,$D1959)=0,"Unknown SKU",IF(COUNTIFS(Batches!$A$2:$A$301,$F1959,Batches!$B$2:$B$301,$D1959)=0,"Unknown lot for this SKU",IF(AND($C1959="Adjustment",$G1959=""),"Missing: reason",IF(AND($G1959&lt;&gt;"",COUNTIF(Config!$B$15:$B$34,$G1959)=0),"Unsupported reason",IF(OR(INT($E1959)&lt;&gt;$E1959,AND(OR($C1959="Receipt",$C1959="Shipment"),$E1959&lt;=0),AND($C1959="Adjustment",$E1959=0)),"Invalid qty",IF($B1959&gt;Config!$B$4,"Date after the as-of date",IF($B1959&lt;Config!$B$5,"Date before the opening balance date","OK")))))))))))))))))</f>
        <v/>
      </c>
    </row>
    <row r="1960">
      <c r="A1960" s="46" t="n"/>
      <c r="B1960" s="54" t="n"/>
      <c r="C1960" s="46" t="n"/>
      <c r="D1960" s="46" t="n"/>
      <c r="E1960" s="55" t="n"/>
      <c r="F1960" s="46" t="n"/>
      <c r="G1960" s="46" t="n"/>
      <c r="H1960" s="46" t="n"/>
      <c r="I1960" s="46" t="n"/>
      <c r="J1960" s="46" t="n"/>
      <c r="K1960" s="46" t="n"/>
      <c r="L1960" s="46" t="n"/>
      <c r="M1960" s="51" t="str">
        <f>IF(NOT(ISNUMBER($E1960)),"",IF($C1960="Receipt",$E1960,IF($C1960="Shipment",-$E1960,IF($C1960="Adjustment",$E1960,0))))</f>
        <v/>
      </c>
      <c r="N1960" s="49" t="str">
        <f>IF($D1960="","",IFERROR(INDEX(Products!$B$2:$B$101,MATCH($D1960,Products!$A$2:$A$101,0))&amp;"","(not found)"))</f>
        <v/>
      </c>
      <c r="O1960" s="49" t="str">
        <f>IF($F1960="","",IFERROR(INDEX(Batches!$B$2:$B$301,MATCH($F1960,Batches!$A$2:$A$301,0))&amp;"","(not found)"))</f>
        <v/>
      </c>
      <c r="P1960" s="49" t="str">
        <f>IF(COUNTA($A1960:$L1960)=0,"",IF($A1960="","Missing: entry ID",IF(COUNTIF($A$2:$A$2001,$A1960)&gt;1,"Duplicate entry ID",IF(NOT(ISNUMBER($B1960)),"Missing or invalid: date",IF($C1960="","Missing: type",IF($D1960="","Missing: SKU",IF(NOT(ISNUMBER($E1960)),"Missing: qty",IF($F1960="","Missing: lot",IF($I1960="","Missing: source link",IF(COUNTIF(Config!$A$15:$A$34,$C1960)=0,"Unsupported type",IF(COUNTIF(Products!$A$2:$A$101,$D1960)=0,"Unknown SKU",IF(COUNTIFS(Batches!$A$2:$A$301,$F1960,Batches!$B$2:$B$301,$D1960)=0,"Unknown lot for this SKU",IF(AND($C1960="Adjustment",$G1960=""),"Missing: reason",IF(AND($G1960&lt;&gt;"",COUNTIF(Config!$B$15:$B$34,$G1960)=0),"Unsupported reason",IF(OR(INT($E1960)&lt;&gt;$E1960,AND(OR($C1960="Receipt",$C1960="Shipment"),$E1960&lt;=0),AND($C1960="Adjustment",$E1960=0)),"Invalid qty",IF($B1960&gt;Config!$B$4,"Date after the as-of date",IF($B1960&lt;Config!$B$5,"Date before the opening balance date","OK")))))))))))))))))</f>
        <v/>
      </c>
    </row>
    <row r="1961">
      <c r="A1961" s="46" t="n"/>
      <c r="B1961" s="54" t="n"/>
      <c r="C1961" s="46" t="n"/>
      <c r="D1961" s="46" t="n"/>
      <c r="E1961" s="55" t="n"/>
      <c r="F1961" s="46" t="n"/>
      <c r="G1961" s="46" t="n"/>
      <c r="H1961" s="46" t="n"/>
      <c r="I1961" s="46" t="n"/>
      <c r="J1961" s="46" t="n"/>
      <c r="K1961" s="46" t="n"/>
      <c r="L1961" s="46" t="n"/>
      <c r="M1961" s="51" t="str">
        <f>IF(NOT(ISNUMBER($E1961)),"",IF($C1961="Receipt",$E1961,IF($C1961="Shipment",-$E1961,IF($C1961="Adjustment",$E1961,0))))</f>
        <v/>
      </c>
      <c r="N1961" s="49" t="str">
        <f>IF($D1961="","",IFERROR(INDEX(Products!$B$2:$B$101,MATCH($D1961,Products!$A$2:$A$101,0))&amp;"","(not found)"))</f>
        <v/>
      </c>
      <c r="O1961" s="49" t="str">
        <f>IF($F1961="","",IFERROR(INDEX(Batches!$B$2:$B$301,MATCH($F1961,Batches!$A$2:$A$301,0))&amp;"","(not found)"))</f>
        <v/>
      </c>
      <c r="P1961" s="49" t="str">
        <f>IF(COUNTA($A1961:$L1961)=0,"",IF($A1961="","Missing: entry ID",IF(COUNTIF($A$2:$A$2001,$A1961)&gt;1,"Duplicate entry ID",IF(NOT(ISNUMBER($B1961)),"Missing or invalid: date",IF($C1961="","Missing: type",IF($D1961="","Missing: SKU",IF(NOT(ISNUMBER($E1961)),"Missing: qty",IF($F1961="","Missing: lot",IF($I1961="","Missing: source link",IF(COUNTIF(Config!$A$15:$A$34,$C1961)=0,"Unsupported type",IF(COUNTIF(Products!$A$2:$A$101,$D1961)=0,"Unknown SKU",IF(COUNTIFS(Batches!$A$2:$A$301,$F1961,Batches!$B$2:$B$301,$D1961)=0,"Unknown lot for this SKU",IF(AND($C1961="Adjustment",$G1961=""),"Missing: reason",IF(AND($G1961&lt;&gt;"",COUNTIF(Config!$B$15:$B$34,$G1961)=0),"Unsupported reason",IF(OR(INT($E1961)&lt;&gt;$E1961,AND(OR($C1961="Receipt",$C1961="Shipment"),$E1961&lt;=0),AND($C1961="Adjustment",$E1961=0)),"Invalid qty",IF($B1961&gt;Config!$B$4,"Date after the as-of date",IF($B1961&lt;Config!$B$5,"Date before the opening balance date","OK")))))))))))))))))</f>
        <v/>
      </c>
    </row>
    <row r="1962">
      <c r="A1962" s="46" t="n"/>
      <c r="B1962" s="54" t="n"/>
      <c r="C1962" s="46" t="n"/>
      <c r="D1962" s="46" t="n"/>
      <c r="E1962" s="55" t="n"/>
      <c r="F1962" s="46" t="n"/>
      <c r="G1962" s="46" t="n"/>
      <c r="H1962" s="46" t="n"/>
      <c r="I1962" s="46" t="n"/>
      <c r="J1962" s="46" t="n"/>
      <c r="K1962" s="46" t="n"/>
      <c r="L1962" s="46" t="n"/>
      <c r="M1962" s="51" t="str">
        <f>IF(NOT(ISNUMBER($E1962)),"",IF($C1962="Receipt",$E1962,IF($C1962="Shipment",-$E1962,IF($C1962="Adjustment",$E1962,0))))</f>
        <v/>
      </c>
      <c r="N1962" s="49" t="str">
        <f>IF($D1962="","",IFERROR(INDEX(Products!$B$2:$B$101,MATCH($D1962,Products!$A$2:$A$101,0))&amp;"","(not found)"))</f>
        <v/>
      </c>
      <c r="O1962" s="49" t="str">
        <f>IF($F1962="","",IFERROR(INDEX(Batches!$B$2:$B$301,MATCH($F1962,Batches!$A$2:$A$301,0))&amp;"","(not found)"))</f>
        <v/>
      </c>
      <c r="P1962" s="49" t="str">
        <f>IF(COUNTA($A1962:$L1962)=0,"",IF($A1962="","Missing: entry ID",IF(COUNTIF($A$2:$A$2001,$A1962)&gt;1,"Duplicate entry ID",IF(NOT(ISNUMBER($B1962)),"Missing or invalid: date",IF($C1962="","Missing: type",IF($D1962="","Missing: SKU",IF(NOT(ISNUMBER($E1962)),"Missing: qty",IF($F1962="","Missing: lot",IF($I1962="","Missing: source link",IF(COUNTIF(Config!$A$15:$A$34,$C1962)=0,"Unsupported type",IF(COUNTIF(Products!$A$2:$A$101,$D1962)=0,"Unknown SKU",IF(COUNTIFS(Batches!$A$2:$A$301,$F1962,Batches!$B$2:$B$301,$D1962)=0,"Unknown lot for this SKU",IF(AND($C1962="Adjustment",$G1962=""),"Missing: reason",IF(AND($G1962&lt;&gt;"",COUNTIF(Config!$B$15:$B$34,$G1962)=0),"Unsupported reason",IF(OR(INT($E1962)&lt;&gt;$E1962,AND(OR($C1962="Receipt",$C1962="Shipment"),$E1962&lt;=0),AND($C1962="Adjustment",$E1962=0)),"Invalid qty",IF($B1962&gt;Config!$B$4,"Date after the as-of date",IF($B1962&lt;Config!$B$5,"Date before the opening balance date","OK")))))))))))))))))</f>
        <v/>
      </c>
    </row>
    <row r="1963">
      <c r="A1963" s="46" t="n"/>
      <c r="B1963" s="54" t="n"/>
      <c r="C1963" s="46" t="n"/>
      <c r="D1963" s="46" t="n"/>
      <c r="E1963" s="55" t="n"/>
      <c r="F1963" s="46" t="n"/>
      <c r="G1963" s="46" t="n"/>
      <c r="H1963" s="46" t="n"/>
      <c r="I1963" s="46" t="n"/>
      <c r="J1963" s="46" t="n"/>
      <c r="K1963" s="46" t="n"/>
      <c r="L1963" s="46" t="n"/>
      <c r="M1963" s="51" t="str">
        <f>IF(NOT(ISNUMBER($E1963)),"",IF($C1963="Receipt",$E1963,IF($C1963="Shipment",-$E1963,IF($C1963="Adjustment",$E1963,0))))</f>
        <v/>
      </c>
      <c r="N1963" s="49" t="str">
        <f>IF($D1963="","",IFERROR(INDEX(Products!$B$2:$B$101,MATCH($D1963,Products!$A$2:$A$101,0))&amp;"","(not found)"))</f>
        <v/>
      </c>
      <c r="O1963" s="49" t="str">
        <f>IF($F1963="","",IFERROR(INDEX(Batches!$B$2:$B$301,MATCH($F1963,Batches!$A$2:$A$301,0))&amp;"","(not found)"))</f>
        <v/>
      </c>
      <c r="P1963" s="49" t="str">
        <f>IF(COUNTA($A1963:$L1963)=0,"",IF($A1963="","Missing: entry ID",IF(COUNTIF($A$2:$A$2001,$A1963)&gt;1,"Duplicate entry ID",IF(NOT(ISNUMBER($B1963)),"Missing or invalid: date",IF($C1963="","Missing: type",IF($D1963="","Missing: SKU",IF(NOT(ISNUMBER($E1963)),"Missing: qty",IF($F1963="","Missing: lot",IF($I1963="","Missing: source link",IF(COUNTIF(Config!$A$15:$A$34,$C1963)=0,"Unsupported type",IF(COUNTIF(Products!$A$2:$A$101,$D1963)=0,"Unknown SKU",IF(COUNTIFS(Batches!$A$2:$A$301,$F1963,Batches!$B$2:$B$301,$D1963)=0,"Unknown lot for this SKU",IF(AND($C1963="Adjustment",$G1963=""),"Missing: reason",IF(AND($G1963&lt;&gt;"",COUNTIF(Config!$B$15:$B$34,$G1963)=0),"Unsupported reason",IF(OR(INT($E1963)&lt;&gt;$E1963,AND(OR($C1963="Receipt",$C1963="Shipment"),$E1963&lt;=0),AND($C1963="Adjustment",$E1963=0)),"Invalid qty",IF($B1963&gt;Config!$B$4,"Date after the as-of date",IF($B1963&lt;Config!$B$5,"Date before the opening balance date","OK")))))))))))))))))</f>
        <v/>
      </c>
    </row>
    <row r="1964">
      <c r="A1964" s="46" t="n"/>
      <c r="B1964" s="54" t="n"/>
      <c r="C1964" s="46" t="n"/>
      <c r="D1964" s="46" t="n"/>
      <c r="E1964" s="55" t="n"/>
      <c r="F1964" s="46" t="n"/>
      <c r="G1964" s="46" t="n"/>
      <c r="H1964" s="46" t="n"/>
      <c r="I1964" s="46" t="n"/>
      <c r="J1964" s="46" t="n"/>
      <c r="K1964" s="46" t="n"/>
      <c r="L1964" s="46" t="n"/>
      <c r="M1964" s="51" t="str">
        <f>IF(NOT(ISNUMBER($E1964)),"",IF($C1964="Receipt",$E1964,IF($C1964="Shipment",-$E1964,IF($C1964="Adjustment",$E1964,0))))</f>
        <v/>
      </c>
      <c r="N1964" s="49" t="str">
        <f>IF($D1964="","",IFERROR(INDEX(Products!$B$2:$B$101,MATCH($D1964,Products!$A$2:$A$101,0))&amp;"","(not found)"))</f>
        <v/>
      </c>
      <c r="O1964" s="49" t="str">
        <f>IF($F1964="","",IFERROR(INDEX(Batches!$B$2:$B$301,MATCH($F1964,Batches!$A$2:$A$301,0))&amp;"","(not found)"))</f>
        <v/>
      </c>
      <c r="P1964" s="49" t="str">
        <f>IF(COUNTA($A1964:$L1964)=0,"",IF($A1964="","Missing: entry ID",IF(COUNTIF($A$2:$A$2001,$A1964)&gt;1,"Duplicate entry ID",IF(NOT(ISNUMBER($B1964)),"Missing or invalid: date",IF($C1964="","Missing: type",IF($D1964="","Missing: SKU",IF(NOT(ISNUMBER($E1964)),"Missing: qty",IF($F1964="","Missing: lot",IF($I1964="","Missing: source link",IF(COUNTIF(Config!$A$15:$A$34,$C1964)=0,"Unsupported type",IF(COUNTIF(Products!$A$2:$A$101,$D1964)=0,"Unknown SKU",IF(COUNTIFS(Batches!$A$2:$A$301,$F1964,Batches!$B$2:$B$301,$D1964)=0,"Unknown lot for this SKU",IF(AND($C1964="Adjustment",$G1964=""),"Missing: reason",IF(AND($G1964&lt;&gt;"",COUNTIF(Config!$B$15:$B$34,$G1964)=0),"Unsupported reason",IF(OR(INT($E1964)&lt;&gt;$E1964,AND(OR($C1964="Receipt",$C1964="Shipment"),$E1964&lt;=0),AND($C1964="Adjustment",$E1964=0)),"Invalid qty",IF($B1964&gt;Config!$B$4,"Date after the as-of date",IF($B1964&lt;Config!$B$5,"Date before the opening balance date","OK")))))))))))))))))</f>
        <v/>
      </c>
    </row>
    <row r="1965">
      <c r="A1965" s="46" t="n"/>
      <c r="B1965" s="54" t="n"/>
      <c r="C1965" s="46" t="n"/>
      <c r="D1965" s="46" t="n"/>
      <c r="E1965" s="55" t="n"/>
      <c r="F1965" s="46" t="n"/>
      <c r="G1965" s="46" t="n"/>
      <c r="H1965" s="46" t="n"/>
      <c r="I1965" s="46" t="n"/>
      <c r="J1965" s="46" t="n"/>
      <c r="K1965" s="46" t="n"/>
      <c r="L1965" s="46" t="n"/>
      <c r="M1965" s="51" t="str">
        <f>IF(NOT(ISNUMBER($E1965)),"",IF($C1965="Receipt",$E1965,IF($C1965="Shipment",-$E1965,IF($C1965="Adjustment",$E1965,0))))</f>
        <v/>
      </c>
      <c r="N1965" s="49" t="str">
        <f>IF($D1965="","",IFERROR(INDEX(Products!$B$2:$B$101,MATCH($D1965,Products!$A$2:$A$101,0))&amp;"","(not found)"))</f>
        <v/>
      </c>
      <c r="O1965" s="49" t="str">
        <f>IF($F1965="","",IFERROR(INDEX(Batches!$B$2:$B$301,MATCH($F1965,Batches!$A$2:$A$301,0))&amp;"","(not found)"))</f>
        <v/>
      </c>
      <c r="P1965" s="49" t="str">
        <f>IF(COUNTA($A1965:$L1965)=0,"",IF($A1965="","Missing: entry ID",IF(COUNTIF($A$2:$A$2001,$A1965)&gt;1,"Duplicate entry ID",IF(NOT(ISNUMBER($B1965)),"Missing or invalid: date",IF($C1965="","Missing: type",IF($D1965="","Missing: SKU",IF(NOT(ISNUMBER($E1965)),"Missing: qty",IF($F1965="","Missing: lot",IF($I1965="","Missing: source link",IF(COUNTIF(Config!$A$15:$A$34,$C1965)=0,"Unsupported type",IF(COUNTIF(Products!$A$2:$A$101,$D1965)=0,"Unknown SKU",IF(COUNTIFS(Batches!$A$2:$A$301,$F1965,Batches!$B$2:$B$301,$D1965)=0,"Unknown lot for this SKU",IF(AND($C1965="Adjustment",$G1965=""),"Missing: reason",IF(AND($G1965&lt;&gt;"",COUNTIF(Config!$B$15:$B$34,$G1965)=0),"Unsupported reason",IF(OR(INT($E1965)&lt;&gt;$E1965,AND(OR($C1965="Receipt",$C1965="Shipment"),$E1965&lt;=0),AND($C1965="Adjustment",$E1965=0)),"Invalid qty",IF($B1965&gt;Config!$B$4,"Date after the as-of date",IF($B1965&lt;Config!$B$5,"Date before the opening balance date","OK")))))))))))))))))</f>
        <v/>
      </c>
    </row>
    <row r="1966">
      <c r="A1966" s="46" t="n"/>
      <c r="B1966" s="54" t="n"/>
      <c r="C1966" s="46" t="n"/>
      <c r="D1966" s="46" t="n"/>
      <c r="E1966" s="55" t="n"/>
      <c r="F1966" s="46" t="n"/>
      <c r="G1966" s="46" t="n"/>
      <c r="H1966" s="46" t="n"/>
      <c r="I1966" s="46" t="n"/>
      <c r="J1966" s="46" t="n"/>
      <c r="K1966" s="46" t="n"/>
      <c r="L1966" s="46" t="n"/>
      <c r="M1966" s="51" t="str">
        <f>IF(NOT(ISNUMBER($E1966)),"",IF($C1966="Receipt",$E1966,IF($C1966="Shipment",-$E1966,IF($C1966="Adjustment",$E1966,0))))</f>
        <v/>
      </c>
      <c r="N1966" s="49" t="str">
        <f>IF($D1966="","",IFERROR(INDEX(Products!$B$2:$B$101,MATCH($D1966,Products!$A$2:$A$101,0))&amp;"","(not found)"))</f>
        <v/>
      </c>
      <c r="O1966" s="49" t="str">
        <f>IF($F1966="","",IFERROR(INDEX(Batches!$B$2:$B$301,MATCH($F1966,Batches!$A$2:$A$301,0))&amp;"","(not found)"))</f>
        <v/>
      </c>
      <c r="P1966" s="49" t="str">
        <f>IF(COUNTA($A1966:$L1966)=0,"",IF($A1966="","Missing: entry ID",IF(COUNTIF($A$2:$A$2001,$A1966)&gt;1,"Duplicate entry ID",IF(NOT(ISNUMBER($B1966)),"Missing or invalid: date",IF($C1966="","Missing: type",IF($D1966="","Missing: SKU",IF(NOT(ISNUMBER($E1966)),"Missing: qty",IF($F1966="","Missing: lot",IF($I1966="","Missing: source link",IF(COUNTIF(Config!$A$15:$A$34,$C1966)=0,"Unsupported type",IF(COUNTIF(Products!$A$2:$A$101,$D1966)=0,"Unknown SKU",IF(COUNTIFS(Batches!$A$2:$A$301,$F1966,Batches!$B$2:$B$301,$D1966)=0,"Unknown lot for this SKU",IF(AND($C1966="Adjustment",$G1966=""),"Missing: reason",IF(AND($G1966&lt;&gt;"",COUNTIF(Config!$B$15:$B$34,$G1966)=0),"Unsupported reason",IF(OR(INT($E1966)&lt;&gt;$E1966,AND(OR($C1966="Receipt",$C1966="Shipment"),$E1966&lt;=0),AND($C1966="Adjustment",$E1966=0)),"Invalid qty",IF($B1966&gt;Config!$B$4,"Date after the as-of date",IF($B1966&lt;Config!$B$5,"Date before the opening balance date","OK")))))))))))))))))</f>
        <v/>
      </c>
    </row>
    <row r="1967">
      <c r="A1967" s="46" t="n"/>
      <c r="B1967" s="54" t="n"/>
      <c r="C1967" s="46" t="n"/>
      <c r="D1967" s="46" t="n"/>
      <c r="E1967" s="55" t="n"/>
      <c r="F1967" s="46" t="n"/>
      <c r="G1967" s="46" t="n"/>
      <c r="H1967" s="46" t="n"/>
      <c r="I1967" s="46" t="n"/>
      <c r="J1967" s="46" t="n"/>
      <c r="K1967" s="46" t="n"/>
      <c r="L1967" s="46" t="n"/>
      <c r="M1967" s="51" t="str">
        <f>IF(NOT(ISNUMBER($E1967)),"",IF($C1967="Receipt",$E1967,IF($C1967="Shipment",-$E1967,IF($C1967="Adjustment",$E1967,0))))</f>
        <v/>
      </c>
      <c r="N1967" s="49" t="str">
        <f>IF($D1967="","",IFERROR(INDEX(Products!$B$2:$B$101,MATCH($D1967,Products!$A$2:$A$101,0))&amp;"","(not found)"))</f>
        <v/>
      </c>
      <c r="O1967" s="49" t="str">
        <f>IF($F1967="","",IFERROR(INDEX(Batches!$B$2:$B$301,MATCH($F1967,Batches!$A$2:$A$301,0))&amp;"","(not found)"))</f>
        <v/>
      </c>
      <c r="P1967" s="49" t="str">
        <f>IF(COUNTA($A1967:$L1967)=0,"",IF($A1967="","Missing: entry ID",IF(COUNTIF($A$2:$A$2001,$A1967)&gt;1,"Duplicate entry ID",IF(NOT(ISNUMBER($B1967)),"Missing or invalid: date",IF($C1967="","Missing: type",IF($D1967="","Missing: SKU",IF(NOT(ISNUMBER($E1967)),"Missing: qty",IF($F1967="","Missing: lot",IF($I1967="","Missing: source link",IF(COUNTIF(Config!$A$15:$A$34,$C1967)=0,"Unsupported type",IF(COUNTIF(Products!$A$2:$A$101,$D1967)=0,"Unknown SKU",IF(COUNTIFS(Batches!$A$2:$A$301,$F1967,Batches!$B$2:$B$301,$D1967)=0,"Unknown lot for this SKU",IF(AND($C1967="Adjustment",$G1967=""),"Missing: reason",IF(AND($G1967&lt;&gt;"",COUNTIF(Config!$B$15:$B$34,$G1967)=0),"Unsupported reason",IF(OR(INT($E1967)&lt;&gt;$E1967,AND(OR($C1967="Receipt",$C1967="Shipment"),$E1967&lt;=0),AND($C1967="Adjustment",$E1967=0)),"Invalid qty",IF($B1967&gt;Config!$B$4,"Date after the as-of date",IF($B1967&lt;Config!$B$5,"Date before the opening balance date","OK")))))))))))))))))</f>
        <v/>
      </c>
    </row>
    <row r="1968">
      <c r="A1968" s="46" t="n"/>
      <c r="B1968" s="54" t="n"/>
      <c r="C1968" s="46" t="n"/>
      <c r="D1968" s="46" t="n"/>
      <c r="E1968" s="55" t="n"/>
      <c r="F1968" s="46" t="n"/>
      <c r="G1968" s="46" t="n"/>
      <c r="H1968" s="46" t="n"/>
      <c r="I1968" s="46" t="n"/>
      <c r="J1968" s="46" t="n"/>
      <c r="K1968" s="46" t="n"/>
      <c r="L1968" s="46" t="n"/>
      <c r="M1968" s="51" t="str">
        <f>IF(NOT(ISNUMBER($E1968)),"",IF($C1968="Receipt",$E1968,IF($C1968="Shipment",-$E1968,IF($C1968="Adjustment",$E1968,0))))</f>
        <v/>
      </c>
      <c r="N1968" s="49" t="str">
        <f>IF($D1968="","",IFERROR(INDEX(Products!$B$2:$B$101,MATCH($D1968,Products!$A$2:$A$101,0))&amp;"","(not found)"))</f>
        <v/>
      </c>
      <c r="O1968" s="49" t="str">
        <f>IF($F1968="","",IFERROR(INDEX(Batches!$B$2:$B$301,MATCH($F1968,Batches!$A$2:$A$301,0))&amp;"","(not found)"))</f>
        <v/>
      </c>
      <c r="P1968" s="49" t="str">
        <f>IF(COUNTA($A1968:$L1968)=0,"",IF($A1968="","Missing: entry ID",IF(COUNTIF($A$2:$A$2001,$A1968)&gt;1,"Duplicate entry ID",IF(NOT(ISNUMBER($B1968)),"Missing or invalid: date",IF($C1968="","Missing: type",IF($D1968="","Missing: SKU",IF(NOT(ISNUMBER($E1968)),"Missing: qty",IF($F1968="","Missing: lot",IF($I1968="","Missing: source link",IF(COUNTIF(Config!$A$15:$A$34,$C1968)=0,"Unsupported type",IF(COUNTIF(Products!$A$2:$A$101,$D1968)=0,"Unknown SKU",IF(COUNTIFS(Batches!$A$2:$A$301,$F1968,Batches!$B$2:$B$301,$D1968)=0,"Unknown lot for this SKU",IF(AND($C1968="Adjustment",$G1968=""),"Missing: reason",IF(AND($G1968&lt;&gt;"",COUNTIF(Config!$B$15:$B$34,$G1968)=0),"Unsupported reason",IF(OR(INT($E1968)&lt;&gt;$E1968,AND(OR($C1968="Receipt",$C1968="Shipment"),$E1968&lt;=0),AND($C1968="Adjustment",$E1968=0)),"Invalid qty",IF($B1968&gt;Config!$B$4,"Date after the as-of date",IF($B1968&lt;Config!$B$5,"Date before the opening balance date","OK")))))))))))))))))</f>
        <v/>
      </c>
    </row>
    <row r="1969">
      <c r="A1969" s="46" t="n"/>
      <c r="B1969" s="54" t="n"/>
      <c r="C1969" s="46" t="n"/>
      <c r="D1969" s="46" t="n"/>
      <c r="E1969" s="55" t="n"/>
      <c r="F1969" s="46" t="n"/>
      <c r="G1969" s="46" t="n"/>
      <c r="H1969" s="46" t="n"/>
      <c r="I1969" s="46" t="n"/>
      <c r="J1969" s="46" t="n"/>
      <c r="K1969" s="46" t="n"/>
      <c r="L1969" s="46" t="n"/>
      <c r="M1969" s="51" t="str">
        <f>IF(NOT(ISNUMBER($E1969)),"",IF($C1969="Receipt",$E1969,IF($C1969="Shipment",-$E1969,IF($C1969="Adjustment",$E1969,0))))</f>
        <v/>
      </c>
      <c r="N1969" s="49" t="str">
        <f>IF($D1969="","",IFERROR(INDEX(Products!$B$2:$B$101,MATCH($D1969,Products!$A$2:$A$101,0))&amp;"","(not found)"))</f>
        <v/>
      </c>
      <c r="O1969" s="49" t="str">
        <f>IF($F1969="","",IFERROR(INDEX(Batches!$B$2:$B$301,MATCH($F1969,Batches!$A$2:$A$301,0))&amp;"","(not found)"))</f>
        <v/>
      </c>
      <c r="P1969" s="49" t="str">
        <f>IF(COUNTA($A1969:$L1969)=0,"",IF($A1969="","Missing: entry ID",IF(COUNTIF($A$2:$A$2001,$A1969)&gt;1,"Duplicate entry ID",IF(NOT(ISNUMBER($B1969)),"Missing or invalid: date",IF($C1969="","Missing: type",IF($D1969="","Missing: SKU",IF(NOT(ISNUMBER($E1969)),"Missing: qty",IF($F1969="","Missing: lot",IF($I1969="","Missing: source link",IF(COUNTIF(Config!$A$15:$A$34,$C1969)=0,"Unsupported type",IF(COUNTIF(Products!$A$2:$A$101,$D1969)=0,"Unknown SKU",IF(COUNTIFS(Batches!$A$2:$A$301,$F1969,Batches!$B$2:$B$301,$D1969)=0,"Unknown lot for this SKU",IF(AND($C1969="Adjustment",$G1969=""),"Missing: reason",IF(AND($G1969&lt;&gt;"",COUNTIF(Config!$B$15:$B$34,$G1969)=0),"Unsupported reason",IF(OR(INT($E1969)&lt;&gt;$E1969,AND(OR($C1969="Receipt",$C1969="Shipment"),$E1969&lt;=0),AND($C1969="Adjustment",$E1969=0)),"Invalid qty",IF($B1969&gt;Config!$B$4,"Date after the as-of date",IF($B1969&lt;Config!$B$5,"Date before the opening balance date","OK")))))))))))))))))</f>
        <v/>
      </c>
    </row>
    <row r="1970">
      <c r="A1970" s="46" t="n"/>
      <c r="B1970" s="54" t="n"/>
      <c r="C1970" s="46" t="n"/>
      <c r="D1970" s="46" t="n"/>
      <c r="E1970" s="55" t="n"/>
      <c r="F1970" s="46" t="n"/>
      <c r="G1970" s="46" t="n"/>
      <c r="H1970" s="46" t="n"/>
      <c r="I1970" s="46" t="n"/>
      <c r="J1970" s="46" t="n"/>
      <c r="K1970" s="46" t="n"/>
      <c r="L1970" s="46" t="n"/>
      <c r="M1970" s="51" t="str">
        <f>IF(NOT(ISNUMBER($E1970)),"",IF($C1970="Receipt",$E1970,IF($C1970="Shipment",-$E1970,IF($C1970="Adjustment",$E1970,0))))</f>
        <v/>
      </c>
      <c r="N1970" s="49" t="str">
        <f>IF($D1970="","",IFERROR(INDEX(Products!$B$2:$B$101,MATCH($D1970,Products!$A$2:$A$101,0))&amp;"","(not found)"))</f>
        <v/>
      </c>
      <c r="O1970" s="49" t="str">
        <f>IF($F1970="","",IFERROR(INDEX(Batches!$B$2:$B$301,MATCH($F1970,Batches!$A$2:$A$301,0))&amp;"","(not found)"))</f>
        <v/>
      </c>
      <c r="P1970" s="49" t="str">
        <f>IF(COUNTA($A1970:$L1970)=0,"",IF($A1970="","Missing: entry ID",IF(COUNTIF($A$2:$A$2001,$A1970)&gt;1,"Duplicate entry ID",IF(NOT(ISNUMBER($B1970)),"Missing or invalid: date",IF($C1970="","Missing: type",IF($D1970="","Missing: SKU",IF(NOT(ISNUMBER($E1970)),"Missing: qty",IF($F1970="","Missing: lot",IF($I1970="","Missing: source link",IF(COUNTIF(Config!$A$15:$A$34,$C1970)=0,"Unsupported type",IF(COUNTIF(Products!$A$2:$A$101,$D1970)=0,"Unknown SKU",IF(COUNTIFS(Batches!$A$2:$A$301,$F1970,Batches!$B$2:$B$301,$D1970)=0,"Unknown lot for this SKU",IF(AND($C1970="Adjustment",$G1970=""),"Missing: reason",IF(AND($G1970&lt;&gt;"",COUNTIF(Config!$B$15:$B$34,$G1970)=0),"Unsupported reason",IF(OR(INT($E1970)&lt;&gt;$E1970,AND(OR($C1970="Receipt",$C1970="Shipment"),$E1970&lt;=0),AND($C1970="Adjustment",$E1970=0)),"Invalid qty",IF($B1970&gt;Config!$B$4,"Date after the as-of date",IF($B1970&lt;Config!$B$5,"Date before the opening balance date","OK")))))))))))))))))</f>
        <v/>
      </c>
    </row>
    <row r="1971">
      <c r="A1971" s="46" t="n"/>
      <c r="B1971" s="54" t="n"/>
      <c r="C1971" s="46" t="n"/>
      <c r="D1971" s="46" t="n"/>
      <c r="E1971" s="55" t="n"/>
      <c r="F1971" s="46" t="n"/>
      <c r="G1971" s="46" t="n"/>
      <c r="H1971" s="46" t="n"/>
      <c r="I1971" s="46" t="n"/>
      <c r="J1971" s="46" t="n"/>
      <c r="K1971" s="46" t="n"/>
      <c r="L1971" s="46" t="n"/>
      <c r="M1971" s="51" t="str">
        <f>IF(NOT(ISNUMBER($E1971)),"",IF($C1971="Receipt",$E1971,IF($C1971="Shipment",-$E1971,IF($C1971="Adjustment",$E1971,0))))</f>
        <v/>
      </c>
      <c r="N1971" s="49" t="str">
        <f>IF($D1971="","",IFERROR(INDEX(Products!$B$2:$B$101,MATCH($D1971,Products!$A$2:$A$101,0))&amp;"","(not found)"))</f>
        <v/>
      </c>
      <c r="O1971" s="49" t="str">
        <f>IF($F1971="","",IFERROR(INDEX(Batches!$B$2:$B$301,MATCH($F1971,Batches!$A$2:$A$301,0))&amp;"","(not found)"))</f>
        <v/>
      </c>
      <c r="P1971" s="49" t="str">
        <f>IF(COUNTA($A1971:$L1971)=0,"",IF($A1971="","Missing: entry ID",IF(COUNTIF($A$2:$A$2001,$A1971)&gt;1,"Duplicate entry ID",IF(NOT(ISNUMBER($B1971)),"Missing or invalid: date",IF($C1971="","Missing: type",IF($D1971="","Missing: SKU",IF(NOT(ISNUMBER($E1971)),"Missing: qty",IF($F1971="","Missing: lot",IF($I1971="","Missing: source link",IF(COUNTIF(Config!$A$15:$A$34,$C1971)=0,"Unsupported type",IF(COUNTIF(Products!$A$2:$A$101,$D1971)=0,"Unknown SKU",IF(COUNTIFS(Batches!$A$2:$A$301,$F1971,Batches!$B$2:$B$301,$D1971)=0,"Unknown lot for this SKU",IF(AND($C1971="Adjustment",$G1971=""),"Missing: reason",IF(AND($G1971&lt;&gt;"",COUNTIF(Config!$B$15:$B$34,$G1971)=0),"Unsupported reason",IF(OR(INT($E1971)&lt;&gt;$E1971,AND(OR($C1971="Receipt",$C1971="Shipment"),$E1971&lt;=0),AND($C1971="Adjustment",$E1971=0)),"Invalid qty",IF($B1971&gt;Config!$B$4,"Date after the as-of date",IF($B1971&lt;Config!$B$5,"Date before the opening balance date","OK")))))))))))))))))</f>
        <v/>
      </c>
    </row>
    <row r="1972">
      <c r="A1972" s="46" t="n"/>
      <c r="B1972" s="54" t="n"/>
      <c r="C1972" s="46" t="n"/>
      <c r="D1972" s="46" t="n"/>
      <c r="E1972" s="55" t="n"/>
      <c r="F1972" s="46" t="n"/>
      <c r="G1972" s="46" t="n"/>
      <c r="H1972" s="46" t="n"/>
      <c r="I1972" s="46" t="n"/>
      <c r="J1972" s="46" t="n"/>
      <c r="K1972" s="46" t="n"/>
      <c r="L1972" s="46" t="n"/>
      <c r="M1972" s="51" t="str">
        <f>IF(NOT(ISNUMBER($E1972)),"",IF($C1972="Receipt",$E1972,IF($C1972="Shipment",-$E1972,IF($C1972="Adjustment",$E1972,0))))</f>
        <v/>
      </c>
      <c r="N1972" s="49" t="str">
        <f>IF($D1972="","",IFERROR(INDEX(Products!$B$2:$B$101,MATCH($D1972,Products!$A$2:$A$101,0))&amp;"","(not found)"))</f>
        <v/>
      </c>
      <c r="O1972" s="49" t="str">
        <f>IF($F1972="","",IFERROR(INDEX(Batches!$B$2:$B$301,MATCH($F1972,Batches!$A$2:$A$301,0))&amp;"","(not found)"))</f>
        <v/>
      </c>
      <c r="P1972" s="49" t="str">
        <f>IF(COUNTA($A1972:$L1972)=0,"",IF($A1972="","Missing: entry ID",IF(COUNTIF($A$2:$A$2001,$A1972)&gt;1,"Duplicate entry ID",IF(NOT(ISNUMBER($B1972)),"Missing or invalid: date",IF($C1972="","Missing: type",IF($D1972="","Missing: SKU",IF(NOT(ISNUMBER($E1972)),"Missing: qty",IF($F1972="","Missing: lot",IF($I1972="","Missing: source link",IF(COUNTIF(Config!$A$15:$A$34,$C1972)=0,"Unsupported type",IF(COUNTIF(Products!$A$2:$A$101,$D1972)=0,"Unknown SKU",IF(COUNTIFS(Batches!$A$2:$A$301,$F1972,Batches!$B$2:$B$301,$D1972)=0,"Unknown lot for this SKU",IF(AND($C1972="Adjustment",$G1972=""),"Missing: reason",IF(AND($G1972&lt;&gt;"",COUNTIF(Config!$B$15:$B$34,$G1972)=0),"Unsupported reason",IF(OR(INT($E1972)&lt;&gt;$E1972,AND(OR($C1972="Receipt",$C1972="Shipment"),$E1972&lt;=0),AND($C1972="Adjustment",$E1972=0)),"Invalid qty",IF($B1972&gt;Config!$B$4,"Date after the as-of date",IF($B1972&lt;Config!$B$5,"Date before the opening balance date","OK")))))))))))))))))</f>
        <v/>
      </c>
    </row>
    <row r="1973">
      <c r="A1973" s="46" t="n"/>
      <c r="B1973" s="54" t="n"/>
      <c r="C1973" s="46" t="n"/>
      <c r="D1973" s="46" t="n"/>
      <c r="E1973" s="55" t="n"/>
      <c r="F1973" s="46" t="n"/>
      <c r="G1973" s="46" t="n"/>
      <c r="H1973" s="46" t="n"/>
      <c r="I1973" s="46" t="n"/>
      <c r="J1973" s="46" t="n"/>
      <c r="K1973" s="46" t="n"/>
      <c r="L1973" s="46" t="n"/>
      <c r="M1973" s="51" t="str">
        <f>IF(NOT(ISNUMBER($E1973)),"",IF($C1973="Receipt",$E1973,IF($C1973="Shipment",-$E1973,IF($C1973="Adjustment",$E1973,0))))</f>
        <v/>
      </c>
      <c r="N1973" s="49" t="str">
        <f>IF($D1973="","",IFERROR(INDEX(Products!$B$2:$B$101,MATCH($D1973,Products!$A$2:$A$101,0))&amp;"","(not found)"))</f>
        <v/>
      </c>
      <c r="O1973" s="49" t="str">
        <f>IF($F1973="","",IFERROR(INDEX(Batches!$B$2:$B$301,MATCH($F1973,Batches!$A$2:$A$301,0))&amp;"","(not found)"))</f>
        <v/>
      </c>
      <c r="P1973" s="49" t="str">
        <f>IF(COUNTA($A1973:$L1973)=0,"",IF($A1973="","Missing: entry ID",IF(COUNTIF($A$2:$A$2001,$A1973)&gt;1,"Duplicate entry ID",IF(NOT(ISNUMBER($B1973)),"Missing or invalid: date",IF($C1973="","Missing: type",IF($D1973="","Missing: SKU",IF(NOT(ISNUMBER($E1973)),"Missing: qty",IF($F1973="","Missing: lot",IF($I1973="","Missing: source link",IF(COUNTIF(Config!$A$15:$A$34,$C1973)=0,"Unsupported type",IF(COUNTIF(Products!$A$2:$A$101,$D1973)=0,"Unknown SKU",IF(COUNTIFS(Batches!$A$2:$A$301,$F1973,Batches!$B$2:$B$301,$D1973)=0,"Unknown lot for this SKU",IF(AND($C1973="Adjustment",$G1973=""),"Missing: reason",IF(AND($G1973&lt;&gt;"",COUNTIF(Config!$B$15:$B$34,$G1973)=0),"Unsupported reason",IF(OR(INT($E1973)&lt;&gt;$E1973,AND(OR($C1973="Receipt",$C1973="Shipment"),$E1973&lt;=0),AND($C1973="Adjustment",$E1973=0)),"Invalid qty",IF($B1973&gt;Config!$B$4,"Date after the as-of date",IF($B1973&lt;Config!$B$5,"Date before the opening balance date","OK")))))))))))))))))</f>
        <v/>
      </c>
    </row>
    <row r="1974">
      <c r="A1974" s="46" t="n"/>
      <c r="B1974" s="54" t="n"/>
      <c r="C1974" s="46" t="n"/>
      <c r="D1974" s="46" t="n"/>
      <c r="E1974" s="55" t="n"/>
      <c r="F1974" s="46" t="n"/>
      <c r="G1974" s="46" t="n"/>
      <c r="H1974" s="46" t="n"/>
      <c r="I1974" s="46" t="n"/>
      <c r="J1974" s="46" t="n"/>
      <c r="K1974" s="46" t="n"/>
      <c r="L1974" s="46" t="n"/>
      <c r="M1974" s="51" t="str">
        <f>IF(NOT(ISNUMBER($E1974)),"",IF($C1974="Receipt",$E1974,IF($C1974="Shipment",-$E1974,IF($C1974="Adjustment",$E1974,0))))</f>
        <v/>
      </c>
      <c r="N1974" s="49" t="str">
        <f>IF($D1974="","",IFERROR(INDEX(Products!$B$2:$B$101,MATCH($D1974,Products!$A$2:$A$101,0))&amp;"","(not found)"))</f>
        <v/>
      </c>
      <c r="O1974" s="49" t="str">
        <f>IF($F1974="","",IFERROR(INDEX(Batches!$B$2:$B$301,MATCH($F1974,Batches!$A$2:$A$301,0))&amp;"","(not found)"))</f>
        <v/>
      </c>
      <c r="P1974" s="49" t="str">
        <f>IF(COUNTA($A1974:$L1974)=0,"",IF($A1974="","Missing: entry ID",IF(COUNTIF($A$2:$A$2001,$A1974)&gt;1,"Duplicate entry ID",IF(NOT(ISNUMBER($B1974)),"Missing or invalid: date",IF($C1974="","Missing: type",IF($D1974="","Missing: SKU",IF(NOT(ISNUMBER($E1974)),"Missing: qty",IF($F1974="","Missing: lot",IF($I1974="","Missing: source link",IF(COUNTIF(Config!$A$15:$A$34,$C1974)=0,"Unsupported type",IF(COUNTIF(Products!$A$2:$A$101,$D1974)=0,"Unknown SKU",IF(COUNTIFS(Batches!$A$2:$A$301,$F1974,Batches!$B$2:$B$301,$D1974)=0,"Unknown lot for this SKU",IF(AND($C1974="Adjustment",$G1974=""),"Missing: reason",IF(AND($G1974&lt;&gt;"",COUNTIF(Config!$B$15:$B$34,$G1974)=0),"Unsupported reason",IF(OR(INT($E1974)&lt;&gt;$E1974,AND(OR($C1974="Receipt",$C1974="Shipment"),$E1974&lt;=0),AND($C1974="Adjustment",$E1974=0)),"Invalid qty",IF($B1974&gt;Config!$B$4,"Date after the as-of date",IF($B1974&lt;Config!$B$5,"Date before the opening balance date","OK")))))))))))))))))</f>
        <v/>
      </c>
    </row>
    <row r="1975">
      <c r="A1975" s="46" t="n"/>
      <c r="B1975" s="54" t="n"/>
      <c r="C1975" s="46" t="n"/>
      <c r="D1975" s="46" t="n"/>
      <c r="E1975" s="55" t="n"/>
      <c r="F1975" s="46" t="n"/>
      <c r="G1975" s="46" t="n"/>
      <c r="H1975" s="46" t="n"/>
      <c r="I1975" s="46" t="n"/>
      <c r="J1975" s="46" t="n"/>
      <c r="K1975" s="46" t="n"/>
      <c r="L1975" s="46" t="n"/>
      <c r="M1975" s="51" t="str">
        <f>IF(NOT(ISNUMBER($E1975)),"",IF($C1975="Receipt",$E1975,IF($C1975="Shipment",-$E1975,IF($C1975="Adjustment",$E1975,0))))</f>
        <v/>
      </c>
      <c r="N1975" s="49" t="str">
        <f>IF($D1975="","",IFERROR(INDEX(Products!$B$2:$B$101,MATCH($D1975,Products!$A$2:$A$101,0))&amp;"","(not found)"))</f>
        <v/>
      </c>
      <c r="O1975" s="49" t="str">
        <f>IF($F1975="","",IFERROR(INDEX(Batches!$B$2:$B$301,MATCH($F1975,Batches!$A$2:$A$301,0))&amp;"","(not found)"))</f>
        <v/>
      </c>
      <c r="P1975" s="49" t="str">
        <f>IF(COUNTA($A1975:$L1975)=0,"",IF($A1975="","Missing: entry ID",IF(COUNTIF($A$2:$A$2001,$A1975)&gt;1,"Duplicate entry ID",IF(NOT(ISNUMBER($B1975)),"Missing or invalid: date",IF($C1975="","Missing: type",IF($D1975="","Missing: SKU",IF(NOT(ISNUMBER($E1975)),"Missing: qty",IF($F1975="","Missing: lot",IF($I1975="","Missing: source link",IF(COUNTIF(Config!$A$15:$A$34,$C1975)=0,"Unsupported type",IF(COUNTIF(Products!$A$2:$A$101,$D1975)=0,"Unknown SKU",IF(COUNTIFS(Batches!$A$2:$A$301,$F1975,Batches!$B$2:$B$301,$D1975)=0,"Unknown lot for this SKU",IF(AND($C1975="Adjustment",$G1975=""),"Missing: reason",IF(AND($G1975&lt;&gt;"",COUNTIF(Config!$B$15:$B$34,$G1975)=0),"Unsupported reason",IF(OR(INT($E1975)&lt;&gt;$E1975,AND(OR($C1975="Receipt",$C1975="Shipment"),$E1975&lt;=0),AND($C1975="Adjustment",$E1975=0)),"Invalid qty",IF($B1975&gt;Config!$B$4,"Date after the as-of date",IF($B1975&lt;Config!$B$5,"Date before the opening balance date","OK")))))))))))))))))</f>
        <v/>
      </c>
    </row>
    <row r="1976">
      <c r="A1976" s="46" t="n"/>
      <c r="B1976" s="54" t="n"/>
      <c r="C1976" s="46" t="n"/>
      <c r="D1976" s="46" t="n"/>
      <c r="E1976" s="55" t="n"/>
      <c r="F1976" s="46" t="n"/>
      <c r="G1976" s="46" t="n"/>
      <c r="H1976" s="46" t="n"/>
      <c r="I1976" s="46" t="n"/>
      <c r="J1976" s="46" t="n"/>
      <c r="K1976" s="46" t="n"/>
      <c r="L1976" s="46" t="n"/>
      <c r="M1976" s="51" t="str">
        <f>IF(NOT(ISNUMBER($E1976)),"",IF($C1976="Receipt",$E1976,IF($C1976="Shipment",-$E1976,IF($C1976="Adjustment",$E1976,0))))</f>
        <v/>
      </c>
      <c r="N1976" s="49" t="str">
        <f>IF($D1976="","",IFERROR(INDEX(Products!$B$2:$B$101,MATCH($D1976,Products!$A$2:$A$101,0))&amp;"","(not found)"))</f>
        <v/>
      </c>
      <c r="O1976" s="49" t="str">
        <f>IF($F1976="","",IFERROR(INDEX(Batches!$B$2:$B$301,MATCH($F1976,Batches!$A$2:$A$301,0))&amp;"","(not found)"))</f>
        <v/>
      </c>
      <c r="P1976" s="49" t="str">
        <f>IF(COUNTA($A1976:$L1976)=0,"",IF($A1976="","Missing: entry ID",IF(COUNTIF($A$2:$A$2001,$A1976)&gt;1,"Duplicate entry ID",IF(NOT(ISNUMBER($B1976)),"Missing or invalid: date",IF($C1976="","Missing: type",IF($D1976="","Missing: SKU",IF(NOT(ISNUMBER($E1976)),"Missing: qty",IF($F1976="","Missing: lot",IF($I1976="","Missing: source link",IF(COUNTIF(Config!$A$15:$A$34,$C1976)=0,"Unsupported type",IF(COUNTIF(Products!$A$2:$A$101,$D1976)=0,"Unknown SKU",IF(COUNTIFS(Batches!$A$2:$A$301,$F1976,Batches!$B$2:$B$301,$D1976)=0,"Unknown lot for this SKU",IF(AND($C1976="Adjustment",$G1976=""),"Missing: reason",IF(AND($G1976&lt;&gt;"",COUNTIF(Config!$B$15:$B$34,$G1976)=0),"Unsupported reason",IF(OR(INT($E1976)&lt;&gt;$E1976,AND(OR($C1976="Receipt",$C1976="Shipment"),$E1976&lt;=0),AND($C1976="Adjustment",$E1976=0)),"Invalid qty",IF($B1976&gt;Config!$B$4,"Date after the as-of date",IF($B1976&lt;Config!$B$5,"Date before the opening balance date","OK")))))))))))))))))</f>
        <v/>
      </c>
    </row>
    <row r="1977">
      <c r="A1977" s="46" t="n"/>
      <c r="B1977" s="54" t="n"/>
      <c r="C1977" s="46" t="n"/>
      <c r="D1977" s="46" t="n"/>
      <c r="E1977" s="55" t="n"/>
      <c r="F1977" s="46" t="n"/>
      <c r="G1977" s="46" t="n"/>
      <c r="H1977" s="46" t="n"/>
      <c r="I1977" s="46" t="n"/>
      <c r="J1977" s="46" t="n"/>
      <c r="K1977" s="46" t="n"/>
      <c r="L1977" s="46" t="n"/>
      <c r="M1977" s="51" t="str">
        <f>IF(NOT(ISNUMBER($E1977)),"",IF($C1977="Receipt",$E1977,IF($C1977="Shipment",-$E1977,IF($C1977="Adjustment",$E1977,0))))</f>
        <v/>
      </c>
      <c r="N1977" s="49" t="str">
        <f>IF($D1977="","",IFERROR(INDEX(Products!$B$2:$B$101,MATCH($D1977,Products!$A$2:$A$101,0))&amp;"","(not found)"))</f>
        <v/>
      </c>
      <c r="O1977" s="49" t="str">
        <f>IF($F1977="","",IFERROR(INDEX(Batches!$B$2:$B$301,MATCH($F1977,Batches!$A$2:$A$301,0))&amp;"","(not found)"))</f>
        <v/>
      </c>
      <c r="P1977" s="49" t="str">
        <f>IF(COUNTA($A1977:$L1977)=0,"",IF($A1977="","Missing: entry ID",IF(COUNTIF($A$2:$A$2001,$A1977)&gt;1,"Duplicate entry ID",IF(NOT(ISNUMBER($B1977)),"Missing or invalid: date",IF($C1977="","Missing: type",IF($D1977="","Missing: SKU",IF(NOT(ISNUMBER($E1977)),"Missing: qty",IF($F1977="","Missing: lot",IF($I1977="","Missing: source link",IF(COUNTIF(Config!$A$15:$A$34,$C1977)=0,"Unsupported type",IF(COUNTIF(Products!$A$2:$A$101,$D1977)=0,"Unknown SKU",IF(COUNTIFS(Batches!$A$2:$A$301,$F1977,Batches!$B$2:$B$301,$D1977)=0,"Unknown lot for this SKU",IF(AND($C1977="Adjustment",$G1977=""),"Missing: reason",IF(AND($G1977&lt;&gt;"",COUNTIF(Config!$B$15:$B$34,$G1977)=0),"Unsupported reason",IF(OR(INT($E1977)&lt;&gt;$E1977,AND(OR($C1977="Receipt",$C1977="Shipment"),$E1977&lt;=0),AND($C1977="Adjustment",$E1977=0)),"Invalid qty",IF($B1977&gt;Config!$B$4,"Date after the as-of date",IF($B1977&lt;Config!$B$5,"Date before the opening balance date","OK")))))))))))))))))</f>
        <v/>
      </c>
    </row>
    <row r="1978">
      <c r="A1978" s="46" t="n"/>
      <c r="B1978" s="54" t="n"/>
      <c r="C1978" s="46" t="n"/>
      <c r="D1978" s="46" t="n"/>
      <c r="E1978" s="55" t="n"/>
      <c r="F1978" s="46" t="n"/>
      <c r="G1978" s="46" t="n"/>
      <c r="H1978" s="46" t="n"/>
      <c r="I1978" s="46" t="n"/>
      <c r="J1978" s="46" t="n"/>
      <c r="K1978" s="46" t="n"/>
      <c r="L1978" s="46" t="n"/>
      <c r="M1978" s="51" t="str">
        <f>IF(NOT(ISNUMBER($E1978)),"",IF($C1978="Receipt",$E1978,IF($C1978="Shipment",-$E1978,IF($C1978="Adjustment",$E1978,0))))</f>
        <v/>
      </c>
      <c r="N1978" s="49" t="str">
        <f>IF($D1978="","",IFERROR(INDEX(Products!$B$2:$B$101,MATCH($D1978,Products!$A$2:$A$101,0))&amp;"","(not found)"))</f>
        <v/>
      </c>
      <c r="O1978" s="49" t="str">
        <f>IF($F1978="","",IFERROR(INDEX(Batches!$B$2:$B$301,MATCH($F1978,Batches!$A$2:$A$301,0))&amp;"","(not found)"))</f>
        <v/>
      </c>
      <c r="P1978" s="49" t="str">
        <f>IF(COUNTA($A1978:$L1978)=0,"",IF($A1978="","Missing: entry ID",IF(COUNTIF($A$2:$A$2001,$A1978)&gt;1,"Duplicate entry ID",IF(NOT(ISNUMBER($B1978)),"Missing or invalid: date",IF($C1978="","Missing: type",IF($D1978="","Missing: SKU",IF(NOT(ISNUMBER($E1978)),"Missing: qty",IF($F1978="","Missing: lot",IF($I1978="","Missing: source link",IF(COUNTIF(Config!$A$15:$A$34,$C1978)=0,"Unsupported type",IF(COUNTIF(Products!$A$2:$A$101,$D1978)=0,"Unknown SKU",IF(COUNTIFS(Batches!$A$2:$A$301,$F1978,Batches!$B$2:$B$301,$D1978)=0,"Unknown lot for this SKU",IF(AND($C1978="Adjustment",$G1978=""),"Missing: reason",IF(AND($G1978&lt;&gt;"",COUNTIF(Config!$B$15:$B$34,$G1978)=0),"Unsupported reason",IF(OR(INT($E1978)&lt;&gt;$E1978,AND(OR($C1978="Receipt",$C1978="Shipment"),$E1978&lt;=0),AND($C1978="Adjustment",$E1978=0)),"Invalid qty",IF($B1978&gt;Config!$B$4,"Date after the as-of date",IF($B1978&lt;Config!$B$5,"Date before the opening balance date","OK")))))))))))))))))</f>
        <v/>
      </c>
    </row>
    <row r="1979">
      <c r="A1979" s="46" t="n"/>
      <c r="B1979" s="54" t="n"/>
      <c r="C1979" s="46" t="n"/>
      <c r="D1979" s="46" t="n"/>
      <c r="E1979" s="55" t="n"/>
      <c r="F1979" s="46" t="n"/>
      <c r="G1979" s="46" t="n"/>
      <c r="H1979" s="46" t="n"/>
      <c r="I1979" s="46" t="n"/>
      <c r="J1979" s="46" t="n"/>
      <c r="K1979" s="46" t="n"/>
      <c r="L1979" s="46" t="n"/>
      <c r="M1979" s="51" t="str">
        <f>IF(NOT(ISNUMBER($E1979)),"",IF($C1979="Receipt",$E1979,IF($C1979="Shipment",-$E1979,IF($C1979="Adjustment",$E1979,0))))</f>
        <v/>
      </c>
      <c r="N1979" s="49" t="str">
        <f>IF($D1979="","",IFERROR(INDEX(Products!$B$2:$B$101,MATCH($D1979,Products!$A$2:$A$101,0))&amp;"","(not found)"))</f>
        <v/>
      </c>
      <c r="O1979" s="49" t="str">
        <f>IF($F1979="","",IFERROR(INDEX(Batches!$B$2:$B$301,MATCH($F1979,Batches!$A$2:$A$301,0))&amp;"","(not found)"))</f>
        <v/>
      </c>
      <c r="P1979" s="49" t="str">
        <f>IF(COUNTA($A1979:$L1979)=0,"",IF($A1979="","Missing: entry ID",IF(COUNTIF($A$2:$A$2001,$A1979)&gt;1,"Duplicate entry ID",IF(NOT(ISNUMBER($B1979)),"Missing or invalid: date",IF($C1979="","Missing: type",IF($D1979="","Missing: SKU",IF(NOT(ISNUMBER($E1979)),"Missing: qty",IF($F1979="","Missing: lot",IF($I1979="","Missing: source link",IF(COUNTIF(Config!$A$15:$A$34,$C1979)=0,"Unsupported type",IF(COUNTIF(Products!$A$2:$A$101,$D1979)=0,"Unknown SKU",IF(COUNTIFS(Batches!$A$2:$A$301,$F1979,Batches!$B$2:$B$301,$D1979)=0,"Unknown lot for this SKU",IF(AND($C1979="Adjustment",$G1979=""),"Missing: reason",IF(AND($G1979&lt;&gt;"",COUNTIF(Config!$B$15:$B$34,$G1979)=0),"Unsupported reason",IF(OR(INT($E1979)&lt;&gt;$E1979,AND(OR($C1979="Receipt",$C1979="Shipment"),$E1979&lt;=0),AND($C1979="Adjustment",$E1979=0)),"Invalid qty",IF($B1979&gt;Config!$B$4,"Date after the as-of date",IF($B1979&lt;Config!$B$5,"Date before the opening balance date","OK")))))))))))))))))</f>
        <v/>
      </c>
    </row>
    <row r="1980">
      <c r="A1980" s="46" t="n"/>
      <c r="B1980" s="54" t="n"/>
      <c r="C1980" s="46" t="n"/>
      <c r="D1980" s="46" t="n"/>
      <c r="E1980" s="55" t="n"/>
      <c r="F1980" s="46" t="n"/>
      <c r="G1980" s="46" t="n"/>
      <c r="H1980" s="46" t="n"/>
      <c r="I1980" s="46" t="n"/>
      <c r="J1980" s="46" t="n"/>
      <c r="K1980" s="46" t="n"/>
      <c r="L1980" s="46" t="n"/>
      <c r="M1980" s="51" t="str">
        <f>IF(NOT(ISNUMBER($E1980)),"",IF($C1980="Receipt",$E1980,IF($C1980="Shipment",-$E1980,IF($C1980="Adjustment",$E1980,0))))</f>
        <v/>
      </c>
      <c r="N1980" s="49" t="str">
        <f>IF($D1980="","",IFERROR(INDEX(Products!$B$2:$B$101,MATCH($D1980,Products!$A$2:$A$101,0))&amp;"","(not found)"))</f>
        <v/>
      </c>
      <c r="O1980" s="49" t="str">
        <f>IF($F1980="","",IFERROR(INDEX(Batches!$B$2:$B$301,MATCH($F1980,Batches!$A$2:$A$301,0))&amp;"","(not found)"))</f>
        <v/>
      </c>
      <c r="P1980" s="49" t="str">
        <f>IF(COUNTA($A1980:$L1980)=0,"",IF($A1980="","Missing: entry ID",IF(COUNTIF($A$2:$A$2001,$A1980)&gt;1,"Duplicate entry ID",IF(NOT(ISNUMBER($B1980)),"Missing or invalid: date",IF($C1980="","Missing: type",IF($D1980="","Missing: SKU",IF(NOT(ISNUMBER($E1980)),"Missing: qty",IF($F1980="","Missing: lot",IF($I1980="","Missing: source link",IF(COUNTIF(Config!$A$15:$A$34,$C1980)=0,"Unsupported type",IF(COUNTIF(Products!$A$2:$A$101,$D1980)=0,"Unknown SKU",IF(COUNTIFS(Batches!$A$2:$A$301,$F1980,Batches!$B$2:$B$301,$D1980)=0,"Unknown lot for this SKU",IF(AND($C1980="Adjustment",$G1980=""),"Missing: reason",IF(AND($G1980&lt;&gt;"",COUNTIF(Config!$B$15:$B$34,$G1980)=0),"Unsupported reason",IF(OR(INT($E1980)&lt;&gt;$E1980,AND(OR($C1980="Receipt",$C1980="Shipment"),$E1980&lt;=0),AND($C1980="Adjustment",$E1980=0)),"Invalid qty",IF($B1980&gt;Config!$B$4,"Date after the as-of date",IF($B1980&lt;Config!$B$5,"Date before the opening balance date","OK")))))))))))))))))</f>
        <v/>
      </c>
    </row>
    <row r="1981">
      <c r="A1981" s="46" t="n"/>
      <c r="B1981" s="54" t="n"/>
      <c r="C1981" s="46" t="n"/>
      <c r="D1981" s="46" t="n"/>
      <c r="E1981" s="55" t="n"/>
      <c r="F1981" s="46" t="n"/>
      <c r="G1981" s="46" t="n"/>
      <c r="H1981" s="46" t="n"/>
      <c r="I1981" s="46" t="n"/>
      <c r="J1981" s="46" t="n"/>
      <c r="K1981" s="46" t="n"/>
      <c r="L1981" s="46" t="n"/>
      <c r="M1981" s="51" t="str">
        <f>IF(NOT(ISNUMBER($E1981)),"",IF($C1981="Receipt",$E1981,IF($C1981="Shipment",-$E1981,IF($C1981="Adjustment",$E1981,0))))</f>
        <v/>
      </c>
      <c r="N1981" s="49" t="str">
        <f>IF($D1981="","",IFERROR(INDEX(Products!$B$2:$B$101,MATCH($D1981,Products!$A$2:$A$101,0))&amp;"","(not found)"))</f>
        <v/>
      </c>
      <c r="O1981" s="49" t="str">
        <f>IF($F1981="","",IFERROR(INDEX(Batches!$B$2:$B$301,MATCH($F1981,Batches!$A$2:$A$301,0))&amp;"","(not found)"))</f>
        <v/>
      </c>
      <c r="P1981" s="49" t="str">
        <f>IF(COUNTA($A1981:$L1981)=0,"",IF($A1981="","Missing: entry ID",IF(COUNTIF($A$2:$A$2001,$A1981)&gt;1,"Duplicate entry ID",IF(NOT(ISNUMBER($B1981)),"Missing or invalid: date",IF($C1981="","Missing: type",IF($D1981="","Missing: SKU",IF(NOT(ISNUMBER($E1981)),"Missing: qty",IF($F1981="","Missing: lot",IF($I1981="","Missing: source link",IF(COUNTIF(Config!$A$15:$A$34,$C1981)=0,"Unsupported type",IF(COUNTIF(Products!$A$2:$A$101,$D1981)=0,"Unknown SKU",IF(COUNTIFS(Batches!$A$2:$A$301,$F1981,Batches!$B$2:$B$301,$D1981)=0,"Unknown lot for this SKU",IF(AND($C1981="Adjustment",$G1981=""),"Missing: reason",IF(AND($G1981&lt;&gt;"",COUNTIF(Config!$B$15:$B$34,$G1981)=0),"Unsupported reason",IF(OR(INT($E1981)&lt;&gt;$E1981,AND(OR($C1981="Receipt",$C1981="Shipment"),$E1981&lt;=0),AND($C1981="Adjustment",$E1981=0)),"Invalid qty",IF($B1981&gt;Config!$B$4,"Date after the as-of date",IF($B1981&lt;Config!$B$5,"Date before the opening balance date","OK")))))))))))))))))</f>
        <v/>
      </c>
    </row>
    <row r="1982">
      <c r="A1982" s="46" t="n"/>
      <c r="B1982" s="54" t="n"/>
      <c r="C1982" s="46" t="n"/>
      <c r="D1982" s="46" t="n"/>
      <c r="E1982" s="55" t="n"/>
      <c r="F1982" s="46" t="n"/>
      <c r="G1982" s="46" t="n"/>
      <c r="H1982" s="46" t="n"/>
      <c r="I1982" s="46" t="n"/>
      <c r="J1982" s="46" t="n"/>
      <c r="K1982" s="46" t="n"/>
      <c r="L1982" s="46" t="n"/>
      <c r="M1982" s="51" t="str">
        <f>IF(NOT(ISNUMBER($E1982)),"",IF($C1982="Receipt",$E1982,IF($C1982="Shipment",-$E1982,IF($C1982="Adjustment",$E1982,0))))</f>
        <v/>
      </c>
      <c r="N1982" s="49" t="str">
        <f>IF($D1982="","",IFERROR(INDEX(Products!$B$2:$B$101,MATCH($D1982,Products!$A$2:$A$101,0))&amp;"","(not found)"))</f>
        <v/>
      </c>
      <c r="O1982" s="49" t="str">
        <f>IF($F1982="","",IFERROR(INDEX(Batches!$B$2:$B$301,MATCH($F1982,Batches!$A$2:$A$301,0))&amp;"","(not found)"))</f>
        <v/>
      </c>
      <c r="P1982" s="49" t="str">
        <f>IF(COUNTA($A1982:$L1982)=0,"",IF($A1982="","Missing: entry ID",IF(COUNTIF($A$2:$A$2001,$A1982)&gt;1,"Duplicate entry ID",IF(NOT(ISNUMBER($B1982)),"Missing or invalid: date",IF($C1982="","Missing: type",IF($D1982="","Missing: SKU",IF(NOT(ISNUMBER($E1982)),"Missing: qty",IF($F1982="","Missing: lot",IF($I1982="","Missing: source link",IF(COUNTIF(Config!$A$15:$A$34,$C1982)=0,"Unsupported type",IF(COUNTIF(Products!$A$2:$A$101,$D1982)=0,"Unknown SKU",IF(COUNTIFS(Batches!$A$2:$A$301,$F1982,Batches!$B$2:$B$301,$D1982)=0,"Unknown lot for this SKU",IF(AND($C1982="Adjustment",$G1982=""),"Missing: reason",IF(AND($G1982&lt;&gt;"",COUNTIF(Config!$B$15:$B$34,$G1982)=0),"Unsupported reason",IF(OR(INT($E1982)&lt;&gt;$E1982,AND(OR($C1982="Receipt",$C1982="Shipment"),$E1982&lt;=0),AND($C1982="Adjustment",$E1982=0)),"Invalid qty",IF($B1982&gt;Config!$B$4,"Date after the as-of date",IF($B1982&lt;Config!$B$5,"Date before the opening balance date","OK")))))))))))))))))</f>
        <v/>
      </c>
    </row>
    <row r="1983">
      <c r="A1983" s="46" t="n"/>
      <c r="B1983" s="54" t="n"/>
      <c r="C1983" s="46" t="n"/>
      <c r="D1983" s="46" t="n"/>
      <c r="E1983" s="55" t="n"/>
      <c r="F1983" s="46" t="n"/>
      <c r="G1983" s="46" t="n"/>
      <c r="H1983" s="46" t="n"/>
      <c r="I1983" s="46" t="n"/>
      <c r="J1983" s="46" t="n"/>
      <c r="K1983" s="46" t="n"/>
      <c r="L1983" s="46" t="n"/>
      <c r="M1983" s="51" t="str">
        <f>IF(NOT(ISNUMBER($E1983)),"",IF($C1983="Receipt",$E1983,IF($C1983="Shipment",-$E1983,IF($C1983="Adjustment",$E1983,0))))</f>
        <v/>
      </c>
      <c r="N1983" s="49" t="str">
        <f>IF($D1983="","",IFERROR(INDEX(Products!$B$2:$B$101,MATCH($D1983,Products!$A$2:$A$101,0))&amp;"","(not found)"))</f>
        <v/>
      </c>
      <c r="O1983" s="49" t="str">
        <f>IF($F1983="","",IFERROR(INDEX(Batches!$B$2:$B$301,MATCH($F1983,Batches!$A$2:$A$301,0))&amp;"","(not found)"))</f>
        <v/>
      </c>
      <c r="P1983" s="49" t="str">
        <f>IF(COUNTA($A1983:$L1983)=0,"",IF($A1983="","Missing: entry ID",IF(COUNTIF($A$2:$A$2001,$A1983)&gt;1,"Duplicate entry ID",IF(NOT(ISNUMBER($B1983)),"Missing or invalid: date",IF($C1983="","Missing: type",IF($D1983="","Missing: SKU",IF(NOT(ISNUMBER($E1983)),"Missing: qty",IF($F1983="","Missing: lot",IF($I1983="","Missing: source link",IF(COUNTIF(Config!$A$15:$A$34,$C1983)=0,"Unsupported type",IF(COUNTIF(Products!$A$2:$A$101,$D1983)=0,"Unknown SKU",IF(COUNTIFS(Batches!$A$2:$A$301,$F1983,Batches!$B$2:$B$301,$D1983)=0,"Unknown lot for this SKU",IF(AND($C1983="Adjustment",$G1983=""),"Missing: reason",IF(AND($G1983&lt;&gt;"",COUNTIF(Config!$B$15:$B$34,$G1983)=0),"Unsupported reason",IF(OR(INT($E1983)&lt;&gt;$E1983,AND(OR($C1983="Receipt",$C1983="Shipment"),$E1983&lt;=0),AND($C1983="Adjustment",$E1983=0)),"Invalid qty",IF($B1983&gt;Config!$B$4,"Date after the as-of date",IF($B1983&lt;Config!$B$5,"Date before the opening balance date","OK")))))))))))))))))</f>
        <v/>
      </c>
    </row>
    <row r="1984">
      <c r="A1984" s="46" t="n"/>
      <c r="B1984" s="54" t="n"/>
      <c r="C1984" s="46" t="n"/>
      <c r="D1984" s="46" t="n"/>
      <c r="E1984" s="55" t="n"/>
      <c r="F1984" s="46" t="n"/>
      <c r="G1984" s="46" t="n"/>
      <c r="H1984" s="46" t="n"/>
      <c r="I1984" s="46" t="n"/>
      <c r="J1984" s="46" t="n"/>
      <c r="K1984" s="46" t="n"/>
      <c r="L1984" s="46" t="n"/>
      <c r="M1984" s="51" t="str">
        <f>IF(NOT(ISNUMBER($E1984)),"",IF($C1984="Receipt",$E1984,IF($C1984="Shipment",-$E1984,IF($C1984="Adjustment",$E1984,0))))</f>
        <v/>
      </c>
      <c r="N1984" s="49" t="str">
        <f>IF($D1984="","",IFERROR(INDEX(Products!$B$2:$B$101,MATCH($D1984,Products!$A$2:$A$101,0))&amp;"","(not found)"))</f>
        <v/>
      </c>
      <c r="O1984" s="49" t="str">
        <f>IF($F1984="","",IFERROR(INDEX(Batches!$B$2:$B$301,MATCH($F1984,Batches!$A$2:$A$301,0))&amp;"","(not found)"))</f>
        <v/>
      </c>
      <c r="P1984" s="49" t="str">
        <f>IF(COUNTA($A1984:$L1984)=0,"",IF($A1984="","Missing: entry ID",IF(COUNTIF($A$2:$A$2001,$A1984)&gt;1,"Duplicate entry ID",IF(NOT(ISNUMBER($B1984)),"Missing or invalid: date",IF($C1984="","Missing: type",IF($D1984="","Missing: SKU",IF(NOT(ISNUMBER($E1984)),"Missing: qty",IF($F1984="","Missing: lot",IF($I1984="","Missing: source link",IF(COUNTIF(Config!$A$15:$A$34,$C1984)=0,"Unsupported type",IF(COUNTIF(Products!$A$2:$A$101,$D1984)=0,"Unknown SKU",IF(COUNTIFS(Batches!$A$2:$A$301,$F1984,Batches!$B$2:$B$301,$D1984)=0,"Unknown lot for this SKU",IF(AND($C1984="Adjustment",$G1984=""),"Missing: reason",IF(AND($G1984&lt;&gt;"",COUNTIF(Config!$B$15:$B$34,$G1984)=0),"Unsupported reason",IF(OR(INT($E1984)&lt;&gt;$E1984,AND(OR($C1984="Receipt",$C1984="Shipment"),$E1984&lt;=0),AND($C1984="Adjustment",$E1984=0)),"Invalid qty",IF($B1984&gt;Config!$B$4,"Date after the as-of date",IF($B1984&lt;Config!$B$5,"Date before the opening balance date","OK")))))))))))))))))</f>
        <v/>
      </c>
    </row>
    <row r="1985">
      <c r="A1985" s="46" t="n"/>
      <c r="B1985" s="54" t="n"/>
      <c r="C1985" s="46" t="n"/>
      <c r="D1985" s="46" t="n"/>
      <c r="E1985" s="55" t="n"/>
      <c r="F1985" s="46" t="n"/>
      <c r="G1985" s="46" t="n"/>
      <c r="H1985" s="46" t="n"/>
      <c r="I1985" s="46" t="n"/>
      <c r="J1985" s="46" t="n"/>
      <c r="K1985" s="46" t="n"/>
      <c r="L1985" s="46" t="n"/>
      <c r="M1985" s="51" t="str">
        <f>IF(NOT(ISNUMBER($E1985)),"",IF($C1985="Receipt",$E1985,IF($C1985="Shipment",-$E1985,IF($C1985="Adjustment",$E1985,0))))</f>
        <v/>
      </c>
      <c r="N1985" s="49" t="str">
        <f>IF($D1985="","",IFERROR(INDEX(Products!$B$2:$B$101,MATCH($D1985,Products!$A$2:$A$101,0))&amp;"","(not found)"))</f>
        <v/>
      </c>
      <c r="O1985" s="49" t="str">
        <f>IF($F1985="","",IFERROR(INDEX(Batches!$B$2:$B$301,MATCH($F1985,Batches!$A$2:$A$301,0))&amp;"","(not found)"))</f>
        <v/>
      </c>
      <c r="P1985" s="49" t="str">
        <f>IF(COUNTA($A1985:$L1985)=0,"",IF($A1985="","Missing: entry ID",IF(COUNTIF($A$2:$A$2001,$A1985)&gt;1,"Duplicate entry ID",IF(NOT(ISNUMBER($B1985)),"Missing or invalid: date",IF($C1985="","Missing: type",IF($D1985="","Missing: SKU",IF(NOT(ISNUMBER($E1985)),"Missing: qty",IF($F1985="","Missing: lot",IF($I1985="","Missing: source link",IF(COUNTIF(Config!$A$15:$A$34,$C1985)=0,"Unsupported type",IF(COUNTIF(Products!$A$2:$A$101,$D1985)=0,"Unknown SKU",IF(COUNTIFS(Batches!$A$2:$A$301,$F1985,Batches!$B$2:$B$301,$D1985)=0,"Unknown lot for this SKU",IF(AND($C1985="Adjustment",$G1985=""),"Missing: reason",IF(AND($G1985&lt;&gt;"",COUNTIF(Config!$B$15:$B$34,$G1985)=0),"Unsupported reason",IF(OR(INT($E1985)&lt;&gt;$E1985,AND(OR($C1985="Receipt",$C1985="Shipment"),$E1985&lt;=0),AND($C1985="Adjustment",$E1985=0)),"Invalid qty",IF($B1985&gt;Config!$B$4,"Date after the as-of date",IF($B1985&lt;Config!$B$5,"Date before the opening balance date","OK")))))))))))))))))</f>
        <v/>
      </c>
    </row>
    <row r="1986">
      <c r="A1986" s="46" t="n"/>
      <c r="B1986" s="54" t="n"/>
      <c r="C1986" s="46" t="n"/>
      <c r="D1986" s="46" t="n"/>
      <c r="E1986" s="55" t="n"/>
      <c r="F1986" s="46" t="n"/>
      <c r="G1986" s="46" t="n"/>
      <c r="H1986" s="46" t="n"/>
      <c r="I1986" s="46" t="n"/>
      <c r="J1986" s="46" t="n"/>
      <c r="K1986" s="46" t="n"/>
      <c r="L1986" s="46" t="n"/>
      <c r="M1986" s="51" t="str">
        <f>IF(NOT(ISNUMBER($E1986)),"",IF($C1986="Receipt",$E1986,IF($C1986="Shipment",-$E1986,IF($C1986="Adjustment",$E1986,0))))</f>
        <v/>
      </c>
      <c r="N1986" s="49" t="str">
        <f>IF($D1986="","",IFERROR(INDEX(Products!$B$2:$B$101,MATCH($D1986,Products!$A$2:$A$101,0))&amp;"","(not found)"))</f>
        <v/>
      </c>
      <c r="O1986" s="49" t="str">
        <f>IF($F1986="","",IFERROR(INDEX(Batches!$B$2:$B$301,MATCH($F1986,Batches!$A$2:$A$301,0))&amp;"","(not found)"))</f>
        <v/>
      </c>
      <c r="P1986" s="49" t="str">
        <f>IF(COUNTA($A1986:$L1986)=0,"",IF($A1986="","Missing: entry ID",IF(COUNTIF($A$2:$A$2001,$A1986)&gt;1,"Duplicate entry ID",IF(NOT(ISNUMBER($B1986)),"Missing or invalid: date",IF($C1986="","Missing: type",IF($D1986="","Missing: SKU",IF(NOT(ISNUMBER($E1986)),"Missing: qty",IF($F1986="","Missing: lot",IF($I1986="","Missing: source link",IF(COUNTIF(Config!$A$15:$A$34,$C1986)=0,"Unsupported type",IF(COUNTIF(Products!$A$2:$A$101,$D1986)=0,"Unknown SKU",IF(COUNTIFS(Batches!$A$2:$A$301,$F1986,Batches!$B$2:$B$301,$D1986)=0,"Unknown lot for this SKU",IF(AND($C1986="Adjustment",$G1986=""),"Missing: reason",IF(AND($G1986&lt;&gt;"",COUNTIF(Config!$B$15:$B$34,$G1986)=0),"Unsupported reason",IF(OR(INT($E1986)&lt;&gt;$E1986,AND(OR($C1986="Receipt",$C1986="Shipment"),$E1986&lt;=0),AND($C1986="Adjustment",$E1986=0)),"Invalid qty",IF($B1986&gt;Config!$B$4,"Date after the as-of date",IF($B1986&lt;Config!$B$5,"Date before the opening balance date","OK")))))))))))))))))</f>
        <v/>
      </c>
    </row>
    <row r="1987">
      <c r="A1987" s="46" t="n"/>
      <c r="B1987" s="54" t="n"/>
      <c r="C1987" s="46" t="n"/>
      <c r="D1987" s="46" t="n"/>
      <c r="E1987" s="55" t="n"/>
      <c r="F1987" s="46" t="n"/>
      <c r="G1987" s="46" t="n"/>
      <c r="H1987" s="46" t="n"/>
      <c r="I1987" s="46" t="n"/>
      <c r="J1987" s="46" t="n"/>
      <c r="K1987" s="46" t="n"/>
      <c r="L1987" s="46" t="n"/>
      <c r="M1987" s="51" t="str">
        <f>IF(NOT(ISNUMBER($E1987)),"",IF($C1987="Receipt",$E1987,IF($C1987="Shipment",-$E1987,IF($C1987="Adjustment",$E1987,0))))</f>
        <v/>
      </c>
      <c r="N1987" s="49" t="str">
        <f>IF($D1987="","",IFERROR(INDEX(Products!$B$2:$B$101,MATCH($D1987,Products!$A$2:$A$101,0))&amp;"","(not found)"))</f>
        <v/>
      </c>
      <c r="O1987" s="49" t="str">
        <f>IF($F1987="","",IFERROR(INDEX(Batches!$B$2:$B$301,MATCH($F1987,Batches!$A$2:$A$301,0))&amp;"","(not found)"))</f>
        <v/>
      </c>
      <c r="P1987" s="49" t="str">
        <f>IF(COUNTA($A1987:$L1987)=0,"",IF($A1987="","Missing: entry ID",IF(COUNTIF($A$2:$A$2001,$A1987)&gt;1,"Duplicate entry ID",IF(NOT(ISNUMBER($B1987)),"Missing or invalid: date",IF($C1987="","Missing: type",IF($D1987="","Missing: SKU",IF(NOT(ISNUMBER($E1987)),"Missing: qty",IF($F1987="","Missing: lot",IF($I1987="","Missing: source link",IF(COUNTIF(Config!$A$15:$A$34,$C1987)=0,"Unsupported type",IF(COUNTIF(Products!$A$2:$A$101,$D1987)=0,"Unknown SKU",IF(COUNTIFS(Batches!$A$2:$A$301,$F1987,Batches!$B$2:$B$301,$D1987)=0,"Unknown lot for this SKU",IF(AND($C1987="Adjustment",$G1987=""),"Missing: reason",IF(AND($G1987&lt;&gt;"",COUNTIF(Config!$B$15:$B$34,$G1987)=0),"Unsupported reason",IF(OR(INT($E1987)&lt;&gt;$E1987,AND(OR($C1987="Receipt",$C1987="Shipment"),$E1987&lt;=0),AND($C1987="Adjustment",$E1987=0)),"Invalid qty",IF($B1987&gt;Config!$B$4,"Date after the as-of date",IF($B1987&lt;Config!$B$5,"Date before the opening balance date","OK")))))))))))))))))</f>
        <v/>
      </c>
    </row>
    <row r="1988">
      <c r="A1988" s="46" t="n"/>
      <c r="B1988" s="54" t="n"/>
      <c r="C1988" s="46" t="n"/>
      <c r="D1988" s="46" t="n"/>
      <c r="E1988" s="55" t="n"/>
      <c r="F1988" s="46" t="n"/>
      <c r="G1988" s="46" t="n"/>
      <c r="H1988" s="46" t="n"/>
      <c r="I1988" s="46" t="n"/>
      <c r="J1988" s="46" t="n"/>
      <c r="K1988" s="46" t="n"/>
      <c r="L1988" s="46" t="n"/>
      <c r="M1988" s="51" t="str">
        <f>IF(NOT(ISNUMBER($E1988)),"",IF($C1988="Receipt",$E1988,IF($C1988="Shipment",-$E1988,IF($C1988="Adjustment",$E1988,0))))</f>
        <v/>
      </c>
      <c r="N1988" s="49" t="str">
        <f>IF($D1988="","",IFERROR(INDEX(Products!$B$2:$B$101,MATCH($D1988,Products!$A$2:$A$101,0))&amp;"","(not found)"))</f>
        <v/>
      </c>
      <c r="O1988" s="49" t="str">
        <f>IF($F1988="","",IFERROR(INDEX(Batches!$B$2:$B$301,MATCH($F1988,Batches!$A$2:$A$301,0))&amp;"","(not found)"))</f>
        <v/>
      </c>
      <c r="P1988" s="49" t="str">
        <f>IF(COUNTA($A1988:$L1988)=0,"",IF($A1988="","Missing: entry ID",IF(COUNTIF($A$2:$A$2001,$A1988)&gt;1,"Duplicate entry ID",IF(NOT(ISNUMBER($B1988)),"Missing or invalid: date",IF($C1988="","Missing: type",IF($D1988="","Missing: SKU",IF(NOT(ISNUMBER($E1988)),"Missing: qty",IF($F1988="","Missing: lot",IF($I1988="","Missing: source link",IF(COUNTIF(Config!$A$15:$A$34,$C1988)=0,"Unsupported type",IF(COUNTIF(Products!$A$2:$A$101,$D1988)=0,"Unknown SKU",IF(COUNTIFS(Batches!$A$2:$A$301,$F1988,Batches!$B$2:$B$301,$D1988)=0,"Unknown lot for this SKU",IF(AND($C1988="Adjustment",$G1988=""),"Missing: reason",IF(AND($G1988&lt;&gt;"",COUNTIF(Config!$B$15:$B$34,$G1988)=0),"Unsupported reason",IF(OR(INT($E1988)&lt;&gt;$E1988,AND(OR($C1988="Receipt",$C1988="Shipment"),$E1988&lt;=0),AND($C1988="Adjustment",$E1988=0)),"Invalid qty",IF($B1988&gt;Config!$B$4,"Date after the as-of date",IF($B1988&lt;Config!$B$5,"Date before the opening balance date","OK")))))))))))))))))</f>
        <v/>
      </c>
    </row>
    <row r="1989">
      <c r="A1989" s="46" t="n"/>
      <c r="B1989" s="54" t="n"/>
      <c r="C1989" s="46" t="n"/>
      <c r="D1989" s="46" t="n"/>
      <c r="E1989" s="55" t="n"/>
      <c r="F1989" s="46" t="n"/>
      <c r="G1989" s="46" t="n"/>
      <c r="H1989" s="46" t="n"/>
      <c r="I1989" s="46" t="n"/>
      <c r="J1989" s="46" t="n"/>
      <c r="K1989" s="46" t="n"/>
      <c r="L1989" s="46" t="n"/>
      <c r="M1989" s="51" t="str">
        <f>IF(NOT(ISNUMBER($E1989)),"",IF($C1989="Receipt",$E1989,IF($C1989="Shipment",-$E1989,IF($C1989="Adjustment",$E1989,0))))</f>
        <v/>
      </c>
      <c r="N1989" s="49" t="str">
        <f>IF($D1989="","",IFERROR(INDEX(Products!$B$2:$B$101,MATCH($D1989,Products!$A$2:$A$101,0))&amp;"","(not found)"))</f>
        <v/>
      </c>
      <c r="O1989" s="49" t="str">
        <f>IF($F1989="","",IFERROR(INDEX(Batches!$B$2:$B$301,MATCH($F1989,Batches!$A$2:$A$301,0))&amp;"","(not found)"))</f>
        <v/>
      </c>
      <c r="P1989" s="49" t="str">
        <f>IF(COUNTA($A1989:$L1989)=0,"",IF($A1989="","Missing: entry ID",IF(COUNTIF($A$2:$A$2001,$A1989)&gt;1,"Duplicate entry ID",IF(NOT(ISNUMBER($B1989)),"Missing or invalid: date",IF($C1989="","Missing: type",IF($D1989="","Missing: SKU",IF(NOT(ISNUMBER($E1989)),"Missing: qty",IF($F1989="","Missing: lot",IF($I1989="","Missing: source link",IF(COUNTIF(Config!$A$15:$A$34,$C1989)=0,"Unsupported type",IF(COUNTIF(Products!$A$2:$A$101,$D1989)=0,"Unknown SKU",IF(COUNTIFS(Batches!$A$2:$A$301,$F1989,Batches!$B$2:$B$301,$D1989)=0,"Unknown lot for this SKU",IF(AND($C1989="Adjustment",$G1989=""),"Missing: reason",IF(AND($G1989&lt;&gt;"",COUNTIF(Config!$B$15:$B$34,$G1989)=0),"Unsupported reason",IF(OR(INT($E1989)&lt;&gt;$E1989,AND(OR($C1989="Receipt",$C1989="Shipment"),$E1989&lt;=0),AND($C1989="Adjustment",$E1989=0)),"Invalid qty",IF($B1989&gt;Config!$B$4,"Date after the as-of date",IF($B1989&lt;Config!$B$5,"Date before the opening balance date","OK")))))))))))))))))</f>
        <v/>
      </c>
    </row>
    <row r="1990">
      <c r="A1990" s="46" t="n"/>
      <c r="B1990" s="54" t="n"/>
      <c r="C1990" s="46" t="n"/>
      <c r="D1990" s="46" t="n"/>
      <c r="E1990" s="55" t="n"/>
      <c r="F1990" s="46" t="n"/>
      <c r="G1990" s="46" t="n"/>
      <c r="H1990" s="46" t="n"/>
      <c r="I1990" s="46" t="n"/>
      <c r="J1990" s="46" t="n"/>
      <c r="K1990" s="46" t="n"/>
      <c r="L1990" s="46" t="n"/>
      <c r="M1990" s="51" t="str">
        <f>IF(NOT(ISNUMBER($E1990)),"",IF($C1990="Receipt",$E1990,IF($C1990="Shipment",-$E1990,IF($C1990="Adjustment",$E1990,0))))</f>
        <v/>
      </c>
      <c r="N1990" s="49" t="str">
        <f>IF($D1990="","",IFERROR(INDEX(Products!$B$2:$B$101,MATCH($D1990,Products!$A$2:$A$101,0))&amp;"","(not found)"))</f>
        <v/>
      </c>
      <c r="O1990" s="49" t="str">
        <f>IF($F1990="","",IFERROR(INDEX(Batches!$B$2:$B$301,MATCH($F1990,Batches!$A$2:$A$301,0))&amp;"","(not found)"))</f>
        <v/>
      </c>
      <c r="P1990" s="49" t="str">
        <f>IF(COUNTA($A1990:$L1990)=0,"",IF($A1990="","Missing: entry ID",IF(COUNTIF($A$2:$A$2001,$A1990)&gt;1,"Duplicate entry ID",IF(NOT(ISNUMBER($B1990)),"Missing or invalid: date",IF($C1990="","Missing: type",IF($D1990="","Missing: SKU",IF(NOT(ISNUMBER($E1990)),"Missing: qty",IF($F1990="","Missing: lot",IF($I1990="","Missing: source link",IF(COUNTIF(Config!$A$15:$A$34,$C1990)=0,"Unsupported type",IF(COUNTIF(Products!$A$2:$A$101,$D1990)=0,"Unknown SKU",IF(COUNTIFS(Batches!$A$2:$A$301,$F1990,Batches!$B$2:$B$301,$D1990)=0,"Unknown lot for this SKU",IF(AND($C1990="Adjustment",$G1990=""),"Missing: reason",IF(AND($G1990&lt;&gt;"",COUNTIF(Config!$B$15:$B$34,$G1990)=0),"Unsupported reason",IF(OR(INT($E1990)&lt;&gt;$E1990,AND(OR($C1990="Receipt",$C1990="Shipment"),$E1990&lt;=0),AND($C1990="Adjustment",$E1990=0)),"Invalid qty",IF($B1990&gt;Config!$B$4,"Date after the as-of date",IF($B1990&lt;Config!$B$5,"Date before the opening balance date","OK")))))))))))))))))</f>
        <v/>
      </c>
    </row>
    <row r="1991">
      <c r="A1991" s="46" t="n"/>
      <c r="B1991" s="54" t="n"/>
      <c r="C1991" s="46" t="n"/>
      <c r="D1991" s="46" t="n"/>
      <c r="E1991" s="55" t="n"/>
      <c r="F1991" s="46" t="n"/>
      <c r="G1991" s="46" t="n"/>
      <c r="H1991" s="46" t="n"/>
      <c r="I1991" s="46" t="n"/>
      <c r="J1991" s="46" t="n"/>
      <c r="K1991" s="46" t="n"/>
      <c r="L1991" s="46" t="n"/>
      <c r="M1991" s="51" t="str">
        <f>IF(NOT(ISNUMBER($E1991)),"",IF($C1991="Receipt",$E1991,IF($C1991="Shipment",-$E1991,IF($C1991="Adjustment",$E1991,0))))</f>
        <v/>
      </c>
      <c r="N1991" s="49" t="str">
        <f>IF($D1991="","",IFERROR(INDEX(Products!$B$2:$B$101,MATCH($D1991,Products!$A$2:$A$101,0))&amp;"","(not found)"))</f>
        <v/>
      </c>
      <c r="O1991" s="49" t="str">
        <f>IF($F1991="","",IFERROR(INDEX(Batches!$B$2:$B$301,MATCH($F1991,Batches!$A$2:$A$301,0))&amp;"","(not found)"))</f>
        <v/>
      </c>
      <c r="P1991" s="49" t="str">
        <f>IF(COUNTA($A1991:$L1991)=0,"",IF($A1991="","Missing: entry ID",IF(COUNTIF($A$2:$A$2001,$A1991)&gt;1,"Duplicate entry ID",IF(NOT(ISNUMBER($B1991)),"Missing or invalid: date",IF($C1991="","Missing: type",IF($D1991="","Missing: SKU",IF(NOT(ISNUMBER($E1991)),"Missing: qty",IF($F1991="","Missing: lot",IF($I1991="","Missing: source link",IF(COUNTIF(Config!$A$15:$A$34,$C1991)=0,"Unsupported type",IF(COUNTIF(Products!$A$2:$A$101,$D1991)=0,"Unknown SKU",IF(COUNTIFS(Batches!$A$2:$A$301,$F1991,Batches!$B$2:$B$301,$D1991)=0,"Unknown lot for this SKU",IF(AND($C1991="Adjustment",$G1991=""),"Missing: reason",IF(AND($G1991&lt;&gt;"",COUNTIF(Config!$B$15:$B$34,$G1991)=0),"Unsupported reason",IF(OR(INT($E1991)&lt;&gt;$E1991,AND(OR($C1991="Receipt",$C1991="Shipment"),$E1991&lt;=0),AND($C1991="Adjustment",$E1991=0)),"Invalid qty",IF($B1991&gt;Config!$B$4,"Date after the as-of date",IF($B1991&lt;Config!$B$5,"Date before the opening balance date","OK")))))))))))))))))</f>
        <v/>
      </c>
    </row>
    <row r="1992">
      <c r="A1992" s="46" t="n"/>
      <c r="B1992" s="54" t="n"/>
      <c r="C1992" s="46" t="n"/>
      <c r="D1992" s="46" t="n"/>
      <c r="E1992" s="55" t="n"/>
      <c r="F1992" s="46" t="n"/>
      <c r="G1992" s="46" t="n"/>
      <c r="H1992" s="46" t="n"/>
      <c r="I1992" s="46" t="n"/>
      <c r="J1992" s="46" t="n"/>
      <c r="K1992" s="46" t="n"/>
      <c r="L1992" s="46" t="n"/>
      <c r="M1992" s="51" t="str">
        <f>IF(NOT(ISNUMBER($E1992)),"",IF($C1992="Receipt",$E1992,IF($C1992="Shipment",-$E1992,IF($C1992="Adjustment",$E1992,0))))</f>
        <v/>
      </c>
      <c r="N1992" s="49" t="str">
        <f>IF($D1992="","",IFERROR(INDEX(Products!$B$2:$B$101,MATCH($D1992,Products!$A$2:$A$101,0))&amp;"","(not found)"))</f>
        <v/>
      </c>
      <c r="O1992" s="49" t="str">
        <f>IF($F1992="","",IFERROR(INDEX(Batches!$B$2:$B$301,MATCH($F1992,Batches!$A$2:$A$301,0))&amp;"","(not found)"))</f>
        <v/>
      </c>
      <c r="P1992" s="49" t="str">
        <f>IF(COUNTA($A1992:$L1992)=0,"",IF($A1992="","Missing: entry ID",IF(COUNTIF($A$2:$A$2001,$A1992)&gt;1,"Duplicate entry ID",IF(NOT(ISNUMBER($B1992)),"Missing or invalid: date",IF($C1992="","Missing: type",IF($D1992="","Missing: SKU",IF(NOT(ISNUMBER($E1992)),"Missing: qty",IF($F1992="","Missing: lot",IF($I1992="","Missing: source link",IF(COUNTIF(Config!$A$15:$A$34,$C1992)=0,"Unsupported type",IF(COUNTIF(Products!$A$2:$A$101,$D1992)=0,"Unknown SKU",IF(COUNTIFS(Batches!$A$2:$A$301,$F1992,Batches!$B$2:$B$301,$D1992)=0,"Unknown lot for this SKU",IF(AND($C1992="Adjustment",$G1992=""),"Missing: reason",IF(AND($G1992&lt;&gt;"",COUNTIF(Config!$B$15:$B$34,$G1992)=0),"Unsupported reason",IF(OR(INT($E1992)&lt;&gt;$E1992,AND(OR($C1992="Receipt",$C1992="Shipment"),$E1992&lt;=0),AND($C1992="Adjustment",$E1992=0)),"Invalid qty",IF($B1992&gt;Config!$B$4,"Date after the as-of date",IF($B1992&lt;Config!$B$5,"Date before the opening balance date","OK")))))))))))))))))</f>
        <v/>
      </c>
    </row>
    <row r="1993">
      <c r="A1993" s="46" t="n"/>
      <c r="B1993" s="54" t="n"/>
      <c r="C1993" s="46" t="n"/>
      <c r="D1993" s="46" t="n"/>
      <c r="E1993" s="55" t="n"/>
      <c r="F1993" s="46" t="n"/>
      <c r="G1993" s="46" t="n"/>
      <c r="H1993" s="46" t="n"/>
      <c r="I1993" s="46" t="n"/>
      <c r="J1993" s="46" t="n"/>
      <c r="K1993" s="46" t="n"/>
      <c r="L1993" s="46" t="n"/>
      <c r="M1993" s="51" t="str">
        <f>IF(NOT(ISNUMBER($E1993)),"",IF($C1993="Receipt",$E1993,IF($C1993="Shipment",-$E1993,IF($C1993="Adjustment",$E1993,0))))</f>
        <v/>
      </c>
      <c r="N1993" s="49" t="str">
        <f>IF($D1993="","",IFERROR(INDEX(Products!$B$2:$B$101,MATCH($D1993,Products!$A$2:$A$101,0))&amp;"","(not found)"))</f>
        <v/>
      </c>
      <c r="O1993" s="49" t="str">
        <f>IF($F1993="","",IFERROR(INDEX(Batches!$B$2:$B$301,MATCH($F1993,Batches!$A$2:$A$301,0))&amp;"","(not found)"))</f>
        <v/>
      </c>
      <c r="P1993" s="49" t="str">
        <f>IF(COUNTA($A1993:$L1993)=0,"",IF($A1993="","Missing: entry ID",IF(COUNTIF($A$2:$A$2001,$A1993)&gt;1,"Duplicate entry ID",IF(NOT(ISNUMBER($B1993)),"Missing or invalid: date",IF($C1993="","Missing: type",IF($D1993="","Missing: SKU",IF(NOT(ISNUMBER($E1993)),"Missing: qty",IF($F1993="","Missing: lot",IF($I1993="","Missing: source link",IF(COUNTIF(Config!$A$15:$A$34,$C1993)=0,"Unsupported type",IF(COUNTIF(Products!$A$2:$A$101,$D1993)=0,"Unknown SKU",IF(COUNTIFS(Batches!$A$2:$A$301,$F1993,Batches!$B$2:$B$301,$D1993)=0,"Unknown lot for this SKU",IF(AND($C1993="Adjustment",$G1993=""),"Missing: reason",IF(AND($G1993&lt;&gt;"",COUNTIF(Config!$B$15:$B$34,$G1993)=0),"Unsupported reason",IF(OR(INT($E1993)&lt;&gt;$E1993,AND(OR($C1993="Receipt",$C1993="Shipment"),$E1993&lt;=0),AND($C1993="Adjustment",$E1993=0)),"Invalid qty",IF($B1993&gt;Config!$B$4,"Date after the as-of date",IF($B1993&lt;Config!$B$5,"Date before the opening balance date","OK")))))))))))))))))</f>
        <v/>
      </c>
    </row>
    <row r="1994">
      <c r="A1994" s="46" t="n"/>
      <c r="B1994" s="54" t="n"/>
      <c r="C1994" s="46" t="n"/>
      <c r="D1994" s="46" t="n"/>
      <c r="E1994" s="55" t="n"/>
      <c r="F1994" s="46" t="n"/>
      <c r="G1994" s="46" t="n"/>
      <c r="H1994" s="46" t="n"/>
      <c r="I1994" s="46" t="n"/>
      <c r="J1994" s="46" t="n"/>
      <c r="K1994" s="46" t="n"/>
      <c r="L1994" s="46" t="n"/>
      <c r="M1994" s="51" t="str">
        <f>IF(NOT(ISNUMBER($E1994)),"",IF($C1994="Receipt",$E1994,IF($C1994="Shipment",-$E1994,IF($C1994="Adjustment",$E1994,0))))</f>
        <v/>
      </c>
      <c r="N1994" s="49" t="str">
        <f>IF($D1994="","",IFERROR(INDEX(Products!$B$2:$B$101,MATCH($D1994,Products!$A$2:$A$101,0))&amp;"","(not found)"))</f>
        <v/>
      </c>
      <c r="O1994" s="49" t="str">
        <f>IF($F1994="","",IFERROR(INDEX(Batches!$B$2:$B$301,MATCH($F1994,Batches!$A$2:$A$301,0))&amp;"","(not found)"))</f>
        <v/>
      </c>
      <c r="P1994" s="49" t="str">
        <f>IF(COUNTA($A1994:$L1994)=0,"",IF($A1994="","Missing: entry ID",IF(COUNTIF($A$2:$A$2001,$A1994)&gt;1,"Duplicate entry ID",IF(NOT(ISNUMBER($B1994)),"Missing or invalid: date",IF($C1994="","Missing: type",IF($D1994="","Missing: SKU",IF(NOT(ISNUMBER($E1994)),"Missing: qty",IF($F1994="","Missing: lot",IF($I1994="","Missing: source link",IF(COUNTIF(Config!$A$15:$A$34,$C1994)=0,"Unsupported type",IF(COUNTIF(Products!$A$2:$A$101,$D1994)=0,"Unknown SKU",IF(COUNTIFS(Batches!$A$2:$A$301,$F1994,Batches!$B$2:$B$301,$D1994)=0,"Unknown lot for this SKU",IF(AND($C1994="Adjustment",$G1994=""),"Missing: reason",IF(AND($G1994&lt;&gt;"",COUNTIF(Config!$B$15:$B$34,$G1994)=0),"Unsupported reason",IF(OR(INT($E1994)&lt;&gt;$E1994,AND(OR($C1994="Receipt",$C1994="Shipment"),$E1994&lt;=0),AND($C1994="Adjustment",$E1994=0)),"Invalid qty",IF($B1994&gt;Config!$B$4,"Date after the as-of date",IF($B1994&lt;Config!$B$5,"Date before the opening balance date","OK")))))))))))))))))</f>
        <v/>
      </c>
    </row>
    <row r="1995">
      <c r="A1995" s="46" t="n"/>
      <c r="B1995" s="54" t="n"/>
      <c r="C1995" s="46" t="n"/>
      <c r="D1995" s="46" t="n"/>
      <c r="E1995" s="55" t="n"/>
      <c r="F1995" s="46" t="n"/>
      <c r="G1995" s="46" t="n"/>
      <c r="H1995" s="46" t="n"/>
      <c r="I1995" s="46" t="n"/>
      <c r="J1995" s="46" t="n"/>
      <c r="K1995" s="46" t="n"/>
      <c r="L1995" s="46" t="n"/>
      <c r="M1995" s="51" t="str">
        <f>IF(NOT(ISNUMBER($E1995)),"",IF($C1995="Receipt",$E1995,IF($C1995="Shipment",-$E1995,IF($C1995="Adjustment",$E1995,0))))</f>
        <v/>
      </c>
      <c r="N1995" s="49" t="str">
        <f>IF($D1995="","",IFERROR(INDEX(Products!$B$2:$B$101,MATCH($D1995,Products!$A$2:$A$101,0))&amp;"","(not found)"))</f>
        <v/>
      </c>
      <c r="O1995" s="49" t="str">
        <f>IF($F1995="","",IFERROR(INDEX(Batches!$B$2:$B$301,MATCH($F1995,Batches!$A$2:$A$301,0))&amp;"","(not found)"))</f>
        <v/>
      </c>
      <c r="P1995" s="49" t="str">
        <f>IF(COUNTA($A1995:$L1995)=0,"",IF($A1995="","Missing: entry ID",IF(COUNTIF($A$2:$A$2001,$A1995)&gt;1,"Duplicate entry ID",IF(NOT(ISNUMBER($B1995)),"Missing or invalid: date",IF($C1995="","Missing: type",IF($D1995="","Missing: SKU",IF(NOT(ISNUMBER($E1995)),"Missing: qty",IF($F1995="","Missing: lot",IF($I1995="","Missing: source link",IF(COUNTIF(Config!$A$15:$A$34,$C1995)=0,"Unsupported type",IF(COUNTIF(Products!$A$2:$A$101,$D1995)=0,"Unknown SKU",IF(COUNTIFS(Batches!$A$2:$A$301,$F1995,Batches!$B$2:$B$301,$D1995)=0,"Unknown lot for this SKU",IF(AND($C1995="Adjustment",$G1995=""),"Missing: reason",IF(AND($G1995&lt;&gt;"",COUNTIF(Config!$B$15:$B$34,$G1995)=0),"Unsupported reason",IF(OR(INT($E1995)&lt;&gt;$E1995,AND(OR($C1995="Receipt",$C1995="Shipment"),$E1995&lt;=0),AND($C1995="Adjustment",$E1995=0)),"Invalid qty",IF($B1995&gt;Config!$B$4,"Date after the as-of date",IF($B1995&lt;Config!$B$5,"Date before the opening balance date","OK")))))))))))))))))</f>
        <v/>
      </c>
    </row>
    <row r="1996">
      <c r="A1996" s="46" t="n"/>
      <c r="B1996" s="54" t="n"/>
      <c r="C1996" s="46" t="n"/>
      <c r="D1996" s="46" t="n"/>
      <c r="E1996" s="55" t="n"/>
      <c r="F1996" s="46" t="n"/>
      <c r="G1996" s="46" t="n"/>
      <c r="H1996" s="46" t="n"/>
      <c r="I1996" s="46" t="n"/>
      <c r="J1996" s="46" t="n"/>
      <c r="K1996" s="46" t="n"/>
      <c r="L1996" s="46" t="n"/>
      <c r="M1996" s="51" t="str">
        <f>IF(NOT(ISNUMBER($E1996)),"",IF($C1996="Receipt",$E1996,IF($C1996="Shipment",-$E1996,IF($C1996="Adjustment",$E1996,0))))</f>
        <v/>
      </c>
      <c r="N1996" s="49" t="str">
        <f>IF($D1996="","",IFERROR(INDEX(Products!$B$2:$B$101,MATCH($D1996,Products!$A$2:$A$101,0))&amp;"","(not found)"))</f>
        <v/>
      </c>
      <c r="O1996" s="49" t="str">
        <f>IF($F1996="","",IFERROR(INDEX(Batches!$B$2:$B$301,MATCH($F1996,Batches!$A$2:$A$301,0))&amp;"","(not found)"))</f>
        <v/>
      </c>
      <c r="P1996" s="49" t="str">
        <f>IF(COUNTA($A1996:$L1996)=0,"",IF($A1996="","Missing: entry ID",IF(COUNTIF($A$2:$A$2001,$A1996)&gt;1,"Duplicate entry ID",IF(NOT(ISNUMBER($B1996)),"Missing or invalid: date",IF($C1996="","Missing: type",IF($D1996="","Missing: SKU",IF(NOT(ISNUMBER($E1996)),"Missing: qty",IF($F1996="","Missing: lot",IF($I1996="","Missing: source link",IF(COUNTIF(Config!$A$15:$A$34,$C1996)=0,"Unsupported type",IF(COUNTIF(Products!$A$2:$A$101,$D1996)=0,"Unknown SKU",IF(COUNTIFS(Batches!$A$2:$A$301,$F1996,Batches!$B$2:$B$301,$D1996)=0,"Unknown lot for this SKU",IF(AND($C1996="Adjustment",$G1996=""),"Missing: reason",IF(AND($G1996&lt;&gt;"",COUNTIF(Config!$B$15:$B$34,$G1996)=0),"Unsupported reason",IF(OR(INT($E1996)&lt;&gt;$E1996,AND(OR($C1996="Receipt",$C1996="Shipment"),$E1996&lt;=0),AND($C1996="Adjustment",$E1996=0)),"Invalid qty",IF($B1996&gt;Config!$B$4,"Date after the as-of date",IF($B1996&lt;Config!$B$5,"Date before the opening balance date","OK")))))))))))))))))</f>
        <v/>
      </c>
    </row>
    <row r="1997">
      <c r="A1997" s="46" t="n"/>
      <c r="B1997" s="54" t="n"/>
      <c r="C1997" s="46" t="n"/>
      <c r="D1997" s="46" t="n"/>
      <c r="E1997" s="55" t="n"/>
      <c r="F1997" s="46" t="n"/>
      <c r="G1997" s="46" t="n"/>
      <c r="H1997" s="46" t="n"/>
      <c r="I1997" s="46" t="n"/>
      <c r="J1997" s="46" t="n"/>
      <c r="K1997" s="46" t="n"/>
      <c r="L1997" s="46" t="n"/>
      <c r="M1997" s="51" t="str">
        <f>IF(NOT(ISNUMBER($E1997)),"",IF($C1997="Receipt",$E1997,IF($C1997="Shipment",-$E1997,IF($C1997="Adjustment",$E1997,0))))</f>
        <v/>
      </c>
      <c r="N1997" s="49" t="str">
        <f>IF($D1997="","",IFERROR(INDEX(Products!$B$2:$B$101,MATCH($D1997,Products!$A$2:$A$101,0))&amp;"","(not found)"))</f>
        <v/>
      </c>
      <c r="O1997" s="49" t="str">
        <f>IF($F1997="","",IFERROR(INDEX(Batches!$B$2:$B$301,MATCH($F1997,Batches!$A$2:$A$301,0))&amp;"","(not found)"))</f>
        <v/>
      </c>
      <c r="P1997" s="49" t="str">
        <f>IF(COUNTA($A1997:$L1997)=0,"",IF($A1997="","Missing: entry ID",IF(COUNTIF($A$2:$A$2001,$A1997)&gt;1,"Duplicate entry ID",IF(NOT(ISNUMBER($B1997)),"Missing or invalid: date",IF($C1997="","Missing: type",IF($D1997="","Missing: SKU",IF(NOT(ISNUMBER($E1997)),"Missing: qty",IF($F1997="","Missing: lot",IF($I1997="","Missing: source link",IF(COUNTIF(Config!$A$15:$A$34,$C1997)=0,"Unsupported type",IF(COUNTIF(Products!$A$2:$A$101,$D1997)=0,"Unknown SKU",IF(COUNTIFS(Batches!$A$2:$A$301,$F1997,Batches!$B$2:$B$301,$D1997)=0,"Unknown lot for this SKU",IF(AND($C1997="Adjustment",$G1997=""),"Missing: reason",IF(AND($G1997&lt;&gt;"",COUNTIF(Config!$B$15:$B$34,$G1997)=0),"Unsupported reason",IF(OR(INT($E1997)&lt;&gt;$E1997,AND(OR($C1997="Receipt",$C1997="Shipment"),$E1997&lt;=0),AND($C1997="Adjustment",$E1997=0)),"Invalid qty",IF($B1997&gt;Config!$B$4,"Date after the as-of date",IF($B1997&lt;Config!$B$5,"Date before the opening balance date","OK")))))))))))))))))</f>
        <v/>
      </c>
    </row>
    <row r="1998">
      <c r="A1998" s="46" t="n"/>
      <c r="B1998" s="54" t="n"/>
      <c r="C1998" s="46" t="n"/>
      <c r="D1998" s="46" t="n"/>
      <c r="E1998" s="55" t="n"/>
      <c r="F1998" s="46" t="n"/>
      <c r="G1998" s="46" t="n"/>
      <c r="H1998" s="46" t="n"/>
      <c r="I1998" s="46" t="n"/>
      <c r="J1998" s="46" t="n"/>
      <c r="K1998" s="46" t="n"/>
      <c r="L1998" s="46" t="n"/>
      <c r="M1998" s="51" t="str">
        <f>IF(NOT(ISNUMBER($E1998)),"",IF($C1998="Receipt",$E1998,IF($C1998="Shipment",-$E1998,IF($C1998="Adjustment",$E1998,0))))</f>
        <v/>
      </c>
      <c r="N1998" s="49" t="str">
        <f>IF($D1998="","",IFERROR(INDEX(Products!$B$2:$B$101,MATCH($D1998,Products!$A$2:$A$101,0))&amp;"","(not found)"))</f>
        <v/>
      </c>
      <c r="O1998" s="49" t="str">
        <f>IF($F1998="","",IFERROR(INDEX(Batches!$B$2:$B$301,MATCH($F1998,Batches!$A$2:$A$301,0))&amp;"","(not found)"))</f>
        <v/>
      </c>
      <c r="P1998" s="49" t="str">
        <f>IF(COUNTA($A1998:$L1998)=0,"",IF($A1998="","Missing: entry ID",IF(COUNTIF($A$2:$A$2001,$A1998)&gt;1,"Duplicate entry ID",IF(NOT(ISNUMBER($B1998)),"Missing or invalid: date",IF($C1998="","Missing: type",IF($D1998="","Missing: SKU",IF(NOT(ISNUMBER($E1998)),"Missing: qty",IF($F1998="","Missing: lot",IF($I1998="","Missing: source link",IF(COUNTIF(Config!$A$15:$A$34,$C1998)=0,"Unsupported type",IF(COUNTIF(Products!$A$2:$A$101,$D1998)=0,"Unknown SKU",IF(COUNTIFS(Batches!$A$2:$A$301,$F1998,Batches!$B$2:$B$301,$D1998)=0,"Unknown lot for this SKU",IF(AND($C1998="Adjustment",$G1998=""),"Missing: reason",IF(AND($G1998&lt;&gt;"",COUNTIF(Config!$B$15:$B$34,$G1998)=0),"Unsupported reason",IF(OR(INT($E1998)&lt;&gt;$E1998,AND(OR($C1998="Receipt",$C1998="Shipment"),$E1998&lt;=0),AND($C1998="Adjustment",$E1998=0)),"Invalid qty",IF($B1998&gt;Config!$B$4,"Date after the as-of date",IF($B1998&lt;Config!$B$5,"Date before the opening balance date","OK")))))))))))))))))</f>
        <v/>
      </c>
    </row>
    <row r="1999">
      <c r="A1999" s="46" t="n"/>
      <c r="B1999" s="54" t="n"/>
      <c r="C1999" s="46" t="n"/>
      <c r="D1999" s="46" t="n"/>
      <c r="E1999" s="55" t="n"/>
      <c r="F1999" s="46" t="n"/>
      <c r="G1999" s="46" t="n"/>
      <c r="H1999" s="46" t="n"/>
      <c r="I1999" s="46" t="n"/>
      <c r="J1999" s="46" t="n"/>
      <c r="K1999" s="46" t="n"/>
      <c r="L1999" s="46" t="n"/>
      <c r="M1999" s="51" t="str">
        <f>IF(NOT(ISNUMBER($E1999)),"",IF($C1999="Receipt",$E1999,IF($C1999="Shipment",-$E1999,IF($C1999="Adjustment",$E1999,0))))</f>
        <v/>
      </c>
      <c r="N1999" s="49" t="str">
        <f>IF($D1999="","",IFERROR(INDEX(Products!$B$2:$B$101,MATCH($D1999,Products!$A$2:$A$101,0))&amp;"","(not found)"))</f>
        <v/>
      </c>
      <c r="O1999" s="49" t="str">
        <f>IF($F1999="","",IFERROR(INDEX(Batches!$B$2:$B$301,MATCH($F1999,Batches!$A$2:$A$301,0))&amp;"","(not found)"))</f>
        <v/>
      </c>
      <c r="P1999" s="49" t="str">
        <f>IF(COUNTA($A1999:$L1999)=0,"",IF($A1999="","Missing: entry ID",IF(COUNTIF($A$2:$A$2001,$A1999)&gt;1,"Duplicate entry ID",IF(NOT(ISNUMBER($B1999)),"Missing or invalid: date",IF($C1999="","Missing: type",IF($D1999="","Missing: SKU",IF(NOT(ISNUMBER($E1999)),"Missing: qty",IF($F1999="","Missing: lot",IF($I1999="","Missing: source link",IF(COUNTIF(Config!$A$15:$A$34,$C1999)=0,"Unsupported type",IF(COUNTIF(Products!$A$2:$A$101,$D1999)=0,"Unknown SKU",IF(COUNTIFS(Batches!$A$2:$A$301,$F1999,Batches!$B$2:$B$301,$D1999)=0,"Unknown lot for this SKU",IF(AND($C1999="Adjustment",$G1999=""),"Missing: reason",IF(AND($G1999&lt;&gt;"",COUNTIF(Config!$B$15:$B$34,$G1999)=0),"Unsupported reason",IF(OR(INT($E1999)&lt;&gt;$E1999,AND(OR($C1999="Receipt",$C1999="Shipment"),$E1999&lt;=0),AND($C1999="Adjustment",$E1999=0)),"Invalid qty",IF($B1999&gt;Config!$B$4,"Date after the as-of date",IF($B1999&lt;Config!$B$5,"Date before the opening balance date","OK")))))))))))))))))</f>
        <v/>
      </c>
    </row>
    <row r="2000">
      <c r="A2000" s="46" t="n"/>
      <c r="B2000" s="54" t="n"/>
      <c r="C2000" s="46" t="n"/>
      <c r="D2000" s="46" t="n"/>
      <c r="E2000" s="55" t="n"/>
      <c r="F2000" s="46" t="n"/>
      <c r="G2000" s="46" t="n"/>
      <c r="H2000" s="46" t="n"/>
      <c r="I2000" s="46" t="n"/>
      <c r="J2000" s="46" t="n"/>
      <c r="K2000" s="46" t="n"/>
      <c r="L2000" s="46" t="n"/>
      <c r="M2000" s="51" t="str">
        <f>IF(NOT(ISNUMBER($E2000)),"",IF($C2000="Receipt",$E2000,IF($C2000="Shipment",-$E2000,IF($C2000="Adjustment",$E2000,0))))</f>
        <v/>
      </c>
      <c r="N2000" s="49" t="str">
        <f>IF($D2000="","",IFERROR(INDEX(Products!$B$2:$B$101,MATCH($D2000,Products!$A$2:$A$101,0))&amp;"","(not found)"))</f>
        <v/>
      </c>
      <c r="O2000" s="49" t="str">
        <f>IF($F2000="","",IFERROR(INDEX(Batches!$B$2:$B$301,MATCH($F2000,Batches!$A$2:$A$301,0))&amp;"","(not found)"))</f>
        <v/>
      </c>
      <c r="P2000" s="49" t="str">
        <f>IF(COUNTA($A2000:$L2000)=0,"",IF($A2000="","Missing: entry ID",IF(COUNTIF($A$2:$A$2001,$A2000)&gt;1,"Duplicate entry ID",IF(NOT(ISNUMBER($B2000)),"Missing or invalid: date",IF($C2000="","Missing: type",IF($D2000="","Missing: SKU",IF(NOT(ISNUMBER($E2000)),"Missing: qty",IF($F2000="","Missing: lot",IF($I2000="","Missing: source link",IF(COUNTIF(Config!$A$15:$A$34,$C2000)=0,"Unsupported type",IF(COUNTIF(Products!$A$2:$A$101,$D2000)=0,"Unknown SKU",IF(COUNTIFS(Batches!$A$2:$A$301,$F2000,Batches!$B$2:$B$301,$D2000)=0,"Unknown lot for this SKU",IF(AND($C2000="Adjustment",$G2000=""),"Missing: reason",IF(AND($G2000&lt;&gt;"",COUNTIF(Config!$B$15:$B$34,$G2000)=0),"Unsupported reason",IF(OR(INT($E2000)&lt;&gt;$E2000,AND(OR($C2000="Receipt",$C2000="Shipment"),$E2000&lt;=0),AND($C2000="Adjustment",$E2000=0)),"Invalid qty",IF($B2000&gt;Config!$B$4,"Date after the as-of date",IF($B2000&lt;Config!$B$5,"Date before the opening balance date","OK")))))))))))))))))</f>
        <v/>
      </c>
    </row>
    <row r="2001">
      <c r="A2001" s="46" t="n"/>
      <c r="B2001" s="54" t="n"/>
      <c r="C2001" s="46" t="n"/>
      <c r="D2001" s="46" t="n"/>
      <c r="E2001" s="55" t="n"/>
      <c r="F2001" s="46" t="n"/>
      <c r="G2001" s="46" t="n"/>
      <c r="H2001" s="46" t="n"/>
      <c r="I2001" s="46" t="n"/>
      <c r="J2001" s="46" t="n"/>
      <c r="K2001" s="46" t="n"/>
      <c r="L2001" s="46" t="n"/>
      <c r="M2001" s="51" t="str">
        <f>IF(NOT(ISNUMBER($E2001)),"",IF($C2001="Receipt",$E2001,IF($C2001="Shipment",-$E2001,IF($C2001="Adjustment",$E2001,0))))</f>
        <v/>
      </c>
      <c r="N2001" s="49" t="str">
        <f>IF($D2001="","",IFERROR(INDEX(Products!$B$2:$B$101,MATCH($D2001,Products!$A$2:$A$101,0))&amp;"","(not found)"))</f>
        <v/>
      </c>
      <c r="O2001" s="49" t="str">
        <f>IF($F2001="","",IFERROR(INDEX(Batches!$B$2:$B$301,MATCH($F2001,Batches!$A$2:$A$301,0))&amp;"","(not found)"))</f>
        <v/>
      </c>
      <c r="P2001" s="49" t="str">
        <f>IF(COUNTA($A2001:$L2001)=0,"",IF($A2001="","Missing: entry ID",IF(COUNTIF($A$2:$A$2001,$A2001)&gt;1,"Duplicate entry ID",IF(NOT(ISNUMBER($B2001)),"Missing or invalid: date",IF($C2001="","Missing: type",IF($D2001="","Missing: SKU",IF(NOT(ISNUMBER($E2001)),"Missing: qty",IF($F2001="","Missing: lot",IF($I2001="","Missing: source link",IF(COUNTIF(Config!$A$15:$A$34,$C2001)=0,"Unsupported type",IF(COUNTIF(Products!$A$2:$A$101,$D2001)=0,"Unknown SKU",IF(COUNTIFS(Batches!$A$2:$A$301,$F2001,Batches!$B$2:$B$301,$D2001)=0,"Unknown lot for this SKU",IF(AND($C2001="Adjustment",$G2001=""),"Missing: reason",IF(AND($G2001&lt;&gt;"",COUNTIF(Config!$B$15:$B$34,$G2001)=0),"Unsupported reason",IF(OR(INT($E2001)&lt;&gt;$E2001,AND(OR($C2001="Receipt",$C2001="Shipment"),$E2001&lt;=0),AND($C2001="Adjustment",$E2001=0)),"Invalid qty",IF($B2001&gt;Config!$B$4,"Date after the as-of date",IF($B2001&lt;Config!$B$5,"Date before the opening balance date","OK")))))))))))))))))</f>
        <v/>
      </c>
    </row>
  </sheetData>
  <sheetProtection selectLockedCells="0" selectUnlockedCells="0" sheet="1" objects="0" insertRows="1" insertHyperlinks="1" autoFilter="0" scenarios="0" formatColumns="0" deleteColumns="1" insertColumns="1" pivotTables="1" deleteRows="1" formatCells="1" formatRows="0" sort="0"/>
  <autoFilter ref="A1:P2001"/>
  <conditionalFormatting sqref="P2:P2001">
    <cfRule type="expression" priority="1" dxfId="4">
      <formula>AND($P2&lt;&gt;"",$P2&lt;&gt;"OK")</formula>
    </cfRule>
  </conditionalFormatting>
  <dataValidations count="7">
    <dataValidation sqref="A2:A2001" showDropDown="0" showInputMessage="1" showErrorMessage="1" allowBlank="1" errorTitle="Duplicate ID" error="This ID is already used in this sheet. IDs must be unique." promptTitle="Entry ID" prompt="Required. Must be unique in this sheet." type="custom">
      <formula1>COUNTIF($A$2:$A$2001,A2)&lt;=1</formula1>
    </dataValidation>
    <dataValidation sqref="B2:B2001" showDropDown="0" showInputMessage="1" showErrorMessage="1" allowBlank="1" errorTitle="Date needed" error="Enter a date (yyyy-mm-dd)." promptTitle="Date" prompt="Required. Date as yyyy-mm-dd." type="date" operator="greaterThan">
      <formula1>36526</formula1>
    </dataValidation>
    <dataValidation sqref="C2:C2001" showDropDown="0" showInputMessage="1" showErrorMessage="1" allowBlank="1" errorTitle="Not in the list" error="Pick a value from the dropdown list." promptTitle="Type" prompt="Required. Pick from the list." type="list">
      <formula1>Config!$A$15:$A$34</formula1>
    </dataValidation>
    <dataValidation sqref="D2:D2001" showDropDown="0" showInputMessage="1" showErrorMessage="1" allowBlank="1" errorTitle="Not in the list" error="Pick a value from the dropdown list." promptTitle="SKU" prompt="Required. Pick from the list." type="list">
      <formula1>Products!$A$2:$A$101</formula1>
    </dataValidation>
    <dataValidation sqref="E2:E2001" showDropDown="0" showInputMessage="1" showErrorMessage="1" allowBlank="1" errorTitle="Whole number needed" error="Enter a whole number." promptTitle="Qty" prompt="Required. Whole number." type="whole" operator="between">
      <formula1>-10000000</formula1>
      <formula2>10000000</formula2>
    </dataValidation>
    <dataValidation sqref="F2:F2001" showDropDown="0" showInputMessage="1" showErrorMessage="1" allowBlank="1" errorTitle="Not in the list" error="Pick a value from the dropdown list." promptTitle="Lot" prompt="Required. Pick from the list." type="list">
      <formula1>Batches!$A$2:$A$301</formula1>
    </dataValidation>
    <dataValidation sqref="G2:G2001" showDropDown="0" showInputMessage="1" showErrorMessage="1" allowBlank="1" errorTitle="Not in the list" error="Pick a value from the dropdown list." promptTitle="Reason (adjustments)" prompt="Optional. Pick from the list." type="list">
      <formula1>Config!$B$15:$B$34</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1F3A5F"/>
    <outlinePr summaryBelow="1" summaryRight="1"/>
    <pageSetUpPr/>
  </sheetPr>
  <dimension ref="A1:S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10" customWidth="1" min="3" max="3"/>
    <col width="11" customWidth="1" min="4" max="4"/>
    <col width="11" customWidth="1" min="5" max="5"/>
    <col width="9" customWidth="1" min="6" max="6"/>
    <col width="11" customWidth="1" min="7" max="7"/>
    <col width="32" customWidth="1" min="8" max="8"/>
    <col width="40" customWidth="1" min="9" max="9"/>
    <col width="30" customWidth="1" min="10" max="10"/>
    <col width="10" customWidth="1" min="11" max="11"/>
    <col width="9" customWidth="1" min="12" max="12"/>
    <col width="8" customWidth="1" min="13" max="13"/>
    <col width="10" customWidth="1" min="14" max="14"/>
    <col width="7" customWidth="1" min="15" max="15"/>
    <col width="9" customWidth="1" min="16" max="16"/>
    <col width="7" customWidth="1" min="17" max="17"/>
    <col width="7" customWidth="1" min="18" max="18"/>
    <col width="30" customWidth="1" min="19" max="19"/>
  </cols>
  <sheetData>
    <row r="1" ht="42" customHeight="1">
      <c r="A1" s="41" t="inlineStr">
        <is>
          <t>Lot *</t>
        </is>
      </c>
      <c r="B1" s="41" t="inlineStr">
        <is>
          <t>SKU *</t>
        </is>
      </c>
      <c r="C1" s="41" t="inlineStr">
        <is>
          <t>Supplier ID</t>
        </is>
      </c>
      <c r="D1" s="41" t="inlineStr">
        <is>
          <t>Manufacture date</t>
        </is>
      </c>
      <c r="E1" s="41" t="inlineStr">
        <is>
          <t>Expiry date *</t>
        </is>
      </c>
      <c r="F1" s="41" t="inlineStr">
        <is>
          <t>Opening qty</t>
        </is>
      </c>
      <c r="G1" s="41" t="inlineStr">
        <is>
          <t>Status *</t>
        </is>
      </c>
      <c r="H1" s="41" t="inlineStr">
        <is>
          <t>CoA link</t>
        </is>
      </c>
      <c r="I1" s="41" t="inlineStr">
        <is>
          <t>Notes</t>
        </is>
      </c>
      <c r="J1" s="23" t="inlineStr">
        <is>
          <t>Product name</t>
        </is>
      </c>
      <c r="K1" s="23" t="inlineStr">
        <is>
          <t>Ledger movements</t>
        </is>
      </c>
      <c r="L1" s="23" t="inlineStr">
        <is>
          <t>On hand</t>
        </is>
      </c>
      <c r="M1" s="23" t="inlineStr">
        <is>
          <t>Days left</t>
        </is>
      </c>
      <c r="N1" s="23" t="inlineStr">
        <is>
          <t>Expiry window</t>
        </is>
      </c>
      <c r="O1" s="45" t="inlineStr">
        <is>
          <t>Window no.</t>
        </is>
      </c>
      <c r="P1" s="23" t="inlineStr">
        <is>
          <t>Held qty</t>
        </is>
      </c>
      <c r="Q1" s="45" t="inlineStr">
        <is>
          <t>In expiry list</t>
        </is>
      </c>
      <c r="R1" s="45" t="inlineStr">
        <is>
          <t>List order</t>
        </is>
      </c>
      <c r="S1" s="23" t="inlineStr">
        <is>
          <t>Record check</t>
        </is>
      </c>
    </row>
    <row r="2">
      <c r="A2" s="46" t="inlineStr">
        <is>
          <t>WCH2502A</t>
        </is>
      </c>
      <c r="B2" s="46" t="inlineStr">
        <is>
          <t>WPI-CHO-2LB</t>
        </is>
      </c>
      <c r="C2" s="46" t="inlineStr">
        <is>
          <t>SUP-01</t>
        </is>
      </c>
      <c r="D2" s="54" t="n">
        <v>45699</v>
      </c>
      <c r="E2" s="54" t="n">
        <v>46428</v>
      </c>
      <c r="F2" s="48" t="n">
        <v>540</v>
      </c>
      <c r="G2" s="46" t="inlineStr">
        <is>
          <t>Closed</t>
        </is>
      </c>
      <c r="H2" s="46" t="inlineStr">
        <is>
          <t>https://example.com/qa/coa/WCH2502A</t>
        </is>
      </c>
      <c r="I2" s="46" t="n"/>
      <c r="J2" s="49" t="str">
        <f>IF($A2="","",IFERROR(INDEX(Products!$B$2:$B$101,MATCH($B2,Products!$A$2:$A$101,0))&amp;"","(not found)"))</f>
        <v>Whey Protein Isolate, Chocolate, 2 lb</v>
      </c>
      <c r="K2" s="51">
        <f>IF($A2="","",SUMIFS(Inventory_Ledger!$M$2:$M$2001,Inventory_Ledger!$F$2:$F$2001,$A2))</f>
        <v>-540</v>
      </c>
      <c r="L2" s="51">
        <f>IF($A2="","",IF(ISNUMBER($F2),$F2,0)+$K2)</f>
        <v>0</v>
      </c>
      <c r="M2" s="56">
        <f>IF(OR($A2="",NOT(ISNUMBER($E2))),"",$E2-Config!$B$4)</f>
        <v>118</v>
      </c>
      <c r="N2" s="49" t="str">
        <f>IF($M2="","",IF($M2&lt;0,"Expired",IF($M2&lt;=Config!$B$6,"&lt;="&amp;Config!$B$6,IF($M2&lt;=Config!$B$7,(Config!$B$6+1)&amp;"-"&amp;Config!$B$7,IF($M2&lt;=Config!$B$8,(Config!$B$7+1)&amp;"-"&amp;Config!$B$8,"&gt;"&amp;Config!$B$8)))))</f>
        <v>&gt;90</v>
      </c>
      <c r="O2" s="52">
        <f>IF($M2="","",IF($M2&lt;0,0,IF($M2&lt;=Config!$B$6,1,IF($M2&lt;=Config!$B$7,2,IF($M2&lt;=Config!$B$8,3,4)))))</f>
        <v>4</v>
      </c>
      <c r="P2" s="50">
        <f>IF($A2="","",IF($L2&lt;=0,0,IF(OR(IFERROR(INDEX(Config!$F$15:$F$34,MATCH($G2,Config!$E$15:$E$34,0)),"No")="Yes",AND(Config!$B$10="Yes",ISNUMBER($M2),$M2&lt;0)),$L2,0)))</f>
        <v>0</v>
      </c>
      <c r="Q2" s="52">
        <f>IF($A2="","",IF(AND($L2&gt;0,ISNUMBER($M2)),IF($M2&lt;=Config!$B$8,1,0),0))</f>
        <v>0</v>
      </c>
      <c r="R2" s="52" t="str">
        <f>IF($Q2=1,COUNTIFS($Q$2:$Q$301,1,$E$2:$E$301,"&lt;"&amp;$E2)+COUNTIFS($Q$2:$Q2,1,$E$2:$E2,$E2),"")</f>
        <v/>
      </c>
      <c r="S2" s="49" t="str">
        <f>IF(COUNTA($A2:$I2)=0,"",IF($A2="","Missing: lot",IF(COUNTIF($A$2:$A$301,$A2)&gt;1,"Duplicate lot",IF($B2="","Missing: SKU",IF(NOT(ISNUMBER($E2)),"Missing: expiry date",IF($G2="","Missing: status",IF(COUNTIF(Products!$A$2:$A$101,$B2)=0,"Unknown SKU",IF(AND($C2&lt;&gt;"",COUNTIF(Suppliers!$A$2:$A$51,$C2)=0),"Unknown supplier",IF(COUNTIF(Config!$E$15:$E$34,$G2)=0,"Unsupported status",IF($L2&lt;0,"Negative lot balance",IF(AND($G2="Closed",$L2&lt;&gt;0),"Closed lot still has stock","OK")))))))))))</f>
        <v>OK</v>
      </c>
    </row>
    <row r="3">
      <c r="A3" s="46" t="inlineStr">
        <is>
          <t>WCH2504A</t>
        </is>
      </c>
      <c r="B3" s="46" t="inlineStr">
        <is>
          <t>WPI-CHO-2LB</t>
        </is>
      </c>
      <c r="C3" s="46" t="inlineStr">
        <is>
          <t>SUP-01</t>
        </is>
      </c>
      <c r="D3" s="54" t="n">
        <v>45756</v>
      </c>
      <c r="E3" s="54" t="n">
        <v>46485</v>
      </c>
      <c r="F3" s="48" t="n">
        <v>700</v>
      </c>
      <c r="G3" s="46" t="inlineStr">
        <is>
          <t>Closed</t>
        </is>
      </c>
      <c r="H3" s="46" t="inlineStr">
        <is>
          <t>https://example.com/qa/coa/WCH2504A</t>
        </is>
      </c>
      <c r="I3" s="46" t="n"/>
      <c r="J3" s="49" t="str">
        <f>IF($A3="","",IFERROR(INDEX(Products!$B$2:$B$101,MATCH($B3,Products!$A$2:$A$101,0))&amp;"","(not found)"))</f>
        <v>Whey Protein Isolate, Chocolate, 2 lb</v>
      </c>
      <c r="K3" s="51">
        <f>IF($A3="","",SUMIFS(Inventory_Ledger!$M$2:$M$2001,Inventory_Ledger!$F$2:$F$2001,$A3))</f>
        <v>-700</v>
      </c>
      <c r="L3" s="51">
        <f>IF($A3="","",IF(ISNUMBER($F3),$F3,0)+$K3)</f>
        <v>0</v>
      </c>
      <c r="M3" s="56">
        <f>IF(OR($A3="",NOT(ISNUMBER($E3))),"",$E3-Config!$B$4)</f>
        <v>175</v>
      </c>
      <c r="N3" s="49" t="str">
        <f>IF($M3="","",IF($M3&lt;0,"Expired",IF($M3&lt;=Config!$B$6,"&lt;="&amp;Config!$B$6,IF($M3&lt;=Config!$B$7,(Config!$B$6+1)&amp;"-"&amp;Config!$B$7,IF($M3&lt;=Config!$B$8,(Config!$B$7+1)&amp;"-"&amp;Config!$B$8,"&gt;"&amp;Config!$B$8)))))</f>
        <v>&gt;90</v>
      </c>
      <c r="O3" s="52">
        <f>IF($M3="","",IF($M3&lt;0,0,IF($M3&lt;=Config!$B$6,1,IF($M3&lt;=Config!$B$7,2,IF($M3&lt;=Config!$B$8,3,4)))))</f>
        <v>4</v>
      </c>
      <c r="P3" s="50">
        <f>IF($A3="","",IF($L3&lt;=0,0,IF(OR(IFERROR(INDEX(Config!$F$15:$F$34,MATCH($G3,Config!$E$15:$E$34,0)),"No")="Yes",AND(Config!$B$10="Yes",ISNUMBER($M3),$M3&lt;0)),$L3,0)))</f>
        <v>0</v>
      </c>
      <c r="Q3" s="52">
        <f>IF($A3="","",IF(AND($L3&gt;0,ISNUMBER($M3)),IF($M3&lt;=Config!$B$8,1,0),0))</f>
        <v>0</v>
      </c>
      <c r="R3" s="52" t="str">
        <f>IF($Q3=1,COUNTIFS($Q$2:$Q$301,1,$E$2:$E$301,"&lt;"&amp;$E3)+COUNTIFS($Q$2:$Q3,1,$E$2:$E3,$E3),"")</f>
        <v/>
      </c>
      <c r="S3" s="49" t="str">
        <f>IF(COUNTA($A3:$I3)=0,"",IF($A3="","Missing: lot",IF(COUNTIF($A$2:$A$301,$A3)&gt;1,"Duplicate lot",IF($B3="","Missing: SKU",IF(NOT(ISNUMBER($E3)),"Missing: expiry date",IF($G3="","Missing: status",IF(COUNTIF(Products!$A$2:$A$101,$B3)=0,"Unknown SKU",IF(AND($C3&lt;&gt;"",COUNTIF(Suppliers!$A$2:$A$51,$C3)=0),"Unknown supplier",IF(COUNTIF(Config!$E$15:$E$34,$G3)=0,"Unsupported status",IF($L3&lt;0,"Negative lot balance",IF(AND($G3="Closed",$L3&lt;&gt;0),"Closed lot still has stock","OK")))))))))))</f>
        <v>OK</v>
      </c>
    </row>
    <row r="4">
      <c r="A4" s="46" t="inlineStr">
        <is>
          <t>WCH2607A</t>
        </is>
      </c>
      <c r="B4" s="46" t="inlineStr">
        <is>
          <t>WPI-CHO-2LB</t>
        </is>
      </c>
      <c r="C4" s="46" t="inlineStr">
        <is>
          <t>SUP-01</t>
        </is>
      </c>
      <c r="D4" s="54" t="n">
        <v>46213</v>
      </c>
      <c r="E4" s="54" t="n">
        <v>46943</v>
      </c>
      <c r="F4" s="48" t="n">
        <v>0</v>
      </c>
      <c r="G4" s="46" t="inlineStr">
        <is>
          <t>Released</t>
        </is>
      </c>
      <c r="H4" s="46" t="inlineStr">
        <is>
          <t>https://example.com/qa/coa/WCH2607A</t>
        </is>
      </c>
      <c r="I4" s="46" t="n"/>
      <c r="J4" s="49" t="str">
        <f>IF($A4="","",IFERROR(INDEX(Products!$B$2:$B$101,MATCH($B4,Products!$A$2:$A$101,0))&amp;"","(not found)"))</f>
        <v>Whey Protein Isolate, Chocolate, 2 lb</v>
      </c>
      <c r="K4" s="51">
        <f>IF($A4="","",SUMIFS(Inventory_Ledger!$M$2:$M$2001,Inventory_Ledger!$F$2:$F$2001,$A4))</f>
        <v>429</v>
      </c>
      <c r="L4" s="51">
        <f>IF($A4="","",IF(ISNUMBER($F4),$F4,0)+$K4)</f>
        <v>429</v>
      </c>
      <c r="M4" s="56">
        <f>IF(OR($A4="",NOT(ISNUMBER($E4))),"",$E4-Config!$B$4)</f>
        <v>633</v>
      </c>
      <c r="N4" s="49" t="str">
        <f>IF($M4="","",IF($M4&lt;0,"Expired",IF($M4&lt;=Config!$B$6,"&lt;="&amp;Config!$B$6,IF($M4&lt;=Config!$B$7,(Config!$B$6+1)&amp;"-"&amp;Config!$B$7,IF($M4&lt;=Config!$B$8,(Config!$B$7+1)&amp;"-"&amp;Config!$B$8,"&gt;"&amp;Config!$B$8)))))</f>
        <v>&gt;90</v>
      </c>
      <c r="O4" s="52">
        <f>IF($M4="","",IF($M4&lt;0,0,IF($M4&lt;=Config!$B$6,1,IF($M4&lt;=Config!$B$7,2,IF($M4&lt;=Config!$B$8,3,4)))))</f>
        <v>4</v>
      </c>
      <c r="P4" s="50">
        <f>IF($A4="","",IF($L4&lt;=0,0,IF(OR(IFERROR(INDEX(Config!$F$15:$F$34,MATCH($G4,Config!$E$15:$E$34,0)),"No")="Yes",AND(Config!$B$10="Yes",ISNUMBER($M4),$M4&lt;0)),$L4,0)))</f>
        <v>0</v>
      </c>
      <c r="Q4" s="52">
        <f>IF($A4="","",IF(AND($L4&gt;0,ISNUMBER($M4)),IF($M4&lt;=Config!$B$8,1,0),0))</f>
        <v>0</v>
      </c>
      <c r="R4" s="52" t="str">
        <f>IF($Q4=1,COUNTIFS($Q$2:$Q$301,1,$E$2:$E$301,"&lt;"&amp;$E4)+COUNTIFS($Q$2:$Q4,1,$E$2:$E4,$E4),"")</f>
        <v/>
      </c>
      <c r="S4" s="49" t="str">
        <f>IF(COUNTA($A4:$I4)=0,"",IF($A4="","Missing: lot",IF(COUNTIF($A$2:$A$301,$A4)&gt;1,"Duplicate lot",IF($B4="","Missing: SKU",IF(NOT(ISNUMBER($E4)),"Missing: expiry date",IF($G4="","Missing: status",IF(COUNTIF(Products!$A$2:$A$101,$B4)=0,"Unknown SKU",IF(AND($C4&lt;&gt;"",COUNTIF(Suppliers!$A$2:$A$51,$C4)=0),"Unknown supplier",IF(COUNTIF(Config!$E$15:$E$34,$G4)=0,"Unsupported status",IF($L4&lt;0,"Negative lot balance",IF(AND($G4="Closed",$L4&lt;&gt;0),"Closed lot still has stock","OK")))))))))))</f>
        <v>OK</v>
      </c>
    </row>
    <row r="5">
      <c r="A5" s="46" t="inlineStr">
        <is>
          <t>WVA2411A</t>
        </is>
      </c>
      <c r="B5" s="46" t="inlineStr">
        <is>
          <t>WPI-VAN-2LB</t>
        </is>
      </c>
      <c r="C5" s="46" t="inlineStr">
        <is>
          <t>SUP-01</t>
        </is>
      </c>
      <c r="D5" s="54" t="n">
        <v>45624</v>
      </c>
      <c r="E5" s="54" t="n">
        <v>46353</v>
      </c>
      <c r="F5" s="48" t="n">
        <v>686</v>
      </c>
      <c r="G5" s="46" t="inlineStr">
        <is>
          <t>Released</t>
        </is>
      </c>
      <c r="H5" s="46" t="inlineStr">
        <is>
          <t>https://example.com/qa/coa/WVA2411A</t>
        </is>
      </c>
      <c r="I5" s="46" t="n"/>
      <c r="J5" s="49" t="str">
        <f>IF($A5="","",IFERROR(INDEX(Products!$B$2:$B$101,MATCH($B5,Products!$A$2:$A$101,0))&amp;"","(not found)"))</f>
        <v>Whey Protein Isolate, Vanilla, 2 lb</v>
      </c>
      <c r="K5" s="51">
        <f>IF($A5="","",SUMIFS(Inventory_Ledger!$M$2:$M$2001,Inventory_Ledger!$F$2:$F$2001,$A5))</f>
        <v>-638</v>
      </c>
      <c r="L5" s="51">
        <f>IF($A5="","",IF(ISNUMBER($F5),$F5,0)+$K5)</f>
        <v>48</v>
      </c>
      <c r="M5" s="56">
        <f>IF(OR($A5="",NOT(ISNUMBER($E5))),"",$E5-Config!$B$4)</f>
        <v>43</v>
      </c>
      <c r="N5" s="49" t="str">
        <f>IF($M5="","",IF($M5&lt;0,"Expired",IF($M5&lt;=Config!$B$6,"&lt;="&amp;Config!$B$6,IF($M5&lt;=Config!$B$7,(Config!$B$6+1)&amp;"-"&amp;Config!$B$7,IF($M5&lt;=Config!$B$8,(Config!$B$7+1)&amp;"-"&amp;Config!$B$8,"&gt;"&amp;Config!$B$8)))))</f>
        <v>31-60</v>
      </c>
      <c r="O5" s="52">
        <f>IF($M5="","",IF($M5&lt;0,0,IF($M5&lt;=Config!$B$6,1,IF($M5&lt;=Config!$B$7,2,IF($M5&lt;=Config!$B$8,3,4)))))</f>
        <v>2</v>
      </c>
      <c r="P5" s="50">
        <f>IF($A5="","",IF($L5&lt;=0,0,IF(OR(IFERROR(INDEX(Config!$F$15:$F$34,MATCH($G5,Config!$E$15:$E$34,0)),"No")="Yes",AND(Config!$B$10="Yes",ISNUMBER($M5),$M5&lt;0)),$L5,0)))</f>
        <v>0</v>
      </c>
      <c r="Q5" s="52">
        <f>IF($A5="","",IF(AND($L5&gt;0,ISNUMBER($M5)),IF($M5&lt;=Config!$B$8,1,0),0))</f>
        <v>1</v>
      </c>
      <c r="R5" s="52">
        <f>IF($Q5=1,COUNTIFS($Q$2:$Q$301,1,$E$2:$E$301,"&lt;"&amp;$E5)+COUNTIFS($Q$2:$Q5,1,$E$2:$E5,$E5),"")</f>
        <v>5</v>
      </c>
      <c r="S5" s="49" t="str">
        <f>IF(COUNTA($A5:$I5)=0,"",IF($A5="","Missing: lot",IF(COUNTIF($A$2:$A$301,$A5)&gt;1,"Duplicate lot",IF($B5="","Missing: SKU",IF(NOT(ISNUMBER($E5)),"Missing: expiry date",IF($G5="","Missing: status",IF(COUNTIF(Products!$A$2:$A$101,$B5)=0,"Unknown SKU",IF(AND($C5&lt;&gt;"",COUNTIF(Suppliers!$A$2:$A$51,$C5)=0),"Unknown supplier",IF(COUNTIF(Config!$E$15:$E$34,$G5)=0,"Unsupported status",IF($L5&lt;0,"Negative lot balance",IF(AND($G5="Closed",$L5&lt;&gt;0),"Closed lot still has stock","OK")))))))))))</f>
        <v>OK</v>
      </c>
    </row>
    <row r="6">
      <c r="A6" s="46" t="inlineStr">
        <is>
          <t>WVA2503A</t>
        </is>
      </c>
      <c r="B6" s="46" t="inlineStr">
        <is>
          <t>WPI-VAN-2LB</t>
        </is>
      </c>
      <c r="C6" s="46" t="inlineStr">
        <is>
          <t>SUP-01</t>
        </is>
      </c>
      <c r="D6" s="54" t="n">
        <v>45722</v>
      </c>
      <c r="E6" s="54" t="n">
        <v>46451</v>
      </c>
      <c r="F6" s="48" t="n">
        <v>160</v>
      </c>
      <c r="G6" s="46" t="inlineStr">
        <is>
          <t>Released</t>
        </is>
      </c>
      <c r="H6" s="46" t="inlineStr">
        <is>
          <t>https://example.com/qa/coa/WVA2503A</t>
        </is>
      </c>
      <c r="I6" s="46" t="n"/>
      <c r="J6" s="49" t="str">
        <f>IF($A6="","",IFERROR(INDEX(Products!$B$2:$B$101,MATCH($B6,Products!$A$2:$A$101,0))&amp;"","(not found)"))</f>
        <v>Whey Protein Isolate, Vanilla, 2 lb</v>
      </c>
      <c r="K6" s="51">
        <f>IF($A6="","",SUMIFS(Inventory_Ledger!$M$2:$M$2001,Inventory_Ledger!$F$2:$F$2001,$A6))</f>
        <v>0</v>
      </c>
      <c r="L6" s="51">
        <f>IF($A6="","",IF(ISNUMBER($F6),$F6,0)+$K6)</f>
        <v>160</v>
      </c>
      <c r="M6" s="56">
        <f>IF(OR($A6="",NOT(ISNUMBER($E6))),"",$E6-Config!$B$4)</f>
        <v>141</v>
      </c>
      <c r="N6" s="49" t="str">
        <f>IF($M6="","",IF($M6&lt;0,"Expired",IF($M6&lt;=Config!$B$6,"&lt;="&amp;Config!$B$6,IF($M6&lt;=Config!$B$7,(Config!$B$6+1)&amp;"-"&amp;Config!$B$7,IF($M6&lt;=Config!$B$8,(Config!$B$7+1)&amp;"-"&amp;Config!$B$8,"&gt;"&amp;Config!$B$8)))))</f>
        <v>&gt;90</v>
      </c>
      <c r="O6" s="52">
        <f>IF($M6="","",IF($M6&lt;0,0,IF($M6&lt;=Config!$B$6,1,IF($M6&lt;=Config!$B$7,2,IF($M6&lt;=Config!$B$8,3,4)))))</f>
        <v>4</v>
      </c>
      <c r="P6" s="50">
        <f>IF($A6="","",IF($L6&lt;=0,0,IF(OR(IFERROR(INDEX(Config!$F$15:$F$34,MATCH($G6,Config!$E$15:$E$34,0)),"No")="Yes",AND(Config!$B$10="Yes",ISNUMBER($M6),$M6&lt;0)),$L6,0)))</f>
        <v>0</v>
      </c>
      <c r="Q6" s="52">
        <f>IF($A6="","",IF(AND($L6&gt;0,ISNUMBER($M6)),IF($M6&lt;=Config!$B$8,1,0),0))</f>
        <v>0</v>
      </c>
      <c r="R6" s="52" t="str">
        <f>IF($Q6=1,COUNTIFS($Q$2:$Q$301,1,$E$2:$E$301,"&lt;"&amp;$E6)+COUNTIFS($Q$2:$Q6,1,$E$2:$E6,$E6),"")</f>
        <v/>
      </c>
      <c r="S6" s="49" t="str">
        <f>IF(COUNTA($A6:$I6)=0,"",IF($A6="","Missing: lot",IF(COUNTIF($A$2:$A$301,$A6)&gt;1,"Duplicate lot",IF($B6="","Missing: SKU",IF(NOT(ISNUMBER($E6)),"Missing: expiry date",IF($G6="","Missing: status",IF(COUNTIF(Products!$A$2:$A$101,$B6)=0,"Unknown SKU",IF(AND($C6&lt;&gt;"",COUNTIF(Suppliers!$A$2:$A$51,$C6)=0),"Unknown supplier",IF(COUNTIF(Config!$E$15:$E$34,$G6)=0,"Unsupported status",IF($L6&lt;0,"Negative lot balance",IF(AND($G6="Closed",$L6&lt;&gt;0),"Closed lot still has stock","OK")))))))))))</f>
        <v>OK</v>
      </c>
    </row>
    <row r="7">
      <c r="A7" s="46" t="inlineStr">
        <is>
          <t>WVA2609A</t>
        </is>
      </c>
      <c r="B7" s="46" t="inlineStr">
        <is>
          <t>WPI-VAN-2LB</t>
        </is>
      </c>
      <c r="C7" s="46" t="inlineStr">
        <is>
          <t>SUP-01</t>
        </is>
      </c>
      <c r="D7" s="54" t="n">
        <v>46290</v>
      </c>
      <c r="E7" s="54" t="n">
        <v>47020</v>
      </c>
      <c r="F7" s="48" t="n">
        <v>0</v>
      </c>
      <c r="G7" s="46" t="inlineStr">
        <is>
          <t>Quarantine</t>
        </is>
      </c>
      <c r="H7" s="46" t="inlineStr">
        <is>
          <t>https://example.com/qa/coa/WVA2609A</t>
        </is>
      </c>
      <c r="I7" s="46" t="inlineStr">
        <is>
          <t>Received 2026-10-08 into quarantine; certificate of analysis under review</t>
        </is>
      </c>
      <c r="J7" s="49" t="str">
        <f>IF($A7="","",IFERROR(INDEX(Products!$B$2:$B$101,MATCH($B7,Products!$A$2:$A$101,0))&amp;"","(not found)"))</f>
        <v>Whey Protein Isolate, Vanilla, 2 lb</v>
      </c>
      <c r="K7" s="51">
        <f>IF($A7="","",SUMIFS(Inventory_Ledger!$M$2:$M$2001,Inventory_Ledger!$F$2:$F$2001,$A7))</f>
        <v>600</v>
      </c>
      <c r="L7" s="51">
        <f>IF($A7="","",IF(ISNUMBER($F7),$F7,0)+$K7)</f>
        <v>600</v>
      </c>
      <c r="M7" s="56">
        <f>IF(OR($A7="",NOT(ISNUMBER($E7))),"",$E7-Config!$B$4)</f>
        <v>710</v>
      </c>
      <c r="N7" s="49" t="str">
        <f>IF($M7="","",IF($M7&lt;0,"Expired",IF($M7&lt;=Config!$B$6,"&lt;="&amp;Config!$B$6,IF($M7&lt;=Config!$B$7,(Config!$B$6+1)&amp;"-"&amp;Config!$B$7,IF($M7&lt;=Config!$B$8,(Config!$B$7+1)&amp;"-"&amp;Config!$B$8,"&gt;"&amp;Config!$B$8)))))</f>
        <v>&gt;90</v>
      </c>
      <c r="O7" s="52">
        <f>IF($M7="","",IF($M7&lt;0,0,IF($M7&lt;=Config!$B$6,1,IF($M7&lt;=Config!$B$7,2,IF($M7&lt;=Config!$B$8,3,4)))))</f>
        <v>4</v>
      </c>
      <c r="P7" s="50">
        <f>IF($A7="","",IF($L7&lt;=0,0,IF(OR(IFERROR(INDEX(Config!$F$15:$F$34,MATCH($G7,Config!$E$15:$E$34,0)),"No")="Yes",AND(Config!$B$10="Yes",ISNUMBER($M7),$M7&lt;0)),$L7,0)))</f>
        <v>600</v>
      </c>
      <c r="Q7" s="52">
        <f>IF($A7="","",IF(AND($L7&gt;0,ISNUMBER($M7)),IF($M7&lt;=Config!$B$8,1,0),0))</f>
        <v>0</v>
      </c>
      <c r="R7" s="52" t="str">
        <f>IF($Q7=1,COUNTIFS($Q$2:$Q$301,1,$E$2:$E$301,"&lt;"&amp;$E7)+COUNTIFS($Q$2:$Q7,1,$E$2:$E7,$E7),"")</f>
        <v/>
      </c>
      <c r="S7" s="49" t="str">
        <f>IF(COUNTA($A7:$I7)=0,"",IF($A7="","Missing: lot",IF(COUNTIF($A$2:$A$301,$A7)&gt;1,"Duplicate lot",IF($B7="","Missing: SKU",IF(NOT(ISNUMBER($E7)),"Missing: expiry date",IF($G7="","Missing: status",IF(COUNTIF(Products!$A$2:$A$101,$B7)=0,"Unknown SKU",IF(AND($C7&lt;&gt;"",COUNTIF(Suppliers!$A$2:$A$51,$C7)=0),"Unknown supplier",IF(COUNTIF(Config!$E$15:$E$34,$G7)=0,"Unsupported status",IF($L7&lt;0,"Negative lot balance",IF(AND($G7="Closed",$L7&lt;&gt;0),"Closed lot still has stock","OK")))))))))))</f>
        <v>OK</v>
      </c>
    </row>
    <row r="8">
      <c r="A8" s="46" t="inlineStr">
        <is>
          <t>W5C2501A</t>
        </is>
      </c>
      <c r="B8" s="46" t="inlineStr">
        <is>
          <t>WPI-CHO-5LB</t>
        </is>
      </c>
      <c r="C8" s="46" t="inlineStr">
        <is>
          <t>SUP-05</t>
        </is>
      </c>
      <c r="D8" s="54" t="n">
        <v>45670</v>
      </c>
      <c r="E8" s="54" t="n">
        <v>46399</v>
      </c>
      <c r="F8" s="48" t="n">
        <v>307</v>
      </c>
      <c r="G8" s="46" t="inlineStr">
        <is>
          <t>Released</t>
        </is>
      </c>
      <c r="H8" s="46" t="inlineStr">
        <is>
          <t>https://example.com/qa/coa/W5C2501A</t>
        </is>
      </c>
      <c r="I8" s="46" t="n"/>
      <c r="J8" s="49" t="str">
        <f>IF($A8="","",IFERROR(INDEX(Products!$B$2:$B$101,MATCH($B8,Products!$A$2:$A$101,0))&amp;"","(not found)"))</f>
        <v>Whey Protein Isolate, Chocolate, 5 lb</v>
      </c>
      <c r="K8" s="51">
        <f>IF($A8="","",SUMIFS(Inventory_Ledger!$M$2:$M$2001,Inventory_Ledger!$F$2:$F$2001,$A8))</f>
        <v>-203</v>
      </c>
      <c r="L8" s="51">
        <f>IF($A8="","",IF(ISNUMBER($F8),$F8,0)+$K8)</f>
        <v>104</v>
      </c>
      <c r="M8" s="56">
        <f>IF(OR($A8="",NOT(ISNUMBER($E8))),"",$E8-Config!$B$4)</f>
        <v>89</v>
      </c>
      <c r="N8" s="49" t="str">
        <f>IF($M8="","",IF($M8&lt;0,"Expired",IF($M8&lt;=Config!$B$6,"&lt;="&amp;Config!$B$6,IF($M8&lt;=Config!$B$7,(Config!$B$6+1)&amp;"-"&amp;Config!$B$7,IF($M8&lt;=Config!$B$8,(Config!$B$7+1)&amp;"-"&amp;Config!$B$8,"&gt;"&amp;Config!$B$8)))))</f>
        <v>61-90</v>
      </c>
      <c r="O8" s="52">
        <f>IF($M8="","",IF($M8&lt;0,0,IF($M8&lt;=Config!$B$6,1,IF($M8&lt;=Config!$B$7,2,IF($M8&lt;=Config!$B$8,3,4)))))</f>
        <v>3</v>
      </c>
      <c r="P8" s="50">
        <f>IF($A8="","",IF($L8&lt;=0,0,IF(OR(IFERROR(INDEX(Config!$F$15:$F$34,MATCH($G8,Config!$E$15:$E$34,0)),"No")="Yes",AND(Config!$B$10="Yes",ISNUMBER($M8),$M8&lt;0)),$L8,0)))</f>
        <v>0</v>
      </c>
      <c r="Q8" s="52">
        <f>IF($A8="","",IF(AND($L8&gt;0,ISNUMBER($M8)),IF($M8&lt;=Config!$B$8,1,0),0))</f>
        <v>1</v>
      </c>
      <c r="R8" s="52">
        <f>IF($Q8=1,COUNTIFS($Q$2:$Q$301,1,$E$2:$E$301,"&lt;"&amp;$E8)+COUNTIFS($Q$2:$Q8,1,$E$2:$E8,$E8),"")</f>
        <v>9</v>
      </c>
      <c r="S8" s="49" t="str">
        <f>IF(COUNTA($A8:$I8)=0,"",IF($A8="","Missing: lot",IF(COUNTIF($A$2:$A$301,$A8)&gt;1,"Duplicate lot",IF($B8="","Missing: SKU",IF(NOT(ISNUMBER($E8)),"Missing: expiry date",IF($G8="","Missing: status",IF(COUNTIF(Products!$A$2:$A$101,$B8)=0,"Unknown SKU",IF(AND($C8&lt;&gt;"",COUNTIF(Suppliers!$A$2:$A$51,$C8)=0),"Unknown supplier",IF(COUNTIF(Config!$E$15:$E$34,$G8)=0,"Unsupported status",IF($L8&lt;0,"Negative lot balance",IF(AND($G8="Closed",$L8&lt;&gt;0),"Closed lot still has stock","OK")))))))))))</f>
        <v>OK</v>
      </c>
    </row>
    <row r="9">
      <c r="A9" s="46" t="inlineStr">
        <is>
          <t>W5C2505A</t>
        </is>
      </c>
      <c r="B9" s="46" t="inlineStr">
        <is>
          <t>WPI-CHO-5LB</t>
        </is>
      </c>
      <c r="C9" s="46" t="inlineStr">
        <is>
          <t>SUP-05</t>
        </is>
      </c>
      <c r="D9" s="54" t="n">
        <v>45798</v>
      </c>
      <c r="E9" s="54" t="n">
        <v>46527</v>
      </c>
      <c r="F9" s="48" t="n">
        <v>160</v>
      </c>
      <c r="G9" s="46" t="inlineStr">
        <is>
          <t>Released</t>
        </is>
      </c>
      <c r="H9" s="46" t="inlineStr">
        <is>
          <t>https://example.com/qa/coa/W5C2505A</t>
        </is>
      </c>
      <c r="I9" s="46" t="n"/>
      <c r="J9" s="49" t="str">
        <f>IF($A9="","",IFERROR(INDEX(Products!$B$2:$B$101,MATCH($B9,Products!$A$2:$A$101,0))&amp;"","(not found)"))</f>
        <v>Whey Protein Isolate, Chocolate, 5 lb</v>
      </c>
      <c r="K9" s="51">
        <f>IF($A9="","",SUMIFS(Inventory_Ledger!$M$2:$M$2001,Inventory_Ledger!$F$2:$F$2001,$A9))</f>
        <v>0</v>
      </c>
      <c r="L9" s="51">
        <f>IF($A9="","",IF(ISNUMBER($F9),$F9,0)+$K9)</f>
        <v>160</v>
      </c>
      <c r="M9" s="56">
        <f>IF(OR($A9="",NOT(ISNUMBER($E9))),"",$E9-Config!$B$4)</f>
        <v>217</v>
      </c>
      <c r="N9" s="49" t="str">
        <f>IF($M9="","",IF($M9&lt;0,"Expired",IF($M9&lt;=Config!$B$6,"&lt;="&amp;Config!$B$6,IF($M9&lt;=Config!$B$7,(Config!$B$6+1)&amp;"-"&amp;Config!$B$7,IF($M9&lt;=Config!$B$8,(Config!$B$7+1)&amp;"-"&amp;Config!$B$8,"&gt;"&amp;Config!$B$8)))))</f>
        <v>&gt;90</v>
      </c>
      <c r="O9" s="52">
        <f>IF($M9="","",IF($M9&lt;0,0,IF($M9&lt;=Config!$B$6,1,IF($M9&lt;=Config!$B$7,2,IF($M9&lt;=Config!$B$8,3,4)))))</f>
        <v>4</v>
      </c>
      <c r="P9" s="50">
        <f>IF($A9="","",IF($L9&lt;=0,0,IF(OR(IFERROR(INDEX(Config!$F$15:$F$34,MATCH($G9,Config!$E$15:$E$34,0)),"No")="Yes",AND(Config!$B$10="Yes",ISNUMBER($M9),$M9&lt;0)),$L9,0)))</f>
        <v>0</v>
      </c>
      <c r="Q9" s="52">
        <f>IF($A9="","",IF(AND($L9&gt;0,ISNUMBER($M9)),IF($M9&lt;=Config!$B$8,1,0),0))</f>
        <v>0</v>
      </c>
      <c r="R9" s="52" t="str">
        <f>IF($Q9=1,COUNTIFS($Q$2:$Q$301,1,$E$2:$E$301,"&lt;"&amp;$E9)+COUNTIFS($Q$2:$Q9,1,$E$2:$E9,$E9),"")</f>
        <v/>
      </c>
      <c r="S9" s="49" t="str">
        <f>IF(COUNTA($A9:$I9)=0,"",IF($A9="","Missing: lot",IF(COUNTIF($A$2:$A$301,$A9)&gt;1,"Duplicate lot",IF($B9="","Missing: SKU",IF(NOT(ISNUMBER($E9)),"Missing: expiry date",IF($G9="","Missing: status",IF(COUNTIF(Products!$A$2:$A$101,$B9)=0,"Unknown SKU",IF(AND($C9&lt;&gt;"",COUNTIF(Suppliers!$A$2:$A$51,$C9)=0),"Unknown supplier",IF(COUNTIF(Config!$E$15:$E$34,$G9)=0,"Unsupported status",IF($L9&lt;0,"Negative lot balance",IF(AND($G9="Closed",$L9&lt;&gt;0),"Closed lot still has stock","OK")))))))))))</f>
        <v>OK</v>
      </c>
    </row>
    <row r="10">
      <c r="A10" s="46" t="inlineStr">
        <is>
          <t>PCH2412A</t>
        </is>
      </c>
      <c r="B10" s="46" t="inlineStr">
        <is>
          <t>PLT-CHO-2LB</t>
        </is>
      </c>
      <c r="C10" s="46" t="inlineStr">
        <is>
          <t>SUP-03</t>
        </is>
      </c>
      <c r="D10" s="54" t="n">
        <v>45649</v>
      </c>
      <c r="E10" s="54" t="n">
        <v>46378</v>
      </c>
      <c r="F10" s="48" t="n">
        <v>590</v>
      </c>
      <c r="G10" s="46" t="inlineStr">
        <is>
          <t>Released</t>
        </is>
      </c>
      <c r="H10" s="46" t="inlineStr">
        <is>
          <t>https://example.com/qa/coa/PCH2412A</t>
        </is>
      </c>
      <c r="I10" s="46" t="n"/>
      <c r="J10" s="49" t="str">
        <f>IF($A10="","",IFERROR(INDEX(Products!$B$2:$B$101,MATCH($B10,Products!$A$2:$A$101,0))&amp;"","(not found)"))</f>
        <v>Plant Protein, Chocolate, 2 lb</v>
      </c>
      <c r="K10" s="51">
        <f>IF($A10="","",SUMIFS(Inventory_Ledger!$M$2:$M$2001,Inventory_Ledger!$F$2:$F$2001,$A10))</f>
        <v>-454</v>
      </c>
      <c r="L10" s="51">
        <f>IF($A10="","",IF(ISNUMBER($F10),$F10,0)+$K10)</f>
        <v>136</v>
      </c>
      <c r="M10" s="56">
        <f>IF(OR($A10="",NOT(ISNUMBER($E10))),"",$E10-Config!$B$4)</f>
        <v>68</v>
      </c>
      <c r="N10" s="49" t="str">
        <f>IF($M10="","",IF($M10&lt;0,"Expired",IF($M10&lt;=Config!$B$6,"&lt;="&amp;Config!$B$6,IF($M10&lt;=Config!$B$7,(Config!$B$6+1)&amp;"-"&amp;Config!$B$7,IF($M10&lt;=Config!$B$8,(Config!$B$7+1)&amp;"-"&amp;Config!$B$8,"&gt;"&amp;Config!$B$8)))))</f>
        <v>61-90</v>
      </c>
      <c r="O10" s="52">
        <f>IF($M10="","",IF($M10&lt;0,0,IF($M10&lt;=Config!$B$6,1,IF($M10&lt;=Config!$B$7,2,IF($M10&lt;=Config!$B$8,3,4)))))</f>
        <v>3</v>
      </c>
      <c r="P10" s="50">
        <f>IF($A10="","",IF($L10&lt;=0,0,IF(OR(IFERROR(INDEX(Config!$F$15:$F$34,MATCH($G10,Config!$E$15:$E$34,0)),"No")="Yes",AND(Config!$B$10="Yes",ISNUMBER($M10),$M10&lt;0)),$L10,0)))</f>
        <v>0</v>
      </c>
      <c r="Q10" s="52">
        <f>IF($A10="","",IF(AND($L10&gt;0,ISNUMBER($M10)),IF($M10&lt;=Config!$B$8,1,0),0))</f>
        <v>1</v>
      </c>
      <c r="R10" s="52">
        <f>IF($Q10=1,COUNTIFS($Q$2:$Q$301,1,$E$2:$E$301,"&lt;"&amp;$E10)+COUNTIFS($Q$2:$Q10,1,$E$2:$E10,$E10),"")</f>
        <v>7</v>
      </c>
      <c r="S10" s="49" t="str">
        <f>IF(COUNTA($A10:$I10)=0,"",IF($A10="","Missing: lot",IF(COUNTIF($A$2:$A$301,$A10)&gt;1,"Duplicate lot",IF($B10="","Missing: SKU",IF(NOT(ISNUMBER($E10)),"Missing: expiry date",IF($G10="","Missing: status",IF(COUNTIF(Products!$A$2:$A$101,$B10)=0,"Unknown SKU",IF(AND($C10&lt;&gt;"",COUNTIF(Suppliers!$A$2:$A$51,$C10)=0),"Unknown supplier",IF(COUNTIF(Config!$E$15:$E$34,$G10)=0,"Unsupported status",IF($L10&lt;0,"Negative lot balance",IF(AND($G10="Closed",$L10&lt;&gt;0),"Closed lot still has stock","OK")))))))))))</f>
        <v>OK</v>
      </c>
    </row>
    <row r="11">
      <c r="A11" s="46" t="inlineStr">
        <is>
          <t>PCH2506A</t>
        </is>
      </c>
      <c r="B11" s="46" t="inlineStr">
        <is>
          <t>PLT-CHO-2LB</t>
        </is>
      </c>
      <c r="C11" s="46" t="inlineStr">
        <is>
          <t>SUP-03</t>
        </is>
      </c>
      <c r="D11" s="54" t="n">
        <v>45827</v>
      </c>
      <c r="E11" s="54" t="n">
        <v>46556</v>
      </c>
      <c r="F11" s="48" t="n">
        <v>260</v>
      </c>
      <c r="G11" s="46" t="inlineStr">
        <is>
          <t>Released</t>
        </is>
      </c>
      <c r="H11" s="46" t="inlineStr">
        <is>
          <t>https://example.com/qa/coa/PCH2506A</t>
        </is>
      </c>
      <c r="I11" s="46" t="n"/>
      <c r="J11" s="49" t="str">
        <f>IF($A11="","",IFERROR(INDEX(Products!$B$2:$B$101,MATCH($B11,Products!$A$2:$A$101,0))&amp;"","(not found)"))</f>
        <v>Plant Protein, Chocolate, 2 lb</v>
      </c>
      <c r="K11" s="51">
        <f>IF($A11="","",SUMIFS(Inventory_Ledger!$M$2:$M$2001,Inventory_Ledger!$F$2:$F$2001,$A11))</f>
        <v>0</v>
      </c>
      <c r="L11" s="51">
        <f>IF($A11="","",IF(ISNUMBER($F11),$F11,0)+$K11)</f>
        <v>260</v>
      </c>
      <c r="M11" s="56">
        <f>IF(OR($A11="",NOT(ISNUMBER($E11))),"",$E11-Config!$B$4)</f>
        <v>246</v>
      </c>
      <c r="N11" s="49" t="str">
        <f>IF($M11="","",IF($M11&lt;0,"Expired",IF($M11&lt;=Config!$B$6,"&lt;="&amp;Config!$B$6,IF($M11&lt;=Config!$B$7,(Config!$B$6+1)&amp;"-"&amp;Config!$B$7,IF($M11&lt;=Config!$B$8,(Config!$B$7+1)&amp;"-"&amp;Config!$B$8,"&gt;"&amp;Config!$B$8)))))</f>
        <v>&gt;90</v>
      </c>
      <c r="O11" s="52">
        <f>IF($M11="","",IF($M11&lt;0,0,IF($M11&lt;=Config!$B$6,1,IF($M11&lt;=Config!$B$7,2,IF($M11&lt;=Config!$B$8,3,4)))))</f>
        <v>4</v>
      </c>
      <c r="P11" s="50">
        <f>IF($A11="","",IF($L11&lt;=0,0,IF(OR(IFERROR(INDEX(Config!$F$15:$F$34,MATCH($G11,Config!$E$15:$E$34,0)),"No")="Yes",AND(Config!$B$10="Yes",ISNUMBER($M11),$M11&lt;0)),$L11,0)))</f>
        <v>0</v>
      </c>
      <c r="Q11" s="52">
        <f>IF($A11="","",IF(AND($L11&gt;0,ISNUMBER($M11)),IF($M11&lt;=Config!$B$8,1,0),0))</f>
        <v>0</v>
      </c>
      <c r="R11" s="52" t="str">
        <f>IF($Q11=1,COUNTIFS($Q$2:$Q$301,1,$E$2:$E$301,"&lt;"&amp;$E11)+COUNTIFS($Q$2:$Q11,1,$E$2:$E11,$E11),"")</f>
        <v/>
      </c>
      <c r="S11" s="49" t="str">
        <f>IF(COUNTA($A11:$I11)=0,"",IF($A11="","Missing: lot",IF(COUNTIF($A$2:$A$301,$A11)&gt;1,"Duplicate lot",IF($B11="","Missing: SKU",IF(NOT(ISNUMBER($E11)),"Missing: expiry date",IF($G11="","Missing: status",IF(COUNTIF(Products!$A$2:$A$101,$B11)=0,"Unknown SKU",IF(AND($C11&lt;&gt;"",COUNTIF(Suppliers!$A$2:$A$51,$C11)=0),"Unknown supplier",IF(COUNTIF(Config!$E$15:$E$34,$G11)=0,"Unsupported status",IF($L11&lt;0,"Negative lot balance",IF(AND($G11="Closed",$L11&lt;&gt;0),"Closed lot still has stock","OK")))))))))))</f>
        <v>OK</v>
      </c>
    </row>
    <row r="12">
      <c r="A12" s="46" t="inlineStr">
        <is>
          <t>PVA2411A</t>
        </is>
      </c>
      <c r="B12" s="46" t="inlineStr">
        <is>
          <t>PLT-VAN-2LB</t>
        </is>
      </c>
      <c r="C12" s="46" t="inlineStr">
        <is>
          <t>SUP-03</t>
        </is>
      </c>
      <c r="D12" s="54" t="n">
        <v>45611</v>
      </c>
      <c r="E12" s="54" t="n">
        <v>46340</v>
      </c>
      <c r="F12" s="48" t="n">
        <v>327</v>
      </c>
      <c r="G12" s="46" t="inlineStr">
        <is>
          <t>Released</t>
        </is>
      </c>
      <c r="H12" s="46" t="inlineStr">
        <is>
          <t>https://example.com/qa/coa/PVA2411A</t>
        </is>
      </c>
      <c r="I12" s="46" t="n"/>
      <c r="J12" s="49" t="str">
        <f>IF($A12="","",IFERROR(INDEX(Products!$B$2:$B$101,MATCH($B12,Products!$A$2:$A$101,0))&amp;"","(not found)"))</f>
        <v>Plant Protein, Vanilla, 2 lb</v>
      </c>
      <c r="K12" s="51">
        <f>IF($A12="","",SUMIFS(Inventory_Ledger!$M$2:$M$2001,Inventory_Ledger!$F$2:$F$2001,$A12))</f>
        <v>-274</v>
      </c>
      <c r="L12" s="51">
        <f>IF($A12="","",IF(ISNUMBER($F12),$F12,0)+$K12)</f>
        <v>53</v>
      </c>
      <c r="M12" s="56">
        <f>IF(OR($A12="",NOT(ISNUMBER($E12))),"",$E12-Config!$B$4)</f>
        <v>30</v>
      </c>
      <c r="N12" s="49" t="str">
        <f>IF($M12="","",IF($M12&lt;0,"Expired",IF($M12&lt;=Config!$B$6,"&lt;="&amp;Config!$B$6,IF($M12&lt;=Config!$B$7,(Config!$B$6+1)&amp;"-"&amp;Config!$B$7,IF($M12&lt;=Config!$B$8,(Config!$B$7+1)&amp;"-"&amp;Config!$B$8,"&gt;"&amp;Config!$B$8)))))</f>
        <v>&lt;=30</v>
      </c>
      <c r="O12" s="52">
        <f>IF($M12="","",IF($M12&lt;0,0,IF($M12&lt;=Config!$B$6,1,IF($M12&lt;=Config!$B$7,2,IF($M12&lt;=Config!$B$8,3,4)))))</f>
        <v>1</v>
      </c>
      <c r="P12" s="50">
        <f>IF($A12="","",IF($L12&lt;=0,0,IF(OR(IFERROR(INDEX(Config!$F$15:$F$34,MATCH($G12,Config!$E$15:$E$34,0)),"No")="Yes",AND(Config!$B$10="Yes",ISNUMBER($M12),$M12&lt;0)),$L12,0)))</f>
        <v>0</v>
      </c>
      <c r="Q12" s="52">
        <f>IF($A12="","",IF(AND($L12&gt;0,ISNUMBER($M12)),IF($M12&lt;=Config!$B$8,1,0),0))</f>
        <v>1</v>
      </c>
      <c r="R12" s="52">
        <f>IF($Q12=1,COUNTIFS($Q$2:$Q$301,1,$E$2:$E$301,"&lt;"&amp;$E12)+COUNTIFS($Q$2:$Q12,1,$E$2:$E12,$E12),"")</f>
        <v>4</v>
      </c>
      <c r="S12" s="49" t="str">
        <f>IF(COUNTA($A12:$I12)=0,"",IF($A12="","Missing: lot",IF(COUNTIF($A$2:$A$301,$A12)&gt;1,"Duplicate lot",IF($B12="","Missing: SKU",IF(NOT(ISNUMBER($E12)),"Missing: expiry date",IF($G12="","Missing: status",IF(COUNTIF(Products!$A$2:$A$101,$B12)=0,"Unknown SKU",IF(AND($C12&lt;&gt;"",COUNTIF(Suppliers!$A$2:$A$51,$C12)=0),"Unknown supplier",IF(COUNTIF(Config!$E$15:$E$34,$G12)=0,"Unsupported status",IF($L12&lt;0,"Negative lot balance",IF(AND($G12="Closed",$L12&lt;&gt;0),"Closed lot still has stock","OK")))))))))))</f>
        <v>OK</v>
      </c>
    </row>
    <row r="13">
      <c r="A13" s="46" t="inlineStr">
        <is>
          <t>PVA2505A</t>
        </is>
      </c>
      <c r="B13" s="46" t="inlineStr">
        <is>
          <t>PLT-VAN-2LB</t>
        </is>
      </c>
      <c r="C13" s="46" t="inlineStr">
        <is>
          <t>SUP-03</t>
        </is>
      </c>
      <c r="D13" s="54" t="n">
        <v>45790</v>
      </c>
      <c r="E13" s="54" t="n">
        <v>46519</v>
      </c>
      <c r="F13" s="48" t="n">
        <v>80</v>
      </c>
      <c r="G13" s="46" t="inlineStr">
        <is>
          <t>Released</t>
        </is>
      </c>
      <c r="H13" s="46" t="inlineStr">
        <is>
          <t>https://example.com/qa/coa/PVA2505A</t>
        </is>
      </c>
      <c r="I13" s="46" t="n"/>
      <c r="J13" s="49" t="str">
        <f>IF($A13="","",IFERROR(INDEX(Products!$B$2:$B$101,MATCH($B13,Products!$A$2:$A$101,0))&amp;"","(not found)"))</f>
        <v>Plant Protein, Vanilla, 2 lb</v>
      </c>
      <c r="K13" s="51">
        <f>IF($A13="","",SUMIFS(Inventory_Ledger!$M$2:$M$2001,Inventory_Ledger!$F$2:$F$2001,$A13))</f>
        <v>0</v>
      </c>
      <c r="L13" s="51">
        <f>IF($A13="","",IF(ISNUMBER($F13),$F13,0)+$K13)</f>
        <v>80</v>
      </c>
      <c r="M13" s="56">
        <f>IF(OR($A13="",NOT(ISNUMBER($E13))),"",$E13-Config!$B$4)</f>
        <v>209</v>
      </c>
      <c r="N13" s="49" t="str">
        <f>IF($M13="","",IF($M13&lt;0,"Expired",IF($M13&lt;=Config!$B$6,"&lt;="&amp;Config!$B$6,IF($M13&lt;=Config!$B$7,(Config!$B$6+1)&amp;"-"&amp;Config!$B$7,IF($M13&lt;=Config!$B$8,(Config!$B$7+1)&amp;"-"&amp;Config!$B$8,"&gt;"&amp;Config!$B$8)))))</f>
        <v>&gt;90</v>
      </c>
      <c r="O13" s="52">
        <f>IF($M13="","",IF($M13&lt;0,0,IF($M13&lt;=Config!$B$6,1,IF($M13&lt;=Config!$B$7,2,IF($M13&lt;=Config!$B$8,3,4)))))</f>
        <v>4</v>
      </c>
      <c r="P13" s="50">
        <f>IF($A13="","",IF($L13&lt;=0,0,IF(OR(IFERROR(INDEX(Config!$F$15:$F$34,MATCH($G13,Config!$E$15:$E$34,0)),"No")="Yes",AND(Config!$B$10="Yes",ISNUMBER($M13),$M13&lt;0)),$L13,0)))</f>
        <v>0</v>
      </c>
      <c r="Q13" s="52">
        <f>IF($A13="","",IF(AND($L13&gt;0,ISNUMBER($M13)),IF($M13&lt;=Config!$B$8,1,0),0))</f>
        <v>0</v>
      </c>
      <c r="R13" s="52" t="str">
        <f>IF($Q13=1,COUNTIFS($Q$2:$Q$301,1,$E$2:$E$301,"&lt;"&amp;$E13)+COUNTIFS($Q$2:$Q13,1,$E$2:$E13,$E13),"")</f>
        <v/>
      </c>
      <c r="S13" s="49" t="str">
        <f>IF(COUNTA($A13:$I13)=0,"",IF($A13="","Missing: lot",IF(COUNTIF($A$2:$A$301,$A13)&gt;1,"Duplicate lot",IF($B13="","Missing: SKU",IF(NOT(ISNUMBER($E13)),"Missing: expiry date",IF($G13="","Missing: status",IF(COUNTIF(Products!$A$2:$A$101,$B13)=0,"Unknown SKU",IF(AND($C13&lt;&gt;"",COUNTIF(Suppliers!$A$2:$A$51,$C13)=0),"Unknown supplier",IF(COUNTIF(Config!$E$15:$E$34,$G13)=0,"Unsupported status",IF($L13&lt;0,"Negative lot balance",IF(AND($G13="Closed",$L13&lt;&gt;0),"Closed lot still has stock","OK")))))))))))</f>
        <v>OK</v>
      </c>
    </row>
    <row r="14">
      <c r="A14" s="46" t="inlineStr">
        <is>
          <t>PBC2511A</t>
        </is>
      </c>
      <c r="B14" s="46" t="inlineStr">
        <is>
          <t>BAR-PBC-12</t>
        </is>
      </c>
      <c r="C14" s="46" t="inlineStr">
        <is>
          <t>SUP-02</t>
        </is>
      </c>
      <c r="D14" s="54" t="n">
        <v>45962</v>
      </c>
      <c r="E14" s="54" t="n">
        <v>46326</v>
      </c>
      <c r="F14" s="48" t="n">
        <v>2288</v>
      </c>
      <c r="G14" s="46" t="inlineStr">
        <is>
          <t>Released</t>
        </is>
      </c>
      <c r="H14" s="46" t="inlineStr">
        <is>
          <t>https://example.com/qa/coa/PBC2511A</t>
        </is>
      </c>
      <c r="I14" s="46" t="inlineStr">
        <is>
          <t>Expires 2026-10-31; clearance offer being planned</t>
        </is>
      </c>
      <c r="J14" s="49" t="str">
        <f>IF($A14="","",IFERROR(INDEX(Products!$B$2:$B$101,MATCH($B14,Products!$A$2:$A$101,0))&amp;"","(not found)"))</f>
        <v>Protein Bar, Peanut Butter Chocolate, 12-pack</v>
      </c>
      <c r="K14" s="51">
        <f>IF($A14="","",SUMIFS(Inventory_Ledger!$M$2:$M$2001,Inventory_Ledger!$F$2:$F$2001,$A14))</f>
        <v>-1944</v>
      </c>
      <c r="L14" s="51">
        <f>IF($A14="","",IF(ISNUMBER($F14),$F14,0)+$K14)</f>
        <v>344</v>
      </c>
      <c r="M14" s="56">
        <f>IF(OR($A14="",NOT(ISNUMBER($E14))),"",$E14-Config!$B$4)</f>
        <v>16</v>
      </c>
      <c r="N14" s="49" t="str">
        <f>IF($M14="","",IF($M14&lt;0,"Expired",IF($M14&lt;=Config!$B$6,"&lt;="&amp;Config!$B$6,IF($M14&lt;=Config!$B$7,(Config!$B$6+1)&amp;"-"&amp;Config!$B$7,IF($M14&lt;=Config!$B$8,(Config!$B$7+1)&amp;"-"&amp;Config!$B$8,"&gt;"&amp;Config!$B$8)))))</f>
        <v>&lt;=30</v>
      </c>
      <c r="O14" s="52">
        <f>IF($M14="","",IF($M14&lt;0,0,IF($M14&lt;=Config!$B$6,1,IF($M14&lt;=Config!$B$7,2,IF($M14&lt;=Config!$B$8,3,4)))))</f>
        <v>1</v>
      </c>
      <c r="P14" s="50">
        <f>IF($A14="","",IF($L14&lt;=0,0,IF(OR(IFERROR(INDEX(Config!$F$15:$F$34,MATCH($G14,Config!$E$15:$E$34,0)),"No")="Yes",AND(Config!$B$10="Yes",ISNUMBER($M14),$M14&lt;0)),$L14,0)))</f>
        <v>0</v>
      </c>
      <c r="Q14" s="52">
        <f>IF($A14="","",IF(AND($L14&gt;0,ISNUMBER($M14)),IF($M14&lt;=Config!$B$8,1,0),0))</f>
        <v>1</v>
      </c>
      <c r="R14" s="52">
        <f>IF($Q14=1,COUNTIFS($Q$2:$Q$301,1,$E$2:$E$301,"&lt;"&amp;$E14)+COUNTIFS($Q$2:$Q14,1,$E$2:$E14,$E14),"")</f>
        <v>2</v>
      </c>
      <c r="S14" s="49" t="str">
        <f>IF(COUNTA($A14:$I14)=0,"",IF($A14="","Missing: lot",IF(COUNTIF($A$2:$A$301,$A14)&gt;1,"Duplicate lot",IF($B14="","Missing: SKU",IF(NOT(ISNUMBER($E14)),"Missing: expiry date",IF($G14="","Missing: status",IF(COUNTIF(Products!$A$2:$A$101,$B14)=0,"Unknown SKU",IF(AND($C14&lt;&gt;"",COUNTIF(Suppliers!$A$2:$A$51,$C14)=0),"Unknown supplier",IF(COUNTIF(Config!$E$15:$E$34,$G14)=0,"Unsupported status",IF($L14&lt;0,"Negative lot balance",IF(AND($G14="Closed",$L14&lt;&gt;0),"Closed lot still has stock","OK")))))))))))</f>
        <v>OK</v>
      </c>
    </row>
    <row r="15">
      <c r="A15" s="46" t="inlineStr">
        <is>
          <t>PBC2607A</t>
        </is>
      </c>
      <c r="B15" s="46" t="inlineStr">
        <is>
          <t>BAR-PBC-12</t>
        </is>
      </c>
      <c r="C15" s="46" t="inlineStr">
        <is>
          <t>SUP-02</t>
        </is>
      </c>
      <c r="D15" s="54" t="n">
        <v>46231</v>
      </c>
      <c r="E15" s="54" t="n">
        <v>46595</v>
      </c>
      <c r="F15" s="48" t="n">
        <v>0</v>
      </c>
      <c r="G15" s="46" t="inlineStr">
        <is>
          <t>Released</t>
        </is>
      </c>
      <c r="H15" s="46" t="inlineStr">
        <is>
          <t>https://example.com/qa/coa/PBC2607A</t>
        </is>
      </c>
      <c r="I15" s="46" t="n"/>
      <c r="J15" s="49" t="str">
        <f>IF($A15="","",IFERROR(INDEX(Products!$B$2:$B$101,MATCH($B15,Products!$A$2:$A$101,0))&amp;"","(not found)"))</f>
        <v>Protein Bar, Peanut Butter Chocolate, 12-pack</v>
      </c>
      <c r="K15" s="51">
        <f>IF($A15="","",SUMIFS(Inventory_Ledger!$M$2:$M$2001,Inventory_Ledger!$F$2:$F$2001,$A15))</f>
        <v>2400</v>
      </c>
      <c r="L15" s="51">
        <f>IF($A15="","",IF(ISNUMBER($F15),$F15,0)+$K15)</f>
        <v>2400</v>
      </c>
      <c r="M15" s="56">
        <f>IF(OR($A15="",NOT(ISNUMBER($E15))),"",$E15-Config!$B$4)</f>
        <v>285</v>
      </c>
      <c r="N15" s="49" t="str">
        <f>IF($M15="","",IF($M15&lt;0,"Expired",IF($M15&lt;=Config!$B$6,"&lt;="&amp;Config!$B$6,IF($M15&lt;=Config!$B$7,(Config!$B$6+1)&amp;"-"&amp;Config!$B$7,IF($M15&lt;=Config!$B$8,(Config!$B$7+1)&amp;"-"&amp;Config!$B$8,"&gt;"&amp;Config!$B$8)))))</f>
        <v>&gt;90</v>
      </c>
      <c r="O15" s="52">
        <f>IF($M15="","",IF($M15&lt;0,0,IF($M15&lt;=Config!$B$6,1,IF($M15&lt;=Config!$B$7,2,IF($M15&lt;=Config!$B$8,3,4)))))</f>
        <v>4</v>
      </c>
      <c r="P15" s="50">
        <f>IF($A15="","",IF($L15&lt;=0,0,IF(OR(IFERROR(INDEX(Config!$F$15:$F$34,MATCH($G15,Config!$E$15:$E$34,0)),"No")="Yes",AND(Config!$B$10="Yes",ISNUMBER($M15),$M15&lt;0)),$L15,0)))</f>
        <v>0</v>
      </c>
      <c r="Q15" s="52">
        <f>IF($A15="","",IF(AND($L15&gt;0,ISNUMBER($M15)),IF($M15&lt;=Config!$B$8,1,0),0))</f>
        <v>0</v>
      </c>
      <c r="R15" s="52" t="str">
        <f>IF($Q15=1,COUNTIFS($Q$2:$Q$301,1,$E$2:$E$301,"&lt;"&amp;$E15)+COUNTIFS($Q$2:$Q15,1,$E$2:$E15,$E15),"")</f>
        <v/>
      </c>
      <c r="S15" s="49" t="str">
        <f>IF(COUNTA($A15:$I15)=0,"",IF($A15="","Missing: lot",IF(COUNTIF($A$2:$A$301,$A15)&gt;1,"Duplicate lot",IF($B15="","Missing: SKU",IF(NOT(ISNUMBER($E15)),"Missing: expiry date",IF($G15="","Missing: status",IF(COUNTIF(Products!$A$2:$A$101,$B15)=0,"Unknown SKU",IF(AND($C15&lt;&gt;"",COUNTIF(Suppliers!$A$2:$A$51,$C15)=0),"Unknown supplier",IF(COUNTIF(Config!$E$15:$E$34,$G15)=0,"Unsupported status",IF($L15&lt;0,"Negative lot balance",IF(AND($G15="Closed",$L15&lt;&gt;0),"Closed lot still has stock","OK")))))))))))</f>
        <v>OK</v>
      </c>
    </row>
    <row r="16">
      <c r="A16" s="46" t="inlineStr">
        <is>
          <t>CKD2510A</t>
        </is>
      </c>
      <c r="B16" s="46" t="inlineStr">
        <is>
          <t>BAR-CKD-12</t>
        </is>
      </c>
      <c r="C16" s="46" t="inlineStr">
        <is>
          <t>SUP-02</t>
        </is>
      </c>
      <c r="D16" s="54" t="n">
        <v>45933</v>
      </c>
      <c r="E16" s="54" t="n">
        <v>46297</v>
      </c>
      <c r="F16" s="48" t="n">
        <v>557</v>
      </c>
      <c r="G16" s="46" t="inlineStr">
        <is>
          <t>On hold</t>
        </is>
      </c>
      <c r="H16" s="46" t="inlineStr">
        <is>
          <t>https://example.com/qa/coa/CKD2510A</t>
        </is>
      </c>
      <c r="I16" s="46" t="inlineStr">
        <is>
          <t>QA hold since 2026-08-01 (wrapper seal complaint); expired 2026-10-02; destruction pending</t>
        </is>
      </c>
      <c r="J16" s="49" t="str">
        <f>IF($A16="","",IFERROR(INDEX(Products!$B$2:$B$101,MATCH($B16,Products!$A$2:$A$101,0))&amp;"","(not found)"))</f>
        <v>Protein Bar, Cookie Dough, 12-pack</v>
      </c>
      <c r="K16" s="51">
        <f>IF($A16="","",SUMIFS(Inventory_Ledger!$M$2:$M$2001,Inventory_Ledger!$F$2:$F$2001,$A16))</f>
        <v>-521</v>
      </c>
      <c r="L16" s="51">
        <f>IF($A16="","",IF(ISNUMBER($F16),$F16,0)+$K16)</f>
        <v>36</v>
      </c>
      <c r="M16" s="56">
        <f>IF(OR($A16="",NOT(ISNUMBER($E16))),"",$E16-Config!$B$4)</f>
        <v>-13</v>
      </c>
      <c r="N16" s="49" t="str">
        <f>IF($M16="","",IF($M16&lt;0,"Expired",IF($M16&lt;=Config!$B$6,"&lt;="&amp;Config!$B$6,IF($M16&lt;=Config!$B$7,(Config!$B$6+1)&amp;"-"&amp;Config!$B$7,IF($M16&lt;=Config!$B$8,(Config!$B$7+1)&amp;"-"&amp;Config!$B$8,"&gt;"&amp;Config!$B$8)))))</f>
        <v>Expired</v>
      </c>
      <c r="O16" s="52">
        <f>IF($M16="","",IF($M16&lt;0,0,IF($M16&lt;=Config!$B$6,1,IF($M16&lt;=Config!$B$7,2,IF($M16&lt;=Config!$B$8,3,4)))))</f>
        <v>0</v>
      </c>
      <c r="P16" s="50">
        <f>IF($A16="","",IF($L16&lt;=0,0,IF(OR(IFERROR(INDEX(Config!$F$15:$F$34,MATCH($G16,Config!$E$15:$E$34,0)),"No")="Yes",AND(Config!$B$10="Yes",ISNUMBER($M16),$M16&lt;0)),$L16,0)))</f>
        <v>36</v>
      </c>
      <c r="Q16" s="52">
        <f>IF($A16="","",IF(AND($L16&gt;0,ISNUMBER($M16)),IF($M16&lt;=Config!$B$8,1,0),0))</f>
        <v>1</v>
      </c>
      <c r="R16" s="52">
        <f>IF($Q16=1,COUNTIFS($Q$2:$Q$301,1,$E$2:$E$301,"&lt;"&amp;$E16)+COUNTIFS($Q$2:$Q16,1,$E$2:$E16,$E16),"")</f>
        <v>1</v>
      </c>
      <c r="S16" s="49" t="str">
        <f>IF(COUNTA($A16:$I16)=0,"",IF($A16="","Missing: lot",IF(COUNTIF($A$2:$A$301,$A16)&gt;1,"Duplicate lot",IF($B16="","Missing: SKU",IF(NOT(ISNUMBER($E16)),"Missing: expiry date",IF($G16="","Missing: status",IF(COUNTIF(Products!$A$2:$A$101,$B16)=0,"Unknown SKU",IF(AND($C16&lt;&gt;"",COUNTIF(Suppliers!$A$2:$A$51,$C16)=0),"Unknown supplier",IF(COUNTIF(Config!$E$15:$E$34,$G16)=0,"Unsupported status",IF($L16&lt;0,"Negative lot balance",IF(AND($G16="Closed",$L16&lt;&gt;0),"Closed lot still has stock","OK")))))))))))</f>
        <v>OK</v>
      </c>
    </row>
    <row r="17">
      <c r="A17" s="46" t="inlineStr">
        <is>
          <t>CKD2511A</t>
        </is>
      </c>
      <c r="B17" s="46" t="inlineStr">
        <is>
          <t>BAR-CKD-12</t>
        </is>
      </c>
      <c r="C17" s="46" t="inlineStr">
        <is>
          <t>SUP-02</t>
        </is>
      </c>
      <c r="D17" s="54" t="n">
        <v>45970</v>
      </c>
      <c r="E17" s="54" t="n">
        <v>46334</v>
      </c>
      <c r="F17" s="48" t="n">
        <v>1332</v>
      </c>
      <c r="G17" s="46" t="inlineStr">
        <is>
          <t>Released</t>
        </is>
      </c>
      <c r="H17" s="46" t="inlineStr">
        <is>
          <t>https://example.com/qa/coa/CKD2511A</t>
        </is>
      </c>
      <c r="I17" s="46" t="n"/>
      <c r="J17" s="49" t="str">
        <f>IF($A17="","",IFERROR(INDEX(Products!$B$2:$B$101,MATCH($B17,Products!$A$2:$A$101,0))&amp;"","(not found)"))</f>
        <v>Protein Bar, Cookie Dough, 12-pack</v>
      </c>
      <c r="K17" s="51">
        <f>IF($A17="","",SUMIFS(Inventory_Ledger!$M$2:$M$2001,Inventory_Ledger!$F$2:$F$2001,$A17))</f>
        <v>-1120</v>
      </c>
      <c r="L17" s="51">
        <f>IF($A17="","",IF(ISNUMBER($F17),$F17,0)+$K17)</f>
        <v>212</v>
      </c>
      <c r="M17" s="56">
        <f>IF(OR($A17="",NOT(ISNUMBER($E17))),"",$E17-Config!$B$4)</f>
        <v>24</v>
      </c>
      <c r="N17" s="49" t="str">
        <f>IF($M17="","",IF($M17&lt;0,"Expired",IF($M17&lt;=Config!$B$6,"&lt;="&amp;Config!$B$6,IF($M17&lt;=Config!$B$7,(Config!$B$6+1)&amp;"-"&amp;Config!$B$7,IF($M17&lt;=Config!$B$8,(Config!$B$7+1)&amp;"-"&amp;Config!$B$8,"&gt;"&amp;Config!$B$8)))))</f>
        <v>&lt;=30</v>
      </c>
      <c r="O17" s="52">
        <f>IF($M17="","",IF($M17&lt;0,0,IF($M17&lt;=Config!$B$6,1,IF($M17&lt;=Config!$B$7,2,IF($M17&lt;=Config!$B$8,3,4)))))</f>
        <v>1</v>
      </c>
      <c r="P17" s="50">
        <f>IF($A17="","",IF($L17&lt;=0,0,IF(OR(IFERROR(INDEX(Config!$F$15:$F$34,MATCH($G17,Config!$E$15:$E$34,0)),"No")="Yes",AND(Config!$B$10="Yes",ISNUMBER($M17),$M17&lt;0)),$L17,0)))</f>
        <v>0</v>
      </c>
      <c r="Q17" s="52">
        <f>IF($A17="","",IF(AND($L17&gt;0,ISNUMBER($M17)),IF($M17&lt;=Config!$B$8,1,0),0))</f>
        <v>1</v>
      </c>
      <c r="R17" s="52">
        <f>IF($Q17=1,COUNTIFS($Q$2:$Q$301,1,$E$2:$E$301,"&lt;"&amp;$E17)+COUNTIFS($Q$2:$Q17,1,$E$2:$E17,$E17),"")</f>
        <v>3</v>
      </c>
      <c r="S17" s="49" t="str">
        <f>IF(COUNTA($A17:$I17)=0,"",IF($A17="","Missing: lot",IF(COUNTIF($A$2:$A$301,$A17)&gt;1,"Duplicate lot",IF($B17="","Missing: SKU",IF(NOT(ISNUMBER($E17)),"Missing: expiry date",IF($G17="","Missing: status",IF(COUNTIF(Products!$A$2:$A$101,$B17)=0,"Unknown SKU",IF(AND($C17&lt;&gt;"",COUNTIF(Suppliers!$A$2:$A$51,$C17)=0),"Unknown supplier",IF(COUNTIF(Config!$E$15:$E$34,$G17)=0,"Unsupported status",IF($L17&lt;0,"Negative lot balance",IF(AND($G17="Closed",$L17&lt;&gt;0),"Closed lot still has stock","OK")))))))))))</f>
        <v>OK</v>
      </c>
    </row>
    <row r="18">
      <c r="A18" s="46" t="inlineStr">
        <is>
          <t>CKD2608A</t>
        </is>
      </c>
      <c r="B18" s="46" t="inlineStr">
        <is>
          <t>BAR-CKD-12</t>
        </is>
      </c>
      <c r="C18" s="46" t="inlineStr">
        <is>
          <t>SUP-02</t>
        </is>
      </c>
      <c r="D18" s="54" t="n">
        <v>46259</v>
      </c>
      <c r="E18" s="54" t="n">
        <v>46623</v>
      </c>
      <c r="F18" s="48" t="n">
        <v>0</v>
      </c>
      <c r="G18" s="46" t="inlineStr">
        <is>
          <t>Released</t>
        </is>
      </c>
      <c r="H18" s="46" t="inlineStr">
        <is>
          <t>https://example.com/qa/coa/CKD2608A</t>
        </is>
      </c>
      <c r="I18" s="46" t="n"/>
      <c r="J18" s="49" t="str">
        <f>IF($A18="","",IFERROR(INDEX(Products!$B$2:$B$101,MATCH($B18,Products!$A$2:$A$101,0))&amp;"","(not found)"))</f>
        <v>Protein Bar, Cookie Dough, 12-pack</v>
      </c>
      <c r="K18" s="51">
        <f>IF($A18="","",SUMIFS(Inventory_Ledger!$M$2:$M$2001,Inventory_Ledger!$F$2:$F$2001,$A18))</f>
        <v>1500</v>
      </c>
      <c r="L18" s="51">
        <f>IF($A18="","",IF(ISNUMBER($F18),$F18,0)+$K18)</f>
        <v>1500</v>
      </c>
      <c r="M18" s="56">
        <f>IF(OR($A18="",NOT(ISNUMBER($E18))),"",$E18-Config!$B$4)</f>
        <v>313</v>
      </c>
      <c r="N18" s="49" t="str">
        <f>IF($M18="","",IF($M18&lt;0,"Expired",IF($M18&lt;=Config!$B$6,"&lt;="&amp;Config!$B$6,IF($M18&lt;=Config!$B$7,(Config!$B$6+1)&amp;"-"&amp;Config!$B$7,IF($M18&lt;=Config!$B$8,(Config!$B$7+1)&amp;"-"&amp;Config!$B$8,"&gt;"&amp;Config!$B$8)))))</f>
        <v>&gt;90</v>
      </c>
      <c r="O18" s="52">
        <f>IF($M18="","",IF($M18&lt;0,0,IF($M18&lt;=Config!$B$6,1,IF($M18&lt;=Config!$B$7,2,IF($M18&lt;=Config!$B$8,3,4)))))</f>
        <v>4</v>
      </c>
      <c r="P18" s="50">
        <f>IF($A18="","",IF($L18&lt;=0,0,IF(OR(IFERROR(INDEX(Config!$F$15:$F$34,MATCH($G18,Config!$E$15:$E$34,0)),"No")="Yes",AND(Config!$B$10="Yes",ISNUMBER($M18),$M18&lt;0)),$L18,0)))</f>
        <v>0</v>
      </c>
      <c r="Q18" s="52">
        <f>IF($A18="","",IF(AND($L18&gt;0,ISNUMBER($M18)),IF($M18&lt;=Config!$B$8,1,0),0))</f>
        <v>0</v>
      </c>
      <c r="R18" s="52" t="str">
        <f>IF($Q18=1,COUNTIFS($Q$2:$Q$301,1,$E$2:$E$301,"&lt;"&amp;$E18)+COUNTIFS($Q$2:$Q18,1,$E$2:$E18,$E18),"")</f>
        <v/>
      </c>
      <c r="S18" s="49" t="str">
        <f>IF(COUNTA($A18:$I18)=0,"",IF($A18="","Missing: lot",IF(COUNTIF($A$2:$A$301,$A18)&gt;1,"Duplicate lot",IF($B18="","Missing: SKU",IF(NOT(ISNUMBER($E18)),"Missing: expiry date",IF($G18="","Missing: status",IF(COUNTIF(Products!$A$2:$A$101,$B18)=0,"Unknown SKU",IF(AND($C18&lt;&gt;"",COUNTIF(Suppliers!$A$2:$A$51,$C18)=0),"Unknown supplier",IF(COUNTIF(Config!$E$15:$E$34,$G18)=0,"Unsupported status",IF($L18&lt;0,"Negative lot balance",IF(AND($G18="Closed",$L18&lt;&gt;0),"Closed lot still has stock","OK")))))))))))</f>
        <v>OK</v>
      </c>
    </row>
    <row r="19">
      <c r="A19" s="46" t="inlineStr">
        <is>
          <t>CRT2502A</t>
        </is>
      </c>
      <c r="B19" s="46" t="inlineStr">
        <is>
          <t>CRE-UNF-300G</t>
        </is>
      </c>
      <c r="C19" s="46" t="inlineStr">
        <is>
          <t>SUP-04</t>
        </is>
      </c>
      <c r="D19" s="54" t="n">
        <v>45691</v>
      </c>
      <c r="E19" s="54" t="n">
        <v>46785</v>
      </c>
      <c r="F19" s="48" t="n">
        <v>500</v>
      </c>
      <c r="G19" s="46" t="inlineStr">
        <is>
          <t>Closed</t>
        </is>
      </c>
      <c r="H19" s="46" t="inlineStr">
        <is>
          <t>https://example.com/qa/coa/CRT2502A</t>
        </is>
      </c>
      <c r="I19" s="46" t="n"/>
      <c r="J19" s="49" t="str">
        <f>IF($A19="","",IFERROR(INDEX(Products!$B$2:$B$101,MATCH($B19,Products!$A$2:$A$101,0))&amp;"","(not found)"))</f>
        <v>Creatine Monohydrate, Unflavoured, 300 g</v>
      </c>
      <c r="K19" s="51">
        <f>IF($A19="","",SUMIFS(Inventory_Ledger!$M$2:$M$2001,Inventory_Ledger!$F$2:$F$2001,$A19))</f>
        <v>-500</v>
      </c>
      <c r="L19" s="51">
        <f>IF($A19="","",IF(ISNUMBER($F19),$F19,0)+$K19)</f>
        <v>0</v>
      </c>
      <c r="M19" s="56">
        <f>IF(OR($A19="",NOT(ISNUMBER($E19))),"",$E19-Config!$B$4)</f>
        <v>475</v>
      </c>
      <c r="N19" s="49" t="str">
        <f>IF($M19="","",IF($M19&lt;0,"Expired",IF($M19&lt;=Config!$B$6,"&lt;="&amp;Config!$B$6,IF($M19&lt;=Config!$B$7,(Config!$B$6+1)&amp;"-"&amp;Config!$B$7,IF($M19&lt;=Config!$B$8,(Config!$B$7+1)&amp;"-"&amp;Config!$B$8,"&gt;"&amp;Config!$B$8)))))</f>
        <v>&gt;90</v>
      </c>
      <c r="O19" s="52">
        <f>IF($M19="","",IF($M19&lt;0,0,IF($M19&lt;=Config!$B$6,1,IF($M19&lt;=Config!$B$7,2,IF($M19&lt;=Config!$B$8,3,4)))))</f>
        <v>4</v>
      </c>
      <c r="P19" s="50">
        <f>IF($A19="","",IF($L19&lt;=0,0,IF(OR(IFERROR(INDEX(Config!$F$15:$F$34,MATCH($G19,Config!$E$15:$E$34,0)),"No")="Yes",AND(Config!$B$10="Yes",ISNUMBER($M19),$M19&lt;0)),$L19,0)))</f>
        <v>0</v>
      </c>
      <c r="Q19" s="52">
        <f>IF($A19="","",IF(AND($L19&gt;0,ISNUMBER($M19)),IF($M19&lt;=Config!$B$8,1,0),0))</f>
        <v>0</v>
      </c>
      <c r="R19" s="52" t="str">
        <f>IF($Q19=1,COUNTIFS($Q$2:$Q$301,1,$E$2:$E$301,"&lt;"&amp;$E19)+COUNTIFS($Q$2:$Q19,1,$E$2:$E19,$E19),"")</f>
        <v/>
      </c>
      <c r="S19" s="49" t="str">
        <f>IF(COUNTA($A19:$I19)=0,"",IF($A19="","Missing: lot",IF(COUNTIF($A$2:$A$301,$A19)&gt;1,"Duplicate lot",IF($B19="","Missing: SKU",IF(NOT(ISNUMBER($E19)),"Missing: expiry date",IF($G19="","Missing: status",IF(COUNTIF(Products!$A$2:$A$101,$B19)=0,"Unknown SKU",IF(AND($C19&lt;&gt;"",COUNTIF(Suppliers!$A$2:$A$51,$C19)=0),"Unknown supplier",IF(COUNTIF(Config!$E$15:$E$34,$G19)=0,"Unsupported status",IF($L19&lt;0,"Negative lot balance",IF(AND($G19="Closed",$L19&lt;&gt;0),"Closed lot still has stock","OK")))))))))))</f>
        <v>OK</v>
      </c>
    </row>
    <row r="20">
      <c r="A20" s="46" t="inlineStr">
        <is>
          <t>CRT2505A</t>
        </is>
      </c>
      <c r="B20" s="46" t="inlineStr">
        <is>
          <t>CRE-UNF-300G</t>
        </is>
      </c>
      <c r="C20" s="46" t="inlineStr">
        <is>
          <t>SUP-04</t>
        </is>
      </c>
      <c r="D20" s="54" t="n">
        <v>45791</v>
      </c>
      <c r="E20" s="54" t="n">
        <v>46886</v>
      </c>
      <c r="F20" s="48" t="n">
        <v>480</v>
      </c>
      <c r="G20" s="46" t="inlineStr">
        <is>
          <t>Released</t>
        </is>
      </c>
      <c r="H20" s="46" t="inlineStr">
        <is>
          <t>https://example.com/qa/coa/CRT2505A</t>
        </is>
      </c>
      <c r="I20" s="46" t="n"/>
      <c r="J20" s="49" t="str">
        <f>IF($A20="","",IFERROR(INDEX(Products!$B$2:$B$101,MATCH($B20,Products!$A$2:$A$101,0))&amp;"","(not found)"))</f>
        <v>Creatine Monohydrate, Unflavoured, 300 g</v>
      </c>
      <c r="K20" s="51">
        <f>IF($A20="","",SUMIFS(Inventory_Ledger!$M$2:$M$2001,Inventory_Ledger!$F$2:$F$2001,$A20))</f>
        <v>-361</v>
      </c>
      <c r="L20" s="51">
        <f>IF($A20="","",IF(ISNUMBER($F20),$F20,0)+$K20)</f>
        <v>119</v>
      </c>
      <c r="M20" s="56">
        <f>IF(OR($A20="",NOT(ISNUMBER($E20))),"",$E20-Config!$B$4)</f>
        <v>576</v>
      </c>
      <c r="N20" s="49" t="str">
        <f>IF($M20="","",IF($M20&lt;0,"Expired",IF($M20&lt;=Config!$B$6,"&lt;="&amp;Config!$B$6,IF($M20&lt;=Config!$B$7,(Config!$B$6+1)&amp;"-"&amp;Config!$B$7,IF($M20&lt;=Config!$B$8,(Config!$B$7+1)&amp;"-"&amp;Config!$B$8,"&gt;"&amp;Config!$B$8)))))</f>
        <v>&gt;90</v>
      </c>
      <c r="O20" s="52">
        <f>IF($M20="","",IF($M20&lt;0,0,IF($M20&lt;=Config!$B$6,1,IF($M20&lt;=Config!$B$7,2,IF($M20&lt;=Config!$B$8,3,4)))))</f>
        <v>4</v>
      </c>
      <c r="P20" s="50">
        <f>IF($A20="","",IF($L20&lt;=0,0,IF(OR(IFERROR(INDEX(Config!$F$15:$F$34,MATCH($G20,Config!$E$15:$E$34,0)),"No")="Yes",AND(Config!$B$10="Yes",ISNUMBER($M20),$M20&lt;0)),$L20,0)))</f>
        <v>0</v>
      </c>
      <c r="Q20" s="52">
        <f>IF($A20="","",IF(AND($L20&gt;0,ISNUMBER($M20)),IF($M20&lt;=Config!$B$8,1,0),0))</f>
        <v>0</v>
      </c>
      <c r="R20" s="52" t="str">
        <f>IF($Q20=1,COUNTIFS($Q$2:$Q$301,1,$E$2:$E$301,"&lt;"&amp;$E20)+COUNTIFS($Q$2:$Q20,1,$E$2:$E20,$E20),"")</f>
        <v/>
      </c>
      <c r="S20" s="49" t="str">
        <f>IF(COUNTA($A20:$I20)=0,"",IF($A20="","Missing: lot",IF(COUNTIF($A$2:$A$301,$A20)&gt;1,"Duplicate lot",IF($B20="","Missing: SKU",IF(NOT(ISNUMBER($E20)),"Missing: expiry date",IF($G20="","Missing: status",IF(COUNTIF(Products!$A$2:$A$101,$B20)=0,"Unknown SKU",IF(AND($C20&lt;&gt;"",COUNTIF(Suppliers!$A$2:$A$51,$C20)=0),"Unknown supplier",IF(COUNTIF(Config!$E$15:$E$34,$G20)=0,"Unsupported status",IF($L20&lt;0,"Negative lot balance",IF(AND($G20="Closed",$L20&lt;&gt;0),"Closed lot still has stock","OK")))))))))))</f>
        <v>OK</v>
      </c>
    </row>
    <row r="21">
      <c r="A21" s="46" t="inlineStr">
        <is>
          <t>CRT2608A</t>
        </is>
      </c>
      <c r="B21" s="46" t="inlineStr">
        <is>
          <t>CRE-UNF-300G</t>
        </is>
      </c>
      <c r="C21" s="46" t="inlineStr">
        <is>
          <t>SUP-04</t>
        </is>
      </c>
      <c r="D21" s="54" t="n">
        <v>46246</v>
      </c>
      <c r="E21" s="54" t="n">
        <v>47341</v>
      </c>
      <c r="F21" s="48" t="n">
        <v>0</v>
      </c>
      <c r="G21" s="46" t="inlineStr">
        <is>
          <t>Released</t>
        </is>
      </c>
      <c r="H21" s="46" t="inlineStr">
        <is>
          <t>https://example.com/qa/coa/CRT2608A</t>
        </is>
      </c>
      <c r="I21" s="46" t="n"/>
      <c r="J21" s="49" t="str">
        <f>IF($A21="","",IFERROR(INDEX(Products!$B$2:$B$101,MATCH($B21,Products!$A$2:$A$101,0))&amp;"","(not found)"))</f>
        <v>Creatine Monohydrate, Unflavoured, 300 g</v>
      </c>
      <c r="K21" s="51">
        <f>IF($A21="","",SUMIFS(Inventory_Ledger!$M$2:$M$2001,Inventory_Ledger!$F$2:$F$2001,$A21))</f>
        <v>1000</v>
      </c>
      <c r="L21" s="51">
        <f>IF($A21="","",IF(ISNUMBER($F21),$F21,0)+$K21)</f>
        <v>1000</v>
      </c>
      <c r="M21" s="56">
        <f>IF(OR($A21="",NOT(ISNUMBER($E21))),"",$E21-Config!$B$4)</f>
        <v>1031</v>
      </c>
      <c r="N21" s="49" t="str">
        <f>IF($M21="","",IF($M21&lt;0,"Expired",IF($M21&lt;=Config!$B$6,"&lt;="&amp;Config!$B$6,IF($M21&lt;=Config!$B$7,(Config!$B$6+1)&amp;"-"&amp;Config!$B$7,IF($M21&lt;=Config!$B$8,(Config!$B$7+1)&amp;"-"&amp;Config!$B$8,"&gt;"&amp;Config!$B$8)))))</f>
        <v>&gt;90</v>
      </c>
      <c r="O21" s="52">
        <f>IF($M21="","",IF($M21&lt;0,0,IF($M21&lt;=Config!$B$6,1,IF($M21&lt;=Config!$B$7,2,IF($M21&lt;=Config!$B$8,3,4)))))</f>
        <v>4</v>
      </c>
      <c r="P21" s="50">
        <f>IF($A21="","",IF($L21&lt;=0,0,IF(OR(IFERROR(INDEX(Config!$F$15:$F$34,MATCH($G21,Config!$E$15:$E$34,0)),"No")="Yes",AND(Config!$B$10="Yes",ISNUMBER($M21),$M21&lt;0)),$L21,0)))</f>
        <v>0</v>
      </c>
      <c r="Q21" s="52">
        <f>IF($A21="","",IF(AND($L21&gt;0,ISNUMBER($M21)),IF($M21&lt;=Config!$B$8,1,0),0))</f>
        <v>0</v>
      </c>
      <c r="R21" s="52" t="str">
        <f>IF($Q21=1,COUNTIFS($Q$2:$Q$301,1,$E$2:$E$301,"&lt;"&amp;$E21)+COUNTIFS($Q$2:$Q21,1,$E$2:$E21,$E21),"")</f>
        <v/>
      </c>
      <c r="S21" s="49" t="str">
        <f>IF(COUNTA($A21:$I21)=0,"",IF($A21="","Missing: lot",IF(COUNTIF($A$2:$A$301,$A21)&gt;1,"Duplicate lot",IF($B21="","Missing: SKU",IF(NOT(ISNUMBER($E21)),"Missing: expiry date",IF($G21="","Missing: status",IF(COUNTIF(Products!$A$2:$A$101,$B21)=0,"Unknown SKU",IF(AND($C21&lt;&gt;"",COUNTIF(Suppliers!$A$2:$A$51,$C21)=0),"Unknown supplier",IF(COUNTIF(Config!$E$15:$E$34,$G21)=0,"Unsupported status",IF($L21&lt;0,"Negative lot balance",IF(AND($G21="Closed",$L21&lt;&gt;0),"Closed lot still has stock","OK")))))))))))</f>
        <v>OK</v>
      </c>
    </row>
    <row r="22">
      <c r="A22" s="46" t="inlineStr">
        <is>
          <t>CRL2504A</t>
        </is>
      </c>
      <c r="B22" s="46" t="inlineStr">
        <is>
          <t>CRE-UNF-500G</t>
        </is>
      </c>
      <c r="C22" s="46" t="inlineStr">
        <is>
          <t>SUP-04</t>
        </is>
      </c>
      <c r="D22" s="54" t="n">
        <v>45769</v>
      </c>
      <c r="E22" s="54" t="n">
        <v>46864</v>
      </c>
      <c r="F22" s="48" t="n">
        <v>640</v>
      </c>
      <c r="G22" s="46" t="inlineStr">
        <is>
          <t>Released</t>
        </is>
      </c>
      <c r="H22" s="46" t="inlineStr">
        <is>
          <t>https://example.com/qa/coa/CRL2504A</t>
        </is>
      </c>
      <c r="I22" s="46" t="n"/>
      <c r="J22" s="49" t="str">
        <f>IF($A22="","",IFERROR(INDEX(Products!$B$2:$B$101,MATCH($B22,Products!$A$2:$A$101,0))&amp;"","(not found)"))</f>
        <v>Creatine Monohydrate, Unflavoured, 500 g</v>
      </c>
      <c r="K22" s="51">
        <f>IF($A22="","",SUMIFS(Inventory_Ledger!$M$2:$M$2001,Inventory_Ledger!$F$2:$F$2001,$A22))</f>
        <v>-350</v>
      </c>
      <c r="L22" s="51">
        <f>IF($A22="","",IF(ISNUMBER($F22),$F22,0)+$K22)</f>
        <v>290</v>
      </c>
      <c r="M22" s="56">
        <f>IF(OR($A22="",NOT(ISNUMBER($E22))),"",$E22-Config!$B$4)</f>
        <v>554</v>
      </c>
      <c r="N22" s="49" t="str">
        <f>IF($M22="","",IF($M22&lt;0,"Expired",IF($M22&lt;=Config!$B$6,"&lt;="&amp;Config!$B$6,IF($M22&lt;=Config!$B$7,(Config!$B$6+1)&amp;"-"&amp;Config!$B$7,IF($M22&lt;=Config!$B$8,(Config!$B$7+1)&amp;"-"&amp;Config!$B$8,"&gt;"&amp;Config!$B$8)))))</f>
        <v>&gt;90</v>
      </c>
      <c r="O22" s="52">
        <f>IF($M22="","",IF($M22&lt;0,0,IF($M22&lt;=Config!$B$6,1,IF($M22&lt;=Config!$B$7,2,IF($M22&lt;=Config!$B$8,3,4)))))</f>
        <v>4</v>
      </c>
      <c r="P22" s="50">
        <f>IF($A22="","",IF($L22&lt;=0,0,IF(OR(IFERROR(INDEX(Config!$F$15:$F$34,MATCH($G22,Config!$E$15:$E$34,0)),"No")="Yes",AND(Config!$B$10="Yes",ISNUMBER($M22),$M22&lt;0)),$L22,0)))</f>
        <v>0</v>
      </c>
      <c r="Q22" s="52">
        <f>IF($A22="","",IF(AND($L22&gt;0,ISNUMBER($M22)),IF($M22&lt;=Config!$B$8,1,0),0))</f>
        <v>0</v>
      </c>
      <c r="R22" s="52" t="str">
        <f>IF($Q22=1,COUNTIFS($Q$2:$Q$301,1,$E$2:$E$301,"&lt;"&amp;$E22)+COUNTIFS($Q$2:$Q22,1,$E$2:$E22,$E22),"")</f>
        <v/>
      </c>
      <c r="S22" s="49" t="str">
        <f>IF(COUNTA($A22:$I22)=0,"",IF($A22="","Missing: lot",IF(COUNTIF($A$2:$A$301,$A22)&gt;1,"Duplicate lot",IF($B22="","Missing: SKU",IF(NOT(ISNUMBER($E22)),"Missing: expiry date",IF($G22="","Missing: status",IF(COUNTIF(Products!$A$2:$A$101,$B22)=0,"Unknown SKU",IF(AND($C22&lt;&gt;"",COUNTIF(Suppliers!$A$2:$A$51,$C22)=0),"Unknown supplier",IF(COUNTIF(Config!$E$15:$E$34,$G22)=0,"Unsupported status",IF($L22&lt;0,"Negative lot balance",IF(AND($G22="Closed",$L22&lt;&gt;0),"Closed lot still has stock","OK")))))))))))</f>
        <v>OK</v>
      </c>
    </row>
    <row r="23">
      <c r="A23" s="46" t="inlineStr">
        <is>
          <t>PBZ2501A</t>
        </is>
      </c>
      <c r="B23" s="46" t="inlineStr">
        <is>
          <t>PRE-BRZ-30</t>
        </is>
      </c>
      <c r="C23" s="46" t="inlineStr">
        <is>
          <t>SUP-04</t>
        </is>
      </c>
      <c r="D23" s="54" t="n">
        <v>45663</v>
      </c>
      <c r="E23" s="54" t="n">
        <v>46392</v>
      </c>
      <c r="F23" s="48" t="n">
        <v>746</v>
      </c>
      <c r="G23" s="46" t="inlineStr">
        <is>
          <t>Released</t>
        </is>
      </c>
      <c r="H23" s="46" t="inlineStr">
        <is>
          <t>https://example.com/qa/coa/PBZ2501A</t>
        </is>
      </c>
      <c r="I23" s="46" t="n"/>
      <c r="J23" s="49" t="str">
        <f>IF($A23="","",IFERROR(INDEX(Products!$B$2:$B$101,MATCH($B23,Products!$A$2:$A$101,0))&amp;"","(not found)"))</f>
        <v>Pre-Workout, Blue Raspberry, 30 servings</v>
      </c>
      <c r="K23" s="51">
        <f>IF($A23="","",SUMIFS(Inventory_Ledger!$M$2:$M$2001,Inventory_Ledger!$F$2:$F$2001,$A23))</f>
        <v>-671</v>
      </c>
      <c r="L23" s="51">
        <f>IF($A23="","",IF(ISNUMBER($F23),$F23,0)+$K23)</f>
        <v>75</v>
      </c>
      <c r="M23" s="56">
        <f>IF(OR($A23="",NOT(ISNUMBER($E23))),"",$E23-Config!$B$4)</f>
        <v>82</v>
      </c>
      <c r="N23" s="49" t="str">
        <f>IF($M23="","",IF($M23&lt;0,"Expired",IF($M23&lt;=Config!$B$6,"&lt;="&amp;Config!$B$6,IF($M23&lt;=Config!$B$7,(Config!$B$6+1)&amp;"-"&amp;Config!$B$7,IF($M23&lt;=Config!$B$8,(Config!$B$7+1)&amp;"-"&amp;Config!$B$8,"&gt;"&amp;Config!$B$8)))))</f>
        <v>61-90</v>
      </c>
      <c r="O23" s="52">
        <f>IF($M23="","",IF($M23&lt;0,0,IF($M23&lt;=Config!$B$6,1,IF($M23&lt;=Config!$B$7,2,IF($M23&lt;=Config!$B$8,3,4)))))</f>
        <v>3</v>
      </c>
      <c r="P23" s="50">
        <f>IF($A23="","",IF($L23&lt;=0,0,IF(OR(IFERROR(INDEX(Config!$F$15:$F$34,MATCH($G23,Config!$E$15:$E$34,0)),"No")="Yes",AND(Config!$B$10="Yes",ISNUMBER($M23),$M23&lt;0)),$L23,0)))</f>
        <v>0</v>
      </c>
      <c r="Q23" s="52">
        <f>IF($A23="","",IF(AND($L23&gt;0,ISNUMBER($M23)),IF($M23&lt;=Config!$B$8,1,0),0))</f>
        <v>1</v>
      </c>
      <c r="R23" s="52">
        <f>IF($Q23=1,COUNTIFS($Q$2:$Q$301,1,$E$2:$E$301,"&lt;"&amp;$E23)+COUNTIFS($Q$2:$Q23,1,$E$2:$E23,$E23),"")</f>
        <v>8</v>
      </c>
      <c r="S23" s="49" t="str">
        <f>IF(COUNTA($A23:$I23)=0,"",IF($A23="","Missing: lot",IF(COUNTIF($A$2:$A$301,$A23)&gt;1,"Duplicate lot",IF($B23="","Missing: SKU",IF(NOT(ISNUMBER($E23)),"Missing: expiry date",IF($G23="","Missing: status",IF(COUNTIF(Products!$A$2:$A$101,$B23)=0,"Unknown SKU",IF(AND($C23&lt;&gt;"",COUNTIF(Suppliers!$A$2:$A$51,$C23)=0),"Unknown supplier",IF(COUNTIF(Config!$E$15:$E$34,$G23)=0,"Unsupported status",IF($L23&lt;0,"Negative lot balance",IF(AND($G23="Closed",$L23&lt;&gt;0),"Closed lot still has stock","OK")))))))))))</f>
        <v>OK</v>
      </c>
    </row>
    <row r="24">
      <c r="A24" s="46" t="inlineStr">
        <is>
          <t>PBZ2609A</t>
        </is>
      </c>
      <c r="B24" s="46" t="inlineStr">
        <is>
          <t>PRE-BRZ-30</t>
        </is>
      </c>
      <c r="C24" s="46" t="inlineStr">
        <is>
          <t>SUP-04</t>
        </is>
      </c>
      <c r="D24" s="54" t="n">
        <v>46267</v>
      </c>
      <c r="E24" s="54" t="n">
        <v>46997</v>
      </c>
      <c r="F24" s="48" t="n">
        <v>0</v>
      </c>
      <c r="G24" s="46" t="inlineStr">
        <is>
          <t>Released</t>
        </is>
      </c>
      <c r="H24" s="46" t="inlineStr">
        <is>
          <t>https://example.com/qa/coa/PBZ2609A</t>
        </is>
      </c>
      <c r="I24" s="46" t="n"/>
      <c r="J24" s="49" t="str">
        <f>IF($A24="","",IFERROR(INDEX(Products!$B$2:$B$101,MATCH($B24,Products!$A$2:$A$101,0))&amp;"","(not found)"))</f>
        <v>Pre-Workout, Blue Raspberry, 30 servings</v>
      </c>
      <c r="K24" s="51">
        <f>IF($A24="","",SUMIFS(Inventory_Ledger!$M$2:$M$2001,Inventory_Ledger!$F$2:$F$2001,$A24))</f>
        <v>800</v>
      </c>
      <c r="L24" s="51">
        <f>IF($A24="","",IF(ISNUMBER($F24),$F24,0)+$K24)</f>
        <v>800</v>
      </c>
      <c r="M24" s="56">
        <f>IF(OR($A24="",NOT(ISNUMBER($E24))),"",$E24-Config!$B$4)</f>
        <v>687</v>
      </c>
      <c r="N24" s="49" t="str">
        <f>IF($M24="","",IF($M24&lt;0,"Expired",IF($M24&lt;=Config!$B$6,"&lt;="&amp;Config!$B$6,IF($M24&lt;=Config!$B$7,(Config!$B$6+1)&amp;"-"&amp;Config!$B$7,IF($M24&lt;=Config!$B$8,(Config!$B$7+1)&amp;"-"&amp;Config!$B$8,"&gt;"&amp;Config!$B$8)))))</f>
        <v>&gt;90</v>
      </c>
      <c r="O24" s="52">
        <f>IF($M24="","",IF($M24&lt;0,0,IF($M24&lt;=Config!$B$6,1,IF($M24&lt;=Config!$B$7,2,IF($M24&lt;=Config!$B$8,3,4)))))</f>
        <v>4</v>
      </c>
      <c r="P24" s="50">
        <f>IF($A24="","",IF($L24&lt;=0,0,IF(OR(IFERROR(INDEX(Config!$F$15:$F$34,MATCH($G24,Config!$E$15:$E$34,0)),"No")="Yes",AND(Config!$B$10="Yes",ISNUMBER($M24),$M24&lt;0)),$L24,0)))</f>
        <v>0</v>
      </c>
      <c r="Q24" s="52">
        <f>IF($A24="","",IF(AND($L24&gt;0,ISNUMBER($M24)),IF($M24&lt;=Config!$B$8,1,0),0))</f>
        <v>0</v>
      </c>
      <c r="R24" s="52" t="str">
        <f>IF($Q24=1,COUNTIFS($Q$2:$Q$301,1,$E$2:$E$301,"&lt;"&amp;$E24)+COUNTIFS($Q$2:$Q24,1,$E$2:$E24,$E24),"")</f>
        <v/>
      </c>
      <c r="S24" s="49" t="str">
        <f>IF(COUNTA($A24:$I24)=0,"",IF($A24="","Missing: lot",IF(COUNTIF($A$2:$A$301,$A24)&gt;1,"Duplicate lot",IF($B24="","Missing: SKU",IF(NOT(ISNUMBER($E24)),"Missing: expiry date",IF($G24="","Missing: status",IF(COUNTIF(Products!$A$2:$A$101,$B24)=0,"Unknown SKU",IF(AND($C24&lt;&gt;"",COUNTIF(Suppliers!$A$2:$A$51,$C24)=0),"Unknown supplier",IF(COUNTIF(Config!$E$15:$E$34,$G24)=0,"Unsupported status",IF($L24&lt;0,"Negative lot balance",IF(AND($G24="Closed",$L24&lt;&gt;0),"Closed lot still has stock","OK")))))))))))</f>
        <v>OK</v>
      </c>
    </row>
    <row r="25">
      <c r="A25" s="46" t="inlineStr">
        <is>
          <t>PWM2409A</t>
        </is>
      </c>
      <c r="B25" s="46" t="inlineStr">
        <is>
          <t>PRE-WTM-30</t>
        </is>
      </c>
      <c r="C25" s="46" t="inlineStr">
        <is>
          <t>SUP-04</t>
        </is>
      </c>
      <c r="D25" s="54" t="n">
        <v>45556</v>
      </c>
      <c r="E25" s="54" t="n">
        <v>46285</v>
      </c>
      <c r="F25" s="48" t="n">
        <v>246</v>
      </c>
      <c r="G25" s="46" t="inlineStr">
        <is>
          <t>Closed</t>
        </is>
      </c>
      <c r="H25" s="46" t="inlineStr">
        <is>
          <t>https://example.com/qa/coa/PWM2409A</t>
        </is>
      </c>
      <c r="I25" s="46" t="inlineStr">
        <is>
          <t>Expired 2026-09-20; remaining 24 units destroyed 2026-09-22</t>
        </is>
      </c>
      <c r="J25" s="49" t="str">
        <f>IF($A25="","",IFERROR(INDEX(Products!$B$2:$B$101,MATCH($B25,Products!$A$2:$A$101,0))&amp;"","(not found)"))</f>
        <v>Pre-Workout, Watermelon, 30 servings</v>
      </c>
      <c r="K25" s="51">
        <f>IF($A25="","",SUMIFS(Inventory_Ledger!$M$2:$M$2001,Inventory_Ledger!$F$2:$F$2001,$A25))</f>
        <v>-246</v>
      </c>
      <c r="L25" s="51">
        <f>IF($A25="","",IF(ISNUMBER($F25),$F25,0)+$K25)</f>
        <v>0</v>
      </c>
      <c r="M25" s="56">
        <f>IF(OR($A25="",NOT(ISNUMBER($E25))),"",$E25-Config!$B$4)</f>
        <v>-25</v>
      </c>
      <c r="N25" s="49" t="str">
        <f>IF($M25="","",IF($M25&lt;0,"Expired",IF($M25&lt;=Config!$B$6,"&lt;="&amp;Config!$B$6,IF($M25&lt;=Config!$B$7,(Config!$B$6+1)&amp;"-"&amp;Config!$B$7,IF($M25&lt;=Config!$B$8,(Config!$B$7+1)&amp;"-"&amp;Config!$B$8,"&gt;"&amp;Config!$B$8)))))</f>
        <v>Expired</v>
      </c>
      <c r="O25" s="52">
        <f>IF($M25="","",IF($M25&lt;0,0,IF($M25&lt;=Config!$B$6,1,IF($M25&lt;=Config!$B$7,2,IF($M25&lt;=Config!$B$8,3,4)))))</f>
        <v>0</v>
      </c>
      <c r="P25" s="50">
        <f>IF($A25="","",IF($L25&lt;=0,0,IF(OR(IFERROR(INDEX(Config!$F$15:$F$34,MATCH($G25,Config!$E$15:$E$34,0)),"No")="Yes",AND(Config!$B$10="Yes",ISNUMBER($M25),$M25&lt;0)),$L25,0)))</f>
        <v>0</v>
      </c>
      <c r="Q25" s="52">
        <f>IF($A25="","",IF(AND($L25&gt;0,ISNUMBER($M25)),IF($M25&lt;=Config!$B$8,1,0),0))</f>
        <v>0</v>
      </c>
      <c r="R25" s="52" t="str">
        <f>IF($Q25=1,COUNTIFS($Q$2:$Q$301,1,$E$2:$E$301,"&lt;"&amp;$E25)+COUNTIFS($Q$2:$Q25,1,$E$2:$E25,$E25),"")</f>
        <v/>
      </c>
      <c r="S25" s="49" t="str">
        <f>IF(COUNTA($A25:$I25)=0,"",IF($A25="","Missing: lot",IF(COUNTIF($A$2:$A$301,$A25)&gt;1,"Duplicate lot",IF($B25="","Missing: SKU",IF(NOT(ISNUMBER($E25)),"Missing: expiry date",IF($G25="","Missing: status",IF(COUNTIF(Products!$A$2:$A$101,$B25)=0,"Unknown SKU",IF(AND($C25&lt;&gt;"",COUNTIF(Suppliers!$A$2:$A$51,$C25)=0),"Unknown supplier",IF(COUNTIF(Config!$E$15:$E$34,$G25)=0,"Unsupported status",IF($L25&lt;0,"Negative lot balance",IF(AND($G25="Closed",$L25&lt;&gt;0),"Closed lot still has stock","OK")))))))))))</f>
        <v>OK</v>
      </c>
    </row>
    <row r="26">
      <c r="A26" s="46" t="inlineStr">
        <is>
          <t>PWM2504A</t>
        </is>
      </c>
      <c r="B26" s="46" t="inlineStr">
        <is>
          <t>PRE-WTM-30</t>
        </is>
      </c>
      <c r="C26" s="46" t="inlineStr">
        <is>
          <t>SUP-04</t>
        </is>
      </c>
      <c r="D26" s="54" t="n">
        <v>45763</v>
      </c>
      <c r="E26" s="54" t="n">
        <v>46492</v>
      </c>
      <c r="F26" s="48" t="n">
        <v>380</v>
      </c>
      <c r="G26" s="46" t="inlineStr">
        <is>
          <t>Released</t>
        </is>
      </c>
      <c r="H26" s="46" t="inlineStr">
        <is>
          <t>https://example.com/qa/coa/PWM2504A</t>
        </is>
      </c>
      <c r="I26" s="46" t="n"/>
      <c r="J26" s="49" t="str">
        <f>IF($A26="","",IFERROR(INDEX(Products!$B$2:$B$101,MATCH($B26,Products!$A$2:$A$101,0))&amp;"","(not found)"))</f>
        <v>Pre-Workout, Watermelon, 30 servings</v>
      </c>
      <c r="K26" s="51">
        <f>IF($A26="","",SUMIFS(Inventory_Ledger!$M$2:$M$2001,Inventory_Ledger!$F$2:$F$2001,$A26))</f>
        <v>-152</v>
      </c>
      <c r="L26" s="51">
        <f>IF($A26="","",IF(ISNUMBER($F26),$F26,0)+$K26)</f>
        <v>228</v>
      </c>
      <c r="M26" s="56">
        <f>IF(OR($A26="",NOT(ISNUMBER($E26))),"",$E26-Config!$B$4)</f>
        <v>182</v>
      </c>
      <c r="N26" s="49" t="str">
        <f>IF($M26="","",IF($M26&lt;0,"Expired",IF($M26&lt;=Config!$B$6,"&lt;="&amp;Config!$B$6,IF($M26&lt;=Config!$B$7,(Config!$B$6+1)&amp;"-"&amp;Config!$B$7,IF($M26&lt;=Config!$B$8,(Config!$B$7+1)&amp;"-"&amp;Config!$B$8,"&gt;"&amp;Config!$B$8)))))</f>
        <v>&gt;90</v>
      </c>
      <c r="O26" s="52">
        <f>IF($M26="","",IF($M26&lt;0,0,IF($M26&lt;=Config!$B$6,1,IF($M26&lt;=Config!$B$7,2,IF($M26&lt;=Config!$B$8,3,4)))))</f>
        <v>4</v>
      </c>
      <c r="P26" s="50">
        <f>IF($A26="","",IF($L26&lt;=0,0,IF(OR(IFERROR(INDEX(Config!$F$15:$F$34,MATCH($G26,Config!$E$15:$E$34,0)),"No")="Yes",AND(Config!$B$10="Yes",ISNUMBER($M26),$M26&lt;0)),$L26,0)))</f>
        <v>0</v>
      </c>
      <c r="Q26" s="52">
        <f>IF($A26="","",IF(AND($L26&gt;0,ISNUMBER($M26)),IF($M26&lt;=Config!$B$8,1,0),0))</f>
        <v>0</v>
      </c>
      <c r="R26" s="52" t="str">
        <f>IF($Q26=1,COUNTIFS($Q$2:$Q$301,1,$E$2:$E$301,"&lt;"&amp;$E26)+COUNTIFS($Q$2:$Q26,1,$E$2:$E26,$E26),"")</f>
        <v/>
      </c>
      <c r="S26" s="49" t="str">
        <f>IF(COUNTA($A26:$I26)=0,"",IF($A26="","Missing: lot",IF(COUNTIF($A$2:$A$301,$A26)&gt;1,"Duplicate lot",IF($B26="","Missing: SKU",IF(NOT(ISNUMBER($E26)),"Missing: expiry date",IF($G26="","Missing: status",IF(COUNTIF(Products!$A$2:$A$101,$B26)=0,"Unknown SKU",IF(AND($C26&lt;&gt;"",COUNTIF(Suppliers!$A$2:$A$51,$C26)=0),"Unknown supplier",IF(COUNTIF(Config!$E$15:$E$34,$G26)=0,"Unsupported status",IF($L26&lt;0,"Negative lot balance",IF(AND($G26="Closed",$L26&lt;&gt;0),"Closed lot still has stock","OK")))))))))))</f>
        <v>OK</v>
      </c>
    </row>
    <row r="27">
      <c r="A27" s="46" t="inlineStr">
        <is>
          <t>CCA2412A</t>
        </is>
      </c>
      <c r="B27" s="46" t="inlineStr">
        <is>
          <t>CAS-CHO-2LB</t>
        </is>
      </c>
      <c r="C27" s="46" t="inlineStr">
        <is>
          <t>SUP-05</t>
        </is>
      </c>
      <c r="D27" s="54" t="n">
        <v>45637</v>
      </c>
      <c r="E27" s="54" t="n">
        <v>46366</v>
      </c>
      <c r="F27" s="48" t="n">
        <v>303</v>
      </c>
      <c r="G27" s="46" t="inlineStr">
        <is>
          <t>Released</t>
        </is>
      </c>
      <c r="H27" s="46" t="inlineStr">
        <is>
          <t>https://example.com/qa/coa/CCA2412A</t>
        </is>
      </c>
      <c r="I27" s="46" t="n"/>
      <c r="J27" s="49" t="str">
        <f>IF($A27="","",IFERROR(INDEX(Products!$B$2:$B$101,MATCH($B27,Products!$A$2:$A$101,0))&amp;"","(not found)"))</f>
        <v>Micellar Casein, Chocolate, 2 lb</v>
      </c>
      <c r="K27" s="51">
        <f>IF($A27="","",SUMIFS(Inventory_Ledger!$M$2:$M$2001,Inventory_Ledger!$F$2:$F$2001,$A27))</f>
        <v>-223</v>
      </c>
      <c r="L27" s="51">
        <f>IF($A27="","",IF(ISNUMBER($F27),$F27,0)+$K27)</f>
        <v>80</v>
      </c>
      <c r="M27" s="56">
        <f>IF(OR($A27="",NOT(ISNUMBER($E27))),"",$E27-Config!$B$4)</f>
        <v>56</v>
      </c>
      <c r="N27" s="49" t="str">
        <f>IF($M27="","",IF($M27&lt;0,"Expired",IF($M27&lt;=Config!$B$6,"&lt;="&amp;Config!$B$6,IF($M27&lt;=Config!$B$7,(Config!$B$6+1)&amp;"-"&amp;Config!$B$7,IF($M27&lt;=Config!$B$8,(Config!$B$7+1)&amp;"-"&amp;Config!$B$8,"&gt;"&amp;Config!$B$8)))))</f>
        <v>31-60</v>
      </c>
      <c r="O27" s="52">
        <f>IF($M27="","",IF($M27&lt;0,0,IF($M27&lt;=Config!$B$6,1,IF($M27&lt;=Config!$B$7,2,IF($M27&lt;=Config!$B$8,3,4)))))</f>
        <v>2</v>
      </c>
      <c r="P27" s="50">
        <f>IF($A27="","",IF($L27&lt;=0,0,IF(OR(IFERROR(INDEX(Config!$F$15:$F$34,MATCH($G27,Config!$E$15:$E$34,0)),"No")="Yes",AND(Config!$B$10="Yes",ISNUMBER($M27),$M27&lt;0)),$L27,0)))</f>
        <v>0</v>
      </c>
      <c r="Q27" s="52">
        <f>IF($A27="","",IF(AND($L27&gt;0,ISNUMBER($M27)),IF($M27&lt;=Config!$B$8,1,0),0))</f>
        <v>1</v>
      </c>
      <c r="R27" s="52">
        <f>IF($Q27=1,COUNTIFS($Q$2:$Q$301,1,$E$2:$E$301,"&lt;"&amp;$E27)+COUNTIFS($Q$2:$Q27,1,$E$2:$E27,$E27),"")</f>
        <v>6</v>
      </c>
      <c r="S27" s="49" t="str">
        <f>IF(COUNTA($A27:$I27)=0,"",IF($A27="","Missing: lot",IF(COUNTIF($A$2:$A$301,$A27)&gt;1,"Duplicate lot",IF($B27="","Missing: SKU",IF(NOT(ISNUMBER($E27)),"Missing: expiry date",IF($G27="","Missing: status",IF(COUNTIF(Products!$A$2:$A$101,$B27)=0,"Unknown SKU",IF(AND($C27&lt;&gt;"",COUNTIF(Suppliers!$A$2:$A$51,$C27)=0),"Unknown supplier",IF(COUNTIF(Config!$E$15:$E$34,$G27)=0,"Unsupported status",IF($L27&lt;0,"Negative lot balance",IF(AND($G27="Closed",$L27&lt;&gt;0),"Closed lot still has stock","OK")))))))))))</f>
        <v>OK</v>
      </c>
    </row>
    <row r="28">
      <c r="A28" s="46" t="inlineStr">
        <is>
          <t>CCA2505A</t>
        </is>
      </c>
      <c r="B28" s="46" t="inlineStr">
        <is>
          <t>CAS-CHO-2LB</t>
        </is>
      </c>
      <c r="C28" s="46" t="inlineStr">
        <is>
          <t>SUP-05</t>
        </is>
      </c>
      <c r="D28" s="54" t="n">
        <v>45784</v>
      </c>
      <c r="E28" s="54" t="n">
        <v>46513</v>
      </c>
      <c r="F28" s="48" t="n">
        <v>120</v>
      </c>
      <c r="G28" s="46" t="inlineStr">
        <is>
          <t>Released</t>
        </is>
      </c>
      <c r="H28" s="46" t="inlineStr">
        <is>
          <t>https://example.com/qa/coa/CCA2505A</t>
        </is>
      </c>
      <c r="I28" s="46" t="n"/>
      <c r="J28" s="49" t="str">
        <f>IF($A28="","",IFERROR(INDEX(Products!$B$2:$B$101,MATCH($B28,Products!$A$2:$A$101,0))&amp;"","(not found)"))</f>
        <v>Micellar Casein, Chocolate, 2 lb</v>
      </c>
      <c r="K28" s="51">
        <f>IF($A28="","",SUMIFS(Inventory_Ledger!$M$2:$M$2001,Inventory_Ledger!$F$2:$F$2001,$A28))</f>
        <v>0</v>
      </c>
      <c r="L28" s="51">
        <f>IF($A28="","",IF(ISNUMBER($F28),$F28,0)+$K28)</f>
        <v>120</v>
      </c>
      <c r="M28" s="56">
        <f>IF(OR($A28="",NOT(ISNUMBER($E28))),"",$E28-Config!$B$4)</f>
        <v>203</v>
      </c>
      <c r="N28" s="49" t="str">
        <f>IF($M28="","",IF($M28&lt;0,"Expired",IF($M28&lt;=Config!$B$6,"&lt;="&amp;Config!$B$6,IF($M28&lt;=Config!$B$7,(Config!$B$6+1)&amp;"-"&amp;Config!$B$7,IF($M28&lt;=Config!$B$8,(Config!$B$7+1)&amp;"-"&amp;Config!$B$8,"&gt;"&amp;Config!$B$8)))))</f>
        <v>&gt;90</v>
      </c>
      <c r="O28" s="52">
        <f>IF($M28="","",IF($M28&lt;0,0,IF($M28&lt;=Config!$B$6,1,IF($M28&lt;=Config!$B$7,2,IF($M28&lt;=Config!$B$8,3,4)))))</f>
        <v>4</v>
      </c>
      <c r="P28" s="50">
        <f>IF($A28="","",IF($L28&lt;=0,0,IF(OR(IFERROR(INDEX(Config!$F$15:$F$34,MATCH($G28,Config!$E$15:$E$34,0)),"No")="Yes",AND(Config!$B$10="Yes",ISNUMBER($M28),$M28&lt;0)),$L28,0)))</f>
        <v>0</v>
      </c>
      <c r="Q28" s="52">
        <f>IF($A28="","",IF(AND($L28&gt;0,ISNUMBER($M28)),IF($M28&lt;=Config!$B$8,1,0),0))</f>
        <v>0</v>
      </c>
      <c r="R28" s="52" t="str">
        <f>IF($Q28=1,COUNTIFS($Q$2:$Q$301,1,$E$2:$E$301,"&lt;"&amp;$E28)+COUNTIFS($Q$2:$Q28,1,$E$2:$E28,$E28),"")</f>
        <v/>
      </c>
      <c r="S28" s="49" t="str">
        <f>IF(COUNTA($A28:$I28)=0,"",IF($A28="","Missing: lot",IF(COUNTIF($A$2:$A$301,$A28)&gt;1,"Duplicate lot",IF($B28="","Missing: SKU",IF(NOT(ISNUMBER($E28)),"Missing: expiry date",IF($G28="","Missing: status",IF(COUNTIF(Products!$A$2:$A$101,$B28)=0,"Unknown SKU",IF(AND($C28&lt;&gt;"",COUNTIF(Suppliers!$A$2:$A$51,$C28)=0),"Unknown supplier",IF(COUNTIF(Config!$E$15:$E$34,$G28)=0,"Unsupported status",IF($L28&lt;0,"Negative lot balance",IF(AND($G28="Closed",$L28&lt;&gt;0),"Closed lot still has stock","OK")))))))))))</f>
        <v>OK</v>
      </c>
    </row>
    <row r="29">
      <c r="A29" s="46" t="n"/>
      <c r="B29" s="46" t="n"/>
      <c r="C29" s="46" t="n"/>
      <c r="D29" s="54" t="n"/>
      <c r="E29" s="54" t="n"/>
      <c r="F29" s="48" t="n"/>
      <c r="G29" s="46" t="n"/>
      <c r="H29" s="46" t="n"/>
      <c r="I29" s="46" t="n"/>
      <c r="J29" s="49" t="str">
        <f>IF($A29="","",IFERROR(INDEX(Products!$B$2:$B$101,MATCH($B29,Products!$A$2:$A$101,0))&amp;"","(not found)"))</f>
        <v/>
      </c>
      <c r="K29" s="51" t="str">
        <f>IF($A29="","",SUMIFS(Inventory_Ledger!$M$2:$M$2001,Inventory_Ledger!$F$2:$F$2001,$A29))</f>
        <v/>
      </c>
      <c r="L29" s="51" t="str">
        <f>IF($A29="","",IF(ISNUMBER($F29),$F29,0)+$K29)</f>
        <v/>
      </c>
      <c r="M29" s="56" t="str">
        <f>IF(OR($A29="",NOT(ISNUMBER($E29))),"",$E29-Config!$B$4)</f>
        <v/>
      </c>
      <c r="N29" s="49" t="str">
        <f>IF($M29="","",IF($M29&lt;0,"Expired",IF($M29&lt;=Config!$B$6,"&lt;="&amp;Config!$B$6,IF($M29&lt;=Config!$B$7,(Config!$B$6+1)&amp;"-"&amp;Config!$B$7,IF($M29&lt;=Config!$B$8,(Config!$B$7+1)&amp;"-"&amp;Config!$B$8,"&gt;"&amp;Config!$B$8)))))</f>
        <v/>
      </c>
      <c r="O29" s="52" t="str">
        <f>IF($M29="","",IF($M29&lt;0,0,IF($M29&lt;=Config!$B$6,1,IF($M29&lt;=Config!$B$7,2,IF($M29&lt;=Config!$B$8,3,4)))))</f>
        <v/>
      </c>
      <c r="P29" s="50" t="str">
        <f>IF($A29="","",IF($L29&lt;=0,0,IF(OR(IFERROR(INDEX(Config!$F$15:$F$34,MATCH($G29,Config!$E$15:$E$34,0)),"No")="Yes",AND(Config!$B$10="Yes",ISNUMBER($M29),$M29&lt;0)),$L29,0)))</f>
        <v/>
      </c>
      <c r="Q29" s="52" t="str">
        <f>IF($A29="","",IF(AND($L29&gt;0,ISNUMBER($M29)),IF($M29&lt;=Config!$B$8,1,0),0))</f>
        <v/>
      </c>
      <c r="R29" s="52" t="str">
        <f>IF($Q29=1,COUNTIFS($Q$2:$Q$301,1,$E$2:$E$301,"&lt;"&amp;$E29)+COUNTIFS($Q$2:$Q29,1,$E$2:$E29,$E29),"")</f>
        <v/>
      </c>
      <c r="S29" s="49" t="str">
        <f>IF(COUNTA($A29:$I29)=0,"",IF($A29="","Missing: lot",IF(COUNTIF($A$2:$A$301,$A29)&gt;1,"Duplicate lot",IF($B29="","Missing: SKU",IF(NOT(ISNUMBER($E29)),"Missing: expiry date",IF($G29="","Missing: status",IF(COUNTIF(Products!$A$2:$A$101,$B29)=0,"Unknown SKU",IF(AND($C29&lt;&gt;"",COUNTIF(Suppliers!$A$2:$A$51,$C29)=0),"Unknown supplier",IF(COUNTIF(Config!$E$15:$E$34,$G29)=0,"Unsupported status",IF($L29&lt;0,"Negative lot balance",IF(AND($G29="Closed",$L29&lt;&gt;0),"Closed lot still has stock","OK")))))))))))</f>
        <v/>
      </c>
    </row>
    <row r="30">
      <c r="A30" s="46" t="n"/>
      <c r="B30" s="46" t="n"/>
      <c r="C30" s="46" t="n"/>
      <c r="D30" s="54" t="n"/>
      <c r="E30" s="54" t="n"/>
      <c r="F30" s="48" t="n"/>
      <c r="G30" s="46" t="n"/>
      <c r="H30" s="46" t="n"/>
      <c r="I30" s="46" t="n"/>
      <c r="J30" s="49" t="str">
        <f>IF($A30="","",IFERROR(INDEX(Products!$B$2:$B$101,MATCH($B30,Products!$A$2:$A$101,0))&amp;"","(not found)"))</f>
        <v/>
      </c>
      <c r="K30" s="51" t="str">
        <f>IF($A30="","",SUMIFS(Inventory_Ledger!$M$2:$M$2001,Inventory_Ledger!$F$2:$F$2001,$A30))</f>
        <v/>
      </c>
      <c r="L30" s="51" t="str">
        <f>IF($A30="","",IF(ISNUMBER($F30),$F30,0)+$K30)</f>
        <v/>
      </c>
      <c r="M30" s="56" t="str">
        <f>IF(OR($A30="",NOT(ISNUMBER($E30))),"",$E30-Config!$B$4)</f>
        <v/>
      </c>
      <c r="N30" s="49" t="str">
        <f>IF($M30="","",IF($M30&lt;0,"Expired",IF($M30&lt;=Config!$B$6,"&lt;="&amp;Config!$B$6,IF($M30&lt;=Config!$B$7,(Config!$B$6+1)&amp;"-"&amp;Config!$B$7,IF($M30&lt;=Config!$B$8,(Config!$B$7+1)&amp;"-"&amp;Config!$B$8,"&gt;"&amp;Config!$B$8)))))</f>
        <v/>
      </c>
      <c r="O30" s="52" t="str">
        <f>IF($M30="","",IF($M30&lt;0,0,IF($M30&lt;=Config!$B$6,1,IF($M30&lt;=Config!$B$7,2,IF($M30&lt;=Config!$B$8,3,4)))))</f>
        <v/>
      </c>
      <c r="P30" s="50" t="str">
        <f>IF($A30="","",IF($L30&lt;=0,0,IF(OR(IFERROR(INDEX(Config!$F$15:$F$34,MATCH($G30,Config!$E$15:$E$34,0)),"No")="Yes",AND(Config!$B$10="Yes",ISNUMBER($M30),$M30&lt;0)),$L30,0)))</f>
        <v/>
      </c>
      <c r="Q30" s="52" t="str">
        <f>IF($A30="","",IF(AND($L30&gt;0,ISNUMBER($M30)),IF($M30&lt;=Config!$B$8,1,0),0))</f>
        <v/>
      </c>
      <c r="R30" s="52" t="str">
        <f>IF($Q30=1,COUNTIFS($Q$2:$Q$301,1,$E$2:$E$301,"&lt;"&amp;$E30)+COUNTIFS($Q$2:$Q30,1,$E$2:$E30,$E30),"")</f>
        <v/>
      </c>
      <c r="S30" s="49" t="str">
        <f>IF(COUNTA($A30:$I30)=0,"",IF($A30="","Missing: lot",IF(COUNTIF($A$2:$A$301,$A30)&gt;1,"Duplicate lot",IF($B30="","Missing: SKU",IF(NOT(ISNUMBER($E30)),"Missing: expiry date",IF($G30="","Missing: status",IF(COUNTIF(Products!$A$2:$A$101,$B30)=0,"Unknown SKU",IF(AND($C30&lt;&gt;"",COUNTIF(Suppliers!$A$2:$A$51,$C30)=0),"Unknown supplier",IF(COUNTIF(Config!$E$15:$E$34,$G30)=0,"Unsupported status",IF($L30&lt;0,"Negative lot balance",IF(AND($G30="Closed",$L30&lt;&gt;0),"Closed lot still has stock","OK")))))))))))</f>
        <v/>
      </c>
    </row>
    <row r="31">
      <c r="A31" s="46" t="n"/>
      <c r="B31" s="46" t="n"/>
      <c r="C31" s="46" t="n"/>
      <c r="D31" s="54" t="n"/>
      <c r="E31" s="54" t="n"/>
      <c r="F31" s="48" t="n"/>
      <c r="G31" s="46" t="n"/>
      <c r="H31" s="46" t="n"/>
      <c r="I31" s="46" t="n"/>
      <c r="J31" s="49" t="str">
        <f>IF($A31="","",IFERROR(INDEX(Products!$B$2:$B$101,MATCH($B31,Products!$A$2:$A$101,0))&amp;"","(not found)"))</f>
        <v/>
      </c>
      <c r="K31" s="51" t="str">
        <f>IF($A31="","",SUMIFS(Inventory_Ledger!$M$2:$M$2001,Inventory_Ledger!$F$2:$F$2001,$A31))</f>
        <v/>
      </c>
      <c r="L31" s="51" t="str">
        <f>IF($A31="","",IF(ISNUMBER($F31),$F31,0)+$K31)</f>
        <v/>
      </c>
      <c r="M31" s="56" t="str">
        <f>IF(OR($A31="",NOT(ISNUMBER($E31))),"",$E31-Config!$B$4)</f>
        <v/>
      </c>
      <c r="N31" s="49" t="str">
        <f>IF($M31="","",IF($M31&lt;0,"Expired",IF($M31&lt;=Config!$B$6,"&lt;="&amp;Config!$B$6,IF($M31&lt;=Config!$B$7,(Config!$B$6+1)&amp;"-"&amp;Config!$B$7,IF($M31&lt;=Config!$B$8,(Config!$B$7+1)&amp;"-"&amp;Config!$B$8,"&gt;"&amp;Config!$B$8)))))</f>
        <v/>
      </c>
      <c r="O31" s="52" t="str">
        <f>IF($M31="","",IF($M31&lt;0,0,IF($M31&lt;=Config!$B$6,1,IF($M31&lt;=Config!$B$7,2,IF($M31&lt;=Config!$B$8,3,4)))))</f>
        <v/>
      </c>
      <c r="P31" s="50" t="str">
        <f>IF($A31="","",IF($L31&lt;=0,0,IF(OR(IFERROR(INDEX(Config!$F$15:$F$34,MATCH($G31,Config!$E$15:$E$34,0)),"No")="Yes",AND(Config!$B$10="Yes",ISNUMBER($M31),$M31&lt;0)),$L31,0)))</f>
        <v/>
      </c>
      <c r="Q31" s="52" t="str">
        <f>IF($A31="","",IF(AND($L31&gt;0,ISNUMBER($M31)),IF($M31&lt;=Config!$B$8,1,0),0))</f>
        <v/>
      </c>
      <c r="R31" s="52" t="str">
        <f>IF($Q31=1,COUNTIFS($Q$2:$Q$301,1,$E$2:$E$301,"&lt;"&amp;$E31)+COUNTIFS($Q$2:$Q31,1,$E$2:$E31,$E31),"")</f>
        <v/>
      </c>
      <c r="S31" s="49" t="str">
        <f>IF(COUNTA($A31:$I31)=0,"",IF($A31="","Missing: lot",IF(COUNTIF($A$2:$A$301,$A31)&gt;1,"Duplicate lot",IF($B31="","Missing: SKU",IF(NOT(ISNUMBER($E31)),"Missing: expiry date",IF($G31="","Missing: status",IF(COUNTIF(Products!$A$2:$A$101,$B31)=0,"Unknown SKU",IF(AND($C31&lt;&gt;"",COUNTIF(Suppliers!$A$2:$A$51,$C31)=0),"Unknown supplier",IF(COUNTIF(Config!$E$15:$E$34,$G31)=0,"Unsupported status",IF($L31&lt;0,"Negative lot balance",IF(AND($G31="Closed",$L31&lt;&gt;0),"Closed lot still has stock","OK")))))))))))</f>
        <v/>
      </c>
    </row>
    <row r="32">
      <c r="A32" s="46" t="n"/>
      <c r="B32" s="46" t="n"/>
      <c r="C32" s="46" t="n"/>
      <c r="D32" s="54" t="n"/>
      <c r="E32" s="54" t="n"/>
      <c r="F32" s="48" t="n"/>
      <c r="G32" s="46" t="n"/>
      <c r="H32" s="46" t="n"/>
      <c r="I32" s="46" t="n"/>
      <c r="J32" s="49" t="str">
        <f>IF($A32="","",IFERROR(INDEX(Products!$B$2:$B$101,MATCH($B32,Products!$A$2:$A$101,0))&amp;"","(not found)"))</f>
        <v/>
      </c>
      <c r="K32" s="51" t="str">
        <f>IF($A32="","",SUMIFS(Inventory_Ledger!$M$2:$M$2001,Inventory_Ledger!$F$2:$F$2001,$A32))</f>
        <v/>
      </c>
      <c r="L32" s="51" t="str">
        <f>IF($A32="","",IF(ISNUMBER($F32),$F32,0)+$K32)</f>
        <v/>
      </c>
      <c r="M32" s="56" t="str">
        <f>IF(OR($A32="",NOT(ISNUMBER($E32))),"",$E32-Config!$B$4)</f>
        <v/>
      </c>
      <c r="N32" s="49" t="str">
        <f>IF($M32="","",IF($M32&lt;0,"Expired",IF($M32&lt;=Config!$B$6,"&lt;="&amp;Config!$B$6,IF($M32&lt;=Config!$B$7,(Config!$B$6+1)&amp;"-"&amp;Config!$B$7,IF($M32&lt;=Config!$B$8,(Config!$B$7+1)&amp;"-"&amp;Config!$B$8,"&gt;"&amp;Config!$B$8)))))</f>
        <v/>
      </c>
      <c r="O32" s="52" t="str">
        <f>IF($M32="","",IF($M32&lt;0,0,IF($M32&lt;=Config!$B$6,1,IF($M32&lt;=Config!$B$7,2,IF($M32&lt;=Config!$B$8,3,4)))))</f>
        <v/>
      </c>
      <c r="P32" s="50" t="str">
        <f>IF($A32="","",IF($L32&lt;=0,0,IF(OR(IFERROR(INDEX(Config!$F$15:$F$34,MATCH($G32,Config!$E$15:$E$34,0)),"No")="Yes",AND(Config!$B$10="Yes",ISNUMBER($M32),$M32&lt;0)),$L32,0)))</f>
        <v/>
      </c>
      <c r="Q32" s="52" t="str">
        <f>IF($A32="","",IF(AND($L32&gt;0,ISNUMBER($M32)),IF($M32&lt;=Config!$B$8,1,0),0))</f>
        <v/>
      </c>
      <c r="R32" s="52" t="str">
        <f>IF($Q32=1,COUNTIFS($Q$2:$Q$301,1,$E$2:$E$301,"&lt;"&amp;$E32)+COUNTIFS($Q$2:$Q32,1,$E$2:$E32,$E32),"")</f>
        <v/>
      </c>
      <c r="S32" s="49" t="str">
        <f>IF(COUNTA($A32:$I32)=0,"",IF($A32="","Missing: lot",IF(COUNTIF($A$2:$A$301,$A32)&gt;1,"Duplicate lot",IF($B32="","Missing: SKU",IF(NOT(ISNUMBER($E32)),"Missing: expiry date",IF($G32="","Missing: status",IF(COUNTIF(Products!$A$2:$A$101,$B32)=0,"Unknown SKU",IF(AND($C32&lt;&gt;"",COUNTIF(Suppliers!$A$2:$A$51,$C32)=0),"Unknown supplier",IF(COUNTIF(Config!$E$15:$E$34,$G32)=0,"Unsupported status",IF($L32&lt;0,"Negative lot balance",IF(AND($G32="Closed",$L32&lt;&gt;0),"Closed lot still has stock","OK")))))))))))</f>
        <v/>
      </c>
    </row>
    <row r="33">
      <c r="A33" s="46" t="n"/>
      <c r="B33" s="46" t="n"/>
      <c r="C33" s="46" t="n"/>
      <c r="D33" s="54" t="n"/>
      <c r="E33" s="54" t="n"/>
      <c r="F33" s="48" t="n"/>
      <c r="G33" s="46" t="n"/>
      <c r="H33" s="46" t="n"/>
      <c r="I33" s="46" t="n"/>
      <c r="J33" s="49" t="str">
        <f>IF($A33="","",IFERROR(INDEX(Products!$B$2:$B$101,MATCH($B33,Products!$A$2:$A$101,0))&amp;"","(not found)"))</f>
        <v/>
      </c>
      <c r="K33" s="51" t="str">
        <f>IF($A33="","",SUMIFS(Inventory_Ledger!$M$2:$M$2001,Inventory_Ledger!$F$2:$F$2001,$A33))</f>
        <v/>
      </c>
      <c r="L33" s="51" t="str">
        <f>IF($A33="","",IF(ISNUMBER($F33),$F33,0)+$K33)</f>
        <v/>
      </c>
      <c r="M33" s="56" t="str">
        <f>IF(OR($A33="",NOT(ISNUMBER($E33))),"",$E33-Config!$B$4)</f>
        <v/>
      </c>
      <c r="N33" s="49" t="str">
        <f>IF($M33="","",IF($M33&lt;0,"Expired",IF($M33&lt;=Config!$B$6,"&lt;="&amp;Config!$B$6,IF($M33&lt;=Config!$B$7,(Config!$B$6+1)&amp;"-"&amp;Config!$B$7,IF($M33&lt;=Config!$B$8,(Config!$B$7+1)&amp;"-"&amp;Config!$B$8,"&gt;"&amp;Config!$B$8)))))</f>
        <v/>
      </c>
      <c r="O33" s="52" t="str">
        <f>IF($M33="","",IF($M33&lt;0,0,IF($M33&lt;=Config!$B$6,1,IF($M33&lt;=Config!$B$7,2,IF($M33&lt;=Config!$B$8,3,4)))))</f>
        <v/>
      </c>
      <c r="P33" s="50" t="str">
        <f>IF($A33="","",IF($L33&lt;=0,0,IF(OR(IFERROR(INDEX(Config!$F$15:$F$34,MATCH($G33,Config!$E$15:$E$34,0)),"No")="Yes",AND(Config!$B$10="Yes",ISNUMBER($M33),$M33&lt;0)),$L33,0)))</f>
        <v/>
      </c>
      <c r="Q33" s="52" t="str">
        <f>IF($A33="","",IF(AND($L33&gt;0,ISNUMBER($M33)),IF($M33&lt;=Config!$B$8,1,0),0))</f>
        <v/>
      </c>
      <c r="R33" s="52" t="str">
        <f>IF($Q33=1,COUNTIFS($Q$2:$Q$301,1,$E$2:$E$301,"&lt;"&amp;$E33)+COUNTIFS($Q$2:$Q33,1,$E$2:$E33,$E33),"")</f>
        <v/>
      </c>
      <c r="S33" s="49" t="str">
        <f>IF(COUNTA($A33:$I33)=0,"",IF($A33="","Missing: lot",IF(COUNTIF($A$2:$A$301,$A33)&gt;1,"Duplicate lot",IF($B33="","Missing: SKU",IF(NOT(ISNUMBER($E33)),"Missing: expiry date",IF($G33="","Missing: status",IF(COUNTIF(Products!$A$2:$A$101,$B33)=0,"Unknown SKU",IF(AND($C33&lt;&gt;"",COUNTIF(Suppliers!$A$2:$A$51,$C33)=0),"Unknown supplier",IF(COUNTIF(Config!$E$15:$E$34,$G33)=0,"Unsupported status",IF($L33&lt;0,"Negative lot balance",IF(AND($G33="Closed",$L33&lt;&gt;0),"Closed lot still has stock","OK")))))))))))</f>
        <v/>
      </c>
    </row>
    <row r="34">
      <c r="A34" s="46" t="n"/>
      <c r="B34" s="46" t="n"/>
      <c r="C34" s="46" t="n"/>
      <c r="D34" s="54" t="n"/>
      <c r="E34" s="54" t="n"/>
      <c r="F34" s="48" t="n"/>
      <c r="G34" s="46" t="n"/>
      <c r="H34" s="46" t="n"/>
      <c r="I34" s="46" t="n"/>
      <c r="J34" s="49" t="str">
        <f>IF($A34="","",IFERROR(INDEX(Products!$B$2:$B$101,MATCH($B34,Products!$A$2:$A$101,0))&amp;"","(not found)"))</f>
        <v/>
      </c>
      <c r="K34" s="51" t="str">
        <f>IF($A34="","",SUMIFS(Inventory_Ledger!$M$2:$M$2001,Inventory_Ledger!$F$2:$F$2001,$A34))</f>
        <v/>
      </c>
      <c r="L34" s="51" t="str">
        <f>IF($A34="","",IF(ISNUMBER($F34),$F34,0)+$K34)</f>
        <v/>
      </c>
      <c r="M34" s="56" t="str">
        <f>IF(OR($A34="",NOT(ISNUMBER($E34))),"",$E34-Config!$B$4)</f>
        <v/>
      </c>
      <c r="N34" s="49" t="str">
        <f>IF($M34="","",IF($M34&lt;0,"Expired",IF($M34&lt;=Config!$B$6,"&lt;="&amp;Config!$B$6,IF($M34&lt;=Config!$B$7,(Config!$B$6+1)&amp;"-"&amp;Config!$B$7,IF($M34&lt;=Config!$B$8,(Config!$B$7+1)&amp;"-"&amp;Config!$B$8,"&gt;"&amp;Config!$B$8)))))</f>
        <v/>
      </c>
      <c r="O34" s="52" t="str">
        <f>IF($M34="","",IF($M34&lt;0,0,IF($M34&lt;=Config!$B$6,1,IF($M34&lt;=Config!$B$7,2,IF($M34&lt;=Config!$B$8,3,4)))))</f>
        <v/>
      </c>
      <c r="P34" s="50" t="str">
        <f>IF($A34="","",IF($L34&lt;=0,0,IF(OR(IFERROR(INDEX(Config!$F$15:$F$34,MATCH($G34,Config!$E$15:$E$34,0)),"No")="Yes",AND(Config!$B$10="Yes",ISNUMBER($M34),$M34&lt;0)),$L34,0)))</f>
        <v/>
      </c>
      <c r="Q34" s="52" t="str">
        <f>IF($A34="","",IF(AND($L34&gt;0,ISNUMBER($M34)),IF($M34&lt;=Config!$B$8,1,0),0))</f>
        <v/>
      </c>
      <c r="R34" s="52" t="str">
        <f>IF($Q34=1,COUNTIFS($Q$2:$Q$301,1,$E$2:$E$301,"&lt;"&amp;$E34)+COUNTIFS($Q$2:$Q34,1,$E$2:$E34,$E34),"")</f>
        <v/>
      </c>
      <c r="S34" s="49" t="str">
        <f>IF(COUNTA($A34:$I34)=0,"",IF($A34="","Missing: lot",IF(COUNTIF($A$2:$A$301,$A34)&gt;1,"Duplicate lot",IF($B34="","Missing: SKU",IF(NOT(ISNUMBER($E34)),"Missing: expiry date",IF($G34="","Missing: status",IF(COUNTIF(Products!$A$2:$A$101,$B34)=0,"Unknown SKU",IF(AND($C34&lt;&gt;"",COUNTIF(Suppliers!$A$2:$A$51,$C34)=0),"Unknown supplier",IF(COUNTIF(Config!$E$15:$E$34,$G34)=0,"Unsupported status",IF($L34&lt;0,"Negative lot balance",IF(AND($G34="Closed",$L34&lt;&gt;0),"Closed lot still has stock","OK")))))))))))</f>
        <v/>
      </c>
    </row>
    <row r="35">
      <c r="A35" s="46" t="n"/>
      <c r="B35" s="46" t="n"/>
      <c r="C35" s="46" t="n"/>
      <c r="D35" s="54" t="n"/>
      <c r="E35" s="54" t="n"/>
      <c r="F35" s="48" t="n"/>
      <c r="G35" s="46" t="n"/>
      <c r="H35" s="46" t="n"/>
      <c r="I35" s="46" t="n"/>
      <c r="J35" s="49" t="str">
        <f>IF($A35="","",IFERROR(INDEX(Products!$B$2:$B$101,MATCH($B35,Products!$A$2:$A$101,0))&amp;"","(not found)"))</f>
        <v/>
      </c>
      <c r="K35" s="51" t="str">
        <f>IF($A35="","",SUMIFS(Inventory_Ledger!$M$2:$M$2001,Inventory_Ledger!$F$2:$F$2001,$A35))</f>
        <v/>
      </c>
      <c r="L35" s="51" t="str">
        <f>IF($A35="","",IF(ISNUMBER($F35),$F35,0)+$K35)</f>
        <v/>
      </c>
      <c r="M35" s="56" t="str">
        <f>IF(OR($A35="",NOT(ISNUMBER($E35))),"",$E35-Config!$B$4)</f>
        <v/>
      </c>
      <c r="N35" s="49" t="str">
        <f>IF($M35="","",IF($M35&lt;0,"Expired",IF($M35&lt;=Config!$B$6,"&lt;="&amp;Config!$B$6,IF($M35&lt;=Config!$B$7,(Config!$B$6+1)&amp;"-"&amp;Config!$B$7,IF($M35&lt;=Config!$B$8,(Config!$B$7+1)&amp;"-"&amp;Config!$B$8,"&gt;"&amp;Config!$B$8)))))</f>
        <v/>
      </c>
      <c r="O35" s="52" t="str">
        <f>IF($M35="","",IF($M35&lt;0,0,IF($M35&lt;=Config!$B$6,1,IF($M35&lt;=Config!$B$7,2,IF($M35&lt;=Config!$B$8,3,4)))))</f>
        <v/>
      </c>
      <c r="P35" s="50" t="str">
        <f>IF($A35="","",IF($L35&lt;=0,0,IF(OR(IFERROR(INDEX(Config!$F$15:$F$34,MATCH($G35,Config!$E$15:$E$34,0)),"No")="Yes",AND(Config!$B$10="Yes",ISNUMBER($M35),$M35&lt;0)),$L35,0)))</f>
        <v/>
      </c>
      <c r="Q35" s="52" t="str">
        <f>IF($A35="","",IF(AND($L35&gt;0,ISNUMBER($M35)),IF($M35&lt;=Config!$B$8,1,0),0))</f>
        <v/>
      </c>
      <c r="R35" s="52" t="str">
        <f>IF($Q35=1,COUNTIFS($Q$2:$Q$301,1,$E$2:$E$301,"&lt;"&amp;$E35)+COUNTIFS($Q$2:$Q35,1,$E$2:$E35,$E35),"")</f>
        <v/>
      </c>
      <c r="S35" s="49" t="str">
        <f>IF(COUNTA($A35:$I35)=0,"",IF($A35="","Missing: lot",IF(COUNTIF($A$2:$A$301,$A35)&gt;1,"Duplicate lot",IF($B35="","Missing: SKU",IF(NOT(ISNUMBER($E35)),"Missing: expiry date",IF($G35="","Missing: status",IF(COUNTIF(Products!$A$2:$A$101,$B35)=0,"Unknown SKU",IF(AND($C35&lt;&gt;"",COUNTIF(Suppliers!$A$2:$A$51,$C35)=0),"Unknown supplier",IF(COUNTIF(Config!$E$15:$E$34,$G35)=0,"Unsupported status",IF($L35&lt;0,"Negative lot balance",IF(AND($G35="Closed",$L35&lt;&gt;0),"Closed lot still has stock","OK")))))))))))</f>
        <v/>
      </c>
    </row>
    <row r="36">
      <c r="A36" s="46" t="n"/>
      <c r="B36" s="46" t="n"/>
      <c r="C36" s="46" t="n"/>
      <c r="D36" s="54" t="n"/>
      <c r="E36" s="54" t="n"/>
      <c r="F36" s="48" t="n"/>
      <c r="G36" s="46" t="n"/>
      <c r="H36" s="46" t="n"/>
      <c r="I36" s="46" t="n"/>
      <c r="J36" s="49" t="str">
        <f>IF($A36="","",IFERROR(INDEX(Products!$B$2:$B$101,MATCH($B36,Products!$A$2:$A$101,0))&amp;"","(not found)"))</f>
        <v/>
      </c>
      <c r="K36" s="51" t="str">
        <f>IF($A36="","",SUMIFS(Inventory_Ledger!$M$2:$M$2001,Inventory_Ledger!$F$2:$F$2001,$A36))</f>
        <v/>
      </c>
      <c r="L36" s="51" t="str">
        <f>IF($A36="","",IF(ISNUMBER($F36),$F36,0)+$K36)</f>
        <v/>
      </c>
      <c r="M36" s="56" t="str">
        <f>IF(OR($A36="",NOT(ISNUMBER($E36))),"",$E36-Config!$B$4)</f>
        <v/>
      </c>
      <c r="N36" s="49" t="str">
        <f>IF($M36="","",IF($M36&lt;0,"Expired",IF($M36&lt;=Config!$B$6,"&lt;="&amp;Config!$B$6,IF($M36&lt;=Config!$B$7,(Config!$B$6+1)&amp;"-"&amp;Config!$B$7,IF($M36&lt;=Config!$B$8,(Config!$B$7+1)&amp;"-"&amp;Config!$B$8,"&gt;"&amp;Config!$B$8)))))</f>
        <v/>
      </c>
      <c r="O36" s="52" t="str">
        <f>IF($M36="","",IF($M36&lt;0,0,IF($M36&lt;=Config!$B$6,1,IF($M36&lt;=Config!$B$7,2,IF($M36&lt;=Config!$B$8,3,4)))))</f>
        <v/>
      </c>
      <c r="P36" s="50" t="str">
        <f>IF($A36="","",IF($L36&lt;=0,0,IF(OR(IFERROR(INDEX(Config!$F$15:$F$34,MATCH($G36,Config!$E$15:$E$34,0)),"No")="Yes",AND(Config!$B$10="Yes",ISNUMBER($M36),$M36&lt;0)),$L36,0)))</f>
        <v/>
      </c>
      <c r="Q36" s="52" t="str">
        <f>IF($A36="","",IF(AND($L36&gt;0,ISNUMBER($M36)),IF($M36&lt;=Config!$B$8,1,0),0))</f>
        <v/>
      </c>
      <c r="R36" s="52" t="str">
        <f>IF($Q36=1,COUNTIFS($Q$2:$Q$301,1,$E$2:$E$301,"&lt;"&amp;$E36)+COUNTIFS($Q$2:$Q36,1,$E$2:$E36,$E36),"")</f>
        <v/>
      </c>
      <c r="S36" s="49" t="str">
        <f>IF(COUNTA($A36:$I36)=0,"",IF($A36="","Missing: lot",IF(COUNTIF($A$2:$A$301,$A36)&gt;1,"Duplicate lot",IF($B36="","Missing: SKU",IF(NOT(ISNUMBER($E36)),"Missing: expiry date",IF($G36="","Missing: status",IF(COUNTIF(Products!$A$2:$A$101,$B36)=0,"Unknown SKU",IF(AND($C36&lt;&gt;"",COUNTIF(Suppliers!$A$2:$A$51,$C36)=0),"Unknown supplier",IF(COUNTIF(Config!$E$15:$E$34,$G36)=0,"Unsupported status",IF($L36&lt;0,"Negative lot balance",IF(AND($G36="Closed",$L36&lt;&gt;0),"Closed lot still has stock","OK")))))))))))</f>
        <v/>
      </c>
    </row>
    <row r="37">
      <c r="A37" s="46" t="n"/>
      <c r="B37" s="46" t="n"/>
      <c r="C37" s="46" t="n"/>
      <c r="D37" s="54" t="n"/>
      <c r="E37" s="54" t="n"/>
      <c r="F37" s="48" t="n"/>
      <c r="G37" s="46" t="n"/>
      <c r="H37" s="46" t="n"/>
      <c r="I37" s="46" t="n"/>
      <c r="J37" s="49" t="str">
        <f>IF($A37="","",IFERROR(INDEX(Products!$B$2:$B$101,MATCH($B37,Products!$A$2:$A$101,0))&amp;"","(not found)"))</f>
        <v/>
      </c>
      <c r="K37" s="51" t="str">
        <f>IF($A37="","",SUMIFS(Inventory_Ledger!$M$2:$M$2001,Inventory_Ledger!$F$2:$F$2001,$A37))</f>
        <v/>
      </c>
      <c r="L37" s="51" t="str">
        <f>IF($A37="","",IF(ISNUMBER($F37),$F37,0)+$K37)</f>
        <v/>
      </c>
      <c r="M37" s="56" t="str">
        <f>IF(OR($A37="",NOT(ISNUMBER($E37))),"",$E37-Config!$B$4)</f>
        <v/>
      </c>
      <c r="N37" s="49" t="str">
        <f>IF($M37="","",IF($M37&lt;0,"Expired",IF($M37&lt;=Config!$B$6,"&lt;="&amp;Config!$B$6,IF($M37&lt;=Config!$B$7,(Config!$B$6+1)&amp;"-"&amp;Config!$B$7,IF($M37&lt;=Config!$B$8,(Config!$B$7+1)&amp;"-"&amp;Config!$B$8,"&gt;"&amp;Config!$B$8)))))</f>
        <v/>
      </c>
      <c r="O37" s="52" t="str">
        <f>IF($M37="","",IF($M37&lt;0,0,IF($M37&lt;=Config!$B$6,1,IF($M37&lt;=Config!$B$7,2,IF($M37&lt;=Config!$B$8,3,4)))))</f>
        <v/>
      </c>
      <c r="P37" s="50" t="str">
        <f>IF($A37="","",IF($L37&lt;=0,0,IF(OR(IFERROR(INDEX(Config!$F$15:$F$34,MATCH($G37,Config!$E$15:$E$34,0)),"No")="Yes",AND(Config!$B$10="Yes",ISNUMBER($M37),$M37&lt;0)),$L37,0)))</f>
        <v/>
      </c>
      <c r="Q37" s="52" t="str">
        <f>IF($A37="","",IF(AND($L37&gt;0,ISNUMBER($M37)),IF($M37&lt;=Config!$B$8,1,0),0))</f>
        <v/>
      </c>
      <c r="R37" s="52" t="str">
        <f>IF($Q37=1,COUNTIFS($Q$2:$Q$301,1,$E$2:$E$301,"&lt;"&amp;$E37)+COUNTIFS($Q$2:$Q37,1,$E$2:$E37,$E37),"")</f>
        <v/>
      </c>
      <c r="S37" s="49" t="str">
        <f>IF(COUNTA($A37:$I37)=0,"",IF($A37="","Missing: lot",IF(COUNTIF($A$2:$A$301,$A37)&gt;1,"Duplicate lot",IF($B37="","Missing: SKU",IF(NOT(ISNUMBER($E37)),"Missing: expiry date",IF($G37="","Missing: status",IF(COUNTIF(Products!$A$2:$A$101,$B37)=0,"Unknown SKU",IF(AND($C37&lt;&gt;"",COUNTIF(Suppliers!$A$2:$A$51,$C37)=0),"Unknown supplier",IF(COUNTIF(Config!$E$15:$E$34,$G37)=0,"Unsupported status",IF($L37&lt;0,"Negative lot balance",IF(AND($G37="Closed",$L37&lt;&gt;0),"Closed lot still has stock","OK")))))))))))</f>
        <v/>
      </c>
    </row>
    <row r="38">
      <c r="A38" s="46" t="n"/>
      <c r="B38" s="46" t="n"/>
      <c r="C38" s="46" t="n"/>
      <c r="D38" s="54" t="n"/>
      <c r="E38" s="54" t="n"/>
      <c r="F38" s="48" t="n"/>
      <c r="G38" s="46" t="n"/>
      <c r="H38" s="46" t="n"/>
      <c r="I38" s="46" t="n"/>
      <c r="J38" s="49" t="str">
        <f>IF($A38="","",IFERROR(INDEX(Products!$B$2:$B$101,MATCH($B38,Products!$A$2:$A$101,0))&amp;"","(not found)"))</f>
        <v/>
      </c>
      <c r="K38" s="51" t="str">
        <f>IF($A38="","",SUMIFS(Inventory_Ledger!$M$2:$M$2001,Inventory_Ledger!$F$2:$F$2001,$A38))</f>
        <v/>
      </c>
      <c r="L38" s="51" t="str">
        <f>IF($A38="","",IF(ISNUMBER($F38),$F38,0)+$K38)</f>
        <v/>
      </c>
      <c r="M38" s="56" t="str">
        <f>IF(OR($A38="",NOT(ISNUMBER($E38))),"",$E38-Config!$B$4)</f>
        <v/>
      </c>
      <c r="N38" s="49" t="str">
        <f>IF($M38="","",IF($M38&lt;0,"Expired",IF($M38&lt;=Config!$B$6,"&lt;="&amp;Config!$B$6,IF($M38&lt;=Config!$B$7,(Config!$B$6+1)&amp;"-"&amp;Config!$B$7,IF($M38&lt;=Config!$B$8,(Config!$B$7+1)&amp;"-"&amp;Config!$B$8,"&gt;"&amp;Config!$B$8)))))</f>
        <v/>
      </c>
      <c r="O38" s="52" t="str">
        <f>IF($M38="","",IF($M38&lt;0,0,IF($M38&lt;=Config!$B$6,1,IF($M38&lt;=Config!$B$7,2,IF($M38&lt;=Config!$B$8,3,4)))))</f>
        <v/>
      </c>
      <c r="P38" s="50" t="str">
        <f>IF($A38="","",IF($L38&lt;=0,0,IF(OR(IFERROR(INDEX(Config!$F$15:$F$34,MATCH($G38,Config!$E$15:$E$34,0)),"No")="Yes",AND(Config!$B$10="Yes",ISNUMBER($M38),$M38&lt;0)),$L38,0)))</f>
        <v/>
      </c>
      <c r="Q38" s="52" t="str">
        <f>IF($A38="","",IF(AND($L38&gt;0,ISNUMBER($M38)),IF($M38&lt;=Config!$B$8,1,0),0))</f>
        <v/>
      </c>
      <c r="R38" s="52" t="str">
        <f>IF($Q38=1,COUNTIFS($Q$2:$Q$301,1,$E$2:$E$301,"&lt;"&amp;$E38)+COUNTIFS($Q$2:$Q38,1,$E$2:$E38,$E38),"")</f>
        <v/>
      </c>
      <c r="S38" s="49" t="str">
        <f>IF(COUNTA($A38:$I38)=0,"",IF($A38="","Missing: lot",IF(COUNTIF($A$2:$A$301,$A38)&gt;1,"Duplicate lot",IF($B38="","Missing: SKU",IF(NOT(ISNUMBER($E38)),"Missing: expiry date",IF($G38="","Missing: status",IF(COUNTIF(Products!$A$2:$A$101,$B38)=0,"Unknown SKU",IF(AND($C38&lt;&gt;"",COUNTIF(Suppliers!$A$2:$A$51,$C38)=0),"Unknown supplier",IF(COUNTIF(Config!$E$15:$E$34,$G38)=0,"Unsupported status",IF($L38&lt;0,"Negative lot balance",IF(AND($G38="Closed",$L38&lt;&gt;0),"Closed lot still has stock","OK")))))))))))</f>
        <v/>
      </c>
    </row>
    <row r="39">
      <c r="A39" s="46" t="n"/>
      <c r="B39" s="46" t="n"/>
      <c r="C39" s="46" t="n"/>
      <c r="D39" s="54" t="n"/>
      <c r="E39" s="54" t="n"/>
      <c r="F39" s="48" t="n"/>
      <c r="G39" s="46" t="n"/>
      <c r="H39" s="46" t="n"/>
      <c r="I39" s="46" t="n"/>
      <c r="J39" s="49" t="str">
        <f>IF($A39="","",IFERROR(INDEX(Products!$B$2:$B$101,MATCH($B39,Products!$A$2:$A$101,0))&amp;"","(not found)"))</f>
        <v/>
      </c>
      <c r="K39" s="51" t="str">
        <f>IF($A39="","",SUMIFS(Inventory_Ledger!$M$2:$M$2001,Inventory_Ledger!$F$2:$F$2001,$A39))</f>
        <v/>
      </c>
      <c r="L39" s="51" t="str">
        <f>IF($A39="","",IF(ISNUMBER($F39),$F39,0)+$K39)</f>
        <v/>
      </c>
      <c r="M39" s="56" t="str">
        <f>IF(OR($A39="",NOT(ISNUMBER($E39))),"",$E39-Config!$B$4)</f>
        <v/>
      </c>
      <c r="N39" s="49" t="str">
        <f>IF($M39="","",IF($M39&lt;0,"Expired",IF($M39&lt;=Config!$B$6,"&lt;="&amp;Config!$B$6,IF($M39&lt;=Config!$B$7,(Config!$B$6+1)&amp;"-"&amp;Config!$B$7,IF($M39&lt;=Config!$B$8,(Config!$B$7+1)&amp;"-"&amp;Config!$B$8,"&gt;"&amp;Config!$B$8)))))</f>
        <v/>
      </c>
      <c r="O39" s="52" t="str">
        <f>IF($M39="","",IF($M39&lt;0,0,IF($M39&lt;=Config!$B$6,1,IF($M39&lt;=Config!$B$7,2,IF($M39&lt;=Config!$B$8,3,4)))))</f>
        <v/>
      </c>
      <c r="P39" s="50" t="str">
        <f>IF($A39="","",IF($L39&lt;=0,0,IF(OR(IFERROR(INDEX(Config!$F$15:$F$34,MATCH($G39,Config!$E$15:$E$34,0)),"No")="Yes",AND(Config!$B$10="Yes",ISNUMBER($M39),$M39&lt;0)),$L39,0)))</f>
        <v/>
      </c>
      <c r="Q39" s="52" t="str">
        <f>IF($A39="","",IF(AND($L39&gt;0,ISNUMBER($M39)),IF($M39&lt;=Config!$B$8,1,0),0))</f>
        <v/>
      </c>
      <c r="R39" s="52" t="str">
        <f>IF($Q39=1,COUNTIFS($Q$2:$Q$301,1,$E$2:$E$301,"&lt;"&amp;$E39)+COUNTIFS($Q$2:$Q39,1,$E$2:$E39,$E39),"")</f>
        <v/>
      </c>
      <c r="S39" s="49" t="str">
        <f>IF(COUNTA($A39:$I39)=0,"",IF($A39="","Missing: lot",IF(COUNTIF($A$2:$A$301,$A39)&gt;1,"Duplicate lot",IF($B39="","Missing: SKU",IF(NOT(ISNUMBER($E39)),"Missing: expiry date",IF($G39="","Missing: status",IF(COUNTIF(Products!$A$2:$A$101,$B39)=0,"Unknown SKU",IF(AND($C39&lt;&gt;"",COUNTIF(Suppliers!$A$2:$A$51,$C39)=0),"Unknown supplier",IF(COUNTIF(Config!$E$15:$E$34,$G39)=0,"Unsupported status",IF($L39&lt;0,"Negative lot balance",IF(AND($G39="Closed",$L39&lt;&gt;0),"Closed lot still has stock","OK")))))))))))</f>
        <v/>
      </c>
    </row>
    <row r="40">
      <c r="A40" s="46" t="n"/>
      <c r="B40" s="46" t="n"/>
      <c r="C40" s="46" t="n"/>
      <c r="D40" s="54" t="n"/>
      <c r="E40" s="54" t="n"/>
      <c r="F40" s="48" t="n"/>
      <c r="G40" s="46" t="n"/>
      <c r="H40" s="46" t="n"/>
      <c r="I40" s="46" t="n"/>
      <c r="J40" s="49" t="str">
        <f>IF($A40="","",IFERROR(INDEX(Products!$B$2:$B$101,MATCH($B40,Products!$A$2:$A$101,0))&amp;"","(not found)"))</f>
        <v/>
      </c>
      <c r="K40" s="51" t="str">
        <f>IF($A40="","",SUMIFS(Inventory_Ledger!$M$2:$M$2001,Inventory_Ledger!$F$2:$F$2001,$A40))</f>
        <v/>
      </c>
      <c r="L40" s="51" t="str">
        <f>IF($A40="","",IF(ISNUMBER($F40),$F40,0)+$K40)</f>
        <v/>
      </c>
      <c r="M40" s="56" t="str">
        <f>IF(OR($A40="",NOT(ISNUMBER($E40))),"",$E40-Config!$B$4)</f>
        <v/>
      </c>
      <c r="N40" s="49" t="str">
        <f>IF($M40="","",IF($M40&lt;0,"Expired",IF($M40&lt;=Config!$B$6,"&lt;="&amp;Config!$B$6,IF($M40&lt;=Config!$B$7,(Config!$B$6+1)&amp;"-"&amp;Config!$B$7,IF($M40&lt;=Config!$B$8,(Config!$B$7+1)&amp;"-"&amp;Config!$B$8,"&gt;"&amp;Config!$B$8)))))</f>
        <v/>
      </c>
      <c r="O40" s="52" t="str">
        <f>IF($M40="","",IF($M40&lt;0,0,IF($M40&lt;=Config!$B$6,1,IF($M40&lt;=Config!$B$7,2,IF($M40&lt;=Config!$B$8,3,4)))))</f>
        <v/>
      </c>
      <c r="P40" s="50" t="str">
        <f>IF($A40="","",IF($L40&lt;=0,0,IF(OR(IFERROR(INDEX(Config!$F$15:$F$34,MATCH($G40,Config!$E$15:$E$34,0)),"No")="Yes",AND(Config!$B$10="Yes",ISNUMBER($M40),$M40&lt;0)),$L40,0)))</f>
        <v/>
      </c>
      <c r="Q40" s="52" t="str">
        <f>IF($A40="","",IF(AND($L40&gt;0,ISNUMBER($M40)),IF($M40&lt;=Config!$B$8,1,0),0))</f>
        <v/>
      </c>
      <c r="R40" s="52" t="str">
        <f>IF($Q40=1,COUNTIFS($Q$2:$Q$301,1,$E$2:$E$301,"&lt;"&amp;$E40)+COUNTIFS($Q$2:$Q40,1,$E$2:$E40,$E40),"")</f>
        <v/>
      </c>
      <c r="S40" s="49" t="str">
        <f>IF(COUNTA($A40:$I40)=0,"",IF($A40="","Missing: lot",IF(COUNTIF($A$2:$A$301,$A40)&gt;1,"Duplicate lot",IF($B40="","Missing: SKU",IF(NOT(ISNUMBER($E40)),"Missing: expiry date",IF($G40="","Missing: status",IF(COUNTIF(Products!$A$2:$A$101,$B40)=0,"Unknown SKU",IF(AND($C40&lt;&gt;"",COUNTIF(Suppliers!$A$2:$A$51,$C40)=0),"Unknown supplier",IF(COUNTIF(Config!$E$15:$E$34,$G40)=0,"Unsupported status",IF($L40&lt;0,"Negative lot balance",IF(AND($G40="Closed",$L40&lt;&gt;0),"Closed lot still has stock","OK")))))))))))</f>
        <v/>
      </c>
    </row>
    <row r="41">
      <c r="A41" s="46" t="n"/>
      <c r="B41" s="46" t="n"/>
      <c r="C41" s="46" t="n"/>
      <c r="D41" s="54" t="n"/>
      <c r="E41" s="54" t="n"/>
      <c r="F41" s="48" t="n"/>
      <c r="G41" s="46" t="n"/>
      <c r="H41" s="46" t="n"/>
      <c r="I41" s="46" t="n"/>
      <c r="J41" s="49" t="str">
        <f>IF($A41="","",IFERROR(INDEX(Products!$B$2:$B$101,MATCH($B41,Products!$A$2:$A$101,0))&amp;"","(not found)"))</f>
        <v/>
      </c>
      <c r="K41" s="51" t="str">
        <f>IF($A41="","",SUMIFS(Inventory_Ledger!$M$2:$M$2001,Inventory_Ledger!$F$2:$F$2001,$A41))</f>
        <v/>
      </c>
      <c r="L41" s="51" t="str">
        <f>IF($A41="","",IF(ISNUMBER($F41),$F41,0)+$K41)</f>
        <v/>
      </c>
      <c r="M41" s="56" t="str">
        <f>IF(OR($A41="",NOT(ISNUMBER($E41))),"",$E41-Config!$B$4)</f>
        <v/>
      </c>
      <c r="N41" s="49" t="str">
        <f>IF($M41="","",IF($M41&lt;0,"Expired",IF($M41&lt;=Config!$B$6,"&lt;="&amp;Config!$B$6,IF($M41&lt;=Config!$B$7,(Config!$B$6+1)&amp;"-"&amp;Config!$B$7,IF($M41&lt;=Config!$B$8,(Config!$B$7+1)&amp;"-"&amp;Config!$B$8,"&gt;"&amp;Config!$B$8)))))</f>
        <v/>
      </c>
      <c r="O41" s="52" t="str">
        <f>IF($M41="","",IF($M41&lt;0,0,IF($M41&lt;=Config!$B$6,1,IF($M41&lt;=Config!$B$7,2,IF($M41&lt;=Config!$B$8,3,4)))))</f>
        <v/>
      </c>
      <c r="P41" s="50" t="str">
        <f>IF($A41="","",IF($L41&lt;=0,0,IF(OR(IFERROR(INDEX(Config!$F$15:$F$34,MATCH($G41,Config!$E$15:$E$34,0)),"No")="Yes",AND(Config!$B$10="Yes",ISNUMBER($M41),$M41&lt;0)),$L41,0)))</f>
        <v/>
      </c>
      <c r="Q41" s="52" t="str">
        <f>IF($A41="","",IF(AND($L41&gt;0,ISNUMBER($M41)),IF($M41&lt;=Config!$B$8,1,0),0))</f>
        <v/>
      </c>
      <c r="R41" s="52" t="str">
        <f>IF($Q41=1,COUNTIFS($Q$2:$Q$301,1,$E$2:$E$301,"&lt;"&amp;$E41)+COUNTIFS($Q$2:$Q41,1,$E$2:$E41,$E41),"")</f>
        <v/>
      </c>
      <c r="S41" s="49" t="str">
        <f>IF(COUNTA($A41:$I41)=0,"",IF($A41="","Missing: lot",IF(COUNTIF($A$2:$A$301,$A41)&gt;1,"Duplicate lot",IF($B41="","Missing: SKU",IF(NOT(ISNUMBER($E41)),"Missing: expiry date",IF($G41="","Missing: status",IF(COUNTIF(Products!$A$2:$A$101,$B41)=0,"Unknown SKU",IF(AND($C41&lt;&gt;"",COUNTIF(Suppliers!$A$2:$A$51,$C41)=0),"Unknown supplier",IF(COUNTIF(Config!$E$15:$E$34,$G41)=0,"Unsupported status",IF($L41&lt;0,"Negative lot balance",IF(AND($G41="Closed",$L41&lt;&gt;0),"Closed lot still has stock","OK")))))))))))</f>
        <v/>
      </c>
    </row>
    <row r="42">
      <c r="A42" s="46" t="n"/>
      <c r="B42" s="46" t="n"/>
      <c r="C42" s="46" t="n"/>
      <c r="D42" s="54" t="n"/>
      <c r="E42" s="54" t="n"/>
      <c r="F42" s="48" t="n"/>
      <c r="G42" s="46" t="n"/>
      <c r="H42" s="46" t="n"/>
      <c r="I42" s="46" t="n"/>
      <c r="J42" s="49" t="str">
        <f>IF($A42="","",IFERROR(INDEX(Products!$B$2:$B$101,MATCH($B42,Products!$A$2:$A$101,0))&amp;"","(not found)"))</f>
        <v/>
      </c>
      <c r="K42" s="51" t="str">
        <f>IF($A42="","",SUMIFS(Inventory_Ledger!$M$2:$M$2001,Inventory_Ledger!$F$2:$F$2001,$A42))</f>
        <v/>
      </c>
      <c r="L42" s="51" t="str">
        <f>IF($A42="","",IF(ISNUMBER($F42),$F42,0)+$K42)</f>
        <v/>
      </c>
      <c r="M42" s="56" t="str">
        <f>IF(OR($A42="",NOT(ISNUMBER($E42))),"",$E42-Config!$B$4)</f>
        <v/>
      </c>
      <c r="N42" s="49" t="str">
        <f>IF($M42="","",IF($M42&lt;0,"Expired",IF($M42&lt;=Config!$B$6,"&lt;="&amp;Config!$B$6,IF($M42&lt;=Config!$B$7,(Config!$B$6+1)&amp;"-"&amp;Config!$B$7,IF($M42&lt;=Config!$B$8,(Config!$B$7+1)&amp;"-"&amp;Config!$B$8,"&gt;"&amp;Config!$B$8)))))</f>
        <v/>
      </c>
      <c r="O42" s="52" t="str">
        <f>IF($M42="","",IF($M42&lt;0,0,IF($M42&lt;=Config!$B$6,1,IF($M42&lt;=Config!$B$7,2,IF($M42&lt;=Config!$B$8,3,4)))))</f>
        <v/>
      </c>
      <c r="P42" s="50" t="str">
        <f>IF($A42="","",IF($L42&lt;=0,0,IF(OR(IFERROR(INDEX(Config!$F$15:$F$34,MATCH($G42,Config!$E$15:$E$34,0)),"No")="Yes",AND(Config!$B$10="Yes",ISNUMBER($M42),$M42&lt;0)),$L42,0)))</f>
        <v/>
      </c>
      <c r="Q42" s="52" t="str">
        <f>IF($A42="","",IF(AND($L42&gt;0,ISNUMBER($M42)),IF($M42&lt;=Config!$B$8,1,0),0))</f>
        <v/>
      </c>
      <c r="R42" s="52" t="str">
        <f>IF($Q42=1,COUNTIFS($Q$2:$Q$301,1,$E$2:$E$301,"&lt;"&amp;$E42)+COUNTIFS($Q$2:$Q42,1,$E$2:$E42,$E42),"")</f>
        <v/>
      </c>
      <c r="S42" s="49" t="str">
        <f>IF(COUNTA($A42:$I42)=0,"",IF($A42="","Missing: lot",IF(COUNTIF($A$2:$A$301,$A42)&gt;1,"Duplicate lot",IF($B42="","Missing: SKU",IF(NOT(ISNUMBER($E42)),"Missing: expiry date",IF($G42="","Missing: status",IF(COUNTIF(Products!$A$2:$A$101,$B42)=0,"Unknown SKU",IF(AND($C42&lt;&gt;"",COUNTIF(Suppliers!$A$2:$A$51,$C42)=0),"Unknown supplier",IF(COUNTIF(Config!$E$15:$E$34,$G42)=0,"Unsupported status",IF($L42&lt;0,"Negative lot balance",IF(AND($G42="Closed",$L42&lt;&gt;0),"Closed lot still has stock","OK")))))))))))</f>
        <v/>
      </c>
    </row>
    <row r="43">
      <c r="A43" s="46" t="n"/>
      <c r="B43" s="46" t="n"/>
      <c r="C43" s="46" t="n"/>
      <c r="D43" s="54" t="n"/>
      <c r="E43" s="54" t="n"/>
      <c r="F43" s="48" t="n"/>
      <c r="G43" s="46" t="n"/>
      <c r="H43" s="46" t="n"/>
      <c r="I43" s="46" t="n"/>
      <c r="J43" s="49" t="str">
        <f>IF($A43="","",IFERROR(INDEX(Products!$B$2:$B$101,MATCH($B43,Products!$A$2:$A$101,0))&amp;"","(not found)"))</f>
        <v/>
      </c>
      <c r="K43" s="51" t="str">
        <f>IF($A43="","",SUMIFS(Inventory_Ledger!$M$2:$M$2001,Inventory_Ledger!$F$2:$F$2001,$A43))</f>
        <v/>
      </c>
      <c r="L43" s="51" t="str">
        <f>IF($A43="","",IF(ISNUMBER($F43),$F43,0)+$K43)</f>
        <v/>
      </c>
      <c r="M43" s="56" t="str">
        <f>IF(OR($A43="",NOT(ISNUMBER($E43))),"",$E43-Config!$B$4)</f>
        <v/>
      </c>
      <c r="N43" s="49" t="str">
        <f>IF($M43="","",IF($M43&lt;0,"Expired",IF($M43&lt;=Config!$B$6,"&lt;="&amp;Config!$B$6,IF($M43&lt;=Config!$B$7,(Config!$B$6+1)&amp;"-"&amp;Config!$B$7,IF($M43&lt;=Config!$B$8,(Config!$B$7+1)&amp;"-"&amp;Config!$B$8,"&gt;"&amp;Config!$B$8)))))</f>
        <v/>
      </c>
      <c r="O43" s="52" t="str">
        <f>IF($M43="","",IF($M43&lt;0,0,IF($M43&lt;=Config!$B$6,1,IF($M43&lt;=Config!$B$7,2,IF($M43&lt;=Config!$B$8,3,4)))))</f>
        <v/>
      </c>
      <c r="P43" s="50" t="str">
        <f>IF($A43="","",IF($L43&lt;=0,0,IF(OR(IFERROR(INDEX(Config!$F$15:$F$34,MATCH($G43,Config!$E$15:$E$34,0)),"No")="Yes",AND(Config!$B$10="Yes",ISNUMBER($M43),$M43&lt;0)),$L43,0)))</f>
        <v/>
      </c>
      <c r="Q43" s="52" t="str">
        <f>IF($A43="","",IF(AND($L43&gt;0,ISNUMBER($M43)),IF($M43&lt;=Config!$B$8,1,0),0))</f>
        <v/>
      </c>
      <c r="R43" s="52" t="str">
        <f>IF($Q43=1,COUNTIFS($Q$2:$Q$301,1,$E$2:$E$301,"&lt;"&amp;$E43)+COUNTIFS($Q$2:$Q43,1,$E$2:$E43,$E43),"")</f>
        <v/>
      </c>
      <c r="S43" s="49" t="str">
        <f>IF(COUNTA($A43:$I43)=0,"",IF($A43="","Missing: lot",IF(COUNTIF($A$2:$A$301,$A43)&gt;1,"Duplicate lot",IF($B43="","Missing: SKU",IF(NOT(ISNUMBER($E43)),"Missing: expiry date",IF($G43="","Missing: status",IF(COUNTIF(Products!$A$2:$A$101,$B43)=0,"Unknown SKU",IF(AND($C43&lt;&gt;"",COUNTIF(Suppliers!$A$2:$A$51,$C43)=0),"Unknown supplier",IF(COUNTIF(Config!$E$15:$E$34,$G43)=0,"Unsupported status",IF($L43&lt;0,"Negative lot balance",IF(AND($G43="Closed",$L43&lt;&gt;0),"Closed lot still has stock","OK")))))))))))</f>
        <v/>
      </c>
    </row>
    <row r="44">
      <c r="A44" s="46" t="n"/>
      <c r="B44" s="46" t="n"/>
      <c r="C44" s="46" t="n"/>
      <c r="D44" s="54" t="n"/>
      <c r="E44" s="54" t="n"/>
      <c r="F44" s="48" t="n"/>
      <c r="G44" s="46" t="n"/>
      <c r="H44" s="46" t="n"/>
      <c r="I44" s="46" t="n"/>
      <c r="J44" s="49" t="str">
        <f>IF($A44="","",IFERROR(INDEX(Products!$B$2:$B$101,MATCH($B44,Products!$A$2:$A$101,0))&amp;"","(not found)"))</f>
        <v/>
      </c>
      <c r="K44" s="51" t="str">
        <f>IF($A44="","",SUMIFS(Inventory_Ledger!$M$2:$M$2001,Inventory_Ledger!$F$2:$F$2001,$A44))</f>
        <v/>
      </c>
      <c r="L44" s="51" t="str">
        <f>IF($A44="","",IF(ISNUMBER($F44),$F44,0)+$K44)</f>
        <v/>
      </c>
      <c r="M44" s="56" t="str">
        <f>IF(OR($A44="",NOT(ISNUMBER($E44))),"",$E44-Config!$B$4)</f>
        <v/>
      </c>
      <c r="N44" s="49" t="str">
        <f>IF($M44="","",IF($M44&lt;0,"Expired",IF($M44&lt;=Config!$B$6,"&lt;="&amp;Config!$B$6,IF($M44&lt;=Config!$B$7,(Config!$B$6+1)&amp;"-"&amp;Config!$B$7,IF($M44&lt;=Config!$B$8,(Config!$B$7+1)&amp;"-"&amp;Config!$B$8,"&gt;"&amp;Config!$B$8)))))</f>
        <v/>
      </c>
      <c r="O44" s="52" t="str">
        <f>IF($M44="","",IF($M44&lt;0,0,IF($M44&lt;=Config!$B$6,1,IF($M44&lt;=Config!$B$7,2,IF($M44&lt;=Config!$B$8,3,4)))))</f>
        <v/>
      </c>
      <c r="P44" s="50" t="str">
        <f>IF($A44="","",IF($L44&lt;=0,0,IF(OR(IFERROR(INDEX(Config!$F$15:$F$34,MATCH($G44,Config!$E$15:$E$34,0)),"No")="Yes",AND(Config!$B$10="Yes",ISNUMBER($M44),$M44&lt;0)),$L44,0)))</f>
        <v/>
      </c>
      <c r="Q44" s="52" t="str">
        <f>IF($A44="","",IF(AND($L44&gt;0,ISNUMBER($M44)),IF($M44&lt;=Config!$B$8,1,0),0))</f>
        <v/>
      </c>
      <c r="R44" s="52" t="str">
        <f>IF($Q44=1,COUNTIFS($Q$2:$Q$301,1,$E$2:$E$301,"&lt;"&amp;$E44)+COUNTIFS($Q$2:$Q44,1,$E$2:$E44,$E44),"")</f>
        <v/>
      </c>
      <c r="S44" s="49" t="str">
        <f>IF(COUNTA($A44:$I44)=0,"",IF($A44="","Missing: lot",IF(COUNTIF($A$2:$A$301,$A44)&gt;1,"Duplicate lot",IF($B44="","Missing: SKU",IF(NOT(ISNUMBER($E44)),"Missing: expiry date",IF($G44="","Missing: status",IF(COUNTIF(Products!$A$2:$A$101,$B44)=0,"Unknown SKU",IF(AND($C44&lt;&gt;"",COUNTIF(Suppliers!$A$2:$A$51,$C44)=0),"Unknown supplier",IF(COUNTIF(Config!$E$15:$E$34,$G44)=0,"Unsupported status",IF($L44&lt;0,"Negative lot balance",IF(AND($G44="Closed",$L44&lt;&gt;0),"Closed lot still has stock","OK")))))))))))</f>
        <v/>
      </c>
    </row>
    <row r="45">
      <c r="A45" s="46" t="n"/>
      <c r="B45" s="46" t="n"/>
      <c r="C45" s="46" t="n"/>
      <c r="D45" s="54" t="n"/>
      <c r="E45" s="54" t="n"/>
      <c r="F45" s="48" t="n"/>
      <c r="G45" s="46" t="n"/>
      <c r="H45" s="46" t="n"/>
      <c r="I45" s="46" t="n"/>
      <c r="J45" s="49" t="str">
        <f>IF($A45="","",IFERROR(INDEX(Products!$B$2:$B$101,MATCH($B45,Products!$A$2:$A$101,0))&amp;"","(not found)"))</f>
        <v/>
      </c>
      <c r="K45" s="51" t="str">
        <f>IF($A45="","",SUMIFS(Inventory_Ledger!$M$2:$M$2001,Inventory_Ledger!$F$2:$F$2001,$A45))</f>
        <v/>
      </c>
      <c r="L45" s="51" t="str">
        <f>IF($A45="","",IF(ISNUMBER($F45),$F45,0)+$K45)</f>
        <v/>
      </c>
      <c r="M45" s="56" t="str">
        <f>IF(OR($A45="",NOT(ISNUMBER($E45))),"",$E45-Config!$B$4)</f>
        <v/>
      </c>
      <c r="N45" s="49" t="str">
        <f>IF($M45="","",IF($M45&lt;0,"Expired",IF($M45&lt;=Config!$B$6,"&lt;="&amp;Config!$B$6,IF($M45&lt;=Config!$B$7,(Config!$B$6+1)&amp;"-"&amp;Config!$B$7,IF($M45&lt;=Config!$B$8,(Config!$B$7+1)&amp;"-"&amp;Config!$B$8,"&gt;"&amp;Config!$B$8)))))</f>
        <v/>
      </c>
      <c r="O45" s="52" t="str">
        <f>IF($M45="","",IF($M45&lt;0,0,IF($M45&lt;=Config!$B$6,1,IF($M45&lt;=Config!$B$7,2,IF($M45&lt;=Config!$B$8,3,4)))))</f>
        <v/>
      </c>
      <c r="P45" s="50" t="str">
        <f>IF($A45="","",IF($L45&lt;=0,0,IF(OR(IFERROR(INDEX(Config!$F$15:$F$34,MATCH($G45,Config!$E$15:$E$34,0)),"No")="Yes",AND(Config!$B$10="Yes",ISNUMBER($M45),$M45&lt;0)),$L45,0)))</f>
        <v/>
      </c>
      <c r="Q45" s="52" t="str">
        <f>IF($A45="","",IF(AND($L45&gt;0,ISNUMBER($M45)),IF($M45&lt;=Config!$B$8,1,0),0))</f>
        <v/>
      </c>
      <c r="R45" s="52" t="str">
        <f>IF($Q45=1,COUNTIFS($Q$2:$Q$301,1,$E$2:$E$301,"&lt;"&amp;$E45)+COUNTIFS($Q$2:$Q45,1,$E$2:$E45,$E45),"")</f>
        <v/>
      </c>
      <c r="S45" s="49" t="str">
        <f>IF(COUNTA($A45:$I45)=0,"",IF($A45="","Missing: lot",IF(COUNTIF($A$2:$A$301,$A45)&gt;1,"Duplicate lot",IF($B45="","Missing: SKU",IF(NOT(ISNUMBER($E45)),"Missing: expiry date",IF($G45="","Missing: status",IF(COUNTIF(Products!$A$2:$A$101,$B45)=0,"Unknown SKU",IF(AND($C45&lt;&gt;"",COUNTIF(Suppliers!$A$2:$A$51,$C45)=0),"Unknown supplier",IF(COUNTIF(Config!$E$15:$E$34,$G45)=0,"Unsupported status",IF($L45&lt;0,"Negative lot balance",IF(AND($G45="Closed",$L45&lt;&gt;0),"Closed lot still has stock","OK")))))))))))</f>
        <v/>
      </c>
    </row>
    <row r="46">
      <c r="A46" s="46" t="n"/>
      <c r="B46" s="46" t="n"/>
      <c r="C46" s="46" t="n"/>
      <c r="D46" s="54" t="n"/>
      <c r="E46" s="54" t="n"/>
      <c r="F46" s="48" t="n"/>
      <c r="G46" s="46" t="n"/>
      <c r="H46" s="46" t="n"/>
      <c r="I46" s="46" t="n"/>
      <c r="J46" s="49" t="str">
        <f>IF($A46="","",IFERROR(INDEX(Products!$B$2:$B$101,MATCH($B46,Products!$A$2:$A$101,0))&amp;"","(not found)"))</f>
        <v/>
      </c>
      <c r="K46" s="51" t="str">
        <f>IF($A46="","",SUMIFS(Inventory_Ledger!$M$2:$M$2001,Inventory_Ledger!$F$2:$F$2001,$A46))</f>
        <v/>
      </c>
      <c r="L46" s="51" t="str">
        <f>IF($A46="","",IF(ISNUMBER($F46),$F46,0)+$K46)</f>
        <v/>
      </c>
      <c r="M46" s="56" t="str">
        <f>IF(OR($A46="",NOT(ISNUMBER($E46))),"",$E46-Config!$B$4)</f>
        <v/>
      </c>
      <c r="N46" s="49" t="str">
        <f>IF($M46="","",IF($M46&lt;0,"Expired",IF($M46&lt;=Config!$B$6,"&lt;="&amp;Config!$B$6,IF($M46&lt;=Config!$B$7,(Config!$B$6+1)&amp;"-"&amp;Config!$B$7,IF($M46&lt;=Config!$B$8,(Config!$B$7+1)&amp;"-"&amp;Config!$B$8,"&gt;"&amp;Config!$B$8)))))</f>
        <v/>
      </c>
      <c r="O46" s="52" t="str">
        <f>IF($M46="","",IF($M46&lt;0,0,IF($M46&lt;=Config!$B$6,1,IF($M46&lt;=Config!$B$7,2,IF($M46&lt;=Config!$B$8,3,4)))))</f>
        <v/>
      </c>
      <c r="P46" s="50" t="str">
        <f>IF($A46="","",IF($L46&lt;=0,0,IF(OR(IFERROR(INDEX(Config!$F$15:$F$34,MATCH($G46,Config!$E$15:$E$34,0)),"No")="Yes",AND(Config!$B$10="Yes",ISNUMBER($M46),$M46&lt;0)),$L46,0)))</f>
        <v/>
      </c>
      <c r="Q46" s="52" t="str">
        <f>IF($A46="","",IF(AND($L46&gt;0,ISNUMBER($M46)),IF($M46&lt;=Config!$B$8,1,0),0))</f>
        <v/>
      </c>
      <c r="R46" s="52" t="str">
        <f>IF($Q46=1,COUNTIFS($Q$2:$Q$301,1,$E$2:$E$301,"&lt;"&amp;$E46)+COUNTIFS($Q$2:$Q46,1,$E$2:$E46,$E46),"")</f>
        <v/>
      </c>
      <c r="S46" s="49" t="str">
        <f>IF(COUNTA($A46:$I46)=0,"",IF($A46="","Missing: lot",IF(COUNTIF($A$2:$A$301,$A46)&gt;1,"Duplicate lot",IF($B46="","Missing: SKU",IF(NOT(ISNUMBER($E46)),"Missing: expiry date",IF($G46="","Missing: status",IF(COUNTIF(Products!$A$2:$A$101,$B46)=0,"Unknown SKU",IF(AND($C46&lt;&gt;"",COUNTIF(Suppliers!$A$2:$A$51,$C46)=0),"Unknown supplier",IF(COUNTIF(Config!$E$15:$E$34,$G46)=0,"Unsupported status",IF($L46&lt;0,"Negative lot balance",IF(AND($G46="Closed",$L46&lt;&gt;0),"Closed lot still has stock","OK")))))))))))</f>
        <v/>
      </c>
    </row>
    <row r="47">
      <c r="A47" s="46" t="n"/>
      <c r="B47" s="46" t="n"/>
      <c r="C47" s="46" t="n"/>
      <c r="D47" s="54" t="n"/>
      <c r="E47" s="54" t="n"/>
      <c r="F47" s="48" t="n"/>
      <c r="G47" s="46" t="n"/>
      <c r="H47" s="46" t="n"/>
      <c r="I47" s="46" t="n"/>
      <c r="J47" s="49" t="str">
        <f>IF($A47="","",IFERROR(INDEX(Products!$B$2:$B$101,MATCH($B47,Products!$A$2:$A$101,0))&amp;"","(not found)"))</f>
        <v/>
      </c>
      <c r="K47" s="51" t="str">
        <f>IF($A47="","",SUMIFS(Inventory_Ledger!$M$2:$M$2001,Inventory_Ledger!$F$2:$F$2001,$A47))</f>
        <v/>
      </c>
      <c r="L47" s="51" t="str">
        <f>IF($A47="","",IF(ISNUMBER($F47),$F47,0)+$K47)</f>
        <v/>
      </c>
      <c r="M47" s="56" t="str">
        <f>IF(OR($A47="",NOT(ISNUMBER($E47))),"",$E47-Config!$B$4)</f>
        <v/>
      </c>
      <c r="N47" s="49" t="str">
        <f>IF($M47="","",IF($M47&lt;0,"Expired",IF($M47&lt;=Config!$B$6,"&lt;="&amp;Config!$B$6,IF($M47&lt;=Config!$B$7,(Config!$B$6+1)&amp;"-"&amp;Config!$B$7,IF($M47&lt;=Config!$B$8,(Config!$B$7+1)&amp;"-"&amp;Config!$B$8,"&gt;"&amp;Config!$B$8)))))</f>
        <v/>
      </c>
      <c r="O47" s="52" t="str">
        <f>IF($M47="","",IF($M47&lt;0,0,IF($M47&lt;=Config!$B$6,1,IF($M47&lt;=Config!$B$7,2,IF($M47&lt;=Config!$B$8,3,4)))))</f>
        <v/>
      </c>
      <c r="P47" s="50" t="str">
        <f>IF($A47="","",IF($L47&lt;=0,0,IF(OR(IFERROR(INDEX(Config!$F$15:$F$34,MATCH($G47,Config!$E$15:$E$34,0)),"No")="Yes",AND(Config!$B$10="Yes",ISNUMBER($M47),$M47&lt;0)),$L47,0)))</f>
        <v/>
      </c>
      <c r="Q47" s="52" t="str">
        <f>IF($A47="","",IF(AND($L47&gt;0,ISNUMBER($M47)),IF($M47&lt;=Config!$B$8,1,0),0))</f>
        <v/>
      </c>
      <c r="R47" s="52" t="str">
        <f>IF($Q47=1,COUNTIFS($Q$2:$Q$301,1,$E$2:$E$301,"&lt;"&amp;$E47)+COUNTIFS($Q$2:$Q47,1,$E$2:$E47,$E47),"")</f>
        <v/>
      </c>
      <c r="S47" s="49" t="str">
        <f>IF(COUNTA($A47:$I47)=0,"",IF($A47="","Missing: lot",IF(COUNTIF($A$2:$A$301,$A47)&gt;1,"Duplicate lot",IF($B47="","Missing: SKU",IF(NOT(ISNUMBER($E47)),"Missing: expiry date",IF($G47="","Missing: status",IF(COUNTIF(Products!$A$2:$A$101,$B47)=0,"Unknown SKU",IF(AND($C47&lt;&gt;"",COUNTIF(Suppliers!$A$2:$A$51,$C47)=0),"Unknown supplier",IF(COUNTIF(Config!$E$15:$E$34,$G47)=0,"Unsupported status",IF($L47&lt;0,"Negative lot balance",IF(AND($G47="Closed",$L47&lt;&gt;0),"Closed lot still has stock","OK")))))))))))</f>
        <v/>
      </c>
    </row>
    <row r="48">
      <c r="A48" s="46" t="n"/>
      <c r="B48" s="46" t="n"/>
      <c r="C48" s="46" t="n"/>
      <c r="D48" s="54" t="n"/>
      <c r="E48" s="54" t="n"/>
      <c r="F48" s="48" t="n"/>
      <c r="G48" s="46" t="n"/>
      <c r="H48" s="46" t="n"/>
      <c r="I48" s="46" t="n"/>
      <c r="J48" s="49" t="str">
        <f>IF($A48="","",IFERROR(INDEX(Products!$B$2:$B$101,MATCH($B48,Products!$A$2:$A$101,0))&amp;"","(not found)"))</f>
        <v/>
      </c>
      <c r="K48" s="51" t="str">
        <f>IF($A48="","",SUMIFS(Inventory_Ledger!$M$2:$M$2001,Inventory_Ledger!$F$2:$F$2001,$A48))</f>
        <v/>
      </c>
      <c r="L48" s="51" t="str">
        <f>IF($A48="","",IF(ISNUMBER($F48),$F48,0)+$K48)</f>
        <v/>
      </c>
      <c r="M48" s="56" t="str">
        <f>IF(OR($A48="",NOT(ISNUMBER($E48))),"",$E48-Config!$B$4)</f>
        <v/>
      </c>
      <c r="N48" s="49" t="str">
        <f>IF($M48="","",IF($M48&lt;0,"Expired",IF($M48&lt;=Config!$B$6,"&lt;="&amp;Config!$B$6,IF($M48&lt;=Config!$B$7,(Config!$B$6+1)&amp;"-"&amp;Config!$B$7,IF($M48&lt;=Config!$B$8,(Config!$B$7+1)&amp;"-"&amp;Config!$B$8,"&gt;"&amp;Config!$B$8)))))</f>
        <v/>
      </c>
      <c r="O48" s="52" t="str">
        <f>IF($M48="","",IF($M48&lt;0,0,IF($M48&lt;=Config!$B$6,1,IF($M48&lt;=Config!$B$7,2,IF($M48&lt;=Config!$B$8,3,4)))))</f>
        <v/>
      </c>
      <c r="P48" s="50" t="str">
        <f>IF($A48="","",IF($L48&lt;=0,0,IF(OR(IFERROR(INDEX(Config!$F$15:$F$34,MATCH($G48,Config!$E$15:$E$34,0)),"No")="Yes",AND(Config!$B$10="Yes",ISNUMBER($M48),$M48&lt;0)),$L48,0)))</f>
        <v/>
      </c>
      <c r="Q48" s="52" t="str">
        <f>IF($A48="","",IF(AND($L48&gt;0,ISNUMBER($M48)),IF($M48&lt;=Config!$B$8,1,0),0))</f>
        <v/>
      </c>
      <c r="R48" s="52" t="str">
        <f>IF($Q48=1,COUNTIFS($Q$2:$Q$301,1,$E$2:$E$301,"&lt;"&amp;$E48)+COUNTIFS($Q$2:$Q48,1,$E$2:$E48,$E48),"")</f>
        <v/>
      </c>
      <c r="S48" s="49" t="str">
        <f>IF(COUNTA($A48:$I48)=0,"",IF($A48="","Missing: lot",IF(COUNTIF($A$2:$A$301,$A48)&gt;1,"Duplicate lot",IF($B48="","Missing: SKU",IF(NOT(ISNUMBER($E48)),"Missing: expiry date",IF($G48="","Missing: status",IF(COUNTIF(Products!$A$2:$A$101,$B48)=0,"Unknown SKU",IF(AND($C48&lt;&gt;"",COUNTIF(Suppliers!$A$2:$A$51,$C48)=0),"Unknown supplier",IF(COUNTIF(Config!$E$15:$E$34,$G48)=0,"Unsupported status",IF($L48&lt;0,"Negative lot balance",IF(AND($G48="Closed",$L48&lt;&gt;0),"Closed lot still has stock","OK")))))))))))</f>
        <v/>
      </c>
    </row>
    <row r="49">
      <c r="A49" s="46" t="n"/>
      <c r="B49" s="46" t="n"/>
      <c r="C49" s="46" t="n"/>
      <c r="D49" s="54" t="n"/>
      <c r="E49" s="54" t="n"/>
      <c r="F49" s="48" t="n"/>
      <c r="G49" s="46" t="n"/>
      <c r="H49" s="46" t="n"/>
      <c r="I49" s="46" t="n"/>
      <c r="J49" s="49" t="str">
        <f>IF($A49="","",IFERROR(INDEX(Products!$B$2:$B$101,MATCH($B49,Products!$A$2:$A$101,0))&amp;"","(not found)"))</f>
        <v/>
      </c>
      <c r="K49" s="51" t="str">
        <f>IF($A49="","",SUMIFS(Inventory_Ledger!$M$2:$M$2001,Inventory_Ledger!$F$2:$F$2001,$A49))</f>
        <v/>
      </c>
      <c r="L49" s="51" t="str">
        <f>IF($A49="","",IF(ISNUMBER($F49),$F49,0)+$K49)</f>
        <v/>
      </c>
      <c r="M49" s="56" t="str">
        <f>IF(OR($A49="",NOT(ISNUMBER($E49))),"",$E49-Config!$B$4)</f>
        <v/>
      </c>
      <c r="N49" s="49" t="str">
        <f>IF($M49="","",IF($M49&lt;0,"Expired",IF($M49&lt;=Config!$B$6,"&lt;="&amp;Config!$B$6,IF($M49&lt;=Config!$B$7,(Config!$B$6+1)&amp;"-"&amp;Config!$B$7,IF($M49&lt;=Config!$B$8,(Config!$B$7+1)&amp;"-"&amp;Config!$B$8,"&gt;"&amp;Config!$B$8)))))</f>
        <v/>
      </c>
      <c r="O49" s="52" t="str">
        <f>IF($M49="","",IF($M49&lt;0,0,IF($M49&lt;=Config!$B$6,1,IF($M49&lt;=Config!$B$7,2,IF($M49&lt;=Config!$B$8,3,4)))))</f>
        <v/>
      </c>
      <c r="P49" s="50" t="str">
        <f>IF($A49="","",IF($L49&lt;=0,0,IF(OR(IFERROR(INDEX(Config!$F$15:$F$34,MATCH($G49,Config!$E$15:$E$34,0)),"No")="Yes",AND(Config!$B$10="Yes",ISNUMBER($M49),$M49&lt;0)),$L49,0)))</f>
        <v/>
      </c>
      <c r="Q49" s="52" t="str">
        <f>IF($A49="","",IF(AND($L49&gt;0,ISNUMBER($M49)),IF($M49&lt;=Config!$B$8,1,0),0))</f>
        <v/>
      </c>
      <c r="R49" s="52" t="str">
        <f>IF($Q49=1,COUNTIFS($Q$2:$Q$301,1,$E$2:$E$301,"&lt;"&amp;$E49)+COUNTIFS($Q$2:$Q49,1,$E$2:$E49,$E49),"")</f>
        <v/>
      </c>
      <c r="S49" s="49" t="str">
        <f>IF(COUNTA($A49:$I49)=0,"",IF($A49="","Missing: lot",IF(COUNTIF($A$2:$A$301,$A49)&gt;1,"Duplicate lot",IF($B49="","Missing: SKU",IF(NOT(ISNUMBER($E49)),"Missing: expiry date",IF($G49="","Missing: status",IF(COUNTIF(Products!$A$2:$A$101,$B49)=0,"Unknown SKU",IF(AND($C49&lt;&gt;"",COUNTIF(Suppliers!$A$2:$A$51,$C49)=0),"Unknown supplier",IF(COUNTIF(Config!$E$15:$E$34,$G49)=0,"Unsupported status",IF($L49&lt;0,"Negative lot balance",IF(AND($G49="Closed",$L49&lt;&gt;0),"Closed lot still has stock","OK")))))))))))</f>
        <v/>
      </c>
    </row>
    <row r="50">
      <c r="A50" s="46" t="n"/>
      <c r="B50" s="46" t="n"/>
      <c r="C50" s="46" t="n"/>
      <c r="D50" s="54" t="n"/>
      <c r="E50" s="54" t="n"/>
      <c r="F50" s="48" t="n"/>
      <c r="G50" s="46" t="n"/>
      <c r="H50" s="46" t="n"/>
      <c r="I50" s="46" t="n"/>
      <c r="J50" s="49" t="str">
        <f>IF($A50="","",IFERROR(INDEX(Products!$B$2:$B$101,MATCH($B50,Products!$A$2:$A$101,0))&amp;"","(not found)"))</f>
        <v/>
      </c>
      <c r="K50" s="51" t="str">
        <f>IF($A50="","",SUMIFS(Inventory_Ledger!$M$2:$M$2001,Inventory_Ledger!$F$2:$F$2001,$A50))</f>
        <v/>
      </c>
      <c r="L50" s="51" t="str">
        <f>IF($A50="","",IF(ISNUMBER($F50),$F50,0)+$K50)</f>
        <v/>
      </c>
      <c r="M50" s="56" t="str">
        <f>IF(OR($A50="",NOT(ISNUMBER($E50))),"",$E50-Config!$B$4)</f>
        <v/>
      </c>
      <c r="N50" s="49" t="str">
        <f>IF($M50="","",IF($M50&lt;0,"Expired",IF($M50&lt;=Config!$B$6,"&lt;="&amp;Config!$B$6,IF($M50&lt;=Config!$B$7,(Config!$B$6+1)&amp;"-"&amp;Config!$B$7,IF($M50&lt;=Config!$B$8,(Config!$B$7+1)&amp;"-"&amp;Config!$B$8,"&gt;"&amp;Config!$B$8)))))</f>
        <v/>
      </c>
      <c r="O50" s="52" t="str">
        <f>IF($M50="","",IF($M50&lt;0,0,IF($M50&lt;=Config!$B$6,1,IF($M50&lt;=Config!$B$7,2,IF($M50&lt;=Config!$B$8,3,4)))))</f>
        <v/>
      </c>
      <c r="P50" s="50" t="str">
        <f>IF($A50="","",IF($L50&lt;=0,0,IF(OR(IFERROR(INDEX(Config!$F$15:$F$34,MATCH($G50,Config!$E$15:$E$34,0)),"No")="Yes",AND(Config!$B$10="Yes",ISNUMBER($M50),$M50&lt;0)),$L50,0)))</f>
        <v/>
      </c>
      <c r="Q50" s="52" t="str">
        <f>IF($A50="","",IF(AND($L50&gt;0,ISNUMBER($M50)),IF($M50&lt;=Config!$B$8,1,0),0))</f>
        <v/>
      </c>
      <c r="R50" s="52" t="str">
        <f>IF($Q50=1,COUNTIFS($Q$2:$Q$301,1,$E$2:$E$301,"&lt;"&amp;$E50)+COUNTIFS($Q$2:$Q50,1,$E$2:$E50,$E50),"")</f>
        <v/>
      </c>
      <c r="S50" s="49" t="str">
        <f>IF(COUNTA($A50:$I50)=0,"",IF($A50="","Missing: lot",IF(COUNTIF($A$2:$A$301,$A50)&gt;1,"Duplicate lot",IF($B50="","Missing: SKU",IF(NOT(ISNUMBER($E50)),"Missing: expiry date",IF($G50="","Missing: status",IF(COUNTIF(Products!$A$2:$A$101,$B50)=0,"Unknown SKU",IF(AND($C50&lt;&gt;"",COUNTIF(Suppliers!$A$2:$A$51,$C50)=0),"Unknown supplier",IF(COUNTIF(Config!$E$15:$E$34,$G50)=0,"Unsupported status",IF($L50&lt;0,"Negative lot balance",IF(AND($G50="Closed",$L50&lt;&gt;0),"Closed lot still has stock","OK")))))))))))</f>
        <v/>
      </c>
    </row>
    <row r="51">
      <c r="A51" s="46" t="n"/>
      <c r="B51" s="46" t="n"/>
      <c r="C51" s="46" t="n"/>
      <c r="D51" s="54" t="n"/>
      <c r="E51" s="54" t="n"/>
      <c r="F51" s="48" t="n"/>
      <c r="G51" s="46" t="n"/>
      <c r="H51" s="46" t="n"/>
      <c r="I51" s="46" t="n"/>
      <c r="J51" s="49" t="str">
        <f>IF($A51="","",IFERROR(INDEX(Products!$B$2:$B$101,MATCH($B51,Products!$A$2:$A$101,0))&amp;"","(not found)"))</f>
        <v/>
      </c>
      <c r="K51" s="51" t="str">
        <f>IF($A51="","",SUMIFS(Inventory_Ledger!$M$2:$M$2001,Inventory_Ledger!$F$2:$F$2001,$A51))</f>
        <v/>
      </c>
      <c r="L51" s="51" t="str">
        <f>IF($A51="","",IF(ISNUMBER($F51),$F51,0)+$K51)</f>
        <v/>
      </c>
      <c r="M51" s="56" t="str">
        <f>IF(OR($A51="",NOT(ISNUMBER($E51))),"",$E51-Config!$B$4)</f>
        <v/>
      </c>
      <c r="N51" s="49" t="str">
        <f>IF($M51="","",IF($M51&lt;0,"Expired",IF($M51&lt;=Config!$B$6,"&lt;="&amp;Config!$B$6,IF($M51&lt;=Config!$B$7,(Config!$B$6+1)&amp;"-"&amp;Config!$B$7,IF($M51&lt;=Config!$B$8,(Config!$B$7+1)&amp;"-"&amp;Config!$B$8,"&gt;"&amp;Config!$B$8)))))</f>
        <v/>
      </c>
      <c r="O51" s="52" t="str">
        <f>IF($M51="","",IF($M51&lt;0,0,IF($M51&lt;=Config!$B$6,1,IF($M51&lt;=Config!$B$7,2,IF($M51&lt;=Config!$B$8,3,4)))))</f>
        <v/>
      </c>
      <c r="P51" s="50" t="str">
        <f>IF($A51="","",IF($L51&lt;=0,0,IF(OR(IFERROR(INDEX(Config!$F$15:$F$34,MATCH($G51,Config!$E$15:$E$34,0)),"No")="Yes",AND(Config!$B$10="Yes",ISNUMBER($M51),$M51&lt;0)),$L51,0)))</f>
        <v/>
      </c>
      <c r="Q51" s="52" t="str">
        <f>IF($A51="","",IF(AND($L51&gt;0,ISNUMBER($M51)),IF($M51&lt;=Config!$B$8,1,0),0))</f>
        <v/>
      </c>
      <c r="R51" s="52" t="str">
        <f>IF($Q51=1,COUNTIFS($Q$2:$Q$301,1,$E$2:$E$301,"&lt;"&amp;$E51)+COUNTIFS($Q$2:$Q51,1,$E$2:$E51,$E51),"")</f>
        <v/>
      </c>
      <c r="S51" s="49" t="str">
        <f>IF(COUNTA($A51:$I51)=0,"",IF($A51="","Missing: lot",IF(COUNTIF($A$2:$A$301,$A51)&gt;1,"Duplicate lot",IF($B51="","Missing: SKU",IF(NOT(ISNUMBER($E51)),"Missing: expiry date",IF($G51="","Missing: status",IF(COUNTIF(Products!$A$2:$A$101,$B51)=0,"Unknown SKU",IF(AND($C51&lt;&gt;"",COUNTIF(Suppliers!$A$2:$A$51,$C51)=0),"Unknown supplier",IF(COUNTIF(Config!$E$15:$E$34,$G51)=0,"Unsupported status",IF($L51&lt;0,"Negative lot balance",IF(AND($G51="Closed",$L51&lt;&gt;0),"Closed lot still has stock","OK")))))))))))</f>
        <v/>
      </c>
    </row>
    <row r="52">
      <c r="A52" s="46" t="n"/>
      <c r="B52" s="46" t="n"/>
      <c r="C52" s="46" t="n"/>
      <c r="D52" s="54" t="n"/>
      <c r="E52" s="54" t="n"/>
      <c r="F52" s="48" t="n"/>
      <c r="G52" s="46" t="n"/>
      <c r="H52" s="46" t="n"/>
      <c r="I52" s="46" t="n"/>
      <c r="J52" s="49" t="str">
        <f>IF($A52="","",IFERROR(INDEX(Products!$B$2:$B$101,MATCH($B52,Products!$A$2:$A$101,0))&amp;"","(not found)"))</f>
        <v/>
      </c>
      <c r="K52" s="51" t="str">
        <f>IF($A52="","",SUMIFS(Inventory_Ledger!$M$2:$M$2001,Inventory_Ledger!$F$2:$F$2001,$A52))</f>
        <v/>
      </c>
      <c r="L52" s="51" t="str">
        <f>IF($A52="","",IF(ISNUMBER($F52),$F52,0)+$K52)</f>
        <v/>
      </c>
      <c r="M52" s="56" t="str">
        <f>IF(OR($A52="",NOT(ISNUMBER($E52))),"",$E52-Config!$B$4)</f>
        <v/>
      </c>
      <c r="N52" s="49" t="str">
        <f>IF($M52="","",IF($M52&lt;0,"Expired",IF($M52&lt;=Config!$B$6,"&lt;="&amp;Config!$B$6,IF($M52&lt;=Config!$B$7,(Config!$B$6+1)&amp;"-"&amp;Config!$B$7,IF($M52&lt;=Config!$B$8,(Config!$B$7+1)&amp;"-"&amp;Config!$B$8,"&gt;"&amp;Config!$B$8)))))</f>
        <v/>
      </c>
      <c r="O52" s="52" t="str">
        <f>IF($M52="","",IF($M52&lt;0,0,IF($M52&lt;=Config!$B$6,1,IF($M52&lt;=Config!$B$7,2,IF($M52&lt;=Config!$B$8,3,4)))))</f>
        <v/>
      </c>
      <c r="P52" s="50" t="str">
        <f>IF($A52="","",IF($L52&lt;=0,0,IF(OR(IFERROR(INDEX(Config!$F$15:$F$34,MATCH($G52,Config!$E$15:$E$34,0)),"No")="Yes",AND(Config!$B$10="Yes",ISNUMBER($M52),$M52&lt;0)),$L52,0)))</f>
        <v/>
      </c>
      <c r="Q52" s="52" t="str">
        <f>IF($A52="","",IF(AND($L52&gt;0,ISNUMBER($M52)),IF($M52&lt;=Config!$B$8,1,0),0))</f>
        <v/>
      </c>
      <c r="R52" s="52" t="str">
        <f>IF($Q52=1,COUNTIFS($Q$2:$Q$301,1,$E$2:$E$301,"&lt;"&amp;$E52)+COUNTIFS($Q$2:$Q52,1,$E$2:$E52,$E52),"")</f>
        <v/>
      </c>
      <c r="S52" s="49" t="str">
        <f>IF(COUNTA($A52:$I52)=0,"",IF($A52="","Missing: lot",IF(COUNTIF($A$2:$A$301,$A52)&gt;1,"Duplicate lot",IF($B52="","Missing: SKU",IF(NOT(ISNUMBER($E52)),"Missing: expiry date",IF($G52="","Missing: status",IF(COUNTIF(Products!$A$2:$A$101,$B52)=0,"Unknown SKU",IF(AND($C52&lt;&gt;"",COUNTIF(Suppliers!$A$2:$A$51,$C52)=0),"Unknown supplier",IF(COUNTIF(Config!$E$15:$E$34,$G52)=0,"Unsupported status",IF($L52&lt;0,"Negative lot balance",IF(AND($G52="Closed",$L52&lt;&gt;0),"Closed lot still has stock","OK")))))))))))</f>
        <v/>
      </c>
    </row>
    <row r="53">
      <c r="A53" s="46" t="n"/>
      <c r="B53" s="46" t="n"/>
      <c r="C53" s="46" t="n"/>
      <c r="D53" s="54" t="n"/>
      <c r="E53" s="54" t="n"/>
      <c r="F53" s="48" t="n"/>
      <c r="G53" s="46" t="n"/>
      <c r="H53" s="46" t="n"/>
      <c r="I53" s="46" t="n"/>
      <c r="J53" s="49" t="str">
        <f>IF($A53="","",IFERROR(INDEX(Products!$B$2:$B$101,MATCH($B53,Products!$A$2:$A$101,0))&amp;"","(not found)"))</f>
        <v/>
      </c>
      <c r="K53" s="51" t="str">
        <f>IF($A53="","",SUMIFS(Inventory_Ledger!$M$2:$M$2001,Inventory_Ledger!$F$2:$F$2001,$A53))</f>
        <v/>
      </c>
      <c r="L53" s="51" t="str">
        <f>IF($A53="","",IF(ISNUMBER($F53),$F53,0)+$K53)</f>
        <v/>
      </c>
      <c r="M53" s="56" t="str">
        <f>IF(OR($A53="",NOT(ISNUMBER($E53))),"",$E53-Config!$B$4)</f>
        <v/>
      </c>
      <c r="N53" s="49" t="str">
        <f>IF($M53="","",IF($M53&lt;0,"Expired",IF($M53&lt;=Config!$B$6,"&lt;="&amp;Config!$B$6,IF($M53&lt;=Config!$B$7,(Config!$B$6+1)&amp;"-"&amp;Config!$B$7,IF($M53&lt;=Config!$B$8,(Config!$B$7+1)&amp;"-"&amp;Config!$B$8,"&gt;"&amp;Config!$B$8)))))</f>
        <v/>
      </c>
      <c r="O53" s="52" t="str">
        <f>IF($M53="","",IF($M53&lt;0,0,IF($M53&lt;=Config!$B$6,1,IF($M53&lt;=Config!$B$7,2,IF($M53&lt;=Config!$B$8,3,4)))))</f>
        <v/>
      </c>
      <c r="P53" s="50" t="str">
        <f>IF($A53="","",IF($L53&lt;=0,0,IF(OR(IFERROR(INDEX(Config!$F$15:$F$34,MATCH($G53,Config!$E$15:$E$34,0)),"No")="Yes",AND(Config!$B$10="Yes",ISNUMBER($M53),$M53&lt;0)),$L53,0)))</f>
        <v/>
      </c>
      <c r="Q53" s="52" t="str">
        <f>IF($A53="","",IF(AND($L53&gt;0,ISNUMBER($M53)),IF($M53&lt;=Config!$B$8,1,0),0))</f>
        <v/>
      </c>
      <c r="R53" s="52" t="str">
        <f>IF($Q53=1,COUNTIFS($Q$2:$Q$301,1,$E$2:$E$301,"&lt;"&amp;$E53)+COUNTIFS($Q$2:$Q53,1,$E$2:$E53,$E53),"")</f>
        <v/>
      </c>
      <c r="S53" s="49" t="str">
        <f>IF(COUNTA($A53:$I53)=0,"",IF($A53="","Missing: lot",IF(COUNTIF($A$2:$A$301,$A53)&gt;1,"Duplicate lot",IF($B53="","Missing: SKU",IF(NOT(ISNUMBER($E53)),"Missing: expiry date",IF($G53="","Missing: status",IF(COUNTIF(Products!$A$2:$A$101,$B53)=0,"Unknown SKU",IF(AND($C53&lt;&gt;"",COUNTIF(Suppliers!$A$2:$A$51,$C53)=0),"Unknown supplier",IF(COUNTIF(Config!$E$15:$E$34,$G53)=0,"Unsupported status",IF($L53&lt;0,"Negative lot balance",IF(AND($G53="Closed",$L53&lt;&gt;0),"Closed lot still has stock","OK")))))))))))</f>
        <v/>
      </c>
    </row>
    <row r="54">
      <c r="A54" s="46" t="n"/>
      <c r="B54" s="46" t="n"/>
      <c r="C54" s="46" t="n"/>
      <c r="D54" s="54" t="n"/>
      <c r="E54" s="54" t="n"/>
      <c r="F54" s="48" t="n"/>
      <c r="G54" s="46" t="n"/>
      <c r="H54" s="46" t="n"/>
      <c r="I54" s="46" t="n"/>
      <c r="J54" s="49" t="str">
        <f>IF($A54="","",IFERROR(INDEX(Products!$B$2:$B$101,MATCH($B54,Products!$A$2:$A$101,0))&amp;"","(not found)"))</f>
        <v/>
      </c>
      <c r="K54" s="51" t="str">
        <f>IF($A54="","",SUMIFS(Inventory_Ledger!$M$2:$M$2001,Inventory_Ledger!$F$2:$F$2001,$A54))</f>
        <v/>
      </c>
      <c r="L54" s="51" t="str">
        <f>IF($A54="","",IF(ISNUMBER($F54),$F54,0)+$K54)</f>
        <v/>
      </c>
      <c r="M54" s="56" t="str">
        <f>IF(OR($A54="",NOT(ISNUMBER($E54))),"",$E54-Config!$B$4)</f>
        <v/>
      </c>
      <c r="N54" s="49" t="str">
        <f>IF($M54="","",IF($M54&lt;0,"Expired",IF($M54&lt;=Config!$B$6,"&lt;="&amp;Config!$B$6,IF($M54&lt;=Config!$B$7,(Config!$B$6+1)&amp;"-"&amp;Config!$B$7,IF($M54&lt;=Config!$B$8,(Config!$B$7+1)&amp;"-"&amp;Config!$B$8,"&gt;"&amp;Config!$B$8)))))</f>
        <v/>
      </c>
      <c r="O54" s="52" t="str">
        <f>IF($M54="","",IF($M54&lt;0,0,IF($M54&lt;=Config!$B$6,1,IF($M54&lt;=Config!$B$7,2,IF($M54&lt;=Config!$B$8,3,4)))))</f>
        <v/>
      </c>
      <c r="P54" s="50" t="str">
        <f>IF($A54="","",IF($L54&lt;=0,0,IF(OR(IFERROR(INDEX(Config!$F$15:$F$34,MATCH($G54,Config!$E$15:$E$34,0)),"No")="Yes",AND(Config!$B$10="Yes",ISNUMBER($M54),$M54&lt;0)),$L54,0)))</f>
        <v/>
      </c>
      <c r="Q54" s="52" t="str">
        <f>IF($A54="","",IF(AND($L54&gt;0,ISNUMBER($M54)),IF($M54&lt;=Config!$B$8,1,0),0))</f>
        <v/>
      </c>
      <c r="R54" s="52" t="str">
        <f>IF($Q54=1,COUNTIFS($Q$2:$Q$301,1,$E$2:$E$301,"&lt;"&amp;$E54)+COUNTIFS($Q$2:$Q54,1,$E$2:$E54,$E54),"")</f>
        <v/>
      </c>
      <c r="S54" s="49" t="str">
        <f>IF(COUNTA($A54:$I54)=0,"",IF($A54="","Missing: lot",IF(COUNTIF($A$2:$A$301,$A54)&gt;1,"Duplicate lot",IF($B54="","Missing: SKU",IF(NOT(ISNUMBER($E54)),"Missing: expiry date",IF($G54="","Missing: status",IF(COUNTIF(Products!$A$2:$A$101,$B54)=0,"Unknown SKU",IF(AND($C54&lt;&gt;"",COUNTIF(Suppliers!$A$2:$A$51,$C54)=0),"Unknown supplier",IF(COUNTIF(Config!$E$15:$E$34,$G54)=0,"Unsupported status",IF($L54&lt;0,"Negative lot balance",IF(AND($G54="Closed",$L54&lt;&gt;0),"Closed lot still has stock","OK")))))))))))</f>
        <v/>
      </c>
    </row>
    <row r="55">
      <c r="A55" s="46" t="n"/>
      <c r="B55" s="46" t="n"/>
      <c r="C55" s="46" t="n"/>
      <c r="D55" s="54" t="n"/>
      <c r="E55" s="54" t="n"/>
      <c r="F55" s="48" t="n"/>
      <c r="G55" s="46" t="n"/>
      <c r="H55" s="46" t="n"/>
      <c r="I55" s="46" t="n"/>
      <c r="J55" s="49" t="str">
        <f>IF($A55="","",IFERROR(INDEX(Products!$B$2:$B$101,MATCH($B55,Products!$A$2:$A$101,0))&amp;"","(not found)"))</f>
        <v/>
      </c>
      <c r="K55" s="51" t="str">
        <f>IF($A55="","",SUMIFS(Inventory_Ledger!$M$2:$M$2001,Inventory_Ledger!$F$2:$F$2001,$A55))</f>
        <v/>
      </c>
      <c r="L55" s="51" t="str">
        <f>IF($A55="","",IF(ISNUMBER($F55),$F55,0)+$K55)</f>
        <v/>
      </c>
      <c r="M55" s="56" t="str">
        <f>IF(OR($A55="",NOT(ISNUMBER($E55))),"",$E55-Config!$B$4)</f>
        <v/>
      </c>
      <c r="N55" s="49" t="str">
        <f>IF($M55="","",IF($M55&lt;0,"Expired",IF($M55&lt;=Config!$B$6,"&lt;="&amp;Config!$B$6,IF($M55&lt;=Config!$B$7,(Config!$B$6+1)&amp;"-"&amp;Config!$B$7,IF($M55&lt;=Config!$B$8,(Config!$B$7+1)&amp;"-"&amp;Config!$B$8,"&gt;"&amp;Config!$B$8)))))</f>
        <v/>
      </c>
      <c r="O55" s="52" t="str">
        <f>IF($M55="","",IF($M55&lt;0,0,IF($M55&lt;=Config!$B$6,1,IF($M55&lt;=Config!$B$7,2,IF($M55&lt;=Config!$B$8,3,4)))))</f>
        <v/>
      </c>
      <c r="P55" s="50" t="str">
        <f>IF($A55="","",IF($L55&lt;=0,0,IF(OR(IFERROR(INDEX(Config!$F$15:$F$34,MATCH($G55,Config!$E$15:$E$34,0)),"No")="Yes",AND(Config!$B$10="Yes",ISNUMBER($M55),$M55&lt;0)),$L55,0)))</f>
        <v/>
      </c>
      <c r="Q55" s="52" t="str">
        <f>IF($A55="","",IF(AND($L55&gt;0,ISNUMBER($M55)),IF($M55&lt;=Config!$B$8,1,0),0))</f>
        <v/>
      </c>
      <c r="R55" s="52" t="str">
        <f>IF($Q55=1,COUNTIFS($Q$2:$Q$301,1,$E$2:$E$301,"&lt;"&amp;$E55)+COUNTIFS($Q$2:$Q55,1,$E$2:$E55,$E55),"")</f>
        <v/>
      </c>
      <c r="S55" s="49" t="str">
        <f>IF(COUNTA($A55:$I55)=0,"",IF($A55="","Missing: lot",IF(COUNTIF($A$2:$A$301,$A55)&gt;1,"Duplicate lot",IF($B55="","Missing: SKU",IF(NOT(ISNUMBER($E55)),"Missing: expiry date",IF($G55="","Missing: status",IF(COUNTIF(Products!$A$2:$A$101,$B55)=0,"Unknown SKU",IF(AND($C55&lt;&gt;"",COUNTIF(Suppliers!$A$2:$A$51,$C55)=0),"Unknown supplier",IF(COUNTIF(Config!$E$15:$E$34,$G55)=0,"Unsupported status",IF($L55&lt;0,"Negative lot balance",IF(AND($G55="Closed",$L55&lt;&gt;0),"Closed lot still has stock","OK")))))))))))</f>
        <v/>
      </c>
    </row>
    <row r="56">
      <c r="A56" s="46" t="n"/>
      <c r="B56" s="46" t="n"/>
      <c r="C56" s="46" t="n"/>
      <c r="D56" s="54" t="n"/>
      <c r="E56" s="54" t="n"/>
      <c r="F56" s="48" t="n"/>
      <c r="G56" s="46" t="n"/>
      <c r="H56" s="46" t="n"/>
      <c r="I56" s="46" t="n"/>
      <c r="J56" s="49" t="str">
        <f>IF($A56="","",IFERROR(INDEX(Products!$B$2:$B$101,MATCH($B56,Products!$A$2:$A$101,0))&amp;"","(not found)"))</f>
        <v/>
      </c>
      <c r="K56" s="51" t="str">
        <f>IF($A56="","",SUMIFS(Inventory_Ledger!$M$2:$M$2001,Inventory_Ledger!$F$2:$F$2001,$A56))</f>
        <v/>
      </c>
      <c r="L56" s="51" t="str">
        <f>IF($A56="","",IF(ISNUMBER($F56),$F56,0)+$K56)</f>
        <v/>
      </c>
      <c r="M56" s="56" t="str">
        <f>IF(OR($A56="",NOT(ISNUMBER($E56))),"",$E56-Config!$B$4)</f>
        <v/>
      </c>
      <c r="N56" s="49" t="str">
        <f>IF($M56="","",IF($M56&lt;0,"Expired",IF($M56&lt;=Config!$B$6,"&lt;="&amp;Config!$B$6,IF($M56&lt;=Config!$B$7,(Config!$B$6+1)&amp;"-"&amp;Config!$B$7,IF($M56&lt;=Config!$B$8,(Config!$B$7+1)&amp;"-"&amp;Config!$B$8,"&gt;"&amp;Config!$B$8)))))</f>
        <v/>
      </c>
      <c r="O56" s="52" t="str">
        <f>IF($M56="","",IF($M56&lt;0,0,IF($M56&lt;=Config!$B$6,1,IF($M56&lt;=Config!$B$7,2,IF($M56&lt;=Config!$B$8,3,4)))))</f>
        <v/>
      </c>
      <c r="P56" s="50" t="str">
        <f>IF($A56="","",IF($L56&lt;=0,0,IF(OR(IFERROR(INDEX(Config!$F$15:$F$34,MATCH($G56,Config!$E$15:$E$34,0)),"No")="Yes",AND(Config!$B$10="Yes",ISNUMBER($M56),$M56&lt;0)),$L56,0)))</f>
        <v/>
      </c>
      <c r="Q56" s="52" t="str">
        <f>IF($A56="","",IF(AND($L56&gt;0,ISNUMBER($M56)),IF($M56&lt;=Config!$B$8,1,0),0))</f>
        <v/>
      </c>
      <c r="R56" s="52" t="str">
        <f>IF($Q56=1,COUNTIFS($Q$2:$Q$301,1,$E$2:$E$301,"&lt;"&amp;$E56)+COUNTIFS($Q$2:$Q56,1,$E$2:$E56,$E56),"")</f>
        <v/>
      </c>
      <c r="S56" s="49" t="str">
        <f>IF(COUNTA($A56:$I56)=0,"",IF($A56="","Missing: lot",IF(COUNTIF($A$2:$A$301,$A56)&gt;1,"Duplicate lot",IF($B56="","Missing: SKU",IF(NOT(ISNUMBER($E56)),"Missing: expiry date",IF($G56="","Missing: status",IF(COUNTIF(Products!$A$2:$A$101,$B56)=0,"Unknown SKU",IF(AND($C56&lt;&gt;"",COUNTIF(Suppliers!$A$2:$A$51,$C56)=0),"Unknown supplier",IF(COUNTIF(Config!$E$15:$E$34,$G56)=0,"Unsupported status",IF($L56&lt;0,"Negative lot balance",IF(AND($G56="Closed",$L56&lt;&gt;0),"Closed lot still has stock","OK")))))))))))</f>
        <v/>
      </c>
    </row>
    <row r="57">
      <c r="A57" s="46" t="n"/>
      <c r="B57" s="46" t="n"/>
      <c r="C57" s="46" t="n"/>
      <c r="D57" s="54" t="n"/>
      <c r="E57" s="54" t="n"/>
      <c r="F57" s="48" t="n"/>
      <c r="G57" s="46" t="n"/>
      <c r="H57" s="46" t="n"/>
      <c r="I57" s="46" t="n"/>
      <c r="J57" s="49" t="str">
        <f>IF($A57="","",IFERROR(INDEX(Products!$B$2:$B$101,MATCH($B57,Products!$A$2:$A$101,0))&amp;"","(not found)"))</f>
        <v/>
      </c>
      <c r="K57" s="51" t="str">
        <f>IF($A57="","",SUMIFS(Inventory_Ledger!$M$2:$M$2001,Inventory_Ledger!$F$2:$F$2001,$A57))</f>
        <v/>
      </c>
      <c r="L57" s="51" t="str">
        <f>IF($A57="","",IF(ISNUMBER($F57),$F57,0)+$K57)</f>
        <v/>
      </c>
      <c r="M57" s="56" t="str">
        <f>IF(OR($A57="",NOT(ISNUMBER($E57))),"",$E57-Config!$B$4)</f>
        <v/>
      </c>
      <c r="N57" s="49" t="str">
        <f>IF($M57="","",IF($M57&lt;0,"Expired",IF($M57&lt;=Config!$B$6,"&lt;="&amp;Config!$B$6,IF($M57&lt;=Config!$B$7,(Config!$B$6+1)&amp;"-"&amp;Config!$B$7,IF($M57&lt;=Config!$B$8,(Config!$B$7+1)&amp;"-"&amp;Config!$B$8,"&gt;"&amp;Config!$B$8)))))</f>
        <v/>
      </c>
      <c r="O57" s="52" t="str">
        <f>IF($M57="","",IF($M57&lt;0,0,IF($M57&lt;=Config!$B$6,1,IF($M57&lt;=Config!$B$7,2,IF($M57&lt;=Config!$B$8,3,4)))))</f>
        <v/>
      </c>
      <c r="P57" s="50" t="str">
        <f>IF($A57="","",IF($L57&lt;=0,0,IF(OR(IFERROR(INDEX(Config!$F$15:$F$34,MATCH($G57,Config!$E$15:$E$34,0)),"No")="Yes",AND(Config!$B$10="Yes",ISNUMBER($M57),$M57&lt;0)),$L57,0)))</f>
        <v/>
      </c>
      <c r="Q57" s="52" t="str">
        <f>IF($A57="","",IF(AND($L57&gt;0,ISNUMBER($M57)),IF($M57&lt;=Config!$B$8,1,0),0))</f>
        <v/>
      </c>
      <c r="R57" s="52" t="str">
        <f>IF($Q57=1,COUNTIFS($Q$2:$Q$301,1,$E$2:$E$301,"&lt;"&amp;$E57)+COUNTIFS($Q$2:$Q57,1,$E$2:$E57,$E57),"")</f>
        <v/>
      </c>
      <c r="S57" s="49" t="str">
        <f>IF(COUNTA($A57:$I57)=0,"",IF($A57="","Missing: lot",IF(COUNTIF($A$2:$A$301,$A57)&gt;1,"Duplicate lot",IF($B57="","Missing: SKU",IF(NOT(ISNUMBER($E57)),"Missing: expiry date",IF($G57="","Missing: status",IF(COUNTIF(Products!$A$2:$A$101,$B57)=0,"Unknown SKU",IF(AND($C57&lt;&gt;"",COUNTIF(Suppliers!$A$2:$A$51,$C57)=0),"Unknown supplier",IF(COUNTIF(Config!$E$15:$E$34,$G57)=0,"Unsupported status",IF($L57&lt;0,"Negative lot balance",IF(AND($G57="Closed",$L57&lt;&gt;0),"Closed lot still has stock","OK")))))))))))</f>
        <v/>
      </c>
    </row>
    <row r="58">
      <c r="A58" s="46" t="n"/>
      <c r="B58" s="46" t="n"/>
      <c r="C58" s="46" t="n"/>
      <c r="D58" s="54" t="n"/>
      <c r="E58" s="54" t="n"/>
      <c r="F58" s="48" t="n"/>
      <c r="G58" s="46" t="n"/>
      <c r="H58" s="46" t="n"/>
      <c r="I58" s="46" t="n"/>
      <c r="J58" s="49" t="str">
        <f>IF($A58="","",IFERROR(INDEX(Products!$B$2:$B$101,MATCH($B58,Products!$A$2:$A$101,0))&amp;"","(not found)"))</f>
        <v/>
      </c>
      <c r="K58" s="51" t="str">
        <f>IF($A58="","",SUMIFS(Inventory_Ledger!$M$2:$M$2001,Inventory_Ledger!$F$2:$F$2001,$A58))</f>
        <v/>
      </c>
      <c r="L58" s="51" t="str">
        <f>IF($A58="","",IF(ISNUMBER($F58),$F58,0)+$K58)</f>
        <v/>
      </c>
      <c r="M58" s="56" t="str">
        <f>IF(OR($A58="",NOT(ISNUMBER($E58))),"",$E58-Config!$B$4)</f>
        <v/>
      </c>
      <c r="N58" s="49" t="str">
        <f>IF($M58="","",IF($M58&lt;0,"Expired",IF($M58&lt;=Config!$B$6,"&lt;="&amp;Config!$B$6,IF($M58&lt;=Config!$B$7,(Config!$B$6+1)&amp;"-"&amp;Config!$B$7,IF($M58&lt;=Config!$B$8,(Config!$B$7+1)&amp;"-"&amp;Config!$B$8,"&gt;"&amp;Config!$B$8)))))</f>
        <v/>
      </c>
      <c r="O58" s="52" t="str">
        <f>IF($M58="","",IF($M58&lt;0,0,IF($M58&lt;=Config!$B$6,1,IF($M58&lt;=Config!$B$7,2,IF($M58&lt;=Config!$B$8,3,4)))))</f>
        <v/>
      </c>
      <c r="P58" s="50" t="str">
        <f>IF($A58="","",IF($L58&lt;=0,0,IF(OR(IFERROR(INDEX(Config!$F$15:$F$34,MATCH($G58,Config!$E$15:$E$34,0)),"No")="Yes",AND(Config!$B$10="Yes",ISNUMBER($M58),$M58&lt;0)),$L58,0)))</f>
        <v/>
      </c>
      <c r="Q58" s="52" t="str">
        <f>IF($A58="","",IF(AND($L58&gt;0,ISNUMBER($M58)),IF($M58&lt;=Config!$B$8,1,0),0))</f>
        <v/>
      </c>
      <c r="R58" s="52" t="str">
        <f>IF($Q58=1,COUNTIFS($Q$2:$Q$301,1,$E$2:$E$301,"&lt;"&amp;$E58)+COUNTIFS($Q$2:$Q58,1,$E$2:$E58,$E58),"")</f>
        <v/>
      </c>
      <c r="S58" s="49" t="str">
        <f>IF(COUNTA($A58:$I58)=0,"",IF($A58="","Missing: lot",IF(COUNTIF($A$2:$A$301,$A58)&gt;1,"Duplicate lot",IF($B58="","Missing: SKU",IF(NOT(ISNUMBER($E58)),"Missing: expiry date",IF($G58="","Missing: status",IF(COUNTIF(Products!$A$2:$A$101,$B58)=0,"Unknown SKU",IF(AND($C58&lt;&gt;"",COUNTIF(Suppliers!$A$2:$A$51,$C58)=0),"Unknown supplier",IF(COUNTIF(Config!$E$15:$E$34,$G58)=0,"Unsupported status",IF($L58&lt;0,"Negative lot balance",IF(AND($G58="Closed",$L58&lt;&gt;0),"Closed lot still has stock","OK")))))))))))</f>
        <v/>
      </c>
    </row>
    <row r="59">
      <c r="A59" s="46" t="n"/>
      <c r="B59" s="46" t="n"/>
      <c r="C59" s="46" t="n"/>
      <c r="D59" s="54" t="n"/>
      <c r="E59" s="54" t="n"/>
      <c r="F59" s="48" t="n"/>
      <c r="G59" s="46" t="n"/>
      <c r="H59" s="46" t="n"/>
      <c r="I59" s="46" t="n"/>
      <c r="J59" s="49" t="str">
        <f>IF($A59="","",IFERROR(INDEX(Products!$B$2:$B$101,MATCH($B59,Products!$A$2:$A$101,0))&amp;"","(not found)"))</f>
        <v/>
      </c>
      <c r="K59" s="51" t="str">
        <f>IF($A59="","",SUMIFS(Inventory_Ledger!$M$2:$M$2001,Inventory_Ledger!$F$2:$F$2001,$A59))</f>
        <v/>
      </c>
      <c r="L59" s="51" t="str">
        <f>IF($A59="","",IF(ISNUMBER($F59),$F59,0)+$K59)</f>
        <v/>
      </c>
      <c r="M59" s="56" t="str">
        <f>IF(OR($A59="",NOT(ISNUMBER($E59))),"",$E59-Config!$B$4)</f>
        <v/>
      </c>
      <c r="N59" s="49" t="str">
        <f>IF($M59="","",IF($M59&lt;0,"Expired",IF($M59&lt;=Config!$B$6,"&lt;="&amp;Config!$B$6,IF($M59&lt;=Config!$B$7,(Config!$B$6+1)&amp;"-"&amp;Config!$B$7,IF($M59&lt;=Config!$B$8,(Config!$B$7+1)&amp;"-"&amp;Config!$B$8,"&gt;"&amp;Config!$B$8)))))</f>
        <v/>
      </c>
      <c r="O59" s="52" t="str">
        <f>IF($M59="","",IF($M59&lt;0,0,IF($M59&lt;=Config!$B$6,1,IF($M59&lt;=Config!$B$7,2,IF($M59&lt;=Config!$B$8,3,4)))))</f>
        <v/>
      </c>
      <c r="P59" s="50" t="str">
        <f>IF($A59="","",IF($L59&lt;=0,0,IF(OR(IFERROR(INDEX(Config!$F$15:$F$34,MATCH($G59,Config!$E$15:$E$34,0)),"No")="Yes",AND(Config!$B$10="Yes",ISNUMBER($M59),$M59&lt;0)),$L59,0)))</f>
        <v/>
      </c>
      <c r="Q59" s="52" t="str">
        <f>IF($A59="","",IF(AND($L59&gt;0,ISNUMBER($M59)),IF($M59&lt;=Config!$B$8,1,0),0))</f>
        <v/>
      </c>
      <c r="R59" s="52" t="str">
        <f>IF($Q59=1,COUNTIFS($Q$2:$Q$301,1,$E$2:$E$301,"&lt;"&amp;$E59)+COUNTIFS($Q$2:$Q59,1,$E$2:$E59,$E59),"")</f>
        <v/>
      </c>
      <c r="S59" s="49" t="str">
        <f>IF(COUNTA($A59:$I59)=0,"",IF($A59="","Missing: lot",IF(COUNTIF($A$2:$A$301,$A59)&gt;1,"Duplicate lot",IF($B59="","Missing: SKU",IF(NOT(ISNUMBER($E59)),"Missing: expiry date",IF($G59="","Missing: status",IF(COUNTIF(Products!$A$2:$A$101,$B59)=0,"Unknown SKU",IF(AND($C59&lt;&gt;"",COUNTIF(Suppliers!$A$2:$A$51,$C59)=0),"Unknown supplier",IF(COUNTIF(Config!$E$15:$E$34,$G59)=0,"Unsupported status",IF($L59&lt;0,"Negative lot balance",IF(AND($G59="Closed",$L59&lt;&gt;0),"Closed lot still has stock","OK")))))))))))</f>
        <v/>
      </c>
    </row>
    <row r="60">
      <c r="A60" s="46" t="n"/>
      <c r="B60" s="46" t="n"/>
      <c r="C60" s="46" t="n"/>
      <c r="D60" s="54" t="n"/>
      <c r="E60" s="54" t="n"/>
      <c r="F60" s="48" t="n"/>
      <c r="G60" s="46" t="n"/>
      <c r="H60" s="46" t="n"/>
      <c r="I60" s="46" t="n"/>
      <c r="J60" s="49" t="str">
        <f>IF($A60="","",IFERROR(INDEX(Products!$B$2:$B$101,MATCH($B60,Products!$A$2:$A$101,0))&amp;"","(not found)"))</f>
        <v/>
      </c>
      <c r="K60" s="51" t="str">
        <f>IF($A60="","",SUMIFS(Inventory_Ledger!$M$2:$M$2001,Inventory_Ledger!$F$2:$F$2001,$A60))</f>
        <v/>
      </c>
      <c r="L60" s="51" t="str">
        <f>IF($A60="","",IF(ISNUMBER($F60),$F60,0)+$K60)</f>
        <v/>
      </c>
      <c r="M60" s="56" t="str">
        <f>IF(OR($A60="",NOT(ISNUMBER($E60))),"",$E60-Config!$B$4)</f>
        <v/>
      </c>
      <c r="N60" s="49" t="str">
        <f>IF($M60="","",IF($M60&lt;0,"Expired",IF($M60&lt;=Config!$B$6,"&lt;="&amp;Config!$B$6,IF($M60&lt;=Config!$B$7,(Config!$B$6+1)&amp;"-"&amp;Config!$B$7,IF($M60&lt;=Config!$B$8,(Config!$B$7+1)&amp;"-"&amp;Config!$B$8,"&gt;"&amp;Config!$B$8)))))</f>
        <v/>
      </c>
      <c r="O60" s="52" t="str">
        <f>IF($M60="","",IF($M60&lt;0,0,IF($M60&lt;=Config!$B$6,1,IF($M60&lt;=Config!$B$7,2,IF($M60&lt;=Config!$B$8,3,4)))))</f>
        <v/>
      </c>
      <c r="P60" s="50" t="str">
        <f>IF($A60="","",IF($L60&lt;=0,0,IF(OR(IFERROR(INDEX(Config!$F$15:$F$34,MATCH($G60,Config!$E$15:$E$34,0)),"No")="Yes",AND(Config!$B$10="Yes",ISNUMBER($M60),$M60&lt;0)),$L60,0)))</f>
        <v/>
      </c>
      <c r="Q60" s="52" t="str">
        <f>IF($A60="","",IF(AND($L60&gt;0,ISNUMBER($M60)),IF($M60&lt;=Config!$B$8,1,0),0))</f>
        <v/>
      </c>
      <c r="R60" s="52" t="str">
        <f>IF($Q60=1,COUNTIFS($Q$2:$Q$301,1,$E$2:$E$301,"&lt;"&amp;$E60)+COUNTIFS($Q$2:$Q60,1,$E$2:$E60,$E60),"")</f>
        <v/>
      </c>
      <c r="S60" s="49" t="str">
        <f>IF(COUNTA($A60:$I60)=0,"",IF($A60="","Missing: lot",IF(COUNTIF($A$2:$A$301,$A60)&gt;1,"Duplicate lot",IF($B60="","Missing: SKU",IF(NOT(ISNUMBER($E60)),"Missing: expiry date",IF($G60="","Missing: status",IF(COUNTIF(Products!$A$2:$A$101,$B60)=0,"Unknown SKU",IF(AND($C60&lt;&gt;"",COUNTIF(Suppliers!$A$2:$A$51,$C60)=0),"Unknown supplier",IF(COUNTIF(Config!$E$15:$E$34,$G60)=0,"Unsupported status",IF($L60&lt;0,"Negative lot balance",IF(AND($G60="Closed",$L60&lt;&gt;0),"Closed lot still has stock","OK")))))))))))</f>
        <v/>
      </c>
    </row>
    <row r="61">
      <c r="A61" s="46" t="n"/>
      <c r="B61" s="46" t="n"/>
      <c r="C61" s="46" t="n"/>
      <c r="D61" s="54" t="n"/>
      <c r="E61" s="54" t="n"/>
      <c r="F61" s="48" t="n"/>
      <c r="G61" s="46" t="n"/>
      <c r="H61" s="46" t="n"/>
      <c r="I61" s="46" t="n"/>
      <c r="J61" s="49" t="str">
        <f>IF($A61="","",IFERROR(INDEX(Products!$B$2:$B$101,MATCH($B61,Products!$A$2:$A$101,0))&amp;"","(not found)"))</f>
        <v/>
      </c>
      <c r="K61" s="51" t="str">
        <f>IF($A61="","",SUMIFS(Inventory_Ledger!$M$2:$M$2001,Inventory_Ledger!$F$2:$F$2001,$A61))</f>
        <v/>
      </c>
      <c r="L61" s="51" t="str">
        <f>IF($A61="","",IF(ISNUMBER($F61),$F61,0)+$K61)</f>
        <v/>
      </c>
      <c r="M61" s="56" t="str">
        <f>IF(OR($A61="",NOT(ISNUMBER($E61))),"",$E61-Config!$B$4)</f>
        <v/>
      </c>
      <c r="N61" s="49" t="str">
        <f>IF($M61="","",IF($M61&lt;0,"Expired",IF($M61&lt;=Config!$B$6,"&lt;="&amp;Config!$B$6,IF($M61&lt;=Config!$B$7,(Config!$B$6+1)&amp;"-"&amp;Config!$B$7,IF($M61&lt;=Config!$B$8,(Config!$B$7+1)&amp;"-"&amp;Config!$B$8,"&gt;"&amp;Config!$B$8)))))</f>
        <v/>
      </c>
      <c r="O61" s="52" t="str">
        <f>IF($M61="","",IF($M61&lt;0,0,IF($M61&lt;=Config!$B$6,1,IF($M61&lt;=Config!$B$7,2,IF($M61&lt;=Config!$B$8,3,4)))))</f>
        <v/>
      </c>
      <c r="P61" s="50" t="str">
        <f>IF($A61="","",IF($L61&lt;=0,0,IF(OR(IFERROR(INDEX(Config!$F$15:$F$34,MATCH($G61,Config!$E$15:$E$34,0)),"No")="Yes",AND(Config!$B$10="Yes",ISNUMBER($M61),$M61&lt;0)),$L61,0)))</f>
        <v/>
      </c>
      <c r="Q61" s="52" t="str">
        <f>IF($A61="","",IF(AND($L61&gt;0,ISNUMBER($M61)),IF($M61&lt;=Config!$B$8,1,0),0))</f>
        <v/>
      </c>
      <c r="R61" s="52" t="str">
        <f>IF($Q61=1,COUNTIFS($Q$2:$Q$301,1,$E$2:$E$301,"&lt;"&amp;$E61)+COUNTIFS($Q$2:$Q61,1,$E$2:$E61,$E61),"")</f>
        <v/>
      </c>
      <c r="S61" s="49" t="str">
        <f>IF(COUNTA($A61:$I61)=0,"",IF($A61="","Missing: lot",IF(COUNTIF($A$2:$A$301,$A61)&gt;1,"Duplicate lot",IF($B61="","Missing: SKU",IF(NOT(ISNUMBER($E61)),"Missing: expiry date",IF($G61="","Missing: status",IF(COUNTIF(Products!$A$2:$A$101,$B61)=0,"Unknown SKU",IF(AND($C61&lt;&gt;"",COUNTIF(Suppliers!$A$2:$A$51,$C61)=0),"Unknown supplier",IF(COUNTIF(Config!$E$15:$E$34,$G61)=0,"Unsupported status",IF($L61&lt;0,"Negative lot balance",IF(AND($G61="Closed",$L61&lt;&gt;0),"Closed lot still has stock","OK")))))))))))</f>
        <v/>
      </c>
    </row>
    <row r="62">
      <c r="A62" s="46" t="n"/>
      <c r="B62" s="46" t="n"/>
      <c r="C62" s="46" t="n"/>
      <c r="D62" s="54" t="n"/>
      <c r="E62" s="54" t="n"/>
      <c r="F62" s="48" t="n"/>
      <c r="G62" s="46" t="n"/>
      <c r="H62" s="46" t="n"/>
      <c r="I62" s="46" t="n"/>
      <c r="J62" s="49" t="str">
        <f>IF($A62="","",IFERROR(INDEX(Products!$B$2:$B$101,MATCH($B62,Products!$A$2:$A$101,0))&amp;"","(not found)"))</f>
        <v/>
      </c>
      <c r="K62" s="51" t="str">
        <f>IF($A62="","",SUMIFS(Inventory_Ledger!$M$2:$M$2001,Inventory_Ledger!$F$2:$F$2001,$A62))</f>
        <v/>
      </c>
      <c r="L62" s="51" t="str">
        <f>IF($A62="","",IF(ISNUMBER($F62),$F62,0)+$K62)</f>
        <v/>
      </c>
      <c r="M62" s="56" t="str">
        <f>IF(OR($A62="",NOT(ISNUMBER($E62))),"",$E62-Config!$B$4)</f>
        <v/>
      </c>
      <c r="N62" s="49" t="str">
        <f>IF($M62="","",IF($M62&lt;0,"Expired",IF($M62&lt;=Config!$B$6,"&lt;="&amp;Config!$B$6,IF($M62&lt;=Config!$B$7,(Config!$B$6+1)&amp;"-"&amp;Config!$B$7,IF($M62&lt;=Config!$B$8,(Config!$B$7+1)&amp;"-"&amp;Config!$B$8,"&gt;"&amp;Config!$B$8)))))</f>
        <v/>
      </c>
      <c r="O62" s="52" t="str">
        <f>IF($M62="","",IF($M62&lt;0,0,IF($M62&lt;=Config!$B$6,1,IF($M62&lt;=Config!$B$7,2,IF($M62&lt;=Config!$B$8,3,4)))))</f>
        <v/>
      </c>
      <c r="P62" s="50" t="str">
        <f>IF($A62="","",IF($L62&lt;=0,0,IF(OR(IFERROR(INDEX(Config!$F$15:$F$34,MATCH($G62,Config!$E$15:$E$34,0)),"No")="Yes",AND(Config!$B$10="Yes",ISNUMBER($M62),$M62&lt;0)),$L62,0)))</f>
        <v/>
      </c>
      <c r="Q62" s="52" t="str">
        <f>IF($A62="","",IF(AND($L62&gt;0,ISNUMBER($M62)),IF($M62&lt;=Config!$B$8,1,0),0))</f>
        <v/>
      </c>
      <c r="R62" s="52" t="str">
        <f>IF($Q62=1,COUNTIFS($Q$2:$Q$301,1,$E$2:$E$301,"&lt;"&amp;$E62)+COUNTIFS($Q$2:$Q62,1,$E$2:$E62,$E62),"")</f>
        <v/>
      </c>
      <c r="S62" s="49" t="str">
        <f>IF(COUNTA($A62:$I62)=0,"",IF($A62="","Missing: lot",IF(COUNTIF($A$2:$A$301,$A62)&gt;1,"Duplicate lot",IF($B62="","Missing: SKU",IF(NOT(ISNUMBER($E62)),"Missing: expiry date",IF($G62="","Missing: status",IF(COUNTIF(Products!$A$2:$A$101,$B62)=0,"Unknown SKU",IF(AND($C62&lt;&gt;"",COUNTIF(Suppliers!$A$2:$A$51,$C62)=0),"Unknown supplier",IF(COUNTIF(Config!$E$15:$E$34,$G62)=0,"Unsupported status",IF($L62&lt;0,"Negative lot balance",IF(AND($G62="Closed",$L62&lt;&gt;0),"Closed lot still has stock","OK")))))))))))</f>
        <v/>
      </c>
    </row>
    <row r="63">
      <c r="A63" s="46" t="n"/>
      <c r="B63" s="46" t="n"/>
      <c r="C63" s="46" t="n"/>
      <c r="D63" s="54" t="n"/>
      <c r="E63" s="54" t="n"/>
      <c r="F63" s="48" t="n"/>
      <c r="G63" s="46" t="n"/>
      <c r="H63" s="46" t="n"/>
      <c r="I63" s="46" t="n"/>
      <c r="J63" s="49" t="str">
        <f>IF($A63="","",IFERROR(INDEX(Products!$B$2:$B$101,MATCH($B63,Products!$A$2:$A$101,0))&amp;"","(not found)"))</f>
        <v/>
      </c>
      <c r="K63" s="51" t="str">
        <f>IF($A63="","",SUMIFS(Inventory_Ledger!$M$2:$M$2001,Inventory_Ledger!$F$2:$F$2001,$A63))</f>
        <v/>
      </c>
      <c r="L63" s="51" t="str">
        <f>IF($A63="","",IF(ISNUMBER($F63),$F63,0)+$K63)</f>
        <v/>
      </c>
      <c r="M63" s="56" t="str">
        <f>IF(OR($A63="",NOT(ISNUMBER($E63))),"",$E63-Config!$B$4)</f>
        <v/>
      </c>
      <c r="N63" s="49" t="str">
        <f>IF($M63="","",IF($M63&lt;0,"Expired",IF($M63&lt;=Config!$B$6,"&lt;="&amp;Config!$B$6,IF($M63&lt;=Config!$B$7,(Config!$B$6+1)&amp;"-"&amp;Config!$B$7,IF($M63&lt;=Config!$B$8,(Config!$B$7+1)&amp;"-"&amp;Config!$B$8,"&gt;"&amp;Config!$B$8)))))</f>
        <v/>
      </c>
      <c r="O63" s="52" t="str">
        <f>IF($M63="","",IF($M63&lt;0,0,IF($M63&lt;=Config!$B$6,1,IF($M63&lt;=Config!$B$7,2,IF($M63&lt;=Config!$B$8,3,4)))))</f>
        <v/>
      </c>
      <c r="P63" s="50" t="str">
        <f>IF($A63="","",IF($L63&lt;=0,0,IF(OR(IFERROR(INDEX(Config!$F$15:$F$34,MATCH($G63,Config!$E$15:$E$34,0)),"No")="Yes",AND(Config!$B$10="Yes",ISNUMBER($M63),$M63&lt;0)),$L63,0)))</f>
        <v/>
      </c>
      <c r="Q63" s="52" t="str">
        <f>IF($A63="","",IF(AND($L63&gt;0,ISNUMBER($M63)),IF($M63&lt;=Config!$B$8,1,0),0))</f>
        <v/>
      </c>
      <c r="R63" s="52" t="str">
        <f>IF($Q63=1,COUNTIFS($Q$2:$Q$301,1,$E$2:$E$301,"&lt;"&amp;$E63)+COUNTIFS($Q$2:$Q63,1,$E$2:$E63,$E63),"")</f>
        <v/>
      </c>
      <c r="S63" s="49" t="str">
        <f>IF(COUNTA($A63:$I63)=0,"",IF($A63="","Missing: lot",IF(COUNTIF($A$2:$A$301,$A63)&gt;1,"Duplicate lot",IF($B63="","Missing: SKU",IF(NOT(ISNUMBER($E63)),"Missing: expiry date",IF($G63="","Missing: status",IF(COUNTIF(Products!$A$2:$A$101,$B63)=0,"Unknown SKU",IF(AND($C63&lt;&gt;"",COUNTIF(Suppliers!$A$2:$A$51,$C63)=0),"Unknown supplier",IF(COUNTIF(Config!$E$15:$E$34,$G63)=0,"Unsupported status",IF($L63&lt;0,"Negative lot balance",IF(AND($G63="Closed",$L63&lt;&gt;0),"Closed lot still has stock","OK")))))))))))</f>
        <v/>
      </c>
    </row>
    <row r="64">
      <c r="A64" s="46" t="n"/>
      <c r="B64" s="46" t="n"/>
      <c r="C64" s="46" t="n"/>
      <c r="D64" s="54" t="n"/>
      <c r="E64" s="54" t="n"/>
      <c r="F64" s="48" t="n"/>
      <c r="G64" s="46" t="n"/>
      <c r="H64" s="46" t="n"/>
      <c r="I64" s="46" t="n"/>
      <c r="J64" s="49" t="str">
        <f>IF($A64="","",IFERROR(INDEX(Products!$B$2:$B$101,MATCH($B64,Products!$A$2:$A$101,0))&amp;"","(not found)"))</f>
        <v/>
      </c>
      <c r="K64" s="51" t="str">
        <f>IF($A64="","",SUMIFS(Inventory_Ledger!$M$2:$M$2001,Inventory_Ledger!$F$2:$F$2001,$A64))</f>
        <v/>
      </c>
      <c r="L64" s="51" t="str">
        <f>IF($A64="","",IF(ISNUMBER($F64),$F64,0)+$K64)</f>
        <v/>
      </c>
      <c r="M64" s="56" t="str">
        <f>IF(OR($A64="",NOT(ISNUMBER($E64))),"",$E64-Config!$B$4)</f>
        <v/>
      </c>
      <c r="N64" s="49" t="str">
        <f>IF($M64="","",IF($M64&lt;0,"Expired",IF($M64&lt;=Config!$B$6,"&lt;="&amp;Config!$B$6,IF($M64&lt;=Config!$B$7,(Config!$B$6+1)&amp;"-"&amp;Config!$B$7,IF($M64&lt;=Config!$B$8,(Config!$B$7+1)&amp;"-"&amp;Config!$B$8,"&gt;"&amp;Config!$B$8)))))</f>
        <v/>
      </c>
      <c r="O64" s="52" t="str">
        <f>IF($M64="","",IF($M64&lt;0,0,IF($M64&lt;=Config!$B$6,1,IF($M64&lt;=Config!$B$7,2,IF($M64&lt;=Config!$B$8,3,4)))))</f>
        <v/>
      </c>
      <c r="P64" s="50" t="str">
        <f>IF($A64="","",IF($L64&lt;=0,0,IF(OR(IFERROR(INDEX(Config!$F$15:$F$34,MATCH($G64,Config!$E$15:$E$34,0)),"No")="Yes",AND(Config!$B$10="Yes",ISNUMBER($M64),$M64&lt;0)),$L64,0)))</f>
        <v/>
      </c>
      <c r="Q64" s="52" t="str">
        <f>IF($A64="","",IF(AND($L64&gt;0,ISNUMBER($M64)),IF($M64&lt;=Config!$B$8,1,0),0))</f>
        <v/>
      </c>
      <c r="R64" s="52" t="str">
        <f>IF($Q64=1,COUNTIFS($Q$2:$Q$301,1,$E$2:$E$301,"&lt;"&amp;$E64)+COUNTIFS($Q$2:$Q64,1,$E$2:$E64,$E64),"")</f>
        <v/>
      </c>
      <c r="S64" s="49" t="str">
        <f>IF(COUNTA($A64:$I64)=0,"",IF($A64="","Missing: lot",IF(COUNTIF($A$2:$A$301,$A64)&gt;1,"Duplicate lot",IF($B64="","Missing: SKU",IF(NOT(ISNUMBER($E64)),"Missing: expiry date",IF($G64="","Missing: status",IF(COUNTIF(Products!$A$2:$A$101,$B64)=0,"Unknown SKU",IF(AND($C64&lt;&gt;"",COUNTIF(Suppliers!$A$2:$A$51,$C64)=0),"Unknown supplier",IF(COUNTIF(Config!$E$15:$E$34,$G64)=0,"Unsupported status",IF($L64&lt;0,"Negative lot balance",IF(AND($G64="Closed",$L64&lt;&gt;0),"Closed lot still has stock","OK")))))))))))</f>
        <v/>
      </c>
    </row>
    <row r="65">
      <c r="A65" s="46" t="n"/>
      <c r="B65" s="46" t="n"/>
      <c r="C65" s="46" t="n"/>
      <c r="D65" s="54" t="n"/>
      <c r="E65" s="54" t="n"/>
      <c r="F65" s="48" t="n"/>
      <c r="G65" s="46" t="n"/>
      <c r="H65" s="46" t="n"/>
      <c r="I65" s="46" t="n"/>
      <c r="J65" s="49" t="str">
        <f>IF($A65="","",IFERROR(INDEX(Products!$B$2:$B$101,MATCH($B65,Products!$A$2:$A$101,0))&amp;"","(not found)"))</f>
        <v/>
      </c>
      <c r="K65" s="51" t="str">
        <f>IF($A65="","",SUMIFS(Inventory_Ledger!$M$2:$M$2001,Inventory_Ledger!$F$2:$F$2001,$A65))</f>
        <v/>
      </c>
      <c r="L65" s="51" t="str">
        <f>IF($A65="","",IF(ISNUMBER($F65),$F65,0)+$K65)</f>
        <v/>
      </c>
      <c r="M65" s="56" t="str">
        <f>IF(OR($A65="",NOT(ISNUMBER($E65))),"",$E65-Config!$B$4)</f>
        <v/>
      </c>
      <c r="N65" s="49" t="str">
        <f>IF($M65="","",IF($M65&lt;0,"Expired",IF($M65&lt;=Config!$B$6,"&lt;="&amp;Config!$B$6,IF($M65&lt;=Config!$B$7,(Config!$B$6+1)&amp;"-"&amp;Config!$B$7,IF($M65&lt;=Config!$B$8,(Config!$B$7+1)&amp;"-"&amp;Config!$B$8,"&gt;"&amp;Config!$B$8)))))</f>
        <v/>
      </c>
      <c r="O65" s="52" t="str">
        <f>IF($M65="","",IF($M65&lt;0,0,IF($M65&lt;=Config!$B$6,1,IF($M65&lt;=Config!$B$7,2,IF($M65&lt;=Config!$B$8,3,4)))))</f>
        <v/>
      </c>
      <c r="P65" s="50" t="str">
        <f>IF($A65="","",IF($L65&lt;=0,0,IF(OR(IFERROR(INDEX(Config!$F$15:$F$34,MATCH($G65,Config!$E$15:$E$34,0)),"No")="Yes",AND(Config!$B$10="Yes",ISNUMBER($M65),$M65&lt;0)),$L65,0)))</f>
        <v/>
      </c>
      <c r="Q65" s="52" t="str">
        <f>IF($A65="","",IF(AND($L65&gt;0,ISNUMBER($M65)),IF($M65&lt;=Config!$B$8,1,0),0))</f>
        <v/>
      </c>
      <c r="R65" s="52" t="str">
        <f>IF($Q65=1,COUNTIFS($Q$2:$Q$301,1,$E$2:$E$301,"&lt;"&amp;$E65)+COUNTIFS($Q$2:$Q65,1,$E$2:$E65,$E65),"")</f>
        <v/>
      </c>
      <c r="S65" s="49" t="str">
        <f>IF(COUNTA($A65:$I65)=0,"",IF($A65="","Missing: lot",IF(COUNTIF($A$2:$A$301,$A65)&gt;1,"Duplicate lot",IF($B65="","Missing: SKU",IF(NOT(ISNUMBER($E65)),"Missing: expiry date",IF($G65="","Missing: status",IF(COUNTIF(Products!$A$2:$A$101,$B65)=0,"Unknown SKU",IF(AND($C65&lt;&gt;"",COUNTIF(Suppliers!$A$2:$A$51,$C65)=0),"Unknown supplier",IF(COUNTIF(Config!$E$15:$E$34,$G65)=0,"Unsupported status",IF($L65&lt;0,"Negative lot balance",IF(AND($G65="Closed",$L65&lt;&gt;0),"Closed lot still has stock","OK")))))))))))</f>
        <v/>
      </c>
    </row>
    <row r="66">
      <c r="A66" s="46" t="n"/>
      <c r="B66" s="46" t="n"/>
      <c r="C66" s="46" t="n"/>
      <c r="D66" s="54" t="n"/>
      <c r="E66" s="54" t="n"/>
      <c r="F66" s="48" t="n"/>
      <c r="G66" s="46" t="n"/>
      <c r="H66" s="46" t="n"/>
      <c r="I66" s="46" t="n"/>
      <c r="J66" s="49" t="str">
        <f>IF($A66="","",IFERROR(INDEX(Products!$B$2:$B$101,MATCH($B66,Products!$A$2:$A$101,0))&amp;"","(not found)"))</f>
        <v/>
      </c>
      <c r="K66" s="51" t="str">
        <f>IF($A66="","",SUMIFS(Inventory_Ledger!$M$2:$M$2001,Inventory_Ledger!$F$2:$F$2001,$A66))</f>
        <v/>
      </c>
      <c r="L66" s="51" t="str">
        <f>IF($A66="","",IF(ISNUMBER($F66),$F66,0)+$K66)</f>
        <v/>
      </c>
      <c r="M66" s="56" t="str">
        <f>IF(OR($A66="",NOT(ISNUMBER($E66))),"",$E66-Config!$B$4)</f>
        <v/>
      </c>
      <c r="N66" s="49" t="str">
        <f>IF($M66="","",IF($M66&lt;0,"Expired",IF($M66&lt;=Config!$B$6,"&lt;="&amp;Config!$B$6,IF($M66&lt;=Config!$B$7,(Config!$B$6+1)&amp;"-"&amp;Config!$B$7,IF($M66&lt;=Config!$B$8,(Config!$B$7+1)&amp;"-"&amp;Config!$B$8,"&gt;"&amp;Config!$B$8)))))</f>
        <v/>
      </c>
      <c r="O66" s="52" t="str">
        <f>IF($M66="","",IF($M66&lt;0,0,IF($M66&lt;=Config!$B$6,1,IF($M66&lt;=Config!$B$7,2,IF($M66&lt;=Config!$B$8,3,4)))))</f>
        <v/>
      </c>
      <c r="P66" s="50" t="str">
        <f>IF($A66="","",IF($L66&lt;=0,0,IF(OR(IFERROR(INDEX(Config!$F$15:$F$34,MATCH($G66,Config!$E$15:$E$34,0)),"No")="Yes",AND(Config!$B$10="Yes",ISNUMBER($M66),$M66&lt;0)),$L66,0)))</f>
        <v/>
      </c>
      <c r="Q66" s="52" t="str">
        <f>IF($A66="","",IF(AND($L66&gt;0,ISNUMBER($M66)),IF($M66&lt;=Config!$B$8,1,0),0))</f>
        <v/>
      </c>
      <c r="R66" s="52" t="str">
        <f>IF($Q66=1,COUNTIFS($Q$2:$Q$301,1,$E$2:$E$301,"&lt;"&amp;$E66)+COUNTIFS($Q$2:$Q66,1,$E$2:$E66,$E66),"")</f>
        <v/>
      </c>
      <c r="S66" s="49" t="str">
        <f>IF(COUNTA($A66:$I66)=0,"",IF($A66="","Missing: lot",IF(COUNTIF($A$2:$A$301,$A66)&gt;1,"Duplicate lot",IF($B66="","Missing: SKU",IF(NOT(ISNUMBER($E66)),"Missing: expiry date",IF($G66="","Missing: status",IF(COUNTIF(Products!$A$2:$A$101,$B66)=0,"Unknown SKU",IF(AND($C66&lt;&gt;"",COUNTIF(Suppliers!$A$2:$A$51,$C66)=0),"Unknown supplier",IF(COUNTIF(Config!$E$15:$E$34,$G66)=0,"Unsupported status",IF($L66&lt;0,"Negative lot balance",IF(AND($G66="Closed",$L66&lt;&gt;0),"Closed lot still has stock","OK")))))))))))</f>
        <v/>
      </c>
    </row>
    <row r="67">
      <c r="A67" s="46" t="n"/>
      <c r="B67" s="46" t="n"/>
      <c r="C67" s="46" t="n"/>
      <c r="D67" s="54" t="n"/>
      <c r="E67" s="54" t="n"/>
      <c r="F67" s="48" t="n"/>
      <c r="G67" s="46" t="n"/>
      <c r="H67" s="46" t="n"/>
      <c r="I67" s="46" t="n"/>
      <c r="J67" s="49" t="str">
        <f>IF($A67="","",IFERROR(INDEX(Products!$B$2:$B$101,MATCH($B67,Products!$A$2:$A$101,0))&amp;"","(not found)"))</f>
        <v/>
      </c>
      <c r="K67" s="51" t="str">
        <f>IF($A67="","",SUMIFS(Inventory_Ledger!$M$2:$M$2001,Inventory_Ledger!$F$2:$F$2001,$A67))</f>
        <v/>
      </c>
      <c r="L67" s="51" t="str">
        <f>IF($A67="","",IF(ISNUMBER($F67),$F67,0)+$K67)</f>
        <v/>
      </c>
      <c r="M67" s="56" t="str">
        <f>IF(OR($A67="",NOT(ISNUMBER($E67))),"",$E67-Config!$B$4)</f>
        <v/>
      </c>
      <c r="N67" s="49" t="str">
        <f>IF($M67="","",IF($M67&lt;0,"Expired",IF($M67&lt;=Config!$B$6,"&lt;="&amp;Config!$B$6,IF($M67&lt;=Config!$B$7,(Config!$B$6+1)&amp;"-"&amp;Config!$B$7,IF($M67&lt;=Config!$B$8,(Config!$B$7+1)&amp;"-"&amp;Config!$B$8,"&gt;"&amp;Config!$B$8)))))</f>
        <v/>
      </c>
      <c r="O67" s="52" t="str">
        <f>IF($M67="","",IF($M67&lt;0,0,IF($M67&lt;=Config!$B$6,1,IF($M67&lt;=Config!$B$7,2,IF($M67&lt;=Config!$B$8,3,4)))))</f>
        <v/>
      </c>
      <c r="P67" s="50" t="str">
        <f>IF($A67="","",IF($L67&lt;=0,0,IF(OR(IFERROR(INDEX(Config!$F$15:$F$34,MATCH($G67,Config!$E$15:$E$34,0)),"No")="Yes",AND(Config!$B$10="Yes",ISNUMBER($M67),$M67&lt;0)),$L67,0)))</f>
        <v/>
      </c>
      <c r="Q67" s="52" t="str">
        <f>IF($A67="","",IF(AND($L67&gt;0,ISNUMBER($M67)),IF($M67&lt;=Config!$B$8,1,0),0))</f>
        <v/>
      </c>
      <c r="R67" s="52" t="str">
        <f>IF($Q67=1,COUNTIFS($Q$2:$Q$301,1,$E$2:$E$301,"&lt;"&amp;$E67)+COUNTIFS($Q$2:$Q67,1,$E$2:$E67,$E67),"")</f>
        <v/>
      </c>
      <c r="S67" s="49" t="str">
        <f>IF(COUNTA($A67:$I67)=0,"",IF($A67="","Missing: lot",IF(COUNTIF($A$2:$A$301,$A67)&gt;1,"Duplicate lot",IF($B67="","Missing: SKU",IF(NOT(ISNUMBER($E67)),"Missing: expiry date",IF($G67="","Missing: status",IF(COUNTIF(Products!$A$2:$A$101,$B67)=0,"Unknown SKU",IF(AND($C67&lt;&gt;"",COUNTIF(Suppliers!$A$2:$A$51,$C67)=0),"Unknown supplier",IF(COUNTIF(Config!$E$15:$E$34,$G67)=0,"Unsupported status",IF($L67&lt;0,"Negative lot balance",IF(AND($G67="Closed",$L67&lt;&gt;0),"Closed lot still has stock","OK")))))))))))</f>
        <v/>
      </c>
    </row>
    <row r="68">
      <c r="A68" s="46" t="n"/>
      <c r="B68" s="46" t="n"/>
      <c r="C68" s="46" t="n"/>
      <c r="D68" s="54" t="n"/>
      <c r="E68" s="54" t="n"/>
      <c r="F68" s="48" t="n"/>
      <c r="G68" s="46" t="n"/>
      <c r="H68" s="46" t="n"/>
      <c r="I68" s="46" t="n"/>
      <c r="J68" s="49" t="str">
        <f>IF($A68="","",IFERROR(INDEX(Products!$B$2:$B$101,MATCH($B68,Products!$A$2:$A$101,0))&amp;"","(not found)"))</f>
        <v/>
      </c>
      <c r="K68" s="51" t="str">
        <f>IF($A68="","",SUMIFS(Inventory_Ledger!$M$2:$M$2001,Inventory_Ledger!$F$2:$F$2001,$A68))</f>
        <v/>
      </c>
      <c r="L68" s="51" t="str">
        <f>IF($A68="","",IF(ISNUMBER($F68),$F68,0)+$K68)</f>
        <v/>
      </c>
      <c r="M68" s="56" t="str">
        <f>IF(OR($A68="",NOT(ISNUMBER($E68))),"",$E68-Config!$B$4)</f>
        <v/>
      </c>
      <c r="N68" s="49" t="str">
        <f>IF($M68="","",IF($M68&lt;0,"Expired",IF($M68&lt;=Config!$B$6,"&lt;="&amp;Config!$B$6,IF($M68&lt;=Config!$B$7,(Config!$B$6+1)&amp;"-"&amp;Config!$B$7,IF($M68&lt;=Config!$B$8,(Config!$B$7+1)&amp;"-"&amp;Config!$B$8,"&gt;"&amp;Config!$B$8)))))</f>
        <v/>
      </c>
      <c r="O68" s="52" t="str">
        <f>IF($M68="","",IF($M68&lt;0,0,IF($M68&lt;=Config!$B$6,1,IF($M68&lt;=Config!$B$7,2,IF($M68&lt;=Config!$B$8,3,4)))))</f>
        <v/>
      </c>
      <c r="P68" s="50" t="str">
        <f>IF($A68="","",IF($L68&lt;=0,0,IF(OR(IFERROR(INDEX(Config!$F$15:$F$34,MATCH($G68,Config!$E$15:$E$34,0)),"No")="Yes",AND(Config!$B$10="Yes",ISNUMBER($M68),$M68&lt;0)),$L68,0)))</f>
        <v/>
      </c>
      <c r="Q68" s="52" t="str">
        <f>IF($A68="","",IF(AND($L68&gt;0,ISNUMBER($M68)),IF($M68&lt;=Config!$B$8,1,0),0))</f>
        <v/>
      </c>
      <c r="R68" s="52" t="str">
        <f>IF($Q68=1,COUNTIFS($Q$2:$Q$301,1,$E$2:$E$301,"&lt;"&amp;$E68)+COUNTIFS($Q$2:$Q68,1,$E$2:$E68,$E68),"")</f>
        <v/>
      </c>
      <c r="S68" s="49" t="str">
        <f>IF(COUNTA($A68:$I68)=0,"",IF($A68="","Missing: lot",IF(COUNTIF($A$2:$A$301,$A68)&gt;1,"Duplicate lot",IF($B68="","Missing: SKU",IF(NOT(ISNUMBER($E68)),"Missing: expiry date",IF($G68="","Missing: status",IF(COUNTIF(Products!$A$2:$A$101,$B68)=0,"Unknown SKU",IF(AND($C68&lt;&gt;"",COUNTIF(Suppliers!$A$2:$A$51,$C68)=0),"Unknown supplier",IF(COUNTIF(Config!$E$15:$E$34,$G68)=0,"Unsupported status",IF($L68&lt;0,"Negative lot balance",IF(AND($G68="Closed",$L68&lt;&gt;0),"Closed lot still has stock","OK")))))))))))</f>
        <v/>
      </c>
    </row>
    <row r="69">
      <c r="A69" s="46" t="n"/>
      <c r="B69" s="46" t="n"/>
      <c r="C69" s="46" t="n"/>
      <c r="D69" s="54" t="n"/>
      <c r="E69" s="54" t="n"/>
      <c r="F69" s="48" t="n"/>
      <c r="G69" s="46" t="n"/>
      <c r="H69" s="46" t="n"/>
      <c r="I69" s="46" t="n"/>
      <c r="J69" s="49" t="str">
        <f>IF($A69="","",IFERROR(INDEX(Products!$B$2:$B$101,MATCH($B69,Products!$A$2:$A$101,0))&amp;"","(not found)"))</f>
        <v/>
      </c>
      <c r="K69" s="51" t="str">
        <f>IF($A69="","",SUMIFS(Inventory_Ledger!$M$2:$M$2001,Inventory_Ledger!$F$2:$F$2001,$A69))</f>
        <v/>
      </c>
      <c r="L69" s="51" t="str">
        <f>IF($A69="","",IF(ISNUMBER($F69),$F69,0)+$K69)</f>
        <v/>
      </c>
      <c r="M69" s="56" t="str">
        <f>IF(OR($A69="",NOT(ISNUMBER($E69))),"",$E69-Config!$B$4)</f>
        <v/>
      </c>
      <c r="N69" s="49" t="str">
        <f>IF($M69="","",IF($M69&lt;0,"Expired",IF($M69&lt;=Config!$B$6,"&lt;="&amp;Config!$B$6,IF($M69&lt;=Config!$B$7,(Config!$B$6+1)&amp;"-"&amp;Config!$B$7,IF($M69&lt;=Config!$B$8,(Config!$B$7+1)&amp;"-"&amp;Config!$B$8,"&gt;"&amp;Config!$B$8)))))</f>
        <v/>
      </c>
      <c r="O69" s="52" t="str">
        <f>IF($M69="","",IF($M69&lt;0,0,IF($M69&lt;=Config!$B$6,1,IF($M69&lt;=Config!$B$7,2,IF($M69&lt;=Config!$B$8,3,4)))))</f>
        <v/>
      </c>
      <c r="P69" s="50" t="str">
        <f>IF($A69="","",IF($L69&lt;=0,0,IF(OR(IFERROR(INDEX(Config!$F$15:$F$34,MATCH($G69,Config!$E$15:$E$34,0)),"No")="Yes",AND(Config!$B$10="Yes",ISNUMBER($M69),$M69&lt;0)),$L69,0)))</f>
        <v/>
      </c>
      <c r="Q69" s="52" t="str">
        <f>IF($A69="","",IF(AND($L69&gt;0,ISNUMBER($M69)),IF($M69&lt;=Config!$B$8,1,0),0))</f>
        <v/>
      </c>
      <c r="R69" s="52" t="str">
        <f>IF($Q69=1,COUNTIFS($Q$2:$Q$301,1,$E$2:$E$301,"&lt;"&amp;$E69)+COUNTIFS($Q$2:$Q69,1,$E$2:$E69,$E69),"")</f>
        <v/>
      </c>
      <c r="S69" s="49" t="str">
        <f>IF(COUNTA($A69:$I69)=0,"",IF($A69="","Missing: lot",IF(COUNTIF($A$2:$A$301,$A69)&gt;1,"Duplicate lot",IF($B69="","Missing: SKU",IF(NOT(ISNUMBER($E69)),"Missing: expiry date",IF($G69="","Missing: status",IF(COUNTIF(Products!$A$2:$A$101,$B69)=0,"Unknown SKU",IF(AND($C69&lt;&gt;"",COUNTIF(Suppliers!$A$2:$A$51,$C69)=0),"Unknown supplier",IF(COUNTIF(Config!$E$15:$E$34,$G69)=0,"Unsupported status",IF($L69&lt;0,"Negative lot balance",IF(AND($G69="Closed",$L69&lt;&gt;0),"Closed lot still has stock","OK")))))))))))</f>
        <v/>
      </c>
    </row>
    <row r="70">
      <c r="A70" s="46" t="n"/>
      <c r="B70" s="46" t="n"/>
      <c r="C70" s="46" t="n"/>
      <c r="D70" s="54" t="n"/>
      <c r="E70" s="54" t="n"/>
      <c r="F70" s="48" t="n"/>
      <c r="G70" s="46" t="n"/>
      <c r="H70" s="46" t="n"/>
      <c r="I70" s="46" t="n"/>
      <c r="J70" s="49" t="str">
        <f>IF($A70="","",IFERROR(INDEX(Products!$B$2:$B$101,MATCH($B70,Products!$A$2:$A$101,0))&amp;"","(not found)"))</f>
        <v/>
      </c>
      <c r="K70" s="51" t="str">
        <f>IF($A70="","",SUMIFS(Inventory_Ledger!$M$2:$M$2001,Inventory_Ledger!$F$2:$F$2001,$A70))</f>
        <v/>
      </c>
      <c r="L70" s="51" t="str">
        <f>IF($A70="","",IF(ISNUMBER($F70),$F70,0)+$K70)</f>
        <v/>
      </c>
      <c r="M70" s="56" t="str">
        <f>IF(OR($A70="",NOT(ISNUMBER($E70))),"",$E70-Config!$B$4)</f>
        <v/>
      </c>
      <c r="N70" s="49" t="str">
        <f>IF($M70="","",IF($M70&lt;0,"Expired",IF($M70&lt;=Config!$B$6,"&lt;="&amp;Config!$B$6,IF($M70&lt;=Config!$B$7,(Config!$B$6+1)&amp;"-"&amp;Config!$B$7,IF($M70&lt;=Config!$B$8,(Config!$B$7+1)&amp;"-"&amp;Config!$B$8,"&gt;"&amp;Config!$B$8)))))</f>
        <v/>
      </c>
      <c r="O70" s="52" t="str">
        <f>IF($M70="","",IF($M70&lt;0,0,IF($M70&lt;=Config!$B$6,1,IF($M70&lt;=Config!$B$7,2,IF($M70&lt;=Config!$B$8,3,4)))))</f>
        <v/>
      </c>
      <c r="P70" s="50" t="str">
        <f>IF($A70="","",IF($L70&lt;=0,0,IF(OR(IFERROR(INDEX(Config!$F$15:$F$34,MATCH($G70,Config!$E$15:$E$34,0)),"No")="Yes",AND(Config!$B$10="Yes",ISNUMBER($M70),$M70&lt;0)),$L70,0)))</f>
        <v/>
      </c>
      <c r="Q70" s="52" t="str">
        <f>IF($A70="","",IF(AND($L70&gt;0,ISNUMBER($M70)),IF($M70&lt;=Config!$B$8,1,0),0))</f>
        <v/>
      </c>
      <c r="R70" s="52" t="str">
        <f>IF($Q70=1,COUNTIFS($Q$2:$Q$301,1,$E$2:$E$301,"&lt;"&amp;$E70)+COUNTIFS($Q$2:$Q70,1,$E$2:$E70,$E70),"")</f>
        <v/>
      </c>
      <c r="S70" s="49" t="str">
        <f>IF(COUNTA($A70:$I70)=0,"",IF($A70="","Missing: lot",IF(COUNTIF($A$2:$A$301,$A70)&gt;1,"Duplicate lot",IF($B70="","Missing: SKU",IF(NOT(ISNUMBER($E70)),"Missing: expiry date",IF($G70="","Missing: status",IF(COUNTIF(Products!$A$2:$A$101,$B70)=0,"Unknown SKU",IF(AND($C70&lt;&gt;"",COUNTIF(Suppliers!$A$2:$A$51,$C70)=0),"Unknown supplier",IF(COUNTIF(Config!$E$15:$E$34,$G70)=0,"Unsupported status",IF($L70&lt;0,"Negative lot balance",IF(AND($G70="Closed",$L70&lt;&gt;0),"Closed lot still has stock","OK")))))))))))</f>
        <v/>
      </c>
    </row>
    <row r="71">
      <c r="A71" s="46" t="n"/>
      <c r="B71" s="46" t="n"/>
      <c r="C71" s="46" t="n"/>
      <c r="D71" s="54" t="n"/>
      <c r="E71" s="54" t="n"/>
      <c r="F71" s="48" t="n"/>
      <c r="G71" s="46" t="n"/>
      <c r="H71" s="46" t="n"/>
      <c r="I71" s="46" t="n"/>
      <c r="J71" s="49" t="str">
        <f>IF($A71="","",IFERROR(INDEX(Products!$B$2:$B$101,MATCH($B71,Products!$A$2:$A$101,0))&amp;"","(not found)"))</f>
        <v/>
      </c>
      <c r="K71" s="51" t="str">
        <f>IF($A71="","",SUMIFS(Inventory_Ledger!$M$2:$M$2001,Inventory_Ledger!$F$2:$F$2001,$A71))</f>
        <v/>
      </c>
      <c r="L71" s="51" t="str">
        <f>IF($A71="","",IF(ISNUMBER($F71),$F71,0)+$K71)</f>
        <v/>
      </c>
      <c r="M71" s="56" t="str">
        <f>IF(OR($A71="",NOT(ISNUMBER($E71))),"",$E71-Config!$B$4)</f>
        <v/>
      </c>
      <c r="N71" s="49" t="str">
        <f>IF($M71="","",IF($M71&lt;0,"Expired",IF($M71&lt;=Config!$B$6,"&lt;="&amp;Config!$B$6,IF($M71&lt;=Config!$B$7,(Config!$B$6+1)&amp;"-"&amp;Config!$B$7,IF($M71&lt;=Config!$B$8,(Config!$B$7+1)&amp;"-"&amp;Config!$B$8,"&gt;"&amp;Config!$B$8)))))</f>
        <v/>
      </c>
      <c r="O71" s="52" t="str">
        <f>IF($M71="","",IF($M71&lt;0,0,IF($M71&lt;=Config!$B$6,1,IF($M71&lt;=Config!$B$7,2,IF($M71&lt;=Config!$B$8,3,4)))))</f>
        <v/>
      </c>
      <c r="P71" s="50" t="str">
        <f>IF($A71="","",IF($L71&lt;=0,0,IF(OR(IFERROR(INDEX(Config!$F$15:$F$34,MATCH($G71,Config!$E$15:$E$34,0)),"No")="Yes",AND(Config!$B$10="Yes",ISNUMBER($M71),$M71&lt;0)),$L71,0)))</f>
        <v/>
      </c>
      <c r="Q71" s="52" t="str">
        <f>IF($A71="","",IF(AND($L71&gt;0,ISNUMBER($M71)),IF($M71&lt;=Config!$B$8,1,0),0))</f>
        <v/>
      </c>
      <c r="R71" s="52" t="str">
        <f>IF($Q71=1,COUNTIFS($Q$2:$Q$301,1,$E$2:$E$301,"&lt;"&amp;$E71)+COUNTIFS($Q$2:$Q71,1,$E$2:$E71,$E71),"")</f>
        <v/>
      </c>
      <c r="S71" s="49" t="str">
        <f>IF(COUNTA($A71:$I71)=0,"",IF($A71="","Missing: lot",IF(COUNTIF($A$2:$A$301,$A71)&gt;1,"Duplicate lot",IF($B71="","Missing: SKU",IF(NOT(ISNUMBER($E71)),"Missing: expiry date",IF($G71="","Missing: status",IF(COUNTIF(Products!$A$2:$A$101,$B71)=0,"Unknown SKU",IF(AND($C71&lt;&gt;"",COUNTIF(Suppliers!$A$2:$A$51,$C71)=0),"Unknown supplier",IF(COUNTIF(Config!$E$15:$E$34,$G71)=0,"Unsupported status",IF($L71&lt;0,"Negative lot balance",IF(AND($G71="Closed",$L71&lt;&gt;0),"Closed lot still has stock","OK")))))))))))</f>
        <v/>
      </c>
    </row>
    <row r="72">
      <c r="A72" s="46" t="n"/>
      <c r="B72" s="46" t="n"/>
      <c r="C72" s="46" t="n"/>
      <c r="D72" s="54" t="n"/>
      <c r="E72" s="54" t="n"/>
      <c r="F72" s="48" t="n"/>
      <c r="G72" s="46" t="n"/>
      <c r="H72" s="46" t="n"/>
      <c r="I72" s="46" t="n"/>
      <c r="J72" s="49" t="str">
        <f>IF($A72="","",IFERROR(INDEX(Products!$B$2:$B$101,MATCH($B72,Products!$A$2:$A$101,0))&amp;"","(not found)"))</f>
        <v/>
      </c>
      <c r="K72" s="51" t="str">
        <f>IF($A72="","",SUMIFS(Inventory_Ledger!$M$2:$M$2001,Inventory_Ledger!$F$2:$F$2001,$A72))</f>
        <v/>
      </c>
      <c r="L72" s="51" t="str">
        <f>IF($A72="","",IF(ISNUMBER($F72),$F72,0)+$K72)</f>
        <v/>
      </c>
      <c r="M72" s="56" t="str">
        <f>IF(OR($A72="",NOT(ISNUMBER($E72))),"",$E72-Config!$B$4)</f>
        <v/>
      </c>
      <c r="N72" s="49" t="str">
        <f>IF($M72="","",IF($M72&lt;0,"Expired",IF($M72&lt;=Config!$B$6,"&lt;="&amp;Config!$B$6,IF($M72&lt;=Config!$B$7,(Config!$B$6+1)&amp;"-"&amp;Config!$B$7,IF($M72&lt;=Config!$B$8,(Config!$B$7+1)&amp;"-"&amp;Config!$B$8,"&gt;"&amp;Config!$B$8)))))</f>
        <v/>
      </c>
      <c r="O72" s="52" t="str">
        <f>IF($M72="","",IF($M72&lt;0,0,IF($M72&lt;=Config!$B$6,1,IF($M72&lt;=Config!$B$7,2,IF($M72&lt;=Config!$B$8,3,4)))))</f>
        <v/>
      </c>
      <c r="P72" s="50" t="str">
        <f>IF($A72="","",IF($L72&lt;=0,0,IF(OR(IFERROR(INDEX(Config!$F$15:$F$34,MATCH($G72,Config!$E$15:$E$34,0)),"No")="Yes",AND(Config!$B$10="Yes",ISNUMBER($M72),$M72&lt;0)),$L72,0)))</f>
        <v/>
      </c>
      <c r="Q72" s="52" t="str">
        <f>IF($A72="","",IF(AND($L72&gt;0,ISNUMBER($M72)),IF($M72&lt;=Config!$B$8,1,0),0))</f>
        <v/>
      </c>
      <c r="R72" s="52" t="str">
        <f>IF($Q72=1,COUNTIFS($Q$2:$Q$301,1,$E$2:$E$301,"&lt;"&amp;$E72)+COUNTIFS($Q$2:$Q72,1,$E$2:$E72,$E72),"")</f>
        <v/>
      </c>
      <c r="S72" s="49" t="str">
        <f>IF(COUNTA($A72:$I72)=0,"",IF($A72="","Missing: lot",IF(COUNTIF($A$2:$A$301,$A72)&gt;1,"Duplicate lot",IF($B72="","Missing: SKU",IF(NOT(ISNUMBER($E72)),"Missing: expiry date",IF($G72="","Missing: status",IF(COUNTIF(Products!$A$2:$A$101,$B72)=0,"Unknown SKU",IF(AND($C72&lt;&gt;"",COUNTIF(Suppliers!$A$2:$A$51,$C72)=0),"Unknown supplier",IF(COUNTIF(Config!$E$15:$E$34,$G72)=0,"Unsupported status",IF($L72&lt;0,"Negative lot balance",IF(AND($G72="Closed",$L72&lt;&gt;0),"Closed lot still has stock","OK")))))))))))</f>
        <v/>
      </c>
    </row>
    <row r="73">
      <c r="A73" s="46" t="n"/>
      <c r="B73" s="46" t="n"/>
      <c r="C73" s="46" t="n"/>
      <c r="D73" s="54" t="n"/>
      <c r="E73" s="54" t="n"/>
      <c r="F73" s="48" t="n"/>
      <c r="G73" s="46" t="n"/>
      <c r="H73" s="46" t="n"/>
      <c r="I73" s="46" t="n"/>
      <c r="J73" s="49" t="str">
        <f>IF($A73="","",IFERROR(INDEX(Products!$B$2:$B$101,MATCH($B73,Products!$A$2:$A$101,0))&amp;"","(not found)"))</f>
        <v/>
      </c>
      <c r="K73" s="51" t="str">
        <f>IF($A73="","",SUMIFS(Inventory_Ledger!$M$2:$M$2001,Inventory_Ledger!$F$2:$F$2001,$A73))</f>
        <v/>
      </c>
      <c r="L73" s="51" t="str">
        <f>IF($A73="","",IF(ISNUMBER($F73),$F73,0)+$K73)</f>
        <v/>
      </c>
      <c r="M73" s="56" t="str">
        <f>IF(OR($A73="",NOT(ISNUMBER($E73))),"",$E73-Config!$B$4)</f>
        <v/>
      </c>
      <c r="N73" s="49" t="str">
        <f>IF($M73="","",IF($M73&lt;0,"Expired",IF($M73&lt;=Config!$B$6,"&lt;="&amp;Config!$B$6,IF($M73&lt;=Config!$B$7,(Config!$B$6+1)&amp;"-"&amp;Config!$B$7,IF($M73&lt;=Config!$B$8,(Config!$B$7+1)&amp;"-"&amp;Config!$B$8,"&gt;"&amp;Config!$B$8)))))</f>
        <v/>
      </c>
      <c r="O73" s="52" t="str">
        <f>IF($M73="","",IF($M73&lt;0,0,IF($M73&lt;=Config!$B$6,1,IF($M73&lt;=Config!$B$7,2,IF($M73&lt;=Config!$B$8,3,4)))))</f>
        <v/>
      </c>
      <c r="P73" s="50" t="str">
        <f>IF($A73="","",IF($L73&lt;=0,0,IF(OR(IFERROR(INDEX(Config!$F$15:$F$34,MATCH($G73,Config!$E$15:$E$34,0)),"No")="Yes",AND(Config!$B$10="Yes",ISNUMBER($M73),$M73&lt;0)),$L73,0)))</f>
        <v/>
      </c>
      <c r="Q73" s="52" t="str">
        <f>IF($A73="","",IF(AND($L73&gt;0,ISNUMBER($M73)),IF($M73&lt;=Config!$B$8,1,0),0))</f>
        <v/>
      </c>
      <c r="R73" s="52" t="str">
        <f>IF($Q73=1,COUNTIFS($Q$2:$Q$301,1,$E$2:$E$301,"&lt;"&amp;$E73)+COUNTIFS($Q$2:$Q73,1,$E$2:$E73,$E73),"")</f>
        <v/>
      </c>
      <c r="S73" s="49" t="str">
        <f>IF(COUNTA($A73:$I73)=0,"",IF($A73="","Missing: lot",IF(COUNTIF($A$2:$A$301,$A73)&gt;1,"Duplicate lot",IF($B73="","Missing: SKU",IF(NOT(ISNUMBER($E73)),"Missing: expiry date",IF($G73="","Missing: status",IF(COUNTIF(Products!$A$2:$A$101,$B73)=0,"Unknown SKU",IF(AND($C73&lt;&gt;"",COUNTIF(Suppliers!$A$2:$A$51,$C73)=0),"Unknown supplier",IF(COUNTIF(Config!$E$15:$E$34,$G73)=0,"Unsupported status",IF($L73&lt;0,"Negative lot balance",IF(AND($G73="Closed",$L73&lt;&gt;0),"Closed lot still has stock","OK")))))))))))</f>
        <v/>
      </c>
    </row>
    <row r="74">
      <c r="A74" s="46" t="n"/>
      <c r="B74" s="46" t="n"/>
      <c r="C74" s="46" t="n"/>
      <c r="D74" s="54" t="n"/>
      <c r="E74" s="54" t="n"/>
      <c r="F74" s="48" t="n"/>
      <c r="G74" s="46" t="n"/>
      <c r="H74" s="46" t="n"/>
      <c r="I74" s="46" t="n"/>
      <c r="J74" s="49" t="str">
        <f>IF($A74="","",IFERROR(INDEX(Products!$B$2:$B$101,MATCH($B74,Products!$A$2:$A$101,0))&amp;"","(not found)"))</f>
        <v/>
      </c>
      <c r="K74" s="51" t="str">
        <f>IF($A74="","",SUMIFS(Inventory_Ledger!$M$2:$M$2001,Inventory_Ledger!$F$2:$F$2001,$A74))</f>
        <v/>
      </c>
      <c r="L74" s="51" t="str">
        <f>IF($A74="","",IF(ISNUMBER($F74),$F74,0)+$K74)</f>
        <v/>
      </c>
      <c r="M74" s="56" t="str">
        <f>IF(OR($A74="",NOT(ISNUMBER($E74))),"",$E74-Config!$B$4)</f>
        <v/>
      </c>
      <c r="N74" s="49" t="str">
        <f>IF($M74="","",IF($M74&lt;0,"Expired",IF($M74&lt;=Config!$B$6,"&lt;="&amp;Config!$B$6,IF($M74&lt;=Config!$B$7,(Config!$B$6+1)&amp;"-"&amp;Config!$B$7,IF($M74&lt;=Config!$B$8,(Config!$B$7+1)&amp;"-"&amp;Config!$B$8,"&gt;"&amp;Config!$B$8)))))</f>
        <v/>
      </c>
      <c r="O74" s="52" t="str">
        <f>IF($M74="","",IF($M74&lt;0,0,IF($M74&lt;=Config!$B$6,1,IF($M74&lt;=Config!$B$7,2,IF($M74&lt;=Config!$B$8,3,4)))))</f>
        <v/>
      </c>
      <c r="P74" s="50" t="str">
        <f>IF($A74="","",IF($L74&lt;=0,0,IF(OR(IFERROR(INDEX(Config!$F$15:$F$34,MATCH($G74,Config!$E$15:$E$34,0)),"No")="Yes",AND(Config!$B$10="Yes",ISNUMBER($M74),$M74&lt;0)),$L74,0)))</f>
        <v/>
      </c>
      <c r="Q74" s="52" t="str">
        <f>IF($A74="","",IF(AND($L74&gt;0,ISNUMBER($M74)),IF($M74&lt;=Config!$B$8,1,0),0))</f>
        <v/>
      </c>
      <c r="R74" s="52" t="str">
        <f>IF($Q74=1,COUNTIFS($Q$2:$Q$301,1,$E$2:$E$301,"&lt;"&amp;$E74)+COUNTIFS($Q$2:$Q74,1,$E$2:$E74,$E74),"")</f>
        <v/>
      </c>
      <c r="S74" s="49" t="str">
        <f>IF(COUNTA($A74:$I74)=0,"",IF($A74="","Missing: lot",IF(COUNTIF($A$2:$A$301,$A74)&gt;1,"Duplicate lot",IF($B74="","Missing: SKU",IF(NOT(ISNUMBER($E74)),"Missing: expiry date",IF($G74="","Missing: status",IF(COUNTIF(Products!$A$2:$A$101,$B74)=0,"Unknown SKU",IF(AND($C74&lt;&gt;"",COUNTIF(Suppliers!$A$2:$A$51,$C74)=0),"Unknown supplier",IF(COUNTIF(Config!$E$15:$E$34,$G74)=0,"Unsupported status",IF($L74&lt;0,"Negative lot balance",IF(AND($G74="Closed",$L74&lt;&gt;0),"Closed lot still has stock","OK")))))))))))</f>
        <v/>
      </c>
    </row>
    <row r="75">
      <c r="A75" s="46" t="n"/>
      <c r="B75" s="46" t="n"/>
      <c r="C75" s="46" t="n"/>
      <c r="D75" s="54" t="n"/>
      <c r="E75" s="54" t="n"/>
      <c r="F75" s="48" t="n"/>
      <c r="G75" s="46" t="n"/>
      <c r="H75" s="46" t="n"/>
      <c r="I75" s="46" t="n"/>
      <c r="J75" s="49" t="str">
        <f>IF($A75="","",IFERROR(INDEX(Products!$B$2:$B$101,MATCH($B75,Products!$A$2:$A$101,0))&amp;"","(not found)"))</f>
        <v/>
      </c>
      <c r="K75" s="51" t="str">
        <f>IF($A75="","",SUMIFS(Inventory_Ledger!$M$2:$M$2001,Inventory_Ledger!$F$2:$F$2001,$A75))</f>
        <v/>
      </c>
      <c r="L75" s="51" t="str">
        <f>IF($A75="","",IF(ISNUMBER($F75),$F75,0)+$K75)</f>
        <v/>
      </c>
      <c r="M75" s="56" t="str">
        <f>IF(OR($A75="",NOT(ISNUMBER($E75))),"",$E75-Config!$B$4)</f>
        <v/>
      </c>
      <c r="N75" s="49" t="str">
        <f>IF($M75="","",IF($M75&lt;0,"Expired",IF($M75&lt;=Config!$B$6,"&lt;="&amp;Config!$B$6,IF($M75&lt;=Config!$B$7,(Config!$B$6+1)&amp;"-"&amp;Config!$B$7,IF($M75&lt;=Config!$B$8,(Config!$B$7+1)&amp;"-"&amp;Config!$B$8,"&gt;"&amp;Config!$B$8)))))</f>
        <v/>
      </c>
      <c r="O75" s="52" t="str">
        <f>IF($M75="","",IF($M75&lt;0,0,IF($M75&lt;=Config!$B$6,1,IF($M75&lt;=Config!$B$7,2,IF($M75&lt;=Config!$B$8,3,4)))))</f>
        <v/>
      </c>
      <c r="P75" s="50" t="str">
        <f>IF($A75="","",IF($L75&lt;=0,0,IF(OR(IFERROR(INDEX(Config!$F$15:$F$34,MATCH($G75,Config!$E$15:$E$34,0)),"No")="Yes",AND(Config!$B$10="Yes",ISNUMBER($M75),$M75&lt;0)),$L75,0)))</f>
        <v/>
      </c>
      <c r="Q75" s="52" t="str">
        <f>IF($A75="","",IF(AND($L75&gt;0,ISNUMBER($M75)),IF($M75&lt;=Config!$B$8,1,0),0))</f>
        <v/>
      </c>
      <c r="R75" s="52" t="str">
        <f>IF($Q75=1,COUNTIFS($Q$2:$Q$301,1,$E$2:$E$301,"&lt;"&amp;$E75)+COUNTIFS($Q$2:$Q75,1,$E$2:$E75,$E75),"")</f>
        <v/>
      </c>
      <c r="S75" s="49" t="str">
        <f>IF(COUNTA($A75:$I75)=0,"",IF($A75="","Missing: lot",IF(COUNTIF($A$2:$A$301,$A75)&gt;1,"Duplicate lot",IF($B75="","Missing: SKU",IF(NOT(ISNUMBER($E75)),"Missing: expiry date",IF($G75="","Missing: status",IF(COUNTIF(Products!$A$2:$A$101,$B75)=0,"Unknown SKU",IF(AND($C75&lt;&gt;"",COUNTIF(Suppliers!$A$2:$A$51,$C75)=0),"Unknown supplier",IF(COUNTIF(Config!$E$15:$E$34,$G75)=0,"Unsupported status",IF($L75&lt;0,"Negative lot balance",IF(AND($G75="Closed",$L75&lt;&gt;0),"Closed lot still has stock","OK")))))))))))</f>
        <v/>
      </c>
    </row>
    <row r="76">
      <c r="A76" s="46" t="n"/>
      <c r="B76" s="46" t="n"/>
      <c r="C76" s="46" t="n"/>
      <c r="D76" s="54" t="n"/>
      <c r="E76" s="54" t="n"/>
      <c r="F76" s="48" t="n"/>
      <c r="G76" s="46" t="n"/>
      <c r="H76" s="46" t="n"/>
      <c r="I76" s="46" t="n"/>
      <c r="J76" s="49" t="str">
        <f>IF($A76="","",IFERROR(INDEX(Products!$B$2:$B$101,MATCH($B76,Products!$A$2:$A$101,0))&amp;"","(not found)"))</f>
        <v/>
      </c>
      <c r="K76" s="51" t="str">
        <f>IF($A76="","",SUMIFS(Inventory_Ledger!$M$2:$M$2001,Inventory_Ledger!$F$2:$F$2001,$A76))</f>
        <v/>
      </c>
      <c r="L76" s="51" t="str">
        <f>IF($A76="","",IF(ISNUMBER($F76),$F76,0)+$K76)</f>
        <v/>
      </c>
      <c r="M76" s="56" t="str">
        <f>IF(OR($A76="",NOT(ISNUMBER($E76))),"",$E76-Config!$B$4)</f>
        <v/>
      </c>
      <c r="N76" s="49" t="str">
        <f>IF($M76="","",IF($M76&lt;0,"Expired",IF($M76&lt;=Config!$B$6,"&lt;="&amp;Config!$B$6,IF($M76&lt;=Config!$B$7,(Config!$B$6+1)&amp;"-"&amp;Config!$B$7,IF($M76&lt;=Config!$B$8,(Config!$B$7+1)&amp;"-"&amp;Config!$B$8,"&gt;"&amp;Config!$B$8)))))</f>
        <v/>
      </c>
      <c r="O76" s="52" t="str">
        <f>IF($M76="","",IF($M76&lt;0,0,IF($M76&lt;=Config!$B$6,1,IF($M76&lt;=Config!$B$7,2,IF($M76&lt;=Config!$B$8,3,4)))))</f>
        <v/>
      </c>
      <c r="P76" s="50" t="str">
        <f>IF($A76="","",IF($L76&lt;=0,0,IF(OR(IFERROR(INDEX(Config!$F$15:$F$34,MATCH($G76,Config!$E$15:$E$34,0)),"No")="Yes",AND(Config!$B$10="Yes",ISNUMBER($M76),$M76&lt;0)),$L76,0)))</f>
        <v/>
      </c>
      <c r="Q76" s="52" t="str">
        <f>IF($A76="","",IF(AND($L76&gt;0,ISNUMBER($M76)),IF($M76&lt;=Config!$B$8,1,0),0))</f>
        <v/>
      </c>
      <c r="R76" s="52" t="str">
        <f>IF($Q76=1,COUNTIFS($Q$2:$Q$301,1,$E$2:$E$301,"&lt;"&amp;$E76)+COUNTIFS($Q$2:$Q76,1,$E$2:$E76,$E76),"")</f>
        <v/>
      </c>
      <c r="S76" s="49" t="str">
        <f>IF(COUNTA($A76:$I76)=0,"",IF($A76="","Missing: lot",IF(COUNTIF($A$2:$A$301,$A76)&gt;1,"Duplicate lot",IF($B76="","Missing: SKU",IF(NOT(ISNUMBER($E76)),"Missing: expiry date",IF($G76="","Missing: status",IF(COUNTIF(Products!$A$2:$A$101,$B76)=0,"Unknown SKU",IF(AND($C76&lt;&gt;"",COUNTIF(Suppliers!$A$2:$A$51,$C76)=0),"Unknown supplier",IF(COUNTIF(Config!$E$15:$E$34,$G76)=0,"Unsupported status",IF($L76&lt;0,"Negative lot balance",IF(AND($G76="Closed",$L76&lt;&gt;0),"Closed lot still has stock","OK")))))))))))</f>
        <v/>
      </c>
    </row>
    <row r="77">
      <c r="A77" s="46" t="n"/>
      <c r="B77" s="46" t="n"/>
      <c r="C77" s="46" t="n"/>
      <c r="D77" s="54" t="n"/>
      <c r="E77" s="54" t="n"/>
      <c r="F77" s="48" t="n"/>
      <c r="G77" s="46" t="n"/>
      <c r="H77" s="46" t="n"/>
      <c r="I77" s="46" t="n"/>
      <c r="J77" s="49" t="str">
        <f>IF($A77="","",IFERROR(INDEX(Products!$B$2:$B$101,MATCH($B77,Products!$A$2:$A$101,0))&amp;"","(not found)"))</f>
        <v/>
      </c>
      <c r="K77" s="51" t="str">
        <f>IF($A77="","",SUMIFS(Inventory_Ledger!$M$2:$M$2001,Inventory_Ledger!$F$2:$F$2001,$A77))</f>
        <v/>
      </c>
      <c r="L77" s="51" t="str">
        <f>IF($A77="","",IF(ISNUMBER($F77),$F77,0)+$K77)</f>
        <v/>
      </c>
      <c r="M77" s="56" t="str">
        <f>IF(OR($A77="",NOT(ISNUMBER($E77))),"",$E77-Config!$B$4)</f>
        <v/>
      </c>
      <c r="N77" s="49" t="str">
        <f>IF($M77="","",IF($M77&lt;0,"Expired",IF($M77&lt;=Config!$B$6,"&lt;="&amp;Config!$B$6,IF($M77&lt;=Config!$B$7,(Config!$B$6+1)&amp;"-"&amp;Config!$B$7,IF($M77&lt;=Config!$B$8,(Config!$B$7+1)&amp;"-"&amp;Config!$B$8,"&gt;"&amp;Config!$B$8)))))</f>
        <v/>
      </c>
      <c r="O77" s="52" t="str">
        <f>IF($M77="","",IF($M77&lt;0,0,IF($M77&lt;=Config!$B$6,1,IF($M77&lt;=Config!$B$7,2,IF($M77&lt;=Config!$B$8,3,4)))))</f>
        <v/>
      </c>
      <c r="P77" s="50" t="str">
        <f>IF($A77="","",IF($L77&lt;=0,0,IF(OR(IFERROR(INDEX(Config!$F$15:$F$34,MATCH($G77,Config!$E$15:$E$34,0)),"No")="Yes",AND(Config!$B$10="Yes",ISNUMBER($M77),$M77&lt;0)),$L77,0)))</f>
        <v/>
      </c>
      <c r="Q77" s="52" t="str">
        <f>IF($A77="","",IF(AND($L77&gt;0,ISNUMBER($M77)),IF($M77&lt;=Config!$B$8,1,0),0))</f>
        <v/>
      </c>
      <c r="R77" s="52" t="str">
        <f>IF($Q77=1,COUNTIFS($Q$2:$Q$301,1,$E$2:$E$301,"&lt;"&amp;$E77)+COUNTIFS($Q$2:$Q77,1,$E$2:$E77,$E77),"")</f>
        <v/>
      </c>
      <c r="S77" s="49" t="str">
        <f>IF(COUNTA($A77:$I77)=0,"",IF($A77="","Missing: lot",IF(COUNTIF($A$2:$A$301,$A77)&gt;1,"Duplicate lot",IF($B77="","Missing: SKU",IF(NOT(ISNUMBER($E77)),"Missing: expiry date",IF($G77="","Missing: status",IF(COUNTIF(Products!$A$2:$A$101,$B77)=0,"Unknown SKU",IF(AND($C77&lt;&gt;"",COUNTIF(Suppliers!$A$2:$A$51,$C77)=0),"Unknown supplier",IF(COUNTIF(Config!$E$15:$E$34,$G77)=0,"Unsupported status",IF($L77&lt;0,"Negative lot balance",IF(AND($G77="Closed",$L77&lt;&gt;0),"Closed lot still has stock","OK")))))))))))</f>
        <v/>
      </c>
    </row>
    <row r="78">
      <c r="A78" s="46" t="n"/>
      <c r="B78" s="46" t="n"/>
      <c r="C78" s="46" t="n"/>
      <c r="D78" s="54" t="n"/>
      <c r="E78" s="54" t="n"/>
      <c r="F78" s="48" t="n"/>
      <c r="G78" s="46" t="n"/>
      <c r="H78" s="46" t="n"/>
      <c r="I78" s="46" t="n"/>
      <c r="J78" s="49" t="str">
        <f>IF($A78="","",IFERROR(INDEX(Products!$B$2:$B$101,MATCH($B78,Products!$A$2:$A$101,0))&amp;"","(not found)"))</f>
        <v/>
      </c>
      <c r="K78" s="51" t="str">
        <f>IF($A78="","",SUMIFS(Inventory_Ledger!$M$2:$M$2001,Inventory_Ledger!$F$2:$F$2001,$A78))</f>
        <v/>
      </c>
      <c r="L78" s="51" t="str">
        <f>IF($A78="","",IF(ISNUMBER($F78),$F78,0)+$K78)</f>
        <v/>
      </c>
      <c r="M78" s="56" t="str">
        <f>IF(OR($A78="",NOT(ISNUMBER($E78))),"",$E78-Config!$B$4)</f>
        <v/>
      </c>
      <c r="N78" s="49" t="str">
        <f>IF($M78="","",IF($M78&lt;0,"Expired",IF($M78&lt;=Config!$B$6,"&lt;="&amp;Config!$B$6,IF($M78&lt;=Config!$B$7,(Config!$B$6+1)&amp;"-"&amp;Config!$B$7,IF($M78&lt;=Config!$B$8,(Config!$B$7+1)&amp;"-"&amp;Config!$B$8,"&gt;"&amp;Config!$B$8)))))</f>
        <v/>
      </c>
      <c r="O78" s="52" t="str">
        <f>IF($M78="","",IF($M78&lt;0,0,IF($M78&lt;=Config!$B$6,1,IF($M78&lt;=Config!$B$7,2,IF($M78&lt;=Config!$B$8,3,4)))))</f>
        <v/>
      </c>
      <c r="P78" s="50" t="str">
        <f>IF($A78="","",IF($L78&lt;=0,0,IF(OR(IFERROR(INDEX(Config!$F$15:$F$34,MATCH($G78,Config!$E$15:$E$34,0)),"No")="Yes",AND(Config!$B$10="Yes",ISNUMBER($M78),$M78&lt;0)),$L78,0)))</f>
        <v/>
      </c>
      <c r="Q78" s="52" t="str">
        <f>IF($A78="","",IF(AND($L78&gt;0,ISNUMBER($M78)),IF($M78&lt;=Config!$B$8,1,0),0))</f>
        <v/>
      </c>
      <c r="R78" s="52" t="str">
        <f>IF($Q78=1,COUNTIFS($Q$2:$Q$301,1,$E$2:$E$301,"&lt;"&amp;$E78)+COUNTIFS($Q$2:$Q78,1,$E$2:$E78,$E78),"")</f>
        <v/>
      </c>
      <c r="S78" s="49" t="str">
        <f>IF(COUNTA($A78:$I78)=0,"",IF($A78="","Missing: lot",IF(COUNTIF($A$2:$A$301,$A78)&gt;1,"Duplicate lot",IF($B78="","Missing: SKU",IF(NOT(ISNUMBER($E78)),"Missing: expiry date",IF($G78="","Missing: status",IF(COUNTIF(Products!$A$2:$A$101,$B78)=0,"Unknown SKU",IF(AND($C78&lt;&gt;"",COUNTIF(Suppliers!$A$2:$A$51,$C78)=0),"Unknown supplier",IF(COUNTIF(Config!$E$15:$E$34,$G78)=0,"Unsupported status",IF($L78&lt;0,"Negative lot balance",IF(AND($G78="Closed",$L78&lt;&gt;0),"Closed lot still has stock","OK")))))))))))</f>
        <v/>
      </c>
    </row>
    <row r="79">
      <c r="A79" s="46" t="n"/>
      <c r="B79" s="46" t="n"/>
      <c r="C79" s="46" t="n"/>
      <c r="D79" s="54" t="n"/>
      <c r="E79" s="54" t="n"/>
      <c r="F79" s="48" t="n"/>
      <c r="G79" s="46" t="n"/>
      <c r="H79" s="46" t="n"/>
      <c r="I79" s="46" t="n"/>
      <c r="J79" s="49" t="str">
        <f>IF($A79="","",IFERROR(INDEX(Products!$B$2:$B$101,MATCH($B79,Products!$A$2:$A$101,0))&amp;"","(not found)"))</f>
        <v/>
      </c>
      <c r="K79" s="51" t="str">
        <f>IF($A79="","",SUMIFS(Inventory_Ledger!$M$2:$M$2001,Inventory_Ledger!$F$2:$F$2001,$A79))</f>
        <v/>
      </c>
      <c r="L79" s="51" t="str">
        <f>IF($A79="","",IF(ISNUMBER($F79),$F79,0)+$K79)</f>
        <v/>
      </c>
      <c r="M79" s="56" t="str">
        <f>IF(OR($A79="",NOT(ISNUMBER($E79))),"",$E79-Config!$B$4)</f>
        <v/>
      </c>
      <c r="N79" s="49" t="str">
        <f>IF($M79="","",IF($M79&lt;0,"Expired",IF($M79&lt;=Config!$B$6,"&lt;="&amp;Config!$B$6,IF($M79&lt;=Config!$B$7,(Config!$B$6+1)&amp;"-"&amp;Config!$B$7,IF($M79&lt;=Config!$B$8,(Config!$B$7+1)&amp;"-"&amp;Config!$B$8,"&gt;"&amp;Config!$B$8)))))</f>
        <v/>
      </c>
      <c r="O79" s="52" t="str">
        <f>IF($M79="","",IF($M79&lt;0,0,IF($M79&lt;=Config!$B$6,1,IF($M79&lt;=Config!$B$7,2,IF($M79&lt;=Config!$B$8,3,4)))))</f>
        <v/>
      </c>
      <c r="P79" s="50" t="str">
        <f>IF($A79="","",IF($L79&lt;=0,0,IF(OR(IFERROR(INDEX(Config!$F$15:$F$34,MATCH($G79,Config!$E$15:$E$34,0)),"No")="Yes",AND(Config!$B$10="Yes",ISNUMBER($M79),$M79&lt;0)),$L79,0)))</f>
        <v/>
      </c>
      <c r="Q79" s="52" t="str">
        <f>IF($A79="","",IF(AND($L79&gt;0,ISNUMBER($M79)),IF($M79&lt;=Config!$B$8,1,0),0))</f>
        <v/>
      </c>
      <c r="R79" s="52" t="str">
        <f>IF($Q79=1,COUNTIFS($Q$2:$Q$301,1,$E$2:$E$301,"&lt;"&amp;$E79)+COUNTIFS($Q$2:$Q79,1,$E$2:$E79,$E79),"")</f>
        <v/>
      </c>
      <c r="S79" s="49" t="str">
        <f>IF(COUNTA($A79:$I79)=0,"",IF($A79="","Missing: lot",IF(COUNTIF($A$2:$A$301,$A79)&gt;1,"Duplicate lot",IF($B79="","Missing: SKU",IF(NOT(ISNUMBER($E79)),"Missing: expiry date",IF($G79="","Missing: status",IF(COUNTIF(Products!$A$2:$A$101,$B79)=0,"Unknown SKU",IF(AND($C79&lt;&gt;"",COUNTIF(Suppliers!$A$2:$A$51,$C79)=0),"Unknown supplier",IF(COUNTIF(Config!$E$15:$E$34,$G79)=0,"Unsupported status",IF($L79&lt;0,"Negative lot balance",IF(AND($G79="Closed",$L79&lt;&gt;0),"Closed lot still has stock","OK")))))))))))</f>
        <v/>
      </c>
    </row>
    <row r="80">
      <c r="A80" s="46" t="n"/>
      <c r="B80" s="46" t="n"/>
      <c r="C80" s="46" t="n"/>
      <c r="D80" s="54" t="n"/>
      <c r="E80" s="54" t="n"/>
      <c r="F80" s="48" t="n"/>
      <c r="G80" s="46" t="n"/>
      <c r="H80" s="46" t="n"/>
      <c r="I80" s="46" t="n"/>
      <c r="J80" s="49" t="str">
        <f>IF($A80="","",IFERROR(INDEX(Products!$B$2:$B$101,MATCH($B80,Products!$A$2:$A$101,0))&amp;"","(not found)"))</f>
        <v/>
      </c>
      <c r="K80" s="51" t="str">
        <f>IF($A80="","",SUMIFS(Inventory_Ledger!$M$2:$M$2001,Inventory_Ledger!$F$2:$F$2001,$A80))</f>
        <v/>
      </c>
      <c r="L80" s="51" t="str">
        <f>IF($A80="","",IF(ISNUMBER($F80),$F80,0)+$K80)</f>
        <v/>
      </c>
      <c r="M80" s="56" t="str">
        <f>IF(OR($A80="",NOT(ISNUMBER($E80))),"",$E80-Config!$B$4)</f>
        <v/>
      </c>
      <c r="N80" s="49" t="str">
        <f>IF($M80="","",IF($M80&lt;0,"Expired",IF($M80&lt;=Config!$B$6,"&lt;="&amp;Config!$B$6,IF($M80&lt;=Config!$B$7,(Config!$B$6+1)&amp;"-"&amp;Config!$B$7,IF($M80&lt;=Config!$B$8,(Config!$B$7+1)&amp;"-"&amp;Config!$B$8,"&gt;"&amp;Config!$B$8)))))</f>
        <v/>
      </c>
      <c r="O80" s="52" t="str">
        <f>IF($M80="","",IF($M80&lt;0,0,IF($M80&lt;=Config!$B$6,1,IF($M80&lt;=Config!$B$7,2,IF($M80&lt;=Config!$B$8,3,4)))))</f>
        <v/>
      </c>
      <c r="P80" s="50" t="str">
        <f>IF($A80="","",IF($L80&lt;=0,0,IF(OR(IFERROR(INDEX(Config!$F$15:$F$34,MATCH($G80,Config!$E$15:$E$34,0)),"No")="Yes",AND(Config!$B$10="Yes",ISNUMBER($M80),$M80&lt;0)),$L80,0)))</f>
        <v/>
      </c>
      <c r="Q80" s="52" t="str">
        <f>IF($A80="","",IF(AND($L80&gt;0,ISNUMBER($M80)),IF($M80&lt;=Config!$B$8,1,0),0))</f>
        <v/>
      </c>
      <c r="R80" s="52" t="str">
        <f>IF($Q80=1,COUNTIFS($Q$2:$Q$301,1,$E$2:$E$301,"&lt;"&amp;$E80)+COUNTIFS($Q$2:$Q80,1,$E$2:$E80,$E80),"")</f>
        <v/>
      </c>
      <c r="S80" s="49" t="str">
        <f>IF(COUNTA($A80:$I80)=0,"",IF($A80="","Missing: lot",IF(COUNTIF($A$2:$A$301,$A80)&gt;1,"Duplicate lot",IF($B80="","Missing: SKU",IF(NOT(ISNUMBER($E80)),"Missing: expiry date",IF($G80="","Missing: status",IF(COUNTIF(Products!$A$2:$A$101,$B80)=0,"Unknown SKU",IF(AND($C80&lt;&gt;"",COUNTIF(Suppliers!$A$2:$A$51,$C80)=0),"Unknown supplier",IF(COUNTIF(Config!$E$15:$E$34,$G80)=0,"Unsupported status",IF($L80&lt;0,"Negative lot balance",IF(AND($G80="Closed",$L80&lt;&gt;0),"Closed lot still has stock","OK")))))))))))</f>
        <v/>
      </c>
    </row>
    <row r="81">
      <c r="A81" s="46" t="n"/>
      <c r="B81" s="46" t="n"/>
      <c r="C81" s="46" t="n"/>
      <c r="D81" s="54" t="n"/>
      <c r="E81" s="54" t="n"/>
      <c r="F81" s="48" t="n"/>
      <c r="G81" s="46" t="n"/>
      <c r="H81" s="46" t="n"/>
      <c r="I81" s="46" t="n"/>
      <c r="J81" s="49" t="str">
        <f>IF($A81="","",IFERROR(INDEX(Products!$B$2:$B$101,MATCH($B81,Products!$A$2:$A$101,0))&amp;"","(not found)"))</f>
        <v/>
      </c>
      <c r="K81" s="51" t="str">
        <f>IF($A81="","",SUMIFS(Inventory_Ledger!$M$2:$M$2001,Inventory_Ledger!$F$2:$F$2001,$A81))</f>
        <v/>
      </c>
      <c r="L81" s="51" t="str">
        <f>IF($A81="","",IF(ISNUMBER($F81),$F81,0)+$K81)</f>
        <v/>
      </c>
      <c r="M81" s="56" t="str">
        <f>IF(OR($A81="",NOT(ISNUMBER($E81))),"",$E81-Config!$B$4)</f>
        <v/>
      </c>
      <c r="N81" s="49" t="str">
        <f>IF($M81="","",IF($M81&lt;0,"Expired",IF($M81&lt;=Config!$B$6,"&lt;="&amp;Config!$B$6,IF($M81&lt;=Config!$B$7,(Config!$B$6+1)&amp;"-"&amp;Config!$B$7,IF($M81&lt;=Config!$B$8,(Config!$B$7+1)&amp;"-"&amp;Config!$B$8,"&gt;"&amp;Config!$B$8)))))</f>
        <v/>
      </c>
      <c r="O81" s="52" t="str">
        <f>IF($M81="","",IF($M81&lt;0,0,IF($M81&lt;=Config!$B$6,1,IF($M81&lt;=Config!$B$7,2,IF($M81&lt;=Config!$B$8,3,4)))))</f>
        <v/>
      </c>
      <c r="P81" s="50" t="str">
        <f>IF($A81="","",IF($L81&lt;=0,0,IF(OR(IFERROR(INDEX(Config!$F$15:$F$34,MATCH($G81,Config!$E$15:$E$34,0)),"No")="Yes",AND(Config!$B$10="Yes",ISNUMBER($M81),$M81&lt;0)),$L81,0)))</f>
        <v/>
      </c>
      <c r="Q81" s="52" t="str">
        <f>IF($A81="","",IF(AND($L81&gt;0,ISNUMBER($M81)),IF($M81&lt;=Config!$B$8,1,0),0))</f>
        <v/>
      </c>
      <c r="R81" s="52" t="str">
        <f>IF($Q81=1,COUNTIFS($Q$2:$Q$301,1,$E$2:$E$301,"&lt;"&amp;$E81)+COUNTIFS($Q$2:$Q81,1,$E$2:$E81,$E81),"")</f>
        <v/>
      </c>
      <c r="S81" s="49" t="str">
        <f>IF(COUNTA($A81:$I81)=0,"",IF($A81="","Missing: lot",IF(COUNTIF($A$2:$A$301,$A81)&gt;1,"Duplicate lot",IF($B81="","Missing: SKU",IF(NOT(ISNUMBER($E81)),"Missing: expiry date",IF($G81="","Missing: status",IF(COUNTIF(Products!$A$2:$A$101,$B81)=0,"Unknown SKU",IF(AND($C81&lt;&gt;"",COUNTIF(Suppliers!$A$2:$A$51,$C81)=0),"Unknown supplier",IF(COUNTIF(Config!$E$15:$E$34,$G81)=0,"Unsupported status",IF($L81&lt;0,"Negative lot balance",IF(AND($G81="Closed",$L81&lt;&gt;0),"Closed lot still has stock","OK")))))))))))</f>
        <v/>
      </c>
    </row>
    <row r="82">
      <c r="A82" s="46" t="n"/>
      <c r="B82" s="46" t="n"/>
      <c r="C82" s="46" t="n"/>
      <c r="D82" s="54" t="n"/>
      <c r="E82" s="54" t="n"/>
      <c r="F82" s="48" t="n"/>
      <c r="G82" s="46" t="n"/>
      <c r="H82" s="46" t="n"/>
      <c r="I82" s="46" t="n"/>
      <c r="J82" s="49" t="str">
        <f>IF($A82="","",IFERROR(INDEX(Products!$B$2:$B$101,MATCH($B82,Products!$A$2:$A$101,0))&amp;"","(not found)"))</f>
        <v/>
      </c>
      <c r="K82" s="51" t="str">
        <f>IF($A82="","",SUMIFS(Inventory_Ledger!$M$2:$M$2001,Inventory_Ledger!$F$2:$F$2001,$A82))</f>
        <v/>
      </c>
      <c r="L82" s="51" t="str">
        <f>IF($A82="","",IF(ISNUMBER($F82),$F82,0)+$K82)</f>
        <v/>
      </c>
      <c r="M82" s="56" t="str">
        <f>IF(OR($A82="",NOT(ISNUMBER($E82))),"",$E82-Config!$B$4)</f>
        <v/>
      </c>
      <c r="N82" s="49" t="str">
        <f>IF($M82="","",IF($M82&lt;0,"Expired",IF($M82&lt;=Config!$B$6,"&lt;="&amp;Config!$B$6,IF($M82&lt;=Config!$B$7,(Config!$B$6+1)&amp;"-"&amp;Config!$B$7,IF($M82&lt;=Config!$B$8,(Config!$B$7+1)&amp;"-"&amp;Config!$B$8,"&gt;"&amp;Config!$B$8)))))</f>
        <v/>
      </c>
      <c r="O82" s="52" t="str">
        <f>IF($M82="","",IF($M82&lt;0,0,IF($M82&lt;=Config!$B$6,1,IF($M82&lt;=Config!$B$7,2,IF($M82&lt;=Config!$B$8,3,4)))))</f>
        <v/>
      </c>
      <c r="P82" s="50" t="str">
        <f>IF($A82="","",IF($L82&lt;=0,0,IF(OR(IFERROR(INDEX(Config!$F$15:$F$34,MATCH($G82,Config!$E$15:$E$34,0)),"No")="Yes",AND(Config!$B$10="Yes",ISNUMBER($M82),$M82&lt;0)),$L82,0)))</f>
        <v/>
      </c>
      <c r="Q82" s="52" t="str">
        <f>IF($A82="","",IF(AND($L82&gt;0,ISNUMBER($M82)),IF($M82&lt;=Config!$B$8,1,0),0))</f>
        <v/>
      </c>
      <c r="R82" s="52" t="str">
        <f>IF($Q82=1,COUNTIFS($Q$2:$Q$301,1,$E$2:$E$301,"&lt;"&amp;$E82)+COUNTIFS($Q$2:$Q82,1,$E$2:$E82,$E82),"")</f>
        <v/>
      </c>
      <c r="S82" s="49" t="str">
        <f>IF(COUNTA($A82:$I82)=0,"",IF($A82="","Missing: lot",IF(COUNTIF($A$2:$A$301,$A82)&gt;1,"Duplicate lot",IF($B82="","Missing: SKU",IF(NOT(ISNUMBER($E82)),"Missing: expiry date",IF($G82="","Missing: status",IF(COUNTIF(Products!$A$2:$A$101,$B82)=0,"Unknown SKU",IF(AND($C82&lt;&gt;"",COUNTIF(Suppliers!$A$2:$A$51,$C82)=0),"Unknown supplier",IF(COUNTIF(Config!$E$15:$E$34,$G82)=0,"Unsupported status",IF($L82&lt;0,"Negative lot balance",IF(AND($G82="Closed",$L82&lt;&gt;0),"Closed lot still has stock","OK")))))))))))</f>
        <v/>
      </c>
    </row>
    <row r="83">
      <c r="A83" s="46" t="n"/>
      <c r="B83" s="46" t="n"/>
      <c r="C83" s="46" t="n"/>
      <c r="D83" s="54" t="n"/>
      <c r="E83" s="54" t="n"/>
      <c r="F83" s="48" t="n"/>
      <c r="G83" s="46" t="n"/>
      <c r="H83" s="46" t="n"/>
      <c r="I83" s="46" t="n"/>
      <c r="J83" s="49" t="str">
        <f>IF($A83="","",IFERROR(INDEX(Products!$B$2:$B$101,MATCH($B83,Products!$A$2:$A$101,0))&amp;"","(not found)"))</f>
        <v/>
      </c>
      <c r="K83" s="51" t="str">
        <f>IF($A83="","",SUMIFS(Inventory_Ledger!$M$2:$M$2001,Inventory_Ledger!$F$2:$F$2001,$A83))</f>
        <v/>
      </c>
      <c r="L83" s="51" t="str">
        <f>IF($A83="","",IF(ISNUMBER($F83),$F83,0)+$K83)</f>
        <v/>
      </c>
      <c r="M83" s="56" t="str">
        <f>IF(OR($A83="",NOT(ISNUMBER($E83))),"",$E83-Config!$B$4)</f>
        <v/>
      </c>
      <c r="N83" s="49" t="str">
        <f>IF($M83="","",IF($M83&lt;0,"Expired",IF($M83&lt;=Config!$B$6,"&lt;="&amp;Config!$B$6,IF($M83&lt;=Config!$B$7,(Config!$B$6+1)&amp;"-"&amp;Config!$B$7,IF($M83&lt;=Config!$B$8,(Config!$B$7+1)&amp;"-"&amp;Config!$B$8,"&gt;"&amp;Config!$B$8)))))</f>
        <v/>
      </c>
      <c r="O83" s="52" t="str">
        <f>IF($M83="","",IF($M83&lt;0,0,IF($M83&lt;=Config!$B$6,1,IF($M83&lt;=Config!$B$7,2,IF($M83&lt;=Config!$B$8,3,4)))))</f>
        <v/>
      </c>
      <c r="P83" s="50" t="str">
        <f>IF($A83="","",IF($L83&lt;=0,0,IF(OR(IFERROR(INDEX(Config!$F$15:$F$34,MATCH($G83,Config!$E$15:$E$34,0)),"No")="Yes",AND(Config!$B$10="Yes",ISNUMBER($M83),$M83&lt;0)),$L83,0)))</f>
        <v/>
      </c>
      <c r="Q83" s="52" t="str">
        <f>IF($A83="","",IF(AND($L83&gt;0,ISNUMBER($M83)),IF($M83&lt;=Config!$B$8,1,0),0))</f>
        <v/>
      </c>
      <c r="R83" s="52" t="str">
        <f>IF($Q83=1,COUNTIFS($Q$2:$Q$301,1,$E$2:$E$301,"&lt;"&amp;$E83)+COUNTIFS($Q$2:$Q83,1,$E$2:$E83,$E83),"")</f>
        <v/>
      </c>
      <c r="S83" s="49" t="str">
        <f>IF(COUNTA($A83:$I83)=0,"",IF($A83="","Missing: lot",IF(COUNTIF($A$2:$A$301,$A83)&gt;1,"Duplicate lot",IF($B83="","Missing: SKU",IF(NOT(ISNUMBER($E83)),"Missing: expiry date",IF($G83="","Missing: status",IF(COUNTIF(Products!$A$2:$A$101,$B83)=0,"Unknown SKU",IF(AND($C83&lt;&gt;"",COUNTIF(Suppliers!$A$2:$A$51,$C83)=0),"Unknown supplier",IF(COUNTIF(Config!$E$15:$E$34,$G83)=0,"Unsupported status",IF($L83&lt;0,"Negative lot balance",IF(AND($G83="Closed",$L83&lt;&gt;0),"Closed lot still has stock","OK")))))))))))</f>
        <v/>
      </c>
    </row>
    <row r="84">
      <c r="A84" s="46" t="n"/>
      <c r="B84" s="46" t="n"/>
      <c r="C84" s="46" t="n"/>
      <c r="D84" s="54" t="n"/>
      <c r="E84" s="54" t="n"/>
      <c r="F84" s="48" t="n"/>
      <c r="G84" s="46" t="n"/>
      <c r="H84" s="46" t="n"/>
      <c r="I84" s="46" t="n"/>
      <c r="J84" s="49" t="str">
        <f>IF($A84="","",IFERROR(INDEX(Products!$B$2:$B$101,MATCH($B84,Products!$A$2:$A$101,0))&amp;"","(not found)"))</f>
        <v/>
      </c>
      <c r="K84" s="51" t="str">
        <f>IF($A84="","",SUMIFS(Inventory_Ledger!$M$2:$M$2001,Inventory_Ledger!$F$2:$F$2001,$A84))</f>
        <v/>
      </c>
      <c r="L84" s="51" t="str">
        <f>IF($A84="","",IF(ISNUMBER($F84),$F84,0)+$K84)</f>
        <v/>
      </c>
      <c r="M84" s="56" t="str">
        <f>IF(OR($A84="",NOT(ISNUMBER($E84))),"",$E84-Config!$B$4)</f>
        <v/>
      </c>
      <c r="N84" s="49" t="str">
        <f>IF($M84="","",IF($M84&lt;0,"Expired",IF($M84&lt;=Config!$B$6,"&lt;="&amp;Config!$B$6,IF($M84&lt;=Config!$B$7,(Config!$B$6+1)&amp;"-"&amp;Config!$B$7,IF($M84&lt;=Config!$B$8,(Config!$B$7+1)&amp;"-"&amp;Config!$B$8,"&gt;"&amp;Config!$B$8)))))</f>
        <v/>
      </c>
      <c r="O84" s="52" t="str">
        <f>IF($M84="","",IF($M84&lt;0,0,IF($M84&lt;=Config!$B$6,1,IF($M84&lt;=Config!$B$7,2,IF($M84&lt;=Config!$B$8,3,4)))))</f>
        <v/>
      </c>
      <c r="P84" s="50" t="str">
        <f>IF($A84="","",IF($L84&lt;=0,0,IF(OR(IFERROR(INDEX(Config!$F$15:$F$34,MATCH($G84,Config!$E$15:$E$34,0)),"No")="Yes",AND(Config!$B$10="Yes",ISNUMBER($M84),$M84&lt;0)),$L84,0)))</f>
        <v/>
      </c>
      <c r="Q84" s="52" t="str">
        <f>IF($A84="","",IF(AND($L84&gt;0,ISNUMBER($M84)),IF($M84&lt;=Config!$B$8,1,0),0))</f>
        <v/>
      </c>
      <c r="R84" s="52" t="str">
        <f>IF($Q84=1,COUNTIFS($Q$2:$Q$301,1,$E$2:$E$301,"&lt;"&amp;$E84)+COUNTIFS($Q$2:$Q84,1,$E$2:$E84,$E84),"")</f>
        <v/>
      </c>
      <c r="S84" s="49" t="str">
        <f>IF(COUNTA($A84:$I84)=0,"",IF($A84="","Missing: lot",IF(COUNTIF($A$2:$A$301,$A84)&gt;1,"Duplicate lot",IF($B84="","Missing: SKU",IF(NOT(ISNUMBER($E84)),"Missing: expiry date",IF($G84="","Missing: status",IF(COUNTIF(Products!$A$2:$A$101,$B84)=0,"Unknown SKU",IF(AND($C84&lt;&gt;"",COUNTIF(Suppliers!$A$2:$A$51,$C84)=0),"Unknown supplier",IF(COUNTIF(Config!$E$15:$E$34,$G84)=0,"Unsupported status",IF($L84&lt;0,"Negative lot balance",IF(AND($G84="Closed",$L84&lt;&gt;0),"Closed lot still has stock","OK")))))))))))</f>
        <v/>
      </c>
    </row>
    <row r="85">
      <c r="A85" s="46" t="n"/>
      <c r="B85" s="46" t="n"/>
      <c r="C85" s="46" t="n"/>
      <c r="D85" s="54" t="n"/>
      <c r="E85" s="54" t="n"/>
      <c r="F85" s="48" t="n"/>
      <c r="G85" s="46" t="n"/>
      <c r="H85" s="46" t="n"/>
      <c r="I85" s="46" t="n"/>
      <c r="J85" s="49" t="str">
        <f>IF($A85="","",IFERROR(INDEX(Products!$B$2:$B$101,MATCH($B85,Products!$A$2:$A$101,0))&amp;"","(not found)"))</f>
        <v/>
      </c>
      <c r="K85" s="51" t="str">
        <f>IF($A85="","",SUMIFS(Inventory_Ledger!$M$2:$M$2001,Inventory_Ledger!$F$2:$F$2001,$A85))</f>
        <v/>
      </c>
      <c r="L85" s="51" t="str">
        <f>IF($A85="","",IF(ISNUMBER($F85),$F85,0)+$K85)</f>
        <v/>
      </c>
      <c r="M85" s="56" t="str">
        <f>IF(OR($A85="",NOT(ISNUMBER($E85))),"",$E85-Config!$B$4)</f>
        <v/>
      </c>
      <c r="N85" s="49" t="str">
        <f>IF($M85="","",IF($M85&lt;0,"Expired",IF($M85&lt;=Config!$B$6,"&lt;="&amp;Config!$B$6,IF($M85&lt;=Config!$B$7,(Config!$B$6+1)&amp;"-"&amp;Config!$B$7,IF($M85&lt;=Config!$B$8,(Config!$B$7+1)&amp;"-"&amp;Config!$B$8,"&gt;"&amp;Config!$B$8)))))</f>
        <v/>
      </c>
      <c r="O85" s="52" t="str">
        <f>IF($M85="","",IF($M85&lt;0,0,IF($M85&lt;=Config!$B$6,1,IF($M85&lt;=Config!$B$7,2,IF($M85&lt;=Config!$B$8,3,4)))))</f>
        <v/>
      </c>
      <c r="P85" s="50" t="str">
        <f>IF($A85="","",IF($L85&lt;=0,0,IF(OR(IFERROR(INDEX(Config!$F$15:$F$34,MATCH($G85,Config!$E$15:$E$34,0)),"No")="Yes",AND(Config!$B$10="Yes",ISNUMBER($M85),$M85&lt;0)),$L85,0)))</f>
        <v/>
      </c>
      <c r="Q85" s="52" t="str">
        <f>IF($A85="","",IF(AND($L85&gt;0,ISNUMBER($M85)),IF($M85&lt;=Config!$B$8,1,0),0))</f>
        <v/>
      </c>
      <c r="R85" s="52" t="str">
        <f>IF($Q85=1,COUNTIFS($Q$2:$Q$301,1,$E$2:$E$301,"&lt;"&amp;$E85)+COUNTIFS($Q$2:$Q85,1,$E$2:$E85,$E85),"")</f>
        <v/>
      </c>
      <c r="S85" s="49" t="str">
        <f>IF(COUNTA($A85:$I85)=0,"",IF($A85="","Missing: lot",IF(COUNTIF($A$2:$A$301,$A85)&gt;1,"Duplicate lot",IF($B85="","Missing: SKU",IF(NOT(ISNUMBER($E85)),"Missing: expiry date",IF($G85="","Missing: status",IF(COUNTIF(Products!$A$2:$A$101,$B85)=0,"Unknown SKU",IF(AND($C85&lt;&gt;"",COUNTIF(Suppliers!$A$2:$A$51,$C85)=0),"Unknown supplier",IF(COUNTIF(Config!$E$15:$E$34,$G85)=0,"Unsupported status",IF($L85&lt;0,"Negative lot balance",IF(AND($G85="Closed",$L85&lt;&gt;0),"Closed lot still has stock","OK")))))))))))</f>
        <v/>
      </c>
    </row>
    <row r="86">
      <c r="A86" s="46" t="n"/>
      <c r="B86" s="46" t="n"/>
      <c r="C86" s="46" t="n"/>
      <c r="D86" s="54" t="n"/>
      <c r="E86" s="54" t="n"/>
      <c r="F86" s="48" t="n"/>
      <c r="G86" s="46" t="n"/>
      <c r="H86" s="46" t="n"/>
      <c r="I86" s="46" t="n"/>
      <c r="J86" s="49" t="str">
        <f>IF($A86="","",IFERROR(INDEX(Products!$B$2:$B$101,MATCH($B86,Products!$A$2:$A$101,0))&amp;"","(not found)"))</f>
        <v/>
      </c>
      <c r="K86" s="51" t="str">
        <f>IF($A86="","",SUMIFS(Inventory_Ledger!$M$2:$M$2001,Inventory_Ledger!$F$2:$F$2001,$A86))</f>
        <v/>
      </c>
      <c r="L86" s="51" t="str">
        <f>IF($A86="","",IF(ISNUMBER($F86),$F86,0)+$K86)</f>
        <v/>
      </c>
      <c r="M86" s="56" t="str">
        <f>IF(OR($A86="",NOT(ISNUMBER($E86))),"",$E86-Config!$B$4)</f>
        <v/>
      </c>
      <c r="N86" s="49" t="str">
        <f>IF($M86="","",IF($M86&lt;0,"Expired",IF($M86&lt;=Config!$B$6,"&lt;="&amp;Config!$B$6,IF($M86&lt;=Config!$B$7,(Config!$B$6+1)&amp;"-"&amp;Config!$B$7,IF($M86&lt;=Config!$B$8,(Config!$B$7+1)&amp;"-"&amp;Config!$B$8,"&gt;"&amp;Config!$B$8)))))</f>
        <v/>
      </c>
      <c r="O86" s="52" t="str">
        <f>IF($M86="","",IF($M86&lt;0,0,IF($M86&lt;=Config!$B$6,1,IF($M86&lt;=Config!$B$7,2,IF($M86&lt;=Config!$B$8,3,4)))))</f>
        <v/>
      </c>
      <c r="P86" s="50" t="str">
        <f>IF($A86="","",IF($L86&lt;=0,0,IF(OR(IFERROR(INDEX(Config!$F$15:$F$34,MATCH($G86,Config!$E$15:$E$34,0)),"No")="Yes",AND(Config!$B$10="Yes",ISNUMBER($M86),$M86&lt;0)),$L86,0)))</f>
        <v/>
      </c>
      <c r="Q86" s="52" t="str">
        <f>IF($A86="","",IF(AND($L86&gt;0,ISNUMBER($M86)),IF($M86&lt;=Config!$B$8,1,0),0))</f>
        <v/>
      </c>
      <c r="R86" s="52" t="str">
        <f>IF($Q86=1,COUNTIFS($Q$2:$Q$301,1,$E$2:$E$301,"&lt;"&amp;$E86)+COUNTIFS($Q$2:$Q86,1,$E$2:$E86,$E86),"")</f>
        <v/>
      </c>
      <c r="S86" s="49" t="str">
        <f>IF(COUNTA($A86:$I86)=0,"",IF($A86="","Missing: lot",IF(COUNTIF($A$2:$A$301,$A86)&gt;1,"Duplicate lot",IF($B86="","Missing: SKU",IF(NOT(ISNUMBER($E86)),"Missing: expiry date",IF($G86="","Missing: status",IF(COUNTIF(Products!$A$2:$A$101,$B86)=0,"Unknown SKU",IF(AND($C86&lt;&gt;"",COUNTIF(Suppliers!$A$2:$A$51,$C86)=0),"Unknown supplier",IF(COUNTIF(Config!$E$15:$E$34,$G86)=0,"Unsupported status",IF($L86&lt;0,"Negative lot balance",IF(AND($G86="Closed",$L86&lt;&gt;0),"Closed lot still has stock","OK")))))))))))</f>
        <v/>
      </c>
    </row>
    <row r="87">
      <c r="A87" s="46" t="n"/>
      <c r="B87" s="46" t="n"/>
      <c r="C87" s="46" t="n"/>
      <c r="D87" s="54" t="n"/>
      <c r="E87" s="54" t="n"/>
      <c r="F87" s="48" t="n"/>
      <c r="G87" s="46" t="n"/>
      <c r="H87" s="46" t="n"/>
      <c r="I87" s="46" t="n"/>
      <c r="J87" s="49" t="str">
        <f>IF($A87="","",IFERROR(INDEX(Products!$B$2:$B$101,MATCH($B87,Products!$A$2:$A$101,0))&amp;"","(not found)"))</f>
        <v/>
      </c>
      <c r="K87" s="51" t="str">
        <f>IF($A87="","",SUMIFS(Inventory_Ledger!$M$2:$M$2001,Inventory_Ledger!$F$2:$F$2001,$A87))</f>
        <v/>
      </c>
      <c r="L87" s="51" t="str">
        <f>IF($A87="","",IF(ISNUMBER($F87),$F87,0)+$K87)</f>
        <v/>
      </c>
      <c r="M87" s="56" t="str">
        <f>IF(OR($A87="",NOT(ISNUMBER($E87))),"",$E87-Config!$B$4)</f>
        <v/>
      </c>
      <c r="N87" s="49" t="str">
        <f>IF($M87="","",IF($M87&lt;0,"Expired",IF($M87&lt;=Config!$B$6,"&lt;="&amp;Config!$B$6,IF($M87&lt;=Config!$B$7,(Config!$B$6+1)&amp;"-"&amp;Config!$B$7,IF($M87&lt;=Config!$B$8,(Config!$B$7+1)&amp;"-"&amp;Config!$B$8,"&gt;"&amp;Config!$B$8)))))</f>
        <v/>
      </c>
      <c r="O87" s="52" t="str">
        <f>IF($M87="","",IF($M87&lt;0,0,IF($M87&lt;=Config!$B$6,1,IF($M87&lt;=Config!$B$7,2,IF($M87&lt;=Config!$B$8,3,4)))))</f>
        <v/>
      </c>
      <c r="P87" s="50" t="str">
        <f>IF($A87="","",IF($L87&lt;=0,0,IF(OR(IFERROR(INDEX(Config!$F$15:$F$34,MATCH($G87,Config!$E$15:$E$34,0)),"No")="Yes",AND(Config!$B$10="Yes",ISNUMBER($M87),$M87&lt;0)),$L87,0)))</f>
        <v/>
      </c>
      <c r="Q87" s="52" t="str">
        <f>IF($A87="","",IF(AND($L87&gt;0,ISNUMBER($M87)),IF($M87&lt;=Config!$B$8,1,0),0))</f>
        <v/>
      </c>
      <c r="R87" s="52" t="str">
        <f>IF($Q87=1,COUNTIFS($Q$2:$Q$301,1,$E$2:$E$301,"&lt;"&amp;$E87)+COUNTIFS($Q$2:$Q87,1,$E$2:$E87,$E87),"")</f>
        <v/>
      </c>
      <c r="S87" s="49" t="str">
        <f>IF(COUNTA($A87:$I87)=0,"",IF($A87="","Missing: lot",IF(COUNTIF($A$2:$A$301,$A87)&gt;1,"Duplicate lot",IF($B87="","Missing: SKU",IF(NOT(ISNUMBER($E87)),"Missing: expiry date",IF($G87="","Missing: status",IF(COUNTIF(Products!$A$2:$A$101,$B87)=0,"Unknown SKU",IF(AND($C87&lt;&gt;"",COUNTIF(Suppliers!$A$2:$A$51,$C87)=0),"Unknown supplier",IF(COUNTIF(Config!$E$15:$E$34,$G87)=0,"Unsupported status",IF($L87&lt;0,"Negative lot balance",IF(AND($G87="Closed",$L87&lt;&gt;0),"Closed lot still has stock","OK")))))))))))</f>
        <v/>
      </c>
    </row>
    <row r="88">
      <c r="A88" s="46" t="n"/>
      <c r="B88" s="46" t="n"/>
      <c r="C88" s="46" t="n"/>
      <c r="D88" s="54" t="n"/>
      <c r="E88" s="54" t="n"/>
      <c r="F88" s="48" t="n"/>
      <c r="G88" s="46" t="n"/>
      <c r="H88" s="46" t="n"/>
      <c r="I88" s="46" t="n"/>
      <c r="J88" s="49" t="str">
        <f>IF($A88="","",IFERROR(INDEX(Products!$B$2:$B$101,MATCH($B88,Products!$A$2:$A$101,0))&amp;"","(not found)"))</f>
        <v/>
      </c>
      <c r="K88" s="51" t="str">
        <f>IF($A88="","",SUMIFS(Inventory_Ledger!$M$2:$M$2001,Inventory_Ledger!$F$2:$F$2001,$A88))</f>
        <v/>
      </c>
      <c r="L88" s="51" t="str">
        <f>IF($A88="","",IF(ISNUMBER($F88),$F88,0)+$K88)</f>
        <v/>
      </c>
      <c r="M88" s="56" t="str">
        <f>IF(OR($A88="",NOT(ISNUMBER($E88))),"",$E88-Config!$B$4)</f>
        <v/>
      </c>
      <c r="N88" s="49" t="str">
        <f>IF($M88="","",IF($M88&lt;0,"Expired",IF($M88&lt;=Config!$B$6,"&lt;="&amp;Config!$B$6,IF($M88&lt;=Config!$B$7,(Config!$B$6+1)&amp;"-"&amp;Config!$B$7,IF($M88&lt;=Config!$B$8,(Config!$B$7+1)&amp;"-"&amp;Config!$B$8,"&gt;"&amp;Config!$B$8)))))</f>
        <v/>
      </c>
      <c r="O88" s="52" t="str">
        <f>IF($M88="","",IF($M88&lt;0,0,IF($M88&lt;=Config!$B$6,1,IF($M88&lt;=Config!$B$7,2,IF($M88&lt;=Config!$B$8,3,4)))))</f>
        <v/>
      </c>
      <c r="P88" s="50" t="str">
        <f>IF($A88="","",IF($L88&lt;=0,0,IF(OR(IFERROR(INDEX(Config!$F$15:$F$34,MATCH($G88,Config!$E$15:$E$34,0)),"No")="Yes",AND(Config!$B$10="Yes",ISNUMBER($M88),$M88&lt;0)),$L88,0)))</f>
        <v/>
      </c>
      <c r="Q88" s="52" t="str">
        <f>IF($A88="","",IF(AND($L88&gt;0,ISNUMBER($M88)),IF($M88&lt;=Config!$B$8,1,0),0))</f>
        <v/>
      </c>
      <c r="R88" s="52" t="str">
        <f>IF($Q88=1,COUNTIFS($Q$2:$Q$301,1,$E$2:$E$301,"&lt;"&amp;$E88)+COUNTIFS($Q$2:$Q88,1,$E$2:$E88,$E88),"")</f>
        <v/>
      </c>
      <c r="S88" s="49" t="str">
        <f>IF(COUNTA($A88:$I88)=0,"",IF($A88="","Missing: lot",IF(COUNTIF($A$2:$A$301,$A88)&gt;1,"Duplicate lot",IF($B88="","Missing: SKU",IF(NOT(ISNUMBER($E88)),"Missing: expiry date",IF($G88="","Missing: status",IF(COUNTIF(Products!$A$2:$A$101,$B88)=0,"Unknown SKU",IF(AND($C88&lt;&gt;"",COUNTIF(Suppliers!$A$2:$A$51,$C88)=0),"Unknown supplier",IF(COUNTIF(Config!$E$15:$E$34,$G88)=0,"Unsupported status",IF($L88&lt;0,"Negative lot balance",IF(AND($G88="Closed",$L88&lt;&gt;0),"Closed lot still has stock","OK")))))))))))</f>
        <v/>
      </c>
    </row>
    <row r="89">
      <c r="A89" s="46" t="n"/>
      <c r="B89" s="46" t="n"/>
      <c r="C89" s="46" t="n"/>
      <c r="D89" s="54" t="n"/>
      <c r="E89" s="54" t="n"/>
      <c r="F89" s="48" t="n"/>
      <c r="G89" s="46" t="n"/>
      <c r="H89" s="46" t="n"/>
      <c r="I89" s="46" t="n"/>
      <c r="J89" s="49" t="str">
        <f>IF($A89="","",IFERROR(INDEX(Products!$B$2:$B$101,MATCH($B89,Products!$A$2:$A$101,0))&amp;"","(not found)"))</f>
        <v/>
      </c>
      <c r="K89" s="51" t="str">
        <f>IF($A89="","",SUMIFS(Inventory_Ledger!$M$2:$M$2001,Inventory_Ledger!$F$2:$F$2001,$A89))</f>
        <v/>
      </c>
      <c r="L89" s="51" t="str">
        <f>IF($A89="","",IF(ISNUMBER($F89),$F89,0)+$K89)</f>
        <v/>
      </c>
      <c r="M89" s="56" t="str">
        <f>IF(OR($A89="",NOT(ISNUMBER($E89))),"",$E89-Config!$B$4)</f>
        <v/>
      </c>
      <c r="N89" s="49" t="str">
        <f>IF($M89="","",IF($M89&lt;0,"Expired",IF($M89&lt;=Config!$B$6,"&lt;="&amp;Config!$B$6,IF($M89&lt;=Config!$B$7,(Config!$B$6+1)&amp;"-"&amp;Config!$B$7,IF($M89&lt;=Config!$B$8,(Config!$B$7+1)&amp;"-"&amp;Config!$B$8,"&gt;"&amp;Config!$B$8)))))</f>
        <v/>
      </c>
      <c r="O89" s="52" t="str">
        <f>IF($M89="","",IF($M89&lt;0,0,IF($M89&lt;=Config!$B$6,1,IF($M89&lt;=Config!$B$7,2,IF($M89&lt;=Config!$B$8,3,4)))))</f>
        <v/>
      </c>
      <c r="P89" s="50" t="str">
        <f>IF($A89="","",IF($L89&lt;=0,0,IF(OR(IFERROR(INDEX(Config!$F$15:$F$34,MATCH($G89,Config!$E$15:$E$34,0)),"No")="Yes",AND(Config!$B$10="Yes",ISNUMBER($M89),$M89&lt;0)),$L89,0)))</f>
        <v/>
      </c>
      <c r="Q89" s="52" t="str">
        <f>IF($A89="","",IF(AND($L89&gt;0,ISNUMBER($M89)),IF($M89&lt;=Config!$B$8,1,0),0))</f>
        <v/>
      </c>
      <c r="R89" s="52" t="str">
        <f>IF($Q89=1,COUNTIFS($Q$2:$Q$301,1,$E$2:$E$301,"&lt;"&amp;$E89)+COUNTIFS($Q$2:$Q89,1,$E$2:$E89,$E89),"")</f>
        <v/>
      </c>
      <c r="S89" s="49" t="str">
        <f>IF(COUNTA($A89:$I89)=0,"",IF($A89="","Missing: lot",IF(COUNTIF($A$2:$A$301,$A89)&gt;1,"Duplicate lot",IF($B89="","Missing: SKU",IF(NOT(ISNUMBER($E89)),"Missing: expiry date",IF($G89="","Missing: status",IF(COUNTIF(Products!$A$2:$A$101,$B89)=0,"Unknown SKU",IF(AND($C89&lt;&gt;"",COUNTIF(Suppliers!$A$2:$A$51,$C89)=0),"Unknown supplier",IF(COUNTIF(Config!$E$15:$E$34,$G89)=0,"Unsupported status",IF($L89&lt;0,"Negative lot balance",IF(AND($G89="Closed",$L89&lt;&gt;0),"Closed lot still has stock","OK")))))))))))</f>
        <v/>
      </c>
    </row>
    <row r="90">
      <c r="A90" s="46" t="n"/>
      <c r="B90" s="46" t="n"/>
      <c r="C90" s="46" t="n"/>
      <c r="D90" s="54" t="n"/>
      <c r="E90" s="54" t="n"/>
      <c r="F90" s="48" t="n"/>
      <c r="G90" s="46" t="n"/>
      <c r="H90" s="46" t="n"/>
      <c r="I90" s="46" t="n"/>
      <c r="J90" s="49" t="str">
        <f>IF($A90="","",IFERROR(INDEX(Products!$B$2:$B$101,MATCH($B90,Products!$A$2:$A$101,0))&amp;"","(not found)"))</f>
        <v/>
      </c>
      <c r="K90" s="51" t="str">
        <f>IF($A90="","",SUMIFS(Inventory_Ledger!$M$2:$M$2001,Inventory_Ledger!$F$2:$F$2001,$A90))</f>
        <v/>
      </c>
      <c r="L90" s="51" t="str">
        <f>IF($A90="","",IF(ISNUMBER($F90),$F90,0)+$K90)</f>
        <v/>
      </c>
      <c r="M90" s="56" t="str">
        <f>IF(OR($A90="",NOT(ISNUMBER($E90))),"",$E90-Config!$B$4)</f>
        <v/>
      </c>
      <c r="N90" s="49" t="str">
        <f>IF($M90="","",IF($M90&lt;0,"Expired",IF($M90&lt;=Config!$B$6,"&lt;="&amp;Config!$B$6,IF($M90&lt;=Config!$B$7,(Config!$B$6+1)&amp;"-"&amp;Config!$B$7,IF($M90&lt;=Config!$B$8,(Config!$B$7+1)&amp;"-"&amp;Config!$B$8,"&gt;"&amp;Config!$B$8)))))</f>
        <v/>
      </c>
      <c r="O90" s="52" t="str">
        <f>IF($M90="","",IF($M90&lt;0,0,IF($M90&lt;=Config!$B$6,1,IF($M90&lt;=Config!$B$7,2,IF($M90&lt;=Config!$B$8,3,4)))))</f>
        <v/>
      </c>
      <c r="P90" s="50" t="str">
        <f>IF($A90="","",IF($L90&lt;=0,0,IF(OR(IFERROR(INDEX(Config!$F$15:$F$34,MATCH($G90,Config!$E$15:$E$34,0)),"No")="Yes",AND(Config!$B$10="Yes",ISNUMBER($M90),$M90&lt;0)),$L90,0)))</f>
        <v/>
      </c>
      <c r="Q90" s="52" t="str">
        <f>IF($A90="","",IF(AND($L90&gt;0,ISNUMBER($M90)),IF($M90&lt;=Config!$B$8,1,0),0))</f>
        <v/>
      </c>
      <c r="R90" s="52" t="str">
        <f>IF($Q90=1,COUNTIFS($Q$2:$Q$301,1,$E$2:$E$301,"&lt;"&amp;$E90)+COUNTIFS($Q$2:$Q90,1,$E$2:$E90,$E90),"")</f>
        <v/>
      </c>
      <c r="S90" s="49" t="str">
        <f>IF(COUNTA($A90:$I90)=0,"",IF($A90="","Missing: lot",IF(COUNTIF($A$2:$A$301,$A90)&gt;1,"Duplicate lot",IF($B90="","Missing: SKU",IF(NOT(ISNUMBER($E90)),"Missing: expiry date",IF($G90="","Missing: status",IF(COUNTIF(Products!$A$2:$A$101,$B90)=0,"Unknown SKU",IF(AND($C90&lt;&gt;"",COUNTIF(Suppliers!$A$2:$A$51,$C90)=0),"Unknown supplier",IF(COUNTIF(Config!$E$15:$E$34,$G90)=0,"Unsupported status",IF($L90&lt;0,"Negative lot balance",IF(AND($G90="Closed",$L90&lt;&gt;0),"Closed lot still has stock","OK")))))))))))</f>
        <v/>
      </c>
    </row>
    <row r="91">
      <c r="A91" s="46" t="n"/>
      <c r="B91" s="46" t="n"/>
      <c r="C91" s="46" t="n"/>
      <c r="D91" s="54" t="n"/>
      <c r="E91" s="54" t="n"/>
      <c r="F91" s="48" t="n"/>
      <c r="G91" s="46" t="n"/>
      <c r="H91" s="46" t="n"/>
      <c r="I91" s="46" t="n"/>
      <c r="J91" s="49" t="str">
        <f>IF($A91="","",IFERROR(INDEX(Products!$B$2:$B$101,MATCH($B91,Products!$A$2:$A$101,0))&amp;"","(not found)"))</f>
        <v/>
      </c>
      <c r="K91" s="51" t="str">
        <f>IF($A91="","",SUMIFS(Inventory_Ledger!$M$2:$M$2001,Inventory_Ledger!$F$2:$F$2001,$A91))</f>
        <v/>
      </c>
      <c r="L91" s="51" t="str">
        <f>IF($A91="","",IF(ISNUMBER($F91),$F91,0)+$K91)</f>
        <v/>
      </c>
      <c r="M91" s="56" t="str">
        <f>IF(OR($A91="",NOT(ISNUMBER($E91))),"",$E91-Config!$B$4)</f>
        <v/>
      </c>
      <c r="N91" s="49" t="str">
        <f>IF($M91="","",IF($M91&lt;0,"Expired",IF($M91&lt;=Config!$B$6,"&lt;="&amp;Config!$B$6,IF($M91&lt;=Config!$B$7,(Config!$B$6+1)&amp;"-"&amp;Config!$B$7,IF($M91&lt;=Config!$B$8,(Config!$B$7+1)&amp;"-"&amp;Config!$B$8,"&gt;"&amp;Config!$B$8)))))</f>
        <v/>
      </c>
      <c r="O91" s="52" t="str">
        <f>IF($M91="","",IF($M91&lt;0,0,IF($M91&lt;=Config!$B$6,1,IF($M91&lt;=Config!$B$7,2,IF($M91&lt;=Config!$B$8,3,4)))))</f>
        <v/>
      </c>
      <c r="P91" s="50" t="str">
        <f>IF($A91="","",IF($L91&lt;=0,0,IF(OR(IFERROR(INDEX(Config!$F$15:$F$34,MATCH($G91,Config!$E$15:$E$34,0)),"No")="Yes",AND(Config!$B$10="Yes",ISNUMBER($M91),$M91&lt;0)),$L91,0)))</f>
        <v/>
      </c>
      <c r="Q91" s="52" t="str">
        <f>IF($A91="","",IF(AND($L91&gt;0,ISNUMBER($M91)),IF($M91&lt;=Config!$B$8,1,0),0))</f>
        <v/>
      </c>
      <c r="R91" s="52" t="str">
        <f>IF($Q91=1,COUNTIFS($Q$2:$Q$301,1,$E$2:$E$301,"&lt;"&amp;$E91)+COUNTIFS($Q$2:$Q91,1,$E$2:$E91,$E91),"")</f>
        <v/>
      </c>
      <c r="S91" s="49" t="str">
        <f>IF(COUNTA($A91:$I91)=0,"",IF($A91="","Missing: lot",IF(COUNTIF($A$2:$A$301,$A91)&gt;1,"Duplicate lot",IF($B91="","Missing: SKU",IF(NOT(ISNUMBER($E91)),"Missing: expiry date",IF($G91="","Missing: status",IF(COUNTIF(Products!$A$2:$A$101,$B91)=0,"Unknown SKU",IF(AND($C91&lt;&gt;"",COUNTIF(Suppliers!$A$2:$A$51,$C91)=0),"Unknown supplier",IF(COUNTIF(Config!$E$15:$E$34,$G91)=0,"Unsupported status",IF($L91&lt;0,"Negative lot balance",IF(AND($G91="Closed",$L91&lt;&gt;0),"Closed lot still has stock","OK")))))))))))</f>
        <v/>
      </c>
    </row>
    <row r="92">
      <c r="A92" s="46" t="n"/>
      <c r="B92" s="46" t="n"/>
      <c r="C92" s="46" t="n"/>
      <c r="D92" s="54" t="n"/>
      <c r="E92" s="54" t="n"/>
      <c r="F92" s="48" t="n"/>
      <c r="G92" s="46" t="n"/>
      <c r="H92" s="46" t="n"/>
      <c r="I92" s="46" t="n"/>
      <c r="J92" s="49" t="str">
        <f>IF($A92="","",IFERROR(INDEX(Products!$B$2:$B$101,MATCH($B92,Products!$A$2:$A$101,0))&amp;"","(not found)"))</f>
        <v/>
      </c>
      <c r="K92" s="51" t="str">
        <f>IF($A92="","",SUMIFS(Inventory_Ledger!$M$2:$M$2001,Inventory_Ledger!$F$2:$F$2001,$A92))</f>
        <v/>
      </c>
      <c r="L92" s="51" t="str">
        <f>IF($A92="","",IF(ISNUMBER($F92),$F92,0)+$K92)</f>
        <v/>
      </c>
      <c r="M92" s="56" t="str">
        <f>IF(OR($A92="",NOT(ISNUMBER($E92))),"",$E92-Config!$B$4)</f>
        <v/>
      </c>
      <c r="N92" s="49" t="str">
        <f>IF($M92="","",IF($M92&lt;0,"Expired",IF($M92&lt;=Config!$B$6,"&lt;="&amp;Config!$B$6,IF($M92&lt;=Config!$B$7,(Config!$B$6+1)&amp;"-"&amp;Config!$B$7,IF($M92&lt;=Config!$B$8,(Config!$B$7+1)&amp;"-"&amp;Config!$B$8,"&gt;"&amp;Config!$B$8)))))</f>
        <v/>
      </c>
      <c r="O92" s="52" t="str">
        <f>IF($M92="","",IF($M92&lt;0,0,IF($M92&lt;=Config!$B$6,1,IF($M92&lt;=Config!$B$7,2,IF($M92&lt;=Config!$B$8,3,4)))))</f>
        <v/>
      </c>
      <c r="P92" s="50" t="str">
        <f>IF($A92="","",IF($L92&lt;=0,0,IF(OR(IFERROR(INDEX(Config!$F$15:$F$34,MATCH($G92,Config!$E$15:$E$34,0)),"No")="Yes",AND(Config!$B$10="Yes",ISNUMBER($M92),$M92&lt;0)),$L92,0)))</f>
        <v/>
      </c>
      <c r="Q92" s="52" t="str">
        <f>IF($A92="","",IF(AND($L92&gt;0,ISNUMBER($M92)),IF($M92&lt;=Config!$B$8,1,0),0))</f>
        <v/>
      </c>
      <c r="R92" s="52" t="str">
        <f>IF($Q92=1,COUNTIFS($Q$2:$Q$301,1,$E$2:$E$301,"&lt;"&amp;$E92)+COUNTIFS($Q$2:$Q92,1,$E$2:$E92,$E92),"")</f>
        <v/>
      </c>
      <c r="S92" s="49" t="str">
        <f>IF(COUNTA($A92:$I92)=0,"",IF($A92="","Missing: lot",IF(COUNTIF($A$2:$A$301,$A92)&gt;1,"Duplicate lot",IF($B92="","Missing: SKU",IF(NOT(ISNUMBER($E92)),"Missing: expiry date",IF($G92="","Missing: status",IF(COUNTIF(Products!$A$2:$A$101,$B92)=0,"Unknown SKU",IF(AND($C92&lt;&gt;"",COUNTIF(Suppliers!$A$2:$A$51,$C92)=0),"Unknown supplier",IF(COUNTIF(Config!$E$15:$E$34,$G92)=0,"Unsupported status",IF($L92&lt;0,"Negative lot balance",IF(AND($G92="Closed",$L92&lt;&gt;0),"Closed lot still has stock","OK")))))))))))</f>
        <v/>
      </c>
    </row>
    <row r="93">
      <c r="A93" s="46" t="n"/>
      <c r="B93" s="46" t="n"/>
      <c r="C93" s="46" t="n"/>
      <c r="D93" s="54" t="n"/>
      <c r="E93" s="54" t="n"/>
      <c r="F93" s="48" t="n"/>
      <c r="G93" s="46" t="n"/>
      <c r="H93" s="46" t="n"/>
      <c r="I93" s="46" t="n"/>
      <c r="J93" s="49" t="str">
        <f>IF($A93="","",IFERROR(INDEX(Products!$B$2:$B$101,MATCH($B93,Products!$A$2:$A$101,0))&amp;"","(not found)"))</f>
        <v/>
      </c>
      <c r="K93" s="51" t="str">
        <f>IF($A93="","",SUMIFS(Inventory_Ledger!$M$2:$M$2001,Inventory_Ledger!$F$2:$F$2001,$A93))</f>
        <v/>
      </c>
      <c r="L93" s="51" t="str">
        <f>IF($A93="","",IF(ISNUMBER($F93),$F93,0)+$K93)</f>
        <v/>
      </c>
      <c r="M93" s="56" t="str">
        <f>IF(OR($A93="",NOT(ISNUMBER($E93))),"",$E93-Config!$B$4)</f>
        <v/>
      </c>
      <c r="N93" s="49" t="str">
        <f>IF($M93="","",IF($M93&lt;0,"Expired",IF($M93&lt;=Config!$B$6,"&lt;="&amp;Config!$B$6,IF($M93&lt;=Config!$B$7,(Config!$B$6+1)&amp;"-"&amp;Config!$B$7,IF($M93&lt;=Config!$B$8,(Config!$B$7+1)&amp;"-"&amp;Config!$B$8,"&gt;"&amp;Config!$B$8)))))</f>
        <v/>
      </c>
      <c r="O93" s="52" t="str">
        <f>IF($M93="","",IF($M93&lt;0,0,IF($M93&lt;=Config!$B$6,1,IF($M93&lt;=Config!$B$7,2,IF($M93&lt;=Config!$B$8,3,4)))))</f>
        <v/>
      </c>
      <c r="P93" s="50" t="str">
        <f>IF($A93="","",IF($L93&lt;=0,0,IF(OR(IFERROR(INDEX(Config!$F$15:$F$34,MATCH($G93,Config!$E$15:$E$34,0)),"No")="Yes",AND(Config!$B$10="Yes",ISNUMBER($M93),$M93&lt;0)),$L93,0)))</f>
        <v/>
      </c>
      <c r="Q93" s="52" t="str">
        <f>IF($A93="","",IF(AND($L93&gt;0,ISNUMBER($M93)),IF($M93&lt;=Config!$B$8,1,0),0))</f>
        <v/>
      </c>
      <c r="R93" s="52" t="str">
        <f>IF($Q93=1,COUNTIFS($Q$2:$Q$301,1,$E$2:$E$301,"&lt;"&amp;$E93)+COUNTIFS($Q$2:$Q93,1,$E$2:$E93,$E93),"")</f>
        <v/>
      </c>
      <c r="S93" s="49" t="str">
        <f>IF(COUNTA($A93:$I93)=0,"",IF($A93="","Missing: lot",IF(COUNTIF($A$2:$A$301,$A93)&gt;1,"Duplicate lot",IF($B93="","Missing: SKU",IF(NOT(ISNUMBER($E93)),"Missing: expiry date",IF($G93="","Missing: status",IF(COUNTIF(Products!$A$2:$A$101,$B93)=0,"Unknown SKU",IF(AND($C93&lt;&gt;"",COUNTIF(Suppliers!$A$2:$A$51,$C93)=0),"Unknown supplier",IF(COUNTIF(Config!$E$15:$E$34,$G93)=0,"Unsupported status",IF($L93&lt;0,"Negative lot balance",IF(AND($G93="Closed",$L93&lt;&gt;0),"Closed lot still has stock","OK")))))))))))</f>
        <v/>
      </c>
    </row>
    <row r="94">
      <c r="A94" s="46" t="n"/>
      <c r="B94" s="46" t="n"/>
      <c r="C94" s="46" t="n"/>
      <c r="D94" s="54" t="n"/>
      <c r="E94" s="54" t="n"/>
      <c r="F94" s="48" t="n"/>
      <c r="G94" s="46" t="n"/>
      <c r="H94" s="46" t="n"/>
      <c r="I94" s="46" t="n"/>
      <c r="J94" s="49" t="str">
        <f>IF($A94="","",IFERROR(INDEX(Products!$B$2:$B$101,MATCH($B94,Products!$A$2:$A$101,0))&amp;"","(not found)"))</f>
        <v/>
      </c>
      <c r="K94" s="51" t="str">
        <f>IF($A94="","",SUMIFS(Inventory_Ledger!$M$2:$M$2001,Inventory_Ledger!$F$2:$F$2001,$A94))</f>
        <v/>
      </c>
      <c r="L94" s="51" t="str">
        <f>IF($A94="","",IF(ISNUMBER($F94),$F94,0)+$K94)</f>
        <v/>
      </c>
      <c r="M94" s="56" t="str">
        <f>IF(OR($A94="",NOT(ISNUMBER($E94))),"",$E94-Config!$B$4)</f>
        <v/>
      </c>
      <c r="N94" s="49" t="str">
        <f>IF($M94="","",IF($M94&lt;0,"Expired",IF($M94&lt;=Config!$B$6,"&lt;="&amp;Config!$B$6,IF($M94&lt;=Config!$B$7,(Config!$B$6+1)&amp;"-"&amp;Config!$B$7,IF($M94&lt;=Config!$B$8,(Config!$B$7+1)&amp;"-"&amp;Config!$B$8,"&gt;"&amp;Config!$B$8)))))</f>
        <v/>
      </c>
      <c r="O94" s="52" t="str">
        <f>IF($M94="","",IF($M94&lt;0,0,IF($M94&lt;=Config!$B$6,1,IF($M94&lt;=Config!$B$7,2,IF($M94&lt;=Config!$B$8,3,4)))))</f>
        <v/>
      </c>
      <c r="P94" s="50" t="str">
        <f>IF($A94="","",IF($L94&lt;=0,0,IF(OR(IFERROR(INDEX(Config!$F$15:$F$34,MATCH($G94,Config!$E$15:$E$34,0)),"No")="Yes",AND(Config!$B$10="Yes",ISNUMBER($M94),$M94&lt;0)),$L94,0)))</f>
        <v/>
      </c>
      <c r="Q94" s="52" t="str">
        <f>IF($A94="","",IF(AND($L94&gt;0,ISNUMBER($M94)),IF($M94&lt;=Config!$B$8,1,0),0))</f>
        <v/>
      </c>
      <c r="R94" s="52" t="str">
        <f>IF($Q94=1,COUNTIFS($Q$2:$Q$301,1,$E$2:$E$301,"&lt;"&amp;$E94)+COUNTIFS($Q$2:$Q94,1,$E$2:$E94,$E94),"")</f>
        <v/>
      </c>
      <c r="S94" s="49" t="str">
        <f>IF(COUNTA($A94:$I94)=0,"",IF($A94="","Missing: lot",IF(COUNTIF($A$2:$A$301,$A94)&gt;1,"Duplicate lot",IF($B94="","Missing: SKU",IF(NOT(ISNUMBER($E94)),"Missing: expiry date",IF($G94="","Missing: status",IF(COUNTIF(Products!$A$2:$A$101,$B94)=0,"Unknown SKU",IF(AND($C94&lt;&gt;"",COUNTIF(Suppliers!$A$2:$A$51,$C94)=0),"Unknown supplier",IF(COUNTIF(Config!$E$15:$E$34,$G94)=0,"Unsupported status",IF($L94&lt;0,"Negative lot balance",IF(AND($G94="Closed",$L94&lt;&gt;0),"Closed lot still has stock","OK")))))))))))</f>
        <v/>
      </c>
    </row>
    <row r="95">
      <c r="A95" s="46" t="n"/>
      <c r="B95" s="46" t="n"/>
      <c r="C95" s="46" t="n"/>
      <c r="D95" s="54" t="n"/>
      <c r="E95" s="54" t="n"/>
      <c r="F95" s="48" t="n"/>
      <c r="G95" s="46" t="n"/>
      <c r="H95" s="46" t="n"/>
      <c r="I95" s="46" t="n"/>
      <c r="J95" s="49" t="str">
        <f>IF($A95="","",IFERROR(INDEX(Products!$B$2:$B$101,MATCH($B95,Products!$A$2:$A$101,0))&amp;"","(not found)"))</f>
        <v/>
      </c>
      <c r="K95" s="51" t="str">
        <f>IF($A95="","",SUMIFS(Inventory_Ledger!$M$2:$M$2001,Inventory_Ledger!$F$2:$F$2001,$A95))</f>
        <v/>
      </c>
      <c r="L95" s="51" t="str">
        <f>IF($A95="","",IF(ISNUMBER($F95),$F95,0)+$K95)</f>
        <v/>
      </c>
      <c r="M95" s="56" t="str">
        <f>IF(OR($A95="",NOT(ISNUMBER($E95))),"",$E95-Config!$B$4)</f>
        <v/>
      </c>
      <c r="N95" s="49" t="str">
        <f>IF($M95="","",IF($M95&lt;0,"Expired",IF($M95&lt;=Config!$B$6,"&lt;="&amp;Config!$B$6,IF($M95&lt;=Config!$B$7,(Config!$B$6+1)&amp;"-"&amp;Config!$B$7,IF($M95&lt;=Config!$B$8,(Config!$B$7+1)&amp;"-"&amp;Config!$B$8,"&gt;"&amp;Config!$B$8)))))</f>
        <v/>
      </c>
      <c r="O95" s="52" t="str">
        <f>IF($M95="","",IF($M95&lt;0,0,IF($M95&lt;=Config!$B$6,1,IF($M95&lt;=Config!$B$7,2,IF($M95&lt;=Config!$B$8,3,4)))))</f>
        <v/>
      </c>
      <c r="P95" s="50" t="str">
        <f>IF($A95="","",IF($L95&lt;=0,0,IF(OR(IFERROR(INDEX(Config!$F$15:$F$34,MATCH($G95,Config!$E$15:$E$34,0)),"No")="Yes",AND(Config!$B$10="Yes",ISNUMBER($M95),$M95&lt;0)),$L95,0)))</f>
        <v/>
      </c>
      <c r="Q95" s="52" t="str">
        <f>IF($A95="","",IF(AND($L95&gt;0,ISNUMBER($M95)),IF($M95&lt;=Config!$B$8,1,0),0))</f>
        <v/>
      </c>
      <c r="R95" s="52" t="str">
        <f>IF($Q95=1,COUNTIFS($Q$2:$Q$301,1,$E$2:$E$301,"&lt;"&amp;$E95)+COUNTIFS($Q$2:$Q95,1,$E$2:$E95,$E95),"")</f>
        <v/>
      </c>
      <c r="S95" s="49" t="str">
        <f>IF(COUNTA($A95:$I95)=0,"",IF($A95="","Missing: lot",IF(COUNTIF($A$2:$A$301,$A95)&gt;1,"Duplicate lot",IF($B95="","Missing: SKU",IF(NOT(ISNUMBER($E95)),"Missing: expiry date",IF($G95="","Missing: status",IF(COUNTIF(Products!$A$2:$A$101,$B95)=0,"Unknown SKU",IF(AND($C95&lt;&gt;"",COUNTIF(Suppliers!$A$2:$A$51,$C95)=0),"Unknown supplier",IF(COUNTIF(Config!$E$15:$E$34,$G95)=0,"Unsupported status",IF($L95&lt;0,"Negative lot balance",IF(AND($G95="Closed",$L95&lt;&gt;0),"Closed lot still has stock","OK")))))))))))</f>
        <v/>
      </c>
    </row>
    <row r="96">
      <c r="A96" s="46" t="n"/>
      <c r="B96" s="46" t="n"/>
      <c r="C96" s="46" t="n"/>
      <c r="D96" s="54" t="n"/>
      <c r="E96" s="54" t="n"/>
      <c r="F96" s="48" t="n"/>
      <c r="G96" s="46" t="n"/>
      <c r="H96" s="46" t="n"/>
      <c r="I96" s="46" t="n"/>
      <c r="J96" s="49" t="str">
        <f>IF($A96="","",IFERROR(INDEX(Products!$B$2:$B$101,MATCH($B96,Products!$A$2:$A$101,0))&amp;"","(not found)"))</f>
        <v/>
      </c>
      <c r="K96" s="51" t="str">
        <f>IF($A96="","",SUMIFS(Inventory_Ledger!$M$2:$M$2001,Inventory_Ledger!$F$2:$F$2001,$A96))</f>
        <v/>
      </c>
      <c r="L96" s="51" t="str">
        <f>IF($A96="","",IF(ISNUMBER($F96),$F96,0)+$K96)</f>
        <v/>
      </c>
      <c r="M96" s="56" t="str">
        <f>IF(OR($A96="",NOT(ISNUMBER($E96))),"",$E96-Config!$B$4)</f>
        <v/>
      </c>
      <c r="N96" s="49" t="str">
        <f>IF($M96="","",IF($M96&lt;0,"Expired",IF($M96&lt;=Config!$B$6,"&lt;="&amp;Config!$B$6,IF($M96&lt;=Config!$B$7,(Config!$B$6+1)&amp;"-"&amp;Config!$B$7,IF($M96&lt;=Config!$B$8,(Config!$B$7+1)&amp;"-"&amp;Config!$B$8,"&gt;"&amp;Config!$B$8)))))</f>
        <v/>
      </c>
      <c r="O96" s="52" t="str">
        <f>IF($M96="","",IF($M96&lt;0,0,IF($M96&lt;=Config!$B$6,1,IF($M96&lt;=Config!$B$7,2,IF($M96&lt;=Config!$B$8,3,4)))))</f>
        <v/>
      </c>
      <c r="P96" s="50" t="str">
        <f>IF($A96="","",IF($L96&lt;=0,0,IF(OR(IFERROR(INDEX(Config!$F$15:$F$34,MATCH($G96,Config!$E$15:$E$34,0)),"No")="Yes",AND(Config!$B$10="Yes",ISNUMBER($M96),$M96&lt;0)),$L96,0)))</f>
        <v/>
      </c>
      <c r="Q96" s="52" t="str">
        <f>IF($A96="","",IF(AND($L96&gt;0,ISNUMBER($M96)),IF($M96&lt;=Config!$B$8,1,0),0))</f>
        <v/>
      </c>
      <c r="R96" s="52" t="str">
        <f>IF($Q96=1,COUNTIFS($Q$2:$Q$301,1,$E$2:$E$301,"&lt;"&amp;$E96)+COUNTIFS($Q$2:$Q96,1,$E$2:$E96,$E96),"")</f>
        <v/>
      </c>
      <c r="S96" s="49" t="str">
        <f>IF(COUNTA($A96:$I96)=0,"",IF($A96="","Missing: lot",IF(COUNTIF($A$2:$A$301,$A96)&gt;1,"Duplicate lot",IF($B96="","Missing: SKU",IF(NOT(ISNUMBER($E96)),"Missing: expiry date",IF($G96="","Missing: status",IF(COUNTIF(Products!$A$2:$A$101,$B96)=0,"Unknown SKU",IF(AND($C96&lt;&gt;"",COUNTIF(Suppliers!$A$2:$A$51,$C96)=0),"Unknown supplier",IF(COUNTIF(Config!$E$15:$E$34,$G96)=0,"Unsupported status",IF($L96&lt;0,"Negative lot balance",IF(AND($G96="Closed",$L96&lt;&gt;0),"Closed lot still has stock","OK")))))))))))</f>
        <v/>
      </c>
    </row>
    <row r="97">
      <c r="A97" s="46" t="n"/>
      <c r="B97" s="46" t="n"/>
      <c r="C97" s="46" t="n"/>
      <c r="D97" s="54" t="n"/>
      <c r="E97" s="54" t="n"/>
      <c r="F97" s="48" t="n"/>
      <c r="G97" s="46" t="n"/>
      <c r="H97" s="46" t="n"/>
      <c r="I97" s="46" t="n"/>
      <c r="J97" s="49" t="str">
        <f>IF($A97="","",IFERROR(INDEX(Products!$B$2:$B$101,MATCH($B97,Products!$A$2:$A$101,0))&amp;"","(not found)"))</f>
        <v/>
      </c>
      <c r="K97" s="51" t="str">
        <f>IF($A97="","",SUMIFS(Inventory_Ledger!$M$2:$M$2001,Inventory_Ledger!$F$2:$F$2001,$A97))</f>
        <v/>
      </c>
      <c r="L97" s="51" t="str">
        <f>IF($A97="","",IF(ISNUMBER($F97),$F97,0)+$K97)</f>
        <v/>
      </c>
      <c r="M97" s="56" t="str">
        <f>IF(OR($A97="",NOT(ISNUMBER($E97))),"",$E97-Config!$B$4)</f>
        <v/>
      </c>
      <c r="N97" s="49" t="str">
        <f>IF($M97="","",IF($M97&lt;0,"Expired",IF($M97&lt;=Config!$B$6,"&lt;="&amp;Config!$B$6,IF($M97&lt;=Config!$B$7,(Config!$B$6+1)&amp;"-"&amp;Config!$B$7,IF($M97&lt;=Config!$B$8,(Config!$B$7+1)&amp;"-"&amp;Config!$B$8,"&gt;"&amp;Config!$B$8)))))</f>
        <v/>
      </c>
      <c r="O97" s="52" t="str">
        <f>IF($M97="","",IF($M97&lt;0,0,IF($M97&lt;=Config!$B$6,1,IF($M97&lt;=Config!$B$7,2,IF($M97&lt;=Config!$B$8,3,4)))))</f>
        <v/>
      </c>
      <c r="P97" s="50" t="str">
        <f>IF($A97="","",IF($L97&lt;=0,0,IF(OR(IFERROR(INDEX(Config!$F$15:$F$34,MATCH($G97,Config!$E$15:$E$34,0)),"No")="Yes",AND(Config!$B$10="Yes",ISNUMBER($M97),$M97&lt;0)),$L97,0)))</f>
        <v/>
      </c>
      <c r="Q97" s="52" t="str">
        <f>IF($A97="","",IF(AND($L97&gt;0,ISNUMBER($M97)),IF($M97&lt;=Config!$B$8,1,0),0))</f>
        <v/>
      </c>
      <c r="R97" s="52" t="str">
        <f>IF($Q97=1,COUNTIFS($Q$2:$Q$301,1,$E$2:$E$301,"&lt;"&amp;$E97)+COUNTIFS($Q$2:$Q97,1,$E$2:$E97,$E97),"")</f>
        <v/>
      </c>
      <c r="S97" s="49" t="str">
        <f>IF(COUNTA($A97:$I97)=0,"",IF($A97="","Missing: lot",IF(COUNTIF($A$2:$A$301,$A97)&gt;1,"Duplicate lot",IF($B97="","Missing: SKU",IF(NOT(ISNUMBER($E97)),"Missing: expiry date",IF($G97="","Missing: status",IF(COUNTIF(Products!$A$2:$A$101,$B97)=0,"Unknown SKU",IF(AND($C97&lt;&gt;"",COUNTIF(Suppliers!$A$2:$A$51,$C97)=0),"Unknown supplier",IF(COUNTIF(Config!$E$15:$E$34,$G97)=0,"Unsupported status",IF($L97&lt;0,"Negative lot balance",IF(AND($G97="Closed",$L97&lt;&gt;0),"Closed lot still has stock","OK")))))))))))</f>
        <v/>
      </c>
    </row>
    <row r="98">
      <c r="A98" s="46" t="n"/>
      <c r="B98" s="46" t="n"/>
      <c r="C98" s="46" t="n"/>
      <c r="D98" s="54" t="n"/>
      <c r="E98" s="54" t="n"/>
      <c r="F98" s="48" t="n"/>
      <c r="G98" s="46" t="n"/>
      <c r="H98" s="46" t="n"/>
      <c r="I98" s="46" t="n"/>
      <c r="J98" s="49" t="str">
        <f>IF($A98="","",IFERROR(INDEX(Products!$B$2:$B$101,MATCH($B98,Products!$A$2:$A$101,0))&amp;"","(not found)"))</f>
        <v/>
      </c>
      <c r="K98" s="51" t="str">
        <f>IF($A98="","",SUMIFS(Inventory_Ledger!$M$2:$M$2001,Inventory_Ledger!$F$2:$F$2001,$A98))</f>
        <v/>
      </c>
      <c r="L98" s="51" t="str">
        <f>IF($A98="","",IF(ISNUMBER($F98),$F98,0)+$K98)</f>
        <v/>
      </c>
      <c r="M98" s="56" t="str">
        <f>IF(OR($A98="",NOT(ISNUMBER($E98))),"",$E98-Config!$B$4)</f>
        <v/>
      </c>
      <c r="N98" s="49" t="str">
        <f>IF($M98="","",IF($M98&lt;0,"Expired",IF($M98&lt;=Config!$B$6,"&lt;="&amp;Config!$B$6,IF($M98&lt;=Config!$B$7,(Config!$B$6+1)&amp;"-"&amp;Config!$B$7,IF($M98&lt;=Config!$B$8,(Config!$B$7+1)&amp;"-"&amp;Config!$B$8,"&gt;"&amp;Config!$B$8)))))</f>
        <v/>
      </c>
      <c r="O98" s="52" t="str">
        <f>IF($M98="","",IF($M98&lt;0,0,IF($M98&lt;=Config!$B$6,1,IF($M98&lt;=Config!$B$7,2,IF($M98&lt;=Config!$B$8,3,4)))))</f>
        <v/>
      </c>
      <c r="P98" s="50" t="str">
        <f>IF($A98="","",IF($L98&lt;=0,0,IF(OR(IFERROR(INDEX(Config!$F$15:$F$34,MATCH($G98,Config!$E$15:$E$34,0)),"No")="Yes",AND(Config!$B$10="Yes",ISNUMBER($M98),$M98&lt;0)),$L98,0)))</f>
        <v/>
      </c>
      <c r="Q98" s="52" t="str">
        <f>IF($A98="","",IF(AND($L98&gt;0,ISNUMBER($M98)),IF($M98&lt;=Config!$B$8,1,0),0))</f>
        <v/>
      </c>
      <c r="R98" s="52" t="str">
        <f>IF($Q98=1,COUNTIFS($Q$2:$Q$301,1,$E$2:$E$301,"&lt;"&amp;$E98)+COUNTIFS($Q$2:$Q98,1,$E$2:$E98,$E98),"")</f>
        <v/>
      </c>
      <c r="S98" s="49" t="str">
        <f>IF(COUNTA($A98:$I98)=0,"",IF($A98="","Missing: lot",IF(COUNTIF($A$2:$A$301,$A98)&gt;1,"Duplicate lot",IF($B98="","Missing: SKU",IF(NOT(ISNUMBER($E98)),"Missing: expiry date",IF($G98="","Missing: status",IF(COUNTIF(Products!$A$2:$A$101,$B98)=0,"Unknown SKU",IF(AND($C98&lt;&gt;"",COUNTIF(Suppliers!$A$2:$A$51,$C98)=0),"Unknown supplier",IF(COUNTIF(Config!$E$15:$E$34,$G98)=0,"Unsupported status",IF($L98&lt;0,"Negative lot balance",IF(AND($G98="Closed",$L98&lt;&gt;0),"Closed lot still has stock","OK")))))))))))</f>
        <v/>
      </c>
    </row>
    <row r="99">
      <c r="A99" s="46" t="n"/>
      <c r="B99" s="46" t="n"/>
      <c r="C99" s="46" t="n"/>
      <c r="D99" s="54" t="n"/>
      <c r="E99" s="54" t="n"/>
      <c r="F99" s="48" t="n"/>
      <c r="G99" s="46" t="n"/>
      <c r="H99" s="46" t="n"/>
      <c r="I99" s="46" t="n"/>
      <c r="J99" s="49" t="str">
        <f>IF($A99="","",IFERROR(INDEX(Products!$B$2:$B$101,MATCH($B99,Products!$A$2:$A$101,0))&amp;"","(not found)"))</f>
        <v/>
      </c>
      <c r="K99" s="51" t="str">
        <f>IF($A99="","",SUMIFS(Inventory_Ledger!$M$2:$M$2001,Inventory_Ledger!$F$2:$F$2001,$A99))</f>
        <v/>
      </c>
      <c r="L99" s="51" t="str">
        <f>IF($A99="","",IF(ISNUMBER($F99),$F99,0)+$K99)</f>
        <v/>
      </c>
      <c r="M99" s="56" t="str">
        <f>IF(OR($A99="",NOT(ISNUMBER($E99))),"",$E99-Config!$B$4)</f>
        <v/>
      </c>
      <c r="N99" s="49" t="str">
        <f>IF($M99="","",IF($M99&lt;0,"Expired",IF($M99&lt;=Config!$B$6,"&lt;="&amp;Config!$B$6,IF($M99&lt;=Config!$B$7,(Config!$B$6+1)&amp;"-"&amp;Config!$B$7,IF($M99&lt;=Config!$B$8,(Config!$B$7+1)&amp;"-"&amp;Config!$B$8,"&gt;"&amp;Config!$B$8)))))</f>
        <v/>
      </c>
      <c r="O99" s="52" t="str">
        <f>IF($M99="","",IF($M99&lt;0,0,IF($M99&lt;=Config!$B$6,1,IF($M99&lt;=Config!$B$7,2,IF($M99&lt;=Config!$B$8,3,4)))))</f>
        <v/>
      </c>
      <c r="P99" s="50" t="str">
        <f>IF($A99="","",IF($L99&lt;=0,0,IF(OR(IFERROR(INDEX(Config!$F$15:$F$34,MATCH($G99,Config!$E$15:$E$34,0)),"No")="Yes",AND(Config!$B$10="Yes",ISNUMBER($M99),$M99&lt;0)),$L99,0)))</f>
        <v/>
      </c>
      <c r="Q99" s="52" t="str">
        <f>IF($A99="","",IF(AND($L99&gt;0,ISNUMBER($M99)),IF($M99&lt;=Config!$B$8,1,0),0))</f>
        <v/>
      </c>
      <c r="R99" s="52" t="str">
        <f>IF($Q99=1,COUNTIFS($Q$2:$Q$301,1,$E$2:$E$301,"&lt;"&amp;$E99)+COUNTIFS($Q$2:$Q99,1,$E$2:$E99,$E99),"")</f>
        <v/>
      </c>
      <c r="S99" s="49" t="str">
        <f>IF(COUNTA($A99:$I99)=0,"",IF($A99="","Missing: lot",IF(COUNTIF($A$2:$A$301,$A99)&gt;1,"Duplicate lot",IF($B99="","Missing: SKU",IF(NOT(ISNUMBER($E99)),"Missing: expiry date",IF($G99="","Missing: status",IF(COUNTIF(Products!$A$2:$A$101,$B99)=0,"Unknown SKU",IF(AND($C99&lt;&gt;"",COUNTIF(Suppliers!$A$2:$A$51,$C99)=0),"Unknown supplier",IF(COUNTIF(Config!$E$15:$E$34,$G99)=0,"Unsupported status",IF($L99&lt;0,"Negative lot balance",IF(AND($G99="Closed",$L99&lt;&gt;0),"Closed lot still has stock","OK")))))))))))</f>
        <v/>
      </c>
    </row>
    <row r="100">
      <c r="A100" s="46" t="n"/>
      <c r="B100" s="46" t="n"/>
      <c r="C100" s="46" t="n"/>
      <c r="D100" s="54" t="n"/>
      <c r="E100" s="54" t="n"/>
      <c r="F100" s="48" t="n"/>
      <c r="G100" s="46" t="n"/>
      <c r="H100" s="46" t="n"/>
      <c r="I100" s="46" t="n"/>
      <c r="J100" s="49" t="str">
        <f>IF($A100="","",IFERROR(INDEX(Products!$B$2:$B$101,MATCH($B100,Products!$A$2:$A$101,0))&amp;"","(not found)"))</f>
        <v/>
      </c>
      <c r="K100" s="51" t="str">
        <f>IF($A100="","",SUMIFS(Inventory_Ledger!$M$2:$M$2001,Inventory_Ledger!$F$2:$F$2001,$A100))</f>
        <v/>
      </c>
      <c r="L100" s="51" t="str">
        <f>IF($A100="","",IF(ISNUMBER($F100),$F100,0)+$K100)</f>
        <v/>
      </c>
      <c r="M100" s="56" t="str">
        <f>IF(OR($A100="",NOT(ISNUMBER($E100))),"",$E100-Config!$B$4)</f>
        <v/>
      </c>
      <c r="N100" s="49" t="str">
        <f>IF($M100="","",IF($M100&lt;0,"Expired",IF($M100&lt;=Config!$B$6,"&lt;="&amp;Config!$B$6,IF($M100&lt;=Config!$B$7,(Config!$B$6+1)&amp;"-"&amp;Config!$B$7,IF($M100&lt;=Config!$B$8,(Config!$B$7+1)&amp;"-"&amp;Config!$B$8,"&gt;"&amp;Config!$B$8)))))</f>
        <v/>
      </c>
      <c r="O100" s="52" t="str">
        <f>IF($M100="","",IF($M100&lt;0,0,IF($M100&lt;=Config!$B$6,1,IF($M100&lt;=Config!$B$7,2,IF($M100&lt;=Config!$B$8,3,4)))))</f>
        <v/>
      </c>
      <c r="P100" s="50" t="str">
        <f>IF($A100="","",IF($L100&lt;=0,0,IF(OR(IFERROR(INDEX(Config!$F$15:$F$34,MATCH($G100,Config!$E$15:$E$34,0)),"No")="Yes",AND(Config!$B$10="Yes",ISNUMBER($M100),$M100&lt;0)),$L100,0)))</f>
        <v/>
      </c>
      <c r="Q100" s="52" t="str">
        <f>IF($A100="","",IF(AND($L100&gt;0,ISNUMBER($M100)),IF($M100&lt;=Config!$B$8,1,0),0))</f>
        <v/>
      </c>
      <c r="R100" s="52" t="str">
        <f>IF($Q100=1,COUNTIFS($Q$2:$Q$301,1,$E$2:$E$301,"&lt;"&amp;$E100)+COUNTIFS($Q$2:$Q100,1,$E$2:$E100,$E100),"")</f>
        <v/>
      </c>
      <c r="S100" s="49" t="str">
        <f>IF(COUNTA($A100:$I100)=0,"",IF($A100="","Missing: lot",IF(COUNTIF($A$2:$A$301,$A100)&gt;1,"Duplicate lot",IF($B100="","Missing: SKU",IF(NOT(ISNUMBER($E100)),"Missing: expiry date",IF($G100="","Missing: status",IF(COUNTIF(Products!$A$2:$A$101,$B100)=0,"Unknown SKU",IF(AND($C100&lt;&gt;"",COUNTIF(Suppliers!$A$2:$A$51,$C100)=0),"Unknown supplier",IF(COUNTIF(Config!$E$15:$E$34,$G100)=0,"Unsupported status",IF($L100&lt;0,"Negative lot balance",IF(AND($G100="Closed",$L100&lt;&gt;0),"Closed lot still has stock","OK")))))))))))</f>
        <v/>
      </c>
    </row>
    <row r="101">
      <c r="A101" s="46" t="n"/>
      <c r="B101" s="46" t="n"/>
      <c r="C101" s="46" t="n"/>
      <c r="D101" s="54" t="n"/>
      <c r="E101" s="54" t="n"/>
      <c r="F101" s="48" t="n"/>
      <c r="G101" s="46" t="n"/>
      <c r="H101" s="46" t="n"/>
      <c r="I101" s="46" t="n"/>
      <c r="J101" s="49" t="str">
        <f>IF($A101="","",IFERROR(INDEX(Products!$B$2:$B$101,MATCH($B101,Products!$A$2:$A$101,0))&amp;"","(not found)"))</f>
        <v/>
      </c>
      <c r="K101" s="51" t="str">
        <f>IF($A101="","",SUMIFS(Inventory_Ledger!$M$2:$M$2001,Inventory_Ledger!$F$2:$F$2001,$A101))</f>
        <v/>
      </c>
      <c r="L101" s="51" t="str">
        <f>IF($A101="","",IF(ISNUMBER($F101),$F101,0)+$K101)</f>
        <v/>
      </c>
      <c r="M101" s="56" t="str">
        <f>IF(OR($A101="",NOT(ISNUMBER($E101))),"",$E101-Config!$B$4)</f>
        <v/>
      </c>
      <c r="N101" s="49" t="str">
        <f>IF($M101="","",IF($M101&lt;0,"Expired",IF($M101&lt;=Config!$B$6,"&lt;="&amp;Config!$B$6,IF($M101&lt;=Config!$B$7,(Config!$B$6+1)&amp;"-"&amp;Config!$B$7,IF($M101&lt;=Config!$B$8,(Config!$B$7+1)&amp;"-"&amp;Config!$B$8,"&gt;"&amp;Config!$B$8)))))</f>
        <v/>
      </c>
      <c r="O101" s="52" t="str">
        <f>IF($M101="","",IF($M101&lt;0,0,IF($M101&lt;=Config!$B$6,1,IF($M101&lt;=Config!$B$7,2,IF($M101&lt;=Config!$B$8,3,4)))))</f>
        <v/>
      </c>
      <c r="P101" s="50" t="str">
        <f>IF($A101="","",IF($L101&lt;=0,0,IF(OR(IFERROR(INDEX(Config!$F$15:$F$34,MATCH($G101,Config!$E$15:$E$34,0)),"No")="Yes",AND(Config!$B$10="Yes",ISNUMBER($M101),$M101&lt;0)),$L101,0)))</f>
        <v/>
      </c>
      <c r="Q101" s="52" t="str">
        <f>IF($A101="","",IF(AND($L101&gt;0,ISNUMBER($M101)),IF($M101&lt;=Config!$B$8,1,0),0))</f>
        <v/>
      </c>
      <c r="R101" s="52" t="str">
        <f>IF($Q101=1,COUNTIFS($Q$2:$Q$301,1,$E$2:$E$301,"&lt;"&amp;$E101)+COUNTIFS($Q$2:$Q101,1,$E$2:$E101,$E101),"")</f>
        <v/>
      </c>
      <c r="S101" s="49" t="str">
        <f>IF(COUNTA($A101:$I101)=0,"",IF($A101="","Missing: lot",IF(COUNTIF($A$2:$A$301,$A101)&gt;1,"Duplicate lot",IF($B101="","Missing: SKU",IF(NOT(ISNUMBER($E101)),"Missing: expiry date",IF($G101="","Missing: status",IF(COUNTIF(Products!$A$2:$A$101,$B101)=0,"Unknown SKU",IF(AND($C101&lt;&gt;"",COUNTIF(Suppliers!$A$2:$A$51,$C101)=0),"Unknown supplier",IF(COUNTIF(Config!$E$15:$E$34,$G101)=0,"Unsupported status",IF($L101&lt;0,"Negative lot balance",IF(AND($G101="Closed",$L101&lt;&gt;0),"Closed lot still has stock","OK")))))))))))</f>
        <v/>
      </c>
    </row>
    <row r="102">
      <c r="A102" s="46" t="n"/>
      <c r="B102" s="46" t="n"/>
      <c r="C102" s="46" t="n"/>
      <c r="D102" s="54" t="n"/>
      <c r="E102" s="54" t="n"/>
      <c r="F102" s="48" t="n"/>
      <c r="G102" s="46" t="n"/>
      <c r="H102" s="46" t="n"/>
      <c r="I102" s="46" t="n"/>
      <c r="J102" s="49" t="str">
        <f>IF($A102="","",IFERROR(INDEX(Products!$B$2:$B$101,MATCH($B102,Products!$A$2:$A$101,0))&amp;"","(not found)"))</f>
        <v/>
      </c>
      <c r="K102" s="51" t="str">
        <f>IF($A102="","",SUMIFS(Inventory_Ledger!$M$2:$M$2001,Inventory_Ledger!$F$2:$F$2001,$A102))</f>
        <v/>
      </c>
      <c r="L102" s="51" t="str">
        <f>IF($A102="","",IF(ISNUMBER($F102),$F102,0)+$K102)</f>
        <v/>
      </c>
      <c r="M102" s="56" t="str">
        <f>IF(OR($A102="",NOT(ISNUMBER($E102))),"",$E102-Config!$B$4)</f>
        <v/>
      </c>
      <c r="N102" s="49" t="str">
        <f>IF($M102="","",IF($M102&lt;0,"Expired",IF($M102&lt;=Config!$B$6,"&lt;="&amp;Config!$B$6,IF($M102&lt;=Config!$B$7,(Config!$B$6+1)&amp;"-"&amp;Config!$B$7,IF($M102&lt;=Config!$B$8,(Config!$B$7+1)&amp;"-"&amp;Config!$B$8,"&gt;"&amp;Config!$B$8)))))</f>
        <v/>
      </c>
      <c r="O102" s="52" t="str">
        <f>IF($M102="","",IF($M102&lt;0,0,IF($M102&lt;=Config!$B$6,1,IF($M102&lt;=Config!$B$7,2,IF($M102&lt;=Config!$B$8,3,4)))))</f>
        <v/>
      </c>
      <c r="P102" s="50" t="str">
        <f>IF($A102="","",IF($L102&lt;=0,0,IF(OR(IFERROR(INDEX(Config!$F$15:$F$34,MATCH($G102,Config!$E$15:$E$34,0)),"No")="Yes",AND(Config!$B$10="Yes",ISNUMBER($M102),$M102&lt;0)),$L102,0)))</f>
        <v/>
      </c>
      <c r="Q102" s="52" t="str">
        <f>IF($A102="","",IF(AND($L102&gt;0,ISNUMBER($M102)),IF($M102&lt;=Config!$B$8,1,0),0))</f>
        <v/>
      </c>
      <c r="R102" s="52" t="str">
        <f>IF($Q102=1,COUNTIFS($Q$2:$Q$301,1,$E$2:$E$301,"&lt;"&amp;$E102)+COUNTIFS($Q$2:$Q102,1,$E$2:$E102,$E102),"")</f>
        <v/>
      </c>
      <c r="S102" s="49" t="str">
        <f>IF(COUNTA($A102:$I102)=0,"",IF($A102="","Missing: lot",IF(COUNTIF($A$2:$A$301,$A102)&gt;1,"Duplicate lot",IF($B102="","Missing: SKU",IF(NOT(ISNUMBER($E102)),"Missing: expiry date",IF($G102="","Missing: status",IF(COUNTIF(Products!$A$2:$A$101,$B102)=0,"Unknown SKU",IF(AND($C102&lt;&gt;"",COUNTIF(Suppliers!$A$2:$A$51,$C102)=0),"Unknown supplier",IF(COUNTIF(Config!$E$15:$E$34,$G102)=0,"Unsupported status",IF($L102&lt;0,"Negative lot balance",IF(AND($G102="Closed",$L102&lt;&gt;0),"Closed lot still has stock","OK")))))))))))</f>
        <v/>
      </c>
    </row>
    <row r="103">
      <c r="A103" s="46" t="n"/>
      <c r="B103" s="46" t="n"/>
      <c r="C103" s="46" t="n"/>
      <c r="D103" s="54" t="n"/>
      <c r="E103" s="54" t="n"/>
      <c r="F103" s="48" t="n"/>
      <c r="G103" s="46" t="n"/>
      <c r="H103" s="46" t="n"/>
      <c r="I103" s="46" t="n"/>
      <c r="J103" s="49" t="str">
        <f>IF($A103="","",IFERROR(INDEX(Products!$B$2:$B$101,MATCH($B103,Products!$A$2:$A$101,0))&amp;"","(not found)"))</f>
        <v/>
      </c>
      <c r="K103" s="51" t="str">
        <f>IF($A103="","",SUMIFS(Inventory_Ledger!$M$2:$M$2001,Inventory_Ledger!$F$2:$F$2001,$A103))</f>
        <v/>
      </c>
      <c r="L103" s="51" t="str">
        <f>IF($A103="","",IF(ISNUMBER($F103),$F103,0)+$K103)</f>
        <v/>
      </c>
      <c r="M103" s="56" t="str">
        <f>IF(OR($A103="",NOT(ISNUMBER($E103))),"",$E103-Config!$B$4)</f>
        <v/>
      </c>
      <c r="N103" s="49" t="str">
        <f>IF($M103="","",IF($M103&lt;0,"Expired",IF($M103&lt;=Config!$B$6,"&lt;="&amp;Config!$B$6,IF($M103&lt;=Config!$B$7,(Config!$B$6+1)&amp;"-"&amp;Config!$B$7,IF($M103&lt;=Config!$B$8,(Config!$B$7+1)&amp;"-"&amp;Config!$B$8,"&gt;"&amp;Config!$B$8)))))</f>
        <v/>
      </c>
      <c r="O103" s="52" t="str">
        <f>IF($M103="","",IF($M103&lt;0,0,IF($M103&lt;=Config!$B$6,1,IF($M103&lt;=Config!$B$7,2,IF($M103&lt;=Config!$B$8,3,4)))))</f>
        <v/>
      </c>
      <c r="P103" s="50" t="str">
        <f>IF($A103="","",IF($L103&lt;=0,0,IF(OR(IFERROR(INDEX(Config!$F$15:$F$34,MATCH($G103,Config!$E$15:$E$34,0)),"No")="Yes",AND(Config!$B$10="Yes",ISNUMBER($M103),$M103&lt;0)),$L103,0)))</f>
        <v/>
      </c>
      <c r="Q103" s="52" t="str">
        <f>IF($A103="","",IF(AND($L103&gt;0,ISNUMBER($M103)),IF($M103&lt;=Config!$B$8,1,0),0))</f>
        <v/>
      </c>
      <c r="R103" s="52" t="str">
        <f>IF($Q103=1,COUNTIFS($Q$2:$Q$301,1,$E$2:$E$301,"&lt;"&amp;$E103)+COUNTIFS($Q$2:$Q103,1,$E$2:$E103,$E103),"")</f>
        <v/>
      </c>
      <c r="S103" s="49" t="str">
        <f>IF(COUNTA($A103:$I103)=0,"",IF($A103="","Missing: lot",IF(COUNTIF($A$2:$A$301,$A103)&gt;1,"Duplicate lot",IF($B103="","Missing: SKU",IF(NOT(ISNUMBER($E103)),"Missing: expiry date",IF($G103="","Missing: status",IF(COUNTIF(Products!$A$2:$A$101,$B103)=0,"Unknown SKU",IF(AND($C103&lt;&gt;"",COUNTIF(Suppliers!$A$2:$A$51,$C103)=0),"Unknown supplier",IF(COUNTIF(Config!$E$15:$E$34,$G103)=0,"Unsupported status",IF($L103&lt;0,"Negative lot balance",IF(AND($G103="Closed",$L103&lt;&gt;0),"Closed lot still has stock","OK")))))))))))</f>
        <v/>
      </c>
    </row>
    <row r="104">
      <c r="A104" s="46" t="n"/>
      <c r="B104" s="46" t="n"/>
      <c r="C104" s="46" t="n"/>
      <c r="D104" s="54" t="n"/>
      <c r="E104" s="54" t="n"/>
      <c r="F104" s="48" t="n"/>
      <c r="G104" s="46" t="n"/>
      <c r="H104" s="46" t="n"/>
      <c r="I104" s="46" t="n"/>
      <c r="J104" s="49" t="str">
        <f>IF($A104="","",IFERROR(INDEX(Products!$B$2:$B$101,MATCH($B104,Products!$A$2:$A$101,0))&amp;"","(not found)"))</f>
        <v/>
      </c>
      <c r="K104" s="51" t="str">
        <f>IF($A104="","",SUMIFS(Inventory_Ledger!$M$2:$M$2001,Inventory_Ledger!$F$2:$F$2001,$A104))</f>
        <v/>
      </c>
      <c r="L104" s="51" t="str">
        <f>IF($A104="","",IF(ISNUMBER($F104),$F104,0)+$K104)</f>
        <v/>
      </c>
      <c r="M104" s="56" t="str">
        <f>IF(OR($A104="",NOT(ISNUMBER($E104))),"",$E104-Config!$B$4)</f>
        <v/>
      </c>
      <c r="N104" s="49" t="str">
        <f>IF($M104="","",IF($M104&lt;0,"Expired",IF($M104&lt;=Config!$B$6,"&lt;="&amp;Config!$B$6,IF($M104&lt;=Config!$B$7,(Config!$B$6+1)&amp;"-"&amp;Config!$B$7,IF($M104&lt;=Config!$B$8,(Config!$B$7+1)&amp;"-"&amp;Config!$B$8,"&gt;"&amp;Config!$B$8)))))</f>
        <v/>
      </c>
      <c r="O104" s="52" t="str">
        <f>IF($M104="","",IF($M104&lt;0,0,IF($M104&lt;=Config!$B$6,1,IF($M104&lt;=Config!$B$7,2,IF($M104&lt;=Config!$B$8,3,4)))))</f>
        <v/>
      </c>
      <c r="P104" s="50" t="str">
        <f>IF($A104="","",IF($L104&lt;=0,0,IF(OR(IFERROR(INDEX(Config!$F$15:$F$34,MATCH($G104,Config!$E$15:$E$34,0)),"No")="Yes",AND(Config!$B$10="Yes",ISNUMBER($M104),$M104&lt;0)),$L104,0)))</f>
        <v/>
      </c>
      <c r="Q104" s="52" t="str">
        <f>IF($A104="","",IF(AND($L104&gt;0,ISNUMBER($M104)),IF($M104&lt;=Config!$B$8,1,0),0))</f>
        <v/>
      </c>
      <c r="R104" s="52" t="str">
        <f>IF($Q104=1,COUNTIFS($Q$2:$Q$301,1,$E$2:$E$301,"&lt;"&amp;$E104)+COUNTIFS($Q$2:$Q104,1,$E$2:$E104,$E104),"")</f>
        <v/>
      </c>
      <c r="S104" s="49" t="str">
        <f>IF(COUNTA($A104:$I104)=0,"",IF($A104="","Missing: lot",IF(COUNTIF($A$2:$A$301,$A104)&gt;1,"Duplicate lot",IF($B104="","Missing: SKU",IF(NOT(ISNUMBER($E104)),"Missing: expiry date",IF($G104="","Missing: status",IF(COUNTIF(Products!$A$2:$A$101,$B104)=0,"Unknown SKU",IF(AND($C104&lt;&gt;"",COUNTIF(Suppliers!$A$2:$A$51,$C104)=0),"Unknown supplier",IF(COUNTIF(Config!$E$15:$E$34,$G104)=0,"Unsupported status",IF($L104&lt;0,"Negative lot balance",IF(AND($G104="Closed",$L104&lt;&gt;0),"Closed lot still has stock","OK")))))))))))</f>
        <v/>
      </c>
    </row>
    <row r="105">
      <c r="A105" s="46" t="n"/>
      <c r="B105" s="46" t="n"/>
      <c r="C105" s="46" t="n"/>
      <c r="D105" s="54" t="n"/>
      <c r="E105" s="54" t="n"/>
      <c r="F105" s="48" t="n"/>
      <c r="G105" s="46" t="n"/>
      <c r="H105" s="46" t="n"/>
      <c r="I105" s="46" t="n"/>
      <c r="J105" s="49" t="str">
        <f>IF($A105="","",IFERROR(INDEX(Products!$B$2:$B$101,MATCH($B105,Products!$A$2:$A$101,0))&amp;"","(not found)"))</f>
        <v/>
      </c>
      <c r="K105" s="51" t="str">
        <f>IF($A105="","",SUMIFS(Inventory_Ledger!$M$2:$M$2001,Inventory_Ledger!$F$2:$F$2001,$A105))</f>
        <v/>
      </c>
      <c r="L105" s="51" t="str">
        <f>IF($A105="","",IF(ISNUMBER($F105),$F105,0)+$K105)</f>
        <v/>
      </c>
      <c r="M105" s="56" t="str">
        <f>IF(OR($A105="",NOT(ISNUMBER($E105))),"",$E105-Config!$B$4)</f>
        <v/>
      </c>
      <c r="N105" s="49" t="str">
        <f>IF($M105="","",IF($M105&lt;0,"Expired",IF($M105&lt;=Config!$B$6,"&lt;="&amp;Config!$B$6,IF($M105&lt;=Config!$B$7,(Config!$B$6+1)&amp;"-"&amp;Config!$B$7,IF($M105&lt;=Config!$B$8,(Config!$B$7+1)&amp;"-"&amp;Config!$B$8,"&gt;"&amp;Config!$B$8)))))</f>
        <v/>
      </c>
      <c r="O105" s="52" t="str">
        <f>IF($M105="","",IF($M105&lt;0,0,IF($M105&lt;=Config!$B$6,1,IF($M105&lt;=Config!$B$7,2,IF($M105&lt;=Config!$B$8,3,4)))))</f>
        <v/>
      </c>
      <c r="P105" s="50" t="str">
        <f>IF($A105="","",IF($L105&lt;=0,0,IF(OR(IFERROR(INDEX(Config!$F$15:$F$34,MATCH($G105,Config!$E$15:$E$34,0)),"No")="Yes",AND(Config!$B$10="Yes",ISNUMBER($M105),$M105&lt;0)),$L105,0)))</f>
        <v/>
      </c>
      <c r="Q105" s="52" t="str">
        <f>IF($A105="","",IF(AND($L105&gt;0,ISNUMBER($M105)),IF($M105&lt;=Config!$B$8,1,0),0))</f>
        <v/>
      </c>
      <c r="R105" s="52" t="str">
        <f>IF($Q105=1,COUNTIFS($Q$2:$Q$301,1,$E$2:$E$301,"&lt;"&amp;$E105)+COUNTIFS($Q$2:$Q105,1,$E$2:$E105,$E105),"")</f>
        <v/>
      </c>
      <c r="S105" s="49" t="str">
        <f>IF(COUNTA($A105:$I105)=0,"",IF($A105="","Missing: lot",IF(COUNTIF($A$2:$A$301,$A105)&gt;1,"Duplicate lot",IF($B105="","Missing: SKU",IF(NOT(ISNUMBER($E105)),"Missing: expiry date",IF($G105="","Missing: status",IF(COUNTIF(Products!$A$2:$A$101,$B105)=0,"Unknown SKU",IF(AND($C105&lt;&gt;"",COUNTIF(Suppliers!$A$2:$A$51,$C105)=0),"Unknown supplier",IF(COUNTIF(Config!$E$15:$E$34,$G105)=0,"Unsupported status",IF($L105&lt;0,"Negative lot balance",IF(AND($G105="Closed",$L105&lt;&gt;0),"Closed lot still has stock","OK")))))))))))</f>
        <v/>
      </c>
    </row>
    <row r="106">
      <c r="A106" s="46" t="n"/>
      <c r="B106" s="46" t="n"/>
      <c r="C106" s="46" t="n"/>
      <c r="D106" s="54" t="n"/>
      <c r="E106" s="54" t="n"/>
      <c r="F106" s="48" t="n"/>
      <c r="G106" s="46" t="n"/>
      <c r="H106" s="46" t="n"/>
      <c r="I106" s="46" t="n"/>
      <c r="J106" s="49" t="str">
        <f>IF($A106="","",IFERROR(INDEX(Products!$B$2:$B$101,MATCH($B106,Products!$A$2:$A$101,0))&amp;"","(not found)"))</f>
        <v/>
      </c>
      <c r="K106" s="51" t="str">
        <f>IF($A106="","",SUMIFS(Inventory_Ledger!$M$2:$M$2001,Inventory_Ledger!$F$2:$F$2001,$A106))</f>
        <v/>
      </c>
      <c r="L106" s="51" t="str">
        <f>IF($A106="","",IF(ISNUMBER($F106),$F106,0)+$K106)</f>
        <v/>
      </c>
      <c r="M106" s="56" t="str">
        <f>IF(OR($A106="",NOT(ISNUMBER($E106))),"",$E106-Config!$B$4)</f>
        <v/>
      </c>
      <c r="N106" s="49" t="str">
        <f>IF($M106="","",IF($M106&lt;0,"Expired",IF($M106&lt;=Config!$B$6,"&lt;="&amp;Config!$B$6,IF($M106&lt;=Config!$B$7,(Config!$B$6+1)&amp;"-"&amp;Config!$B$7,IF($M106&lt;=Config!$B$8,(Config!$B$7+1)&amp;"-"&amp;Config!$B$8,"&gt;"&amp;Config!$B$8)))))</f>
        <v/>
      </c>
      <c r="O106" s="52" t="str">
        <f>IF($M106="","",IF($M106&lt;0,0,IF($M106&lt;=Config!$B$6,1,IF($M106&lt;=Config!$B$7,2,IF($M106&lt;=Config!$B$8,3,4)))))</f>
        <v/>
      </c>
      <c r="P106" s="50" t="str">
        <f>IF($A106="","",IF($L106&lt;=0,0,IF(OR(IFERROR(INDEX(Config!$F$15:$F$34,MATCH($G106,Config!$E$15:$E$34,0)),"No")="Yes",AND(Config!$B$10="Yes",ISNUMBER($M106),$M106&lt;0)),$L106,0)))</f>
        <v/>
      </c>
      <c r="Q106" s="52" t="str">
        <f>IF($A106="","",IF(AND($L106&gt;0,ISNUMBER($M106)),IF($M106&lt;=Config!$B$8,1,0),0))</f>
        <v/>
      </c>
      <c r="R106" s="52" t="str">
        <f>IF($Q106=1,COUNTIFS($Q$2:$Q$301,1,$E$2:$E$301,"&lt;"&amp;$E106)+COUNTIFS($Q$2:$Q106,1,$E$2:$E106,$E106),"")</f>
        <v/>
      </c>
      <c r="S106" s="49" t="str">
        <f>IF(COUNTA($A106:$I106)=0,"",IF($A106="","Missing: lot",IF(COUNTIF($A$2:$A$301,$A106)&gt;1,"Duplicate lot",IF($B106="","Missing: SKU",IF(NOT(ISNUMBER($E106)),"Missing: expiry date",IF($G106="","Missing: status",IF(COUNTIF(Products!$A$2:$A$101,$B106)=0,"Unknown SKU",IF(AND($C106&lt;&gt;"",COUNTIF(Suppliers!$A$2:$A$51,$C106)=0),"Unknown supplier",IF(COUNTIF(Config!$E$15:$E$34,$G106)=0,"Unsupported status",IF($L106&lt;0,"Negative lot balance",IF(AND($G106="Closed",$L106&lt;&gt;0),"Closed lot still has stock","OK")))))))))))</f>
        <v/>
      </c>
    </row>
    <row r="107">
      <c r="A107" s="46" t="n"/>
      <c r="B107" s="46" t="n"/>
      <c r="C107" s="46" t="n"/>
      <c r="D107" s="54" t="n"/>
      <c r="E107" s="54" t="n"/>
      <c r="F107" s="48" t="n"/>
      <c r="G107" s="46" t="n"/>
      <c r="H107" s="46" t="n"/>
      <c r="I107" s="46" t="n"/>
      <c r="J107" s="49" t="str">
        <f>IF($A107="","",IFERROR(INDEX(Products!$B$2:$B$101,MATCH($B107,Products!$A$2:$A$101,0))&amp;"","(not found)"))</f>
        <v/>
      </c>
      <c r="K107" s="51" t="str">
        <f>IF($A107="","",SUMIFS(Inventory_Ledger!$M$2:$M$2001,Inventory_Ledger!$F$2:$F$2001,$A107))</f>
        <v/>
      </c>
      <c r="L107" s="51" t="str">
        <f>IF($A107="","",IF(ISNUMBER($F107),$F107,0)+$K107)</f>
        <v/>
      </c>
      <c r="M107" s="56" t="str">
        <f>IF(OR($A107="",NOT(ISNUMBER($E107))),"",$E107-Config!$B$4)</f>
        <v/>
      </c>
      <c r="N107" s="49" t="str">
        <f>IF($M107="","",IF($M107&lt;0,"Expired",IF($M107&lt;=Config!$B$6,"&lt;="&amp;Config!$B$6,IF($M107&lt;=Config!$B$7,(Config!$B$6+1)&amp;"-"&amp;Config!$B$7,IF($M107&lt;=Config!$B$8,(Config!$B$7+1)&amp;"-"&amp;Config!$B$8,"&gt;"&amp;Config!$B$8)))))</f>
        <v/>
      </c>
      <c r="O107" s="52" t="str">
        <f>IF($M107="","",IF($M107&lt;0,0,IF($M107&lt;=Config!$B$6,1,IF($M107&lt;=Config!$B$7,2,IF($M107&lt;=Config!$B$8,3,4)))))</f>
        <v/>
      </c>
      <c r="P107" s="50" t="str">
        <f>IF($A107="","",IF($L107&lt;=0,0,IF(OR(IFERROR(INDEX(Config!$F$15:$F$34,MATCH($G107,Config!$E$15:$E$34,0)),"No")="Yes",AND(Config!$B$10="Yes",ISNUMBER($M107),$M107&lt;0)),$L107,0)))</f>
        <v/>
      </c>
      <c r="Q107" s="52" t="str">
        <f>IF($A107="","",IF(AND($L107&gt;0,ISNUMBER($M107)),IF($M107&lt;=Config!$B$8,1,0),0))</f>
        <v/>
      </c>
      <c r="R107" s="52" t="str">
        <f>IF($Q107=1,COUNTIFS($Q$2:$Q$301,1,$E$2:$E$301,"&lt;"&amp;$E107)+COUNTIFS($Q$2:$Q107,1,$E$2:$E107,$E107),"")</f>
        <v/>
      </c>
      <c r="S107" s="49" t="str">
        <f>IF(COUNTA($A107:$I107)=0,"",IF($A107="","Missing: lot",IF(COUNTIF($A$2:$A$301,$A107)&gt;1,"Duplicate lot",IF($B107="","Missing: SKU",IF(NOT(ISNUMBER($E107)),"Missing: expiry date",IF($G107="","Missing: status",IF(COUNTIF(Products!$A$2:$A$101,$B107)=0,"Unknown SKU",IF(AND($C107&lt;&gt;"",COUNTIF(Suppliers!$A$2:$A$51,$C107)=0),"Unknown supplier",IF(COUNTIF(Config!$E$15:$E$34,$G107)=0,"Unsupported status",IF($L107&lt;0,"Negative lot balance",IF(AND($G107="Closed",$L107&lt;&gt;0),"Closed lot still has stock","OK")))))))))))</f>
        <v/>
      </c>
    </row>
    <row r="108">
      <c r="A108" s="46" t="n"/>
      <c r="B108" s="46" t="n"/>
      <c r="C108" s="46" t="n"/>
      <c r="D108" s="54" t="n"/>
      <c r="E108" s="54" t="n"/>
      <c r="F108" s="48" t="n"/>
      <c r="G108" s="46" t="n"/>
      <c r="H108" s="46" t="n"/>
      <c r="I108" s="46" t="n"/>
      <c r="J108" s="49" t="str">
        <f>IF($A108="","",IFERROR(INDEX(Products!$B$2:$B$101,MATCH($B108,Products!$A$2:$A$101,0))&amp;"","(not found)"))</f>
        <v/>
      </c>
      <c r="K108" s="51" t="str">
        <f>IF($A108="","",SUMIFS(Inventory_Ledger!$M$2:$M$2001,Inventory_Ledger!$F$2:$F$2001,$A108))</f>
        <v/>
      </c>
      <c r="L108" s="51" t="str">
        <f>IF($A108="","",IF(ISNUMBER($F108),$F108,0)+$K108)</f>
        <v/>
      </c>
      <c r="M108" s="56" t="str">
        <f>IF(OR($A108="",NOT(ISNUMBER($E108))),"",$E108-Config!$B$4)</f>
        <v/>
      </c>
      <c r="N108" s="49" t="str">
        <f>IF($M108="","",IF($M108&lt;0,"Expired",IF($M108&lt;=Config!$B$6,"&lt;="&amp;Config!$B$6,IF($M108&lt;=Config!$B$7,(Config!$B$6+1)&amp;"-"&amp;Config!$B$7,IF($M108&lt;=Config!$B$8,(Config!$B$7+1)&amp;"-"&amp;Config!$B$8,"&gt;"&amp;Config!$B$8)))))</f>
        <v/>
      </c>
      <c r="O108" s="52" t="str">
        <f>IF($M108="","",IF($M108&lt;0,0,IF($M108&lt;=Config!$B$6,1,IF($M108&lt;=Config!$B$7,2,IF($M108&lt;=Config!$B$8,3,4)))))</f>
        <v/>
      </c>
      <c r="P108" s="50" t="str">
        <f>IF($A108="","",IF($L108&lt;=0,0,IF(OR(IFERROR(INDEX(Config!$F$15:$F$34,MATCH($G108,Config!$E$15:$E$34,0)),"No")="Yes",AND(Config!$B$10="Yes",ISNUMBER($M108),$M108&lt;0)),$L108,0)))</f>
        <v/>
      </c>
      <c r="Q108" s="52" t="str">
        <f>IF($A108="","",IF(AND($L108&gt;0,ISNUMBER($M108)),IF($M108&lt;=Config!$B$8,1,0),0))</f>
        <v/>
      </c>
      <c r="R108" s="52" t="str">
        <f>IF($Q108=1,COUNTIFS($Q$2:$Q$301,1,$E$2:$E$301,"&lt;"&amp;$E108)+COUNTIFS($Q$2:$Q108,1,$E$2:$E108,$E108),"")</f>
        <v/>
      </c>
      <c r="S108" s="49" t="str">
        <f>IF(COUNTA($A108:$I108)=0,"",IF($A108="","Missing: lot",IF(COUNTIF($A$2:$A$301,$A108)&gt;1,"Duplicate lot",IF($B108="","Missing: SKU",IF(NOT(ISNUMBER($E108)),"Missing: expiry date",IF($G108="","Missing: status",IF(COUNTIF(Products!$A$2:$A$101,$B108)=0,"Unknown SKU",IF(AND($C108&lt;&gt;"",COUNTIF(Suppliers!$A$2:$A$51,$C108)=0),"Unknown supplier",IF(COUNTIF(Config!$E$15:$E$34,$G108)=0,"Unsupported status",IF($L108&lt;0,"Negative lot balance",IF(AND($G108="Closed",$L108&lt;&gt;0),"Closed lot still has stock","OK")))))))))))</f>
        <v/>
      </c>
    </row>
    <row r="109">
      <c r="A109" s="46" t="n"/>
      <c r="B109" s="46" t="n"/>
      <c r="C109" s="46" t="n"/>
      <c r="D109" s="54" t="n"/>
      <c r="E109" s="54" t="n"/>
      <c r="F109" s="48" t="n"/>
      <c r="G109" s="46" t="n"/>
      <c r="H109" s="46" t="n"/>
      <c r="I109" s="46" t="n"/>
      <c r="J109" s="49" t="str">
        <f>IF($A109="","",IFERROR(INDEX(Products!$B$2:$B$101,MATCH($B109,Products!$A$2:$A$101,0))&amp;"","(not found)"))</f>
        <v/>
      </c>
      <c r="K109" s="51" t="str">
        <f>IF($A109="","",SUMIFS(Inventory_Ledger!$M$2:$M$2001,Inventory_Ledger!$F$2:$F$2001,$A109))</f>
        <v/>
      </c>
      <c r="L109" s="51" t="str">
        <f>IF($A109="","",IF(ISNUMBER($F109),$F109,0)+$K109)</f>
        <v/>
      </c>
      <c r="M109" s="56" t="str">
        <f>IF(OR($A109="",NOT(ISNUMBER($E109))),"",$E109-Config!$B$4)</f>
        <v/>
      </c>
      <c r="N109" s="49" t="str">
        <f>IF($M109="","",IF($M109&lt;0,"Expired",IF($M109&lt;=Config!$B$6,"&lt;="&amp;Config!$B$6,IF($M109&lt;=Config!$B$7,(Config!$B$6+1)&amp;"-"&amp;Config!$B$7,IF($M109&lt;=Config!$B$8,(Config!$B$7+1)&amp;"-"&amp;Config!$B$8,"&gt;"&amp;Config!$B$8)))))</f>
        <v/>
      </c>
      <c r="O109" s="52" t="str">
        <f>IF($M109="","",IF($M109&lt;0,0,IF($M109&lt;=Config!$B$6,1,IF($M109&lt;=Config!$B$7,2,IF($M109&lt;=Config!$B$8,3,4)))))</f>
        <v/>
      </c>
      <c r="P109" s="50" t="str">
        <f>IF($A109="","",IF($L109&lt;=0,0,IF(OR(IFERROR(INDEX(Config!$F$15:$F$34,MATCH($G109,Config!$E$15:$E$34,0)),"No")="Yes",AND(Config!$B$10="Yes",ISNUMBER($M109),$M109&lt;0)),$L109,0)))</f>
        <v/>
      </c>
      <c r="Q109" s="52" t="str">
        <f>IF($A109="","",IF(AND($L109&gt;0,ISNUMBER($M109)),IF($M109&lt;=Config!$B$8,1,0),0))</f>
        <v/>
      </c>
      <c r="R109" s="52" t="str">
        <f>IF($Q109=1,COUNTIFS($Q$2:$Q$301,1,$E$2:$E$301,"&lt;"&amp;$E109)+COUNTIFS($Q$2:$Q109,1,$E$2:$E109,$E109),"")</f>
        <v/>
      </c>
      <c r="S109" s="49" t="str">
        <f>IF(COUNTA($A109:$I109)=0,"",IF($A109="","Missing: lot",IF(COUNTIF($A$2:$A$301,$A109)&gt;1,"Duplicate lot",IF($B109="","Missing: SKU",IF(NOT(ISNUMBER($E109)),"Missing: expiry date",IF($G109="","Missing: status",IF(COUNTIF(Products!$A$2:$A$101,$B109)=0,"Unknown SKU",IF(AND($C109&lt;&gt;"",COUNTIF(Suppliers!$A$2:$A$51,$C109)=0),"Unknown supplier",IF(COUNTIF(Config!$E$15:$E$34,$G109)=0,"Unsupported status",IF($L109&lt;0,"Negative lot balance",IF(AND($G109="Closed",$L109&lt;&gt;0),"Closed lot still has stock","OK")))))))))))</f>
        <v/>
      </c>
    </row>
    <row r="110">
      <c r="A110" s="46" t="n"/>
      <c r="B110" s="46" t="n"/>
      <c r="C110" s="46" t="n"/>
      <c r="D110" s="54" t="n"/>
      <c r="E110" s="54" t="n"/>
      <c r="F110" s="48" t="n"/>
      <c r="G110" s="46" t="n"/>
      <c r="H110" s="46" t="n"/>
      <c r="I110" s="46" t="n"/>
      <c r="J110" s="49" t="str">
        <f>IF($A110="","",IFERROR(INDEX(Products!$B$2:$B$101,MATCH($B110,Products!$A$2:$A$101,0))&amp;"","(not found)"))</f>
        <v/>
      </c>
      <c r="K110" s="51" t="str">
        <f>IF($A110="","",SUMIFS(Inventory_Ledger!$M$2:$M$2001,Inventory_Ledger!$F$2:$F$2001,$A110))</f>
        <v/>
      </c>
      <c r="L110" s="51" t="str">
        <f>IF($A110="","",IF(ISNUMBER($F110),$F110,0)+$K110)</f>
        <v/>
      </c>
      <c r="M110" s="56" t="str">
        <f>IF(OR($A110="",NOT(ISNUMBER($E110))),"",$E110-Config!$B$4)</f>
        <v/>
      </c>
      <c r="N110" s="49" t="str">
        <f>IF($M110="","",IF($M110&lt;0,"Expired",IF($M110&lt;=Config!$B$6,"&lt;="&amp;Config!$B$6,IF($M110&lt;=Config!$B$7,(Config!$B$6+1)&amp;"-"&amp;Config!$B$7,IF($M110&lt;=Config!$B$8,(Config!$B$7+1)&amp;"-"&amp;Config!$B$8,"&gt;"&amp;Config!$B$8)))))</f>
        <v/>
      </c>
      <c r="O110" s="52" t="str">
        <f>IF($M110="","",IF($M110&lt;0,0,IF($M110&lt;=Config!$B$6,1,IF($M110&lt;=Config!$B$7,2,IF($M110&lt;=Config!$B$8,3,4)))))</f>
        <v/>
      </c>
      <c r="P110" s="50" t="str">
        <f>IF($A110="","",IF($L110&lt;=0,0,IF(OR(IFERROR(INDEX(Config!$F$15:$F$34,MATCH($G110,Config!$E$15:$E$34,0)),"No")="Yes",AND(Config!$B$10="Yes",ISNUMBER($M110),$M110&lt;0)),$L110,0)))</f>
        <v/>
      </c>
      <c r="Q110" s="52" t="str">
        <f>IF($A110="","",IF(AND($L110&gt;0,ISNUMBER($M110)),IF($M110&lt;=Config!$B$8,1,0),0))</f>
        <v/>
      </c>
      <c r="R110" s="52" t="str">
        <f>IF($Q110=1,COUNTIFS($Q$2:$Q$301,1,$E$2:$E$301,"&lt;"&amp;$E110)+COUNTIFS($Q$2:$Q110,1,$E$2:$E110,$E110),"")</f>
        <v/>
      </c>
      <c r="S110" s="49" t="str">
        <f>IF(COUNTA($A110:$I110)=0,"",IF($A110="","Missing: lot",IF(COUNTIF($A$2:$A$301,$A110)&gt;1,"Duplicate lot",IF($B110="","Missing: SKU",IF(NOT(ISNUMBER($E110)),"Missing: expiry date",IF($G110="","Missing: status",IF(COUNTIF(Products!$A$2:$A$101,$B110)=0,"Unknown SKU",IF(AND($C110&lt;&gt;"",COUNTIF(Suppliers!$A$2:$A$51,$C110)=0),"Unknown supplier",IF(COUNTIF(Config!$E$15:$E$34,$G110)=0,"Unsupported status",IF($L110&lt;0,"Negative lot balance",IF(AND($G110="Closed",$L110&lt;&gt;0),"Closed lot still has stock","OK")))))))))))</f>
        <v/>
      </c>
    </row>
    <row r="111">
      <c r="A111" s="46" t="n"/>
      <c r="B111" s="46" t="n"/>
      <c r="C111" s="46" t="n"/>
      <c r="D111" s="54" t="n"/>
      <c r="E111" s="54" t="n"/>
      <c r="F111" s="48" t="n"/>
      <c r="G111" s="46" t="n"/>
      <c r="H111" s="46" t="n"/>
      <c r="I111" s="46" t="n"/>
      <c r="J111" s="49" t="str">
        <f>IF($A111="","",IFERROR(INDEX(Products!$B$2:$B$101,MATCH($B111,Products!$A$2:$A$101,0))&amp;"","(not found)"))</f>
        <v/>
      </c>
      <c r="K111" s="51" t="str">
        <f>IF($A111="","",SUMIFS(Inventory_Ledger!$M$2:$M$2001,Inventory_Ledger!$F$2:$F$2001,$A111))</f>
        <v/>
      </c>
      <c r="L111" s="51" t="str">
        <f>IF($A111="","",IF(ISNUMBER($F111),$F111,0)+$K111)</f>
        <v/>
      </c>
      <c r="M111" s="56" t="str">
        <f>IF(OR($A111="",NOT(ISNUMBER($E111))),"",$E111-Config!$B$4)</f>
        <v/>
      </c>
      <c r="N111" s="49" t="str">
        <f>IF($M111="","",IF($M111&lt;0,"Expired",IF($M111&lt;=Config!$B$6,"&lt;="&amp;Config!$B$6,IF($M111&lt;=Config!$B$7,(Config!$B$6+1)&amp;"-"&amp;Config!$B$7,IF($M111&lt;=Config!$B$8,(Config!$B$7+1)&amp;"-"&amp;Config!$B$8,"&gt;"&amp;Config!$B$8)))))</f>
        <v/>
      </c>
      <c r="O111" s="52" t="str">
        <f>IF($M111="","",IF($M111&lt;0,0,IF($M111&lt;=Config!$B$6,1,IF($M111&lt;=Config!$B$7,2,IF($M111&lt;=Config!$B$8,3,4)))))</f>
        <v/>
      </c>
      <c r="P111" s="50" t="str">
        <f>IF($A111="","",IF($L111&lt;=0,0,IF(OR(IFERROR(INDEX(Config!$F$15:$F$34,MATCH($G111,Config!$E$15:$E$34,0)),"No")="Yes",AND(Config!$B$10="Yes",ISNUMBER($M111),$M111&lt;0)),$L111,0)))</f>
        <v/>
      </c>
      <c r="Q111" s="52" t="str">
        <f>IF($A111="","",IF(AND($L111&gt;0,ISNUMBER($M111)),IF($M111&lt;=Config!$B$8,1,0),0))</f>
        <v/>
      </c>
      <c r="R111" s="52" t="str">
        <f>IF($Q111=1,COUNTIFS($Q$2:$Q$301,1,$E$2:$E$301,"&lt;"&amp;$E111)+COUNTIFS($Q$2:$Q111,1,$E$2:$E111,$E111),"")</f>
        <v/>
      </c>
      <c r="S111" s="49" t="str">
        <f>IF(COUNTA($A111:$I111)=0,"",IF($A111="","Missing: lot",IF(COUNTIF($A$2:$A$301,$A111)&gt;1,"Duplicate lot",IF($B111="","Missing: SKU",IF(NOT(ISNUMBER($E111)),"Missing: expiry date",IF($G111="","Missing: status",IF(COUNTIF(Products!$A$2:$A$101,$B111)=0,"Unknown SKU",IF(AND($C111&lt;&gt;"",COUNTIF(Suppliers!$A$2:$A$51,$C111)=0),"Unknown supplier",IF(COUNTIF(Config!$E$15:$E$34,$G111)=0,"Unsupported status",IF($L111&lt;0,"Negative lot balance",IF(AND($G111="Closed",$L111&lt;&gt;0),"Closed lot still has stock","OK")))))))))))</f>
        <v/>
      </c>
    </row>
    <row r="112">
      <c r="A112" s="46" t="n"/>
      <c r="B112" s="46" t="n"/>
      <c r="C112" s="46" t="n"/>
      <c r="D112" s="54" t="n"/>
      <c r="E112" s="54" t="n"/>
      <c r="F112" s="48" t="n"/>
      <c r="G112" s="46" t="n"/>
      <c r="H112" s="46" t="n"/>
      <c r="I112" s="46" t="n"/>
      <c r="J112" s="49" t="str">
        <f>IF($A112="","",IFERROR(INDEX(Products!$B$2:$B$101,MATCH($B112,Products!$A$2:$A$101,0))&amp;"","(not found)"))</f>
        <v/>
      </c>
      <c r="K112" s="51" t="str">
        <f>IF($A112="","",SUMIFS(Inventory_Ledger!$M$2:$M$2001,Inventory_Ledger!$F$2:$F$2001,$A112))</f>
        <v/>
      </c>
      <c r="L112" s="51" t="str">
        <f>IF($A112="","",IF(ISNUMBER($F112),$F112,0)+$K112)</f>
        <v/>
      </c>
      <c r="M112" s="56" t="str">
        <f>IF(OR($A112="",NOT(ISNUMBER($E112))),"",$E112-Config!$B$4)</f>
        <v/>
      </c>
      <c r="N112" s="49" t="str">
        <f>IF($M112="","",IF($M112&lt;0,"Expired",IF($M112&lt;=Config!$B$6,"&lt;="&amp;Config!$B$6,IF($M112&lt;=Config!$B$7,(Config!$B$6+1)&amp;"-"&amp;Config!$B$7,IF($M112&lt;=Config!$B$8,(Config!$B$7+1)&amp;"-"&amp;Config!$B$8,"&gt;"&amp;Config!$B$8)))))</f>
        <v/>
      </c>
      <c r="O112" s="52" t="str">
        <f>IF($M112="","",IF($M112&lt;0,0,IF($M112&lt;=Config!$B$6,1,IF($M112&lt;=Config!$B$7,2,IF($M112&lt;=Config!$B$8,3,4)))))</f>
        <v/>
      </c>
      <c r="P112" s="50" t="str">
        <f>IF($A112="","",IF($L112&lt;=0,0,IF(OR(IFERROR(INDEX(Config!$F$15:$F$34,MATCH($G112,Config!$E$15:$E$34,0)),"No")="Yes",AND(Config!$B$10="Yes",ISNUMBER($M112),$M112&lt;0)),$L112,0)))</f>
        <v/>
      </c>
      <c r="Q112" s="52" t="str">
        <f>IF($A112="","",IF(AND($L112&gt;0,ISNUMBER($M112)),IF($M112&lt;=Config!$B$8,1,0),0))</f>
        <v/>
      </c>
      <c r="R112" s="52" t="str">
        <f>IF($Q112=1,COUNTIFS($Q$2:$Q$301,1,$E$2:$E$301,"&lt;"&amp;$E112)+COUNTIFS($Q$2:$Q112,1,$E$2:$E112,$E112),"")</f>
        <v/>
      </c>
      <c r="S112" s="49" t="str">
        <f>IF(COUNTA($A112:$I112)=0,"",IF($A112="","Missing: lot",IF(COUNTIF($A$2:$A$301,$A112)&gt;1,"Duplicate lot",IF($B112="","Missing: SKU",IF(NOT(ISNUMBER($E112)),"Missing: expiry date",IF($G112="","Missing: status",IF(COUNTIF(Products!$A$2:$A$101,$B112)=0,"Unknown SKU",IF(AND($C112&lt;&gt;"",COUNTIF(Suppliers!$A$2:$A$51,$C112)=0),"Unknown supplier",IF(COUNTIF(Config!$E$15:$E$34,$G112)=0,"Unsupported status",IF($L112&lt;0,"Negative lot balance",IF(AND($G112="Closed",$L112&lt;&gt;0),"Closed lot still has stock","OK")))))))))))</f>
        <v/>
      </c>
    </row>
    <row r="113">
      <c r="A113" s="46" t="n"/>
      <c r="B113" s="46" t="n"/>
      <c r="C113" s="46" t="n"/>
      <c r="D113" s="54" t="n"/>
      <c r="E113" s="54" t="n"/>
      <c r="F113" s="48" t="n"/>
      <c r="G113" s="46" t="n"/>
      <c r="H113" s="46" t="n"/>
      <c r="I113" s="46" t="n"/>
      <c r="J113" s="49" t="str">
        <f>IF($A113="","",IFERROR(INDEX(Products!$B$2:$B$101,MATCH($B113,Products!$A$2:$A$101,0))&amp;"","(not found)"))</f>
        <v/>
      </c>
      <c r="K113" s="51" t="str">
        <f>IF($A113="","",SUMIFS(Inventory_Ledger!$M$2:$M$2001,Inventory_Ledger!$F$2:$F$2001,$A113))</f>
        <v/>
      </c>
      <c r="L113" s="51" t="str">
        <f>IF($A113="","",IF(ISNUMBER($F113),$F113,0)+$K113)</f>
        <v/>
      </c>
      <c r="M113" s="56" t="str">
        <f>IF(OR($A113="",NOT(ISNUMBER($E113))),"",$E113-Config!$B$4)</f>
        <v/>
      </c>
      <c r="N113" s="49" t="str">
        <f>IF($M113="","",IF($M113&lt;0,"Expired",IF($M113&lt;=Config!$B$6,"&lt;="&amp;Config!$B$6,IF($M113&lt;=Config!$B$7,(Config!$B$6+1)&amp;"-"&amp;Config!$B$7,IF($M113&lt;=Config!$B$8,(Config!$B$7+1)&amp;"-"&amp;Config!$B$8,"&gt;"&amp;Config!$B$8)))))</f>
        <v/>
      </c>
      <c r="O113" s="52" t="str">
        <f>IF($M113="","",IF($M113&lt;0,0,IF($M113&lt;=Config!$B$6,1,IF($M113&lt;=Config!$B$7,2,IF($M113&lt;=Config!$B$8,3,4)))))</f>
        <v/>
      </c>
      <c r="P113" s="50" t="str">
        <f>IF($A113="","",IF($L113&lt;=0,0,IF(OR(IFERROR(INDEX(Config!$F$15:$F$34,MATCH($G113,Config!$E$15:$E$34,0)),"No")="Yes",AND(Config!$B$10="Yes",ISNUMBER($M113),$M113&lt;0)),$L113,0)))</f>
        <v/>
      </c>
      <c r="Q113" s="52" t="str">
        <f>IF($A113="","",IF(AND($L113&gt;0,ISNUMBER($M113)),IF($M113&lt;=Config!$B$8,1,0),0))</f>
        <v/>
      </c>
      <c r="R113" s="52" t="str">
        <f>IF($Q113=1,COUNTIFS($Q$2:$Q$301,1,$E$2:$E$301,"&lt;"&amp;$E113)+COUNTIFS($Q$2:$Q113,1,$E$2:$E113,$E113),"")</f>
        <v/>
      </c>
      <c r="S113" s="49" t="str">
        <f>IF(COUNTA($A113:$I113)=0,"",IF($A113="","Missing: lot",IF(COUNTIF($A$2:$A$301,$A113)&gt;1,"Duplicate lot",IF($B113="","Missing: SKU",IF(NOT(ISNUMBER($E113)),"Missing: expiry date",IF($G113="","Missing: status",IF(COUNTIF(Products!$A$2:$A$101,$B113)=0,"Unknown SKU",IF(AND($C113&lt;&gt;"",COUNTIF(Suppliers!$A$2:$A$51,$C113)=0),"Unknown supplier",IF(COUNTIF(Config!$E$15:$E$34,$G113)=0,"Unsupported status",IF($L113&lt;0,"Negative lot balance",IF(AND($G113="Closed",$L113&lt;&gt;0),"Closed lot still has stock","OK")))))))))))</f>
        <v/>
      </c>
    </row>
    <row r="114">
      <c r="A114" s="46" t="n"/>
      <c r="B114" s="46" t="n"/>
      <c r="C114" s="46" t="n"/>
      <c r="D114" s="54" t="n"/>
      <c r="E114" s="54" t="n"/>
      <c r="F114" s="48" t="n"/>
      <c r="G114" s="46" t="n"/>
      <c r="H114" s="46" t="n"/>
      <c r="I114" s="46" t="n"/>
      <c r="J114" s="49" t="str">
        <f>IF($A114="","",IFERROR(INDEX(Products!$B$2:$B$101,MATCH($B114,Products!$A$2:$A$101,0))&amp;"","(not found)"))</f>
        <v/>
      </c>
      <c r="K114" s="51" t="str">
        <f>IF($A114="","",SUMIFS(Inventory_Ledger!$M$2:$M$2001,Inventory_Ledger!$F$2:$F$2001,$A114))</f>
        <v/>
      </c>
      <c r="L114" s="51" t="str">
        <f>IF($A114="","",IF(ISNUMBER($F114),$F114,0)+$K114)</f>
        <v/>
      </c>
      <c r="M114" s="56" t="str">
        <f>IF(OR($A114="",NOT(ISNUMBER($E114))),"",$E114-Config!$B$4)</f>
        <v/>
      </c>
      <c r="N114" s="49" t="str">
        <f>IF($M114="","",IF($M114&lt;0,"Expired",IF($M114&lt;=Config!$B$6,"&lt;="&amp;Config!$B$6,IF($M114&lt;=Config!$B$7,(Config!$B$6+1)&amp;"-"&amp;Config!$B$7,IF($M114&lt;=Config!$B$8,(Config!$B$7+1)&amp;"-"&amp;Config!$B$8,"&gt;"&amp;Config!$B$8)))))</f>
        <v/>
      </c>
      <c r="O114" s="52" t="str">
        <f>IF($M114="","",IF($M114&lt;0,0,IF($M114&lt;=Config!$B$6,1,IF($M114&lt;=Config!$B$7,2,IF($M114&lt;=Config!$B$8,3,4)))))</f>
        <v/>
      </c>
      <c r="P114" s="50" t="str">
        <f>IF($A114="","",IF($L114&lt;=0,0,IF(OR(IFERROR(INDEX(Config!$F$15:$F$34,MATCH($G114,Config!$E$15:$E$34,0)),"No")="Yes",AND(Config!$B$10="Yes",ISNUMBER($M114),$M114&lt;0)),$L114,0)))</f>
        <v/>
      </c>
      <c r="Q114" s="52" t="str">
        <f>IF($A114="","",IF(AND($L114&gt;0,ISNUMBER($M114)),IF($M114&lt;=Config!$B$8,1,0),0))</f>
        <v/>
      </c>
      <c r="R114" s="52" t="str">
        <f>IF($Q114=1,COUNTIFS($Q$2:$Q$301,1,$E$2:$E$301,"&lt;"&amp;$E114)+COUNTIFS($Q$2:$Q114,1,$E$2:$E114,$E114),"")</f>
        <v/>
      </c>
      <c r="S114" s="49" t="str">
        <f>IF(COUNTA($A114:$I114)=0,"",IF($A114="","Missing: lot",IF(COUNTIF($A$2:$A$301,$A114)&gt;1,"Duplicate lot",IF($B114="","Missing: SKU",IF(NOT(ISNUMBER($E114)),"Missing: expiry date",IF($G114="","Missing: status",IF(COUNTIF(Products!$A$2:$A$101,$B114)=0,"Unknown SKU",IF(AND($C114&lt;&gt;"",COUNTIF(Suppliers!$A$2:$A$51,$C114)=0),"Unknown supplier",IF(COUNTIF(Config!$E$15:$E$34,$G114)=0,"Unsupported status",IF($L114&lt;0,"Negative lot balance",IF(AND($G114="Closed",$L114&lt;&gt;0),"Closed lot still has stock","OK")))))))))))</f>
        <v/>
      </c>
    </row>
    <row r="115">
      <c r="A115" s="46" t="n"/>
      <c r="B115" s="46" t="n"/>
      <c r="C115" s="46" t="n"/>
      <c r="D115" s="54" t="n"/>
      <c r="E115" s="54" t="n"/>
      <c r="F115" s="48" t="n"/>
      <c r="G115" s="46" t="n"/>
      <c r="H115" s="46" t="n"/>
      <c r="I115" s="46" t="n"/>
      <c r="J115" s="49" t="str">
        <f>IF($A115="","",IFERROR(INDEX(Products!$B$2:$B$101,MATCH($B115,Products!$A$2:$A$101,0))&amp;"","(not found)"))</f>
        <v/>
      </c>
      <c r="K115" s="51" t="str">
        <f>IF($A115="","",SUMIFS(Inventory_Ledger!$M$2:$M$2001,Inventory_Ledger!$F$2:$F$2001,$A115))</f>
        <v/>
      </c>
      <c r="L115" s="51" t="str">
        <f>IF($A115="","",IF(ISNUMBER($F115),$F115,0)+$K115)</f>
        <v/>
      </c>
      <c r="M115" s="56" t="str">
        <f>IF(OR($A115="",NOT(ISNUMBER($E115))),"",$E115-Config!$B$4)</f>
        <v/>
      </c>
      <c r="N115" s="49" t="str">
        <f>IF($M115="","",IF($M115&lt;0,"Expired",IF($M115&lt;=Config!$B$6,"&lt;="&amp;Config!$B$6,IF($M115&lt;=Config!$B$7,(Config!$B$6+1)&amp;"-"&amp;Config!$B$7,IF($M115&lt;=Config!$B$8,(Config!$B$7+1)&amp;"-"&amp;Config!$B$8,"&gt;"&amp;Config!$B$8)))))</f>
        <v/>
      </c>
      <c r="O115" s="52" t="str">
        <f>IF($M115="","",IF($M115&lt;0,0,IF($M115&lt;=Config!$B$6,1,IF($M115&lt;=Config!$B$7,2,IF($M115&lt;=Config!$B$8,3,4)))))</f>
        <v/>
      </c>
      <c r="P115" s="50" t="str">
        <f>IF($A115="","",IF($L115&lt;=0,0,IF(OR(IFERROR(INDEX(Config!$F$15:$F$34,MATCH($G115,Config!$E$15:$E$34,0)),"No")="Yes",AND(Config!$B$10="Yes",ISNUMBER($M115),$M115&lt;0)),$L115,0)))</f>
        <v/>
      </c>
      <c r="Q115" s="52" t="str">
        <f>IF($A115="","",IF(AND($L115&gt;0,ISNUMBER($M115)),IF($M115&lt;=Config!$B$8,1,0),0))</f>
        <v/>
      </c>
      <c r="R115" s="52" t="str">
        <f>IF($Q115=1,COUNTIFS($Q$2:$Q$301,1,$E$2:$E$301,"&lt;"&amp;$E115)+COUNTIFS($Q$2:$Q115,1,$E$2:$E115,$E115),"")</f>
        <v/>
      </c>
      <c r="S115" s="49" t="str">
        <f>IF(COUNTA($A115:$I115)=0,"",IF($A115="","Missing: lot",IF(COUNTIF($A$2:$A$301,$A115)&gt;1,"Duplicate lot",IF($B115="","Missing: SKU",IF(NOT(ISNUMBER($E115)),"Missing: expiry date",IF($G115="","Missing: status",IF(COUNTIF(Products!$A$2:$A$101,$B115)=0,"Unknown SKU",IF(AND($C115&lt;&gt;"",COUNTIF(Suppliers!$A$2:$A$51,$C115)=0),"Unknown supplier",IF(COUNTIF(Config!$E$15:$E$34,$G115)=0,"Unsupported status",IF($L115&lt;0,"Negative lot balance",IF(AND($G115="Closed",$L115&lt;&gt;0),"Closed lot still has stock","OK")))))))))))</f>
        <v/>
      </c>
    </row>
    <row r="116">
      <c r="A116" s="46" t="n"/>
      <c r="B116" s="46" t="n"/>
      <c r="C116" s="46" t="n"/>
      <c r="D116" s="54" t="n"/>
      <c r="E116" s="54" t="n"/>
      <c r="F116" s="48" t="n"/>
      <c r="G116" s="46" t="n"/>
      <c r="H116" s="46" t="n"/>
      <c r="I116" s="46" t="n"/>
      <c r="J116" s="49" t="str">
        <f>IF($A116="","",IFERROR(INDEX(Products!$B$2:$B$101,MATCH($B116,Products!$A$2:$A$101,0))&amp;"","(not found)"))</f>
        <v/>
      </c>
      <c r="K116" s="51" t="str">
        <f>IF($A116="","",SUMIFS(Inventory_Ledger!$M$2:$M$2001,Inventory_Ledger!$F$2:$F$2001,$A116))</f>
        <v/>
      </c>
      <c r="L116" s="51" t="str">
        <f>IF($A116="","",IF(ISNUMBER($F116),$F116,0)+$K116)</f>
        <v/>
      </c>
      <c r="M116" s="56" t="str">
        <f>IF(OR($A116="",NOT(ISNUMBER($E116))),"",$E116-Config!$B$4)</f>
        <v/>
      </c>
      <c r="N116" s="49" t="str">
        <f>IF($M116="","",IF($M116&lt;0,"Expired",IF($M116&lt;=Config!$B$6,"&lt;="&amp;Config!$B$6,IF($M116&lt;=Config!$B$7,(Config!$B$6+1)&amp;"-"&amp;Config!$B$7,IF($M116&lt;=Config!$B$8,(Config!$B$7+1)&amp;"-"&amp;Config!$B$8,"&gt;"&amp;Config!$B$8)))))</f>
        <v/>
      </c>
      <c r="O116" s="52" t="str">
        <f>IF($M116="","",IF($M116&lt;0,0,IF($M116&lt;=Config!$B$6,1,IF($M116&lt;=Config!$B$7,2,IF($M116&lt;=Config!$B$8,3,4)))))</f>
        <v/>
      </c>
      <c r="P116" s="50" t="str">
        <f>IF($A116="","",IF($L116&lt;=0,0,IF(OR(IFERROR(INDEX(Config!$F$15:$F$34,MATCH($G116,Config!$E$15:$E$34,0)),"No")="Yes",AND(Config!$B$10="Yes",ISNUMBER($M116),$M116&lt;0)),$L116,0)))</f>
        <v/>
      </c>
      <c r="Q116" s="52" t="str">
        <f>IF($A116="","",IF(AND($L116&gt;0,ISNUMBER($M116)),IF($M116&lt;=Config!$B$8,1,0),0))</f>
        <v/>
      </c>
      <c r="R116" s="52" t="str">
        <f>IF($Q116=1,COUNTIFS($Q$2:$Q$301,1,$E$2:$E$301,"&lt;"&amp;$E116)+COUNTIFS($Q$2:$Q116,1,$E$2:$E116,$E116),"")</f>
        <v/>
      </c>
      <c r="S116" s="49" t="str">
        <f>IF(COUNTA($A116:$I116)=0,"",IF($A116="","Missing: lot",IF(COUNTIF($A$2:$A$301,$A116)&gt;1,"Duplicate lot",IF($B116="","Missing: SKU",IF(NOT(ISNUMBER($E116)),"Missing: expiry date",IF($G116="","Missing: status",IF(COUNTIF(Products!$A$2:$A$101,$B116)=0,"Unknown SKU",IF(AND($C116&lt;&gt;"",COUNTIF(Suppliers!$A$2:$A$51,$C116)=0),"Unknown supplier",IF(COUNTIF(Config!$E$15:$E$34,$G116)=0,"Unsupported status",IF($L116&lt;0,"Negative lot balance",IF(AND($G116="Closed",$L116&lt;&gt;0),"Closed lot still has stock","OK")))))))))))</f>
        <v/>
      </c>
    </row>
    <row r="117">
      <c r="A117" s="46" t="n"/>
      <c r="B117" s="46" t="n"/>
      <c r="C117" s="46" t="n"/>
      <c r="D117" s="54" t="n"/>
      <c r="E117" s="54" t="n"/>
      <c r="F117" s="48" t="n"/>
      <c r="G117" s="46" t="n"/>
      <c r="H117" s="46" t="n"/>
      <c r="I117" s="46" t="n"/>
      <c r="J117" s="49" t="str">
        <f>IF($A117="","",IFERROR(INDEX(Products!$B$2:$B$101,MATCH($B117,Products!$A$2:$A$101,0))&amp;"","(not found)"))</f>
        <v/>
      </c>
      <c r="K117" s="51" t="str">
        <f>IF($A117="","",SUMIFS(Inventory_Ledger!$M$2:$M$2001,Inventory_Ledger!$F$2:$F$2001,$A117))</f>
        <v/>
      </c>
      <c r="L117" s="51" t="str">
        <f>IF($A117="","",IF(ISNUMBER($F117),$F117,0)+$K117)</f>
        <v/>
      </c>
      <c r="M117" s="56" t="str">
        <f>IF(OR($A117="",NOT(ISNUMBER($E117))),"",$E117-Config!$B$4)</f>
        <v/>
      </c>
      <c r="N117" s="49" t="str">
        <f>IF($M117="","",IF($M117&lt;0,"Expired",IF($M117&lt;=Config!$B$6,"&lt;="&amp;Config!$B$6,IF($M117&lt;=Config!$B$7,(Config!$B$6+1)&amp;"-"&amp;Config!$B$7,IF($M117&lt;=Config!$B$8,(Config!$B$7+1)&amp;"-"&amp;Config!$B$8,"&gt;"&amp;Config!$B$8)))))</f>
        <v/>
      </c>
      <c r="O117" s="52" t="str">
        <f>IF($M117="","",IF($M117&lt;0,0,IF($M117&lt;=Config!$B$6,1,IF($M117&lt;=Config!$B$7,2,IF($M117&lt;=Config!$B$8,3,4)))))</f>
        <v/>
      </c>
      <c r="P117" s="50" t="str">
        <f>IF($A117="","",IF($L117&lt;=0,0,IF(OR(IFERROR(INDEX(Config!$F$15:$F$34,MATCH($G117,Config!$E$15:$E$34,0)),"No")="Yes",AND(Config!$B$10="Yes",ISNUMBER($M117),$M117&lt;0)),$L117,0)))</f>
        <v/>
      </c>
      <c r="Q117" s="52" t="str">
        <f>IF($A117="","",IF(AND($L117&gt;0,ISNUMBER($M117)),IF($M117&lt;=Config!$B$8,1,0),0))</f>
        <v/>
      </c>
      <c r="R117" s="52" t="str">
        <f>IF($Q117=1,COUNTIFS($Q$2:$Q$301,1,$E$2:$E$301,"&lt;"&amp;$E117)+COUNTIFS($Q$2:$Q117,1,$E$2:$E117,$E117),"")</f>
        <v/>
      </c>
      <c r="S117" s="49" t="str">
        <f>IF(COUNTA($A117:$I117)=0,"",IF($A117="","Missing: lot",IF(COUNTIF($A$2:$A$301,$A117)&gt;1,"Duplicate lot",IF($B117="","Missing: SKU",IF(NOT(ISNUMBER($E117)),"Missing: expiry date",IF($G117="","Missing: status",IF(COUNTIF(Products!$A$2:$A$101,$B117)=0,"Unknown SKU",IF(AND($C117&lt;&gt;"",COUNTIF(Suppliers!$A$2:$A$51,$C117)=0),"Unknown supplier",IF(COUNTIF(Config!$E$15:$E$34,$G117)=0,"Unsupported status",IF($L117&lt;0,"Negative lot balance",IF(AND($G117="Closed",$L117&lt;&gt;0),"Closed lot still has stock","OK")))))))))))</f>
        <v/>
      </c>
    </row>
    <row r="118">
      <c r="A118" s="46" t="n"/>
      <c r="B118" s="46" t="n"/>
      <c r="C118" s="46" t="n"/>
      <c r="D118" s="54" t="n"/>
      <c r="E118" s="54" t="n"/>
      <c r="F118" s="48" t="n"/>
      <c r="G118" s="46" t="n"/>
      <c r="H118" s="46" t="n"/>
      <c r="I118" s="46" t="n"/>
      <c r="J118" s="49" t="str">
        <f>IF($A118="","",IFERROR(INDEX(Products!$B$2:$B$101,MATCH($B118,Products!$A$2:$A$101,0))&amp;"","(not found)"))</f>
        <v/>
      </c>
      <c r="K118" s="51" t="str">
        <f>IF($A118="","",SUMIFS(Inventory_Ledger!$M$2:$M$2001,Inventory_Ledger!$F$2:$F$2001,$A118))</f>
        <v/>
      </c>
      <c r="L118" s="51" t="str">
        <f>IF($A118="","",IF(ISNUMBER($F118),$F118,0)+$K118)</f>
        <v/>
      </c>
      <c r="M118" s="56" t="str">
        <f>IF(OR($A118="",NOT(ISNUMBER($E118))),"",$E118-Config!$B$4)</f>
        <v/>
      </c>
      <c r="N118" s="49" t="str">
        <f>IF($M118="","",IF($M118&lt;0,"Expired",IF($M118&lt;=Config!$B$6,"&lt;="&amp;Config!$B$6,IF($M118&lt;=Config!$B$7,(Config!$B$6+1)&amp;"-"&amp;Config!$B$7,IF($M118&lt;=Config!$B$8,(Config!$B$7+1)&amp;"-"&amp;Config!$B$8,"&gt;"&amp;Config!$B$8)))))</f>
        <v/>
      </c>
      <c r="O118" s="52" t="str">
        <f>IF($M118="","",IF($M118&lt;0,0,IF($M118&lt;=Config!$B$6,1,IF($M118&lt;=Config!$B$7,2,IF($M118&lt;=Config!$B$8,3,4)))))</f>
        <v/>
      </c>
      <c r="P118" s="50" t="str">
        <f>IF($A118="","",IF($L118&lt;=0,0,IF(OR(IFERROR(INDEX(Config!$F$15:$F$34,MATCH($G118,Config!$E$15:$E$34,0)),"No")="Yes",AND(Config!$B$10="Yes",ISNUMBER($M118),$M118&lt;0)),$L118,0)))</f>
        <v/>
      </c>
      <c r="Q118" s="52" t="str">
        <f>IF($A118="","",IF(AND($L118&gt;0,ISNUMBER($M118)),IF($M118&lt;=Config!$B$8,1,0),0))</f>
        <v/>
      </c>
      <c r="R118" s="52" t="str">
        <f>IF($Q118=1,COUNTIFS($Q$2:$Q$301,1,$E$2:$E$301,"&lt;"&amp;$E118)+COUNTIFS($Q$2:$Q118,1,$E$2:$E118,$E118),"")</f>
        <v/>
      </c>
      <c r="S118" s="49" t="str">
        <f>IF(COUNTA($A118:$I118)=0,"",IF($A118="","Missing: lot",IF(COUNTIF($A$2:$A$301,$A118)&gt;1,"Duplicate lot",IF($B118="","Missing: SKU",IF(NOT(ISNUMBER($E118)),"Missing: expiry date",IF($G118="","Missing: status",IF(COUNTIF(Products!$A$2:$A$101,$B118)=0,"Unknown SKU",IF(AND($C118&lt;&gt;"",COUNTIF(Suppliers!$A$2:$A$51,$C118)=0),"Unknown supplier",IF(COUNTIF(Config!$E$15:$E$34,$G118)=0,"Unsupported status",IF($L118&lt;0,"Negative lot balance",IF(AND($G118="Closed",$L118&lt;&gt;0),"Closed lot still has stock","OK")))))))))))</f>
        <v/>
      </c>
    </row>
    <row r="119">
      <c r="A119" s="46" t="n"/>
      <c r="B119" s="46" t="n"/>
      <c r="C119" s="46" t="n"/>
      <c r="D119" s="54" t="n"/>
      <c r="E119" s="54" t="n"/>
      <c r="F119" s="48" t="n"/>
      <c r="G119" s="46" t="n"/>
      <c r="H119" s="46" t="n"/>
      <c r="I119" s="46" t="n"/>
      <c r="J119" s="49" t="str">
        <f>IF($A119="","",IFERROR(INDEX(Products!$B$2:$B$101,MATCH($B119,Products!$A$2:$A$101,0))&amp;"","(not found)"))</f>
        <v/>
      </c>
      <c r="K119" s="51" t="str">
        <f>IF($A119="","",SUMIFS(Inventory_Ledger!$M$2:$M$2001,Inventory_Ledger!$F$2:$F$2001,$A119))</f>
        <v/>
      </c>
      <c r="L119" s="51" t="str">
        <f>IF($A119="","",IF(ISNUMBER($F119),$F119,0)+$K119)</f>
        <v/>
      </c>
      <c r="M119" s="56" t="str">
        <f>IF(OR($A119="",NOT(ISNUMBER($E119))),"",$E119-Config!$B$4)</f>
        <v/>
      </c>
      <c r="N119" s="49" t="str">
        <f>IF($M119="","",IF($M119&lt;0,"Expired",IF($M119&lt;=Config!$B$6,"&lt;="&amp;Config!$B$6,IF($M119&lt;=Config!$B$7,(Config!$B$6+1)&amp;"-"&amp;Config!$B$7,IF($M119&lt;=Config!$B$8,(Config!$B$7+1)&amp;"-"&amp;Config!$B$8,"&gt;"&amp;Config!$B$8)))))</f>
        <v/>
      </c>
      <c r="O119" s="52" t="str">
        <f>IF($M119="","",IF($M119&lt;0,0,IF($M119&lt;=Config!$B$6,1,IF($M119&lt;=Config!$B$7,2,IF($M119&lt;=Config!$B$8,3,4)))))</f>
        <v/>
      </c>
      <c r="P119" s="50" t="str">
        <f>IF($A119="","",IF($L119&lt;=0,0,IF(OR(IFERROR(INDEX(Config!$F$15:$F$34,MATCH($G119,Config!$E$15:$E$34,0)),"No")="Yes",AND(Config!$B$10="Yes",ISNUMBER($M119),$M119&lt;0)),$L119,0)))</f>
        <v/>
      </c>
      <c r="Q119" s="52" t="str">
        <f>IF($A119="","",IF(AND($L119&gt;0,ISNUMBER($M119)),IF($M119&lt;=Config!$B$8,1,0),0))</f>
        <v/>
      </c>
      <c r="R119" s="52" t="str">
        <f>IF($Q119=1,COUNTIFS($Q$2:$Q$301,1,$E$2:$E$301,"&lt;"&amp;$E119)+COUNTIFS($Q$2:$Q119,1,$E$2:$E119,$E119),"")</f>
        <v/>
      </c>
      <c r="S119" s="49" t="str">
        <f>IF(COUNTA($A119:$I119)=0,"",IF($A119="","Missing: lot",IF(COUNTIF($A$2:$A$301,$A119)&gt;1,"Duplicate lot",IF($B119="","Missing: SKU",IF(NOT(ISNUMBER($E119)),"Missing: expiry date",IF($G119="","Missing: status",IF(COUNTIF(Products!$A$2:$A$101,$B119)=0,"Unknown SKU",IF(AND($C119&lt;&gt;"",COUNTIF(Suppliers!$A$2:$A$51,$C119)=0),"Unknown supplier",IF(COUNTIF(Config!$E$15:$E$34,$G119)=0,"Unsupported status",IF($L119&lt;0,"Negative lot balance",IF(AND($G119="Closed",$L119&lt;&gt;0),"Closed lot still has stock","OK")))))))))))</f>
        <v/>
      </c>
    </row>
    <row r="120">
      <c r="A120" s="46" t="n"/>
      <c r="B120" s="46" t="n"/>
      <c r="C120" s="46" t="n"/>
      <c r="D120" s="54" t="n"/>
      <c r="E120" s="54" t="n"/>
      <c r="F120" s="48" t="n"/>
      <c r="G120" s="46" t="n"/>
      <c r="H120" s="46" t="n"/>
      <c r="I120" s="46" t="n"/>
      <c r="J120" s="49" t="str">
        <f>IF($A120="","",IFERROR(INDEX(Products!$B$2:$B$101,MATCH($B120,Products!$A$2:$A$101,0))&amp;"","(not found)"))</f>
        <v/>
      </c>
      <c r="K120" s="51" t="str">
        <f>IF($A120="","",SUMIFS(Inventory_Ledger!$M$2:$M$2001,Inventory_Ledger!$F$2:$F$2001,$A120))</f>
        <v/>
      </c>
      <c r="L120" s="51" t="str">
        <f>IF($A120="","",IF(ISNUMBER($F120),$F120,0)+$K120)</f>
        <v/>
      </c>
      <c r="M120" s="56" t="str">
        <f>IF(OR($A120="",NOT(ISNUMBER($E120))),"",$E120-Config!$B$4)</f>
        <v/>
      </c>
      <c r="N120" s="49" t="str">
        <f>IF($M120="","",IF($M120&lt;0,"Expired",IF($M120&lt;=Config!$B$6,"&lt;="&amp;Config!$B$6,IF($M120&lt;=Config!$B$7,(Config!$B$6+1)&amp;"-"&amp;Config!$B$7,IF($M120&lt;=Config!$B$8,(Config!$B$7+1)&amp;"-"&amp;Config!$B$8,"&gt;"&amp;Config!$B$8)))))</f>
        <v/>
      </c>
      <c r="O120" s="52" t="str">
        <f>IF($M120="","",IF($M120&lt;0,0,IF($M120&lt;=Config!$B$6,1,IF($M120&lt;=Config!$B$7,2,IF($M120&lt;=Config!$B$8,3,4)))))</f>
        <v/>
      </c>
      <c r="P120" s="50" t="str">
        <f>IF($A120="","",IF($L120&lt;=0,0,IF(OR(IFERROR(INDEX(Config!$F$15:$F$34,MATCH($G120,Config!$E$15:$E$34,0)),"No")="Yes",AND(Config!$B$10="Yes",ISNUMBER($M120),$M120&lt;0)),$L120,0)))</f>
        <v/>
      </c>
      <c r="Q120" s="52" t="str">
        <f>IF($A120="","",IF(AND($L120&gt;0,ISNUMBER($M120)),IF($M120&lt;=Config!$B$8,1,0),0))</f>
        <v/>
      </c>
      <c r="R120" s="52" t="str">
        <f>IF($Q120=1,COUNTIFS($Q$2:$Q$301,1,$E$2:$E$301,"&lt;"&amp;$E120)+COUNTIFS($Q$2:$Q120,1,$E$2:$E120,$E120),"")</f>
        <v/>
      </c>
      <c r="S120" s="49" t="str">
        <f>IF(COUNTA($A120:$I120)=0,"",IF($A120="","Missing: lot",IF(COUNTIF($A$2:$A$301,$A120)&gt;1,"Duplicate lot",IF($B120="","Missing: SKU",IF(NOT(ISNUMBER($E120)),"Missing: expiry date",IF($G120="","Missing: status",IF(COUNTIF(Products!$A$2:$A$101,$B120)=0,"Unknown SKU",IF(AND($C120&lt;&gt;"",COUNTIF(Suppliers!$A$2:$A$51,$C120)=0),"Unknown supplier",IF(COUNTIF(Config!$E$15:$E$34,$G120)=0,"Unsupported status",IF($L120&lt;0,"Negative lot balance",IF(AND($G120="Closed",$L120&lt;&gt;0),"Closed lot still has stock","OK")))))))))))</f>
        <v/>
      </c>
    </row>
    <row r="121">
      <c r="A121" s="46" t="n"/>
      <c r="B121" s="46" t="n"/>
      <c r="C121" s="46" t="n"/>
      <c r="D121" s="54" t="n"/>
      <c r="E121" s="54" t="n"/>
      <c r="F121" s="48" t="n"/>
      <c r="G121" s="46" t="n"/>
      <c r="H121" s="46" t="n"/>
      <c r="I121" s="46" t="n"/>
      <c r="J121" s="49" t="str">
        <f>IF($A121="","",IFERROR(INDEX(Products!$B$2:$B$101,MATCH($B121,Products!$A$2:$A$101,0))&amp;"","(not found)"))</f>
        <v/>
      </c>
      <c r="K121" s="51" t="str">
        <f>IF($A121="","",SUMIFS(Inventory_Ledger!$M$2:$M$2001,Inventory_Ledger!$F$2:$F$2001,$A121))</f>
        <v/>
      </c>
      <c r="L121" s="51" t="str">
        <f>IF($A121="","",IF(ISNUMBER($F121),$F121,0)+$K121)</f>
        <v/>
      </c>
      <c r="M121" s="56" t="str">
        <f>IF(OR($A121="",NOT(ISNUMBER($E121))),"",$E121-Config!$B$4)</f>
        <v/>
      </c>
      <c r="N121" s="49" t="str">
        <f>IF($M121="","",IF($M121&lt;0,"Expired",IF($M121&lt;=Config!$B$6,"&lt;="&amp;Config!$B$6,IF($M121&lt;=Config!$B$7,(Config!$B$6+1)&amp;"-"&amp;Config!$B$7,IF($M121&lt;=Config!$B$8,(Config!$B$7+1)&amp;"-"&amp;Config!$B$8,"&gt;"&amp;Config!$B$8)))))</f>
        <v/>
      </c>
      <c r="O121" s="52" t="str">
        <f>IF($M121="","",IF($M121&lt;0,0,IF($M121&lt;=Config!$B$6,1,IF($M121&lt;=Config!$B$7,2,IF($M121&lt;=Config!$B$8,3,4)))))</f>
        <v/>
      </c>
      <c r="P121" s="50" t="str">
        <f>IF($A121="","",IF($L121&lt;=0,0,IF(OR(IFERROR(INDEX(Config!$F$15:$F$34,MATCH($G121,Config!$E$15:$E$34,0)),"No")="Yes",AND(Config!$B$10="Yes",ISNUMBER($M121),$M121&lt;0)),$L121,0)))</f>
        <v/>
      </c>
      <c r="Q121" s="52" t="str">
        <f>IF($A121="","",IF(AND($L121&gt;0,ISNUMBER($M121)),IF($M121&lt;=Config!$B$8,1,0),0))</f>
        <v/>
      </c>
      <c r="R121" s="52" t="str">
        <f>IF($Q121=1,COUNTIFS($Q$2:$Q$301,1,$E$2:$E$301,"&lt;"&amp;$E121)+COUNTIFS($Q$2:$Q121,1,$E$2:$E121,$E121),"")</f>
        <v/>
      </c>
      <c r="S121" s="49" t="str">
        <f>IF(COUNTA($A121:$I121)=0,"",IF($A121="","Missing: lot",IF(COUNTIF($A$2:$A$301,$A121)&gt;1,"Duplicate lot",IF($B121="","Missing: SKU",IF(NOT(ISNUMBER($E121)),"Missing: expiry date",IF($G121="","Missing: status",IF(COUNTIF(Products!$A$2:$A$101,$B121)=0,"Unknown SKU",IF(AND($C121&lt;&gt;"",COUNTIF(Suppliers!$A$2:$A$51,$C121)=0),"Unknown supplier",IF(COUNTIF(Config!$E$15:$E$34,$G121)=0,"Unsupported status",IF($L121&lt;0,"Negative lot balance",IF(AND($G121="Closed",$L121&lt;&gt;0),"Closed lot still has stock","OK")))))))))))</f>
        <v/>
      </c>
    </row>
    <row r="122">
      <c r="A122" s="46" t="n"/>
      <c r="B122" s="46" t="n"/>
      <c r="C122" s="46" t="n"/>
      <c r="D122" s="54" t="n"/>
      <c r="E122" s="54" t="n"/>
      <c r="F122" s="48" t="n"/>
      <c r="G122" s="46" t="n"/>
      <c r="H122" s="46" t="n"/>
      <c r="I122" s="46" t="n"/>
      <c r="J122" s="49" t="str">
        <f>IF($A122="","",IFERROR(INDEX(Products!$B$2:$B$101,MATCH($B122,Products!$A$2:$A$101,0))&amp;"","(not found)"))</f>
        <v/>
      </c>
      <c r="K122" s="51" t="str">
        <f>IF($A122="","",SUMIFS(Inventory_Ledger!$M$2:$M$2001,Inventory_Ledger!$F$2:$F$2001,$A122))</f>
        <v/>
      </c>
      <c r="L122" s="51" t="str">
        <f>IF($A122="","",IF(ISNUMBER($F122),$F122,0)+$K122)</f>
        <v/>
      </c>
      <c r="M122" s="56" t="str">
        <f>IF(OR($A122="",NOT(ISNUMBER($E122))),"",$E122-Config!$B$4)</f>
        <v/>
      </c>
      <c r="N122" s="49" t="str">
        <f>IF($M122="","",IF($M122&lt;0,"Expired",IF($M122&lt;=Config!$B$6,"&lt;="&amp;Config!$B$6,IF($M122&lt;=Config!$B$7,(Config!$B$6+1)&amp;"-"&amp;Config!$B$7,IF($M122&lt;=Config!$B$8,(Config!$B$7+1)&amp;"-"&amp;Config!$B$8,"&gt;"&amp;Config!$B$8)))))</f>
        <v/>
      </c>
      <c r="O122" s="52" t="str">
        <f>IF($M122="","",IF($M122&lt;0,0,IF($M122&lt;=Config!$B$6,1,IF($M122&lt;=Config!$B$7,2,IF($M122&lt;=Config!$B$8,3,4)))))</f>
        <v/>
      </c>
      <c r="P122" s="50" t="str">
        <f>IF($A122="","",IF($L122&lt;=0,0,IF(OR(IFERROR(INDEX(Config!$F$15:$F$34,MATCH($G122,Config!$E$15:$E$34,0)),"No")="Yes",AND(Config!$B$10="Yes",ISNUMBER($M122),$M122&lt;0)),$L122,0)))</f>
        <v/>
      </c>
      <c r="Q122" s="52" t="str">
        <f>IF($A122="","",IF(AND($L122&gt;0,ISNUMBER($M122)),IF($M122&lt;=Config!$B$8,1,0),0))</f>
        <v/>
      </c>
      <c r="R122" s="52" t="str">
        <f>IF($Q122=1,COUNTIFS($Q$2:$Q$301,1,$E$2:$E$301,"&lt;"&amp;$E122)+COUNTIFS($Q$2:$Q122,1,$E$2:$E122,$E122),"")</f>
        <v/>
      </c>
      <c r="S122" s="49" t="str">
        <f>IF(COUNTA($A122:$I122)=0,"",IF($A122="","Missing: lot",IF(COUNTIF($A$2:$A$301,$A122)&gt;1,"Duplicate lot",IF($B122="","Missing: SKU",IF(NOT(ISNUMBER($E122)),"Missing: expiry date",IF($G122="","Missing: status",IF(COUNTIF(Products!$A$2:$A$101,$B122)=0,"Unknown SKU",IF(AND($C122&lt;&gt;"",COUNTIF(Suppliers!$A$2:$A$51,$C122)=0),"Unknown supplier",IF(COUNTIF(Config!$E$15:$E$34,$G122)=0,"Unsupported status",IF($L122&lt;0,"Negative lot balance",IF(AND($G122="Closed",$L122&lt;&gt;0),"Closed lot still has stock","OK")))))))))))</f>
        <v/>
      </c>
    </row>
    <row r="123">
      <c r="A123" s="46" t="n"/>
      <c r="B123" s="46" t="n"/>
      <c r="C123" s="46" t="n"/>
      <c r="D123" s="54" t="n"/>
      <c r="E123" s="54" t="n"/>
      <c r="F123" s="48" t="n"/>
      <c r="G123" s="46" t="n"/>
      <c r="H123" s="46" t="n"/>
      <c r="I123" s="46" t="n"/>
      <c r="J123" s="49" t="str">
        <f>IF($A123="","",IFERROR(INDEX(Products!$B$2:$B$101,MATCH($B123,Products!$A$2:$A$101,0))&amp;"","(not found)"))</f>
        <v/>
      </c>
      <c r="K123" s="51" t="str">
        <f>IF($A123="","",SUMIFS(Inventory_Ledger!$M$2:$M$2001,Inventory_Ledger!$F$2:$F$2001,$A123))</f>
        <v/>
      </c>
      <c r="L123" s="51" t="str">
        <f>IF($A123="","",IF(ISNUMBER($F123),$F123,0)+$K123)</f>
        <v/>
      </c>
      <c r="M123" s="56" t="str">
        <f>IF(OR($A123="",NOT(ISNUMBER($E123))),"",$E123-Config!$B$4)</f>
        <v/>
      </c>
      <c r="N123" s="49" t="str">
        <f>IF($M123="","",IF($M123&lt;0,"Expired",IF($M123&lt;=Config!$B$6,"&lt;="&amp;Config!$B$6,IF($M123&lt;=Config!$B$7,(Config!$B$6+1)&amp;"-"&amp;Config!$B$7,IF($M123&lt;=Config!$B$8,(Config!$B$7+1)&amp;"-"&amp;Config!$B$8,"&gt;"&amp;Config!$B$8)))))</f>
        <v/>
      </c>
      <c r="O123" s="52" t="str">
        <f>IF($M123="","",IF($M123&lt;0,0,IF($M123&lt;=Config!$B$6,1,IF($M123&lt;=Config!$B$7,2,IF($M123&lt;=Config!$B$8,3,4)))))</f>
        <v/>
      </c>
      <c r="P123" s="50" t="str">
        <f>IF($A123="","",IF($L123&lt;=0,0,IF(OR(IFERROR(INDEX(Config!$F$15:$F$34,MATCH($G123,Config!$E$15:$E$34,0)),"No")="Yes",AND(Config!$B$10="Yes",ISNUMBER($M123),$M123&lt;0)),$L123,0)))</f>
        <v/>
      </c>
      <c r="Q123" s="52" t="str">
        <f>IF($A123="","",IF(AND($L123&gt;0,ISNUMBER($M123)),IF($M123&lt;=Config!$B$8,1,0),0))</f>
        <v/>
      </c>
      <c r="R123" s="52" t="str">
        <f>IF($Q123=1,COUNTIFS($Q$2:$Q$301,1,$E$2:$E$301,"&lt;"&amp;$E123)+COUNTIFS($Q$2:$Q123,1,$E$2:$E123,$E123),"")</f>
        <v/>
      </c>
      <c r="S123" s="49" t="str">
        <f>IF(COUNTA($A123:$I123)=0,"",IF($A123="","Missing: lot",IF(COUNTIF($A$2:$A$301,$A123)&gt;1,"Duplicate lot",IF($B123="","Missing: SKU",IF(NOT(ISNUMBER($E123)),"Missing: expiry date",IF($G123="","Missing: status",IF(COUNTIF(Products!$A$2:$A$101,$B123)=0,"Unknown SKU",IF(AND($C123&lt;&gt;"",COUNTIF(Suppliers!$A$2:$A$51,$C123)=0),"Unknown supplier",IF(COUNTIF(Config!$E$15:$E$34,$G123)=0,"Unsupported status",IF($L123&lt;0,"Negative lot balance",IF(AND($G123="Closed",$L123&lt;&gt;0),"Closed lot still has stock","OK")))))))))))</f>
        <v/>
      </c>
    </row>
    <row r="124">
      <c r="A124" s="46" t="n"/>
      <c r="B124" s="46" t="n"/>
      <c r="C124" s="46" t="n"/>
      <c r="D124" s="54" t="n"/>
      <c r="E124" s="54" t="n"/>
      <c r="F124" s="48" t="n"/>
      <c r="G124" s="46" t="n"/>
      <c r="H124" s="46" t="n"/>
      <c r="I124" s="46" t="n"/>
      <c r="J124" s="49" t="str">
        <f>IF($A124="","",IFERROR(INDEX(Products!$B$2:$B$101,MATCH($B124,Products!$A$2:$A$101,0))&amp;"","(not found)"))</f>
        <v/>
      </c>
      <c r="K124" s="51" t="str">
        <f>IF($A124="","",SUMIFS(Inventory_Ledger!$M$2:$M$2001,Inventory_Ledger!$F$2:$F$2001,$A124))</f>
        <v/>
      </c>
      <c r="L124" s="51" t="str">
        <f>IF($A124="","",IF(ISNUMBER($F124),$F124,0)+$K124)</f>
        <v/>
      </c>
      <c r="M124" s="56" t="str">
        <f>IF(OR($A124="",NOT(ISNUMBER($E124))),"",$E124-Config!$B$4)</f>
        <v/>
      </c>
      <c r="N124" s="49" t="str">
        <f>IF($M124="","",IF($M124&lt;0,"Expired",IF($M124&lt;=Config!$B$6,"&lt;="&amp;Config!$B$6,IF($M124&lt;=Config!$B$7,(Config!$B$6+1)&amp;"-"&amp;Config!$B$7,IF($M124&lt;=Config!$B$8,(Config!$B$7+1)&amp;"-"&amp;Config!$B$8,"&gt;"&amp;Config!$B$8)))))</f>
        <v/>
      </c>
      <c r="O124" s="52" t="str">
        <f>IF($M124="","",IF($M124&lt;0,0,IF($M124&lt;=Config!$B$6,1,IF($M124&lt;=Config!$B$7,2,IF($M124&lt;=Config!$B$8,3,4)))))</f>
        <v/>
      </c>
      <c r="P124" s="50" t="str">
        <f>IF($A124="","",IF($L124&lt;=0,0,IF(OR(IFERROR(INDEX(Config!$F$15:$F$34,MATCH($G124,Config!$E$15:$E$34,0)),"No")="Yes",AND(Config!$B$10="Yes",ISNUMBER($M124),$M124&lt;0)),$L124,0)))</f>
        <v/>
      </c>
      <c r="Q124" s="52" t="str">
        <f>IF($A124="","",IF(AND($L124&gt;0,ISNUMBER($M124)),IF($M124&lt;=Config!$B$8,1,0),0))</f>
        <v/>
      </c>
      <c r="R124" s="52" t="str">
        <f>IF($Q124=1,COUNTIFS($Q$2:$Q$301,1,$E$2:$E$301,"&lt;"&amp;$E124)+COUNTIFS($Q$2:$Q124,1,$E$2:$E124,$E124),"")</f>
        <v/>
      </c>
      <c r="S124" s="49" t="str">
        <f>IF(COUNTA($A124:$I124)=0,"",IF($A124="","Missing: lot",IF(COUNTIF($A$2:$A$301,$A124)&gt;1,"Duplicate lot",IF($B124="","Missing: SKU",IF(NOT(ISNUMBER($E124)),"Missing: expiry date",IF($G124="","Missing: status",IF(COUNTIF(Products!$A$2:$A$101,$B124)=0,"Unknown SKU",IF(AND($C124&lt;&gt;"",COUNTIF(Suppliers!$A$2:$A$51,$C124)=0),"Unknown supplier",IF(COUNTIF(Config!$E$15:$E$34,$G124)=0,"Unsupported status",IF($L124&lt;0,"Negative lot balance",IF(AND($G124="Closed",$L124&lt;&gt;0),"Closed lot still has stock","OK")))))))))))</f>
        <v/>
      </c>
    </row>
    <row r="125">
      <c r="A125" s="46" t="n"/>
      <c r="B125" s="46" t="n"/>
      <c r="C125" s="46" t="n"/>
      <c r="D125" s="54" t="n"/>
      <c r="E125" s="54" t="n"/>
      <c r="F125" s="48" t="n"/>
      <c r="G125" s="46" t="n"/>
      <c r="H125" s="46" t="n"/>
      <c r="I125" s="46" t="n"/>
      <c r="J125" s="49" t="str">
        <f>IF($A125="","",IFERROR(INDEX(Products!$B$2:$B$101,MATCH($B125,Products!$A$2:$A$101,0))&amp;"","(not found)"))</f>
        <v/>
      </c>
      <c r="K125" s="51" t="str">
        <f>IF($A125="","",SUMIFS(Inventory_Ledger!$M$2:$M$2001,Inventory_Ledger!$F$2:$F$2001,$A125))</f>
        <v/>
      </c>
      <c r="L125" s="51" t="str">
        <f>IF($A125="","",IF(ISNUMBER($F125),$F125,0)+$K125)</f>
        <v/>
      </c>
      <c r="M125" s="56" t="str">
        <f>IF(OR($A125="",NOT(ISNUMBER($E125))),"",$E125-Config!$B$4)</f>
        <v/>
      </c>
      <c r="N125" s="49" t="str">
        <f>IF($M125="","",IF($M125&lt;0,"Expired",IF($M125&lt;=Config!$B$6,"&lt;="&amp;Config!$B$6,IF($M125&lt;=Config!$B$7,(Config!$B$6+1)&amp;"-"&amp;Config!$B$7,IF($M125&lt;=Config!$B$8,(Config!$B$7+1)&amp;"-"&amp;Config!$B$8,"&gt;"&amp;Config!$B$8)))))</f>
        <v/>
      </c>
      <c r="O125" s="52" t="str">
        <f>IF($M125="","",IF($M125&lt;0,0,IF($M125&lt;=Config!$B$6,1,IF($M125&lt;=Config!$B$7,2,IF($M125&lt;=Config!$B$8,3,4)))))</f>
        <v/>
      </c>
      <c r="P125" s="50" t="str">
        <f>IF($A125="","",IF($L125&lt;=0,0,IF(OR(IFERROR(INDEX(Config!$F$15:$F$34,MATCH($G125,Config!$E$15:$E$34,0)),"No")="Yes",AND(Config!$B$10="Yes",ISNUMBER($M125),$M125&lt;0)),$L125,0)))</f>
        <v/>
      </c>
      <c r="Q125" s="52" t="str">
        <f>IF($A125="","",IF(AND($L125&gt;0,ISNUMBER($M125)),IF($M125&lt;=Config!$B$8,1,0),0))</f>
        <v/>
      </c>
      <c r="R125" s="52" t="str">
        <f>IF($Q125=1,COUNTIFS($Q$2:$Q$301,1,$E$2:$E$301,"&lt;"&amp;$E125)+COUNTIFS($Q$2:$Q125,1,$E$2:$E125,$E125),"")</f>
        <v/>
      </c>
      <c r="S125" s="49" t="str">
        <f>IF(COUNTA($A125:$I125)=0,"",IF($A125="","Missing: lot",IF(COUNTIF($A$2:$A$301,$A125)&gt;1,"Duplicate lot",IF($B125="","Missing: SKU",IF(NOT(ISNUMBER($E125)),"Missing: expiry date",IF($G125="","Missing: status",IF(COUNTIF(Products!$A$2:$A$101,$B125)=0,"Unknown SKU",IF(AND($C125&lt;&gt;"",COUNTIF(Suppliers!$A$2:$A$51,$C125)=0),"Unknown supplier",IF(COUNTIF(Config!$E$15:$E$34,$G125)=0,"Unsupported status",IF($L125&lt;0,"Negative lot balance",IF(AND($G125="Closed",$L125&lt;&gt;0),"Closed lot still has stock","OK")))))))))))</f>
        <v/>
      </c>
    </row>
    <row r="126">
      <c r="A126" s="46" t="n"/>
      <c r="B126" s="46" t="n"/>
      <c r="C126" s="46" t="n"/>
      <c r="D126" s="54" t="n"/>
      <c r="E126" s="54" t="n"/>
      <c r="F126" s="48" t="n"/>
      <c r="G126" s="46" t="n"/>
      <c r="H126" s="46" t="n"/>
      <c r="I126" s="46" t="n"/>
      <c r="J126" s="49" t="str">
        <f>IF($A126="","",IFERROR(INDEX(Products!$B$2:$B$101,MATCH($B126,Products!$A$2:$A$101,0))&amp;"","(not found)"))</f>
        <v/>
      </c>
      <c r="K126" s="51" t="str">
        <f>IF($A126="","",SUMIFS(Inventory_Ledger!$M$2:$M$2001,Inventory_Ledger!$F$2:$F$2001,$A126))</f>
        <v/>
      </c>
      <c r="L126" s="51" t="str">
        <f>IF($A126="","",IF(ISNUMBER($F126),$F126,0)+$K126)</f>
        <v/>
      </c>
      <c r="M126" s="56" t="str">
        <f>IF(OR($A126="",NOT(ISNUMBER($E126))),"",$E126-Config!$B$4)</f>
        <v/>
      </c>
      <c r="N126" s="49" t="str">
        <f>IF($M126="","",IF($M126&lt;0,"Expired",IF($M126&lt;=Config!$B$6,"&lt;="&amp;Config!$B$6,IF($M126&lt;=Config!$B$7,(Config!$B$6+1)&amp;"-"&amp;Config!$B$7,IF($M126&lt;=Config!$B$8,(Config!$B$7+1)&amp;"-"&amp;Config!$B$8,"&gt;"&amp;Config!$B$8)))))</f>
        <v/>
      </c>
      <c r="O126" s="52" t="str">
        <f>IF($M126="","",IF($M126&lt;0,0,IF($M126&lt;=Config!$B$6,1,IF($M126&lt;=Config!$B$7,2,IF($M126&lt;=Config!$B$8,3,4)))))</f>
        <v/>
      </c>
      <c r="P126" s="50" t="str">
        <f>IF($A126="","",IF($L126&lt;=0,0,IF(OR(IFERROR(INDEX(Config!$F$15:$F$34,MATCH($G126,Config!$E$15:$E$34,0)),"No")="Yes",AND(Config!$B$10="Yes",ISNUMBER($M126),$M126&lt;0)),$L126,0)))</f>
        <v/>
      </c>
      <c r="Q126" s="52" t="str">
        <f>IF($A126="","",IF(AND($L126&gt;0,ISNUMBER($M126)),IF($M126&lt;=Config!$B$8,1,0),0))</f>
        <v/>
      </c>
      <c r="R126" s="52" t="str">
        <f>IF($Q126=1,COUNTIFS($Q$2:$Q$301,1,$E$2:$E$301,"&lt;"&amp;$E126)+COUNTIFS($Q$2:$Q126,1,$E$2:$E126,$E126),"")</f>
        <v/>
      </c>
      <c r="S126" s="49" t="str">
        <f>IF(COUNTA($A126:$I126)=0,"",IF($A126="","Missing: lot",IF(COUNTIF($A$2:$A$301,$A126)&gt;1,"Duplicate lot",IF($B126="","Missing: SKU",IF(NOT(ISNUMBER($E126)),"Missing: expiry date",IF($G126="","Missing: status",IF(COUNTIF(Products!$A$2:$A$101,$B126)=0,"Unknown SKU",IF(AND($C126&lt;&gt;"",COUNTIF(Suppliers!$A$2:$A$51,$C126)=0),"Unknown supplier",IF(COUNTIF(Config!$E$15:$E$34,$G126)=0,"Unsupported status",IF($L126&lt;0,"Negative lot balance",IF(AND($G126="Closed",$L126&lt;&gt;0),"Closed lot still has stock","OK")))))))))))</f>
        <v/>
      </c>
    </row>
    <row r="127">
      <c r="A127" s="46" t="n"/>
      <c r="B127" s="46" t="n"/>
      <c r="C127" s="46" t="n"/>
      <c r="D127" s="54" t="n"/>
      <c r="E127" s="54" t="n"/>
      <c r="F127" s="48" t="n"/>
      <c r="G127" s="46" t="n"/>
      <c r="H127" s="46" t="n"/>
      <c r="I127" s="46" t="n"/>
      <c r="J127" s="49" t="str">
        <f>IF($A127="","",IFERROR(INDEX(Products!$B$2:$B$101,MATCH($B127,Products!$A$2:$A$101,0))&amp;"","(not found)"))</f>
        <v/>
      </c>
      <c r="K127" s="51" t="str">
        <f>IF($A127="","",SUMIFS(Inventory_Ledger!$M$2:$M$2001,Inventory_Ledger!$F$2:$F$2001,$A127))</f>
        <v/>
      </c>
      <c r="L127" s="51" t="str">
        <f>IF($A127="","",IF(ISNUMBER($F127),$F127,0)+$K127)</f>
        <v/>
      </c>
      <c r="M127" s="56" t="str">
        <f>IF(OR($A127="",NOT(ISNUMBER($E127))),"",$E127-Config!$B$4)</f>
        <v/>
      </c>
      <c r="N127" s="49" t="str">
        <f>IF($M127="","",IF($M127&lt;0,"Expired",IF($M127&lt;=Config!$B$6,"&lt;="&amp;Config!$B$6,IF($M127&lt;=Config!$B$7,(Config!$B$6+1)&amp;"-"&amp;Config!$B$7,IF($M127&lt;=Config!$B$8,(Config!$B$7+1)&amp;"-"&amp;Config!$B$8,"&gt;"&amp;Config!$B$8)))))</f>
        <v/>
      </c>
      <c r="O127" s="52" t="str">
        <f>IF($M127="","",IF($M127&lt;0,0,IF($M127&lt;=Config!$B$6,1,IF($M127&lt;=Config!$B$7,2,IF($M127&lt;=Config!$B$8,3,4)))))</f>
        <v/>
      </c>
      <c r="P127" s="50" t="str">
        <f>IF($A127="","",IF($L127&lt;=0,0,IF(OR(IFERROR(INDEX(Config!$F$15:$F$34,MATCH($G127,Config!$E$15:$E$34,0)),"No")="Yes",AND(Config!$B$10="Yes",ISNUMBER($M127),$M127&lt;0)),$L127,0)))</f>
        <v/>
      </c>
      <c r="Q127" s="52" t="str">
        <f>IF($A127="","",IF(AND($L127&gt;0,ISNUMBER($M127)),IF($M127&lt;=Config!$B$8,1,0),0))</f>
        <v/>
      </c>
      <c r="R127" s="52" t="str">
        <f>IF($Q127=1,COUNTIFS($Q$2:$Q$301,1,$E$2:$E$301,"&lt;"&amp;$E127)+COUNTIFS($Q$2:$Q127,1,$E$2:$E127,$E127),"")</f>
        <v/>
      </c>
      <c r="S127" s="49" t="str">
        <f>IF(COUNTA($A127:$I127)=0,"",IF($A127="","Missing: lot",IF(COUNTIF($A$2:$A$301,$A127)&gt;1,"Duplicate lot",IF($B127="","Missing: SKU",IF(NOT(ISNUMBER($E127)),"Missing: expiry date",IF($G127="","Missing: status",IF(COUNTIF(Products!$A$2:$A$101,$B127)=0,"Unknown SKU",IF(AND($C127&lt;&gt;"",COUNTIF(Suppliers!$A$2:$A$51,$C127)=0),"Unknown supplier",IF(COUNTIF(Config!$E$15:$E$34,$G127)=0,"Unsupported status",IF($L127&lt;0,"Negative lot balance",IF(AND($G127="Closed",$L127&lt;&gt;0),"Closed lot still has stock","OK")))))))))))</f>
        <v/>
      </c>
    </row>
    <row r="128">
      <c r="A128" s="46" t="n"/>
      <c r="B128" s="46" t="n"/>
      <c r="C128" s="46" t="n"/>
      <c r="D128" s="54" t="n"/>
      <c r="E128" s="54" t="n"/>
      <c r="F128" s="48" t="n"/>
      <c r="G128" s="46" t="n"/>
      <c r="H128" s="46" t="n"/>
      <c r="I128" s="46" t="n"/>
      <c r="J128" s="49" t="str">
        <f>IF($A128="","",IFERROR(INDEX(Products!$B$2:$B$101,MATCH($B128,Products!$A$2:$A$101,0))&amp;"","(not found)"))</f>
        <v/>
      </c>
      <c r="K128" s="51" t="str">
        <f>IF($A128="","",SUMIFS(Inventory_Ledger!$M$2:$M$2001,Inventory_Ledger!$F$2:$F$2001,$A128))</f>
        <v/>
      </c>
      <c r="L128" s="51" t="str">
        <f>IF($A128="","",IF(ISNUMBER($F128),$F128,0)+$K128)</f>
        <v/>
      </c>
      <c r="M128" s="56" t="str">
        <f>IF(OR($A128="",NOT(ISNUMBER($E128))),"",$E128-Config!$B$4)</f>
        <v/>
      </c>
      <c r="N128" s="49" t="str">
        <f>IF($M128="","",IF($M128&lt;0,"Expired",IF($M128&lt;=Config!$B$6,"&lt;="&amp;Config!$B$6,IF($M128&lt;=Config!$B$7,(Config!$B$6+1)&amp;"-"&amp;Config!$B$7,IF($M128&lt;=Config!$B$8,(Config!$B$7+1)&amp;"-"&amp;Config!$B$8,"&gt;"&amp;Config!$B$8)))))</f>
        <v/>
      </c>
      <c r="O128" s="52" t="str">
        <f>IF($M128="","",IF($M128&lt;0,0,IF($M128&lt;=Config!$B$6,1,IF($M128&lt;=Config!$B$7,2,IF($M128&lt;=Config!$B$8,3,4)))))</f>
        <v/>
      </c>
      <c r="P128" s="50" t="str">
        <f>IF($A128="","",IF($L128&lt;=0,0,IF(OR(IFERROR(INDEX(Config!$F$15:$F$34,MATCH($G128,Config!$E$15:$E$34,0)),"No")="Yes",AND(Config!$B$10="Yes",ISNUMBER($M128),$M128&lt;0)),$L128,0)))</f>
        <v/>
      </c>
      <c r="Q128" s="52" t="str">
        <f>IF($A128="","",IF(AND($L128&gt;0,ISNUMBER($M128)),IF($M128&lt;=Config!$B$8,1,0),0))</f>
        <v/>
      </c>
      <c r="R128" s="52" t="str">
        <f>IF($Q128=1,COUNTIFS($Q$2:$Q$301,1,$E$2:$E$301,"&lt;"&amp;$E128)+COUNTIFS($Q$2:$Q128,1,$E$2:$E128,$E128),"")</f>
        <v/>
      </c>
      <c r="S128" s="49" t="str">
        <f>IF(COUNTA($A128:$I128)=0,"",IF($A128="","Missing: lot",IF(COUNTIF($A$2:$A$301,$A128)&gt;1,"Duplicate lot",IF($B128="","Missing: SKU",IF(NOT(ISNUMBER($E128)),"Missing: expiry date",IF($G128="","Missing: status",IF(COUNTIF(Products!$A$2:$A$101,$B128)=0,"Unknown SKU",IF(AND($C128&lt;&gt;"",COUNTIF(Suppliers!$A$2:$A$51,$C128)=0),"Unknown supplier",IF(COUNTIF(Config!$E$15:$E$34,$G128)=0,"Unsupported status",IF($L128&lt;0,"Negative lot balance",IF(AND($G128="Closed",$L128&lt;&gt;0),"Closed lot still has stock","OK")))))))))))</f>
        <v/>
      </c>
    </row>
    <row r="129">
      <c r="A129" s="46" t="n"/>
      <c r="B129" s="46" t="n"/>
      <c r="C129" s="46" t="n"/>
      <c r="D129" s="54" t="n"/>
      <c r="E129" s="54" t="n"/>
      <c r="F129" s="48" t="n"/>
      <c r="G129" s="46" t="n"/>
      <c r="H129" s="46" t="n"/>
      <c r="I129" s="46" t="n"/>
      <c r="J129" s="49" t="str">
        <f>IF($A129="","",IFERROR(INDEX(Products!$B$2:$B$101,MATCH($B129,Products!$A$2:$A$101,0))&amp;"","(not found)"))</f>
        <v/>
      </c>
      <c r="K129" s="51" t="str">
        <f>IF($A129="","",SUMIFS(Inventory_Ledger!$M$2:$M$2001,Inventory_Ledger!$F$2:$F$2001,$A129))</f>
        <v/>
      </c>
      <c r="L129" s="51" t="str">
        <f>IF($A129="","",IF(ISNUMBER($F129),$F129,0)+$K129)</f>
        <v/>
      </c>
      <c r="M129" s="56" t="str">
        <f>IF(OR($A129="",NOT(ISNUMBER($E129))),"",$E129-Config!$B$4)</f>
        <v/>
      </c>
      <c r="N129" s="49" t="str">
        <f>IF($M129="","",IF($M129&lt;0,"Expired",IF($M129&lt;=Config!$B$6,"&lt;="&amp;Config!$B$6,IF($M129&lt;=Config!$B$7,(Config!$B$6+1)&amp;"-"&amp;Config!$B$7,IF($M129&lt;=Config!$B$8,(Config!$B$7+1)&amp;"-"&amp;Config!$B$8,"&gt;"&amp;Config!$B$8)))))</f>
        <v/>
      </c>
      <c r="O129" s="52" t="str">
        <f>IF($M129="","",IF($M129&lt;0,0,IF($M129&lt;=Config!$B$6,1,IF($M129&lt;=Config!$B$7,2,IF($M129&lt;=Config!$B$8,3,4)))))</f>
        <v/>
      </c>
      <c r="P129" s="50" t="str">
        <f>IF($A129="","",IF($L129&lt;=0,0,IF(OR(IFERROR(INDEX(Config!$F$15:$F$34,MATCH($G129,Config!$E$15:$E$34,0)),"No")="Yes",AND(Config!$B$10="Yes",ISNUMBER($M129),$M129&lt;0)),$L129,0)))</f>
        <v/>
      </c>
      <c r="Q129" s="52" t="str">
        <f>IF($A129="","",IF(AND($L129&gt;0,ISNUMBER($M129)),IF($M129&lt;=Config!$B$8,1,0),0))</f>
        <v/>
      </c>
      <c r="R129" s="52" t="str">
        <f>IF($Q129=1,COUNTIFS($Q$2:$Q$301,1,$E$2:$E$301,"&lt;"&amp;$E129)+COUNTIFS($Q$2:$Q129,1,$E$2:$E129,$E129),"")</f>
        <v/>
      </c>
      <c r="S129" s="49" t="str">
        <f>IF(COUNTA($A129:$I129)=0,"",IF($A129="","Missing: lot",IF(COUNTIF($A$2:$A$301,$A129)&gt;1,"Duplicate lot",IF($B129="","Missing: SKU",IF(NOT(ISNUMBER($E129)),"Missing: expiry date",IF($G129="","Missing: status",IF(COUNTIF(Products!$A$2:$A$101,$B129)=0,"Unknown SKU",IF(AND($C129&lt;&gt;"",COUNTIF(Suppliers!$A$2:$A$51,$C129)=0),"Unknown supplier",IF(COUNTIF(Config!$E$15:$E$34,$G129)=0,"Unsupported status",IF($L129&lt;0,"Negative lot balance",IF(AND($G129="Closed",$L129&lt;&gt;0),"Closed lot still has stock","OK")))))))))))</f>
        <v/>
      </c>
    </row>
    <row r="130">
      <c r="A130" s="46" t="n"/>
      <c r="B130" s="46" t="n"/>
      <c r="C130" s="46" t="n"/>
      <c r="D130" s="54" t="n"/>
      <c r="E130" s="54" t="n"/>
      <c r="F130" s="48" t="n"/>
      <c r="G130" s="46" t="n"/>
      <c r="H130" s="46" t="n"/>
      <c r="I130" s="46" t="n"/>
      <c r="J130" s="49" t="str">
        <f>IF($A130="","",IFERROR(INDEX(Products!$B$2:$B$101,MATCH($B130,Products!$A$2:$A$101,0))&amp;"","(not found)"))</f>
        <v/>
      </c>
      <c r="K130" s="51" t="str">
        <f>IF($A130="","",SUMIFS(Inventory_Ledger!$M$2:$M$2001,Inventory_Ledger!$F$2:$F$2001,$A130))</f>
        <v/>
      </c>
      <c r="L130" s="51" t="str">
        <f>IF($A130="","",IF(ISNUMBER($F130),$F130,0)+$K130)</f>
        <v/>
      </c>
      <c r="M130" s="56" t="str">
        <f>IF(OR($A130="",NOT(ISNUMBER($E130))),"",$E130-Config!$B$4)</f>
        <v/>
      </c>
      <c r="N130" s="49" t="str">
        <f>IF($M130="","",IF($M130&lt;0,"Expired",IF($M130&lt;=Config!$B$6,"&lt;="&amp;Config!$B$6,IF($M130&lt;=Config!$B$7,(Config!$B$6+1)&amp;"-"&amp;Config!$B$7,IF($M130&lt;=Config!$B$8,(Config!$B$7+1)&amp;"-"&amp;Config!$B$8,"&gt;"&amp;Config!$B$8)))))</f>
        <v/>
      </c>
      <c r="O130" s="52" t="str">
        <f>IF($M130="","",IF($M130&lt;0,0,IF($M130&lt;=Config!$B$6,1,IF($M130&lt;=Config!$B$7,2,IF($M130&lt;=Config!$B$8,3,4)))))</f>
        <v/>
      </c>
      <c r="P130" s="50" t="str">
        <f>IF($A130="","",IF($L130&lt;=0,0,IF(OR(IFERROR(INDEX(Config!$F$15:$F$34,MATCH($G130,Config!$E$15:$E$34,0)),"No")="Yes",AND(Config!$B$10="Yes",ISNUMBER($M130),$M130&lt;0)),$L130,0)))</f>
        <v/>
      </c>
      <c r="Q130" s="52" t="str">
        <f>IF($A130="","",IF(AND($L130&gt;0,ISNUMBER($M130)),IF($M130&lt;=Config!$B$8,1,0),0))</f>
        <v/>
      </c>
      <c r="R130" s="52" t="str">
        <f>IF($Q130=1,COUNTIFS($Q$2:$Q$301,1,$E$2:$E$301,"&lt;"&amp;$E130)+COUNTIFS($Q$2:$Q130,1,$E$2:$E130,$E130),"")</f>
        <v/>
      </c>
      <c r="S130" s="49" t="str">
        <f>IF(COUNTA($A130:$I130)=0,"",IF($A130="","Missing: lot",IF(COUNTIF($A$2:$A$301,$A130)&gt;1,"Duplicate lot",IF($B130="","Missing: SKU",IF(NOT(ISNUMBER($E130)),"Missing: expiry date",IF($G130="","Missing: status",IF(COUNTIF(Products!$A$2:$A$101,$B130)=0,"Unknown SKU",IF(AND($C130&lt;&gt;"",COUNTIF(Suppliers!$A$2:$A$51,$C130)=0),"Unknown supplier",IF(COUNTIF(Config!$E$15:$E$34,$G130)=0,"Unsupported status",IF($L130&lt;0,"Negative lot balance",IF(AND($G130="Closed",$L130&lt;&gt;0),"Closed lot still has stock","OK")))))))))))</f>
        <v/>
      </c>
    </row>
    <row r="131">
      <c r="A131" s="46" t="n"/>
      <c r="B131" s="46" t="n"/>
      <c r="C131" s="46" t="n"/>
      <c r="D131" s="54" t="n"/>
      <c r="E131" s="54" t="n"/>
      <c r="F131" s="48" t="n"/>
      <c r="G131" s="46" t="n"/>
      <c r="H131" s="46" t="n"/>
      <c r="I131" s="46" t="n"/>
      <c r="J131" s="49" t="str">
        <f>IF($A131="","",IFERROR(INDEX(Products!$B$2:$B$101,MATCH($B131,Products!$A$2:$A$101,0))&amp;"","(not found)"))</f>
        <v/>
      </c>
      <c r="K131" s="51" t="str">
        <f>IF($A131="","",SUMIFS(Inventory_Ledger!$M$2:$M$2001,Inventory_Ledger!$F$2:$F$2001,$A131))</f>
        <v/>
      </c>
      <c r="L131" s="51" t="str">
        <f>IF($A131="","",IF(ISNUMBER($F131),$F131,0)+$K131)</f>
        <v/>
      </c>
      <c r="M131" s="56" t="str">
        <f>IF(OR($A131="",NOT(ISNUMBER($E131))),"",$E131-Config!$B$4)</f>
        <v/>
      </c>
      <c r="N131" s="49" t="str">
        <f>IF($M131="","",IF($M131&lt;0,"Expired",IF($M131&lt;=Config!$B$6,"&lt;="&amp;Config!$B$6,IF($M131&lt;=Config!$B$7,(Config!$B$6+1)&amp;"-"&amp;Config!$B$7,IF($M131&lt;=Config!$B$8,(Config!$B$7+1)&amp;"-"&amp;Config!$B$8,"&gt;"&amp;Config!$B$8)))))</f>
        <v/>
      </c>
      <c r="O131" s="52" t="str">
        <f>IF($M131="","",IF($M131&lt;0,0,IF($M131&lt;=Config!$B$6,1,IF($M131&lt;=Config!$B$7,2,IF($M131&lt;=Config!$B$8,3,4)))))</f>
        <v/>
      </c>
      <c r="P131" s="50" t="str">
        <f>IF($A131="","",IF($L131&lt;=0,0,IF(OR(IFERROR(INDEX(Config!$F$15:$F$34,MATCH($G131,Config!$E$15:$E$34,0)),"No")="Yes",AND(Config!$B$10="Yes",ISNUMBER($M131),$M131&lt;0)),$L131,0)))</f>
        <v/>
      </c>
      <c r="Q131" s="52" t="str">
        <f>IF($A131="","",IF(AND($L131&gt;0,ISNUMBER($M131)),IF($M131&lt;=Config!$B$8,1,0),0))</f>
        <v/>
      </c>
      <c r="R131" s="52" t="str">
        <f>IF($Q131=1,COUNTIFS($Q$2:$Q$301,1,$E$2:$E$301,"&lt;"&amp;$E131)+COUNTIFS($Q$2:$Q131,1,$E$2:$E131,$E131),"")</f>
        <v/>
      </c>
      <c r="S131" s="49" t="str">
        <f>IF(COUNTA($A131:$I131)=0,"",IF($A131="","Missing: lot",IF(COUNTIF($A$2:$A$301,$A131)&gt;1,"Duplicate lot",IF($B131="","Missing: SKU",IF(NOT(ISNUMBER($E131)),"Missing: expiry date",IF($G131="","Missing: status",IF(COUNTIF(Products!$A$2:$A$101,$B131)=0,"Unknown SKU",IF(AND($C131&lt;&gt;"",COUNTIF(Suppliers!$A$2:$A$51,$C131)=0),"Unknown supplier",IF(COUNTIF(Config!$E$15:$E$34,$G131)=0,"Unsupported status",IF($L131&lt;0,"Negative lot balance",IF(AND($G131="Closed",$L131&lt;&gt;0),"Closed lot still has stock","OK")))))))))))</f>
        <v/>
      </c>
    </row>
    <row r="132">
      <c r="A132" s="46" t="n"/>
      <c r="B132" s="46" t="n"/>
      <c r="C132" s="46" t="n"/>
      <c r="D132" s="54" t="n"/>
      <c r="E132" s="54" t="n"/>
      <c r="F132" s="48" t="n"/>
      <c r="G132" s="46" t="n"/>
      <c r="H132" s="46" t="n"/>
      <c r="I132" s="46" t="n"/>
      <c r="J132" s="49" t="str">
        <f>IF($A132="","",IFERROR(INDEX(Products!$B$2:$B$101,MATCH($B132,Products!$A$2:$A$101,0))&amp;"","(not found)"))</f>
        <v/>
      </c>
      <c r="K132" s="51" t="str">
        <f>IF($A132="","",SUMIFS(Inventory_Ledger!$M$2:$M$2001,Inventory_Ledger!$F$2:$F$2001,$A132))</f>
        <v/>
      </c>
      <c r="L132" s="51" t="str">
        <f>IF($A132="","",IF(ISNUMBER($F132),$F132,0)+$K132)</f>
        <v/>
      </c>
      <c r="M132" s="56" t="str">
        <f>IF(OR($A132="",NOT(ISNUMBER($E132))),"",$E132-Config!$B$4)</f>
        <v/>
      </c>
      <c r="N132" s="49" t="str">
        <f>IF($M132="","",IF($M132&lt;0,"Expired",IF($M132&lt;=Config!$B$6,"&lt;="&amp;Config!$B$6,IF($M132&lt;=Config!$B$7,(Config!$B$6+1)&amp;"-"&amp;Config!$B$7,IF($M132&lt;=Config!$B$8,(Config!$B$7+1)&amp;"-"&amp;Config!$B$8,"&gt;"&amp;Config!$B$8)))))</f>
        <v/>
      </c>
      <c r="O132" s="52" t="str">
        <f>IF($M132="","",IF($M132&lt;0,0,IF($M132&lt;=Config!$B$6,1,IF($M132&lt;=Config!$B$7,2,IF($M132&lt;=Config!$B$8,3,4)))))</f>
        <v/>
      </c>
      <c r="P132" s="50" t="str">
        <f>IF($A132="","",IF($L132&lt;=0,0,IF(OR(IFERROR(INDEX(Config!$F$15:$F$34,MATCH($G132,Config!$E$15:$E$34,0)),"No")="Yes",AND(Config!$B$10="Yes",ISNUMBER($M132),$M132&lt;0)),$L132,0)))</f>
        <v/>
      </c>
      <c r="Q132" s="52" t="str">
        <f>IF($A132="","",IF(AND($L132&gt;0,ISNUMBER($M132)),IF($M132&lt;=Config!$B$8,1,0),0))</f>
        <v/>
      </c>
      <c r="R132" s="52" t="str">
        <f>IF($Q132=1,COUNTIFS($Q$2:$Q$301,1,$E$2:$E$301,"&lt;"&amp;$E132)+COUNTIFS($Q$2:$Q132,1,$E$2:$E132,$E132),"")</f>
        <v/>
      </c>
      <c r="S132" s="49" t="str">
        <f>IF(COUNTA($A132:$I132)=0,"",IF($A132="","Missing: lot",IF(COUNTIF($A$2:$A$301,$A132)&gt;1,"Duplicate lot",IF($B132="","Missing: SKU",IF(NOT(ISNUMBER($E132)),"Missing: expiry date",IF($G132="","Missing: status",IF(COUNTIF(Products!$A$2:$A$101,$B132)=0,"Unknown SKU",IF(AND($C132&lt;&gt;"",COUNTIF(Suppliers!$A$2:$A$51,$C132)=0),"Unknown supplier",IF(COUNTIF(Config!$E$15:$E$34,$G132)=0,"Unsupported status",IF($L132&lt;0,"Negative lot balance",IF(AND($G132="Closed",$L132&lt;&gt;0),"Closed lot still has stock","OK")))))))))))</f>
        <v/>
      </c>
    </row>
    <row r="133">
      <c r="A133" s="46" t="n"/>
      <c r="B133" s="46" t="n"/>
      <c r="C133" s="46" t="n"/>
      <c r="D133" s="54" t="n"/>
      <c r="E133" s="54" t="n"/>
      <c r="F133" s="48" t="n"/>
      <c r="G133" s="46" t="n"/>
      <c r="H133" s="46" t="n"/>
      <c r="I133" s="46" t="n"/>
      <c r="J133" s="49" t="str">
        <f>IF($A133="","",IFERROR(INDEX(Products!$B$2:$B$101,MATCH($B133,Products!$A$2:$A$101,0))&amp;"","(not found)"))</f>
        <v/>
      </c>
      <c r="K133" s="51" t="str">
        <f>IF($A133="","",SUMIFS(Inventory_Ledger!$M$2:$M$2001,Inventory_Ledger!$F$2:$F$2001,$A133))</f>
        <v/>
      </c>
      <c r="L133" s="51" t="str">
        <f>IF($A133="","",IF(ISNUMBER($F133),$F133,0)+$K133)</f>
        <v/>
      </c>
      <c r="M133" s="56" t="str">
        <f>IF(OR($A133="",NOT(ISNUMBER($E133))),"",$E133-Config!$B$4)</f>
        <v/>
      </c>
      <c r="N133" s="49" t="str">
        <f>IF($M133="","",IF($M133&lt;0,"Expired",IF($M133&lt;=Config!$B$6,"&lt;="&amp;Config!$B$6,IF($M133&lt;=Config!$B$7,(Config!$B$6+1)&amp;"-"&amp;Config!$B$7,IF($M133&lt;=Config!$B$8,(Config!$B$7+1)&amp;"-"&amp;Config!$B$8,"&gt;"&amp;Config!$B$8)))))</f>
        <v/>
      </c>
      <c r="O133" s="52" t="str">
        <f>IF($M133="","",IF($M133&lt;0,0,IF($M133&lt;=Config!$B$6,1,IF($M133&lt;=Config!$B$7,2,IF($M133&lt;=Config!$B$8,3,4)))))</f>
        <v/>
      </c>
      <c r="P133" s="50" t="str">
        <f>IF($A133="","",IF($L133&lt;=0,0,IF(OR(IFERROR(INDEX(Config!$F$15:$F$34,MATCH($G133,Config!$E$15:$E$34,0)),"No")="Yes",AND(Config!$B$10="Yes",ISNUMBER($M133),$M133&lt;0)),$L133,0)))</f>
        <v/>
      </c>
      <c r="Q133" s="52" t="str">
        <f>IF($A133="","",IF(AND($L133&gt;0,ISNUMBER($M133)),IF($M133&lt;=Config!$B$8,1,0),0))</f>
        <v/>
      </c>
      <c r="R133" s="52" t="str">
        <f>IF($Q133=1,COUNTIFS($Q$2:$Q$301,1,$E$2:$E$301,"&lt;"&amp;$E133)+COUNTIFS($Q$2:$Q133,1,$E$2:$E133,$E133),"")</f>
        <v/>
      </c>
      <c r="S133" s="49" t="str">
        <f>IF(COUNTA($A133:$I133)=0,"",IF($A133="","Missing: lot",IF(COUNTIF($A$2:$A$301,$A133)&gt;1,"Duplicate lot",IF($B133="","Missing: SKU",IF(NOT(ISNUMBER($E133)),"Missing: expiry date",IF($G133="","Missing: status",IF(COUNTIF(Products!$A$2:$A$101,$B133)=0,"Unknown SKU",IF(AND($C133&lt;&gt;"",COUNTIF(Suppliers!$A$2:$A$51,$C133)=0),"Unknown supplier",IF(COUNTIF(Config!$E$15:$E$34,$G133)=0,"Unsupported status",IF($L133&lt;0,"Negative lot balance",IF(AND($G133="Closed",$L133&lt;&gt;0),"Closed lot still has stock","OK")))))))))))</f>
        <v/>
      </c>
    </row>
    <row r="134">
      <c r="A134" s="46" t="n"/>
      <c r="B134" s="46" t="n"/>
      <c r="C134" s="46" t="n"/>
      <c r="D134" s="54" t="n"/>
      <c r="E134" s="54" t="n"/>
      <c r="F134" s="48" t="n"/>
      <c r="G134" s="46" t="n"/>
      <c r="H134" s="46" t="n"/>
      <c r="I134" s="46" t="n"/>
      <c r="J134" s="49" t="str">
        <f>IF($A134="","",IFERROR(INDEX(Products!$B$2:$B$101,MATCH($B134,Products!$A$2:$A$101,0))&amp;"","(not found)"))</f>
        <v/>
      </c>
      <c r="K134" s="51" t="str">
        <f>IF($A134="","",SUMIFS(Inventory_Ledger!$M$2:$M$2001,Inventory_Ledger!$F$2:$F$2001,$A134))</f>
        <v/>
      </c>
      <c r="L134" s="51" t="str">
        <f>IF($A134="","",IF(ISNUMBER($F134),$F134,0)+$K134)</f>
        <v/>
      </c>
      <c r="M134" s="56" t="str">
        <f>IF(OR($A134="",NOT(ISNUMBER($E134))),"",$E134-Config!$B$4)</f>
        <v/>
      </c>
      <c r="N134" s="49" t="str">
        <f>IF($M134="","",IF($M134&lt;0,"Expired",IF($M134&lt;=Config!$B$6,"&lt;="&amp;Config!$B$6,IF($M134&lt;=Config!$B$7,(Config!$B$6+1)&amp;"-"&amp;Config!$B$7,IF($M134&lt;=Config!$B$8,(Config!$B$7+1)&amp;"-"&amp;Config!$B$8,"&gt;"&amp;Config!$B$8)))))</f>
        <v/>
      </c>
      <c r="O134" s="52" t="str">
        <f>IF($M134="","",IF($M134&lt;0,0,IF($M134&lt;=Config!$B$6,1,IF($M134&lt;=Config!$B$7,2,IF($M134&lt;=Config!$B$8,3,4)))))</f>
        <v/>
      </c>
      <c r="P134" s="50" t="str">
        <f>IF($A134="","",IF($L134&lt;=0,0,IF(OR(IFERROR(INDEX(Config!$F$15:$F$34,MATCH($G134,Config!$E$15:$E$34,0)),"No")="Yes",AND(Config!$B$10="Yes",ISNUMBER($M134),$M134&lt;0)),$L134,0)))</f>
        <v/>
      </c>
      <c r="Q134" s="52" t="str">
        <f>IF($A134="","",IF(AND($L134&gt;0,ISNUMBER($M134)),IF($M134&lt;=Config!$B$8,1,0),0))</f>
        <v/>
      </c>
      <c r="R134" s="52" t="str">
        <f>IF($Q134=1,COUNTIFS($Q$2:$Q$301,1,$E$2:$E$301,"&lt;"&amp;$E134)+COUNTIFS($Q$2:$Q134,1,$E$2:$E134,$E134),"")</f>
        <v/>
      </c>
      <c r="S134" s="49" t="str">
        <f>IF(COUNTA($A134:$I134)=0,"",IF($A134="","Missing: lot",IF(COUNTIF($A$2:$A$301,$A134)&gt;1,"Duplicate lot",IF($B134="","Missing: SKU",IF(NOT(ISNUMBER($E134)),"Missing: expiry date",IF($G134="","Missing: status",IF(COUNTIF(Products!$A$2:$A$101,$B134)=0,"Unknown SKU",IF(AND($C134&lt;&gt;"",COUNTIF(Suppliers!$A$2:$A$51,$C134)=0),"Unknown supplier",IF(COUNTIF(Config!$E$15:$E$34,$G134)=0,"Unsupported status",IF($L134&lt;0,"Negative lot balance",IF(AND($G134="Closed",$L134&lt;&gt;0),"Closed lot still has stock","OK")))))))))))</f>
        <v/>
      </c>
    </row>
    <row r="135">
      <c r="A135" s="46" t="n"/>
      <c r="B135" s="46" t="n"/>
      <c r="C135" s="46" t="n"/>
      <c r="D135" s="54" t="n"/>
      <c r="E135" s="54" t="n"/>
      <c r="F135" s="48" t="n"/>
      <c r="G135" s="46" t="n"/>
      <c r="H135" s="46" t="n"/>
      <c r="I135" s="46" t="n"/>
      <c r="J135" s="49" t="str">
        <f>IF($A135="","",IFERROR(INDEX(Products!$B$2:$B$101,MATCH($B135,Products!$A$2:$A$101,0))&amp;"","(not found)"))</f>
        <v/>
      </c>
      <c r="K135" s="51" t="str">
        <f>IF($A135="","",SUMIFS(Inventory_Ledger!$M$2:$M$2001,Inventory_Ledger!$F$2:$F$2001,$A135))</f>
        <v/>
      </c>
      <c r="L135" s="51" t="str">
        <f>IF($A135="","",IF(ISNUMBER($F135),$F135,0)+$K135)</f>
        <v/>
      </c>
      <c r="M135" s="56" t="str">
        <f>IF(OR($A135="",NOT(ISNUMBER($E135))),"",$E135-Config!$B$4)</f>
        <v/>
      </c>
      <c r="N135" s="49" t="str">
        <f>IF($M135="","",IF($M135&lt;0,"Expired",IF($M135&lt;=Config!$B$6,"&lt;="&amp;Config!$B$6,IF($M135&lt;=Config!$B$7,(Config!$B$6+1)&amp;"-"&amp;Config!$B$7,IF($M135&lt;=Config!$B$8,(Config!$B$7+1)&amp;"-"&amp;Config!$B$8,"&gt;"&amp;Config!$B$8)))))</f>
        <v/>
      </c>
      <c r="O135" s="52" t="str">
        <f>IF($M135="","",IF($M135&lt;0,0,IF($M135&lt;=Config!$B$6,1,IF($M135&lt;=Config!$B$7,2,IF($M135&lt;=Config!$B$8,3,4)))))</f>
        <v/>
      </c>
      <c r="P135" s="50" t="str">
        <f>IF($A135="","",IF($L135&lt;=0,0,IF(OR(IFERROR(INDEX(Config!$F$15:$F$34,MATCH($G135,Config!$E$15:$E$34,0)),"No")="Yes",AND(Config!$B$10="Yes",ISNUMBER($M135),$M135&lt;0)),$L135,0)))</f>
        <v/>
      </c>
      <c r="Q135" s="52" t="str">
        <f>IF($A135="","",IF(AND($L135&gt;0,ISNUMBER($M135)),IF($M135&lt;=Config!$B$8,1,0),0))</f>
        <v/>
      </c>
      <c r="R135" s="52" t="str">
        <f>IF($Q135=1,COUNTIFS($Q$2:$Q$301,1,$E$2:$E$301,"&lt;"&amp;$E135)+COUNTIFS($Q$2:$Q135,1,$E$2:$E135,$E135),"")</f>
        <v/>
      </c>
      <c r="S135" s="49" t="str">
        <f>IF(COUNTA($A135:$I135)=0,"",IF($A135="","Missing: lot",IF(COUNTIF($A$2:$A$301,$A135)&gt;1,"Duplicate lot",IF($B135="","Missing: SKU",IF(NOT(ISNUMBER($E135)),"Missing: expiry date",IF($G135="","Missing: status",IF(COUNTIF(Products!$A$2:$A$101,$B135)=0,"Unknown SKU",IF(AND($C135&lt;&gt;"",COUNTIF(Suppliers!$A$2:$A$51,$C135)=0),"Unknown supplier",IF(COUNTIF(Config!$E$15:$E$34,$G135)=0,"Unsupported status",IF($L135&lt;0,"Negative lot balance",IF(AND($G135="Closed",$L135&lt;&gt;0),"Closed lot still has stock","OK")))))))))))</f>
        <v/>
      </c>
    </row>
    <row r="136">
      <c r="A136" s="46" t="n"/>
      <c r="B136" s="46" t="n"/>
      <c r="C136" s="46" t="n"/>
      <c r="D136" s="54" t="n"/>
      <c r="E136" s="54" t="n"/>
      <c r="F136" s="48" t="n"/>
      <c r="G136" s="46" t="n"/>
      <c r="H136" s="46" t="n"/>
      <c r="I136" s="46" t="n"/>
      <c r="J136" s="49" t="str">
        <f>IF($A136="","",IFERROR(INDEX(Products!$B$2:$B$101,MATCH($B136,Products!$A$2:$A$101,0))&amp;"","(not found)"))</f>
        <v/>
      </c>
      <c r="K136" s="51" t="str">
        <f>IF($A136="","",SUMIFS(Inventory_Ledger!$M$2:$M$2001,Inventory_Ledger!$F$2:$F$2001,$A136))</f>
        <v/>
      </c>
      <c r="L136" s="51" t="str">
        <f>IF($A136="","",IF(ISNUMBER($F136),$F136,0)+$K136)</f>
        <v/>
      </c>
      <c r="M136" s="56" t="str">
        <f>IF(OR($A136="",NOT(ISNUMBER($E136))),"",$E136-Config!$B$4)</f>
        <v/>
      </c>
      <c r="N136" s="49" t="str">
        <f>IF($M136="","",IF($M136&lt;0,"Expired",IF($M136&lt;=Config!$B$6,"&lt;="&amp;Config!$B$6,IF($M136&lt;=Config!$B$7,(Config!$B$6+1)&amp;"-"&amp;Config!$B$7,IF($M136&lt;=Config!$B$8,(Config!$B$7+1)&amp;"-"&amp;Config!$B$8,"&gt;"&amp;Config!$B$8)))))</f>
        <v/>
      </c>
      <c r="O136" s="52" t="str">
        <f>IF($M136="","",IF($M136&lt;0,0,IF($M136&lt;=Config!$B$6,1,IF($M136&lt;=Config!$B$7,2,IF($M136&lt;=Config!$B$8,3,4)))))</f>
        <v/>
      </c>
      <c r="P136" s="50" t="str">
        <f>IF($A136="","",IF($L136&lt;=0,0,IF(OR(IFERROR(INDEX(Config!$F$15:$F$34,MATCH($G136,Config!$E$15:$E$34,0)),"No")="Yes",AND(Config!$B$10="Yes",ISNUMBER($M136),$M136&lt;0)),$L136,0)))</f>
        <v/>
      </c>
      <c r="Q136" s="52" t="str">
        <f>IF($A136="","",IF(AND($L136&gt;0,ISNUMBER($M136)),IF($M136&lt;=Config!$B$8,1,0),0))</f>
        <v/>
      </c>
      <c r="R136" s="52" t="str">
        <f>IF($Q136=1,COUNTIFS($Q$2:$Q$301,1,$E$2:$E$301,"&lt;"&amp;$E136)+COUNTIFS($Q$2:$Q136,1,$E$2:$E136,$E136),"")</f>
        <v/>
      </c>
      <c r="S136" s="49" t="str">
        <f>IF(COUNTA($A136:$I136)=0,"",IF($A136="","Missing: lot",IF(COUNTIF($A$2:$A$301,$A136)&gt;1,"Duplicate lot",IF($B136="","Missing: SKU",IF(NOT(ISNUMBER($E136)),"Missing: expiry date",IF($G136="","Missing: status",IF(COUNTIF(Products!$A$2:$A$101,$B136)=0,"Unknown SKU",IF(AND($C136&lt;&gt;"",COUNTIF(Suppliers!$A$2:$A$51,$C136)=0),"Unknown supplier",IF(COUNTIF(Config!$E$15:$E$34,$G136)=0,"Unsupported status",IF($L136&lt;0,"Negative lot balance",IF(AND($G136="Closed",$L136&lt;&gt;0),"Closed lot still has stock","OK")))))))))))</f>
        <v/>
      </c>
    </row>
    <row r="137">
      <c r="A137" s="46" t="n"/>
      <c r="B137" s="46" t="n"/>
      <c r="C137" s="46" t="n"/>
      <c r="D137" s="54" t="n"/>
      <c r="E137" s="54" t="n"/>
      <c r="F137" s="48" t="n"/>
      <c r="G137" s="46" t="n"/>
      <c r="H137" s="46" t="n"/>
      <c r="I137" s="46" t="n"/>
      <c r="J137" s="49" t="str">
        <f>IF($A137="","",IFERROR(INDEX(Products!$B$2:$B$101,MATCH($B137,Products!$A$2:$A$101,0))&amp;"","(not found)"))</f>
        <v/>
      </c>
      <c r="K137" s="51" t="str">
        <f>IF($A137="","",SUMIFS(Inventory_Ledger!$M$2:$M$2001,Inventory_Ledger!$F$2:$F$2001,$A137))</f>
        <v/>
      </c>
      <c r="L137" s="51" t="str">
        <f>IF($A137="","",IF(ISNUMBER($F137),$F137,0)+$K137)</f>
        <v/>
      </c>
      <c r="M137" s="56" t="str">
        <f>IF(OR($A137="",NOT(ISNUMBER($E137))),"",$E137-Config!$B$4)</f>
        <v/>
      </c>
      <c r="N137" s="49" t="str">
        <f>IF($M137="","",IF($M137&lt;0,"Expired",IF($M137&lt;=Config!$B$6,"&lt;="&amp;Config!$B$6,IF($M137&lt;=Config!$B$7,(Config!$B$6+1)&amp;"-"&amp;Config!$B$7,IF($M137&lt;=Config!$B$8,(Config!$B$7+1)&amp;"-"&amp;Config!$B$8,"&gt;"&amp;Config!$B$8)))))</f>
        <v/>
      </c>
      <c r="O137" s="52" t="str">
        <f>IF($M137="","",IF($M137&lt;0,0,IF($M137&lt;=Config!$B$6,1,IF($M137&lt;=Config!$B$7,2,IF($M137&lt;=Config!$B$8,3,4)))))</f>
        <v/>
      </c>
      <c r="P137" s="50" t="str">
        <f>IF($A137="","",IF($L137&lt;=0,0,IF(OR(IFERROR(INDEX(Config!$F$15:$F$34,MATCH($G137,Config!$E$15:$E$34,0)),"No")="Yes",AND(Config!$B$10="Yes",ISNUMBER($M137),$M137&lt;0)),$L137,0)))</f>
        <v/>
      </c>
      <c r="Q137" s="52" t="str">
        <f>IF($A137="","",IF(AND($L137&gt;0,ISNUMBER($M137)),IF($M137&lt;=Config!$B$8,1,0),0))</f>
        <v/>
      </c>
      <c r="R137" s="52" t="str">
        <f>IF($Q137=1,COUNTIFS($Q$2:$Q$301,1,$E$2:$E$301,"&lt;"&amp;$E137)+COUNTIFS($Q$2:$Q137,1,$E$2:$E137,$E137),"")</f>
        <v/>
      </c>
      <c r="S137" s="49" t="str">
        <f>IF(COUNTA($A137:$I137)=0,"",IF($A137="","Missing: lot",IF(COUNTIF($A$2:$A$301,$A137)&gt;1,"Duplicate lot",IF($B137="","Missing: SKU",IF(NOT(ISNUMBER($E137)),"Missing: expiry date",IF($G137="","Missing: status",IF(COUNTIF(Products!$A$2:$A$101,$B137)=0,"Unknown SKU",IF(AND($C137&lt;&gt;"",COUNTIF(Suppliers!$A$2:$A$51,$C137)=0),"Unknown supplier",IF(COUNTIF(Config!$E$15:$E$34,$G137)=0,"Unsupported status",IF($L137&lt;0,"Negative lot balance",IF(AND($G137="Closed",$L137&lt;&gt;0),"Closed lot still has stock","OK")))))))))))</f>
        <v/>
      </c>
    </row>
    <row r="138">
      <c r="A138" s="46" t="n"/>
      <c r="B138" s="46" t="n"/>
      <c r="C138" s="46" t="n"/>
      <c r="D138" s="54" t="n"/>
      <c r="E138" s="54" t="n"/>
      <c r="F138" s="48" t="n"/>
      <c r="G138" s="46" t="n"/>
      <c r="H138" s="46" t="n"/>
      <c r="I138" s="46" t="n"/>
      <c r="J138" s="49" t="str">
        <f>IF($A138="","",IFERROR(INDEX(Products!$B$2:$B$101,MATCH($B138,Products!$A$2:$A$101,0))&amp;"","(not found)"))</f>
        <v/>
      </c>
      <c r="K138" s="51" t="str">
        <f>IF($A138="","",SUMIFS(Inventory_Ledger!$M$2:$M$2001,Inventory_Ledger!$F$2:$F$2001,$A138))</f>
        <v/>
      </c>
      <c r="L138" s="51" t="str">
        <f>IF($A138="","",IF(ISNUMBER($F138),$F138,0)+$K138)</f>
        <v/>
      </c>
      <c r="M138" s="56" t="str">
        <f>IF(OR($A138="",NOT(ISNUMBER($E138))),"",$E138-Config!$B$4)</f>
        <v/>
      </c>
      <c r="N138" s="49" t="str">
        <f>IF($M138="","",IF($M138&lt;0,"Expired",IF($M138&lt;=Config!$B$6,"&lt;="&amp;Config!$B$6,IF($M138&lt;=Config!$B$7,(Config!$B$6+1)&amp;"-"&amp;Config!$B$7,IF($M138&lt;=Config!$B$8,(Config!$B$7+1)&amp;"-"&amp;Config!$B$8,"&gt;"&amp;Config!$B$8)))))</f>
        <v/>
      </c>
      <c r="O138" s="52" t="str">
        <f>IF($M138="","",IF($M138&lt;0,0,IF($M138&lt;=Config!$B$6,1,IF($M138&lt;=Config!$B$7,2,IF($M138&lt;=Config!$B$8,3,4)))))</f>
        <v/>
      </c>
      <c r="P138" s="50" t="str">
        <f>IF($A138="","",IF($L138&lt;=0,0,IF(OR(IFERROR(INDEX(Config!$F$15:$F$34,MATCH($G138,Config!$E$15:$E$34,0)),"No")="Yes",AND(Config!$B$10="Yes",ISNUMBER($M138),$M138&lt;0)),$L138,0)))</f>
        <v/>
      </c>
      <c r="Q138" s="52" t="str">
        <f>IF($A138="","",IF(AND($L138&gt;0,ISNUMBER($M138)),IF($M138&lt;=Config!$B$8,1,0),0))</f>
        <v/>
      </c>
      <c r="R138" s="52" t="str">
        <f>IF($Q138=1,COUNTIFS($Q$2:$Q$301,1,$E$2:$E$301,"&lt;"&amp;$E138)+COUNTIFS($Q$2:$Q138,1,$E$2:$E138,$E138),"")</f>
        <v/>
      </c>
      <c r="S138" s="49" t="str">
        <f>IF(COUNTA($A138:$I138)=0,"",IF($A138="","Missing: lot",IF(COUNTIF($A$2:$A$301,$A138)&gt;1,"Duplicate lot",IF($B138="","Missing: SKU",IF(NOT(ISNUMBER($E138)),"Missing: expiry date",IF($G138="","Missing: status",IF(COUNTIF(Products!$A$2:$A$101,$B138)=0,"Unknown SKU",IF(AND($C138&lt;&gt;"",COUNTIF(Suppliers!$A$2:$A$51,$C138)=0),"Unknown supplier",IF(COUNTIF(Config!$E$15:$E$34,$G138)=0,"Unsupported status",IF($L138&lt;0,"Negative lot balance",IF(AND($G138="Closed",$L138&lt;&gt;0),"Closed lot still has stock","OK")))))))))))</f>
        <v/>
      </c>
    </row>
    <row r="139">
      <c r="A139" s="46" t="n"/>
      <c r="B139" s="46" t="n"/>
      <c r="C139" s="46" t="n"/>
      <c r="D139" s="54" t="n"/>
      <c r="E139" s="54" t="n"/>
      <c r="F139" s="48" t="n"/>
      <c r="G139" s="46" t="n"/>
      <c r="H139" s="46" t="n"/>
      <c r="I139" s="46" t="n"/>
      <c r="J139" s="49" t="str">
        <f>IF($A139="","",IFERROR(INDEX(Products!$B$2:$B$101,MATCH($B139,Products!$A$2:$A$101,0))&amp;"","(not found)"))</f>
        <v/>
      </c>
      <c r="K139" s="51" t="str">
        <f>IF($A139="","",SUMIFS(Inventory_Ledger!$M$2:$M$2001,Inventory_Ledger!$F$2:$F$2001,$A139))</f>
        <v/>
      </c>
      <c r="L139" s="51" t="str">
        <f>IF($A139="","",IF(ISNUMBER($F139),$F139,0)+$K139)</f>
        <v/>
      </c>
      <c r="M139" s="56" t="str">
        <f>IF(OR($A139="",NOT(ISNUMBER($E139))),"",$E139-Config!$B$4)</f>
        <v/>
      </c>
      <c r="N139" s="49" t="str">
        <f>IF($M139="","",IF($M139&lt;0,"Expired",IF($M139&lt;=Config!$B$6,"&lt;="&amp;Config!$B$6,IF($M139&lt;=Config!$B$7,(Config!$B$6+1)&amp;"-"&amp;Config!$B$7,IF($M139&lt;=Config!$B$8,(Config!$B$7+1)&amp;"-"&amp;Config!$B$8,"&gt;"&amp;Config!$B$8)))))</f>
        <v/>
      </c>
      <c r="O139" s="52" t="str">
        <f>IF($M139="","",IF($M139&lt;0,0,IF($M139&lt;=Config!$B$6,1,IF($M139&lt;=Config!$B$7,2,IF($M139&lt;=Config!$B$8,3,4)))))</f>
        <v/>
      </c>
      <c r="P139" s="50" t="str">
        <f>IF($A139="","",IF($L139&lt;=0,0,IF(OR(IFERROR(INDEX(Config!$F$15:$F$34,MATCH($G139,Config!$E$15:$E$34,0)),"No")="Yes",AND(Config!$B$10="Yes",ISNUMBER($M139),$M139&lt;0)),$L139,0)))</f>
        <v/>
      </c>
      <c r="Q139" s="52" t="str">
        <f>IF($A139="","",IF(AND($L139&gt;0,ISNUMBER($M139)),IF($M139&lt;=Config!$B$8,1,0),0))</f>
        <v/>
      </c>
      <c r="R139" s="52" t="str">
        <f>IF($Q139=1,COUNTIFS($Q$2:$Q$301,1,$E$2:$E$301,"&lt;"&amp;$E139)+COUNTIFS($Q$2:$Q139,1,$E$2:$E139,$E139),"")</f>
        <v/>
      </c>
      <c r="S139" s="49" t="str">
        <f>IF(COUNTA($A139:$I139)=0,"",IF($A139="","Missing: lot",IF(COUNTIF($A$2:$A$301,$A139)&gt;1,"Duplicate lot",IF($B139="","Missing: SKU",IF(NOT(ISNUMBER($E139)),"Missing: expiry date",IF($G139="","Missing: status",IF(COUNTIF(Products!$A$2:$A$101,$B139)=0,"Unknown SKU",IF(AND($C139&lt;&gt;"",COUNTIF(Suppliers!$A$2:$A$51,$C139)=0),"Unknown supplier",IF(COUNTIF(Config!$E$15:$E$34,$G139)=0,"Unsupported status",IF($L139&lt;0,"Negative lot balance",IF(AND($G139="Closed",$L139&lt;&gt;0),"Closed lot still has stock","OK")))))))))))</f>
        <v/>
      </c>
    </row>
    <row r="140">
      <c r="A140" s="46" t="n"/>
      <c r="B140" s="46" t="n"/>
      <c r="C140" s="46" t="n"/>
      <c r="D140" s="54" t="n"/>
      <c r="E140" s="54" t="n"/>
      <c r="F140" s="48" t="n"/>
      <c r="G140" s="46" t="n"/>
      <c r="H140" s="46" t="n"/>
      <c r="I140" s="46" t="n"/>
      <c r="J140" s="49" t="str">
        <f>IF($A140="","",IFERROR(INDEX(Products!$B$2:$B$101,MATCH($B140,Products!$A$2:$A$101,0))&amp;"","(not found)"))</f>
        <v/>
      </c>
      <c r="K140" s="51" t="str">
        <f>IF($A140="","",SUMIFS(Inventory_Ledger!$M$2:$M$2001,Inventory_Ledger!$F$2:$F$2001,$A140))</f>
        <v/>
      </c>
      <c r="L140" s="51" t="str">
        <f>IF($A140="","",IF(ISNUMBER($F140),$F140,0)+$K140)</f>
        <v/>
      </c>
      <c r="M140" s="56" t="str">
        <f>IF(OR($A140="",NOT(ISNUMBER($E140))),"",$E140-Config!$B$4)</f>
        <v/>
      </c>
      <c r="N140" s="49" t="str">
        <f>IF($M140="","",IF($M140&lt;0,"Expired",IF($M140&lt;=Config!$B$6,"&lt;="&amp;Config!$B$6,IF($M140&lt;=Config!$B$7,(Config!$B$6+1)&amp;"-"&amp;Config!$B$7,IF($M140&lt;=Config!$B$8,(Config!$B$7+1)&amp;"-"&amp;Config!$B$8,"&gt;"&amp;Config!$B$8)))))</f>
        <v/>
      </c>
      <c r="O140" s="52" t="str">
        <f>IF($M140="","",IF($M140&lt;0,0,IF($M140&lt;=Config!$B$6,1,IF($M140&lt;=Config!$B$7,2,IF($M140&lt;=Config!$B$8,3,4)))))</f>
        <v/>
      </c>
      <c r="P140" s="50" t="str">
        <f>IF($A140="","",IF($L140&lt;=0,0,IF(OR(IFERROR(INDEX(Config!$F$15:$F$34,MATCH($G140,Config!$E$15:$E$34,0)),"No")="Yes",AND(Config!$B$10="Yes",ISNUMBER($M140),$M140&lt;0)),$L140,0)))</f>
        <v/>
      </c>
      <c r="Q140" s="52" t="str">
        <f>IF($A140="","",IF(AND($L140&gt;0,ISNUMBER($M140)),IF($M140&lt;=Config!$B$8,1,0),0))</f>
        <v/>
      </c>
      <c r="R140" s="52" t="str">
        <f>IF($Q140=1,COUNTIFS($Q$2:$Q$301,1,$E$2:$E$301,"&lt;"&amp;$E140)+COUNTIFS($Q$2:$Q140,1,$E$2:$E140,$E140),"")</f>
        <v/>
      </c>
      <c r="S140" s="49" t="str">
        <f>IF(COUNTA($A140:$I140)=0,"",IF($A140="","Missing: lot",IF(COUNTIF($A$2:$A$301,$A140)&gt;1,"Duplicate lot",IF($B140="","Missing: SKU",IF(NOT(ISNUMBER($E140)),"Missing: expiry date",IF($G140="","Missing: status",IF(COUNTIF(Products!$A$2:$A$101,$B140)=0,"Unknown SKU",IF(AND($C140&lt;&gt;"",COUNTIF(Suppliers!$A$2:$A$51,$C140)=0),"Unknown supplier",IF(COUNTIF(Config!$E$15:$E$34,$G140)=0,"Unsupported status",IF($L140&lt;0,"Negative lot balance",IF(AND($G140="Closed",$L140&lt;&gt;0),"Closed lot still has stock","OK")))))))))))</f>
        <v/>
      </c>
    </row>
    <row r="141">
      <c r="A141" s="46" t="n"/>
      <c r="B141" s="46" t="n"/>
      <c r="C141" s="46" t="n"/>
      <c r="D141" s="54" t="n"/>
      <c r="E141" s="54" t="n"/>
      <c r="F141" s="48" t="n"/>
      <c r="G141" s="46" t="n"/>
      <c r="H141" s="46" t="n"/>
      <c r="I141" s="46" t="n"/>
      <c r="J141" s="49" t="str">
        <f>IF($A141="","",IFERROR(INDEX(Products!$B$2:$B$101,MATCH($B141,Products!$A$2:$A$101,0))&amp;"","(not found)"))</f>
        <v/>
      </c>
      <c r="K141" s="51" t="str">
        <f>IF($A141="","",SUMIFS(Inventory_Ledger!$M$2:$M$2001,Inventory_Ledger!$F$2:$F$2001,$A141))</f>
        <v/>
      </c>
      <c r="L141" s="51" t="str">
        <f>IF($A141="","",IF(ISNUMBER($F141),$F141,0)+$K141)</f>
        <v/>
      </c>
      <c r="M141" s="56" t="str">
        <f>IF(OR($A141="",NOT(ISNUMBER($E141))),"",$E141-Config!$B$4)</f>
        <v/>
      </c>
      <c r="N141" s="49" t="str">
        <f>IF($M141="","",IF($M141&lt;0,"Expired",IF($M141&lt;=Config!$B$6,"&lt;="&amp;Config!$B$6,IF($M141&lt;=Config!$B$7,(Config!$B$6+1)&amp;"-"&amp;Config!$B$7,IF($M141&lt;=Config!$B$8,(Config!$B$7+1)&amp;"-"&amp;Config!$B$8,"&gt;"&amp;Config!$B$8)))))</f>
        <v/>
      </c>
      <c r="O141" s="52" t="str">
        <f>IF($M141="","",IF($M141&lt;0,0,IF($M141&lt;=Config!$B$6,1,IF($M141&lt;=Config!$B$7,2,IF($M141&lt;=Config!$B$8,3,4)))))</f>
        <v/>
      </c>
      <c r="P141" s="50" t="str">
        <f>IF($A141="","",IF($L141&lt;=0,0,IF(OR(IFERROR(INDEX(Config!$F$15:$F$34,MATCH($G141,Config!$E$15:$E$34,0)),"No")="Yes",AND(Config!$B$10="Yes",ISNUMBER($M141),$M141&lt;0)),$L141,0)))</f>
        <v/>
      </c>
      <c r="Q141" s="52" t="str">
        <f>IF($A141="","",IF(AND($L141&gt;0,ISNUMBER($M141)),IF($M141&lt;=Config!$B$8,1,0),0))</f>
        <v/>
      </c>
      <c r="R141" s="52" t="str">
        <f>IF($Q141=1,COUNTIFS($Q$2:$Q$301,1,$E$2:$E$301,"&lt;"&amp;$E141)+COUNTIFS($Q$2:$Q141,1,$E$2:$E141,$E141),"")</f>
        <v/>
      </c>
      <c r="S141" s="49" t="str">
        <f>IF(COUNTA($A141:$I141)=0,"",IF($A141="","Missing: lot",IF(COUNTIF($A$2:$A$301,$A141)&gt;1,"Duplicate lot",IF($B141="","Missing: SKU",IF(NOT(ISNUMBER($E141)),"Missing: expiry date",IF($G141="","Missing: status",IF(COUNTIF(Products!$A$2:$A$101,$B141)=0,"Unknown SKU",IF(AND($C141&lt;&gt;"",COUNTIF(Suppliers!$A$2:$A$51,$C141)=0),"Unknown supplier",IF(COUNTIF(Config!$E$15:$E$34,$G141)=0,"Unsupported status",IF($L141&lt;0,"Negative lot balance",IF(AND($G141="Closed",$L141&lt;&gt;0),"Closed lot still has stock","OK")))))))))))</f>
        <v/>
      </c>
    </row>
    <row r="142">
      <c r="A142" s="46" t="n"/>
      <c r="B142" s="46" t="n"/>
      <c r="C142" s="46" t="n"/>
      <c r="D142" s="54" t="n"/>
      <c r="E142" s="54" t="n"/>
      <c r="F142" s="48" t="n"/>
      <c r="G142" s="46" t="n"/>
      <c r="H142" s="46" t="n"/>
      <c r="I142" s="46" t="n"/>
      <c r="J142" s="49" t="str">
        <f>IF($A142="","",IFERROR(INDEX(Products!$B$2:$B$101,MATCH($B142,Products!$A$2:$A$101,0))&amp;"","(not found)"))</f>
        <v/>
      </c>
      <c r="K142" s="51" t="str">
        <f>IF($A142="","",SUMIFS(Inventory_Ledger!$M$2:$M$2001,Inventory_Ledger!$F$2:$F$2001,$A142))</f>
        <v/>
      </c>
      <c r="L142" s="51" t="str">
        <f>IF($A142="","",IF(ISNUMBER($F142),$F142,0)+$K142)</f>
        <v/>
      </c>
      <c r="M142" s="56" t="str">
        <f>IF(OR($A142="",NOT(ISNUMBER($E142))),"",$E142-Config!$B$4)</f>
        <v/>
      </c>
      <c r="N142" s="49" t="str">
        <f>IF($M142="","",IF($M142&lt;0,"Expired",IF($M142&lt;=Config!$B$6,"&lt;="&amp;Config!$B$6,IF($M142&lt;=Config!$B$7,(Config!$B$6+1)&amp;"-"&amp;Config!$B$7,IF($M142&lt;=Config!$B$8,(Config!$B$7+1)&amp;"-"&amp;Config!$B$8,"&gt;"&amp;Config!$B$8)))))</f>
        <v/>
      </c>
      <c r="O142" s="52" t="str">
        <f>IF($M142="","",IF($M142&lt;0,0,IF($M142&lt;=Config!$B$6,1,IF($M142&lt;=Config!$B$7,2,IF($M142&lt;=Config!$B$8,3,4)))))</f>
        <v/>
      </c>
      <c r="P142" s="50" t="str">
        <f>IF($A142="","",IF($L142&lt;=0,0,IF(OR(IFERROR(INDEX(Config!$F$15:$F$34,MATCH($G142,Config!$E$15:$E$34,0)),"No")="Yes",AND(Config!$B$10="Yes",ISNUMBER($M142),$M142&lt;0)),$L142,0)))</f>
        <v/>
      </c>
      <c r="Q142" s="52" t="str">
        <f>IF($A142="","",IF(AND($L142&gt;0,ISNUMBER($M142)),IF($M142&lt;=Config!$B$8,1,0),0))</f>
        <v/>
      </c>
      <c r="R142" s="52" t="str">
        <f>IF($Q142=1,COUNTIFS($Q$2:$Q$301,1,$E$2:$E$301,"&lt;"&amp;$E142)+COUNTIFS($Q$2:$Q142,1,$E$2:$E142,$E142),"")</f>
        <v/>
      </c>
      <c r="S142" s="49" t="str">
        <f>IF(COUNTA($A142:$I142)=0,"",IF($A142="","Missing: lot",IF(COUNTIF($A$2:$A$301,$A142)&gt;1,"Duplicate lot",IF($B142="","Missing: SKU",IF(NOT(ISNUMBER($E142)),"Missing: expiry date",IF($G142="","Missing: status",IF(COUNTIF(Products!$A$2:$A$101,$B142)=0,"Unknown SKU",IF(AND($C142&lt;&gt;"",COUNTIF(Suppliers!$A$2:$A$51,$C142)=0),"Unknown supplier",IF(COUNTIF(Config!$E$15:$E$34,$G142)=0,"Unsupported status",IF($L142&lt;0,"Negative lot balance",IF(AND($G142="Closed",$L142&lt;&gt;0),"Closed lot still has stock","OK")))))))))))</f>
        <v/>
      </c>
    </row>
    <row r="143">
      <c r="A143" s="46" t="n"/>
      <c r="B143" s="46" t="n"/>
      <c r="C143" s="46" t="n"/>
      <c r="D143" s="54" t="n"/>
      <c r="E143" s="54" t="n"/>
      <c r="F143" s="48" t="n"/>
      <c r="G143" s="46" t="n"/>
      <c r="H143" s="46" t="n"/>
      <c r="I143" s="46" t="n"/>
      <c r="J143" s="49" t="str">
        <f>IF($A143="","",IFERROR(INDEX(Products!$B$2:$B$101,MATCH($B143,Products!$A$2:$A$101,0))&amp;"","(not found)"))</f>
        <v/>
      </c>
      <c r="K143" s="51" t="str">
        <f>IF($A143="","",SUMIFS(Inventory_Ledger!$M$2:$M$2001,Inventory_Ledger!$F$2:$F$2001,$A143))</f>
        <v/>
      </c>
      <c r="L143" s="51" t="str">
        <f>IF($A143="","",IF(ISNUMBER($F143),$F143,0)+$K143)</f>
        <v/>
      </c>
      <c r="M143" s="56" t="str">
        <f>IF(OR($A143="",NOT(ISNUMBER($E143))),"",$E143-Config!$B$4)</f>
        <v/>
      </c>
      <c r="N143" s="49" t="str">
        <f>IF($M143="","",IF($M143&lt;0,"Expired",IF($M143&lt;=Config!$B$6,"&lt;="&amp;Config!$B$6,IF($M143&lt;=Config!$B$7,(Config!$B$6+1)&amp;"-"&amp;Config!$B$7,IF($M143&lt;=Config!$B$8,(Config!$B$7+1)&amp;"-"&amp;Config!$B$8,"&gt;"&amp;Config!$B$8)))))</f>
        <v/>
      </c>
      <c r="O143" s="52" t="str">
        <f>IF($M143="","",IF($M143&lt;0,0,IF($M143&lt;=Config!$B$6,1,IF($M143&lt;=Config!$B$7,2,IF($M143&lt;=Config!$B$8,3,4)))))</f>
        <v/>
      </c>
      <c r="P143" s="50" t="str">
        <f>IF($A143="","",IF($L143&lt;=0,0,IF(OR(IFERROR(INDEX(Config!$F$15:$F$34,MATCH($G143,Config!$E$15:$E$34,0)),"No")="Yes",AND(Config!$B$10="Yes",ISNUMBER($M143),$M143&lt;0)),$L143,0)))</f>
        <v/>
      </c>
      <c r="Q143" s="52" t="str">
        <f>IF($A143="","",IF(AND($L143&gt;0,ISNUMBER($M143)),IF($M143&lt;=Config!$B$8,1,0),0))</f>
        <v/>
      </c>
      <c r="R143" s="52" t="str">
        <f>IF($Q143=1,COUNTIFS($Q$2:$Q$301,1,$E$2:$E$301,"&lt;"&amp;$E143)+COUNTIFS($Q$2:$Q143,1,$E$2:$E143,$E143),"")</f>
        <v/>
      </c>
      <c r="S143" s="49" t="str">
        <f>IF(COUNTA($A143:$I143)=0,"",IF($A143="","Missing: lot",IF(COUNTIF($A$2:$A$301,$A143)&gt;1,"Duplicate lot",IF($B143="","Missing: SKU",IF(NOT(ISNUMBER($E143)),"Missing: expiry date",IF($G143="","Missing: status",IF(COUNTIF(Products!$A$2:$A$101,$B143)=0,"Unknown SKU",IF(AND($C143&lt;&gt;"",COUNTIF(Suppliers!$A$2:$A$51,$C143)=0),"Unknown supplier",IF(COUNTIF(Config!$E$15:$E$34,$G143)=0,"Unsupported status",IF($L143&lt;0,"Negative lot balance",IF(AND($G143="Closed",$L143&lt;&gt;0),"Closed lot still has stock","OK")))))))))))</f>
        <v/>
      </c>
    </row>
    <row r="144">
      <c r="A144" s="46" t="n"/>
      <c r="B144" s="46" t="n"/>
      <c r="C144" s="46" t="n"/>
      <c r="D144" s="54" t="n"/>
      <c r="E144" s="54" t="n"/>
      <c r="F144" s="48" t="n"/>
      <c r="G144" s="46" t="n"/>
      <c r="H144" s="46" t="n"/>
      <c r="I144" s="46" t="n"/>
      <c r="J144" s="49" t="str">
        <f>IF($A144="","",IFERROR(INDEX(Products!$B$2:$B$101,MATCH($B144,Products!$A$2:$A$101,0))&amp;"","(not found)"))</f>
        <v/>
      </c>
      <c r="K144" s="51" t="str">
        <f>IF($A144="","",SUMIFS(Inventory_Ledger!$M$2:$M$2001,Inventory_Ledger!$F$2:$F$2001,$A144))</f>
        <v/>
      </c>
      <c r="L144" s="51" t="str">
        <f>IF($A144="","",IF(ISNUMBER($F144),$F144,0)+$K144)</f>
        <v/>
      </c>
      <c r="M144" s="56" t="str">
        <f>IF(OR($A144="",NOT(ISNUMBER($E144))),"",$E144-Config!$B$4)</f>
        <v/>
      </c>
      <c r="N144" s="49" t="str">
        <f>IF($M144="","",IF($M144&lt;0,"Expired",IF($M144&lt;=Config!$B$6,"&lt;="&amp;Config!$B$6,IF($M144&lt;=Config!$B$7,(Config!$B$6+1)&amp;"-"&amp;Config!$B$7,IF($M144&lt;=Config!$B$8,(Config!$B$7+1)&amp;"-"&amp;Config!$B$8,"&gt;"&amp;Config!$B$8)))))</f>
        <v/>
      </c>
      <c r="O144" s="52" t="str">
        <f>IF($M144="","",IF($M144&lt;0,0,IF($M144&lt;=Config!$B$6,1,IF($M144&lt;=Config!$B$7,2,IF($M144&lt;=Config!$B$8,3,4)))))</f>
        <v/>
      </c>
      <c r="P144" s="50" t="str">
        <f>IF($A144="","",IF($L144&lt;=0,0,IF(OR(IFERROR(INDEX(Config!$F$15:$F$34,MATCH($G144,Config!$E$15:$E$34,0)),"No")="Yes",AND(Config!$B$10="Yes",ISNUMBER($M144),$M144&lt;0)),$L144,0)))</f>
        <v/>
      </c>
      <c r="Q144" s="52" t="str">
        <f>IF($A144="","",IF(AND($L144&gt;0,ISNUMBER($M144)),IF($M144&lt;=Config!$B$8,1,0),0))</f>
        <v/>
      </c>
      <c r="R144" s="52" t="str">
        <f>IF($Q144=1,COUNTIFS($Q$2:$Q$301,1,$E$2:$E$301,"&lt;"&amp;$E144)+COUNTIFS($Q$2:$Q144,1,$E$2:$E144,$E144),"")</f>
        <v/>
      </c>
      <c r="S144" s="49" t="str">
        <f>IF(COUNTA($A144:$I144)=0,"",IF($A144="","Missing: lot",IF(COUNTIF($A$2:$A$301,$A144)&gt;1,"Duplicate lot",IF($B144="","Missing: SKU",IF(NOT(ISNUMBER($E144)),"Missing: expiry date",IF($G144="","Missing: status",IF(COUNTIF(Products!$A$2:$A$101,$B144)=0,"Unknown SKU",IF(AND($C144&lt;&gt;"",COUNTIF(Suppliers!$A$2:$A$51,$C144)=0),"Unknown supplier",IF(COUNTIF(Config!$E$15:$E$34,$G144)=0,"Unsupported status",IF($L144&lt;0,"Negative lot balance",IF(AND($G144="Closed",$L144&lt;&gt;0),"Closed lot still has stock","OK")))))))))))</f>
        <v/>
      </c>
    </row>
    <row r="145">
      <c r="A145" s="46" t="n"/>
      <c r="B145" s="46" t="n"/>
      <c r="C145" s="46" t="n"/>
      <c r="D145" s="54" t="n"/>
      <c r="E145" s="54" t="n"/>
      <c r="F145" s="48" t="n"/>
      <c r="G145" s="46" t="n"/>
      <c r="H145" s="46" t="n"/>
      <c r="I145" s="46" t="n"/>
      <c r="J145" s="49" t="str">
        <f>IF($A145="","",IFERROR(INDEX(Products!$B$2:$B$101,MATCH($B145,Products!$A$2:$A$101,0))&amp;"","(not found)"))</f>
        <v/>
      </c>
      <c r="K145" s="51" t="str">
        <f>IF($A145="","",SUMIFS(Inventory_Ledger!$M$2:$M$2001,Inventory_Ledger!$F$2:$F$2001,$A145))</f>
        <v/>
      </c>
      <c r="L145" s="51" t="str">
        <f>IF($A145="","",IF(ISNUMBER($F145),$F145,0)+$K145)</f>
        <v/>
      </c>
      <c r="M145" s="56" t="str">
        <f>IF(OR($A145="",NOT(ISNUMBER($E145))),"",$E145-Config!$B$4)</f>
        <v/>
      </c>
      <c r="N145" s="49" t="str">
        <f>IF($M145="","",IF($M145&lt;0,"Expired",IF($M145&lt;=Config!$B$6,"&lt;="&amp;Config!$B$6,IF($M145&lt;=Config!$B$7,(Config!$B$6+1)&amp;"-"&amp;Config!$B$7,IF($M145&lt;=Config!$B$8,(Config!$B$7+1)&amp;"-"&amp;Config!$B$8,"&gt;"&amp;Config!$B$8)))))</f>
        <v/>
      </c>
      <c r="O145" s="52" t="str">
        <f>IF($M145="","",IF($M145&lt;0,0,IF($M145&lt;=Config!$B$6,1,IF($M145&lt;=Config!$B$7,2,IF($M145&lt;=Config!$B$8,3,4)))))</f>
        <v/>
      </c>
      <c r="P145" s="50" t="str">
        <f>IF($A145="","",IF($L145&lt;=0,0,IF(OR(IFERROR(INDEX(Config!$F$15:$F$34,MATCH($G145,Config!$E$15:$E$34,0)),"No")="Yes",AND(Config!$B$10="Yes",ISNUMBER($M145),$M145&lt;0)),$L145,0)))</f>
        <v/>
      </c>
      <c r="Q145" s="52" t="str">
        <f>IF($A145="","",IF(AND($L145&gt;0,ISNUMBER($M145)),IF($M145&lt;=Config!$B$8,1,0),0))</f>
        <v/>
      </c>
      <c r="R145" s="52" t="str">
        <f>IF($Q145=1,COUNTIFS($Q$2:$Q$301,1,$E$2:$E$301,"&lt;"&amp;$E145)+COUNTIFS($Q$2:$Q145,1,$E$2:$E145,$E145),"")</f>
        <v/>
      </c>
      <c r="S145" s="49" t="str">
        <f>IF(COUNTA($A145:$I145)=0,"",IF($A145="","Missing: lot",IF(COUNTIF($A$2:$A$301,$A145)&gt;1,"Duplicate lot",IF($B145="","Missing: SKU",IF(NOT(ISNUMBER($E145)),"Missing: expiry date",IF($G145="","Missing: status",IF(COUNTIF(Products!$A$2:$A$101,$B145)=0,"Unknown SKU",IF(AND($C145&lt;&gt;"",COUNTIF(Suppliers!$A$2:$A$51,$C145)=0),"Unknown supplier",IF(COUNTIF(Config!$E$15:$E$34,$G145)=0,"Unsupported status",IF($L145&lt;0,"Negative lot balance",IF(AND($G145="Closed",$L145&lt;&gt;0),"Closed lot still has stock","OK")))))))))))</f>
        <v/>
      </c>
    </row>
    <row r="146">
      <c r="A146" s="46" t="n"/>
      <c r="B146" s="46" t="n"/>
      <c r="C146" s="46" t="n"/>
      <c r="D146" s="54" t="n"/>
      <c r="E146" s="54" t="n"/>
      <c r="F146" s="48" t="n"/>
      <c r="G146" s="46" t="n"/>
      <c r="H146" s="46" t="n"/>
      <c r="I146" s="46" t="n"/>
      <c r="J146" s="49" t="str">
        <f>IF($A146="","",IFERROR(INDEX(Products!$B$2:$B$101,MATCH($B146,Products!$A$2:$A$101,0))&amp;"","(not found)"))</f>
        <v/>
      </c>
      <c r="K146" s="51" t="str">
        <f>IF($A146="","",SUMIFS(Inventory_Ledger!$M$2:$M$2001,Inventory_Ledger!$F$2:$F$2001,$A146))</f>
        <v/>
      </c>
      <c r="L146" s="51" t="str">
        <f>IF($A146="","",IF(ISNUMBER($F146),$F146,0)+$K146)</f>
        <v/>
      </c>
      <c r="M146" s="56" t="str">
        <f>IF(OR($A146="",NOT(ISNUMBER($E146))),"",$E146-Config!$B$4)</f>
        <v/>
      </c>
      <c r="N146" s="49" t="str">
        <f>IF($M146="","",IF($M146&lt;0,"Expired",IF($M146&lt;=Config!$B$6,"&lt;="&amp;Config!$B$6,IF($M146&lt;=Config!$B$7,(Config!$B$6+1)&amp;"-"&amp;Config!$B$7,IF($M146&lt;=Config!$B$8,(Config!$B$7+1)&amp;"-"&amp;Config!$B$8,"&gt;"&amp;Config!$B$8)))))</f>
        <v/>
      </c>
      <c r="O146" s="52" t="str">
        <f>IF($M146="","",IF($M146&lt;0,0,IF($M146&lt;=Config!$B$6,1,IF($M146&lt;=Config!$B$7,2,IF($M146&lt;=Config!$B$8,3,4)))))</f>
        <v/>
      </c>
      <c r="P146" s="50" t="str">
        <f>IF($A146="","",IF($L146&lt;=0,0,IF(OR(IFERROR(INDEX(Config!$F$15:$F$34,MATCH($G146,Config!$E$15:$E$34,0)),"No")="Yes",AND(Config!$B$10="Yes",ISNUMBER($M146),$M146&lt;0)),$L146,0)))</f>
        <v/>
      </c>
      <c r="Q146" s="52" t="str">
        <f>IF($A146="","",IF(AND($L146&gt;0,ISNUMBER($M146)),IF($M146&lt;=Config!$B$8,1,0),0))</f>
        <v/>
      </c>
      <c r="R146" s="52" t="str">
        <f>IF($Q146=1,COUNTIFS($Q$2:$Q$301,1,$E$2:$E$301,"&lt;"&amp;$E146)+COUNTIFS($Q$2:$Q146,1,$E$2:$E146,$E146),"")</f>
        <v/>
      </c>
      <c r="S146" s="49" t="str">
        <f>IF(COUNTA($A146:$I146)=0,"",IF($A146="","Missing: lot",IF(COUNTIF($A$2:$A$301,$A146)&gt;1,"Duplicate lot",IF($B146="","Missing: SKU",IF(NOT(ISNUMBER($E146)),"Missing: expiry date",IF($G146="","Missing: status",IF(COUNTIF(Products!$A$2:$A$101,$B146)=0,"Unknown SKU",IF(AND($C146&lt;&gt;"",COUNTIF(Suppliers!$A$2:$A$51,$C146)=0),"Unknown supplier",IF(COUNTIF(Config!$E$15:$E$34,$G146)=0,"Unsupported status",IF($L146&lt;0,"Negative lot balance",IF(AND($G146="Closed",$L146&lt;&gt;0),"Closed lot still has stock","OK")))))))))))</f>
        <v/>
      </c>
    </row>
    <row r="147">
      <c r="A147" s="46" t="n"/>
      <c r="B147" s="46" t="n"/>
      <c r="C147" s="46" t="n"/>
      <c r="D147" s="54" t="n"/>
      <c r="E147" s="54" t="n"/>
      <c r="F147" s="48" t="n"/>
      <c r="G147" s="46" t="n"/>
      <c r="H147" s="46" t="n"/>
      <c r="I147" s="46" t="n"/>
      <c r="J147" s="49" t="str">
        <f>IF($A147="","",IFERROR(INDEX(Products!$B$2:$B$101,MATCH($B147,Products!$A$2:$A$101,0))&amp;"","(not found)"))</f>
        <v/>
      </c>
      <c r="K147" s="51" t="str">
        <f>IF($A147="","",SUMIFS(Inventory_Ledger!$M$2:$M$2001,Inventory_Ledger!$F$2:$F$2001,$A147))</f>
        <v/>
      </c>
      <c r="L147" s="51" t="str">
        <f>IF($A147="","",IF(ISNUMBER($F147),$F147,0)+$K147)</f>
        <v/>
      </c>
      <c r="M147" s="56" t="str">
        <f>IF(OR($A147="",NOT(ISNUMBER($E147))),"",$E147-Config!$B$4)</f>
        <v/>
      </c>
      <c r="N147" s="49" t="str">
        <f>IF($M147="","",IF($M147&lt;0,"Expired",IF($M147&lt;=Config!$B$6,"&lt;="&amp;Config!$B$6,IF($M147&lt;=Config!$B$7,(Config!$B$6+1)&amp;"-"&amp;Config!$B$7,IF($M147&lt;=Config!$B$8,(Config!$B$7+1)&amp;"-"&amp;Config!$B$8,"&gt;"&amp;Config!$B$8)))))</f>
        <v/>
      </c>
      <c r="O147" s="52" t="str">
        <f>IF($M147="","",IF($M147&lt;0,0,IF($M147&lt;=Config!$B$6,1,IF($M147&lt;=Config!$B$7,2,IF($M147&lt;=Config!$B$8,3,4)))))</f>
        <v/>
      </c>
      <c r="P147" s="50" t="str">
        <f>IF($A147="","",IF($L147&lt;=0,0,IF(OR(IFERROR(INDEX(Config!$F$15:$F$34,MATCH($G147,Config!$E$15:$E$34,0)),"No")="Yes",AND(Config!$B$10="Yes",ISNUMBER($M147),$M147&lt;0)),$L147,0)))</f>
        <v/>
      </c>
      <c r="Q147" s="52" t="str">
        <f>IF($A147="","",IF(AND($L147&gt;0,ISNUMBER($M147)),IF($M147&lt;=Config!$B$8,1,0),0))</f>
        <v/>
      </c>
      <c r="R147" s="52" t="str">
        <f>IF($Q147=1,COUNTIFS($Q$2:$Q$301,1,$E$2:$E$301,"&lt;"&amp;$E147)+COUNTIFS($Q$2:$Q147,1,$E$2:$E147,$E147),"")</f>
        <v/>
      </c>
      <c r="S147" s="49" t="str">
        <f>IF(COUNTA($A147:$I147)=0,"",IF($A147="","Missing: lot",IF(COUNTIF($A$2:$A$301,$A147)&gt;1,"Duplicate lot",IF($B147="","Missing: SKU",IF(NOT(ISNUMBER($E147)),"Missing: expiry date",IF($G147="","Missing: status",IF(COUNTIF(Products!$A$2:$A$101,$B147)=0,"Unknown SKU",IF(AND($C147&lt;&gt;"",COUNTIF(Suppliers!$A$2:$A$51,$C147)=0),"Unknown supplier",IF(COUNTIF(Config!$E$15:$E$34,$G147)=0,"Unsupported status",IF($L147&lt;0,"Negative lot balance",IF(AND($G147="Closed",$L147&lt;&gt;0),"Closed lot still has stock","OK")))))))))))</f>
        <v/>
      </c>
    </row>
    <row r="148">
      <c r="A148" s="46" t="n"/>
      <c r="B148" s="46" t="n"/>
      <c r="C148" s="46" t="n"/>
      <c r="D148" s="54" t="n"/>
      <c r="E148" s="54" t="n"/>
      <c r="F148" s="48" t="n"/>
      <c r="G148" s="46" t="n"/>
      <c r="H148" s="46" t="n"/>
      <c r="I148" s="46" t="n"/>
      <c r="J148" s="49" t="str">
        <f>IF($A148="","",IFERROR(INDEX(Products!$B$2:$B$101,MATCH($B148,Products!$A$2:$A$101,0))&amp;"","(not found)"))</f>
        <v/>
      </c>
      <c r="K148" s="51" t="str">
        <f>IF($A148="","",SUMIFS(Inventory_Ledger!$M$2:$M$2001,Inventory_Ledger!$F$2:$F$2001,$A148))</f>
        <v/>
      </c>
      <c r="L148" s="51" t="str">
        <f>IF($A148="","",IF(ISNUMBER($F148),$F148,0)+$K148)</f>
        <v/>
      </c>
      <c r="M148" s="56" t="str">
        <f>IF(OR($A148="",NOT(ISNUMBER($E148))),"",$E148-Config!$B$4)</f>
        <v/>
      </c>
      <c r="N148" s="49" t="str">
        <f>IF($M148="","",IF($M148&lt;0,"Expired",IF($M148&lt;=Config!$B$6,"&lt;="&amp;Config!$B$6,IF($M148&lt;=Config!$B$7,(Config!$B$6+1)&amp;"-"&amp;Config!$B$7,IF($M148&lt;=Config!$B$8,(Config!$B$7+1)&amp;"-"&amp;Config!$B$8,"&gt;"&amp;Config!$B$8)))))</f>
        <v/>
      </c>
      <c r="O148" s="52" t="str">
        <f>IF($M148="","",IF($M148&lt;0,0,IF($M148&lt;=Config!$B$6,1,IF($M148&lt;=Config!$B$7,2,IF($M148&lt;=Config!$B$8,3,4)))))</f>
        <v/>
      </c>
      <c r="P148" s="50" t="str">
        <f>IF($A148="","",IF($L148&lt;=0,0,IF(OR(IFERROR(INDEX(Config!$F$15:$F$34,MATCH($G148,Config!$E$15:$E$34,0)),"No")="Yes",AND(Config!$B$10="Yes",ISNUMBER($M148),$M148&lt;0)),$L148,0)))</f>
        <v/>
      </c>
      <c r="Q148" s="52" t="str">
        <f>IF($A148="","",IF(AND($L148&gt;0,ISNUMBER($M148)),IF($M148&lt;=Config!$B$8,1,0),0))</f>
        <v/>
      </c>
      <c r="R148" s="52" t="str">
        <f>IF($Q148=1,COUNTIFS($Q$2:$Q$301,1,$E$2:$E$301,"&lt;"&amp;$E148)+COUNTIFS($Q$2:$Q148,1,$E$2:$E148,$E148),"")</f>
        <v/>
      </c>
      <c r="S148" s="49" t="str">
        <f>IF(COUNTA($A148:$I148)=0,"",IF($A148="","Missing: lot",IF(COUNTIF($A$2:$A$301,$A148)&gt;1,"Duplicate lot",IF($B148="","Missing: SKU",IF(NOT(ISNUMBER($E148)),"Missing: expiry date",IF($G148="","Missing: status",IF(COUNTIF(Products!$A$2:$A$101,$B148)=0,"Unknown SKU",IF(AND($C148&lt;&gt;"",COUNTIF(Suppliers!$A$2:$A$51,$C148)=0),"Unknown supplier",IF(COUNTIF(Config!$E$15:$E$34,$G148)=0,"Unsupported status",IF($L148&lt;0,"Negative lot balance",IF(AND($G148="Closed",$L148&lt;&gt;0),"Closed lot still has stock","OK")))))))))))</f>
        <v/>
      </c>
    </row>
    <row r="149">
      <c r="A149" s="46" t="n"/>
      <c r="B149" s="46" t="n"/>
      <c r="C149" s="46" t="n"/>
      <c r="D149" s="54" t="n"/>
      <c r="E149" s="54" t="n"/>
      <c r="F149" s="48" t="n"/>
      <c r="G149" s="46" t="n"/>
      <c r="H149" s="46" t="n"/>
      <c r="I149" s="46" t="n"/>
      <c r="J149" s="49" t="str">
        <f>IF($A149="","",IFERROR(INDEX(Products!$B$2:$B$101,MATCH($B149,Products!$A$2:$A$101,0))&amp;"","(not found)"))</f>
        <v/>
      </c>
      <c r="K149" s="51" t="str">
        <f>IF($A149="","",SUMIFS(Inventory_Ledger!$M$2:$M$2001,Inventory_Ledger!$F$2:$F$2001,$A149))</f>
        <v/>
      </c>
      <c r="L149" s="51" t="str">
        <f>IF($A149="","",IF(ISNUMBER($F149),$F149,0)+$K149)</f>
        <v/>
      </c>
      <c r="M149" s="56" t="str">
        <f>IF(OR($A149="",NOT(ISNUMBER($E149))),"",$E149-Config!$B$4)</f>
        <v/>
      </c>
      <c r="N149" s="49" t="str">
        <f>IF($M149="","",IF($M149&lt;0,"Expired",IF($M149&lt;=Config!$B$6,"&lt;="&amp;Config!$B$6,IF($M149&lt;=Config!$B$7,(Config!$B$6+1)&amp;"-"&amp;Config!$B$7,IF($M149&lt;=Config!$B$8,(Config!$B$7+1)&amp;"-"&amp;Config!$B$8,"&gt;"&amp;Config!$B$8)))))</f>
        <v/>
      </c>
      <c r="O149" s="52" t="str">
        <f>IF($M149="","",IF($M149&lt;0,0,IF($M149&lt;=Config!$B$6,1,IF($M149&lt;=Config!$B$7,2,IF($M149&lt;=Config!$B$8,3,4)))))</f>
        <v/>
      </c>
      <c r="P149" s="50" t="str">
        <f>IF($A149="","",IF($L149&lt;=0,0,IF(OR(IFERROR(INDEX(Config!$F$15:$F$34,MATCH($G149,Config!$E$15:$E$34,0)),"No")="Yes",AND(Config!$B$10="Yes",ISNUMBER($M149),$M149&lt;0)),$L149,0)))</f>
        <v/>
      </c>
      <c r="Q149" s="52" t="str">
        <f>IF($A149="","",IF(AND($L149&gt;0,ISNUMBER($M149)),IF($M149&lt;=Config!$B$8,1,0),0))</f>
        <v/>
      </c>
      <c r="R149" s="52" t="str">
        <f>IF($Q149=1,COUNTIFS($Q$2:$Q$301,1,$E$2:$E$301,"&lt;"&amp;$E149)+COUNTIFS($Q$2:$Q149,1,$E$2:$E149,$E149),"")</f>
        <v/>
      </c>
      <c r="S149" s="49" t="str">
        <f>IF(COUNTA($A149:$I149)=0,"",IF($A149="","Missing: lot",IF(COUNTIF($A$2:$A$301,$A149)&gt;1,"Duplicate lot",IF($B149="","Missing: SKU",IF(NOT(ISNUMBER($E149)),"Missing: expiry date",IF($G149="","Missing: status",IF(COUNTIF(Products!$A$2:$A$101,$B149)=0,"Unknown SKU",IF(AND($C149&lt;&gt;"",COUNTIF(Suppliers!$A$2:$A$51,$C149)=0),"Unknown supplier",IF(COUNTIF(Config!$E$15:$E$34,$G149)=0,"Unsupported status",IF($L149&lt;0,"Negative lot balance",IF(AND($G149="Closed",$L149&lt;&gt;0),"Closed lot still has stock","OK")))))))))))</f>
        <v/>
      </c>
    </row>
    <row r="150">
      <c r="A150" s="46" t="n"/>
      <c r="B150" s="46" t="n"/>
      <c r="C150" s="46" t="n"/>
      <c r="D150" s="54" t="n"/>
      <c r="E150" s="54" t="n"/>
      <c r="F150" s="48" t="n"/>
      <c r="G150" s="46" t="n"/>
      <c r="H150" s="46" t="n"/>
      <c r="I150" s="46" t="n"/>
      <c r="J150" s="49" t="str">
        <f>IF($A150="","",IFERROR(INDEX(Products!$B$2:$B$101,MATCH($B150,Products!$A$2:$A$101,0))&amp;"","(not found)"))</f>
        <v/>
      </c>
      <c r="K150" s="51" t="str">
        <f>IF($A150="","",SUMIFS(Inventory_Ledger!$M$2:$M$2001,Inventory_Ledger!$F$2:$F$2001,$A150))</f>
        <v/>
      </c>
      <c r="L150" s="51" t="str">
        <f>IF($A150="","",IF(ISNUMBER($F150),$F150,0)+$K150)</f>
        <v/>
      </c>
      <c r="M150" s="56" t="str">
        <f>IF(OR($A150="",NOT(ISNUMBER($E150))),"",$E150-Config!$B$4)</f>
        <v/>
      </c>
      <c r="N150" s="49" t="str">
        <f>IF($M150="","",IF($M150&lt;0,"Expired",IF($M150&lt;=Config!$B$6,"&lt;="&amp;Config!$B$6,IF($M150&lt;=Config!$B$7,(Config!$B$6+1)&amp;"-"&amp;Config!$B$7,IF($M150&lt;=Config!$B$8,(Config!$B$7+1)&amp;"-"&amp;Config!$B$8,"&gt;"&amp;Config!$B$8)))))</f>
        <v/>
      </c>
      <c r="O150" s="52" t="str">
        <f>IF($M150="","",IF($M150&lt;0,0,IF($M150&lt;=Config!$B$6,1,IF($M150&lt;=Config!$B$7,2,IF($M150&lt;=Config!$B$8,3,4)))))</f>
        <v/>
      </c>
      <c r="P150" s="50" t="str">
        <f>IF($A150="","",IF($L150&lt;=0,0,IF(OR(IFERROR(INDEX(Config!$F$15:$F$34,MATCH($G150,Config!$E$15:$E$34,0)),"No")="Yes",AND(Config!$B$10="Yes",ISNUMBER($M150),$M150&lt;0)),$L150,0)))</f>
        <v/>
      </c>
      <c r="Q150" s="52" t="str">
        <f>IF($A150="","",IF(AND($L150&gt;0,ISNUMBER($M150)),IF($M150&lt;=Config!$B$8,1,0),0))</f>
        <v/>
      </c>
      <c r="R150" s="52" t="str">
        <f>IF($Q150=1,COUNTIFS($Q$2:$Q$301,1,$E$2:$E$301,"&lt;"&amp;$E150)+COUNTIFS($Q$2:$Q150,1,$E$2:$E150,$E150),"")</f>
        <v/>
      </c>
      <c r="S150" s="49" t="str">
        <f>IF(COUNTA($A150:$I150)=0,"",IF($A150="","Missing: lot",IF(COUNTIF($A$2:$A$301,$A150)&gt;1,"Duplicate lot",IF($B150="","Missing: SKU",IF(NOT(ISNUMBER($E150)),"Missing: expiry date",IF($G150="","Missing: status",IF(COUNTIF(Products!$A$2:$A$101,$B150)=0,"Unknown SKU",IF(AND($C150&lt;&gt;"",COUNTIF(Suppliers!$A$2:$A$51,$C150)=0),"Unknown supplier",IF(COUNTIF(Config!$E$15:$E$34,$G150)=0,"Unsupported status",IF($L150&lt;0,"Negative lot balance",IF(AND($G150="Closed",$L150&lt;&gt;0),"Closed lot still has stock","OK")))))))))))</f>
        <v/>
      </c>
    </row>
    <row r="151">
      <c r="A151" s="46" t="n"/>
      <c r="B151" s="46" t="n"/>
      <c r="C151" s="46" t="n"/>
      <c r="D151" s="54" t="n"/>
      <c r="E151" s="54" t="n"/>
      <c r="F151" s="48" t="n"/>
      <c r="G151" s="46" t="n"/>
      <c r="H151" s="46" t="n"/>
      <c r="I151" s="46" t="n"/>
      <c r="J151" s="49" t="str">
        <f>IF($A151="","",IFERROR(INDEX(Products!$B$2:$B$101,MATCH($B151,Products!$A$2:$A$101,0))&amp;"","(not found)"))</f>
        <v/>
      </c>
      <c r="K151" s="51" t="str">
        <f>IF($A151="","",SUMIFS(Inventory_Ledger!$M$2:$M$2001,Inventory_Ledger!$F$2:$F$2001,$A151))</f>
        <v/>
      </c>
      <c r="L151" s="51" t="str">
        <f>IF($A151="","",IF(ISNUMBER($F151),$F151,0)+$K151)</f>
        <v/>
      </c>
      <c r="M151" s="56" t="str">
        <f>IF(OR($A151="",NOT(ISNUMBER($E151))),"",$E151-Config!$B$4)</f>
        <v/>
      </c>
      <c r="N151" s="49" t="str">
        <f>IF($M151="","",IF($M151&lt;0,"Expired",IF($M151&lt;=Config!$B$6,"&lt;="&amp;Config!$B$6,IF($M151&lt;=Config!$B$7,(Config!$B$6+1)&amp;"-"&amp;Config!$B$7,IF($M151&lt;=Config!$B$8,(Config!$B$7+1)&amp;"-"&amp;Config!$B$8,"&gt;"&amp;Config!$B$8)))))</f>
        <v/>
      </c>
      <c r="O151" s="52" t="str">
        <f>IF($M151="","",IF($M151&lt;0,0,IF($M151&lt;=Config!$B$6,1,IF($M151&lt;=Config!$B$7,2,IF($M151&lt;=Config!$B$8,3,4)))))</f>
        <v/>
      </c>
      <c r="P151" s="50" t="str">
        <f>IF($A151="","",IF($L151&lt;=0,0,IF(OR(IFERROR(INDEX(Config!$F$15:$F$34,MATCH($G151,Config!$E$15:$E$34,0)),"No")="Yes",AND(Config!$B$10="Yes",ISNUMBER($M151),$M151&lt;0)),$L151,0)))</f>
        <v/>
      </c>
      <c r="Q151" s="52" t="str">
        <f>IF($A151="","",IF(AND($L151&gt;0,ISNUMBER($M151)),IF($M151&lt;=Config!$B$8,1,0),0))</f>
        <v/>
      </c>
      <c r="R151" s="52" t="str">
        <f>IF($Q151=1,COUNTIFS($Q$2:$Q$301,1,$E$2:$E$301,"&lt;"&amp;$E151)+COUNTIFS($Q$2:$Q151,1,$E$2:$E151,$E151),"")</f>
        <v/>
      </c>
      <c r="S151" s="49" t="str">
        <f>IF(COUNTA($A151:$I151)=0,"",IF($A151="","Missing: lot",IF(COUNTIF($A$2:$A$301,$A151)&gt;1,"Duplicate lot",IF($B151="","Missing: SKU",IF(NOT(ISNUMBER($E151)),"Missing: expiry date",IF($G151="","Missing: status",IF(COUNTIF(Products!$A$2:$A$101,$B151)=0,"Unknown SKU",IF(AND($C151&lt;&gt;"",COUNTIF(Suppliers!$A$2:$A$51,$C151)=0),"Unknown supplier",IF(COUNTIF(Config!$E$15:$E$34,$G151)=0,"Unsupported status",IF($L151&lt;0,"Negative lot balance",IF(AND($G151="Closed",$L151&lt;&gt;0),"Closed lot still has stock","OK")))))))))))</f>
        <v/>
      </c>
    </row>
    <row r="152">
      <c r="A152" s="46" t="n"/>
      <c r="B152" s="46" t="n"/>
      <c r="C152" s="46" t="n"/>
      <c r="D152" s="54" t="n"/>
      <c r="E152" s="54" t="n"/>
      <c r="F152" s="48" t="n"/>
      <c r="G152" s="46" t="n"/>
      <c r="H152" s="46" t="n"/>
      <c r="I152" s="46" t="n"/>
      <c r="J152" s="49" t="str">
        <f>IF($A152="","",IFERROR(INDEX(Products!$B$2:$B$101,MATCH($B152,Products!$A$2:$A$101,0))&amp;"","(not found)"))</f>
        <v/>
      </c>
      <c r="K152" s="51" t="str">
        <f>IF($A152="","",SUMIFS(Inventory_Ledger!$M$2:$M$2001,Inventory_Ledger!$F$2:$F$2001,$A152))</f>
        <v/>
      </c>
      <c r="L152" s="51" t="str">
        <f>IF($A152="","",IF(ISNUMBER($F152),$F152,0)+$K152)</f>
        <v/>
      </c>
      <c r="M152" s="56" t="str">
        <f>IF(OR($A152="",NOT(ISNUMBER($E152))),"",$E152-Config!$B$4)</f>
        <v/>
      </c>
      <c r="N152" s="49" t="str">
        <f>IF($M152="","",IF($M152&lt;0,"Expired",IF($M152&lt;=Config!$B$6,"&lt;="&amp;Config!$B$6,IF($M152&lt;=Config!$B$7,(Config!$B$6+1)&amp;"-"&amp;Config!$B$7,IF($M152&lt;=Config!$B$8,(Config!$B$7+1)&amp;"-"&amp;Config!$B$8,"&gt;"&amp;Config!$B$8)))))</f>
        <v/>
      </c>
      <c r="O152" s="52" t="str">
        <f>IF($M152="","",IF($M152&lt;0,0,IF($M152&lt;=Config!$B$6,1,IF($M152&lt;=Config!$B$7,2,IF($M152&lt;=Config!$B$8,3,4)))))</f>
        <v/>
      </c>
      <c r="P152" s="50" t="str">
        <f>IF($A152="","",IF($L152&lt;=0,0,IF(OR(IFERROR(INDEX(Config!$F$15:$F$34,MATCH($G152,Config!$E$15:$E$34,0)),"No")="Yes",AND(Config!$B$10="Yes",ISNUMBER($M152),$M152&lt;0)),$L152,0)))</f>
        <v/>
      </c>
      <c r="Q152" s="52" t="str">
        <f>IF($A152="","",IF(AND($L152&gt;0,ISNUMBER($M152)),IF($M152&lt;=Config!$B$8,1,0),0))</f>
        <v/>
      </c>
      <c r="R152" s="52" t="str">
        <f>IF($Q152=1,COUNTIFS($Q$2:$Q$301,1,$E$2:$E$301,"&lt;"&amp;$E152)+COUNTIFS($Q$2:$Q152,1,$E$2:$E152,$E152),"")</f>
        <v/>
      </c>
      <c r="S152" s="49" t="str">
        <f>IF(COUNTA($A152:$I152)=0,"",IF($A152="","Missing: lot",IF(COUNTIF($A$2:$A$301,$A152)&gt;1,"Duplicate lot",IF($B152="","Missing: SKU",IF(NOT(ISNUMBER($E152)),"Missing: expiry date",IF($G152="","Missing: status",IF(COUNTIF(Products!$A$2:$A$101,$B152)=0,"Unknown SKU",IF(AND($C152&lt;&gt;"",COUNTIF(Suppliers!$A$2:$A$51,$C152)=0),"Unknown supplier",IF(COUNTIF(Config!$E$15:$E$34,$G152)=0,"Unsupported status",IF($L152&lt;0,"Negative lot balance",IF(AND($G152="Closed",$L152&lt;&gt;0),"Closed lot still has stock","OK")))))))))))</f>
        <v/>
      </c>
    </row>
    <row r="153">
      <c r="A153" s="46" t="n"/>
      <c r="B153" s="46" t="n"/>
      <c r="C153" s="46" t="n"/>
      <c r="D153" s="54" t="n"/>
      <c r="E153" s="54" t="n"/>
      <c r="F153" s="48" t="n"/>
      <c r="G153" s="46" t="n"/>
      <c r="H153" s="46" t="n"/>
      <c r="I153" s="46" t="n"/>
      <c r="J153" s="49" t="str">
        <f>IF($A153="","",IFERROR(INDEX(Products!$B$2:$B$101,MATCH($B153,Products!$A$2:$A$101,0))&amp;"","(not found)"))</f>
        <v/>
      </c>
      <c r="K153" s="51" t="str">
        <f>IF($A153="","",SUMIFS(Inventory_Ledger!$M$2:$M$2001,Inventory_Ledger!$F$2:$F$2001,$A153))</f>
        <v/>
      </c>
      <c r="L153" s="51" t="str">
        <f>IF($A153="","",IF(ISNUMBER($F153),$F153,0)+$K153)</f>
        <v/>
      </c>
      <c r="M153" s="56" t="str">
        <f>IF(OR($A153="",NOT(ISNUMBER($E153))),"",$E153-Config!$B$4)</f>
        <v/>
      </c>
      <c r="N153" s="49" t="str">
        <f>IF($M153="","",IF($M153&lt;0,"Expired",IF($M153&lt;=Config!$B$6,"&lt;="&amp;Config!$B$6,IF($M153&lt;=Config!$B$7,(Config!$B$6+1)&amp;"-"&amp;Config!$B$7,IF($M153&lt;=Config!$B$8,(Config!$B$7+1)&amp;"-"&amp;Config!$B$8,"&gt;"&amp;Config!$B$8)))))</f>
        <v/>
      </c>
      <c r="O153" s="52" t="str">
        <f>IF($M153="","",IF($M153&lt;0,0,IF($M153&lt;=Config!$B$6,1,IF($M153&lt;=Config!$B$7,2,IF($M153&lt;=Config!$B$8,3,4)))))</f>
        <v/>
      </c>
      <c r="P153" s="50" t="str">
        <f>IF($A153="","",IF($L153&lt;=0,0,IF(OR(IFERROR(INDEX(Config!$F$15:$F$34,MATCH($G153,Config!$E$15:$E$34,0)),"No")="Yes",AND(Config!$B$10="Yes",ISNUMBER($M153),$M153&lt;0)),$L153,0)))</f>
        <v/>
      </c>
      <c r="Q153" s="52" t="str">
        <f>IF($A153="","",IF(AND($L153&gt;0,ISNUMBER($M153)),IF($M153&lt;=Config!$B$8,1,0),0))</f>
        <v/>
      </c>
      <c r="R153" s="52" t="str">
        <f>IF($Q153=1,COUNTIFS($Q$2:$Q$301,1,$E$2:$E$301,"&lt;"&amp;$E153)+COUNTIFS($Q$2:$Q153,1,$E$2:$E153,$E153),"")</f>
        <v/>
      </c>
      <c r="S153" s="49" t="str">
        <f>IF(COUNTA($A153:$I153)=0,"",IF($A153="","Missing: lot",IF(COUNTIF($A$2:$A$301,$A153)&gt;1,"Duplicate lot",IF($B153="","Missing: SKU",IF(NOT(ISNUMBER($E153)),"Missing: expiry date",IF($G153="","Missing: status",IF(COUNTIF(Products!$A$2:$A$101,$B153)=0,"Unknown SKU",IF(AND($C153&lt;&gt;"",COUNTIF(Suppliers!$A$2:$A$51,$C153)=0),"Unknown supplier",IF(COUNTIF(Config!$E$15:$E$34,$G153)=0,"Unsupported status",IF($L153&lt;0,"Negative lot balance",IF(AND($G153="Closed",$L153&lt;&gt;0),"Closed lot still has stock","OK")))))))))))</f>
        <v/>
      </c>
    </row>
    <row r="154">
      <c r="A154" s="46" t="n"/>
      <c r="B154" s="46" t="n"/>
      <c r="C154" s="46" t="n"/>
      <c r="D154" s="54" t="n"/>
      <c r="E154" s="54" t="n"/>
      <c r="F154" s="48" t="n"/>
      <c r="G154" s="46" t="n"/>
      <c r="H154" s="46" t="n"/>
      <c r="I154" s="46" t="n"/>
      <c r="J154" s="49" t="str">
        <f>IF($A154="","",IFERROR(INDEX(Products!$B$2:$B$101,MATCH($B154,Products!$A$2:$A$101,0))&amp;"","(not found)"))</f>
        <v/>
      </c>
      <c r="K154" s="51" t="str">
        <f>IF($A154="","",SUMIFS(Inventory_Ledger!$M$2:$M$2001,Inventory_Ledger!$F$2:$F$2001,$A154))</f>
        <v/>
      </c>
      <c r="L154" s="51" t="str">
        <f>IF($A154="","",IF(ISNUMBER($F154),$F154,0)+$K154)</f>
        <v/>
      </c>
      <c r="M154" s="56" t="str">
        <f>IF(OR($A154="",NOT(ISNUMBER($E154))),"",$E154-Config!$B$4)</f>
        <v/>
      </c>
      <c r="N154" s="49" t="str">
        <f>IF($M154="","",IF($M154&lt;0,"Expired",IF($M154&lt;=Config!$B$6,"&lt;="&amp;Config!$B$6,IF($M154&lt;=Config!$B$7,(Config!$B$6+1)&amp;"-"&amp;Config!$B$7,IF($M154&lt;=Config!$B$8,(Config!$B$7+1)&amp;"-"&amp;Config!$B$8,"&gt;"&amp;Config!$B$8)))))</f>
        <v/>
      </c>
      <c r="O154" s="52" t="str">
        <f>IF($M154="","",IF($M154&lt;0,0,IF($M154&lt;=Config!$B$6,1,IF($M154&lt;=Config!$B$7,2,IF($M154&lt;=Config!$B$8,3,4)))))</f>
        <v/>
      </c>
      <c r="P154" s="50" t="str">
        <f>IF($A154="","",IF($L154&lt;=0,0,IF(OR(IFERROR(INDEX(Config!$F$15:$F$34,MATCH($G154,Config!$E$15:$E$34,0)),"No")="Yes",AND(Config!$B$10="Yes",ISNUMBER($M154),$M154&lt;0)),$L154,0)))</f>
        <v/>
      </c>
      <c r="Q154" s="52" t="str">
        <f>IF($A154="","",IF(AND($L154&gt;0,ISNUMBER($M154)),IF($M154&lt;=Config!$B$8,1,0),0))</f>
        <v/>
      </c>
      <c r="R154" s="52" t="str">
        <f>IF($Q154=1,COUNTIFS($Q$2:$Q$301,1,$E$2:$E$301,"&lt;"&amp;$E154)+COUNTIFS($Q$2:$Q154,1,$E$2:$E154,$E154),"")</f>
        <v/>
      </c>
      <c r="S154" s="49" t="str">
        <f>IF(COUNTA($A154:$I154)=0,"",IF($A154="","Missing: lot",IF(COUNTIF($A$2:$A$301,$A154)&gt;1,"Duplicate lot",IF($B154="","Missing: SKU",IF(NOT(ISNUMBER($E154)),"Missing: expiry date",IF($G154="","Missing: status",IF(COUNTIF(Products!$A$2:$A$101,$B154)=0,"Unknown SKU",IF(AND($C154&lt;&gt;"",COUNTIF(Suppliers!$A$2:$A$51,$C154)=0),"Unknown supplier",IF(COUNTIF(Config!$E$15:$E$34,$G154)=0,"Unsupported status",IF($L154&lt;0,"Negative lot balance",IF(AND($G154="Closed",$L154&lt;&gt;0),"Closed lot still has stock","OK")))))))))))</f>
        <v/>
      </c>
    </row>
    <row r="155">
      <c r="A155" s="46" t="n"/>
      <c r="B155" s="46" t="n"/>
      <c r="C155" s="46" t="n"/>
      <c r="D155" s="54" t="n"/>
      <c r="E155" s="54" t="n"/>
      <c r="F155" s="48" t="n"/>
      <c r="G155" s="46" t="n"/>
      <c r="H155" s="46" t="n"/>
      <c r="I155" s="46" t="n"/>
      <c r="J155" s="49" t="str">
        <f>IF($A155="","",IFERROR(INDEX(Products!$B$2:$B$101,MATCH($B155,Products!$A$2:$A$101,0))&amp;"","(not found)"))</f>
        <v/>
      </c>
      <c r="K155" s="51" t="str">
        <f>IF($A155="","",SUMIFS(Inventory_Ledger!$M$2:$M$2001,Inventory_Ledger!$F$2:$F$2001,$A155))</f>
        <v/>
      </c>
      <c r="L155" s="51" t="str">
        <f>IF($A155="","",IF(ISNUMBER($F155),$F155,0)+$K155)</f>
        <v/>
      </c>
      <c r="M155" s="56" t="str">
        <f>IF(OR($A155="",NOT(ISNUMBER($E155))),"",$E155-Config!$B$4)</f>
        <v/>
      </c>
      <c r="N155" s="49" t="str">
        <f>IF($M155="","",IF($M155&lt;0,"Expired",IF($M155&lt;=Config!$B$6,"&lt;="&amp;Config!$B$6,IF($M155&lt;=Config!$B$7,(Config!$B$6+1)&amp;"-"&amp;Config!$B$7,IF($M155&lt;=Config!$B$8,(Config!$B$7+1)&amp;"-"&amp;Config!$B$8,"&gt;"&amp;Config!$B$8)))))</f>
        <v/>
      </c>
      <c r="O155" s="52" t="str">
        <f>IF($M155="","",IF($M155&lt;0,0,IF($M155&lt;=Config!$B$6,1,IF($M155&lt;=Config!$B$7,2,IF($M155&lt;=Config!$B$8,3,4)))))</f>
        <v/>
      </c>
      <c r="P155" s="50" t="str">
        <f>IF($A155="","",IF($L155&lt;=0,0,IF(OR(IFERROR(INDEX(Config!$F$15:$F$34,MATCH($G155,Config!$E$15:$E$34,0)),"No")="Yes",AND(Config!$B$10="Yes",ISNUMBER($M155),$M155&lt;0)),$L155,0)))</f>
        <v/>
      </c>
      <c r="Q155" s="52" t="str">
        <f>IF($A155="","",IF(AND($L155&gt;0,ISNUMBER($M155)),IF($M155&lt;=Config!$B$8,1,0),0))</f>
        <v/>
      </c>
      <c r="R155" s="52" t="str">
        <f>IF($Q155=1,COUNTIFS($Q$2:$Q$301,1,$E$2:$E$301,"&lt;"&amp;$E155)+COUNTIFS($Q$2:$Q155,1,$E$2:$E155,$E155),"")</f>
        <v/>
      </c>
      <c r="S155" s="49" t="str">
        <f>IF(COUNTA($A155:$I155)=0,"",IF($A155="","Missing: lot",IF(COUNTIF($A$2:$A$301,$A155)&gt;1,"Duplicate lot",IF($B155="","Missing: SKU",IF(NOT(ISNUMBER($E155)),"Missing: expiry date",IF($G155="","Missing: status",IF(COUNTIF(Products!$A$2:$A$101,$B155)=0,"Unknown SKU",IF(AND($C155&lt;&gt;"",COUNTIF(Suppliers!$A$2:$A$51,$C155)=0),"Unknown supplier",IF(COUNTIF(Config!$E$15:$E$34,$G155)=0,"Unsupported status",IF($L155&lt;0,"Negative lot balance",IF(AND($G155="Closed",$L155&lt;&gt;0),"Closed lot still has stock","OK")))))))))))</f>
        <v/>
      </c>
    </row>
    <row r="156">
      <c r="A156" s="46" t="n"/>
      <c r="B156" s="46" t="n"/>
      <c r="C156" s="46" t="n"/>
      <c r="D156" s="54" t="n"/>
      <c r="E156" s="54" t="n"/>
      <c r="F156" s="48" t="n"/>
      <c r="G156" s="46" t="n"/>
      <c r="H156" s="46" t="n"/>
      <c r="I156" s="46" t="n"/>
      <c r="J156" s="49" t="str">
        <f>IF($A156="","",IFERROR(INDEX(Products!$B$2:$B$101,MATCH($B156,Products!$A$2:$A$101,0))&amp;"","(not found)"))</f>
        <v/>
      </c>
      <c r="K156" s="51" t="str">
        <f>IF($A156="","",SUMIFS(Inventory_Ledger!$M$2:$M$2001,Inventory_Ledger!$F$2:$F$2001,$A156))</f>
        <v/>
      </c>
      <c r="L156" s="51" t="str">
        <f>IF($A156="","",IF(ISNUMBER($F156),$F156,0)+$K156)</f>
        <v/>
      </c>
      <c r="M156" s="56" t="str">
        <f>IF(OR($A156="",NOT(ISNUMBER($E156))),"",$E156-Config!$B$4)</f>
        <v/>
      </c>
      <c r="N156" s="49" t="str">
        <f>IF($M156="","",IF($M156&lt;0,"Expired",IF($M156&lt;=Config!$B$6,"&lt;="&amp;Config!$B$6,IF($M156&lt;=Config!$B$7,(Config!$B$6+1)&amp;"-"&amp;Config!$B$7,IF($M156&lt;=Config!$B$8,(Config!$B$7+1)&amp;"-"&amp;Config!$B$8,"&gt;"&amp;Config!$B$8)))))</f>
        <v/>
      </c>
      <c r="O156" s="52" t="str">
        <f>IF($M156="","",IF($M156&lt;0,0,IF($M156&lt;=Config!$B$6,1,IF($M156&lt;=Config!$B$7,2,IF($M156&lt;=Config!$B$8,3,4)))))</f>
        <v/>
      </c>
      <c r="P156" s="50" t="str">
        <f>IF($A156="","",IF($L156&lt;=0,0,IF(OR(IFERROR(INDEX(Config!$F$15:$F$34,MATCH($G156,Config!$E$15:$E$34,0)),"No")="Yes",AND(Config!$B$10="Yes",ISNUMBER($M156),$M156&lt;0)),$L156,0)))</f>
        <v/>
      </c>
      <c r="Q156" s="52" t="str">
        <f>IF($A156="","",IF(AND($L156&gt;0,ISNUMBER($M156)),IF($M156&lt;=Config!$B$8,1,0),0))</f>
        <v/>
      </c>
      <c r="R156" s="52" t="str">
        <f>IF($Q156=1,COUNTIFS($Q$2:$Q$301,1,$E$2:$E$301,"&lt;"&amp;$E156)+COUNTIFS($Q$2:$Q156,1,$E$2:$E156,$E156),"")</f>
        <v/>
      </c>
      <c r="S156" s="49" t="str">
        <f>IF(COUNTA($A156:$I156)=0,"",IF($A156="","Missing: lot",IF(COUNTIF($A$2:$A$301,$A156)&gt;1,"Duplicate lot",IF($B156="","Missing: SKU",IF(NOT(ISNUMBER($E156)),"Missing: expiry date",IF($G156="","Missing: status",IF(COUNTIF(Products!$A$2:$A$101,$B156)=0,"Unknown SKU",IF(AND($C156&lt;&gt;"",COUNTIF(Suppliers!$A$2:$A$51,$C156)=0),"Unknown supplier",IF(COUNTIF(Config!$E$15:$E$34,$G156)=0,"Unsupported status",IF($L156&lt;0,"Negative lot balance",IF(AND($G156="Closed",$L156&lt;&gt;0),"Closed lot still has stock","OK")))))))))))</f>
        <v/>
      </c>
    </row>
    <row r="157">
      <c r="A157" s="46" t="n"/>
      <c r="B157" s="46" t="n"/>
      <c r="C157" s="46" t="n"/>
      <c r="D157" s="54" t="n"/>
      <c r="E157" s="54" t="n"/>
      <c r="F157" s="48" t="n"/>
      <c r="G157" s="46" t="n"/>
      <c r="H157" s="46" t="n"/>
      <c r="I157" s="46" t="n"/>
      <c r="J157" s="49" t="str">
        <f>IF($A157="","",IFERROR(INDEX(Products!$B$2:$B$101,MATCH($B157,Products!$A$2:$A$101,0))&amp;"","(not found)"))</f>
        <v/>
      </c>
      <c r="K157" s="51" t="str">
        <f>IF($A157="","",SUMIFS(Inventory_Ledger!$M$2:$M$2001,Inventory_Ledger!$F$2:$F$2001,$A157))</f>
        <v/>
      </c>
      <c r="L157" s="51" t="str">
        <f>IF($A157="","",IF(ISNUMBER($F157),$F157,0)+$K157)</f>
        <v/>
      </c>
      <c r="M157" s="56" t="str">
        <f>IF(OR($A157="",NOT(ISNUMBER($E157))),"",$E157-Config!$B$4)</f>
        <v/>
      </c>
      <c r="N157" s="49" t="str">
        <f>IF($M157="","",IF($M157&lt;0,"Expired",IF($M157&lt;=Config!$B$6,"&lt;="&amp;Config!$B$6,IF($M157&lt;=Config!$B$7,(Config!$B$6+1)&amp;"-"&amp;Config!$B$7,IF($M157&lt;=Config!$B$8,(Config!$B$7+1)&amp;"-"&amp;Config!$B$8,"&gt;"&amp;Config!$B$8)))))</f>
        <v/>
      </c>
      <c r="O157" s="52" t="str">
        <f>IF($M157="","",IF($M157&lt;0,0,IF($M157&lt;=Config!$B$6,1,IF($M157&lt;=Config!$B$7,2,IF($M157&lt;=Config!$B$8,3,4)))))</f>
        <v/>
      </c>
      <c r="P157" s="50" t="str">
        <f>IF($A157="","",IF($L157&lt;=0,0,IF(OR(IFERROR(INDEX(Config!$F$15:$F$34,MATCH($G157,Config!$E$15:$E$34,0)),"No")="Yes",AND(Config!$B$10="Yes",ISNUMBER($M157),$M157&lt;0)),$L157,0)))</f>
        <v/>
      </c>
      <c r="Q157" s="52" t="str">
        <f>IF($A157="","",IF(AND($L157&gt;0,ISNUMBER($M157)),IF($M157&lt;=Config!$B$8,1,0),0))</f>
        <v/>
      </c>
      <c r="R157" s="52" t="str">
        <f>IF($Q157=1,COUNTIFS($Q$2:$Q$301,1,$E$2:$E$301,"&lt;"&amp;$E157)+COUNTIFS($Q$2:$Q157,1,$E$2:$E157,$E157),"")</f>
        <v/>
      </c>
      <c r="S157" s="49" t="str">
        <f>IF(COUNTA($A157:$I157)=0,"",IF($A157="","Missing: lot",IF(COUNTIF($A$2:$A$301,$A157)&gt;1,"Duplicate lot",IF($B157="","Missing: SKU",IF(NOT(ISNUMBER($E157)),"Missing: expiry date",IF($G157="","Missing: status",IF(COUNTIF(Products!$A$2:$A$101,$B157)=0,"Unknown SKU",IF(AND($C157&lt;&gt;"",COUNTIF(Suppliers!$A$2:$A$51,$C157)=0),"Unknown supplier",IF(COUNTIF(Config!$E$15:$E$34,$G157)=0,"Unsupported status",IF($L157&lt;0,"Negative lot balance",IF(AND($G157="Closed",$L157&lt;&gt;0),"Closed lot still has stock","OK")))))))))))</f>
        <v/>
      </c>
    </row>
    <row r="158">
      <c r="A158" s="46" t="n"/>
      <c r="B158" s="46" t="n"/>
      <c r="C158" s="46" t="n"/>
      <c r="D158" s="54" t="n"/>
      <c r="E158" s="54" t="n"/>
      <c r="F158" s="48" t="n"/>
      <c r="G158" s="46" t="n"/>
      <c r="H158" s="46" t="n"/>
      <c r="I158" s="46" t="n"/>
      <c r="J158" s="49" t="str">
        <f>IF($A158="","",IFERROR(INDEX(Products!$B$2:$B$101,MATCH($B158,Products!$A$2:$A$101,0))&amp;"","(not found)"))</f>
        <v/>
      </c>
      <c r="K158" s="51" t="str">
        <f>IF($A158="","",SUMIFS(Inventory_Ledger!$M$2:$M$2001,Inventory_Ledger!$F$2:$F$2001,$A158))</f>
        <v/>
      </c>
      <c r="L158" s="51" t="str">
        <f>IF($A158="","",IF(ISNUMBER($F158),$F158,0)+$K158)</f>
        <v/>
      </c>
      <c r="M158" s="56" t="str">
        <f>IF(OR($A158="",NOT(ISNUMBER($E158))),"",$E158-Config!$B$4)</f>
        <v/>
      </c>
      <c r="N158" s="49" t="str">
        <f>IF($M158="","",IF($M158&lt;0,"Expired",IF($M158&lt;=Config!$B$6,"&lt;="&amp;Config!$B$6,IF($M158&lt;=Config!$B$7,(Config!$B$6+1)&amp;"-"&amp;Config!$B$7,IF($M158&lt;=Config!$B$8,(Config!$B$7+1)&amp;"-"&amp;Config!$B$8,"&gt;"&amp;Config!$B$8)))))</f>
        <v/>
      </c>
      <c r="O158" s="52" t="str">
        <f>IF($M158="","",IF($M158&lt;0,0,IF($M158&lt;=Config!$B$6,1,IF($M158&lt;=Config!$B$7,2,IF($M158&lt;=Config!$B$8,3,4)))))</f>
        <v/>
      </c>
      <c r="P158" s="50" t="str">
        <f>IF($A158="","",IF($L158&lt;=0,0,IF(OR(IFERROR(INDEX(Config!$F$15:$F$34,MATCH($G158,Config!$E$15:$E$34,0)),"No")="Yes",AND(Config!$B$10="Yes",ISNUMBER($M158),$M158&lt;0)),$L158,0)))</f>
        <v/>
      </c>
      <c r="Q158" s="52" t="str">
        <f>IF($A158="","",IF(AND($L158&gt;0,ISNUMBER($M158)),IF($M158&lt;=Config!$B$8,1,0),0))</f>
        <v/>
      </c>
      <c r="R158" s="52" t="str">
        <f>IF($Q158=1,COUNTIFS($Q$2:$Q$301,1,$E$2:$E$301,"&lt;"&amp;$E158)+COUNTIFS($Q$2:$Q158,1,$E$2:$E158,$E158),"")</f>
        <v/>
      </c>
      <c r="S158" s="49" t="str">
        <f>IF(COUNTA($A158:$I158)=0,"",IF($A158="","Missing: lot",IF(COUNTIF($A$2:$A$301,$A158)&gt;1,"Duplicate lot",IF($B158="","Missing: SKU",IF(NOT(ISNUMBER($E158)),"Missing: expiry date",IF($G158="","Missing: status",IF(COUNTIF(Products!$A$2:$A$101,$B158)=0,"Unknown SKU",IF(AND($C158&lt;&gt;"",COUNTIF(Suppliers!$A$2:$A$51,$C158)=0),"Unknown supplier",IF(COUNTIF(Config!$E$15:$E$34,$G158)=0,"Unsupported status",IF($L158&lt;0,"Negative lot balance",IF(AND($G158="Closed",$L158&lt;&gt;0),"Closed lot still has stock","OK")))))))))))</f>
        <v/>
      </c>
    </row>
    <row r="159">
      <c r="A159" s="46" t="n"/>
      <c r="B159" s="46" t="n"/>
      <c r="C159" s="46" t="n"/>
      <c r="D159" s="54" t="n"/>
      <c r="E159" s="54" t="n"/>
      <c r="F159" s="48" t="n"/>
      <c r="G159" s="46" t="n"/>
      <c r="H159" s="46" t="n"/>
      <c r="I159" s="46" t="n"/>
      <c r="J159" s="49" t="str">
        <f>IF($A159="","",IFERROR(INDEX(Products!$B$2:$B$101,MATCH($B159,Products!$A$2:$A$101,0))&amp;"","(not found)"))</f>
        <v/>
      </c>
      <c r="K159" s="51" t="str">
        <f>IF($A159="","",SUMIFS(Inventory_Ledger!$M$2:$M$2001,Inventory_Ledger!$F$2:$F$2001,$A159))</f>
        <v/>
      </c>
      <c r="L159" s="51" t="str">
        <f>IF($A159="","",IF(ISNUMBER($F159),$F159,0)+$K159)</f>
        <v/>
      </c>
      <c r="M159" s="56" t="str">
        <f>IF(OR($A159="",NOT(ISNUMBER($E159))),"",$E159-Config!$B$4)</f>
        <v/>
      </c>
      <c r="N159" s="49" t="str">
        <f>IF($M159="","",IF($M159&lt;0,"Expired",IF($M159&lt;=Config!$B$6,"&lt;="&amp;Config!$B$6,IF($M159&lt;=Config!$B$7,(Config!$B$6+1)&amp;"-"&amp;Config!$B$7,IF($M159&lt;=Config!$B$8,(Config!$B$7+1)&amp;"-"&amp;Config!$B$8,"&gt;"&amp;Config!$B$8)))))</f>
        <v/>
      </c>
      <c r="O159" s="52" t="str">
        <f>IF($M159="","",IF($M159&lt;0,0,IF($M159&lt;=Config!$B$6,1,IF($M159&lt;=Config!$B$7,2,IF($M159&lt;=Config!$B$8,3,4)))))</f>
        <v/>
      </c>
      <c r="P159" s="50" t="str">
        <f>IF($A159="","",IF($L159&lt;=0,0,IF(OR(IFERROR(INDEX(Config!$F$15:$F$34,MATCH($G159,Config!$E$15:$E$34,0)),"No")="Yes",AND(Config!$B$10="Yes",ISNUMBER($M159),$M159&lt;0)),$L159,0)))</f>
        <v/>
      </c>
      <c r="Q159" s="52" t="str">
        <f>IF($A159="","",IF(AND($L159&gt;0,ISNUMBER($M159)),IF($M159&lt;=Config!$B$8,1,0),0))</f>
        <v/>
      </c>
      <c r="R159" s="52" t="str">
        <f>IF($Q159=1,COUNTIFS($Q$2:$Q$301,1,$E$2:$E$301,"&lt;"&amp;$E159)+COUNTIFS($Q$2:$Q159,1,$E$2:$E159,$E159),"")</f>
        <v/>
      </c>
      <c r="S159" s="49" t="str">
        <f>IF(COUNTA($A159:$I159)=0,"",IF($A159="","Missing: lot",IF(COUNTIF($A$2:$A$301,$A159)&gt;1,"Duplicate lot",IF($B159="","Missing: SKU",IF(NOT(ISNUMBER($E159)),"Missing: expiry date",IF($G159="","Missing: status",IF(COUNTIF(Products!$A$2:$A$101,$B159)=0,"Unknown SKU",IF(AND($C159&lt;&gt;"",COUNTIF(Suppliers!$A$2:$A$51,$C159)=0),"Unknown supplier",IF(COUNTIF(Config!$E$15:$E$34,$G159)=0,"Unsupported status",IF($L159&lt;0,"Negative lot balance",IF(AND($G159="Closed",$L159&lt;&gt;0),"Closed lot still has stock","OK")))))))))))</f>
        <v/>
      </c>
    </row>
    <row r="160">
      <c r="A160" s="46" t="n"/>
      <c r="B160" s="46" t="n"/>
      <c r="C160" s="46" t="n"/>
      <c r="D160" s="54" t="n"/>
      <c r="E160" s="54" t="n"/>
      <c r="F160" s="48" t="n"/>
      <c r="G160" s="46" t="n"/>
      <c r="H160" s="46" t="n"/>
      <c r="I160" s="46" t="n"/>
      <c r="J160" s="49" t="str">
        <f>IF($A160="","",IFERROR(INDEX(Products!$B$2:$B$101,MATCH($B160,Products!$A$2:$A$101,0))&amp;"","(not found)"))</f>
        <v/>
      </c>
      <c r="K160" s="51" t="str">
        <f>IF($A160="","",SUMIFS(Inventory_Ledger!$M$2:$M$2001,Inventory_Ledger!$F$2:$F$2001,$A160))</f>
        <v/>
      </c>
      <c r="L160" s="51" t="str">
        <f>IF($A160="","",IF(ISNUMBER($F160),$F160,0)+$K160)</f>
        <v/>
      </c>
      <c r="M160" s="56" t="str">
        <f>IF(OR($A160="",NOT(ISNUMBER($E160))),"",$E160-Config!$B$4)</f>
        <v/>
      </c>
      <c r="N160" s="49" t="str">
        <f>IF($M160="","",IF($M160&lt;0,"Expired",IF($M160&lt;=Config!$B$6,"&lt;="&amp;Config!$B$6,IF($M160&lt;=Config!$B$7,(Config!$B$6+1)&amp;"-"&amp;Config!$B$7,IF($M160&lt;=Config!$B$8,(Config!$B$7+1)&amp;"-"&amp;Config!$B$8,"&gt;"&amp;Config!$B$8)))))</f>
        <v/>
      </c>
      <c r="O160" s="52" t="str">
        <f>IF($M160="","",IF($M160&lt;0,0,IF($M160&lt;=Config!$B$6,1,IF($M160&lt;=Config!$B$7,2,IF($M160&lt;=Config!$B$8,3,4)))))</f>
        <v/>
      </c>
      <c r="P160" s="50" t="str">
        <f>IF($A160="","",IF($L160&lt;=0,0,IF(OR(IFERROR(INDEX(Config!$F$15:$F$34,MATCH($G160,Config!$E$15:$E$34,0)),"No")="Yes",AND(Config!$B$10="Yes",ISNUMBER($M160),$M160&lt;0)),$L160,0)))</f>
        <v/>
      </c>
      <c r="Q160" s="52" t="str">
        <f>IF($A160="","",IF(AND($L160&gt;0,ISNUMBER($M160)),IF($M160&lt;=Config!$B$8,1,0),0))</f>
        <v/>
      </c>
      <c r="R160" s="52" t="str">
        <f>IF($Q160=1,COUNTIFS($Q$2:$Q$301,1,$E$2:$E$301,"&lt;"&amp;$E160)+COUNTIFS($Q$2:$Q160,1,$E$2:$E160,$E160),"")</f>
        <v/>
      </c>
      <c r="S160" s="49" t="str">
        <f>IF(COUNTA($A160:$I160)=0,"",IF($A160="","Missing: lot",IF(COUNTIF($A$2:$A$301,$A160)&gt;1,"Duplicate lot",IF($B160="","Missing: SKU",IF(NOT(ISNUMBER($E160)),"Missing: expiry date",IF($G160="","Missing: status",IF(COUNTIF(Products!$A$2:$A$101,$B160)=0,"Unknown SKU",IF(AND($C160&lt;&gt;"",COUNTIF(Suppliers!$A$2:$A$51,$C160)=0),"Unknown supplier",IF(COUNTIF(Config!$E$15:$E$34,$G160)=0,"Unsupported status",IF($L160&lt;0,"Negative lot balance",IF(AND($G160="Closed",$L160&lt;&gt;0),"Closed lot still has stock","OK")))))))))))</f>
        <v/>
      </c>
    </row>
    <row r="161">
      <c r="A161" s="46" t="n"/>
      <c r="B161" s="46" t="n"/>
      <c r="C161" s="46" t="n"/>
      <c r="D161" s="54" t="n"/>
      <c r="E161" s="54" t="n"/>
      <c r="F161" s="48" t="n"/>
      <c r="G161" s="46" t="n"/>
      <c r="H161" s="46" t="n"/>
      <c r="I161" s="46" t="n"/>
      <c r="J161" s="49" t="str">
        <f>IF($A161="","",IFERROR(INDEX(Products!$B$2:$B$101,MATCH($B161,Products!$A$2:$A$101,0))&amp;"","(not found)"))</f>
        <v/>
      </c>
      <c r="K161" s="51" t="str">
        <f>IF($A161="","",SUMIFS(Inventory_Ledger!$M$2:$M$2001,Inventory_Ledger!$F$2:$F$2001,$A161))</f>
        <v/>
      </c>
      <c r="L161" s="51" t="str">
        <f>IF($A161="","",IF(ISNUMBER($F161),$F161,0)+$K161)</f>
        <v/>
      </c>
      <c r="M161" s="56" t="str">
        <f>IF(OR($A161="",NOT(ISNUMBER($E161))),"",$E161-Config!$B$4)</f>
        <v/>
      </c>
      <c r="N161" s="49" t="str">
        <f>IF($M161="","",IF($M161&lt;0,"Expired",IF($M161&lt;=Config!$B$6,"&lt;="&amp;Config!$B$6,IF($M161&lt;=Config!$B$7,(Config!$B$6+1)&amp;"-"&amp;Config!$B$7,IF($M161&lt;=Config!$B$8,(Config!$B$7+1)&amp;"-"&amp;Config!$B$8,"&gt;"&amp;Config!$B$8)))))</f>
        <v/>
      </c>
      <c r="O161" s="52" t="str">
        <f>IF($M161="","",IF($M161&lt;0,0,IF($M161&lt;=Config!$B$6,1,IF($M161&lt;=Config!$B$7,2,IF($M161&lt;=Config!$B$8,3,4)))))</f>
        <v/>
      </c>
      <c r="P161" s="50" t="str">
        <f>IF($A161="","",IF($L161&lt;=0,0,IF(OR(IFERROR(INDEX(Config!$F$15:$F$34,MATCH($G161,Config!$E$15:$E$34,0)),"No")="Yes",AND(Config!$B$10="Yes",ISNUMBER($M161),$M161&lt;0)),$L161,0)))</f>
        <v/>
      </c>
      <c r="Q161" s="52" t="str">
        <f>IF($A161="","",IF(AND($L161&gt;0,ISNUMBER($M161)),IF($M161&lt;=Config!$B$8,1,0),0))</f>
        <v/>
      </c>
      <c r="R161" s="52" t="str">
        <f>IF($Q161=1,COUNTIFS($Q$2:$Q$301,1,$E$2:$E$301,"&lt;"&amp;$E161)+COUNTIFS($Q$2:$Q161,1,$E$2:$E161,$E161),"")</f>
        <v/>
      </c>
      <c r="S161" s="49" t="str">
        <f>IF(COUNTA($A161:$I161)=0,"",IF($A161="","Missing: lot",IF(COUNTIF($A$2:$A$301,$A161)&gt;1,"Duplicate lot",IF($B161="","Missing: SKU",IF(NOT(ISNUMBER($E161)),"Missing: expiry date",IF($G161="","Missing: status",IF(COUNTIF(Products!$A$2:$A$101,$B161)=0,"Unknown SKU",IF(AND($C161&lt;&gt;"",COUNTIF(Suppliers!$A$2:$A$51,$C161)=0),"Unknown supplier",IF(COUNTIF(Config!$E$15:$E$34,$G161)=0,"Unsupported status",IF($L161&lt;0,"Negative lot balance",IF(AND($G161="Closed",$L161&lt;&gt;0),"Closed lot still has stock","OK")))))))))))</f>
        <v/>
      </c>
    </row>
    <row r="162">
      <c r="A162" s="46" t="n"/>
      <c r="B162" s="46" t="n"/>
      <c r="C162" s="46" t="n"/>
      <c r="D162" s="54" t="n"/>
      <c r="E162" s="54" t="n"/>
      <c r="F162" s="48" t="n"/>
      <c r="G162" s="46" t="n"/>
      <c r="H162" s="46" t="n"/>
      <c r="I162" s="46" t="n"/>
      <c r="J162" s="49" t="str">
        <f>IF($A162="","",IFERROR(INDEX(Products!$B$2:$B$101,MATCH($B162,Products!$A$2:$A$101,0))&amp;"","(not found)"))</f>
        <v/>
      </c>
      <c r="K162" s="51" t="str">
        <f>IF($A162="","",SUMIFS(Inventory_Ledger!$M$2:$M$2001,Inventory_Ledger!$F$2:$F$2001,$A162))</f>
        <v/>
      </c>
      <c r="L162" s="51" t="str">
        <f>IF($A162="","",IF(ISNUMBER($F162),$F162,0)+$K162)</f>
        <v/>
      </c>
      <c r="M162" s="56" t="str">
        <f>IF(OR($A162="",NOT(ISNUMBER($E162))),"",$E162-Config!$B$4)</f>
        <v/>
      </c>
      <c r="N162" s="49" t="str">
        <f>IF($M162="","",IF($M162&lt;0,"Expired",IF($M162&lt;=Config!$B$6,"&lt;="&amp;Config!$B$6,IF($M162&lt;=Config!$B$7,(Config!$B$6+1)&amp;"-"&amp;Config!$B$7,IF($M162&lt;=Config!$B$8,(Config!$B$7+1)&amp;"-"&amp;Config!$B$8,"&gt;"&amp;Config!$B$8)))))</f>
        <v/>
      </c>
      <c r="O162" s="52" t="str">
        <f>IF($M162="","",IF($M162&lt;0,0,IF($M162&lt;=Config!$B$6,1,IF($M162&lt;=Config!$B$7,2,IF($M162&lt;=Config!$B$8,3,4)))))</f>
        <v/>
      </c>
      <c r="P162" s="50" t="str">
        <f>IF($A162="","",IF($L162&lt;=0,0,IF(OR(IFERROR(INDEX(Config!$F$15:$F$34,MATCH($G162,Config!$E$15:$E$34,0)),"No")="Yes",AND(Config!$B$10="Yes",ISNUMBER($M162),$M162&lt;0)),$L162,0)))</f>
        <v/>
      </c>
      <c r="Q162" s="52" t="str">
        <f>IF($A162="","",IF(AND($L162&gt;0,ISNUMBER($M162)),IF($M162&lt;=Config!$B$8,1,0),0))</f>
        <v/>
      </c>
      <c r="R162" s="52" t="str">
        <f>IF($Q162=1,COUNTIFS($Q$2:$Q$301,1,$E$2:$E$301,"&lt;"&amp;$E162)+COUNTIFS($Q$2:$Q162,1,$E$2:$E162,$E162),"")</f>
        <v/>
      </c>
      <c r="S162" s="49" t="str">
        <f>IF(COUNTA($A162:$I162)=0,"",IF($A162="","Missing: lot",IF(COUNTIF($A$2:$A$301,$A162)&gt;1,"Duplicate lot",IF($B162="","Missing: SKU",IF(NOT(ISNUMBER($E162)),"Missing: expiry date",IF($G162="","Missing: status",IF(COUNTIF(Products!$A$2:$A$101,$B162)=0,"Unknown SKU",IF(AND($C162&lt;&gt;"",COUNTIF(Suppliers!$A$2:$A$51,$C162)=0),"Unknown supplier",IF(COUNTIF(Config!$E$15:$E$34,$G162)=0,"Unsupported status",IF($L162&lt;0,"Negative lot balance",IF(AND($G162="Closed",$L162&lt;&gt;0),"Closed lot still has stock","OK")))))))))))</f>
        <v/>
      </c>
    </row>
    <row r="163">
      <c r="A163" s="46" t="n"/>
      <c r="B163" s="46" t="n"/>
      <c r="C163" s="46" t="n"/>
      <c r="D163" s="54" t="n"/>
      <c r="E163" s="54" t="n"/>
      <c r="F163" s="48" t="n"/>
      <c r="G163" s="46" t="n"/>
      <c r="H163" s="46" t="n"/>
      <c r="I163" s="46" t="n"/>
      <c r="J163" s="49" t="str">
        <f>IF($A163="","",IFERROR(INDEX(Products!$B$2:$B$101,MATCH($B163,Products!$A$2:$A$101,0))&amp;"","(not found)"))</f>
        <v/>
      </c>
      <c r="K163" s="51" t="str">
        <f>IF($A163="","",SUMIFS(Inventory_Ledger!$M$2:$M$2001,Inventory_Ledger!$F$2:$F$2001,$A163))</f>
        <v/>
      </c>
      <c r="L163" s="51" t="str">
        <f>IF($A163="","",IF(ISNUMBER($F163),$F163,0)+$K163)</f>
        <v/>
      </c>
      <c r="M163" s="56" t="str">
        <f>IF(OR($A163="",NOT(ISNUMBER($E163))),"",$E163-Config!$B$4)</f>
        <v/>
      </c>
      <c r="N163" s="49" t="str">
        <f>IF($M163="","",IF($M163&lt;0,"Expired",IF($M163&lt;=Config!$B$6,"&lt;="&amp;Config!$B$6,IF($M163&lt;=Config!$B$7,(Config!$B$6+1)&amp;"-"&amp;Config!$B$7,IF($M163&lt;=Config!$B$8,(Config!$B$7+1)&amp;"-"&amp;Config!$B$8,"&gt;"&amp;Config!$B$8)))))</f>
        <v/>
      </c>
      <c r="O163" s="52" t="str">
        <f>IF($M163="","",IF($M163&lt;0,0,IF($M163&lt;=Config!$B$6,1,IF($M163&lt;=Config!$B$7,2,IF($M163&lt;=Config!$B$8,3,4)))))</f>
        <v/>
      </c>
      <c r="P163" s="50" t="str">
        <f>IF($A163="","",IF($L163&lt;=0,0,IF(OR(IFERROR(INDEX(Config!$F$15:$F$34,MATCH($G163,Config!$E$15:$E$34,0)),"No")="Yes",AND(Config!$B$10="Yes",ISNUMBER($M163),$M163&lt;0)),$L163,0)))</f>
        <v/>
      </c>
      <c r="Q163" s="52" t="str">
        <f>IF($A163="","",IF(AND($L163&gt;0,ISNUMBER($M163)),IF($M163&lt;=Config!$B$8,1,0),0))</f>
        <v/>
      </c>
      <c r="R163" s="52" t="str">
        <f>IF($Q163=1,COUNTIFS($Q$2:$Q$301,1,$E$2:$E$301,"&lt;"&amp;$E163)+COUNTIFS($Q$2:$Q163,1,$E$2:$E163,$E163),"")</f>
        <v/>
      </c>
      <c r="S163" s="49" t="str">
        <f>IF(COUNTA($A163:$I163)=0,"",IF($A163="","Missing: lot",IF(COUNTIF($A$2:$A$301,$A163)&gt;1,"Duplicate lot",IF($B163="","Missing: SKU",IF(NOT(ISNUMBER($E163)),"Missing: expiry date",IF($G163="","Missing: status",IF(COUNTIF(Products!$A$2:$A$101,$B163)=0,"Unknown SKU",IF(AND($C163&lt;&gt;"",COUNTIF(Suppliers!$A$2:$A$51,$C163)=0),"Unknown supplier",IF(COUNTIF(Config!$E$15:$E$34,$G163)=0,"Unsupported status",IF($L163&lt;0,"Negative lot balance",IF(AND($G163="Closed",$L163&lt;&gt;0),"Closed lot still has stock","OK")))))))))))</f>
        <v/>
      </c>
    </row>
    <row r="164">
      <c r="A164" s="46" t="n"/>
      <c r="B164" s="46" t="n"/>
      <c r="C164" s="46" t="n"/>
      <c r="D164" s="54" t="n"/>
      <c r="E164" s="54" t="n"/>
      <c r="F164" s="48" t="n"/>
      <c r="G164" s="46" t="n"/>
      <c r="H164" s="46" t="n"/>
      <c r="I164" s="46" t="n"/>
      <c r="J164" s="49" t="str">
        <f>IF($A164="","",IFERROR(INDEX(Products!$B$2:$B$101,MATCH($B164,Products!$A$2:$A$101,0))&amp;"","(not found)"))</f>
        <v/>
      </c>
      <c r="K164" s="51" t="str">
        <f>IF($A164="","",SUMIFS(Inventory_Ledger!$M$2:$M$2001,Inventory_Ledger!$F$2:$F$2001,$A164))</f>
        <v/>
      </c>
      <c r="L164" s="51" t="str">
        <f>IF($A164="","",IF(ISNUMBER($F164),$F164,0)+$K164)</f>
        <v/>
      </c>
      <c r="M164" s="56" t="str">
        <f>IF(OR($A164="",NOT(ISNUMBER($E164))),"",$E164-Config!$B$4)</f>
        <v/>
      </c>
      <c r="N164" s="49" t="str">
        <f>IF($M164="","",IF($M164&lt;0,"Expired",IF($M164&lt;=Config!$B$6,"&lt;="&amp;Config!$B$6,IF($M164&lt;=Config!$B$7,(Config!$B$6+1)&amp;"-"&amp;Config!$B$7,IF($M164&lt;=Config!$B$8,(Config!$B$7+1)&amp;"-"&amp;Config!$B$8,"&gt;"&amp;Config!$B$8)))))</f>
        <v/>
      </c>
      <c r="O164" s="52" t="str">
        <f>IF($M164="","",IF($M164&lt;0,0,IF($M164&lt;=Config!$B$6,1,IF($M164&lt;=Config!$B$7,2,IF($M164&lt;=Config!$B$8,3,4)))))</f>
        <v/>
      </c>
      <c r="P164" s="50" t="str">
        <f>IF($A164="","",IF($L164&lt;=0,0,IF(OR(IFERROR(INDEX(Config!$F$15:$F$34,MATCH($G164,Config!$E$15:$E$34,0)),"No")="Yes",AND(Config!$B$10="Yes",ISNUMBER($M164),$M164&lt;0)),$L164,0)))</f>
        <v/>
      </c>
      <c r="Q164" s="52" t="str">
        <f>IF($A164="","",IF(AND($L164&gt;0,ISNUMBER($M164)),IF($M164&lt;=Config!$B$8,1,0),0))</f>
        <v/>
      </c>
      <c r="R164" s="52" t="str">
        <f>IF($Q164=1,COUNTIFS($Q$2:$Q$301,1,$E$2:$E$301,"&lt;"&amp;$E164)+COUNTIFS($Q$2:$Q164,1,$E$2:$E164,$E164),"")</f>
        <v/>
      </c>
      <c r="S164" s="49" t="str">
        <f>IF(COUNTA($A164:$I164)=0,"",IF($A164="","Missing: lot",IF(COUNTIF($A$2:$A$301,$A164)&gt;1,"Duplicate lot",IF($B164="","Missing: SKU",IF(NOT(ISNUMBER($E164)),"Missing: expiry date",IF($G164="","Missing: status",IF(COUNTIF(Products!$A$2:$A$101,$B164)=0,"Unknown SKU",IF(AND($C164&lt;&gt;"",COUNTIF(Suppliers!$A$2:$A$51,$C164)=0),"Unknown supplier",IF(COUNTIF(Config!$E$15:$E$34,$G164)=0,"Unsupported status",IF($L164&lt;0,"Negative lot balance",IF(AND($G164="Closed",$L164&lt;&gt;0),"Closed lot still has stock","OK")))))))))))</f>
        <v/>
      </c>
    </row>
    <row r="165">
      <c r="A165" s="46" t="n"/>
      <c r="B165" s="46" t="n"/>
      <c r="C165" s="46" t="n"/>
      <c r="D165" s="54" t="n"/>
      <c r="E165" s="54" t="n"/>
      <c r="F165" s="48" t="n"/>
      <c r="G165" s="46" t="n"/>
      <c r="H165" s="46" t="n"/>
      <c r="I165" s="46" t="n"/>
      <c r="J165" s="49" t="str">
        <f>IF($A165="","",IFERROR(INDEX(Products!$B$2:$B$101,MATCH($B165,Products!$A$2:$A$101,0))&amp;"","(not found)"))</f>
        <v/>
      </c>
      <c r="K165" s="51" t="str">
        <f>IF($A165="","",SUMIFS(Inventory_Ledger!$M$2:$M$2001,Inventory_Ledger!$F$2:$F$2001,$A165))</f>
        <v/>
      </c>
      <c r="L165" s="51" t="str">
        <f>IF($A165="","",IF(ISNUMBER($F165),$F165,0)+$K165)</f>
        <v/>
      </c>
      <c r="M165" s="56" t="str">
        <f>IF(OR($A165="",NOT(ISNUMBER($E165))),"",$E165-Config!$B$4)</f>
        <v/>
      </c>
      <c r="N165" s="49" t="str">
        <f>IF($M165="","",IF($M165&lt;0,"Expired",IF($M165&lt;=Config!$B$6,"&lt;="&amp;Config!$B$6,IF($M165&lt;=Config!$B$7,(Config!$B$6+1)&amp;"-"&amp;Config!$B$7,IF($M165&lt;=Config!$B$8,(Config!$B$7+1)&amp;"-"&amp;Config!$B$8,"&gt;"&amp;Config!$B$8)))))</f>
        <v/>
      </c>
      <c r="O165" s="52" t="str">
        <f>IF($M165="","",IF($M165&lt;0,0,IF($M165&lt;=Config!$B$6,1,IF($M165&lt;=Config!$B$7,2,IF($M165&lt;=Config!$B$8,3,4)))))</f>
        <v/>
      </c>
      <c r="P165" s="50" t="str">
        <f>IF($A165="","",IF($L165&lt;=0,0,IF(OR(IFERROR(INDEX(Config!$F$15:$F$34,MATCH($G165,Config!$E$15:$E$34,0)),"No")="Yes",AND(Config!$B$10="Yes",ISNUMBER($M165),$M165&lt;0)),$L165,0)))</f>
        <v/>
      </c>
      <c r="Q165" s="52" t="str">
        <f>IF($A165="","",IF(AND($L165&gt;0,ISNUMBER($M165)),IF($M165&lt;=Config!$B$8,1,0),0))</f>
        <v/>
      </c>
      <c r="R165" s="52" t="str">
        <f>IF($Q165=1,COUNTIFS($Q$2:$Q$301,1,$E$2:$E$301,"&lt;"&amp;$E165)+COUNTIFS($Q$2:$Q165,1,$E$2:$E165,$E165),"")</f>
        <v/>
      </c>
      <c r="S165" s="49" t="str">
        <f>IF(COUNTA($A165:$I165)=0,"",IF($A165="","Missing: lot",IF(COUNTIF($A$2:$A$301,$A165)&gt;1,"Duplicate lot",IF($B165="","Missing: SKU",IF(NOT(ISNUMBER($E165)),"Missing: expiry date",IF($G165="","Missing: status",IF(COUNTIF(Products!$A$2:$A$101,$B165)=0,"Unknown SKU",IF(AND($C165&lt;&gt;"",COUNTIF(Suppliers!$A$2:$A$51,$C165)=0),"Unknown supplier",IF(COUNTIF(Config!$E$15:$E$34,$G165)=0,"Unsupported status",IF($L165&lt;0,"Negative lot balance",IF(AND($G165="Closed",$L165&lt;&gt;0),"Closed lot still has stock","OK")))))))))))</f>
        <v/>
      </c>
    </row>
    <row r="166">
      <c r="A166" s="46" t="n"/>
      <c r="B166" s="46" t="n"/>
      <c r="C166" s="46" t="n"/>
      <c r="D166" s="54" t="n"/>
      <c r="E166" s="54" t="n"/>
      <c r="F166" s="48" t="n"/>
      <c r="G166" s="46" t="n"/>
      <c r="H166" s="46" t="n"/>
      <c r="I166" s="46" t="n"/>
      <c r="J166" s="49" t="str">
        <f>IF($A166="","",IFERROR(INDEX(Products!$B$2:$B$101,MATCH($B166,Products!$A$2:$A$101,0))&amp;"","(not found)"))</f>
        <v/>
      </c>
      <c r="K166" s="51" t="str">
        <f>IF($A166="","",SUMIFS(Inventory_Ledger!$M$2:$M$2001,Inventory_Ledger!$F$2:$F$2001,$A166))</f>
        <v/>
      </c>
      <c r="L166" s="51" t="str">
        <f>IF($A166="","",IF(ISNUMBER($F166),$F166,0)+$K166)</f>
        <v/>
      </c>
      <c r="M166" s="56" t="str">
        <f>IF(OR($A166="",NOT(ISNUMBER($E166))),"",$E166-Config!$B$4)</f>
        <v/>
      </c>
      <c r="N166" s="49" t="str">
        <f>IF($M166="","",IF($M166&lt;0,"Expired",IF($M166&lt;=Config!$B$6,"&lt;="&amp;Config!$B$6,IF($M166&lt;=Config!$B$7,(Config!$B$6+1)&amp;"-"&amp;Config!$B$7,IF($M166&lt;=Config!$B$8,(Config!$B$7+1)&amp;"-"&amp;Config!$B$8,"&gt;"&amp;Config!$B$8)))))</f>
        <v/>
      </c>
      <c r="O166" s="52" t="str">
        <f>IF($M166="","",IF($M166&lt;0,0,IF($M166&lt;=Config!$B$6,1,IF($M166&lt;=Config!$B$7,2,IF($M166&lt;=Config!$B$8,3,4)))))</f>
        <v/>
      </c>
      <c r="P166" s="50" t="str">
        <f>IF($A166="","",IF($L166&lt;=0,0,IF(OR(IFERROR(INDEX(Config!$F$15:$F$34,MATCH($G166,Config!$E$15:$E$34,0)),"No")="Yes",AND(Config!$B$10="Yes",ISNUMBER($M166),$M166&lt;0)),$L166,0)))</f>
        <v/>
      </c>
      <c r="Q166" s="52" t="str">
        <f>IF($A166="","",IF(AND($L166&gt;0,ISNUMBER($M166)),IF($M166&lt;=Config!$B$8,1,0),0))</f>
        <v/>
      </c>
      <c r="R166" s="52" t="str">
        <f>IF($Q166=1,COUNTIFS($Q$2:$Q$301,1,$E$2:$E$301,"&lt;"&amp;$E166)+COUNTIFS($Q$2:$Q166,1,$E$2:$E166,$E166),"")</f>
        <v/>
      </c>
      <c r="S166" s="49" t="str">
        <f>IF(COUNTA($A166:$I166)=0,"",IF($A166="","Missing: lot",IF(COUNTIF($A$2:$A$301,$A166)&gt;1,"Duplicate lot",IF($B166="","Missing: SKU",IF(NOT(ISNUMBER($E166)),"Missing: expiry date",IF($G166="","Missing: status",IF(COUNTIF(Products!$A$2:$A$101,$B166)=0,"Unknown SKU",IF(AND($C166&lt;&gt;"",COUNTIF(Suppliers!$A$2:$A$51,$C166)=0),"Unknown supplier",IF(COUNTIF(Config!$E$15:$E$34,$G166)=0,"Unsupported status",IF($L166&lt;0,"Negative lot balance",IF(AND($G166="Closed",$L166&lt;&gt;0),"Closed lot still has stock","OK")))))))))))</f>
        <v/>
      </c>
    </row>
    <row r="167">
      <c r="A167" s="46" t="n"/>
      <c r="B167" s="46" t="n"/>
      <c r="C167" s="46" t="n"/>
      <c r="D167" s="54" t="n"/>
      <c r="E167" s="54" t="n"/>
      <c r="F167" s="48" t="n"/>
      <c r="G167" s="46" t="n"/>
      <c r="H167" s="46" t="n"/>
      <c r="I167" s="46" t="n"/>
      <c r="J167" s="49" t="str">
        <f>IF($A167="","",IFERROR(INDEX(Products!$B$2:$B$101,MATCH($B167,Products!$A$2:$A$101,0))&amp;"","(not found)"))</f>
        <v/>
      </c>
      <c r="K167" s="51" t="str">
        <f>IF($A167="","",SUMIFS(Inventory_Ledger!$M$2:$M$2001,Inventory_Ledger!$F$2:$F$2001,$A167))</f>
        <v/>
      </c>
      <c r="L167" s="51" t="str">
        <f>IF($A167="","",IF(ISNUMBER($F167),$F167,0)+$K167)</f>
        <v/>
      </c>
      <c r="M167" s="56" t="str">
        <f>IF(OR($A167="",NOT(ISNUMBER($E167))),"",$E167-Config!$B$4)</f>
        <v/>
      </c>
      <c r="N167" s="49" t="str">
        <f>IF($M167="","",IF($M167&lt;0,"Expired",IF($M167&lt;=Config!$B$6,"&lt;="&amp;Config!$B$6,IF($M167&lt;=Config!$B$7,(Config!$B$6+1)&amp;"-"&amp;Config!$B$7,IF($M167&lt;=Config!$B$8,(Config!$B$7+1)&amp;"-"&amp;Config!$B$8,"&gt;"&amp;Config!$B$8)))))</f>
        <v/>
      </c>
      <c r="O167" s="52" t="str">
        <f>IF($M167="","",IF($M167&lt;0,0,IF($M167&lt;=Config!$B$6,1,IF($M167&lt;=Config!$B$7,2,IF($M167&lt;=Config!$B$8,3,4)))))</f>
        <v/>
      </c>
      <c r="P167" s="50" t="str">
        <f>IF($A167="","",IF($L167&lt;=0,0,IF(OR(IFERROR(INDEX(Config!$F$15:$F$34,MATCH($G167,Config!$E$15:$E$34,0)),"No")="Yes",AND(Config!$B$10="Yes",ISNUMBER($M167),$M167&lt;0)),$L167,0)))</f>
        <v/>
      </c>
      <c r="Q167" s="52" t="str">
        <f>IF($A167="","",IF(AND($L167&gt;0,ISNUMBER($M167)),IF($M167&lt;=Config!$B$8,1,0),0))</f>
        <v/>
      </c>
      <c r="R167" s="52" t="str">
        <f>IF($Q167=1,COUNTIFS($Q$2:$Q$301,1,$E$2:$E$301,"&lt;"&amp;$E167)+COUNTIFS($Q$2:$Q167,1,$E$2:$E167,$E167),"")</f>
        <v/>
      </c>
      <c r="S167" s="49" t="str">
        <f>IF(COUNTA($A167:$I167)=0,"",IF($A167="","Missing: lot",IF(COUNTIF($A$2:$A$301,$A167)&gt;1,"Duplicate lot",IF($B167="","Missing: SKU",IF(NOT(ISNUMBER($E167)),"Missing: expiry date",IF($G167="","Missing: status",IF(COUNTIF(Products!$A$2:$A$101,$B167)=0,"Unknown SKU",IF(AND($C167&lt;&gt;"",COUNTIF(Suppliers!$A$2:$A$51,$C167)=0),"Unknown supplier",IF(COUNTIF(Config!$E$15:$E$34,$G167)=0,"Unsupported status",IF($L167&lt;0,"Negative lot balance",IF(AND($G167="Closed",$L167&lt;&gt;0),"Closed lot still has stock","OK")))))))))))</f>
        <v/>
      </c>
    </row>
    <row r="168">
      <c r="A168" s="46" t="n"/>
      <c r="B168" s="46" t="n"/>
      <c r="C168" s="46" t="n"/>
      <c r="D168" s="54" t="n"/>
      <c r="E168" s="54" t="n"/>
      <c r="F168" s="48" t="n"/>
      <c r="G168" s="46" t="n"/>
      <c r="H168" s="46" t="n"/>
      <c r="I168" s="46" t="n"/>
      <c r="J168" s="49" t="str">
        <f>IF($A168="","",IFERROR(INDEX(Products!$B$2:$B$101,MATCH($B168,Products!$A$2:$A$101,0))&amp;"","(not found)"))</f>
        <v/>
      </c>
      <c r="K168" s="51" t="str">
        <f>IF($A168="","",SUMIFS(Inventory_Ledger!$M$2:$M$2001,Inventory_Ledger!$F$2:$F$2001,$A168))</f>
        <v/>
      </c>
      <c r="L168" s="51" t="str">
        <f>IF($A168="","",IF(ISNUMBER($F168),$F168,0)+$K168)</f>
        <v/>
      </c>
      <c r="M168" s="56" t="str">
        <f>IF(OR($A168="",NOT(ISNUMBER($E168))),"",$E168-Config!$B$4)</f>
        <v/>
      </c>
      <c r="N168" s="49" t="str">
        <f>IF($M168="","",IF($M168&lt;0,"Expired",IF($M168&lt;=Config!$B$6,"&lt;="&amp;Config!$B$6,IF($M168&lt;=Config!$B$7,(Config!$B$6+1)&amp;"-"&amp;Config!$B$7,IF($M168&lt;=Config!$B$8,(Config!$B$7+1)&amp;"-"&amp;Config!$B$8,"&gt;"&amp;Config!$B$8)))))</f>
        <v/>
      </c>
      <c r="O168" s="52" t="str">
        <f>IF($M168="","",IF($M168&lt;0,0,IF($M168&lt;=Config!$B$6,1,IF($M168&lt;=Config!$B$7,2,IF($M168&lt;=Config!$B$8,3,4)))))</f>
        <v/>
      </c>
      <c r="P168" s="50" t="str">
        <f>IF($A168="","",IF($L168&lt;=0,0,IF(OR(IFERROR(INDEX(Config!$F$15:$F$34,MATCH($G168,Config!$E$15:$E$34,0)),"No")="Yes",AND(Config!$B$10="Yes",ISNUMBER($M168),$M168&lt;0)),$L168,0)))</f>
        <v/>
      </c>
      <c r="Q168" s="52" t="str">
        <f>IF($A168="","",IF(AND($L168&gt;0,ISNUMBER($M168)),IF($M168&lt;=Config!$B$8,1,0),0))</f>
        <v/>
      </c>
      <c r="R168" s="52" t="str">
        <f>IF($Q168=1,COUNTIFS($Q$2:$Q$301,1,$E$2:$E$301,"&lt;"&amp;$E168)+COUNTIFS($Q$2:$Q168,1,$E$2:$E168,$E168),"")</f>
        <v/>
      </c>
      <c r="S168" s="49" t="str">
        <f>IF(COUNTA($A168:$I168)=0,"",IF($A168="","Missing: lot",IF(COUNTIF($A$2:$A$301,$A168)&gt;1,"Duplicate lot",IF($B168="","Missing: SKU",IF(NOT(ISNUMBER($E168)),"Missing: expiry date",IF($G168="","Missing: status",IF(COUNTIF(Products!$A$2:$A$101,$B168)=0,"Unknown SKU",IF(AND($C168&lt;&gt;"",COUNTIF(Suppliers!$A$2:$A$51,$C168)=0),"Unknown supplier",IF(COUNTIF(Config!$E$15:$E$34,$G168)=0,"Unsupported status",IF($L168&lt;0,"Negative lot balance",IF(AND($G168="Closed",$L168&lt;&gt;0),"Closed lot still has stock","OK")))))))))))</f>
        <v/>
      </c>
    </row>
    <row r="169">
      <c r="A169" s="46" t="n"/>
      <c r="B169" s="46" t="n"/>
      <c r="C169" s="46" t="n"/>
      <c r="D169" s="54" t="n"/>
      <c r="E169" s="54" t="n"/>
      <c r="F169" s="48" t="n"/>
      <c r="G169" s="46" t="n"/>
      <c r="H169" s="46" t="n"/>
      <c r="I169" s="46" t="n"/>
      <c r="J169" s="49" t="str">
        <f>IF($A169="","",IFERROR(INDEX(Products!$B$2:$B$101,MATCH($B169,Products!$A$2:$A$101,0))&amp;"","(not found)"))</f>
        <v/>
      </c>
      <c r="K169" s="51" t="str">
        <f>IF($A169="","",SUMIFS(Inventory_Ledger!$M$2:$M$2001,Inventory_Ledger!$F$2:$F$2001,$A169))</f>
        <v/>
      </c>
      <c r="L169" s="51" t="str">
        <f>IF($A169="","",IF(ISNUMBER($F169),$F169,0)+$K169)</f>
        <v/>
      </c>
      <c r="M169" s="56" t="str">
        <f>IF(OR($A169="",NOT(ISNUMBER($E169))),"",$E169-Config!$B$4)</f>
        <v/>
      </c>
      <c r="N169" s="49" t="str">
        <f>IF($M169="","",IF($M169&lt;0,"Expired",IF($M169&lt;=Config!$B$6,"&lt;="&amp;Config!$B$6,IF($M169&lt;=Config!$B$7,(Config!$B$6+1)&amp;"-"&amp;Config!$B$7,IF($M169&lt;=Config!$B$8,(Config!$B$7+1)&amp;"-"&amp;Config!$B$8,"&gt;"&amp;Config!$B$8)))))</f>
        <v/>
      </c>
      <c r="O169" s="52" t="str">
        <f>IF($M169="","",IF($M169&lt;0,0,IF($M169&lt;=Config!$B$6,1,IF($M169&lt;=Config!$B$7,2,IF($M169&lt;=Config!$B$8,3,4)))))</f>
        <v/>
      </c>
      <c r="P169" s="50" t="str">
        <f>IF($A169="","",IF($L169&lt;=0,0,IF(OR(IFERROR(INDEX(Config!$F$15:$F$34,MATCH($G169,Config!$E$15:$E$34,0)),"No")="Yes",AND(Config!$B$10="Yes",ISNUMBER($M169),$M169&lt;0)),$L169,0)))</f>
        <v/>
      </c>
      <c r="Q169" s="52" t="str">
        <f>IF($A169="","",IF(AND($L169&gt;0,ISNUMBER($M169)),IF($M169&lt;=Config!$B$8,1,0),0))</f>
        <v/>
      </c>
      <c r="R169" s="52" t="str">
        <f>IF($Q169=1,COUNTIFS($Q$2:$Q$301,1,$E$2:$E$301,"&lt;"&amp;$E169)+COUNTIFS($Q$2:$Q169,1,$E$2:$E169,$E169),"")</f>
        <v/>
      </c>
      <c r="S169" s="49" t="str">
        <f>IF(COUNTA($A169:$I169)=0,"",IF($A169="","Missing: lot",IF(COUNTIF($A$2:$A$301,$A169)&gt;1,"Duplicate lot",IF($B169="","Missing: SKU",IF(NOT(ISNUMBER($E169)),"Missing: expiry date",IF($G169="","Missing: status",IF(COUNTIF(Products!$A$2:$A$101,$B169)=0,"Unknown SKU",IF(AND($C169&lt;&gt;"",COUNTIF(Suppliers!$A$2:$A$51,$C169)=0),"Unknown supplier",IF(COUNTIF(Config!$E$15:$E$34,$G169)=0,"Unsupported status",IF($L169&lt;0,"Negative lot balance",IF(AND($G169="Closed",$L169&lt;&gt;0),"Closed lot still has stock","OK")))))))))))</f>
        <v/>
      </c>
    </row>
    <row r="170">
      <c r="A170" s="46" t="n"/>
      <c r="B170" s="46" t="n"/>
      <c r="C170" s="46" t="n"/>
      <c r="D170" s="54" t="n"/>
      <c r="E170" s="54" t="n"/>
      <c r="F170" s="48" t="n"/>
      <c r="G170" s="46" t="n"/>
      <c r="H170" s="46" t="n"/>
      <c r="I170" s="46" t="n"/>
      <c r="J170" s="49" t="str">
        <f>IF($A170="","",IFERROR(INDEX(Products!$B$2:$B$101,MATCH($B170,Products!$A$2:$A$101,0))&amp;"","(not found)"))</f>
        <v/>
      </c>
      <c r="K170" s="51" t="str">
        <f>IF($A170="","",SUMIFS(Inventory_Ledger!$M$2:$M$2001,Inventory_Ledger!$F$2:$F$2001,$A170))</f>
        <v/>
      </c>
      <c r="L170" s="51" t="str">
        <f>IF($A170="","",IF(ISNUMBER($F170),$F170,0)+$K170)</f>
        <v/>
      </c>
      <c r="M170" s="56" t="str">
        <f>IF(OR($A170="",NOT(ISNUMBER($E170))),"",$E170-Config!$B$4)</f>
        <v/>
      </c>
      <c r="N170" s="49" t="str">
        <f>IF($M170="","",IF($M170&lt;0,"Expired",IF($M170&lt;=Config!$B$6,"&lt;="&amp;Config!$B$6,IF($M170&lt;=Config!$B$7,(Config!$B$6+1)&amp;"-"&amp;Config!$B$7,IF($M170&lt;=Config!$B$8,(Config!$B$7+1)&amp;"-"&amp;Config!$B$8,"&gt;"&amp;Config!$B$8)))))</f>
        <v/>
      </c>
      <c r="O170" s="52" t="str">
        <f>IF($M170="","",IF($M170&lt;0,0,IF($M170&lt;=Config!$B$6,1,IF($M170&lt;=Config!$B$7,2,IF($M170&lt;=Config!$B$8,3,4)))))</f>
        <v/>
      </c>
      <c r="P170" s="50" t="str">
        <f>IF($A170="","",IF($L170&lt;=0,0,IF(OR(IFERROR(INDEX(Config!$F$15:$F$34,MATCH($G170,Config!$E$15:$E$34,0)),"No")="Yes",AND(Config!$B$10="Yes",ISNUMBER($M170),$M170&lt;0)),$L170,0)))</f>
        <v/>
      </c>
      <c r="Q170" s="52" t="str">
        <f>IF($A170="","",IF(AND($L170&gt;0,ISNUMBER($M170)),IF($M170&lt;=Config!$B$8,1,0),0))</f>
        <v/>
      </c>
      <c r="R170" s="52" t="str">
        <f>IF($Q170=1,COUNTIFS($Q$2:$Q$301,1,$E$2:$E$301,"&lt;"&amp;$E170)+COUNTIFS($Q$2:$Q170,1,$E$2:$E170,$E170),"")</f>
        <v/>
      </c>
      <c r="S170" s="49" t="str">
        <f>IF(COUNTA($A170:$I170)=0,"",IF($A170="","Missing: lot",IF(COUNTIF($A$2:$A$301,$A170)&gt;1,"Duplicate lot",IF($B170="","Missing: SKU",IF(NOT(ISNUMBER($E170)),"Missing: expiry date",IF($G170="","Missing: status",IF(COUNTIF(Products!$A$2:$A$101,$B170)=0,"Unknown SKU",IF(AND($C170&lt;&gt;"",COUNTIF(Suppliers!$A$2:$A$51,$C170)=0),"Unknown supplier",IF(COUNTIF(Config!$E$15:$E$34,$G170)=0,"Unsupported status",IF($L170&lt;0,"Negative lot balance",IF(AND($G170="Closed",$L170&lt;&gt;0),"Closed lot still has stock","OK")))))))))))</f>
        <v/>
      </c>
    </row>
    <row r="171">
      <c r="A171" s="46" t="n"/>
      <c r="B171" s="46" t="n"/>
      <c r="C171" s="46" t="n"/>
      <c r="D171" s="54" t="n"/>
      <c r="E171" s="54" t="n"/>
      <c r="F171" s="48" t="n"/>
      <c r="G171" s="46" t="n"/>
      <c r="H171" s="46" t="n"/>
      <c r="I171" s="46" t="n"/>
      <c r="J171" s="49" t="str">
        <f>IF($A171="","",IFERROR(INDEX(Products!$B$2:$B$101,MATCH($B171,Products!$A$2:$A$101,0))&amp;"","(not found)"))</f>
        <v/>
      </c>
      <c r="K171" s="51" t="str">
        <f>IF($A171="","",SUMIFS(Inventory_Ledger!$M$2:$M$2001,Inventory_Ledger!$F$2:$F$2001,$A171))</f>
        <v/>
      </c>
      <c r="L171" s="51" t="str">
        <f>IF($A171="","",IF(ISNUMBER($F171),$F171,0)+$K171)</f>
        <v/>
      </c>
      <c r="M171" s="56" t="str">
        <f>IF(OR($A171="",NOT(ISNUMBER($E171))),"",$E171-Config!$B$4)</f>
        <v/>
      </c>
      <c r="N171" s="49" t="str">
        <f>IF($M171="","",IF($M171&lt;0,"Expired",IF($M171&lt;=Config!$B$6,"&lt;="&amp;Config!$B$6,IF($M171&lt;=Config!$B$7,(Config!$B$6+1)&amp;"-"&amp;Config!$B$7,IF($M171&lt;=Config!$B$8,(Config!$B$7+1)&amp;"-"&amp;Config!$B$8,"&gt;"&amp;Config!$B$8)))))</f>
        <v/>
      </c>
      <c r="O171" s="52" t="str">
        <f>IF($M171="","",IF($M171&lt;0,0,IF($M171&lt;=Config!$B$6,1,IF($M171&lt;=Config!$B$7,2,IF($M171&lt;=Config!$B$8,3,4)))))</f>
        <v/>
      </c>
      <c r="P171" s="50" t="str">
        <f>IF($A171="","",IF($L171&lt;=0,0,IF(OR(IFERROR(INDEX(Config!$F$15:$F$34,MATCH($G171,Config!$E$15:$E$34,0)),"No")="Yes",AND(Config!$B$10="Yes",ISNUMBER($M171),$M171&lt;0)),$L171,0)))</f>
        <v/>
      </c>
      <c r="Q171" s="52" t="str">
        <f>IF($A171="","",IF(AND($L171&gt;0,ISNUMBER($M171)),IF($M171&lt;=Config!$B$8,1,0),0))</f>
        <v/>
      </c>
      <c r="R171" s="52" t="str">
        <f>IF($Q171=1,COUNTIFS($Q$2:$Q$301,1,$E$2:$E$301,"&lt;"&amp;$E171)+COUNTIFS($Q$2:$Q171,1,$E$2:$E171,$E171),"")</f>
        <v/>
      </c>
      <c r="S171" s="49" t="str">
        <f>IF(COUNTA($A171:$I171)=0,"",IF($A171="","Missing: lot",IF(COUNTIF($A$2:$A$301,$A171)&gt;1,"Duplicate lot",IF($B171="","Missing: SKU",IF(NOT(ISNUMBER($E171)),"Missing: expiry date",IF($G171="","Missing: status",IF(COUNTIF(Products!$A$2:$A$101,$B171)=0,"Unknown SKU",IF(AND($C171&lt;&gt;"",COUNTIF(Suppliers!$A$2:$A$51,$C171)=0),"Unknown supplier",IF(COUNTIF(Config!$E$15:$E$34,$G171)=0,"Unsupported status",IF($L171&lt;0,"Negative lot balance",IF(AND($G171="Closed",$L171&lt;&gt;0),"Closed lot still has stock","OK")))))))))))</f>
        <v/>
      </c>
    </row>
    <row r="172">
      <c r="A172" s="46" t="n"/>
      <c r="B172" s="46" t="n"/>
      <c r="C172" s="46" t="n"/>
      <c r="D172" s="54" t="n"/>
      <c r="E172" s="54" t="n"/>
      <c r="F172" s="48" t="n"/>
      <c r="G172" s="46" t="n"/>
      <c r="H172" s="46" t="n"/>
      <c r="I172" s="46" t="n"/>
      <c r="J172" s="49" t="str">
        <f>IF($A172="","",IFERROR(INDEX(Products!$B$2:$B$101,MATCH($B172,Products!$A$2:$A$101,0))&amp;"","(not found)"))</f>
        <v/>
      </c>
      <c r="K172" s="51" t="str">
        <f>IF($A172="","",SUMIFS(Inventory_Ledger!$M$2:$M$2001,Inventory_Ledger!$F$2:$F$2001,$A172))</f>
        <v/>
      </c>
      <c r="L172" s="51" t="str">
        <f>IF($A172="","",IF(ISNUMBER($F172),$F172,0)+$K172)</f>
        <v/>
      </c>
      <c r="M172" s="56" t="str">
        <f>IF(OR($A172="",NOT(ISNUMBER($E172))),"",$E172-Config!$B$4)</f>
        <v/>
      </c>
      <c r="N172" s="49" t="str">
        <f>IF($M172="","",IF($M172&lt;0,"Expired",IF($M172&lt;=Config!$B$6,"&lt;="&amp;Config!$B$6,IF($M172&lt;=Config!$B$7,(Config!$B$6+1)&amp;"-"&amp;Config!$B$7,IF($M172&lt;=Config!$B$8,(Config!$B$7+1)&amp;"-"&amp;Config!$B$8,"&gt;"&amp;Config!$B$8)))))</f>
        <v/>
      </c>
      <c r="O172" s="52" t="str">
        <f>IF($M172="","",IF($M172&lt;0,0,IF($M172&lt;=Config!$B$6,1,IF($M172&lt;=Config!$B$7,2,IF($M172&lt;=Config!$B$8,3,4)))))</f>
        <v/>
      </c>
      <c r="P172" s="50" t="str">
        <f>IF($A172="","",IF($L172&lt;=0,0,IF(OR(IFERROR(INDEX(Config!$F$15:$F$34,MATCH($G172,Config!$E$15:$E$34,0)),"No")="Yes",AND(Config!$B$10="Yes",ISNUMBER($M172),$M172&lt;0)),$L172,0)))</f>
        <v/>
      </c>
      <c r="Q172" s="52" t="str">
        <f>IF($A172="","",IF(AND($L172&gt;0,ISNUMBER($M172)),IF($M172&lt;=Config!$B$8,1,0),0))</f>
        <v/>
      </c>
      <c r="R172" s="52" t="str">
        <f>IF($Q172=1,COUNTIFS($Q$2:$Q$301,1,$E$2:$E$301,"&lt;"&amp;$E172)+COUNTIFS($Q$2:$Q172,1,$E$2:$E172,$E172),"")</f>
        <v/>
      </c>
      <c r="S172" s="49" t="str">
        <f>IF(COUNTA($A172:$I172)=0,"",IF($A172="","Missing: lot",IF(COUNTIF($A$2:$A$301,$A172)&gt;1,"Duplicate lot",IF($B172="","Missing: SKU",IF(NOT(ISNUMBER($E172)),"Missing: expiry date",IF($G172="","Missing: status",IF(COUNTIF(Products!$A$2:$A$101,$B172)=0,"Unknown SKU",IF(AND($C172&lt;&gt;"",COUNTIF(Suppliers!$A$2:$A$51,$C172)=0),"Unknown supplier",IF(COUNTIF(Config!$E$15:$E$34,$G172)=0,"Unsupported status",IF($L172&lt;0,"Negative lot balance",IF(AND($G172="Closed",$L172&lt;&gt;0),"Closed lot still has stock","OK")))))))))))</f>
        <v/>
      </c>
    </row>
    <row r="173">
      <c r="A173" s="46" t="n"/>
      <c r="B173" s="46" t="n"/>
      <c r="C173" s="46" t="n"/>
      <c r="D173" s="54" t="n"/>
      <c r="E173" s="54" t="n"/>
      <c r="F173" s="48" t="n"/>
      <c r="G173" s="46" t="n"/>
      <c r="H173" s="46" t="n"/>
      <c r="I173" s="46" t="n"/>
      <c r="J173" s="49" t="str">
        <f>IF($A173="","",IFERROR(INDEX(Products!$B$2:$B$101,MATCH($B173,Products!$A$2:$A$101,0))&amp;"","(not found)"))</f>
        <v/>
      </c>
      <c r="K173" s="51" t="str">
        <f>IF($A173="","",SUMIFS(Inventory_Ledger!$M$2:$M$2001,Inventory_Ledger!$F$2:$F$2001,$A173))</f>
        <v/>
      </c>
      <c r="L173" s="51" t="str">
        <f>IF($A173="","",IF(ISNUMBER($F173),$F173,0)+$K173)</f>
        <v/>
      </c>
      <c r="M173" s="56" t="str">
        <f>IF(OR($A173="",NOT(ISNUMBER($E173))),"",$E173-Config!$B$4)</f>
        <v/>
      </c>
      <c r="N173" s="49" t="str">
        <f>IF($M173="","",IF($M173&lt;0,"Expired",IF($M173&lt;=Config!$B$6,"&lt;="&amp;Config!$B$6,IF($M173&lt;=Config!$B$7,(Config!$B$6+1)&amp;"-"&amp;Config!$B$7,IF($M173&lt;=Config!$B$8,(Config!$B$7+1)&amp;"-"&amp;Config!$B$8,"&gt;"&amp;Config!$B$8)))))</f>
        <v/>
      </c>
      <c r="O173" s="52" t="str">
        <f>IF($M173="","",IF($M173&lt;0,0,IF($M173&lt;=Config!$B$6,1,IF($M173&lt;=Config!$B$7,2,IF($M173&lt;=Config!$B$8,3,4)))))</f>
        <v/>
      </c>
      <c r="P173" s="50" t="str">
        <f>IF($A173="","",IF($L173&lt;=0,0,IF(OR(IFERROR(INDEX(Config!$F$15:$F$34,MATCH($G173,Config!$E$15:$E$34,0)),"No")="Yes",AND(Config!$B$10="Yes",ISNUMBER($M173),$M173&lt;0)),$L173,0)))</f>
        <v/>
      </c>
      <c r="Q173" s="52" t="str">
        <f>IF($A173="","",IF(AND($L173&gt;0,ISNUMBER($M173)),IF($M173&lt;=Config!$B$8,1,0),0))</f>
        <v/>
      </c>
      <c r="R173" s="52" t="str">
        <f>IF($Q173=1,COUNTIFS($Q$2:$Q$301,1,$E$2:$E$301,"&lt;"&amp;$E173)+COUNTIFS($Q$2:$Q173,1,$E$2:$E173,$E173),"")</f>
        <v/>
      </c>
      <c r="S173" s="49" t="str">
        <f>IF(COUNTA($A173:$I173)=0,"",IF($A173="","Missing: lot",IF(COUNTIF($A$2:$A$301,$A173)&gt;1,"Duplicate lot",IF($B173="","Missing: SKU",IF(NOT(ISNUMBER($E173)),"Missing: expiry date",IF($G173="","Missing: status",IF(COUNTIF(Products!$A$2:$A$101,$B173)=0,"Unknown SKU",IF(AND($C173&lt;&gt;"",COUNTIF(Suppliers!$A$2:$A$51,$C173)=0),"Unknown supplier",IF(COUNTIF(Config!$E$15:$E$34,$G173)=0,"Unsupported status",IF($L173&lt;0,"Negative lot balance",IF(AND($G173="Closed",$L173&lt;&gt;0),"Closed lot still has stock","OK")))))))))))</f>
        <v/>
      </c>
    </row>
    <row r="174">
      <c r="A174" s="46" t="n"/>
      <c r="B174" s="46" t="n"/>
      <c r="C174" s="46" t="n"/>
      <c r="D174" s="54" t="n"/>
      <c r="E174" s="54" t="n"/>
      <c r="F174" s="48" t="n"/>
      <c r="G174" s="46" t="n"/>
      <c r="H174" s="46" t="n"/>
      <c r="I174" s="46" t="n"/>
      <c r="J174" s="49" t="str">
        <f>IF($A174="","",IFERROR(INDEX(Products!$B$2:$B$101,MATCH($B174,Products!$A$2:$A$101,0))&amp;"","(not found)"))</f>
        <v/>
      </c>
      <c r="K174" s="51" t="str">
        <f>IF($A174="","",SUMIFS(Inventory_Ledger!$M$2:$M$2001,Inventory_Ledger!$F$2:$F$2001,$A174))</f>
        <v/>
      </c>
      <c r="L174" s="51" t="str">
        <f>IF($A174="","",IF(ISNUMBER($F174),$F174,0)+$K174)</f>
        <v/>
      </c>
      <c r="M174" s="56" t="str">
        <f>IF(OR($A174="",NOT(ISNUMBER($E174))),"",$E174-Config!$B$4)</f>
        <v/>
      </c>
      <c r="N174" s="49" t="str">
        <f>IF($M174="","",IF($M174&lt;0,"Expired",IF($M174&lt;=Config!$B$6,"&lt;="&amp;Config!$B$6,IF($M174&lt;=Config!$B$7,(Config!$B$6+1)&amp;"-"&amp;Config!$B$7,IF($M174&lt;=Config!$B$8,(Config!$B$7+1)&amp;"-"&amp;Config!$B$8,"&gt;"&amp;Config!$B$8)))))</f>
        <v/>
      </c>
      <c r="O174" s="52" t="str">
        <f>IF($M174="","",IF($M174&lt;0,0,IF($M174&lt;=Config!$B$6,1,IF($M174&lt;=Config!$B$7,2,IF($M174&lt;=Config!$B$8,3,4)))))</f>
        <v/>
      </c>
      <c r="P174" s="50" t="str">
        <f>IF($A174="","",IF($L174&lt;=0,0,IF(OR(IFERROR(INDEX(Config!$F$15:$F$34,MATCH($G174,Config!$E$15:$E$34,0)),"No")="Yes",AND(Config!$B$10="Yes",ISNUMBER($M174),$M174&lt;0)),$L174,0)))</f>
        <v/>
      </c>
      <c r="Q174" s="52" t="str">
        <f>IF($A174="","",IF(AND($L174&gt;0,ISNUMBER($M174)),IF($M174&lt;=Config!$B$8,1,0),0))</f>
        <v/>
      </c>
      <c r="R174" s="52" t="str">
        <f>IF($Q174=1,COUNTIFS($Q$2:$Q$301,1,$E$2:$E$301,"&lt;"&amp;$E174)+COUNTIFS($Q$2:$Q174,1,$E$2:$E174,$E174),"")</f>
        <v/>
      </c>
      <c r="S174" s="49" t="str">
        <f>IF(COUNTA($A174:$I174)=0,"",IF($A174="","Missing: lot",IF(COUNTIF($A$2:$A$301,$A174)&gt;1,"Duplicate lot",IF($B174="","Missing: SKU",IF(NOT(ISNUMBER($E174)),"Missing: expiry date",IF($G174="","Missing: status",IF(COUNTIF(Products!$A$2:$A$101,$B174)=0,"Unknown SKU",IF(AND($C174&lt;&gt;"",COUNTIF(Suppliers!$A$2:$A$51,$C174)=0),"Unknown supplier",IF(COUNTIF(Config!$E$15:$E$34,$G174)=0,"Unsupported status",IF($L174&lt;0,"Negative lot balance",IF(AND($G174="Closed",$L174&lt;&gt;0),"Closed lot still has stock","OK")))))))))))</f>
        <v/>
      </c>
    </row>
    <row r="175">
      <c r="A175" s="46" t="n"/>
      <c r="B175" s="46" t="n"/>
      <c r="C175" s="46" t="n"/>
      <c r="D175" s="54" t="n"/>
      <c r="E175" s="54" t="n"/>
      <c r="F175" s="48" t="n"/>
      <c r="G175" s="46" t="n"/>
      <c r="H175" s="46" t="n"/>
      <c r="I175" s="46" t="n"/>
      <c r="J175" s="49" t="str">
        <f>IF($A175="","",IFERROR(INDEX(Products!$B$2:$B$101,MATCH($B175,Products!$A$2:$A$101,0))&amp;"","(not found)"))</f>
        <v/>
      </c>
      <c r="K175" s="51" t="str">
        <f>IF($A175="","",SUMIFS(Inventory_Ledger!$M$2:$M$2001,Inventory_Ledger!$F$2:$F$2001,$A175))</f>
        <v/>
      </c>
      <c r="L175" s="51" t="str">
        <f>IF($A175="","",IF(ISNUMBER($F175),$F175,0)+$K175)</f>
        <v/>
      </c>
      <c r="M175" s="56" t="str">
        <f>IF(OR($A175="",NOT(ISNUMBER($E175))),"",$E175-Config!$B$4)</f>
        <v/>
      </c>
      <c r="N175" s="49" t="str">
        <f>IF($M175="","",IF($M175&lt;0,"Expired",IF($M175&lt;=Config!$B$6,"&lt;="&amp;Config!$B$6,IF($M175&lt;=Config!$B$7,(Config!$B$6+1)&amp;"-"&amp;Config!$B$7,IF($M175&lt;=Config!$B$8,(Config!$B$7+1)&amp;"-"&amp;Config!$B$8,"&gt;"&amp;Config!$B$8)))))</f>
        <v/>
      </c>
      <c r="O175" s="52" t="str">
        <f>IF($M175="","",IF($M175&lt;0,0,IF($M175&lt;=Config!$B$6,1,IF($M175&lt;=Config!$B$7,2,IF($M175&lt;=Config!$B$8,3,4)))))</f>
        <v/>
      </c>
      <c r="P175" s="50" t="str">
        <f>IF($A175="","",IF($L175&lt;=0,0,IF(OR(IFERROR(INDEX(Config!$F$15:$F$34,MATCH($G175,Config!$E$15:$E$34,0)),"No")="Yes",AND(Config!$B$10="Yes",ISNUMBER($M175),$M175&lt;0)),$L175,0)))</f>
        <v/>
      </c>
      <c r="Q175" s="52" t="str">
        <f>IF($A175="","",IF(AND($L175&gt;0,ISNUMBER($M175)),IF($M175&lt;=Config!$B$8,1,0),0))</f>
        <v/>
      </c>
      <c r="R175" s="52" t="str">
        <f>IF($Q175=1,COUNTIFS($Q$2:$Q$301,1,$E$2:$E$301,"&lt;"&amp;$E175)+COUNTIFS($Q$2:$Q175,1,$E$2:$E175,$E175),"")</f>
        <v/>
      </c>
      <c r="S175" s="49" t="str">
        <f>IF(COUNTA($A175:$I175)=0,"",IF($A175="","Missing: lot",IF(COUNTIF($A$2:$A$301,$A175)&gt;1,"Duplicate lot",IF($B175="","Missing: SKU",IF(NOT(ISNUMBER($E175)),"Missing: expiry date",IF($G175="","Missing: status",IF(COUNTIF(Products!$A$2:$A$101,$B175)=0,"Unknown SKU",IF(AND($C175&lt;&gt;"",COUNTIF(Suppliers!$A$2:$A$51,$C175)=0),"Unknown supplier",IF(COUNTIF(Config!$E$15:$E$34,$G175)=0,"Unsupported status",IF($L175&lt;0,"Negative lot balance",IF(AND($G175="Closed",$L175&lt;&gt;0),"Closed lot still has stock","OK")))))))))))</f>
        <v/>
      </c>
    </row>
    <row r="176">
      <c r="A176" s="46" t="n"/>
      <c r="B176" s="46" t="n"/>
      <c r="C176" s="46" t="n"/>
      <c r="D176" s="54" t="n"/>
      <c r="E176" s="54" t="n"/>
      <c r="F176" s="48" t="n"/>
      <c r="G176" s="46" t="n"/>
      <c r="H176" s="46" t="n"/>
      <c r="I176" s="46" t="n"/>
      <c r="J176" s="49" t="str">
        <f>IF($A176="","",IFERROR(INDEX(Products!$B$2:$B$101,MATCH($B176,Products!$A$2:$A$101,0))&amp;"","(not found)"))</f>
        <v/>
      </c>
      <c r="K176" s="51" t="str">
        <f>IF($A176="","",SUMIFS(Inventory_Ledger!$M$2:$M$2001,Inventory_Ledger!$F$2:$F$2001,$A176))</f>
        <v/>
      </c>
      <c r="L176" s="51" t="str">
        <f>IF($A176="","",IF(ISNUMBER($F176),$F176,0)+$K176)</f>
        <v/>
      </c>
      <c r="M176" s="56" t="str">
        <f>IF(OR($A176="",NOT(ISNUMBER($E176))),"",$E176-Config!$B$4)</f>
        <v/>
      </c>
      <c r="N176" s="49" t="str">
        <f>IF($M176="","",IF($M176&lt;0,"Expired",IF($M176&lt;=Config!$B$6,"&lt;="&amp;Config!$B$6,IF($M176&lt;=Config!$B$7,(Config!$B$6+1)&amp;"-"&amp;Config!$B$7,IF($M176&lt;=Config!$B$8,(Config!$B$7+1)&amp;"-"&amp;Config!$B$8,"&gt;"&amp;Config!$B$8)))))</f>
        <v/>
      </c>
      <c r="O176" s="52" t="str">
        <f>IF($M176="","",IF($M176&lt;0,0,IF($M176&lt;=Config!$B$6,1,IF($M176&lt;=Config!$B$7,2,IF($M176&lt;=Config!$B$8,3,4)))))</f>
        <v/>
      </c>
      <c r="P176" s="50" t="str">
        <f>IF($A176="","",IF($L176&lt;=0,0,IF(OR(IFERROR(INDEX(Config!$F$15:$F$34,MATCH($G176,Config!$E$15:$E$34,0)),"No")="Yes",AND(Config!$B$10="Yes",ISNUMBER($M176),$M176&lt;0)),$L176,0)))</f>
        <v/>
      </c>
      <c r="Q176" s="52" t="str">
        <f>IF($A176="","",IF(AND($L176&gt;0,ISNUMBER($M176)),IF($M176&lt;=Config!$B$8,1,0),0))</f>
        <v/>
      </c>
      <c r="R176" s="52" t="str">
        <f>IF($Q176=1,COUNTIFS($Q$2:$Q$301,1,$E$2:$E$301,"&lt;"&amp;$E176)+COUNTIFS($Q$2:$Q176,1,$E$2:$E176,$E176),"")</f>
        <v/>
      </c>
      <c r="S176" s="49" t="str">
        <f>IF(COUNTA($A176:$I176)=0,"",IF($A176="","Missing: lot",IF(COUNTIF($A$2:$A$301,$A176)&gt;1,"Duplicate lot",IF($B176="","Missing: SKU",IF(NOT(ISNUMBER($E176)),"Missing: expiry date",IF($G176="","Missing: status",IF(COUNTIF(Products!$A$2:$A$101,$B176)=0,"Unknown SKU",IF(AND($C176&lt;&gt;"",COUNTIF(Suppliers!$A$2:$A$51,$C176)=0),"Unknown supplier",IF(COUNTIF(Config!$E$15:$E$34,$G176)=0,"Unsupported status",IF($L176&lt;0,"Negative lot balance",IF(AND($G176="Closed",$L176&lt;&gt;0),"Closed lot still has stock","OK")))))))))))</f>
        <v/>
      </c>
    </row>
    <row r="177">
      <c r="A177" s="46" t="n"/>
      <c r="B177" s="46" t="n"/>
      <c r="C177" s="46" t="n"/>
      <c r="D177" s="54" t="n"/>
      <c r="E177" s="54" t="n"/>
      <c r="F177" s="48" t="n"/>
      <c r="G177" s="46" t="n"/>
      <c r="H177" s="46" t="n"/>
      <c r="I177" s="46" t="n"/>
      <c r="J177" s="49" t="str">
        <f>IF($A177="","",IFERROR(INDEX(Products!$B$2:$B$101,MATCH($B177,Products!$A$2:$A$101,0))&amp;"","(not found)"))</f>
        <v/>
      </c>
      <c r="K177" s="51" t="str">
        <f>IF($A177="","",SUMIFS(Inventory_Ledger!$M$2:$M$2001,Inventory_Ledger!$F$2:$F$2001,$A177))</f>
        <v/>
      </c>
      <c r="L177" s="51" t="str">
        <f>IF($A177="","",IF(ISNUMBER($F177),$F177,0)+$K177)</f>
        <v/>
      </c>
      <c r="M177" s="56" t="str">
        <f>IF(OR($A177="",NOT(ISNUMBER($E177))),"",$E177-Config!$B$4)</f>
        <v/>
      </c>
      <c r="N177" s="49" t="str">
        <f>IF($M177="","",IF($M177&lt;0,"Expired",IF($M177&lt;=Config!$B$6,"&lt;="&amp;Config!$B$6,IF($M177&lt;=Config!$B$7,(Config!$B$6+1)&amp;"-"&amp;Config!$B$7,IF($M177&lt;=Config!$B$8,(Config!$B$7+1)&amp;"-"&amp;Config!$B$8,"&gt;"&amp;Config!$B$8)))))</f>
        <v/>
      </c>
      <c r="O177" s="52" t="str">
        <f>IF($M177="","",IF($M177&lt;0,0,IF($M177&lt;=Config!$B$6,1,IF($M177&lt;=Config!$B$7,2,IF($M177&lt;=Config!$B$8,3,4)))))</f>
        <v/>
      </c>
      <c r="P177" s="50" t="str">
        <f>IF($A177="","",IF($L177&lt;=0,0,IF(OR(IFERROR(INDEX(Config!$F$15:$F$34,MATCH($G177,Config!$E$15:$E$34,0)),"No")="Yes",AND(Config!$B$10="Yes",ISNUMBER($M177),$M177&lt;0)),$L177,0)))</f>
        <v/>
      </c>
      <c r="Q177" s="52" t="str">
        <f>IF($A177="","",IF(AND($L177&gt;0,ISNUMBER($M177)),IF($M177&lt;=Config!$B$8,1,0),0))</f>
        <v/>
      </c>
      <c r="R177" s="52" t="str">
        <f>IF($Q177=1,COUNTIFS($Q$2:$Q$301,1,$E$2:$E$301,"&lt;"&amp;$E177)+COUNTIFS($Q$2:$Q177,1,$E$2:$E177,$E177),"")</f>
        <v/>
      </c>
      <c r="S177" s="49" t="str">
        <f>IF(COUNTA($A177:$I177)=0,"",IF($A177="","Missing: lot",IF(COUNTIF($A$2:$A$301,$A177)&gt;1,"Duplicate lot",IF($B177="","Missing: SKU",IF(NOT(ISNUMBER($E177)),"Missing: expiry date",IF($G177="","Missing: status",IF(COUNTIF(Products!$A$2:$A$101,$B177)=0,"Unknown SKU",IF(AND($C177&lt;&gt;"",COUNTIF(Suppliers!$A$2:$A$51,$C177)=0),"Unknown supplier",IF(COUNTIF(Config!$E$15:$E$34,$G177)=0,"Unsupported status",IF($L177&lt;0,"Negative lot balance",IF(AND($G177="Closed",$L177&lt;&gt;0),"Closed lot still has stock","OK")))))))))))</f>
        <v/>
      </c>
    </row>
    <row r="178">
      <c r="A178" s="46" t="n"/>
      <c r="B178" s="46" t="n"/>
      <c r="C178" s="46" t="n"/>
      <c r="D178" s="54" t="n"/>
      <c r="E178" s="54" t="n"/>
      <c r="F178" s="48" t="n"/>
      <c r="G178" s="46" t="n"/>
      <c r="H178" s="46" t="n"/>
      <c r="I178" s="46" t="n"/>
      <c r="J178" s="49" t="str">
        <f>IF($A178="","",IFERROR(INDEX(Products!$B$2:$B$101,MATCH($B178,Products!$A$2:$A$101,0))&amp;"","(not found)"))</f>
        <v/>
      </c>
      <c r="K178" s="51" t="str">
        <f>IF($A178="","",SUMIFS(Inventory_Ledger!$M$2:$M$2001,Inventory_Ledger!$F$2:$F$2001,$A178))</f>
        <v/>
      </c>
      <c r="L178" s="51" t="str">
        <f>IF($A178="","",IF(ISNUMBER($F178),$F178,0)+$K178)</f>
        <v/>
      </c>
      <c r="M178" s="56" t="str">
        <f>IF(OR($A178="",NOT(ISNUMBER($E178))),"",$E178-Config!$B$4)</f>
        <v/>
      </c>
      <c r="N178" s="49" t="str">
        <f>IF($M178="","",IF($M178&lt;0,"Expired",IF($M178&lt;=Config!$B$6,"&lt;="&amp;Config!$B$6,IF($M178&lt;=Config!$B$7,(Config!$B$6+1)&amp;"-"&amp;Config!$B$7,IF($M178&lt;=Config!$B$8,(Config!$B$7+1)&amp;"-"&amp;Config!$B$8,"&gt;"&amp;Config!$B$8)))))</f>
        <v/>
      </c>
      <c r="O178" s="52" t="str">
        <f>IF($M178="","",IF($M178&lt;0,0,IF($M178&lt;=Config!$B$6,1,IF($M178&lt;=Config!$B$7,2,IF($M178&lt;=Config!$B$8,3,4)))))</f>
        <v/>
      </c>
      <c r="P178" s="50" t="str">
        <f>IF($A178="","",IF($L178&lt;=0,0,IF(OR(IFERROR(INDEX(Config!$F$15:$F$34,MATCH($G178,Config!$E$15:$E$34,0)),"No")="Yes",AND(Config!$B$10="Yes",ISNUMBER($M178),$M178&lt;0)),$L178,0)))</f>
        <v/>
      </c>
      <c r="Q178" s="52" t="str">
        <f>IF($A178="","",IF(AND($L178&gt;0,ISNUMBER($M178)),IF($M178&lt;=Config!$B$8,1,0),0))</f>
        <v/>
      </c>
      <c r="R178" s="52" t="str">
        <f>IF($Q178=1,COUNTIFS($Q$2:$Q$301,1,$E$2:$E$301,"&lt;"&amp;$E178)+COUNTIFS($Q$2:$Q178,1,$E$2:$E178,$E178),"")</f>
        <v/>
      </c>
      <c r="S178" s="49" t="str">
        <f>IF(COUNTA($A178:$I178)=0,"",IF($A178="","Missing: lot",IF(COUNTIF($A$2:$A$301,$A178)&gt;1,"Duplicate lot",IF($B178="","Missing: SKU",IF(NOT(ISNUMBER($E178)),"Missing: expiry date",IF($G178="","Missing: status",IF(COUNTIF(Products!$A$2:$A$101,$B178)=0,"Unknown SKU",IF(AND($C178&lt;&gt;"",COUNTIF(Suppliers!$A$2:$A$51,$C178)=0),"Unknown supplier",IF(COUNTIF(Config!$E$15:$E$34,$G178)=0,"Unsupported status",IF($L178&lt;0,"Negative lot balance",IF(AND($G178="Closed",$L178&lt;&gt;0),"Closed lot still has stock","OK")))))))))))</f>
        <v/>
      </c>
    </row>
    <row r="179">
      <c r="A179" s="46" t="n"/>
      <c r="B179" s="46" t="n"/>
      <c r="C179" s="46" t="n"/>
      <c r="D179" s="54" t="n"/>
      <c r="E179" s="54" t="n"/>
      <c r="F179" s="48" t="n"/>
      <c r="G179" s="46" t="n"/>
      <c r="H179" s="46" t="n"/>
      <c r="I179" s="46" t="n"/>
      <c r="J179" s="49" t="str">
        <f>IF($A179="","",IFERROR(INDEX(Products!$B$2:$B$101,MATCH($B179,Products!$A$2:$A$101,0))&amp;"","(not found)"))</f>
        <v/>
      </c>
      <c r="K179" s="51" t="str">
        <f>IF($A179="","",SUMIFS(Inventory_Ledger!$M$2:$M$2001,Inventory_Ledger!$F$2:$F$2001,$A179))</f>
        <v/>
      </c>
      <c r="L179" s="51" t="str">
        <f>IF($A179="","",IF(ISNUMBER($F179),$F179,0)+$K179)</f>
        <v/>
      </c>
      <c r="M179" s="56" t="str">
        <f>IF(OR($A179="",NOT(ISNUMBER($E179))),"",$E179-Config!$B$4)</f>
        <v/>
      </c>
      <c r="N179" s="49" t="str">
        <f>IF($M179="","",IF($M179&lt;0,"Expired",IF($M179&lt;=Config!$B$6,"&lt;="&amp;Config!$B$6,IF($M179&lt;=Config!$B$7,(Config!$B$6+1)&amp;"-"&amp;Config!$B$7,IF($M179&lt;=Config!$B$8,(Config!$B$7+1)&amp;"-"&amp;Config!$B$8,"&gt;"&amp;Config!$B$8)))))</f>
        <v/>
      </c>
      <c r="O179" s="52" t="str">
        <f>IF($M179="","",IF($M179&lt;0,0,IF($M179&lt;=Config!$B$6,1,IF($M179&lt;=Config!$B$7,2,IF($M179&lt;=Config!$B$8,3,4)))))</f>
        <v/>
      </c>
      <c r="P179" s="50" t="str">
        <f>IF($A179="","",IF($L179&lt;=0,0,IF(OR(IFERROR(INDEX(Config!$F$15:$F$34,MATCH($G179,Config!$E$15:$E$34,0)),"No")="Yes",AND(Config!$B$10="Yes",ISNUMBER($M179),$M179&lt;0)),$L179,0)))</f>
        <v/>
      </c>
      <c r="Q179" s="52" t="str">
        <f>IF($A179="","",IF(AND($L179&gt;0,ISNUMBER($M179)),IF($M179&lt;=Config!$B$8,1,0),0))</f>
        <v/>
      </c>
      <c r="R179" s="52" t="str">
        <f>IF($Q179=1,COUNTIFS($Q$2:$Q$301,1,$E$2:$E$301,"&lt;"&amp;$E179)+COUNTIFS($Q$2:$Q179,1,$E$2:$E179,$E179),"")</f>
        <v/>
      </c>
      <c r="S179" s="49" t="str">
        <f>IF(COUNTA($A179:$I179)=0,"",IF($A179="","Missing: lot",IF(COUNTIF($A$2:$A$301,$A179)&gt;1,"Duplicate lot",IF($B179="","Missing: SKU",IF(NOT(ISNUMBER($E179)),"Missing: expiry date",IF($G179="","Missing: status",IF(COUNTIF(Products!$A$2:$A$101,$B179)=0,"Unknown SKU",IF(AND($C179&lt;&gt;"",COUNTIF(Suppliers!$A$2:$A$51,$C179)=0),"Unknown supplier",IF(COUNTIF(Config!$E$15:$E$34,$G179)=0,"Unsupported status",IF($L179&lt;0,"Negative lot balance",IF(AND($G179="Closed",$L179&lt;&gt;0),"Closed lot still has stock","OK")))))))))))</f>
        <v/>
      </c>
    </row>
    <row r="180">
      <c r="A180" s="46" t="n"/>
      <c r="B180" s="46" t="n"/>
      <c r="C180" s="46" t="n"/>
      <c r="D180" s="54" t="n"/>
      <c r="E180" s="54" t="n"/>
      <c r="F180" s="48" t="n"/>
      <c r="G180" s="46" t="n"/>
      <c r="H180" s="46" t="n"/>
      <c r="I180" s="46" t="n"/>
      <c r="J180" s="49" t="str">
        <f>IF($A180="","",IFERROR(INDEX(Products!$B$2:$B$101,MATCH($B180,Products!$A$2:$A$101,0))&amp;"","(not found)"))</f>
        <v/>
      </c>
      <c r="K180" s="51" t="str">
        <f>IF($A180="","",SUMIFS(Inventory_Ledger!$M$2:$M$2001,Inventory_Ledger!$F$2:$F$2001,$A180))</f>
        <v/>
      </c>
      <c r="L180" s="51" t="str">
        <f>IF($A180="","",IF(ISNUMBER($F180),$F180,0)+$K180)</f>
        <v/>
      </c>
      <c r="M180" s="56" t="str">
        <f>IF(OR($A180="",NOT(ISNUMBER($E180))),"",$E180-Config!$B$4)</f>
        <v/>
      </c>
      <c r="N180" s="49" t="str">
        <f>IF($M180="","",IF($M180&lt;0,"Expired",IF($M180&lt;=Config!$B$6,"&lt;="&amp;Config!$B$6,IF($M180&lt;=Config!$B$7,(Config!$B$6+1)&amp;"-"&amp;Config!$B$7,IF($M180&lt;=Config!$B$8,(Config!$B$7+1)&amp;"-"&amp;Config!$B$8,"&gt;"&amp;Config!$B$8)))))</f>
        <v/>
      </c>
      <c r="O180" s="52" t="str">
        <f>IF($M180="","",IF($M180&lt;0,0,IF($M180&lt;=Config!$B$6,1,IF($M180&lt;=Config!$B$7,2,IF($M180&lt;=Config!$B$8,3,4)))))</f>
        <v/>
      </c>
      <c r="P180" s="50" t="str">
        <f>IF($A180="","",IF($L180&lt;=0,0,IF(OR(IFERROR(INDEX(Config!$F$15:$F$34,MATCH($G180,Config!$E$15:$E$34,0)),"No")="Yes",AND(Config!$B$10="Yes",ISNUMBER($M180),$M180&lt;0)),$L180,0)))</f>
        <v/>
      </c>
      <c r="Q180" s="52" t="str">
        <f>IF($A180="","",IF(AND($L180&gt;0,ISNUMBER($M180)),IF($M180&lt;=Config!$B$8,1,0),0))</f>
        <v/>
      </c>
      <c r="R180" s="52" t="str">
        <f>IF($Q180=1,COUNTIFS($Q$2:$Q$301,1,$E$2:$E$301,"&lt;"&amp;$E180)+COUNTIFS($Q$2:$Q180,1,$E$2:$E180,$E180),"")</f>
        <v/>
      </c>
      <c r="S180" s="49" t="str">
        <f>IF(COUNTA($A180:$I180)=0,"",IF($A180="","Missing: lot",IF(COUNTIF($A$2:$A$301,$A180)&gt;1,"Duplicate lot",IF($B180="","Missing: SKU",IF(NOT(ISNUMBER($E180)),"Missing: expiry date",IF($G180="","Missing: status",IF(COUNTIF(Products!$A$2:$A$101,$B180)=0,"Unknown SKU",IF(AND($C180&lt;&gt;"",COUNTIF(Suppliers!$A$2:$A$51,$C180)=0),"Unknown supplier",IF(COUNTIF(Config!$E$15:$E$34,$G180)=0,"Unsupported status",IF($L180&lt;0,"Negative lot balance",IF(AND($G180="Closed",$L180&lt;&gt;0),"Closed lot still has stock","OK")))))))))))</f>
        <v/>
      </c>
    </row>
    <row r="181">
      <c r="A181" s="46" t="n"/>
      <c r="B181" s="46" t="n"/>
      <c r="C181" s="46" t="n"/>
      <c r="D181" s="54" t="n"/>
      <c r="E181" s="54" t="n"/>
      <c r="F181" s="48" t="n"/>
      <c r="G181" s="46" t="n"/>
      <c r="H181" s="46" t="n"/>
      <c r="I181" s="46" t="n"/>
      <c r="J181" s="49" t="str">
        <f>IF($A181="","",IFERROR(INDEX(Products!$B$2:$B$101,MATCH($B181,Products!$A$2:$A$101,0))&amp;"","(not found)"))</f>
        <v/>
      </c>
      <c r="K181" s="51" t="str">
        <f>IF($A181="","",SUMIFS(Inventory_Ledger!$M$2:$M$2001,Inventory_Ledger!$F$2:$F$2001,$A181))</f>
        <v/>
      </c>
      <c r="L181" s="51" t="str">
        <f>IF($A181="","",IF(ISNUMBER($F181),$F181,0)+$K181)</f>
        <v/>
      </c>
      <c r="M181" s="56" t="str">
        <f>IF(OR($A181="",NOT(ISNUMBER($E181))),"",$E181-Config!$B$4)</f>
        <v/>
      </c>
      <c r="N181" s="49" t="str">
        <f>IF($M181="","",IF($M181&lt;0,"Expired",IF($M181&lt;=Config!$B$6,"&lt;="&amp;Config!$B$6,IF($M181&lt;=Config!$B$7,(Config!$B$6+1)&amp;"-"&amp;Config!$B$7,IF($M181&lt;=Config!$B$8,(Config!$B$7+1)&amp;"-"&amp;Config!$B$8,"&gt;"&amp;Config!$B$8)))))</f>
        <v/>
      </c>
      <c r="O181" s="52" t="str">
        <f>IF($M181="","",IF($M181&lt;0,0,IF($M181&lt;=Config!$B$6,1,IF($M181&lt;=Config!$B$7,2,IF($M181&lt;=Config!$B$8,3,4)))))</f>
        <v/>
      </c>
      <c r="P181" s="50" t="str">
        <f>IF($A181="","",IF($L181&lt;=0,0,IF(OR(IFERROR(INDEX(Config!$F$15:$F$34,MATCH($G181,Config!$E$15:$E$34,0)),"No")="Yes",AND(Config!$B$10="Yes",ISNUMBER($M181),$M181&lt;0)),$L181,0)))</f>
        <v/>
      </c>
      <c r="Q181" s="52" t="str">
        <f>IF($A181="","",IF(AND($L181&gt;0,ISNUMBER($M181)),IF($M181&lt;=Config!$B$8,1,0),0))</f>
        <v/>
      </c>
      <c r="R181" s="52" t="str">
        <f>IF($Q181=1,COUNTIFS($Q$2:$Q$301,1,$E$2:$E$301,"&lt;"&amp;$E181)+COUNTIFS($Q$2:$Q181,1,$E$2:$E181,$E181),"")</f>
        <v/>
      </c>
      <c r="S181" s="49" t="str">
        <f>IF(COUNTA($A181:$I181)=0,"",IF($A181="","Missing: lot",IF(COUNTIF($A$2:$A$301,$A181)&gt;1,"Duplicate lot",IF($B181="","Missing: SKU",IF(NOT(ISNUMBER($E181)),"Missing: expiry date",IF($G181="","Missing: status",IF(COUNTIF(Products!$A$2:$A$101,$B181)=0,"Unknown SKU",IF(AND($C181&lt;&gt;"",COUNTIF(Suppliers!$A$2:$A$51,$C181)=0),"Unknown supplier",IF(COUNTIF(Config!$E$15:$E$34,$G181)=0,"Unsupported status",IF($L181&lt;0,"Negative lot balance",IF(AND($G181="Closed",$L181&lt;&gt;0),"Closed lot still has stock","OK")))))))))))</f>
        <v/>
      </c>
    </row>
    <row r="182">
      <c r="A182" s="46" t="n"/>
      <c r="B182" s="46" t="n"/>
      <c r="C182" s="46" t="n"/>
      <c r="D182" s="54" t="n"/>
      <c r="E182" s="54" t="n"/>
      <c r="F182" s="48" t="n"/>
      <c r="G182" s="46" t="n"/>
      <c r="H182" s="46" t="n"/>
      <c r="I182" s="46" t="n"/>
      <c r="J182" s="49" t="str">
        <f>IF($A182="","",IFERROR(INDEX(Products!$B$2:$B$101,MATCH($B182,Products!$A$2:$A$101,0))&amp;"","(not found)"))</f>
        <v/>
      </c>
      <c r="K182" s="51" t="str">
        <f>IF($A182="","",SUMIFS(Inventory_Ledger!$M$2:$M$2001,Inventory_Ledger!$F$2:$F$2001,$A182))</f>
        <v/>
      </c>
      <c r="L182" s="51" t="str">
        <f>IF($A182="","",IF(ISNUMBER($F182),$F182,0)+$K182)</f>
        <v/>
      </c>
      <c r="M182" s="56" t="str">
        <f>IF(OR($A182="",NOT(ISNUMBER($E182))),"",$E182-Config!$B$4)</f>
        <v/>
      </c>
      <c r="N182" s="49" t="str">
        <f>IF($M182="","",IF($M182&lt;0,"Expired",IF($M182&lt;=Config!$B$6,"&lt;="&amp;Config!$B$6,IF($M182&lt;=Config!$B$7,(Config!$B$6+1)&amp;"-"&amp;Config!$B$7,IF($M182&lt;=Config!$B$8,(Config!$B$7+1)&amp;"-"&amp;Config!$B$8,"&gt;"&amp;Config!$B$8)))))</f>
        <v/>
      </c>
      <c r="O182" s="52" t="str">
        <f>IF($M182="","",IF($M182&lt;0,0,IF($M182&lt;=Config!$B$6,1,IF($M182&lt;=Config!$B$7,2,IF($M182&lt;=Config!$B$8,3,4)))))</f>
        <v/>
      </c>
      <c r="P182" s="50" t="str">
        <f>IF($A182="","",IF($L182&lt;=0,0,IF(OR(IFERROR(INDEX(Config!$F$15:$F$34,MATCH($G182,Config!$E$15:$E$34,0)),"No")="Yes",AND(Config!$B$10="Yes",ISNUMBER($M182),$M182&lt;0)),$L182,0)))</f>
        <v/>
      </c>
      <c r="Q182" s="52" t="str">
        <f>IF($A182="","",IF(AND($L182&gt;0,ISNUMBER($M182)),IF($M182&lt;=Config!$B$8,1,0),0))</f>
        <v/>
      </c>
      <c r="R182" s="52" t="str">
        <f>IF($Q182=1,COUNTIFS($Q$2:$Q$301,1,$E$2:$E$301,"&lt;"&amp;$E182)+COUNTIFS($Q$2:$Q182,1,$E$2:$E182,$E182),"")</f>
        <v/>
      </c>
      <c r="S182" s="49" t="str">
        <f>IF(COUNTA($A182:$I182)=0,"",IF($A182="","Missing: lot",IF(COUNTIF($A$2:$A$301,$A182)&gt;1,"Duplicate lot",IF($B182="","Missing: SKU",IF(NOT(ISNUMBER($E182)),"Missing: expiry date",IF($G182="","Missing: status",IF(COUNTIF(Products!$A$2:$A$101,$B182)=0,"Unknown SKU",IF(AND($C182&lt;&gt;"",COUNTIF(Suppliers!$A$2:$A$51,$C182)=0),"Unknown supplier",IF(COUNTIF(Config!$E$15:$E$34,$G182)=0,"Unsupported status",IF($L182&lt;0,"Negative lot balance",IF(AND($G182="Closed",$L182&lt;&gt;0),"Closed lot still has stock","OK")))))))))))</f>
        <v/>
      </c>
    </row>
    <row r="183">
      <c r="A183" s="46" t="n"/>
      <c r="B183" s="46" t="n"/>
      <c r="C183" s="46" t="n"/>
      <c r="D183" s="54" t="n"/>
      <c r="E183" s="54" t="n"/>
      <c r="F183" s="48" t="n"/>
      <c r="G183" s="46" t="n"/>
      <c r="H183" s="46" t="n"/>
      <c r="I183" s="46" t="n"/>
      <c r="J183" s="49" t="str">
        <f>IF($A183="","",IFERROR(INDEX(Products!$B$2:$B$101,MATCH($B183,Products!$A$2:$A$101,0))&amp;"","(not found)"))</f>
        <v/>
      </c>
      <c r="K183" s="51" t="str">
        <f>IF($A183="","",SUMIFS(Inventory_Ledger!$M$2:$M$2001,Inventory_Ledger!$F$2:$F$2001,$A183))</f>
        <v/>
      </c>
      <c r="L183" s="51" t="str">
        <f>IF($A183="","",IF(ISNUMBER($F183),$F183,0)+$K183)</f>
        <v/>
      </c>
      <c r="M183" s="56" t="str">
        <f>IF(OR($A183="",NOT(ISNUMBER($E183))),"",$E183-Config!$B$4)</f>
        <v/>
      </c>
      <c r="N183" s="49" t="str">
        <f>IF($M183="","",IF($M183&lt;0,"Expired",IF($M183&lt;=Config!$B$6,"&lt;="&amp;Config!$B$6,IF($M183&lt;=Config!$B$7,(Config!$B$6+1)&amp;"-"&amp;Config!$B$7,IF($M183&lt;=Config!$B$8,(Config!$B$7+1)&amp;"-"&amp;Config!$B$8,"&gt;"&amp;Config!$B$8)))))</f>
        <v/>
      </c>
      <c r="O183" s="52" t="str">
        <f>IF($M183="","",IF($M183&lt;0,0,IF($M183&lt;=Config!$B$6,1,IF($M183&lt;=Config!$B$7,2,IF($M183&lt;=Config!$B$8,3,4)))))</f>
        <v/>
      </c>
      <c r="P183" s="50" t="str">
        <f>IF($A183="","",IF($L183&lt;=0,0,IF(OR(IFERROR(INDEX(Config!$F$15:$F$34,MATCH($G183,Config!$E$15:$E$34,0)),"No")="Yes",AND(Config!$B$10="Yes",ISNUMBER($M183),$M183&lt;0)),$L183,0)))</f>
        <v/>
      </c>
      <c r="Q183" s="52" t="str">
        <f>IF($A183="","",IF(AND($L183&gt;0,ISNUMBER($M183)),IF($M183&lt;=Config!$B$8,1,0),0))</f>
        <v/>
      </c>
      <c r="R183" s="52" t="str">
        <f>IF($Q183=1,COUNTIFS($Q$2:$Q$301,1,$E$2:$E$301,"&lt;"&amp;$E183)+COUNTIFS($Q$2:$Q183,1,$E$2:$E183,$E183),"")</f>
        <v/>
      </c>
      <c r="S183" s="49" t="str">
        <f>IF(COUNTA($A183:$I183)=0,"",IF($A183="","Missing: lot",IF(COUNTIF($A$2:$A$301,$A183)&gt;1,"Duplicate lot",IF($B183="","Missing: SKU",IF(NOT(ISNUMBER($E183)),"Missing: expiry date",IF($G183="","Missing: status",IF(COUNTIF(Products!$A$2:$A$101,$B183)=0,"Unknown SKU",IF(AND($C183&lt;&gt;"",COUNTIF(Suppliers!$A$2:$A$51,$C183)=0),"Unknown supplier",IF(COUNTIF(Config!$E$15:$E$34,$G183)=0,"Unsupported status",IF($L183&lt;0,"Negative lot balance",IF(AND($G183="Closed",$L183&lt;&gt;0),"Closed lot still has stock","OK")))))))))))</f>
        <v/>
      </c>
    </row>
    <row r="184">
      <c r="A184" s="46" t="n"/>
      <c r="B184" s="46" t="n"/>
      <c r="C184" s="46" t="n"/>
      <c r="D184" s="54" t="n"/>
      <c r="E184" s="54" t="n"/>
      <c r="F184" s="48" t="n"/>
      <c r="G184" s="46" t="n"/>
      <c r="H184" s="46" t="n"/>
      <c r="I184" s="46" t="n"/>
      <c r="J184" s="49" t="str">
        <f>IF($A184="","",IFERROR(INDEX(Products!$B$2:$B$101,MATCH($B184,Products!$A$2:$A$101,0))&amp;"","(not found)"))</f>
        <v/>
      </c>
      <c r="K184" s="51" t="str">
        <f>IF($A184="","",SUMIFS(Inventory_Ledger!$M$2:$M$2001,Inventory_Ledger!$F$2:$F$2001,$A184))</f>
        <v/>
      </c>
      <c r="L184" s="51" t="str">
        <f>IF($A184="","",IF(ISNUMBER($F184),$F184,0)+$K184)</f>
        <v/>
      </c>
      <c r="M184" s="56" t="str">
        <f>IF(OR($A184="",NOT(ISNUMBER($E184))),"",$E184-Config!$B$4)</f>
        <v/>
      </c>
      <c r="N184" s="49" t="str">
        <f>IF($M184="","",IF($M184&lt;0,"Expired",IF($M184&lt;=Config!$B$6,"&lt;="&amp;Config!$B$6,IF($M184&lt;=Config!$B$7,(Config!$B$6+1)&amp;"-"&amp;Config!$B$7,IF($M184&lt;=Config!$B$8,(Config!$B$7+1)&amp;"-"&amp;Config!$B$8,"&gt;"&amp;Config!$B$8)))))</f>
        <v/>
      </c>
      <c r="O184" s="52" t="str">
        <f>IF($M184="","",IF($M184&lt;0,0,IF($M184&lt;=Config!$B$6,1,IF($M184&lt;=Config!$B$7,2,IF($M184&lt;=Config!$B$8,3,4)))))</f>
        <v/>
      </c>
      <c r="P184" s="50" t="str">
        <f>IF($A184="","",IF($L184&lt;=0,0,IF(OR(IFERROR(INDEX(Config!$F$15:$F$34,MATCH($G184,Config!$E$15:$E$34,0)),"No")="Yes",AND(Config!$B$10="Yes",ISNUMBER($M184),$M184&lt;0)),$L184,0)))</f>
        <v/>
      </c>
      <c r="Q184" s="52" t="str">
        <f>IF($A184="","",IF(AND($L184&gt;0,ISNUMBER($M184)),IF($M184&lt;=Config!$B$8,1,0),0))</f>
        <v/>
      </c>
      <c r="R184" s="52" t="str">
        <f>IF($Q184=1,COUNTIFS($Q$2:$Q$301,1,$E$2:$E$301,"&lt;"&amp;$E184)+COUNTIFS($Q$2:$Q184,1,$E$2:$E184,$E184),"")</f>
        <v/>
      </c>
      <c r="S184" s="49" t="str">
        <f>IF(COUNTA($A184:$I184)=0,"",IF($A184="","Missing: lot",IF(COUNTIF($A$2:$A$301,$A184)&gt;1,"Duplicate lot",IF($B184="","Missing: SKU",IF(NOT(ISNUMBER($E184)),"Missing: expiry date",IF($G184="","Missing: status",IF(COUNTIF(Products!$A$2:$A$101,$B184)=0,"Unknown SKU",IF(AND($C184&lt;&gt;"",COUNTIF(Suppliers!$A$2:$A$51,$C184)=0),"Unknown supplier",IF(COUNTIF(Config!$E$15:$E$34,$G184)=0,"Unsupported status",IF($L184&lt;0,"Negative lot balance",IF(AND($G184="Closed",$L184&lt;&gt;0),"Closed lot still has stock","OK")))))))))))</f>
        <v/>
      </c>
    </row>
    <row r="185">
      <c r="A185" s="46" t="n"/>
      <c r="B185" s="46" t="n"/>
      <c r="C185" s="46" t="n"/>
      <c r="D185" s="54" t="n"/>
      <c r="E185" s="54" t="n"/>
      <c r="F185" s="48" t="n"/>
      <c r="G185" s="46" t="n"/>
      <c r="H185" s="46" t="n"/>
      <c r="I185" s="46" t="n"/>
      <c r="J185" s="49" t="str">
        <f>IF($A185="","",IFERROR(INDEX(Products!$B$2:$B$101,MATCH($B185,Products!$A$2:$A$101,0))&amp;"","(not found)"))</f>
        <v/>
      </c>
      <c r="K185" s="51" t="str">
        <f>IF($A185="","",SUMIFS(Inventory_Ledger!$M$2:$M$2001,Inventory_Ledger!$F$2:$F$2001,$A185))</f>
        <v/>
      </c>
      <c r="L185" s="51" t="str">
        <f>IF($A185="","",IF(ISNUMBER($F185),$F185,0)+$K185)</f>
        <v/>
      </c>
      <c r="M185" s="56" t="str">
        <f>IF(OR($A185="",NOT(ISNUMBER($E185))),"",$E185-Config!$B$4)</f>
        <v/>
      </c>
      <c r="N185" s="49" t="str">
        <f>IF($M185="","",IF($M185&lt;0,"Expired",IF($M185&lt;=Config!$B$6,"&lt;="&amp;Config!$B$6,IF($M185&lt;=Config!$B$7,(Config!$B$6+1)&amp;"-"&amp;Config!$B$7,IF($M185&lt;=Config!$B$8,(Config!$B$7+1)&amp;"-"&amp;Config!$B$8,"&gt;"&amp;Config!$B$8)))))</f>
        <v/>
      </c>
      <c r="O185" s="52" t="str">
        <f>IF($M185="","",IF($M185&lt;0,0,IF($M185&lt;=Config!$B$6,1,IF($M185&lt;=Config!$B$7,2,IF($M185&lt;=Config!$B$8,3,4)))))</f>
        <v/>
      </c>
      <c r="P185" s="50" t="str">
        <f>IF($A185="","",IF($L185&lt;=0,0,IF(OR(IFERROR(INDEX(Config!$F$15:$F$34,MATCH($G185,Config!$E$15:$E$34,0)),"No")="Yes",AND(Config!$B$10="Yes",ISNUMBER($M185),$M185&lt;0)),$L185,0)))</f>
        <v/>
      </c>
      <c r="Q185" s="52" t="str">
        <f>IF($A185="","",IF(AND($L185&gt;0,ISNUMBER($M185)),IF($M185&lt;=Config!$B$8,1,0),0))</f>
        <v/>
      </c>
      <c r="R185" s="52" t="str">
        <f>IF($Q185=1,COUNTIFS($Q$2:$Q$301,1,$E$2:$E$301,"&lt;"&amp;$E185)+COUNTIFS($Q$2:$Q185,1,$E$2:$E185,$E185),"")</f>
        <v/>
      </c>
      <c r="S185" s="49" t="str">
        <f>IF(COUNTA($A185:$I185)=0,"",IF($A185="","Missing: lot",IF(COUNTIF($A$2:$A$301,$A185)&gt;1,"Duplicate lot",IF($B185="","Missing: SKU",IF(NOT(ISNUMBER($E185)),"Missing: expiry date",IF($G185="","Missing: status",IF(COUNTIF(Products!$A$2:$A$101,$B185)=0,"Unknown SKU",IF(AND($C185&lt;&gt;"",COUNTIF(Suppliers!$A$2:$A$51,$C185)=0),"Unknown supplier",IF(COUNTIF(Config!$E$15:$E$34,$G185)=0,"Unsupported status",IF($L185&lt;0,"Negative lot balance",IF(AND($G185="Closed",$L185&lt;&gt;0),"Closed lot still has stock","OK")))))))))))</f>
        <v/>
      </c>
    </row>
    <row r="186">
      <c r="A186" s="46" t="n"/>
      <c r="B186" s="46" t="n"/>
      <c r="C186" s="46" t="n"/>
      <c r="D186" s="54" t="n"/>
      <c r="E186" s="54" t="n"/>
      <c r="F186" s="48" t="n"/>
      <c r="G186" s="46" t="n"/>
      <c r="H186" s="46" t="n"/>
      <c r="I186" s="46" t="n"/>
      <c r="J186" s="49" t="str">
        <f>IF($A186="","",IFERROR(INDEX(Products!$B$2:$B$101,MATCH($B186,Products!$A$2:$A$101,0))&amp;"","(not found)"))</f>
        <v/>
      </c>
      <c r="K186" s="51" t="str">
        <f>IF($A186="","",SUMIFS(Inventory_Ledger!$M$2:$M$2001,Inventory_Ledger!$F$2:$F$2001,$A186))</f>
        <v/>
      </c>
      <c r="L186" s="51" t="str">
        <f>IF($A186="","",IF(ISNUMBER($F186),$F186,0)+$K186)</f>
        <v/>
      </c>
      <c r="M186" s="56" t="str">
        <f>IF(OR($A186="",NOT(ISNUMBER($E186))),"",$E186-Config!$B$4)</f>
        <v/>
      </c>
      <c r="N186" s="49" t="str">
        <f>IF($M186="","",IF($M186&lt;0,"Expired",IF($M186&lt;=Config!$B$6,"&lt;="&amp;Config!$B$6,IF($M186&lt;=Config!$B$7,(Config!$B$6+1)&amp;"-"&amp;Config!$B$7,IF($M186&lt;=Config!$B$8,(Config!$B$7+1)&amp;"-"&amp;Config!$B$8,"&gt;"&amp;Config!$B$8)))))</f>
        <v/>
      </c>
      <c r="O186" s="52" t="str">
        <f>IF($M186="","",IF($M186&lt;0,0,IF($M186&lt;=Config!$B$6,1,IF($M186&lt;=Config!$B$7,2,IF($M186&lt;=Config!$B$8,3,4)))))</f>
        <v/>
      </c>
      <c r="P186" s="50" t="str">
        <f>IF($A186="","",IF($L186&lt;=0,0,IF(OR(IFERROR(INDEX(Config!$F$15:$F$34,MATCH($G186,Config!$E$15:$E$34,0)),"No")="Yes",AND(Config!$B$10="Yes",ISNUMBER($M186),$M186&lt;0)),$L186,0)))</f>
        <v/>
      </c>
      <c r="Q186" s="52" t="str">
        <f>IF($A186="","",IF(AND($L186&gt;0,ISNUMBER($M186)),IF($M186&lt;=Config!$B$8,1,0),0))</f>
        <v/>
      </c>
      <c r="R186" s="52" t="str">
        <f>IF($Q186=1,COUNTIFS($Q$2:$Q$301,1,$E$2:$E$301,"&lt;"&amp;$E186)+COUNTIFS($Q$2:$Q186,1,$E$2:$E186,$E186),"")</f>
        <v/>
      </c>
      <c r="S186" s="49" t="str">
        <f>IF(COUNTA($A186:$I186)=0,"",IF($A186="","Missing: lot",IF(COUNTIF($A$2:$A$301,$A186)&gt;1,"Duplicate lot",IF($B186="","Missing: SKU",IF(NOT(ISNUMBER($E186)),"Missing: expiry date",IF($G186="","Missing: status",IF(COUNTIF(Products!$A$2:$A$101,$B186)=0,"Unknown SKU",IF(AND($C186&lt;&gt;"",COUNTIF(Suppliers!$A$2:$A$51,$C186)=0),"Unknown supplier",IF(COUNTIF(Config!$E$15:$E$34,$G186)=0,"Unsupported status",IF($L186&lt;0,"Negative lot balance",IF(AND($G186="Closed",$L186&lt;&gt;0),"Closed lot still has stock","OK")))))))))))</f>
        <v/>
      </c>
    </row>
    <row r="187">
      <c r="A187" s="46" t="n"/>
      <c r="B187" s="46" t="n"/>
      <c r="C187" s="46" t="n"/>
      <c r="D187" s="54" t="n"/>
      <c r="E187" s="54" t="n"/>
      <c r="F187" s="48" t="n"/>
      <c r="G187" s="46" t="n"/>
      <c r="H187" s="46" t="n"/>
      <c r="I187" s="46" t="n"/>
      <c r="J187" s="49" t="str">
        <f>IF($A187="","",IFERROR(INDEX(Products!$B$2:$B$101,MATCH($B187,Products!$A$2:$A$101,0))&amp;"","(not found)"))</f>
        <v/>
      </c>
      <c r="K187" s="51" t="str">
        <f>IF($A187="","",SUMIFS(Inventory_Ledger!$M$2:$M$2001,Inventory_Ledger!$F$2:$F$2001,$A187))</f>
        <v/>
      </c>
      <c r="L187" s="51" t="str">
        <f>IF($A187="","",IF(ISNUMBER($F187),$F187,0)+$K187)</f>
        <v/>
      </c>
      <c r="M187" s="56" t="str">
        <f>IF(OR($A187="",NOT(ISNUMBER($E187))),"",$E187-Config!$B$4)</f>
        <v/>
      </c>
      <c r="N187" s="49" t="str">
        <f>IF($M187="","",IF($M187&lt;0,"Expired",IF($M187&lt;=Config!$B$6,"&lt;="&amp;Config!$B$6,IF($M187&lt;=Config!$B$7,(Config!$B$6+1)&amp;"-"&amp;Config!$B$7,IF($M187&lt;=Config!$B$8,(Config!$B$7+1)&amp;"-"&amp;Config!$B$8,"&gt;"&amp;Config!$B$8)))))</f>
        <v/>
      </c>
      <c r="O187" s="52" t="str">
        <f>IF($M187="","",IF($M187&lt;0,0,IF($M187&lt;=Config!$B$6,1,IF($M187&lt;=Config!$B$7,2,IF($M187&lt;=Config!$B$8,3,4)))))</f>
        <v/>
      </c>
      <c r="P187" s="50" t="str">
        <f>IF($A187="","",IF($L187&lt;=0,0,IF(OR(IFERROR(INDEX(Config!$F$15:$F$34,MATCH($G187,Config!$E$15:$E$34,0)),"No")="Yes",AND(Config!$B$10="Yes",ISNUMBER($M187),$M187&lt;0)),$L187,0)))</f>
        <v/>
      </c>
      <c r="Q187" s="52" t="str">
        <f>IF($A187="","",IF(AND($L187&gt;0,ISNUMBER($M187)),IF($M187&lt;=Config!$B$8,1,0),0))</f>
        <v/>
      </c>
      <c r="R187" s="52" t="str">
        <f>IF($Q187=1,COUNTIFS($Q$2:$Q$301,1,$E$2:$E$301,"&lt;"&amp;$E187)+COUNTIFS($Q$2:$Q187,1,$E$2:$E187,$E187),"")</f>
        <v/>
      </c>
      <c r="S187" s="49" t="str">
        <f>IF(COUNTA($A187:$I187)=0,"",IF($A187="","Missing: lot",IF(COUNTIF($A$2:$A$301,$A187)&gt;1,"Duplicate lot",IF($B187="","Missing: SKU",IF(NOT(ISNUMBER($E187)),"Missing: expiry date",IF($G187="","Missing: status",IF(COUNTIF(Products!$A$2:$A$101,$B187)=0,"Unknown SKU",IF(AND($C187&lt;&gt;"",COUNTIF(Suppliers!$A$2:$A$51,$C187)=0),"Unknown supplier",IF(COUNTIF(Config!$E$15:$E$34,$G187)=0,"Unsupported status",IF($L187&lt;0,"Negative lot balance",IF(AND($G187="Closed",$L187&lt;&gt;0),"Closed lot still has stock","OK")))))))))))</f>
        <v/>
      </c>
    </row>
    <row r="188">
      <c r="A188" s="46" t="n"/>
      <c r="B188" s="46" t="n"/>
      <c r="C188" s="46" t="n"/>
      <c r="D188" s="54" t="n"/>
      <c r="E188" s="54" t="n"/>
      <c r="F188" s="48" t="n"/>
      <c r="G188" s="46" t="n"/>
      <c r="H188" s="46" t="n"/>
      <c r="I188" s="46" t="n"/>
      <c r="J188" s="49" t="str">
        <f>IF($A188="","",IFERROR(INDEX(Products!$B$2:$B$101,MATCH($B188,Products!$A$2:$A$101,0))&amp;"","(not found)"))</f>
        <v/>
      </c>
      <c r="K188" s="51" t="str">
        <f>IF($A188="","",SUMIFS(Inventory_Ledger!$M$2:$M$2001,Inventory_Ledger!$F$2:$F$2001,$A188))</f>
        <v/>
      </c>
      <c r="L188" s="51" t="str">
        <f>IF($A188="","",IF(ISNUMBER($F188),$F188,0)+$K188)</f>
        <v/>
      </c>
      <c r="M188" s="56" t="str">
        <f>IF(OR($A188="",NOT(ISNUMBER($E188))),"",$E188-Config!$B$4)</f>
        <v/>
      </c>
      <c r="N188" s="49" t="str">
        <f>IF($M188="","",IF($M188&lt;0,"Expired",IF($M188&lt;=Config!$B$6,"&lt;="&amp;Config!$B$6,IF($M188&lt;=Config!$B$7,(Config!$B$6+1)&amp;"-"&amp;Config!$B$7,IF($M188&lt;=Config!$B$8,(Config!$B$7+1)&amp;"-"&amp;Config!$B$8,"&gt;"&amp;Config!$B$8)))))</f>
        <v/>
      </c>
      <c r="O188" s="52" t="str">
        <f>IF($M188="","",IF($M188&lt;0,0,IF($M188&lt;=Config!$B$6,1,IF($M188&lt;=Config!$B$7,2,IF($M188&lt;=Config!$B$8,3,4)))))</f>
        <v/>
      </c>
      <c r="P188" s="50" t="str">
        <f>IF($A188="","",IF($L188&lt;=0,0,IF(OR(IFERROR(INDEX(Config!$F$15:$F$34,MATCH($G188,Config!$E$15:$E$34,0)),"No")="Yes",AND(Config!$B$10="Yes",ISNUMBER($M188),$M188&lt;0)),$L188,0)))</f>
        <v/>
      </c>
      <c r="Q188" s="52" t="str">
        <f>IF($A188="","",IF(AND($L188&gt;0,ISNUMBER($M188)),IF($M188&lt;=Config!$B$8,1,0),0))</f>
        <v/>
      </c>
      <c r="R188" s="52" t="str">
        <f>IF($Q188=1,COUNTIFS($Q$2:$Q$301,1,$E$2:$E$301,"&lt;"&amp;$E188)+COUNTIFS($Q$2:$Q188,1,$E$2:$E188,$E188),"")</f>
        <v/>
      </c>
      <c r="S188" s="49" t="str">
        <f>IF(COUNTA($A188:$I188)=0,"",IF($A188="","Missing: lot",IF(COUNTIF($A$2:$A$301,$A188)&gt;1,"Duplicate lot",IF($B188="","Missing: SKU",IF(NOT(ISNUMBER($E188)),"Missing: expiry date",IF($G188="","Missing: status",IF(COUNTIF(Products!$A$2:$A$101,$B188)=0,"Unknown SKU",IF(AND($C188&lt;&gt;"",COUNTIF(Suppliers!$A$2:$A$51,$C188)=0),"Unknown supplier",IF(COUNTIF(Config!$E$15:$E$34,$G188)=0,"Unsupported status",IF($L188&lt;0,"Negative lot balance",IF(AND($G188="Closed",$L188&lt;&gt;0),"Closed lot still has stock","OK")))))))))))</f>
        <v/>
      </c>
    </row>
    <row r="189">
      <c r="A189" s="46" t="n"/>
      <c r="B189" s="46" t="n"/>
      <c r="C189" s="46" t="n"/>
      <c r="D189" s="54" t="n"/>
      <c r="E189" s="54" t="n"/>
      <c r="F189" s="48" t="n"/>
      <c r="G189" s="46" t="n"/>
      <c r="H189" s="46" t="n"/>
      <c r="I189" s="46" t="n"/>
      <c r="J189" s="49" t="str">
        <f>IF($A189="","",IFERROR(INDEX(Products!$B$2:$B$101,MATCH($B189,Products!$A$2:$A$101,0))&amp;"","(not found)"))</f>
        <v/>
      </c>
      <c r="K189" s="51" t="str">
        <f>IF($A189="","",SUMIFS(Inventory_Ledger!$M$2:$M$2001,Inventory_Ledger!$F$2:$F$2001,$A189))</f>
        <v/>
      </c>
      <c r="L189" s="51" t="str">
        <f>IF($A189="","",IF(ISNUMBER($F189),$F189,0)+$K189)</f>
        <v/>
      </c>
      <c r="M189" s="56" t="str">
        <f>IF(OR($A189="",NOT(ISNUMBER($E189))),"",$E189-Config!$B$4)</f>
        <v/>
      </c>
      <c r="N189" s="49" t="str">
        <f>IF($M189="","",IF($M189&lt;0,"Expired",IF($M189&lt;=Config!$B$6,"&lt;="&amp;Config!$B$6,IF($M189&lt;=Config!$B$7,(Config!$B$6+1)&amp;"-"&amp;Config!$B$7,IF($M189&lt;=Config!$B$8,(Config!$B$7+1)&amp;"-"&amp;Config!$B$8,"&gt;"&amp;Config!$B$8)))))</f>
        <v/>
      </c>
      <c r="O189" s="52" t="str">
        <f>IF($M189="","",IF($M189&lt;0,0,IF($M189&lt;=Config!$B$6,1,IF($M189&lt;=Config!$B$7,2,IF($M189&lt;=Config!$B$8,3,4)))))</f>
        <v/>
      </c>
      <c r="P189" s="50" t="str">
        <f>IF($A189="","",IF($L189&lt;=0,0,IF(OR(IFERROR(INDEX(Config!$F$15:$F$34,MATCH($G189,Config!$E$15:$E$34,0)),"No")="Yes",AND(Config!$B$10="Yes",ISNUMBER($M189),$M189&lt;0)),$L189,0)))</f>
        <v/>
      </c>
      <c r="Q189" s="52" t="str">
        <f>IF($A189="","",IF(AND($L189&gt;0,ISNUMBER($M189)),IF($M189&lt;=Config!$B$8,1,0),0))</f>
        <v/>
      </c>
      <c r="R189" s="52" t="str">
        <f>IF($Q189=1,COUNTIFS($Q$2:$Q$301,1,$E$2:$E$301,"&lt;"&amp;$E189)+COUNTIFS($Q$2:$Q189,1,$E$2:$E189,$E189),"")</f>
        <v/>
      </c>
      <c r="S189" s="49" t="str">
        <f>IF(COUNTA($A189:$I189)=0,"",IF($A189="","Missing: lot",IF(COUNTIF($A$2:$A$301,$A189)&gt;1,"Duplicate lot",IF($B189="","Missing: SKU",IF(NOT(ISNUMBER($E189)),"Missing: expiry date",IF($G189="","Missing: status",IF(COUNTIF(Products!$A$2:$A$101,$B189)=0,"Unknown SKU",IF(AND($C189&lt;&gt;"",COUNTIF(Suppliers!$A$2:$A$51,$C189)=0),"Unknown supplier",IF(COUNTIF(Config!$E$15:$E$34,$G189)=0,"Unsupported status",IF($L189&lt;0,"Negative lot balance",IF(AND($G189="Closed",$L189&lt;&gt;0),"Closed lot still has stock","OK")))))))))))</f>
        <v/>
      </c>
    </row>
    <row r="190">
      <c r="A190" s="46" t="n"/>
      <c r="B190" s="46" t="n"/>
      <c r="C190" s="46" t="n"/>
      <c r="D190" s="54" t="n"/>
      <c r="E190" s="54" t="n"/>
      <c r="F190" s="48" t="n"/>
      <c r="G190" s="46" t="n"/>
      <c r="H190" s="46" t="n"/>
      <c r="I190" s="46" t="n"/>
      <c r="J190" s="49" t="str">
        <f>IF($A190="","",IFERROR(INDEX(Products!$B$2:$B$101,MATCH($B190,Products!$A$2:$A$101,0))&amp;"","(not found)"))</f>
        <v/>
      </c>
      <c r="K190" s="51" t="str">
        <f>IF($A190="","",SUMIFS(Inventory_Ledger!$M$2:$M$2001,Inventory_Ledger!$F$2:$F$2001,$A190))</f>
        <v/>
      </c>
      <c r="L190" s="51" t="str">
        <f>IF($A190="","",IF(ISNUMBER($F190),$F190,0)+$K190)</f>
        <v/>
      </c>
      <c r="M190" s="56" t="str">
        <f>IF(OR($A190="",NOT(ISNUMBER($E190))),"",$E190-Config!$B$4)</f>
        <v/>
      </c>
      <c r="N190" s="49" t="str">
        <f>IF($M190="","",IF($M190&lt;0,"Expired",IF($M190&lt;=Config!$B$6,"&lt;="&amp;Config!$B$6,IF($M190&lt;=Config!$B$7,(Config!$B$6+1)&amp;"-"&amp;Config!$B$7,IF($M190&lt;=Config!$B$8,(Config!$B$7+1)&amp;"-"&amp;Config!$B$8,"&gt;"&amp;Config!$B$8)))))</f>
        <v/>
      </c>
      <c r="O190" s="52" t="str">
        <f>IF($M190="","",IF($M190&lt;0,0,IF($M190&lt;=Config!$B$6,1,IF($M190&lt;=Config!$B$7,2,IF($M190&lt;=Config!$B$8,3,4)))))</f>
        <v/>
      </c>
      <c r="P190" s="50" t="str">
        <f>IF($A190="","",IF($L190&lt;=0,0,IF(OR(IFERROR(INDEX(Config!$F$15:$F$34,MATCH($G190,Config!$E$15:$E$34,0)),"No")="Yes",AND(Config!$B$10="Yes",ISNUMBER($M190),$M190&lt;0)),$L190,0)))</f>
        <v/>
      </c>
      <c r="Q190" s="52" t="str">
        <f>IF($A190="","",IF(AND($L190&gt;0,ISNUMBER($M190)),IF($M190&lt;=Config!$B$8,1,0),0))</f>
        <v/>
      </c>
      <c r="R190" s="52" t="str">
        <f>IF($Q190=1,COUNTIFS($Q$2:$Q$301,1,$E$2:$E$301,"&lt;"&amp;$E190)+COUNTIFS($Q$2:$Q190,1,$E$2:$E190,$E190),"")</f>
        <v/>
      </c>
      <c r="S190" s="49" t="str">
        <f>IF(COUNTA($A190:$I190)=0,"",IF($A190="","Missing: lot",IF(COUNTIF($A$2:$A$301,$A190)&gt;1,"Duplicate lot",IF($B190="","Missing: SKU",IF(NOT(ISNUMBER($E190)),"Missing: expiry date",IF($G190="","Missing: status",IF(COUNTIF(Products!$A$2:$A$101,$B190)=0,"Unknown SKU",IF(AND($C190&lt;&gt;"",COUNTIF(Suppliers!$A$2:$A$51,$C190)=0),"Unknown supplier",IF(COUNTIF(Config!$E$15:$E$34,$G190)=0,"Unsupported status",IF($L190&lt;0,"Negative lot balance",IF(AND($G190="Closed",$L190&lt;&gt;0),"Closed lot still has stock","OK")))))))))))</f>
        <v/>
      </c>
    </row>
    <row r="191">
      <c r="A191" s="46" t="n"/>
      <c r="B191" s="46" t="n"/>
      <c r="C191" s="46" t="n"/>
      <c r="D191" s="54" t="n"/>
      <c r="E191" s="54" t="n"/>
      <c r="F191" s="48" t="n"/>
      <c r="G191" s="46" t="n"/>
      <c r="H191" s="46" t="n"/>
      <c r="I191" s="46" t="n"/>
      <c r="J191" s="49" t="str">
        <f>IF($A191="","",IFERROR(INDEX(Products!$B$2:$B$101,MATCH($B191,Products!$A$2:$A$101,0))&amp;"","(not found)"))</f>
        <v/>
      </c>
      <c r="K191" s="51" t="str">
        <f>IF($A191="","",SUMIFS(Inventory_Ledger!$M$2:$M$2001,Inventory_Ledger!$F$2:$F$2001,$A191))</f>
        <v/>
      </c>
      <c r="L191" s="51" t="str">
        <f>IF($A191="","",IF(ISNUMBER($F191),$F191,0)+$K191)</f>
        <v/>
      </c>
      <c r="M191" s="56" t="str">
        <f>IF(OR($A191="",NOT(ISNUMBER($E191))),"",$E191-Config!$B$4)</f>
        <v/>
      </c>
      <c r="N191" s="49" t="str">
        <f>IF($M191="","",IF($M191&lt;0,"Expired",IF($M191&lt;=Config!$B$6,"&lt;="&amp;Config!$B$6,IF($M191&lt;=Config!$B$7,(Config!$B$6+1)&amp;"-"&amp;Config!$B$7,IF($M191&lt;=Config!$B$8,(Config!$B$7+1)&amp;"-"&amp;Config!$B$8,"&gt;"&amp;Config!$B$8)))))</f>
        <v/>
      </c>
      <c r="O191" s="52" t="str">
        <f>IF($M191="","",IF($M191&lt;0,0,IF($M191&lt;=Config!$B$6,1,IF($M191&lt;=Config!$B$7,2,IF($M191&lt;=Config!$B$8,3,4)))))</f>
        <v/>
      </c>
      <c r="P191" s="50" t="str">
        <f>IF($A191="","",IF($L191&lt;=0,0,IF(OR(IFERROR(INDEX(Config!$F$15:$F$34,MATCH($G191,Config!$E$15:$E$34,0)),"No")="Yes",AND(Config!$B$10="Yes",ISNUMBER($M191),$M191&lt;0)),$L191,0)))</f>
        <v/>
      </c>
      <c r="Q191" s="52" t="str">
        <f>IF($A191="","",IF(AND($L191&gt;0,ISNUMBER($M191)),IF($M191&lt;=Config!$B$8,1,0),0))</f>
        <v/>
      </c>
      <c r="R191" s="52" t="str">
        <f>IF($Q191=1,COUNTIFS($Q$2:$Q$301,1,$E$2:$E$301,"&lt;"&amp;$E191)+COUNTIFS($Q$2:$Q191,1,$E$2:$E191,$E191),"")</f>
        <v/>
      </c>
      <c r="S191" s="49" t="str">
        <f>IF(COUNTA($A191:$I191)=0,"",IF($A191="","Missing: lot",IF(COUNTIF($A$2:$A$301,$A191)&gt;1,"Duplicate lot",IF($B191="","Missing: SKU",IF(NOT(ISNUMBER($E191)),"Missing: expiry date",IF($G191="","Missing: status",IF(COUNTIF(Products!$A$2:$A$101,$B191)=0,"Unknown SKU",IF(AND($C191&lt;&gt;"",COUNTIF(Suppliers!$A$2:$A$51,$C191)=0),"Unknown supplier",IF(COUNTIF(Config!$E$15:$E$34,$G191)=0,"Unsupported status",IF($L191&lt;0,"Negative lot balance",IF(AND($G191="Closed",$L191&lt;&gt;0),"Closed lot still has stock","OK")))))))))))</f>
        <v/>
      </c>
    </row>
    <row r="192">
      <c r="A192" s="46" t="n"/>
      <c r="B192" s="46" t="n"/>
      <c r="C192" s="46" t="n"/>
      <c r="D192" s="54" t="n"/>
      <c r="E192" s="54" t="n"/>
      <c r="F192" s="48" t="n"/>
      <c r="G192" s="46" t="n"/>
      <c r="H192" s="46" t="n"/>
      <c r="I192" s="46" t="n"/>
      <c r="J192" s="49" t="str">
        <f>IF($A192="","",IFERROR(INDEX(Products!$B$2:$B$101,MATCH($B192,Products!$A$2:$A$101,0))&amp;"","(not found)"))</f>
        <v/>
      </c>
      <c r="K192" s="51" t="str">
        <f>IF($A192="","",SUMIFS(Inventory_Ledger!$M$2:$M$2001,Inventory_Ledger!$F$2:$F$2001,$A192))</f>
        <v/>
      </c>
      <c r="L192" s="51" t="str">
        <f>IF($A192="","",IF(ISNUMBER($F192),$F192,0)+$K192)</f>
        <v/>
      </c>
      <c r="M192" s="56" t="str">
        <f>IF(OR($A192="",NOT(ISNUMBER($E192))),"",$E192-Config!$B$4)</f>
        <v/>
      </c>
      <c r="N192" s="49" t="str">
        <f>IF($M192="","",IF($M192&lt;0,"Expired",IF($M192&lt;=Config!$B$6,"&lt;="&amp;Config!$B$6,IF($M192&lt;=Config!$B$7,(Config!$B$6+1)&amp;"-"&amp;Config!$B$7,IF($M192&lt;=Config!$B$8,(Config!$B$7+1)&amp;"-"&amp;Config!$B$8,"&gt;"&amp;Config!$B$8)))))</f>
        <v/>
      </c>
      <c r="O192" s="52" t="str">
        <f>IF($M192="","",IF($M192&lt;0,0,IF($M192&lt;=Config!$B$6,1,IF($M192&lt;=Config!$B$7,2,IF($M192&lt;=Config!$B$8,3,4)))))</f>
        <v/>
      </c>
      <c r="P192" s="50" t="str">
        <f>IF($A192="","",IF($L192&lt;=0,0,IF(OR(IFERROR(INDEX(Config!$F$15:$F$34,MATCH($G192,Config!$E$15:$E$34,0)),"No")="Yes",AND(Config!$B$10="Yes",ISNUMBER($M192),$M192&lt;0)),$L192,0)))</f>
        <v/>
      </c>
      <c r="Q192" s="52" t="str">
        <f>IF($A192="","",IF(AND($L192&gt;0,ISNUMBER($M192)),IF($M192&lt;=Config!$B$8,1,0),0))</f>
        <v/>
      </c>
      <c r="R192" s="52" t="str">
        <f>IF($Q192=1,COUNTIFS($Q$2:$Q$301,1,$E$2:$E$301,"&lt;"&amp;$E192)+COUNTIFS($Q$2:$Q192,1,$E$2:$E192,$E192),"")</f>
        <v/>
      </c>
      <c r="S192" s="49" t="str">
        <f>IF(COUNTA($A192:$I192)=0,"",IF($A192="","Missing: lot",IF(COUNTIF($A$2:$A$301,$A192)&gt;1,"Duplicate lot",IF($B192="","Missing: SKU",IF(NOT(ISNUMBER($E192)),"Missing: expiry date",IF($G192="","Missing: status",IF(COUNTIF(Products!$A$2:$A$101,$B192)=0,"Unknown SKU",IF(AND($C192&lt;&gt;"",COUNTIF(Suppliers!$A$2:$A$51,$C192)=0),"Unknown supplier",IF(COUNTIF(Config!$E$15:$E$34,$G192)=0,"Unsupported status",IF($L192&lt;0,"Negative lot balance",IF(AND($G192="Closed",$L192&lt;&gt;0),"Closed lot still has stock","OK")))))))))))</f>
        <v/>
      </c>
    </row>
    <row r="193">
      <c r="A193" s="46" t="n"/>
      <c r="B193" s="46" t="n"/>
      <c r="C193" s="46" t="n"/>
      <c r="D193" s="54" t="n"/>
      <c r="E193" s="54" t="n"/>
      <c r="F193" s="48" t="n"/>
      <c r="G193" s="46" t="n"/>
      <c r="H193" s="46" t="n"/>
      <c r="I193" s="46" t="n"/>
      <c r="J193" s="49" t="str">
        <f>IF($A193="","",IFERROR(INDEX(Products!$B$2:$B$101,MATCH($B193,Products!$A$2:$A$101,0))&amp;"","(not found)"))</f>
        <v/>
      </c>
      <c r="K193" s="51" t="str">
        <f>IF($A193="","",SUMIFS(Inventory_Ledger!$M$2:$M$2001,Inventory_Ledger!$F$2:$F$2001,$A193))</f>
        <v/>
      </c>
      <c r="L193" s="51" t="str">
        <f>IF($A193="","",IF(ISNUMBER($F193),$F193,0)+$K193)</f>
        <v/>
      </c>
      <c r="M193" s="56" t="str">
        <f>IF(OR($A193="",NOT(ISNUMBER($E193))),"",$E193-Config!$B$4)</f>
        <v/>
      </c>
      <c r="N193" s="49" t="str">
        <f>IF($M193="","",IF($M193&lt;0,"Expired",IF($M193&lt;=Config!$B$6,"&lt;="&amp;Config!$B$6,IF($M193&lt;=Config!$B$7,(Config!$B$6+1)&amp;"-"&amp;Config!$B$7,IF($M193&lt;=Config!$B$8,(Config!$B$7+1)&amp;"-"&amp;Config!$B$8,"&gt;"&amp;Config!$B$8)))))</f>
        <v/>
      </c>
      <c r="O193" s="52" t="str">
        <f>IF($M193="","",IF($M193&lt;0,0,IF($M193&lt;=Config!$B$6,1,IF($M193&lt;=Config!$B$7,2,IF($M193&lt;=Config!$B$8,3,4)))))</f>
        <v/>
      </c>
      <c r="P193" s="50" t="str">
        <f>IF($A193="","",IF($L193&lt;=0,0,IF(OR(IFERROR(INDEX(Config!$F$15:$F$34,MATCH($G193,Config!$E$15:$E$34,0)),"No")="Yes",AND(Config!$B$10="Yes",ISNUMBER($M193),$M193&lt;0)),$L193,0)))</f>
        <v/>
      </c>
      <c r="Q193" s="52" t="str">
        <f>IF($A193="","",IF(AND($L193&gt;0,ISNUMBER($M193)),IF($M193&lt;=Config!$B$8,1,0),0))</f>
        <v/>
      </c>
      <c r="R193" s="52" t="str">
        <f>IF($Q193=1,COUNTIFS($Q$2:$Q$301,1,$E$2:$E$301,"&lt;"&amp;$E193)+COUNTIFS($Q$2:$Q193,1,$E$2:$E193,$E193),"")</f>
        <v/>
      </c>
      <c r="S193" s="49" t="str">
        <f>IF(COUNTA($A193:$I193)=0,"",IF($A193="","Missing: lot",IF(COUNTIF($A$2:$A$301,$A193)&gt;1,"Duplicate lot",IF($B193="","Missing: SKU",IF(NOT(ISNUMBER($E193)),"Missing: expiry date",IF($G193="","Missing: status",IF(COUNTIF(Products!$A$2:$A$101,$B193)=0,"Unknown SKU",IF(AND($C193&lt;&gt;"",COUNTIF(Suppliers!$A$2:$A$51,$C193)=0),"Unknown supplier",IF(COUNTIF(Config!$E$15:$E$34,$G193)=0,"Unsupported status",IF($L193&lt;0,"Negative lot balance",IF(AND($G193="Closed",$L193&lt;&gt;0),"Closed lot still has stock","OK")))))))))))</f>
        <v/>
      </c>
    </row>
    <row r="194">
      <c r="A194" s="46" t="n"/>
      <c r="B194" s="46" t="n"/>
      <c r="C194" s="46" t="n"/>
      <c r="D194" s="54" t="n"/>
      <c r="E194" s="54" t="n"/>
      <c r="F194" s="48" t="n"/>
      <c r="G194" s="46" t="n"/>
      <c r="H194" s="46" t="n"/>
      <c r="I194" s="46" t="n"/>
      <c r="J194" s="49" t="str">
        <f>IF($A194="","",IFERROR(INDEX(Products!$B$2:$B$101,MATCH($B194,Products!$A$2:$A$101,0))&amp;"","(not found)"))</f>
        <v/>
      </c>
      <c r="K194" s="51" t="str">
        <f>IF($A194="","",SUMIFS(Inventory_Ledger!$M$2:$M$2001,Inventory_Ledger!$F$2:$F$2001,$A194))</f>
        <v/>
      </c>
      <c r="L194" s="51" t="str">
        <f>IF($A194="","",IF(ISNUMBER($F194),$F194,0)+$K194)</f>
        <v/>
      </c>
      <c r="M194" s="56" t="str">
        <f>IF(OR($A194="",NOT(ISNUMBER($E194))),"",$E194-Config!$B$4)</f>
        <v/>
      </c>
      <c r="N194" s="49" t="str">
        <f>IF($M194="","",IF($M194&lt;0,"Expired",IF($M194&lt;=Config!$B$6,"&lt;="&amp;Config!$B$6,IF($M194&lt;=Config!$B$7,(Config!$B$6+1)&amp;"-"&amp;Config!$B$7,IF($M194&lt;=Config!$B$8,(Config!$B$7+1)&amp;"-"&amp;Config!$B$8,"&gt;"&amp;Config!$B$8)))))</f>
        <v/>
      </c>
      <c r="O194" s="52" t="str">
        <f>IF($M194="","",IF($M194&lt;0,0,IF($M194&lt;=Config!$B$6,1,IF($M194&lt;=Config!$B$7,2,IF($M194&lt;=Config!$B$8,3,4)))))</f>
        <v/>
      </c>
      <c r="P194" s="50" t="str">
        <f>IF($A194="","",IF($L194&lt;=0,0,IF(OR(IFERROR(INDEX(Config!$F$15:$F$34,MATCH($G194,Config!$E$15:$E$34,0)),"No")="Yes",AND(Config!$B$10="Yes",ISNUMBER($M194),$M194&lt;0)),$L194,0)))</f>
        <v/>
      </c>
      <c r="Q194" s="52" t="str">
        <f>IF($A194="","",IF(AND($L194&gt;0,ISNUMBER($M194)),IF($M194&lt;=Config!$B$8,1,0),0))</f>
        <v/>
      </c>
      <c r="R194" s="52" t="str">
        <f>IF($Q194=1,COUNTIFS($Q$2:$Q$301,1,$E$2:$E$301,"&lt;"&amp;$E194)+COUNTIFS($Q$2:$Q194,1,$E$2:$E194,$E194),"")</f>
        <v/>
      </c>
      <c r="S194" s="49" t="str">
        <f>IF(COUNTA($A194:$I194)=0,"",IF($A194="","Missing: lot",IF(COUNTIF($A$2:$A$301,$A194)&gt;1,"Duplicate lot",IF($B194="","Missing: SKU",IF(NOT(ISNUMBER($E194)),"Missing: expiry date",IF($G194="","Missing: status",IF(COUNTIF(Products!$A$2:$A$101,$B194)=0,"Unknown SKU",IF(AND($C194&lt;&gt;"",COUNTIF(Suppliers!$A$2:$A$51,$C194)=0),"Unknown supplier",IF(COUNTIF(Config!$E$15:$E$34,$G194)=0,"Unsupported status",IF($L194&lt;0,"Negative lot balance",IF(AND($G194="Closed",$L194&lt;&gt;0),"Closed lot still has stock","OK")))))))))))</f>
        <v/>
      </c>
    </row>
    <row r="195">
      <c r="A195" s="46" t="n"/>
      <c r="B195" s="46" t="n"/>
      <c r="C195" s="46" t="n"/>
      <c r="D195" s="54" t="n"/>
      <c r="E195" s="54" t="n"/>
      <c r="F195" s="48" t="n"/>
      <c r="G195" s="46" t="n"/>
      <c r="H195" s="46" t="n"/>
      <c r="I195" s="46" t="n"/>
      <c r="J195" s="49" t="str">
        <f>IF($A195="","",IFERROR(INDEX(Products!$B$2:$B$101,MATCH($B195,Products!$A$2:$A$101,0))&amp;"","(not found)"))</f>
        <v/>
      </c>
      <c r="K195" s="51" t="str">
        <f>IF($A195="","",SUMIFS(Inventory_Ledger!$M$2:$M$2001,Inventory_Ledger!$F$2:$F$2001,$A195))</f>
        <v/>
      </c>
      <c r="L195" s="51" t="str">
        <f>IF($A195="","",IF(ISNUMBER($F195),$F195,0)+$K195)</f>
        <v/>
      </c>
      <c r="M195" s="56" t="str">
        <f>IF(OR($A195="",NOT(ISNUMBER($E195))),"",$E195-Config!$B$4)</f>
        <v/>
      </c>
      <c r="N195" s="49" t="str">
        <f>IF($M195="","",IF($M195&lt;0,"Expired",IF($M195&lt;=Config!$B$6,"&lt;="&amp;Config!$B$6,IF($M195&lt;=Config!$B$7,(Config!$B$6+1)&amp;"-"&amp;Config!$B$7,IF($M195&lt;=Config!$B$8,(Config!$B$7+1)&amp;"-"&amp;Config!$B$8,"&gt;"&amp;Config!$B$8)))))</f>
        <v/>
      </c>
      <c r="O195" s="52" t="str">
        <f>IF($M195="","",IF($M195&lt;0,0,IF($M195&lt;=Config!$B$6,1,IF($M195&lt;=Config!$B$7,2,IF($M195&lt;=Config!$B$8,3,4)))))</f>
        <v/>
      </c>
      <c r="P195" s="50" t="str">
        <f>IF($A195="","",IF($L195&lt;=0,0,IF(OR(IFERROR(INDEX(Config!$F$15:$F$34,MATCH($G195,Config!$E$15:$E$34,0)),"No")="Yes",AND(Config!$B$10="Yes",ISNUMBER($M195),$M195&lt;0)),$L195,0)))</f>
        <v/>
      </c>
      <c r="Q195" s="52" t="str">
        <f>IF($A195="","",IF(AND($L195&gt;0,ISNUMBER($M195)),IF($M195&lt;=Config!$B$8,1,0),0))</f>
        <v/>
      </c>
      <c r="R195" s="52" t="str">
        <f>IF($Q195=1,COUNTIFS($Q$2:$Q$301,1,$E$2:$E$301,"&lt;"&amp;$E195)+COUNTIFS($Q$2:$Q195,1,$E$2:$E195,$E195),"")</f>
        <v/>
      </c>
      <c r="S195" s="49" t="str">
        <f>IF(COUNTA($A195:$I195)=0,"",IF($A195="","Missing: lot",IF(COUNTIF($A$2:$A$301,$A195)&gt;1,"Duplicate lot",IF($B195="","Missing: SKU",IF(NOT(ISNUMBER($E195)),"Missing: expiry date",IF($G195="","Missing: status",IF(COUNTIF(Products!$A$2:$A$101,$B195)=0,"Unknown SKU",IF(AND($C195&lt;&gt;"",COUNTIF(Suppliers!$A$2:$A$51,$C195)=0),"Unknown supplier",IF(COUNTIF(Config!$E$15:$E$34,$G195)=0,"Unsupported status",IF($L195&lt;0,"Negative lot balance",IF(AND($G195="Closed",$L195&lt;&gt;0),"Closed lot still has stock","OK")))))))))))</f>
        <v/>
      </c>
    </row>
    <row r="196">
      <c r="A196" s="46" t="n"/>
      <c r="B196" s="46" t="n"/>
      <c r="C196" s="46" t="n"/>
      <c r="D196" s="54" t="n"/>
      <c r="E196" s="54" t="n"/>
      <c r="F196" s="48" t="n"/>
      <c r="G196" s="46" t="n"/>
      <c r="H196" s="46" t="n"/>
      <c r="I196" s="46" t="n"/>
      <c r="J196" s="49" t="str">
        <f>IF($A196="","",IFERROR(INDEX(Products!$B$2:$B$101,MATCH($B196,Products!$A$2:$A$101,0))&amp;"","(not found)"))</f>
        <v/>
      </c>
      <c r="K196" s="51" t="str">
        <f>IF($A196="","",SUMIFS(Inventory_Ledger!$M$2:$M$2001,Inventory_Ledger!$F$2:$F$2001,$A196))</f>
        <v/>
      </c>
      <c r="L196" s="51" t="str">
        <f>IF($A196="","",IF(ISNUMBER($F196),$F196,0)+$K196)</f>
        <v/>
      </c>
      <c r="M196" s="56" t="str">
        <f>IF(OR($A196="",NOT(ISNUMBER($E196))),"",$E196-Config!$B$4)</f>
        <v/>
      </c>
      <c r="N196" s="49" t="str">
        <f>IF($M196="","",IF($M196&lt;0,"Expired",IF($M196&lt;=Config!$B$6,"&lt;="&amp;Config!$B$6,IF($M196&lt;=Config!$B$7,(Config!$B$6+1)&amp;"-"&amp;Config!$B$7,IF($M196&lt;=Config!$B$8,(Config!$B$7+1)&amp;"-"&amp;Config!$B$8,"&gt;"&amp;Config!$B$8)))))</f>
        <v/>
      </c>
      <c r="O196" s="52" t="str">
        <f>IF($M196="","",IF($M196&lt;0,0,IF($M196&lt;=Config!$B$6,1,IF($M196&lt;=Config!$B$7,2,IF($M196&lt;=Config!$B$8,3,4)))))</f>
        <v/>
      </c>
      <c r="P196" s="50" t="str">
        <f>IF($A196="","",IF($L196&lt;=0,0,IF(OR(IFERROR(INDEX(Config!$F$15:$F$34,MATCH($G196,Config!$E$15:$E$34,0)),"No")="Yes",AND(Config!$B$10="Yes",ISNUMBER($M196),$M196&lt;0)),$L196,0)))</f>
        <v/>
      </c>
      <c r="Q196" s="52" t="str">
        <f>IF($A196="","",IF(AND($L196&gt;0,ISNUMBER($M196)),IF($M196&lt;=Config!$B$8,1,0),0))</f>
        <v/>
      </c>
      <c r="R196" s="52" t="str">
        <f>IF($Q196=1,COUNTIFS($Q$2:$Q$301,1,$E$2:$E$301,"&lt;"&amp;$E196)+COUNTIFS($Q$2:$Q196,1,$E$2:$E196,$E196),"")</f>
        <v/>
      </c>
      <c r="S196" s="49" t="str">
        <f>IF(COUNTA($A196:$I196)=0,"",IF($A196="","Missing: lot",IF(COUNTIF($A$2:$A$301,$A196)&gt;1,"Duplicate lot",IF($B196="","Missing: SKU",IF(NOT(ISNUMBER($E196)),"Missing: expiry date",IF($G196="","Missing: status",IF(COUNTIF(Products!$A$2:$A$101,$B196)=0,"Unknown SKU",IF(AND($C196&lt;&gt;"",COUNTIF(Suppliers!$A$2:$A$51,$C196)=0),"Unknown supplier",IF(COUNTIF(Config!$E$15:$E$34,$G196)=0,"Unsupported status",IF($L196&lt;0,"Negative lot balance",IF(AND($G196="Closed",$L196&lt;&gt;0),"Closed lot still has stock","OK")))))))))))</f>
        <v/>
      </c>
    </row>
    <row r="197">
      <c r="A197" s="46" t="n"/>
      <c r="B197" s="46" t="n"/>
      <c r="C197" s="46" t="n"/>
      <c r="D197" s="54" t="n"/>
      <c r="E197" s="54" t="n"/>
      <c r="F197" s="48" t="n"/>
      <c r="G197" s="46" t="n"/>
      <c r="H197" s="46" t="n"/>
      <c r="I197" s="46" t="n"/>
      <c r="J197" s="49" t="str">
        <f>IF($A197="","",IFERROR(INDEX(Products!$B$2:$B$101,MATCH($B197,Products!$A$2:$A$101,0))&amp;"","(not found)"))</f>
        <v/>
      </c>
      <c r="K197" s="51" t="str">
        <f>IF($A197="","",SUMIFS(Inventory_Ledger!$M$2:$M$2001,Inventory_Ledger!$F$2:$F$2001,$A197))</f>
        <v/>
      </c>
      <c r="L197" s="51" t="str">
        <f>IF($A197="","",IF(ISNUMBER($F197),$F197,0)+$K197)</f>
        <v/>
      </c>
      <c r="M197" s="56" t="str">
        <f>IF(OR($A197="",NOT(ISNUMBER($E197))),"",$E197-Config!$B$4)</f>
        <v/>
      </c>
      <c r="N197" s="49" t="str">
        <f>IF($M197="","",IF($M197&lt;0,"Expired",IF($M197&lt;=Config!$B$6,"&lt;="&amp;Config!$B$6,IF($M197&lt;=Config!$B$7,(Config!$B$6+1)&amp;"-"&amp;Config!$B$7,IF($M197&lt;=Config!$B$8,(Config!$B$7+1)&amp;"-"&amp;Config!$B$8,"&gt;"&amp;Config!$B$8)))))</f>
        <v/>
      </c>
      <c r="O197" s="52" t="str">
        <f>IF($M197="","",IF($M197&lt;0,0,IF($M197&lt;=Config!$B$6,1,IF($M197&lt;=Config!$B$7,2,IF($M197&lt;=Config!$B$8,3,4)))))</f>
        <v/>
      </c>
      <c r="P197" s="50" t="str">
        <f>IF($A197="","",IF($L197&lt;=0,0,IF(OR(IFERROR(INDEX(Config!$F$15:$F$34,MATCH($G197,Config!$E$15:$E$34,0)),"No")="Yes",AND(Config!$B$10="Yes",ISNUMBER($M197),$M197&lt;0)),$L197,0)))</f>
        <v/>
      </c>
      <c r="Q197" s="52" t="str">
        <f>IF($A197="","",IF(AND($L197&gt;0,ISNUMBER($M197)),IF($M197&lt;=Config!$B$8,1,0),0))</f>
        <v/>
      </c>
      <c r="R197" s="52" t="str">
        <f>IF($Q197=1,COUNTIFS($Q$2:$Q$301,1,$E$2:$E$301,"&lt;"&amp;$E197)+COUNTIFS($Q$2:$Q197,1,$E$2:$E197,$E197),"")</f>
        <v/>
      </c>
      <c r="S197" s="49" t="str">
        <f>IF(COUNTA($A197:$I197)=0,"",IF($A197="","Missing: lot",IF(COUNTIF($A$2:$A$301,$A197)&gt;1,"Duplicate lot",IF($B197="","Missing: SKU",IF(NOT(ISNUMBER($E197)),"Missing: expiry date",IF($G197="","Missing: status",IF(COUNTIF(Products!$A$2:$A$101,$B197)=0,"Unknown SKU",IF(AND($C197&lt;&gt;"",COUNTIF(Suppliers!$A$2:$A$51,$C197)=0),"Unknown supplier",IF(COUNTIF(Config!$E$15:$E$34,$G197)=0,"Unsupported status",IF($L197&lt;0,"Negative lot balance",IF(AND($G197="Closed",$L197&lt;&gt;0),"Closed lot still has stock","OK")))))))))))</f>
        <v/>
      </c>
    </row>
    <row r="198">
      <c r="A198" s="46" t="n"/>
      <c r="B198" s="46" t="n"/>
      <c r="C198" s="46" t="n"/>
      <c r="D198" s="54" t="n"/>
      <c r="E198" s="54" t="n"/>
      <c r="F198" s="48" t="n"/>
      <c r="G198" s="46" t="n"/>
      <c r="H198" s="46" t="n"/>
      <c r="I198" s="46" t="n"/>
      <c r="J198" s="49" t="str">
        <f>IF($A198="","",IFERROR(INDEX(Products!$B$2:$B$101,MATCH($B198,Products!$A$2:$A$101,0))&amp;"","(not found)"))</f>
        <v/>
      </c>
      <c r="K198" s="51" t="str">
        <f>IF($A198="","",SUMIFS(Inventory_Ledger!$M$2:$M$2001,Inventory_Ledger!$F$2:$F$2001,$A198))</f>
        <v/>
      </c>
      <c r="L198" s="51" t="str">
        <f>IF($A198="","",IF(ISNUMBER($F198),$F198,0)+$K198)</f>
        <v/>
      </c>
      <c r="M198" s="56" t="str">
        <f>IF(OR($A198="",NOT(ISNUMBER($E198))),"",$E198-Config!$B$4)</f>
        <v/>
      </c>
      <c r="N198" s="49" t="str">
        <f>IF($M198="","",IF($M198&lt;0,"Expired",IF($M198&lt;=Config!$B$6,"&lt;="&amp;Config!$B$6,IF($M198&lt;=Config!$B$7,(Config!$B$6+1)&amp;"-"&amp;Config!$B$7,IF($M198&lt;=Config!$B$8,(Config!$B$7+1)&amp;"-"&amp;Config!$B$8,"&gt;"&amp;Config!$B$8)))))</f>
        <v/>
      </c>
      <c r="O198" s="52" t="str">
        <f>IF($M198="","",IF($M198&lt;0,0,IF($M198&lt;=Config!$B$6,1,IF($M198&lt;=Config!$B$7,2,IF($M198&lt;=Config!$B$8,3,4)))))</f>
        <v/>
      </c>
      <c r="P198" s="50" t="str">
        <f>IF($A198="","",IF($L198&lt;=0,0,IF(OR(IFERROR(INDEX(Config!$F$15:$F$34,MATCH($G198,Config!$E$15:$E$34,0)),"No")="Yes",AND(Config!$B$10="Yes",ISNUMBER($M198),$M198&lt;0)),$L198,0)))</f>
        <v/>
      </c>
      <c r="Q198" s="52" t="str">
        <f>IF($A198="","",IF(AND($L198&gt;0,ISNUMBER($M198)),IF($M198&lt;=Config!$B$8,1,0),0))</f>
        <v/>
      </c>
      <c r="R198" s="52" t="str">
        <f>IF($Q198=1,COUNTIFS($Q$2:$Q$301,1,$E$2:$E$301,"&lt;"&amp;$E198)+COUNTIFS($Q$2:$Q198,1,$E$2:$E198,$E198),"")</f>
        <v/>
      </c>
      <c r="S198" s="49" t="str">
        <f>IF(COUNTA($A198:$I198)=0,"",IF($A198="","Missing: lot",IF(COUNTIF($A$2:$A$301,$A198)&gt;1,"Duplicate lot",IF($B198="","Missing: SKU",IF(NOT(ISNUMBER($E198)),"Missing: expiry date",IF($G198="","Missing: status",IF(COUNTIF(Products!$A$2:$A$101,$B198)=0,"Unknown SKU",IF(AND($C198&lt;&gt;"",COUNTIF(Suppliers!$A$2:$A$51,$C198)=0),"Unknown supplier",IF(COUNTIF(Config!$E$15:$E$34,$G198)=0,"Unsupported status",IF($L198&lt;0,"Negative lot balance",IF(AND($G198="Closed",$L198&lt;&gt;0),"Closed lot still has stock","OK")))))))))))</f>
        <v/>
      </c>
    </row>
    <row r="199">
      <c r="A199" s="46" t="n"/>
      <c r="B199" s="46" t="n"/>
      <c r="C199" s="46" t="n"/>
      <c r="D199" s="54" t="n"/>
      <c r="E199" s="54" t="n"/>
      <c r="F199" s="48" t="n"/>
      <c r="G199" s="46" t="n"/>
      <c r="H199" s="46" t="n"/>
      <c r="I199" s="46" t="n"/>
      <c r="J199" s="49" t="str">
        <f>IF($A199="","",IFERROR(INDEX(Products!$B$2:$B$101,MATCH($B199,Products!$A$2:$A$101,0))&amp;"","(not found)"))</f>
        <v/>
      </c>
      <c r="K199" s="51" t="str">
        <f>IF($A199="","",SUMIFS(Inventory_Ledger!$M$2:$M$2001,Inventory_Ledger!$F$2:$F$2001,$A199))</f>
        <v/>
      </c>
      <c r="L199" s="51" t="str">
        <f>IF($A199="","",IF(ISNUMBER($F199),$F199,0)+$K199)</f>
        <v/>
      </c>
      <c r="M199" s="56" t="str">
        <f>IF(OR($A199="",NOT(ISNUMBER($E199))),"",$E199-Config!$B$4)</f>
        <v/>
      </c>
      <c r="N199" s="49" t="str">
        <f>IF($M199="","",IF($M199&lt;0,"Expired",IF($M199&lt;=Config!$B$6,"&lt;="&amp;Config!$B$6,IF($M199&lt;=Config!$B$7,(Config!$B$6+1)&amp;"-"&amp;Config!$B$7,IF($M199&lt;=Config!$B$8,(Config!$B$7+1)&amp;"-"&amp;Config!$B$8,"&gt;"&amp;Config!$B$8)))))</f>
        <v/>
      </c>
      <c r="O199" s="52" t="str">
        <f>IF($M199="","",IF($M199&lt;0,0,IF($M199&lt;=Config!$B$6,1,IF($M199&lt;=Config!$B$7,2,IF($M199&lt;=Config!$B$8,3,4)))))</f>
        <v/>
      </c>
      <c r="P199" s="50" t="str">
        <f>IF($A199="","",IF($L199&lt;=0,0,IF(OR(IFERROR(INDEX(Config!$F$15:$F$34,MATCH($G199,Config!$E$15:$E$34,0)),"No")="Yes",AND(Config!$B$10="Yes",ISNUMBER($M199),$M199&lt;0)),$L199,0)))</f>
        <v/>
      </c>
      <c r="Q199" s="52" t="str">
        <f>IF($A199="","",IF(AND($L199&gt;0,ISNUMBER($M199)),IF($M199&lt;=Config!$B$8,1,0),0))</f>
        <v/>
      </c>
      <c r="R199" s="52" t="str">
        <f>IF($Q199=1,COUNTIFS($Q$2:$Q$301,1,$E$2:$E$301,"&lt;"&amp;$E199)+COUNTIFS($Q$2:$Q199,1,$E$2:$E199,$E199),"")</f>
        <v/>
      </c>
      <c r="S199" s="49" t="str">
        <f>IF(COUNTA($A199:$I199)=0,"",IF($A199="","Missing: lot",IF(COUNTIF($A$2:$A$301,$A199)&gt;1,"Duplicate lot",IF($B199="","Missing: SKU",IF(NOT(ISNUMBER($E199)),"Missing: expiry date",IF($G199="","Missing: status",IF(COUNTIF(Products!$A$2:$A$101,$B199)=0,"Unknown SKU",IF(AND($C199&lt;&gt;"",COUNTIF(Suppliers!$A$2:$A$51,$C199)=0),"Unknown supplier",IF(COUNTIF(Config!$E$15:$E$34,$G199)=0,"Unsupported status",IF($L199&lt;0,"Negative lot balance",IF(AND($G199="Closed",$L199&lt;&gt;0),"Closed lot still has stock","OK")))))))))))</f>
        <v/>
      </c>
    </row>
    <row r="200">
      <c r="A200" s="46" t="n"/>
      <c r="B200" s="46" t="n"/>
      <c r="C200" s="46" t="n"/>
      <c r="D200" s="54" t="n"/>
      <c r="E200" s="54" t="n"/>
      <c r="F200" s="48" t="n"/>
      <c r="G200" s="46" t="n"/>
      <c r="H200" s="46" t="n"/>
      <c r="I200" s="46" t="n"/>
      <c r="J200" s="49" t="str">
        <f>IF($A200="","",IFERROR(INDEX(Products!$B$2:$B$101,MATCH($B200,Products!$A$2:$A$101,0))&amp;"","(not found)"))</f>
        <v/>
      </c>
      <c r="K200" s="51" t="str">
        <f>IF($A200="","",SUMIFS(Inventory_Ledger!$M$2:$M$2001,Inventory_Ledger!$F$2:$F$2001,$A200))</f>
        <v/>
      </c>
      <c r="L200" s="51" t="str">
        <f>IF($A200="","",IF(ISNUMBER($F200),$F200,0)+$K200)</f>
        <v/>
      </c>
      <c r="M200" s="56" t="str">
        <f>IF(OR($A200="",NOT(ISNUMBER($E200))),"",$E200-Config!$B$4)</f>
        <v/>
      </c>
      <c r="N200" s="49" t="str">
        <f>IF($M200="","",IF($M200&lt;0,"Expired",IF($M200&lt;=Config!$B$6,"&lt;="&amp;Config!$B$6,IF($M200&lt;=Config!$B$7,(Config!$B$6+1)&amp;"-"&amp;Config!$B$7,IF($M200&lt;=Config!$B$8,(Config!$B$7+1)&amp;"-"&amp;Config!$B$8,"&gt;"&amp;Config!$B$8)))))</f>
        <v/>
      </c>
      <c r="O200" s="52" t="str">
        <f>IF($M200="","",IF($M200&lt;0,0,IF($M200&lt;=Config!$B$6,1,IF($M200&lt;=Config!$B$7,2,IF($M200&lt;=Config!$B$8,3,4)))))</f>
        <v/>
      </c>
      <c r="P200" s="50" t="str">
        <f>IF($A200="","",IF($L200&lt;=0,0,IF(OR(IFERROR(INDEX(Config!$F$15:$F$34,MATCH($G200,Config!$E$15:$E$34,0)),"No")="Yes",AND(Config!$B$10="Yes",ISNUMBER($M200),$M200&lt;0)),$L200,0)))</f>
        <v/>
      </c>
      <c r="Q200" s="52" t="str">
        <f>IF($A200="","",IF(AND($L200&gt;0,ISNUMBER($M200)),IF($M200&lt;=Config!$B$8,1,0),0))</f>
        <v/>
      </c>
      <c r="R200" s="52" t="str">
        <f>IF($Q200=1,COUNTIFS($Q$2:$Q$301,1,$E$2:$E$301,"&lt;"&amp;$E200)+COUNTIFS($Q$2:$Q200,1,$E$2:$E200,$E200),"")</f>
        <v/>
      </c>
      <c r="S200" s="49" t="str">
        <f>IF(COUNTA($A200:$I200)=0,"",IF($A200="","Missing: lot",IF(COUNTIF($A$2:$A$301,$A200)&gt;1,"Duplicate lot",IF($B200="","Missing: SKU",IF(NOT(ISNUMBER($E200)),"Missing: expiry date",IF($G200="","Missing: status",IF(COUNTIF(Products!$A$2:$A$101,$B200)=0,"Unknown SKU",IF(AND($C200&lt;&gt;"",COUNTIF(Suppliers!$A$2:$A$51,$C200)=0),"Unknown supplier",IF(COUNTIF(Config!$E$15:$E$34,$G200)=0,"Unsupported status",IF($L200&lt;0,"Negative lot balance",IF(AND($G200="Closed",$L200&lt;&gt;0),"Closed lot still has stock","OK")))))))))))</f>
        <v/>
      </c>
    </row>
    <row r="201">
      <c r="A201" s="46" t="n"/>
      <c r="B201" s="46" t="n"/>
      <c r="C201" s="46" t="n"/>
      <c r="D201" s="54" t="n"/>
      <c r="E201" s="54" t="n"/>
      <c r="F201" s="48" t="n"/>
      <c r="G201" s="46" t="n"/>
      <c r="H201" s="46" t="n"/>
      <c r="I201" s="46" t="n"/>
      <c r="J201" s="49" t="str">
        <f>IF($A201="","",IFERROR(INDEX(Products!$B$2:$B$101,MATCH($B201,Products!$A$2:$A$101,0))&amp;"","(not found)"))</f>
        <v/>
      </c>
      <c r="K201" s="51" t="str">
        <f>IF($A201="","",SUMIFS(Inventory_Ledger!$M$2:$M$2001,Inventory_Ledger!$F$2:$F$2001,$A201))</f>
        <v/>
      </c>
      <c r="L201" s="51" t="str">
        <f>IF($A201="","",IF(ISNUMBER($F201),$F201,0)+$K201)</f>
        <v/>
      </c>
      <c r="M201" s="56" t="str">
        <f>IF(OR($A201="",NOT(ISNUMBER($E201))),"",$E201-Config!$B$4)</f>
        <v/>
      </c>
      <c r="N201" s="49" t="str">
        <f>IF($M201="","",IF($M201&lt;0,"Expired",IF($M201&lt;=Config!$B$6,"&lt;="&amp;Config!$B$6,IF($M201&lt;=Config!$B$7,(Config!$B$6+1)&amp;"-"&amp;Config!$B$7,IF($M201&lt;=Config!$B$8,(Config!$B$7+1)&amp;"-"&amp;Config!$B$8,"&gt;"&amp;Config!$B$8)))))</f>
        <v/>
      </c>
      <c r="O201" s="52" t="str">
        <f>IF($M201="","",IF($M201&lt;0,0,IF($M201&lt;=Config!$B$6,1,IF($M201&lt;=Config!$B$7,2,IF($M201&lt;=Config!$B$8,3,4)))))</f>
        <v/>
      </c>
      <c r="P201" s="50" t="str">
        <f>IF($A201="","",IF($L201&lt;=0,0,IF(OR(IFERROR(INDEX(Config!$F$15:$F$34,MATCH($G201,Config!$E$15:$E$34,0)),"No")="Yes",AND(Config!$B$10="Yes",ISNUMBER($M201),$M201&lt;0)),$L201,0)))</f>
        <v/>
      </c>
      <c r="Q201" s="52" t="str">
        <f>IF($A201="","",IF(AND($L201&gt;0,ISNUMBER($M201)),IF($M201&lt;=Config!$B$8,1,0),0))</f>
        <v/>
      </c>
      <c r="R201" s="52" t="str">
        <f>IF($Q201=1,COUNTIFS($Q$2:$Q$301,1,$E$2:$E$301,"&lt;"&amp;$E201)+COUNTIFS($Q$2:$Q201,1,$E$2:$E201,$E201),"")</f>
        <v/>
      </c>
      <c r="S201" s="49" t="str">
        <f>IF(COUNTA($A201:$I201)=0,"",IF($A201="","Missing: lot",IF(COUNTIF($A$2:$A$301,$A201)&gt;1,"Duplicate lot",IF($B201="","Missing: SKU",IF(NOT(ISNUMBER($E201)),"Missing: expiry date",IF($G201="","Missing: status",IF(COUNTIF(Products!$A$2:$A$101,$B201)=0,"Unknown SKU",IF(AND($C201&lt;&gt;"",COUNTIF(Suppliers!$A$2:$A$51,$C201)=0),"Unknown supplier",IF(COUNTIF(Config!$E$15:$E$34,$G201)=0,"Unsupported status",IF($L201&lt;0,"Negative lot balance",IF(AND($G201="Closed",$L201&lt;&gt;0),"Closed lot still has stock","OK")))))))))))</f>
        <v/>
      </c>
    </row>
    <row r="202">
      <c r="A202" s="46" t="n"/>
      <c r="B202" s="46" t="n"/>
      <c r="C202" s="46" t="n"/>
      <c r="D202" s="54" t="n"/>
      <c r="E202" s="54" t="n"/>
      <c r="F202" s="48" t="n"/>
      <c r="G202" s="46" t="n"/>
      <c r="H202" s="46" t="n"/>
      <c r="I202" s="46" t="n"/>
      <c r="J202" s="49" t="str">
        <f>IF($A202="","",IFERROR(INDEX(Products!$B$2:$B$101,MATCH($B202,Products!$A$2:$A$101,0))&amp;"","(not found)"))</f>
        <v/>
      </c>
      <c r="K202" s="51" t="str">
        <f>IF($A202="","",SUMIFS(Inventory_Ledger!$M$2:$M$2001,Inventory_Ledger!$F$2:$F$2001,$A202))</f>
        <v/>
      </c>
      <c r="L202" s="51" t="str">
        <f>IF($A202="","",IF(ISNUMBER($F202),$F202,0)+$K202)</f>
        <v/>
      </c>
      <c r="M202" s="56" t="str">
        <f>IF(OR($A202="",NOT(ISNUMBER($E202))),"",$E202-Config!$B$4)</f>
        <v/>
      </c>
      <c r="N202" s="49" t="str">
        <f>IF($M202="","",IF($M202&lt;0,"Expired",IF($M202&lt;=Config!$B$6,"&lt;="&amp;Config!$B$6,IF($M202&lt;=Config!$B$7,(Config!$B$6+1)&amp;"-"&amp;Config!$B$7,IF($M202&lt;=Config!$B$8,(Config!$B$7+1)&amp;"-"&amp;Config!$B$8,"&gt;"&amp;Config!$B$8)))))</f>
        <v/>
      </c>
      <c r="O202" s="52" t="str">
        <f>IF($M202="","",IF($M202&lt;0,0,IF($M202&lt;=Config!$B$6,1,IF($M202&lt;=Config!$B$7,2,IF($M202&lt;=Config!$B$8,3,4)))))</f>
        <v/>
      </c>
      <c r="P202" s="50" t="str">
        <f>IF($A202="","",IF($L202&lt;=0,0,IF(OR(IFERROR(INDEX(Config!$F$15:$F$34,MATCH($G202,Config!$E$15:$E$34,0)),"No")="Yes",AND(Config!$B$10="Yes",ISNUMBER($M202),$M202&lt;0)),$L202,0)))</f>
        <v/>
      </c>
      <c r="Q202" s="52" t="str">
        <f>IF($A202="","",IF(AND($L202&gt;0,ISNUMBER($M202)),IF($M202&lt;=Config!$B$8,1,0),0))</f>
        <v/>
      </c>
      <c r="R202" s="52" t="str">
        <f>IF($Q202=1,COUNTIFS($Q$2:$Q$301,1,$E$2:$E$301,"&lt;"&amp;$E202)+COUNTIFS($Q$2:$Q202,1,$E$2:$E202,$E202),"")</f>
        <v/>
      </c>
      <c r="S202" s="49" t="str">
        <f>IF(COUNTA($A202:$I202)=0,"",IF($A202="","Missing: lot",IF(COUNTIF($A$2:$A$301,$A202)&gt;1,"Duplicate lot",IF($B202="","Missing: SKU",IF(NOT(ISNUMBER($E202)),"Missing: expiry date",IF($G202="","Missing: status",IF(COUNTIF(Products!$A$2:$A$101,$B202)=0,"Unknown SKU",IF(AND($C202&lt;&gt;"",COUNTIF(Suppliers!$A$2:$A$51,$C202)=0),"Unknown supplier",IF(COUNTIF(Config!$E$15:$E$34,$G202)=0,"Unsupported status",IF($L202&lt;0,"Negative lot balance",IF(AND($G202="Closed",$L202&lt;&gt;0),"Closed lot still has stock","OK")))))))))))</f>
        <v/>
      </c>
    </row>
    <row r="203">
      <c r="A203" s="46" t="n"/>
      <c r="B203" s="46" t="n"/>
      <c r="C203" s="46" t="n"/>
      <c r="D203" s="54" t="n"/>
      <c r="E203" s="54" t="n"/>
      <c r="F203" s="48" t="n"/>
      <c r="G203" s="46" t="n"/>
      <c r="H203" s="46" t="n"/>
      <c r="I203" s="46" t="n"/>
      <c r="J203" s="49" t="str">
        <f>IF($A203="","",IFERROR(INDEX(Products!$B$2:$B$101,MATCH($B203,Products!$A$2:$A$101,0))&amp;"","(not found)"))</f>
        <v/>
      </c>
      <c r="K203" s="51" t="str">
        <f>IF($A203="","",SUMIFS(Inventory_Ledger!$M$2:$M$2001,Inventory_Ledger!$F$2:$F$2001,$A203))</f>
        <v/>
      </c>
      <c r="L203" s="51" t="str">
        <f>IF($A203="","",IF(ISNUMBER($F203),$F203,0)+$K203)</f>
        <v/>
      </c>
      <c r="M203" s="56" t="str">
        <f>IF(OR($A203="",NOT(ISNUMBER($E203))),"",$E203-Config!$B$4)</f>
        <v/>
      </c>
      <c r="N203" s="49" t="str">
        <f>IF($M203="","",IF($M203&lt;0,"Expired",IF($M203&lt;=Config!$B$6,"&lt;="&amp;Config!$B$6,IF($M203&lt;=Config!$B$7,(Config!$B$6+1)&amp;"-"&amp;Config!$B$7,IF($M203&lt;=Config!$B$8,(Config!$B$7+1)&amp;"-"&amp;Config!$B$8,"&gt;"&amp;Config!$B$8)))))</f>
        <v/>
      </c>
      <c r="O203" s="52" t="str">
        <f>IF($M203="","",IF($M203&lt;0,0,IF($M203&lt;=Config!$B$6,1,IF($M203&lt;=Config!$B$7,2,IF($M203&lt;=Config!$B$8,3,4)))))</f>
        <v/>
      </c>
      <c r="P203" s="50" t="str">
        <f>IF($A203="","",IF($L203&lt;=0,0,IF(OR(IFERROR(INDEX(Config!$F$15:$F$34,MATCH($G203,Config!$E$15:$E$34,0)),"No")="Yes",AND(Config!$B$10="Yes",ISNUMBER($M203),$M203&lt;0)),$L203,0)))</f>
        <v/>
      </c>
      <c r="Q203" s="52" t="str">
        <f>IF($A203="","",IF(AND($L203&gt;0,ISNUMBER($M203)),IF($M203&lt;=Config!$B$8,1,0),0))</f>
        <v/>
      </c>
      <c r="R203" s="52" t="str">
        <f>IF($Q203=1,COUNTIFS($Q$2:$Q$301,1,$E$2:$E$301,"&lt;"&amp;$E203)+COUNTIFS($Q$2:$Q203,1,$E$2:$E203,$E203),"")</f>
        <v/>
      </c>
      <c r="S203" s="49" t="str">
        <f>IF(COUNTA($A203:$I203)=0,"",IF($A203="","Missing: lot",IF(COUNTIF($A$2:$A$301,$A203)&gt;1,"Duplicate lot",IF($B203="","Missing: SKU",IF(NOT(ISNUMBER($E203)),"Missing: expiry date",IF($G203="","Missing: status",IF(COUNTIF(Products!$A$2:$A$101,$B203)=0,"Unknown SKU",IF(AND($C203&lt;&gt;"",COUNTIF(Suppliers!$A$2:$A$51,$C203)=0),"Unknown supplier",IF(COUNTIF(Config!$E$15:$E$34,$G203)=0,"Unsupported status",IF($L203&lt;0,"Negative lot balance",IF(AND($G203="Closed",$L203&lt;&gt;0),"Closed lot still has stock","OK")))))))))))</f>
        <v/>
      </c>
    </row>
    <row r="204">
      <c r="A204" s="46" t="n"/>
      <c r="B204" s="46" t="n"/>
      <c r="C204" s="46" t="n"/>
      <c r="D204" s="54" t="n"/>
      <c r="E204" s="54" t="n"/>
      <c r="F204" s="48" t="n"/>
      <c r="G204" s="46" t="n"/>
      <c r="H204" s="46" t="n"/>
      <c r="I204" s="46" t="n"/>
      <c r="J204" s="49" t="str">
        <f>IF($A204="","",IFERROR(INDEX(Products!$B$2:$B$101,MATCH($B204,Products!$A$2:$A$101,0))&amp;"","(not found)"))</f>
        <v/>
      </c>
      <c r="K204" s="51" t="str">
        <f>IF($A204="","",SUMIFS(Inventory_Ledger!$M$2:$M$2001,Inventory_Ledger!$F$2:$F$2001,$A204))</f>
        <v/>
      </c>
      <c r="L204" s="51" t="str">
        <f>IF($A204="","",IF(ISNUMBER($F204),$F204,0)+$K204)</f>
        <v/>
      </c>
      <c r="M204" s="56" t="str">
        <f>IF(OR($A204="",NOT(ISNUMBER($E204))),"",$E204-Config!$B$4)</f>
        <v/>
      </c>
      <c r="N204" s="49" t="str">
        <f>IF($M204="","",IF($M204&lt;0,"Expired",IF($M204&lt;=Config!$B$6,"&lt;="&amp;Config!$B$6,IF($M204&lt;=Config!$B$7,(Config!$B$6+1)&amp;"-"&amp;Config!$B$7,IF($M204&lt;=Config!$B$8,(Config!$B$7+1)&amp;"-"&amp;Config!$B$8,"&gt;"&amp;Config!$B$8)))))</f>
        <v/>
      </c>
      <c r="O204" s="52" t="str">
        <f>IF($M204="","",IF($M204&lt;0,0,IF($M204&lt;=Config!$B$6,1,IF($M204&lt;=Config!$B$7,2,IF($M204&lt;=Config!$B$8,3,4)))))</f>
        <v/>
      </c>
      <c r="P204" s="50" t="str">
        <f>IF($A204="","",IF($L204&lt;=0,0,IF(OR(IFERROR(INDEX(Config!$F$15:$F$34,MATCH($G204,Config!$E$15:$E$34,0)),"No")="Yes",AND(Config!$B$10="Yes",ISNUMBER($M204),$M204&lt;0)),$L204,0)))</f>
        <v/>
      </c>
      <c r="Q204" s="52" t="str">
        <f>IF($A204="","",IF(AND($L204&gt;0,ISNUMBER($M204)),IF($M204&lt;=Config!$B$8,1,0),0))</f>
        <v/>
      </c>
      <c r="R204" s="52" t="str">
        <f>IF($Q204=1,COUNTIFS($Q$2:$Q$301,1,$E$2:$E$301,"&lt;"&amp;$E204)+COUNTIFS($Q$2:$Q204,1,$E$2:$E204,$E204),"")</f>
        <v/>
      </c>
      <c r="S204" s="49" t="str">
        <f>IF(COUNTA($A204:$I204)=0,"",IF($A204="","Missing: lot",IF(COUNTIF($A$2:$A$301,$A204)&gt;1,"Duplicate lot",IF($B204="","Missing: SKU",IF(NOT(ISNUMBER($E204)),"Missing: expiry date",IF($G204="","Missing: status",IF(COUNTIF(Products!$A$2:$A$101,$B204)=0,"Unknown SKU",IF(AND($C204&lt;&gt;"",COUNTIF(Suppliers!$A$2:$A$51,$C204)=0),"Unknown supplier",IF(COUNTIF(Config!$E$15:$E$34,$G204)=0,"Unsupported status",IF($L204&lt;0,"Negative lot balance",IF(AND($G204="Closed",$L204&lt;&gt;0),"Closed lot still has stock","OK")))))))))))</f>
        <v/>
      </c>
    </row>
    <row r="205">
      <c r="A205" s="46" t="n"/>
      <c r="B205" s="46" t="n"/>
      <c r="C205" s="46" t="n"/>
      <c r="D205" s="54" t="n"/>
      <c r="E205" s="54" t="n"/>
      <c r="F205" s="48" t="n"/>
      <c r="G205" s="46" t="n"/>
      <c r="H205" s="46" t="n"/>
      <c r="I205" s="46" t="n"/>
      <c r="J205" s="49" t="str">
        <f>IF($A205="","",IFERROR(INDEX(Products!$B$2:$B$101,MATCH($B205,Products!$A$2:$A$101,0))&amp;"","(not found)"))</f>
        <v/>
      </c>
      <c r="K205" s="51" t="str">
        <f>IF($A205="","",SUMIFS(Inventory_Ledger!$M$2:$M$2001,Inventory_Ledger!$F$2:$F$2001,$A205))</f>
        <v/>
      </c>
      <c r="L205" s="51" t="str">
        <f>IF($A205="","",IF(ISNUMBER($F205),$F205,0)+$K205)</f>
        <v/>
      </c>
      <c r="M205" s="56" t="str">
        <f>IF(OR($A205="",NOT(ISNUMBER($E205))),"",$E205-Config!$B$4)</f>
        <v/>
      </c>
      <c r="N205" s="49" t="str">
        <f>IF($M205="","",IF($M205&lt;0,"Expired",IF($M205&lt;=Config!$B$6,"&lt;="&amp;Config!$B$6,IF($M205&lt;=Config!$B$7,(Config!$B$6+1)&amp;"-"&amp;Config!$B$7,IF($M205&lt;=Config!$B$8,(Config!$B$7+1)&amp;"-"&amp;Config!$B$8,"&gt;"&amp;Config!$B$8)))))</f>
        <v/>
      </c>
      <c r="O205" s="52" t="str">
        <f>IF($M205="","",IF($M205&lt;0,0,IF($M205&lt;=Config!$B$6,1,IF($M205&lt;=Config!$B$7,2,IF($M205&lt;=Config!$B$8,3,4)))))</f>
        <v/>
      </c>
      <c r="P205" s="50" t="str">
        <f>IF($A205="","",IF($L205&lt;=0,0,IF(OR(IFERROR(INDEX(Config!$F$15:$F$34,MATCH($G205,Config!$E$15:$E$34,0)),"No")="Yes",AND(Config!$B$10="Yes",ISNUMBER($M205),$M205&lt;0)),$L205,0)))</f>
        <v/>
      </c>
      <c r="Q205" s="52" t="str">
        <f>IF($A205="","",IF(AND($L205&gt;0,ISNUMBER($M205)),IF($M205&lt;=Config!$B$8,1,0),0))</f>
        <v/>
      </c>
      <c r="R205" s="52" t="str">
        <f>IF($Q205=1,COUNTIFS($Q$2:$Q$301,1,$E$2:$E$301,"&lt;"&amp;$E205)+COUNTIFS($Q$2:$Q205,1,$E$2:$E205,$E205),"")</f>
        <v/>
      </c>
      <c r="S205" s="49" t="str">
        <f>IF(COUNTA($A205:$I205)=0,"",IF($A205="","Missing: lot",IF(COUNTIF($A$2:$A$301,$A205)&gt;1,"Duplicate lot",IF($B205="","Missing: SKU",IF(NOT(ISNUMBER($E205)),"Missing: expiry date",IF($G205="","Missing: status",IF(COUNTIF(Products!$A$2:$A$101,$B205)=0,"Unknown SKU",IF(AND($C205&lt;&gt;"",COUNTIF(Suppliers!$A$2:$A$51,$C205)=0),"Unknown supplier",IF(COUNTIF(Config!$E$15:$E$34,$G205)=0,"Unsupported status",IF($L205&lt;0,"Negative lot balance",IF(AND($G205="Closed",$L205&lt;&gt;0),"Closed lot still has stock","OK")))))))))))</f>
        <v/>
      </c>
    </row>
    <row r="206">
      <c r="A206" s="46" t="n"/>
      <c r="B206" s="46" t="n"/>
      <c r="C206" s="46" t="n"/>
      <c r="D206" s="54" t="n"/>
      <c r="E206" s="54" t="n"/>
      <c r="F206" s="48" t="n"/>
      <c r="G206" s="46" t="n"/>
      <c r="H206" s="46" t="n"/>
      <c r="I206" s="46" t="n"/>
      <c r="J206" s="49" t="str">
        <f>IF($A206="","",IFERROR(INDEX(Products!$B$2:$B$101,MATCH($B206,Products!$A$2:$A$101,0))&amp;"","(not found)"))</f>
        <v/>
      </c>
      <c r="K206" s="51" t="str">
        <f>IF($A206="","",SUMIFS(Inventory_Ledger!$M$2:$M$2001,Inventory_Ledger!$F$2:$F$2001,$A206))</f>
        <v/>
      </c>
      <c r="L206" s="51" t="str">
        <f>IF($A206="","",IF(ISNUMBER($F206),$F206,0)+$K206)</f>
        <v/>
      </c>
      <c r="M206" s="56" t="str">
        <f>IF(OR($A206="",NOT(ISNUMBER($E206))),"",$E206-Config!$B$4)</f>
        <v/>
      </c>
      <c r="N206" s="49" t="str">
        <f>IF($M206="","",IF($M206&lt;0,"Expired",IF($M206&lt;=Config!$B$6,"&lt;="&amp;Config!$B$6,IF($M206&lt;=Config!$B$7,(Config!$B$6+1)&amp;"-"&amp;Config!$B$7,IF($M206&lt;=Config!$B$8,(Config!$B$7+1)&amp;"-"&amp;Config!$B$8,"&gt;"&amp;Config!$B$8)))))</f>
        <v/>
      </c>
      <c r="O206" s="52" t="str">
        <f>IF($M206="","",IF($M206&lt;0,0,IF($M206&lt;=Config!$B$6,1,IF($M206&lt;=Config!$B$7,2,IF($M206&lt;=Config!$B$8,3,4)))))</f>
        <v/>
      </c>
      <c r="P206" s="50" t="str">
        <f>IF($A206="","",IF($L206&lt;=0,0,IF(OR(IFERROR(INDEX(Config!$F$15:$F$34,MATCH($G206,Config!$E$15:$E$34,0)),"No")="Yes",AND(Config!$B$10="Yes",ISNUMBER($M206),$M206&lt;0)),$L206,0)))</f>
        <v/>
      </c>
      <c r="Q206" s="52" t="str">
        <f>IF($A206="","",IF(AND($L206&gt;0,ISNUMBER($M206)),IF($M206&lt;=Config!$B$8,1,0),0))</f>
        <v/>
      </c>
      <c r="R206" s="52" t="str">
        <f>IF($Q206=1,COUNTIFS($Q$2:$Q$301,1,$E$2:$E$301,"&lt;"&amp;$E206)+COUNTIFS($Q$2:$Q206,1,$E$2:$E206,$E206),"")</f>
        <v/>
      </c>
      <c r="S206" s="49" t="str">
        <f>IF(COUNTA($A206:$I206)=0,"",IF($A206="","Missing: lot",IF(COUNTIF($A$2:$A$301,$A206)&gt;1,"Duplicate lot",IF($B206="","Missing: SKU",IF(NOT(ISNUMBER($E206)),"Missing: expiry date",IF($G206="","Missing: status",IF(COUNTIF(Products!$A$2:$A$101,$B206)=0,"Unknown SKU",IF(AND($C206&lt;&gt;"",COUNTIF(Suppliers!$A$2:$A$51,$C206)=0),"Unknown supplier",IF(COUNTIF(Config!$E$15:$E$34,$G206)=0,"Unsupported status",IF($L206&lt;0,"Negative lot balance",IF(AND($G206="Closed",$L206&lt;&gt;0),"Closed lot still has stock","OK")))))))))))</f>
        <v/>
      </c>
    </row>
    <row r="207">
      <c r="A207" s="46" t="n"/>
      <c r="B207" s="46" t="n"/>
      <c r="C207" s="46" t="n"/>
      <c r="D207" s="54" t="n"/>
      <c r="E207" s="54" t="n"/>
      <c r="F207" s="48" t="n"/>
      <c r="G207" s="46" t="n"/>
      <c r="H207" s="46" t="n"/>
      <c r="I207" s="46" t="n"/>
      <c r="J207" s="49" t="str">
        <f>IF($A207="","",IFERROR(INDEX(Products!$B$2:$B$101,MATCH($B207,Products!$A$2:$A$101,0))&amp;"","(not found)"))</f>
        <v/>
      </c>
      <c r="K207" s="51" t="str">
        <f>IF($A207="","",SUMIFS(Inventory_Ledger!$M$2:$M$2001,Inventory_Ledger!$F$2:$F$2001,$A207))</f>
        <v/>
      </c>
      <c r="L207" s="51" t="str">
        <f>IF($A207="","",IF(ISNUMBER($F207),$F207,0)+$K207)</f>
        <v/>
      </c>
      <c r="M207" s="56" t="str">
        <f>IF(OR($A207="",NOT(ISNUMBER($E207))),"",$E207-Config!$B$4)</f>
        <v/>
      </c>
      <c r="N207" s="49" t="str">
        <f>IF($M207="","",IF($M207&lt;0,"Expired",IF($M207&lt;=Config!$B$6,"&lt;="&amp;Config!$B$6,IF($M207&lt;=Config!$B$7,(Config!$B$6+1)&amp;"-"&amp;Config!$B$7,IF($M207&lt;=Config!$B$8,(Config!$B$7+1)&amp;"-"&amp;Config!$B$8,"&gt;"&amp;Config!$B$8)))))</f>
        <v/>
      </c>
      <c r="O207" s="52" t="str">
        <f>IF($M207="","",IF($M207&lt;0,0,IF($M207&lt;=Config!$B$6,1,IF($M207&lt;=Config!$B$7,2,IF($M207&lt;=Config!$B$8,3,4)))))</f>
        <v/>
      </c>
      <c r="P207" s="50" t="str">
        <f>IF($A207="","",IF($L207&lt;=0,0,IF(OR(IFERROR(INDEX(Config!$F$15:$F$34,MATCH($G207,Config!$E$15:$E$34,0)),"No")="Yes",AND(Config!$B$10="Yes",ISNUMBER($M207),$M207&lt;0)),$L207,0)))</f>
        <v/>
      </c>
      <c r="Q207" s="52" t="str">
        <f>IF($A207="","",IF(AND($L207&gt;0,ISNUMBER($M207)),IF($M207&lt;=Config!$B$8,1,0),0))</f>
        <v/>
      </c>
      <c r="R207" s="52" t="str">
        <f>IF($Q207=1,COUNTIFS($Q$2:$Q$301,1,$E$2:$E$301,"&lt;"&amp;$E207)+COUNTIFS($Q$2:$Q207,1,$E$2:$E207,$E207),"")</f>
        <v/>
      </c>
      <c r="S207" s="49" t="str">
        <f>IF(COUNTA($A207:$I207)=0,"",IF($A207="","Missing: lot",IF(COUNTIF($A$2:$A$301,$A207)&gt;1,"Duplicate lot",IF($B207="","Missing: SKU",IF(NOT(ISNUMBER($E207)),"Missing: expiry date",IF($G207="","Missing: status",IF(COUNTIF(Products!$A$2:$A$101,$B207)=0,"Unknown SKU",IF(AND($C207&lt;&gt;"",COUNTIF(Suppliers!$A$2:$A$51,$C207)=0),"Unknown supplier",IF(COUNTIF(Config!$E$15:$E$34,$G207)=0,"Unsupported status",IF($L207&lt;0,"Negative lot balance",IF(AND($G207="Closed",$L207&lt;&gt;0),"Closed lot still has stock","OK")))))))))))</f>
        <v/>
      </c>
    </row>
    <row r="208">
      <c r="A208" s="46" t="n"/>
      <c r="B208" s="46" t="n"/>
      <c r="C208" s="46" t="n"/>
      <c r="D208" s="54" t="n"/>
      <c r="E208" s="54" t="n"/>
      <c r="F208" s="48" t="n"/>
      <c r="G208" s="46" t="n"/>
      <c r="H208" s="46" t="n"/>
      <c r="I208" s="46" t="n"/>
      <c r="J208" s="49" t="str">
        <f>IF($A208="","",IFERROR(INDEX(Products!$B$2:$B$101,MATCH($B208,Products!$A$2:$A$101,0))&amp;"","(not found)"))</f>
        <v/>
      </c>
      <c r="K208" s="51" t="str">
        <f>IF($A208="","",SUMIFS(Inventory_Ledger!$M$2:$M$2001,Inventory_Ledger!$F$2:$F$2001,$A208))</f>
        <v/>
      </c>
      <c r="L208" s="51" t="str">
        <f>IF($A208="","",IF(ISNUMBER($F208),$F208,0)+$K208)</f>
        <v/>
      </c>
      <c r="M208" s="56" t="str">
        <f>IF(OR($A208="",NOT(ISNUMBER($E208))),"",$E208-Config!$B$4)</f>
        <v/>
      </c>
      <c r="N208" s="49" t="str">
        <f>IF($M208="","",IF($M208&lt;0,"Expired",IF($M208&lt;=Config!$B$6,"&lt;="&amp;Config!$B$6,IF($M208&lt;=Config!$B$7,(Config!$B$6+1)&amp;"-"&amp;Config!$B$7,IF($M208&lt;=Config!$B$8,(Config!$B$7+1)&amp;"-"&amp;Config!$B$8,"&gt;"&amp;Config!$B$8)))))</f>
        <v/>
      </c>
      <c r="O208" s="52" t="str">
        <f>IF($M208="","",IF($M208&lt;0,0,IF($M208&lt;=Config!$B$6,1,IF($M208&lt;=Config!$B$7,2,IF($M208&lt;=Config!$B$8,3,4)))))</f>
        <v/>
      </c>
      <c r="P208" s="50" t="str">
        <f>IF($A208="","",IF($L208&lt;=0,0,IF(OR(IFERROR(INDEX(Config!$F$15:$F$34,MATCH($G208,Config!$E$15:$E$34,0)),"No")="Yes",AND(Config!$B$10="Yes",ISNUMBER($M208),$M208&lt;0)),$L208,0)))</f>
        <v/>
      </c>
      <c r="Q208" s="52" t="str">
        <f>IF($A208="","",IF(AND($L208&gt;0,ISNUMBER($M208)),IF($M208&lt;=Config!$B$8,1,0),0))</f>
        <v/>
      </c>
      <c r="R208" s="52" t="str">
        <f>IF($Q208=1,COUNTIFS($Q$2:$Q$301,1,$E$2:$E$301,"&lt;"&amp;$E208)+COUNTIFS($Q$2:$Q208,1,$E$2:$E208,$E208),"")</f>
        <v/>
      </c>
      <c r="S208" s="49" t="str">
        <f>IF(COUNTA($A208:$I208)=0,"",IF($A208="","Missing: lot",IF(COUNTIF($A$2:$A$301,$A208)&gt;1,"Duplicate lot",IF($B208="","Missing: SKU",IF(NOT(ISNUMBER($E208)),"Missing: expiry date",IF($G208="","Missing: status",IF(COUNTIF(Products!$A$2:$A$101,$B208)=0,"Unknown SKU",IF(AND($C208&lt;&gt;"",COUNTIF(Suppliers!$A$2:$A$51,$C208)=0),"Unknown supplier",IF(COUNTIF(Config!$E$15:$E$34,$G208)=0,"Unsupported status",IF($L208&lt;0,"Negative lot balance",IF(AND($G208="Closed",$L208&lt;&gt;0),"Closed lot still has stock","OK")))))))))))</f>
        <v/>
      </c>
    </row>
    <row r="209">
      <c r="A209" s="46" t="n"/>
      <c r="B209" s="46" t="n"/>
      <c r="C209" s="46" t="n"/>
      <c r="D209" s="54" t="n"/>
      <c r="E209" s="54" t="n"/>
      <c r="F209" s="48" t="n"/>
      <c r="G209" s="46" t="n"/>
      <c r="H209" s="46" t="n"/>
      <c r="I209" s="46" t="n"/>
      <c r="J209" s="49" t="str">
        <f>IF($A209="","",IFERROR(INDEX(Products!$B$2:$B$101,MATCH($B209,Products!$A$2:$A$101,0))&amp;"","(not found)"))</f>
        <v/>
      </c>
      <c r="K209" s="51" t="str">
        <f>IF($A209="","",SUMIFS(Inventory_Ledger!$M$2:$M$2001,Inventory_Ledger!$F$2:$F$2001,$A209))</f>
        <v/>
      </c>
      <c r="L209" s="51" t="str">
        <f>IF($A209="","",IF(ISNUMBER($F209),$F209,0)+$K209)</f>
        <v/>
      </c>
      <c r="M209" s="56" t="str">
        <f>IF(OR($A209="",NOT(ISNUMBER($E209))),"",$E209-Config!$B$4)</f>
        <v/>
      </c>
      <c r="N209" s="49" t="str">
        <f>IF($M209="","",IF($M209&lt;0,"Expired",IF($M209&lt;=Config!$B$6,"&lt;="&amp;Config!$B$6,IF($M209&lt;=Config!$B$7,(Config!$B$6+1)&amp;"-"&amp;Config!$B$7,IF($M209&lt;=Config!$B$8,(Config!$B$7+1)&amp;"-"&amp;Config!$B$8,"&gt;"&amp;Config!$B$8)))))</f>
        <v/>
      </c>
      <c r="O209" s="52" t="str">
        <f>IF($M209="","",IF($M209&lt;0,0,IF($M209&lt;=Config!$B$6,1,IF($M209&lt;=Config!$B$7,2,IF($M209&lt;=Config!$B$8,3,4)))))</f>
        <v/>
      </c>
      <c r="P209" s="50" t="str">
        <f>IF($A209="","",IF($L209&lt;=0,0,IF(OR(IFERROR(INDEX(Config!$F$15:$F$34,MATCH($G209,Config!$E$15:$E$34,0)),"No")="Yes",AND(Config!$B$10="Yes",ISNUMBER($M209),$M209&lt;0)),$L209,0)))</f>
        <v/>
      </c>
      <c r="Q209" s="52" t="str">
        <f>IF($A209="","",IF(AND($L209&gt;0,ISNUMBER($M209)),IF($M209&lt;=Config!$B$8,1,0),0))</f>
        <v/>
      </c>
      <c r="R209" s="52" t="str">
        <f>IF($Q209=1,COUNTIFS($Q$2:$Q$301,1,$E$2:$E$301,"&lt;"&amp;$E209)+COUNTIFS($Q$2:$Q209,1,$E$2:$E209,$E209),"")</f>
        <v/>
      </c>
      <c r="S209" s="49" t="str">
        <f>IF(COUNTA($A209:$I209)=0,"",IF($A209="","Missing: lot",IF(COUNTIF($A$2:$A$301,$A209)&gt;1,"Duplicate lot",IF($B209="","Missing: SKU",IF(NOT(ISNUMBER($E209)),"Missing: expiry date",IF($G209="","Missing: status",IF(COUNTIF(Products!$A$2:$A$101,$B209)=0,"Unknown SKU",IF(AND($C209&lt;&gt;"",COUNTIF(Suppliers!$A$2:$A$51,$C209)=0),"Unknown supplier",IF(COUNTIF(Config!$E$15:$E$34,$G209)=0,"Unsupported status",IF($L209&lt;0,"Negative lot balance",IF(AND($G209="Closed",$L209&lt;&gt;0),"Closed lot still has stock","OK")))))))))))</f>
        <v/>
      </c>
    </row>
    <row r="210">
      <c r="A210" s="46" t="n"/>
      <c r="B210" s="46" t="n"/>
      <c r="C210" s="46" t="n"/>
      <c r="D210" s="54" t="n"/>
      <c r="E210" s="54" t="n"/>
      <c r="F210" s="48" t="n"/>
      <c r="G210" s="46" t="n"/>
      <c r="H210" s="46" t="n"/>
      <c r="I210" s="46" t="n"/>
      <c r="J210" s="49" t="str">
        <f>IF($A210="","",IFERROR(INDEX(Products!$B$2:$B$101,MATCH($B210,Products!$A$2:$A$101,0))&amp;"","(not found)"))</f>
        <v/>
      </c>
      <c r="K210" s="51" t="str">
        <f>IF($A210="","",SUMIFS(Inventory_Ledger!$M$2:$M$2001,Inventory_Ledger!$F$2:$F$2001,$A210))</f>
        <v/>
      </c>
      <c r="L210" s="51" t="str">
        <f>IF($A210="","",IF(ISNUMBER($F210),$F210,0)+$K210)</f>
        <v/>
      </c>
      <c r="M210" s="56" t="str">
        <f>IF(OR($A210="",NOT(ISNUMBER($E210))),"",$E210-Config!$B$4)</f>
        <v/>
      </c>
      <c r="N210" s="49" t="str">
        <f>IF($M210="","",IF($M210&lt;0,"Expired",IF($M210&lt;=Config!$B$6,"&lt;="&amp;Config!$B$6,IF($M210&lt;=Config!$B$7,(Config!$B$6+1)&amp;"-"&amp;Config!$B$7,IF($M210&lt;=Config!$B$8,(Config!$B$7+1)&amp;"-"&amp;Config!$B$8,"&gt;"&amp;Config!$B$8)))))</f>
        <v/>
      </c>
      <c r="O210" s="52" t="str">
        <f>IF($M210="","",IF($M210&lt;0,0,IF($M210&lt;=Config!$B$6,1,IF($M210&lt;=Config!$B$7,2,IF($M210&lt;=Config!$B$8,3,4)))))</f>
        <v/>
      </c>
      <c r="P210" s="50" t="str">
        <f>IF($A210="","",IF($L210&lt;=0,0,IF(OR(IFERROR(INDEX(Config!$F$15:$F$34,MATCH($G210,Config!$E$15:$E$34,0)),"No")="Yes",AND(Config!$B$10="Yes",ISNUMBER($M210),$M210&lt;0)),$L210,0)))</f>
        <v/>
      </c>
      <c r="Q210" s="52" t="str">
        <f>IF($A210="","",IF(AND($L210&gt;0,ISNUMBER($M210)),IF($M210&lt;=Config!$B$8,1,0),0))</f>
        <v/>
      </c>
      <c r="R210" s="52" t="str">
        <f>IF($Q210=1,COUNTIFS($Q$2:$Q$301,1,$E$2:$E$301,"&lt;"&amp;$E210)+COUNTIFS($Q$2:$Q210,1,$E$2:$E210,$E210),"")</f>
        <v/>
      </c>
      <c r="S210" s="49" t="str">
        <f>IF(COUNTA($A210:$I210)=0,"",IF($A210="","Missing: lot",IF(COUNTIF($A$2:$A$301,$A210)&gt;1,"Duplicate lot",IF($B210="","Missing: SKU",IF(NOT(ISNUMBER($E210)),"Missing: expiry date",IF($G210="","Missing: status",IF(COUNTIF(Products!$A$2:$A$101,$B210)=0,"Unknown SKU",IF(AND($C210&lt;&gt;"",COUNTIF(Suppliers!$A$2:$A$51,$C210)=0),"Unknown supplier",IF(COUNTIF(Config!$E$15:$E$34,$G210)=0,"Unsupported status",IF($L210&lt;0,"Negative lot balance",IF(AND($G210="Closed",$L210&lt;&gt;0),"Closed lot still has stock","OK")))))))))))</f>
        <v/>
      </c>
    </row>
    <row r="211">
      <c r="A211" s="46" t="n"/>
      <c r="B211" s="46" t="n"/>
      <c r="C211" s="46" t="n"/>
      <c r="D211" s="54" t="n"/>
      <c r="E211" s="54" t="n"/>
      <c r="F211" s="48" t="n"/>
      <c r="G211" s="46" t="n"/>
      <c r="H211" s="46" t="n"/>
      <c r="I211" s="46" t="n"/>
      <c r="J211" s="49" t="str">
        <f>IF($A211="","",IFERROR(INDEX(Products!$B$2:$B$101,MATCH($B211,Products!$A$2:$A$101,0))&amp;"","(not found)"))</f>
        <v/>
      </c>
      <c r="K211" s="51" t="str">
        <f>IF($A211="","",SUMIFS(Inventory_Ledger!$M$2:$M$2001,Inventory_Ledger!$F$2:$F$2001,$A211))</f>
        <v/>
      </c>
      <c r="L211" s="51" t="str">
        <f>IF($A211="","",IF(ISNUMBER($F211),$F211,0)+$K211)</f>
        <v/>
      </c>
      <c r="M211" s="56" t="str">
        <f>IF(OR($A211="",NOT(ISNUMBER($E211))),"",$E211-Config!$B$4)</f>
        <v/>
      </c>
      <c r="N211" s="49" t="str">
        <f>IF($M211="","",IF($M211&lt;0,"Expired",IF($M211&lt;=Config!$B$6,"&lt;="&amp;Config!$B$6,IF($M211&lt;=Config!$B$7,(Config!$B$6+1)&amp;"-"&amp;Config!$B$7,IF($M211&lt;=Config!$B$8,(Config!$B$7+1)&amp;"-"&amp;Config!$B$8,"&gt;"&amp;Config!$B$8)))))</f>
        <v/>
      </c>
      <c r="O211" s="52" t="str">
        <f>IF($M211="","",IF($M211&lt;0,0,IF($M211&lt;=Config!$B$6,1,IF($M211&lt;=Config!$B$7,2,IF($M211&lt;=Config!$B$8,3,4)))))</f>
        <v/>
      </c>
      <c r="P211" s="50" t="str">
        <f>IF($A211="","",IF($L211&lt;=0,0,IF(OR(IFERROR(INDEX(Config!$F$15:$F$34,MATCH($G211,Config!$E$15:$E$34,0)),"No")="Yes",AND(Config!$B$10="Yes",ISNUMBER($M211),$M211&lt;0)),$L211,0)))</f>
        <v/>
      </c>
      <c r="Q211" s="52" t="str">
        <f>IF($A211="","",IF(AND($L211&gt;0,ISNUMBER($M211)),IF($M211&lt;=Config!$B$8,1,0),0))</f>
        <v/>
      </c>
      <c r="R211" s="52" t="str">
        <f>IF($Q211=1,COUNTIFS($Q$2:$Q$301,1,$E$2:$E$301,"&lt;"&amp;$E211)+COUNTIFS($Q$2:$Q211,1,$E$2:$E211,$E211),"")</f>
        <v/>
      </c>
      <c r="S211" s="49" t="str">
        <f>IF(COUNTA($A211:$I211)=0,"",IF($A211="","Missing: lot",IF(COUNTIF($A$2:$A$301,$A211)&gt;1,"Duplicate lot",IF($B211="","Missing: SKU",IF(NOT(ISNUMBER($E211)),"Missing: expiry date",IF($G211="","Missing: status",IF(COUNTIF(Products!$A$2:$A$101,$B211)=0,"Unknown SKU",IF(AND($C211&lt;&gt;"",COUNTIF(Suppliers!$A$2:$A$51,$C211)=0),"Unknown supplier",IF(COUNTIF(Config!$E$15:$E$34,$G211)=0,"Unsupported status",IF($L211&lt;0,"Negative lot balance",IF(AND($G211="Closed",$L211&lt;&gt;0),"Closed lot still has stock","OK")))))))))))</f>
        <v/>
      </c>
    </row>
    <row r="212">
      <c r="A212" s="46" t="n"/>
      <c r="B212" s="46" t="n"/>
      <c r="C212" s="46" t="n"/>
      <c r="D212" s="54" t="n"/>
      <c r="E212" s="54" t="n"/>
      <c r="F212" s="48" t="n"/>
      <c r="G212" s="46" t="n"/>
      <c r="H212" s="46" t="n"/>
      <c r="I212" s="46" t="n"/>
      <c r="J212" s="49" t="str">
        <f>IF($A212="","",IFERROR(INDEX(Products!$B$2:$B$101,MATCH($B212,Products!$A$2:$A$101,0))&amp;"","(not found)"))</f>
        <v/>
      </c>
      <c r="K212" s="51" t="str">
        <f>IF($A212="","",SUMIFS(Inventory_Ledger!$M$2:$M$2001,Inventory_Ledger!$F$2:$F$2001,$A212))</f>
        <v/>
      </c>
      <c r="L212" s="51" t="str">
        <f>IF($A212="","",IF(ISNUMBER($F212),$F212,0)+$K212)</f>
        <v/>
      </c>
      <c r="M212" s="56" t="str">
        <f>IF(OR($A212="",NOT(ISNUMBER($E212))),"",$E212-Config!$B$4)</f>
        <v/>
      </c>
      <c r="N212" s="49" t="str">
        <f>IF($M212="","",IF($M212&lt;0,"Expired",IF($M212&lt;=Config!$B$6,"&lt;="&amp;Config!$B$6,IF($M212&lt;=Config!$B$7,(Config!$B$6+1)&amp;"-"&amp;Config!$B$7,IF($M212&lt;=Config!$B$8,(Config!$B$7+1)&amp;"-"&amp;Config!$B$8,"&gt;"&amp;Config!$B$8)))))</f>
        <v/>
      </c>
      <c r="O212" s="52" t="str">
        <f>IF($M212="","",IF($M212&lt;0,0,IF($M212&lt;=Config!$B$6,1,IF($M212&lt;=Config!$B$7,2,IF($M212&lt;=Config!$B$8,3,4)))))</f>
        <v/>
      </c>
      <c r="P212" s="50" t="str">
        <f>IF($A212="","",IF($L212&lt;=0,0,IF(OR(IFERROR(INDEX(Config!$F$15:$F$34,MATCH($G212,Config!$E$15:$E$34,0)),"No")="Yes",AND(Config!$B$10="Yes",ISNUMBER($M212),$M212&lt;0)),$L212,0)))</f>
        <v/>
      </c>
      <c r="Q212" s="52" t="str">
        <f>IF($A212="","",IF(AND($L212&gt;0,ISNUMBER($M212)),IF($M212&lt;=Config!$B$8,1,0),0))</f>
        <v/>
      </c>
      <c r="R212" s="52" t="str">
        <f>IF($Q212=1,COUNTIFS($Q$2:$Q$301,1,$E$2:$E$301,"&lt;"&amp;$E212)+COUNTIFS($Q$2:$Q212,1,$E$2:$E212,$E212),"")</f>
        <v/>
      </c>
      <c r="S212" s="49" t="str">
        <f>IF(COUNTA($A212:$I212)=0,"",IF($A212="","Missing: lot",IF(COUNTIF($A$2:$A$301,$A212)&gt;1,"Duplicate lot",IF($B212="","Missing: SKU",IF(NOT(ISNUMBER($E212)),"Missing: expiry date",IF($G212="","Missing: status",IF(COUNTIF(Products!$A$2:$A$101,$B212)=0,"Unknown SKU",IF(AND($C212&lt;&gt;"",COUNTIF(Suppliers!$A$2:$A$51,$C212)=0),"Unknown supplier",IF(COUNTIF(Config!$E$15:$E$34,$G212)=0,"Unsupported status",IF($L212&lt;0,"Negative lot balance",IF(AND($G212="Closed",$L212&lt;&gt;0),"Closed lot still has stock","OK")))))))))))</f>
        <v/>
      </c>
    </row>
    <row r="213">
      <c r="A213" s="46" t="n"/>
      <c r="B213" s="46" t="n"/>
      <c r="C213" s="46" t="n"/>
      <c r="D213" s="54" t="n"/>
      <c r="E213" s="54" t="n"/>
      <c r="F213" s="48" t="n"/>
      <c r="G213" s="46" t="n"/>
      <c r="H213" s="46" t="n"/>
      <c r="I213" s="46" t="n"/>
      <c r="J213" s="49" t="str">
        <f>IF($A213="","",IFERROR(INDEX(Products!$B$2:$B$101,MATCH($B213,Products!$A$2:$A$101,0))&amp;"","(not found)"))</f>
        <v/>
      </c>
      <c r="K213" s="51" t="str">
        <f>IF($A213="","",SUMIFS(Inventory_Ledger!$M$2:$M$2001,Inventory_Ledger!$F$2:$F$2001,$A213))</f>
        <v/>
      </c>
      <c r="L213" s="51" t="str">
        <f>IF($A213="","",IF(ISNUMBER($F213),$F213,0)+$K213)</f>
        <v/>
      </c>
      <c r="M213" s="56" t="str">
        <f>IF(OR($A213="",NOT(ISNUMBER($E213))),"",$E213-Config!$B$4)</f>
        <v/>
      </c>
      <c r="N213" s="49" t="str">
        <f>IF($M213="","",IF($M213&lt;0,"Expired",IF($M213&lt;=Config!$B$6,"&lt;="&amp;Config!$B$6,IF($M213&lt;=Config!$B$7,(Config!$B$6+1)&amp;"-"&amp;Config!$B$7,IF($M213&lt;=Config!$B$8,(Config!$B$7+1)&amp;"-"&amp;Config!$B$8,"&gt;"&amp;Config!$B$8)))))</f>
        <v/>
      </c>
      <c r="O213" s="52" t="str">
        <f>IF($M213="","",IF($M213&lt;0,0,IF($M213&lt;=Config!$B$6,1,IF($M213&lt;=Config!$B$7,2,IF($M213&lt;=Config!$B$8,3,4)))))</f>
        <v/>
      </c>
      <c r="P213" s="50" t="str">
        <f>IF($A213="","",IF($L213&lt;=0,0,IF(OR(IFERROR(INDEX(Config!$F$15:$F$34,MATCH($G213,Config!$E$15:$E$34,0)),"No")="Yes",AND(Config!$B$10="Yes",ISNUMBER($M213),$M213&lt;0)),$L213,0)))</f>
        <v/>
      </c>
      <c r="Q213" s="52" t="str">
        <f>IF($A213="","",IF(AND($L213&gt;0,ISNUMBER($M213)),IF($M213&lt;=Config!$B$8,1,0),0))</f>
        <v/>
      </c>
      <c r="R213" s="52" t="str">
        <f>IF($Q213=1,COUNTIFS($Q$2:$Q$301,1,$E$2:$E$301,"&lt;"&amp;$E213)+COUNTIFS($Q$2:$Q213,1,$E$2:$E213,$E213),"")</f>
        <v/>
      </c>
      <c r="S213" s="49" t="str">
        <f>IF(COUNTA($A213:$I213)=0,"",IF($A213="","Missing: lot",IF(COUNTIF($A$2:$A$301,$A213)&gt;1,"Duplicate lot",IF($B213="","Missing: SKU",IF(NOT(ISNUMBER($E213)),"Missing: expiry date",IF($G213="","Missing: status",IF(COUNTIF(Products!$A$2:$A$101,$B213)=0,"Unknown SKU",IF(AND($C213&lt;&gt;"",COUNTIF(Suppliers!$A$2:$A$51,$C213)=0),"Unknown supplier",IF(COUNTIF(Config!$E$15:$E$34,$G213)=0,"Unsupported status",IF($L213&lt;0,"Negative lot balance",IF(AND($G213="Closed",$L213&lt;&gt;0),"Closed lot still has stock","OK")))))))))))</f>
        <v/>
      </c>
    </row>
    <row r="214">
      <c r="A214" s="46" t="n"/>
      <c r="B214" s="46" t="n"/>
      <c r="C214" s="46" t="n"/>
      <c r="D214" s="54" t="n"/>
      <c r="E214" s="54" t="n"/>
      <c r="F214" s="48" t="n"/>
      <c r="G214" s="46" t="n"/>
      <c r="H214" s="46" t="n"/>
      <c r="I214" s="46" t="n"/>
      <c r="J214" s="49" t="str">
        <f>IF($A214="","",IFERROR(INDEX(Products!$B$2:$B$101,MATCH($B214,Products!$A$2:$A$101,0))&amp;"","(not found)"))</f>
        <v/>
      </c>
      <c r="K214" s="51" t="str">
        <f>IF($A214="","",SUMIFS(Inventory_Ledger!$M$2:$M$2001,Inventory_Ledger!$F$2:$F$2001,$A214))</f>
        <v/>
      </c>
      <c r="L214" s="51" t="str">
        <f>IF($A214="","",IF(ISNUMBER($F214),$F214,0)+$K214)</f>
        <v/>
      </c>
      <c r="M214" s="56" t="str">
        <f>IF(OR($A214="",NOT(ISNUMBER($E214))),"",$E214-Config!$B$4)</f>
        <v/>
      </c>
      <c r="N214" s="49" t="str">
        <f>IF($M214="","",IF($M214&lt;0,"Expired",IF($M214&lt;=Config!$B$6,"&lt;="&amp;Config!$B$6,IF($M214&lt;=Config!$B$7,(Config!$B$6+1)&amp;"-"&amp;Config!$B$7,IF($M214&lt;=Config!$B$8,(Config!$B$7+1)&amp;"-"&amp;Config!$B$8,"&gt;"&amp;Config!$B$8)))))</f>
        <v/>
      </c>
      <c r="O214" s="52" t="str">
        <f>IF($M214="","",IF($M214&lt;0,0,IF($M214&lt;=Config!$B$6,1,IF($M214&lt;=Config!$B$7,2,IF($M214&lt;=Config!$B$8,3,4)))))</f>
        <v/>
      </c>
      <c r="P214" s="50" t="str">
        <f>IF($A214="","",IF($L214&lt;=0,0,IF(OR(IFERROR(INDEX(Config!$F$15:$F$34,MATCH($G214,Config!$E$15:$E$34,0)),"No")="Yes",AND(Config!$B$10="Yes",ISNUMBER($M214),$M214&lt;0)),$L214,0)))</f>
        <v/>
      </c>
      <c r="Q214" s="52" t="str">
        <f>IF($A214="","",IF(AND($L214&gt;0,ISNUMBER($M214)),IF($M214&lt;=Config!$B$8,1,0),0))</f>
        <v/>
      </c>
      <c r="R214" s="52" t="str">
        <f>IF($Q214=1,COUNTIFS($Q$2:$Q$301,1,$E$2:$E$301,"&lt;"&amp;$E214)+COUNTIFS($Q$2:$Q214,1,$E$2:$E214,$E214),"")</f>
        <v/>
      </c>
      <c r="S214" s="49" t="str">
        <f>IF(COUNTA($A214:$I214)=0,"",IF($A214="","Missing: lot",IF(COUNTIF($A$2:$A$301,$A214)&gt;1,"Duplicate lot",IF($B214="","Missing: SKU",IF(NOT(ISNUMBER($E214)),"Missing: expiry date",IF($G214="","Missing: status",IF(COUNTIF(Products!$A$2:$A$101,$B214)=0,"Unknown SKU",IF(AND($C214&lt;&gt;"",COUNTIF(Suppliers!$A$2:$A$51,$C214)=0),"Unknown supplier",IF(COUNTIF(Config!$E$15:$E$34,$G214)=0,"Unsupported status",IF($L214&lt;0,"Negative lot balance",IF(AND($G214="Closed",$L214&lt;&gt;0),"Closed lot still has stock","OK")))))))))))</f>
        <v/>
      </c>
    </row>
    <row r="215">
      <c r="A215" s="46" t="n"/>
      <c r="B215" s="46" t="n"/>
      <c r="C215" s="46" t="n"/>
      <c r="D215" s="54" t="n"/>
      <c r="E215" s="54" t="n"/>
      <c r="F215" s="48" t="n"/>
      <c r="G215" s="46" t="n"/>
      <c r="H215" s="46" t="n"/>
      <c r="I215" s="46" t="n"/>
      <c r="J215" s="49" t="str">
        <f>IF($A215="","",IFERROR(INDEX(Products!$B$2:$B$101,MATCH($B215,Products!$A$2:$A$101,0))&amp;"","(not found)"))</f>
        <v/>
      </c>
      <c r="K215" s="51" t="str">
        <f>IF($A215="","",SUMIFS(Inventory_Ledger!$M$2:$M$2001,Inventory_Ledger!$F$2:$F$2001,$A215))</f>
        <v/>
      </c>
      <c r="L215" s="51" t="str">
        <f>IF($A215="","",IF(ISNUMBER($F215),$F215,0)+$K215)</f>
        <v/>
      </c>
      <c r="M215" s="56" t="str">
        <f>IF(OR($A215="",NOT(ISNUMBER($E215))),"",$E215-Config!$B$4)</f>
        <v/>
      </c>
      <c r="N215" s="49" t="str">
        <f>IF($M215="","",IF($M215&lt;0,"Expired",IF($M215&lt;=Config!$B$6,"&lt;="&amp;Config!$B$6,IF($M215&lt;=Config!$B$7,(Config!$B$6+1)&amp;"-"&amp;Config!$B$7,IF($M215&lt;=Config!$B$8,(Config!$B$7+1)&amp;"-"&amp;Config!$B$8,"&gt;"&amp;Config!$B$8)))))</f>
        <v/>
      </c>
      <c r="O215" s="52" t="str">
        <f>IF($M215="","",IF($M215&lt;0,0,IF($M215&lt;=Config!$B$6,1,IF($M215&lt;=Config!$B$7,2,IF($M215&lt;=Config!$B$8,3,4)))))</f>
        <v/>
      </c>
      <c r="P215" s="50" t="str">
        <f>IF($A215="","",IF($L215&lt;=0,0,IF(OR(IFERROR(INDEX(Config!$F$15:$F$34,MATCH($G215,Config!$E$15:$E$34,0)),"No")="Yes",AND(Config!$B$10="Yes",ISNUMBER($M215),$M215&lt;0)),$L215,0)))</f>
        <v/>
      </c>
      <c r="Q215" s="52" t="str">
        <f>IF($A215="","",IF(AND($L215&gt;0,ISNUMBER($M215)),IF($M215&lt;=Config!$B$8,1,0),0))</f>
        <v/>
      </c>
      <c r="R215" s="52" t="str">
        <f>IF($Q215=1,COUNTIFS($Q$2:$Q$301,1,$E$2:$E$301,"&lt;"&amp;$E215)+COUNTIFS($Q$2:$Q215,1,$E$2:$E215,$E215),"")</f>
        <v/>
      </c>
      <c r="S215" s="49" t="str">
        <f>IF(COUNTA($A215:$I215)=0,"",IF($A215="","Missing: lot",IF(COUNTIF($A$2:$A$301,$A215)&gt;1,"Duplicate lot",IF($B215="","Missing: SKU",IF(NOT(ISNUMBER($E215)),"Missing: expiry date",IF($G215="","Missing: status",IF(COUNTIF(Products!$A$2:$A$101,$B215)=0,"Unknown SKU",IF(AND($C215&lt;&gt;"",COUNTIF(Suppliers!$A$2:$A$51,$C215)=0),"Unknown supplier",IF(COUNTIF(Config!$E$15:$E$34,$G215)=0,"Unsupported status",IF($L215&lt;0,"Negative lot balance",IF(AND($G215="Closed",$L215&lt;&gt;0),"Closed lot still has stock","OK")))))))))))</f>
        <v/>
      </c>
    </row>
    <row r="216">
      <c r="A216" s="46" t="n"/>
      <c r="B216" s="46" t="n"/>
      <c r="C216" s="46" t="n"/>
      <c r="D216" s="54" t="n"/>
      <c r="E216" s="54" t="n"/>
      <c r="F216" s="48" t="n"/>
      <c r="G216" s="46" t="n"/>
      <c r="H216" s="46" t="n"/>
      <c r="I216" s="46" t="n"/>
      <c r="J216" s="49" t="str">
        <f>IF($A216="","",IFERROR(INDEX(Products!$B$2:$B$101,MATCH($B216,Products!$A$2:$A$101,0))&amp;"","(not found)"))</f>
        <v/>
      </c>
      <c r="K216" s="51" t="str">
        <f>IF($A216="","",SUMIFS(Inventory_Ledger!$M$2:$M$2001,Inventory_Ledger!$F$2:$F$2001,$A216))</f>
        <v/>
      </c>
      <c r="L216" s="51" t="str">
        <f>IF($A216="","",IF(ISNUMBER($F216),$F216,0)+$K216)</f>
        <v/>
      </c>
      <c r="M216" s="56" t="str">
        <f>IF(OR($A216="",NOT(ISNUMBER($E216))),"",$E216-Config!$B$4)</f>
        <v/>
      </c>
      <c r="N216" s="49" t="str">
        <f>IF($M216="","",IF($M216&lt;0,"Expired",IF($M216&lt;=Config!$B$6,"&lt;="&amp;Config!$B$6,IF($M216&lt;=Config!$B$7,(Config!$B$6+1)&amp;"-"&amp;Config!$B$7,IF($M216&lt;=Config!$B$8,(Config!$B$7+1)&amp;"-"&amp;Config!$B$8,"&gt;"&amp;Config!$B$8)))))</f>
        <v/>
      </c>
      <c r="O216" s="52" t="str">
        <f>IF($M216="","",IF($M216&lt;0,0,IF($M216&lt;=Config!$B$6,1,IF($M216&lt;=Config!$B$7,2,IF($M216&lt;=Config!$B$8,3,4)))))</f>
        <v/>
      </c>
      <c r="P216" s="50" t="str">
        <f>IF($A216="","",IF($L216&lt;=0,0,IF(OR(IFERROR(INDEX(Config!$F$15:$F$34,MATCH($G216,Config!$E$15:$E$34,0)),"No")="Yes",AND(Config!$B$10="Yes",ISNUMBER($M216),$M216&lt;0)),$L216,0)))</f>
        <v/>
      </c>
      <c r="Q216" s="52" t="str">
        <f>IF($A216="","",IF(AND($L216&gt;0,ISNUMBER($M216)),IF($M216&lt;=Config!$B$8,1,0),0))</f>
        <v/>
      </c>
      <c r="R216" s="52" t="str">
        <f>IF($Q216=1,COUNTIFS($Q$2:$Q$301,1,$E$2:$E$301,"&lt;"&amp;$E216)+COUNTIFS($Q$2:$Q216,1,$E$2:$E216,$E216),"")</f>
        <v/>
      </c>
      <c r="S216" s="49" t="str">
        <f>IF(COUNTA($A216:$I216)=0,"",IF($A216="","Missing: lot",IF(COUNTIF($A$2:$A$301,$A216)&gt;1,"Duplicate lot",IF($B216="","Missing: SKU",IF(NOT(ISNUMBER($E216)),"Missing: expiry date",IF($G216="","Missing: status",IF(COUNTIF(Products!$A$2:$A$101,$B216)=0,"Unknown SKU",IF(AND($C216&lt;&gt;"",COUNTIF(Suppliers!$A$2:$A$51,$C216)=0),"Unknown supplier",IF(COUNTIF(Config!$E$15:$E$34,$G216)=0,"Unsupported status",IF($L216&lt;0,"Negative lot balance",IF(AND($G216="Closed",$L216&lt;&gt;0),"Closed lot still has stock","OK")))))))))))</f>
        <v/>
      </c>
    </row>
    <row r="217">
      <c r="A217" s="46" t="n"/>
      <c r="B217" s="46" t="n"/>
      <c r="C217" s="46" t="n"/>
      <c r="D217" s="54" t="n"/>
      <c r="E217" s="54" t="n"/>
      <c r="F217" s="48" t="n"/>
      <c r="G217" s="46" t="n"/>
      <c r="H217" s="46" t="n"/>
      <c r="I217" s="46" t="n"/>
      <c r="J217" s="49" t="str">
        <f>IF($A217="","",IFERROR(INDEX(Products!$B$2:$B$101,MATCH($B217,Products!$A$2:$A$101,0))&amp;"","(not found)"))</f>
        <v/>
      </c>
      <c r="K217" s="51" t="str">
        <f>IF($A217="","",SUMIFS(Inventory_Ledger!$M$2:$M$2001,Inventory_Ledger!$F$2:$F$2001,$A217))</f>
        <v/>
      </c>
      <c r="L217" s="51" t="str">
        <f>IF($A217="","",IF(ISNUMBER($F217),$F217,0)+$K217)</f>
        <v/>
      </c>
      <c r="M217" s="56" t="str">
        <f>IF(OR($A217="",NOT(ISNUMBER($E217))),"",$E217-Config!$B$4)</f>
        <v/>
      </c>
      <c r="N217" s="49" t="str">
        <f>IF($M217="","",IF($M217&lt;0,"Expired",IF($M217&lt;=Config!$B$6,"&lt;="&amp;Config!$B$6,IF($M217&lt;=Config!$B$7,(Config!$B$6+1)&amp;"-"&amp;Config!$B$7,IF($M217&lt;=Config!$B$8,(Config!$B$7+1)&amp;"-"&amp;Config!$B$8,"&gt;"&amp;Config!$B$8)))))</f>
        <v/>
      </c>
      <c r="O217" s="52" t="str">
        <f>IF($M217="","",IF($M217&lt;0,0,IF($M217&lt;=Config!$B$6,1,IF($M217&lt;=Config!$B$7,2,IF($M217&lt;=Config!$B$8,3,4)))))</f>
        <v/>
      </c>
      <c r="P217" s="50" t="str">
        <f>IF($A217="","",IF($L217&lt;=0,0,IF(OR(IFERROR(INDEX(Config!$F$15:$F$34,MATCH($G217,Config!$E$15:$E$34,0)),"No")="Yes",AND(Config!$B$10="Yes",ISNUMBER($M217),$M217&lt;0)),$L217,0)))</f>
        <v/>
      </c>
      <c r="Q217" s="52" t="str">
        <f>IF($A217="","",IF(AND($L217&gt;0,ISNUMBER($M217)),IF($M217&lt;=Config!$B$8,1,0),0))</f>
        <v/>
      </c>
      <c r="R217" s="52" t="str">
        <f>IF($Q217=1,COUNTIFS($Q$2:$Q$301,1,$E$2:$E$301,"&lt;"&amp;$E217)+COUNTIFS($Q$2:$Q217,1,$E$2:$E217,$E217),"")</f>
        <v/>
      </c>
      <c r="S217" s="49" t="str">
        <f>IF(COUNTA($A217:$I217)=0,"",IF($A217="","Missing: lot",IF(COUNTIF($A$2:$A$301,$A217)&gt;1,"Duplicate lot",IF($B217="","Missing: SKU",IF(NOT(ISNUMBER($E217)),"Missing: expiry date",IF($G217="","Missing: status",IF(COUNTIF(Products!$A$2:$A$101,$B217)=0,"Unknown SKU",IF(AND($C217&lt;&gt;"",COUNTIF(Suppliers!$A$2:$A$51,$C217)=0),"Unknown supplier",IF(COUNTIF(Config!$E$15:$E$34,$G217)=0,"Unsupported status",IF($L217&lt;0,"Negative lot balance",IF(AND($G217="Closed",$L217&lt;&gt;0),"Closed lot still has stock","OK")))))))))))</f>
        <v/>
      </c>
    </row>
    <row r="218">
      <c r="A218" s="46" t="n"/>
      <c r="B218" s="46" t="n"/>
      <c r="C218" s="46" t="n"/>
      <c r="D218" s="54" t="n"/>
      <c r="E218" s="54" t="n"/>
      <c r="F218" s="48" t="n"/>
      <c r="G218" s="46" t="n"/>
      <c r="H218" s="46" t="n"/>
      <c r="I218" s="46" t="n"/>
      <c r="J218" s="49" t="str">
        <f>IF($A218="","",IFERROR(INDEX(Products!$B$2:$B$101,MATCH($B218,Products!$A$2:$A$101,0))&amp;"","(not found)"))</f>
        <v/>
      </c>
      <c r="K218" s="51" t="str">
        <f>IF($A218="","",SUMIFS(Inventory_Ledger!$M$2:$M$2001,Inventory_Ledger!$F$2:$F$2001,$A218))</f>
        <v/>
      </c>
      <c r="L218" s="51" t="str">
        <f>IF($A218="","",IF(ISNUMBER($F218),$F218,0)+$K218)</f>
        <v/>
      </c>
      <c r="M218" s="56" t="str">
        <f>IF(OR($A218="",NOT(ISNUMBER($E218))),"",$E218-Config!$B$4)</f>
        <v/>
      </c>
      <c r="N218" s="49" t="str">
        <f>IF($M218="","",IF($M218&lt;0,"Expired",IF($M218&lt;=Config!$B$6,"&lt;="&amp;Config!$B$6,IF($M218&lt;=Config!$B$7,(Config!$B$6+1)&amp;"-"&amp;Config!$B$7,IF($M218&lt;=Config!$B$8,(Config!$B$7+1)&amp;"-"&amp;Config!$B$8,"&gt;"&amp;Config!$B$8)))))</f>
        <v/>
      </c>
      <c r="O218" s="52" t="str">
        <f>IF($M218="","",IF($M218&lt;0,0,IF($M218&lt;=Config!$B$6,1,IF($M218&lt;=Config!$B$7,2,IF($M218&lt;=Config!$B$8,3,4)))))</f>
        <v/>
      </c>
      <c r="P218" s="50" t="str">
        <f>IF($A218="","",IF($L218&lt;=0,0,IF(OR(IFERROR(INDEX(Config!$F$15:$F$34,MATCH($G218,Config!$E$15:$E$34,0)),"No")="Yes",AND(Config!$B$10="Yes",ISNUMBER($M218),$M218&lt;0)),$L218,0)))</f>
        <v/>
      </c>
      <c r="Q218" s="52" t="str">
        <f>IF($A218="","",IF(AND($L218&gt;0,ISNUMBER($M218)),IF($M218&lt;=Config!$B$8,1,0),0))</f>
        <v/>
      </c>
      <c r="R218" s="52" t="str">
        <f>IF($Q218=1,COUNTIFS($Q$2:$Q$301,1,$E$2:$E$301,"&lt;"&amp;$E218)+COUNTIFS($Q$2:$Q218,1,$E$2:$E218,$E218),"")</f>
        <v/>
      </c>
      <c r="S218" s="49" t="str">
        <f>IF(COUNTA($A218:$I218)=0,"",IF($A218="","Missing: lot",IF(COUNTIF($A$2:$A$301,$A218)&gt;1,"Duplicate lot",IF($B218="","Missing: SKU",IF(NOT(ISNUMBER($E218)),"Missing: expiry date",IF($G218="","Missing: status",IF(COUNTIF(Products!$A$2:$A$101,$B218)=0,"Unknown SKU",IF(AND($C218&lt;&gt;"",COUNTIF(Suppliers!$A$2:$A$51,$C218)=0),"Unknown supplier",IF(COUNTIF(Config!$E$15:$E$34,$G218)=0,"Unsupported status",IF($L218&lt;0,"Negative lot balance",IF(AND($G218="Closed",$L218&lt;&gt;0),"Closed lot still has stock","OK")))))))))))</f>
        <v/>
      </c>
    </row>
    <row r="219">
      <c r="A219" s="46" t="n"/>
      <c r="B219" s="46" t="n"/>
      <c r="C219" s="46" t="n"/>
      <c r="D219" s="54" t="n"/>
      <c r="E219" s="54" t="n"/>
      <c r="F219" s="48" t="n"/>
      <c r="G219" s="46" t="n"/>
      <c r="H219" s="46" t="n"/>
      <c r="I219" s="46" t="n"/>
      <c r="J219" s="49" t="str">
        <f>IF($A219="","",IFERROR(INDEX(Products!$B$2:$B$101,MATCH($B219,Products!$A$2:$A$101,0))&amp;"","(not found)"))</f>
        <v/>
      </c>
      <c r="K219" s="51" t="str">
        <f>IF($A219="","",SUMIFS(Inventory_Ledger!$M$2:$M$2001,Inventory_Ledger!$F$2:$F$2001,$A219))</f>
        <v/>
      </c>
      <c r="L219" s="51" t="str">
        <f>IF($A219="","",IF(ISNUMBER($F219),$F219,0)+$K219)</f>
        <v/>
      </c>
      <c r="M219" s="56" t="str">
        <f>IF(OR($A219="",NOT(ISNUMBER($E219))),"",$E219-Config!$B$4)</f>
        <v/>
      </c>
      <c r="N219" s="49" t="str">
        <f>IF($M219="","",IF($M219&lt;0,"Expired",IF($M219&lt;=Config!$B$6,"&lt;="&amp;Config!$B$6,IF($M219&lt;=Config!$B$7,(Config!$B$6+1)&amp;"-"&amp;Config!$B$7,IF($M219&lt;=Config!$B$8,(Config!$B$7+1)&amp;"-"&amp;Config!$B$8,"&gt;"&amp;Config!$B$8)))))</f>
        <v/>
      </c>
      <c r="O219" s="52" t="str">
        <f>IF($M219="","",IF($M219&lt;0,0,IF($M219&lt;=Config!$B$6,1,IF($M219&lt;=Config!$B$7,2,IF($M219&lt;=Config!$B$8,3,4)))))</f>
        <v/>
      </c>
      <c r="P219" s="50" t="str">
        <f>IF($A219="","",IF($L219&lt;=0,0,IF(OR(IFERROR(INDEX(Config!$F$15:$F$34,MATCH($G219,Config!$E$15:$E$34,0)),"No")="Yes",AND(Config!$B$10="Yes",ISNUMBER($M219),$M219&lt;0)),$L219,0)))</f>
        <v/>
      </c>
      <c r="Q219" s="52" t="str">
        <f>IF($A219="","",IF(AND($L219&gt;0,ISNUMBER($M219)),IF($M219&lt;=Config!$B$8,1,0),0))</f>
        <v/>
      </c>
      <c r="R219" s="52" t="str">
        <f>IF($Q219=1,COUNTIFS($Q$2:$Q$301,1,$E$2:$E$301,"&lt;"&amp;$E219)+COUNTIFS($Q$2:$Q219,1,$E$2:$E219,$E219),"")</f>
        <v/>
      </c>
      <c r="S219" s="49" t="str">
        <f>IF(COUNTA($A219:$I219)=0,"",IF($A219="","Missing: lot",IF(COUNTIF($A$2:$A$301,$A219)&gt;1,"Duplicate lot",IF($B219="","Missing: SKU",IF(NOT(ISNUMBER($E219)),"Missing: expiry date",IF($G219="","Missing: status",IF(COUNTIF(Products!$A$2:$A$101,$B219)=0,"Unknown SKU",IF(AND($C219&lt;&gt;"",COUNTIF(Suppliers!$A$2:$A$51,$C219)=0),"Unknown supplier",IF(COUNTIF(Config!$E$15:$E$34,$G219)=0,"Unsupported status",IF($L219&lt;0,"Negative lot balance",IF(AND($G219="Closed",$L219&lt;&gt;0),"Closed lot still has stock","OK")))))))))))</f>
        <v/>
      </c>
    </row>
    <row r="220">
      <c r="A220" s="46" t="n"/>
      <c r="B220" s="46" t="n"/>
      <c r="C220" s="46" t="n"/>
      <c r="D220" s="54" t="n"/>
      <c r="E220" s="54" t="n"/>
      <c r="F220" s="48" t="n"/>
      <c r="G220" s="46" t="n"/>
      <c r="H220" s="46" t="n"/>
      <c r="I220" s="46" t="n"/>
      <c r="J220" s="49" t="str">
        <f>IF($A220="","",IFERROR(INDEX(Products!$B$2:$B$101,MATCH($B220,Products!$A$2:$A$101,0))&amp;"","(not found)"))</f>
        <v/>
      </c>
      <c r="K220" s="51" t="str">
        <f>IF($A220="","",SUMIFS(Inventory_Ledger!$M$2:$M$2001,Inventory_Ledger!$F$2:$F$2001,$A220))</f>
        <v/>
      </c>
      <c r="L220" s="51" t="str">
        <f>IF($A220="","",IF(ISNUMBER($F220),$F220,0)+$K220)</f>
        <v/>
      </c>
      <c r="M220" s="56" t="str">
        <f>IF(OR($A220="",NOT(ISNUMBER($E220))),"",$E220-Config!$B$4)</f>
        <v/>
      </c>
      <c r="N220" s="49" t="str">
        <f>IF($M220="","",IF($M220&lt;0,"Expired",IF($M220&lt;=Config!$B$6,"&lt;="&amp;Config!$B$6,IF($M220&lt;=Config!$B$7,(Config!$B$6+1)&amp;"-"&amp;Config!$B$7,IF($M220&lt;=Config!$B$8,(Config!$B$7+1)&amp;"-"&amp;Config!$B$8,"&gt;"&amp;Config!$B$8)))))</f>
        <v/>
      </c>
      <c r="O220" s="52" t="str">
        <f>IF($M220="","",IF($M220&lt;0,0,IF($M220&lt;=Config!$B$6,1,IF($M220&lt;=Config!$B$7,2,IF($M220&lt;=Config!$B$8,3,4)))))</f>
        <v/>
      </c>
      <c r="P220" s="50" t="str">
        <f>IF($A220="","",IF($L220&lt;=0,0,IF(OR(IFERROR(INDEX(Config!$F$15:$F$34,MATCH($G220,Config!$E$15:$E$34,0)),"No")="Yes",AND(Config!$B$10="Yes",ISNUMBER($M220),$M220&lt;0)),$L220,0)))</f>
        <v/>
      </c>
      <c r="Q220" s="52" t="str">
        <f>IF($A220="","",IF(AND($L220&gt;0,ISNUMBER($M220)),IF($M220&lt;=Config!$B$8,1,0),0))</f>
        <v/>
      </c>
      <c r="R220" s="52" t="str">
        <f>IF($Q220=1,COUNTIFS($Q$2:$Q$301,1,$E$2:$E$301,"&lt;"&amp;$E220)+COUNTIFS($Q$2:$Q220,1,$E$2:$E220,$E220),"")</f>
        <v/>
      </c>
      <c r="S220" s="49" t="str">
        <f>IF(COUNTA($A220:$I220)=0,"",IF($A220="","Missing: lot",IF(COUNTIF($A$2:$A$301,$A220)&gt;1,"Duplicate lot",IF($B220="","Missing: SKU",IF(NOT(ISNUMBER($E220)),"Missing: expiry date",IF($G220="","Missing: status",IF(COUNTIF(Products!$A$2:$A$101,$B220)=0,"Unknown SKU",IF(AND($C220&lt;&gt;"",COUNTIF(Suppliers!$A$2:$A$51,$C220)=0),"Unknown supplier",IF(COUNTIF(Config!$E$15:$E$34,$G220)=0,"Unsupported status",IF($L220&lt;0,"Negative lot balance",IF(AND($G220="Closed",$L220&lt;&gt;0),"Closed lot still has stock","OK")))))))))))</f>
        <v/>
      </c>
    </row>
    <row r="221">
      <c r="A221" s="46" t="n"/>
      <c r="B221" s="46" t="n"/>
      <c r="C221" s="46" t="n"/>
      <c r="D221" s="54" t="n"/>
      <c r="E221" s="54" t="n"/>
      <c r="F221" s="48" t="n"/>
      <c r="G221" s="46" t="n"/>
      <c r="H221" s="46" t="n"/>
      <c r="I221" s="46" t="n"/>
      <c r="J221" s="49" t="str">
        <f>IF($A221="","",IFERROR(INDEX(Products!$B$2:$B$101,MATCH($B221,Products!$A$2:$A$101,0))&amp;"","(not found)"))</f>
        <v/>
      </c>
      <c r="K221" s="51" t="str">
        <f>IF($A221="","",SUMIFS(Inventory_Ledger!$M$2:$M$2001,Inventory_Ledger!$F$2:$F$2001,$A221))</f>
        <v/>
      </c>
      <c r="L221" s="51" t="str">
        <f>IF($A221="","",IF(ISNUMBER($F221),$F221,0)+$K221)</f>
        <v/>
      </c>
      <c r="M221" s="56" t="str">
        <f>IF(OR($A221="",NOT(ISNUMBER($E221))),"",$E221-Config!$B$4)</f>
        <v/>
      </c>
      <c r="N221" s="49" t="str">
        <f>IF($M221="","",IF($M221&lt;0,"Expired",IF($M221&lt;=Config!$B$6,"&lt;="&amp;Config!$B$6,IF($M221&lt;=Config!$B$7,(Config!$B$6+1)&amp;"-"&amp;Config!$B$7,IF($M221&lt;=Config!$B$8,(Config!$B$7+1)&amp;"-"&amp;Config!$B$8,"&gt;"&amp;Config!$B$8)))))</f>
        <v/>
      </c>
      <c r="O221" s="52" t="str">
        <f>IF($M221="","",IF($M221&lt;0,0,IF($M221&lt;=Config!$B$6,1,IF($M221&lt;=Config!$B$7,2,IF($M221&lt;=Config!$B$8,3,4)))))</f>
        <v/>
      </c>
      <c r="P221" s="50" t="str">
        <f>IF($A221="","",IF($L221&lt;=0,0,IF(OR(IFERROR(INDEX(Config!$F$15:$F$34,MATCH($G221,Config!$E$15:$E$34,0)),"No")="Yes",AND(Config!$B$10="Yes",ISNUMBER($M221),$M221&lt;0)),$L221,0)))</f>
        <v/>
      </c>
      <c r="Q221" s="52" t="str">
        <f>IF($A221="","",IF(AND($L221&gt;0,ISNUMBER($M221)),IF($M221&lt;=Config!$B$8,1,0),0))</f>
        <v/>
      </c>
      <c r="R221" s="52" t="str">
        <f>IF($Q221=1,COUNTIFS($Q$2:$Q$301,1,$E$2:$E$301,"&lt;"&amp;$E221)+COUNTIFS($Q$2:$Q221,1,$E$2:$E221,$E221),"")</f>
        <v/>
      </c>
      <c r="S221" s="49" t="str">
        <f>IF(COUNTA($A221:$I221)=0,"",IF($A221="","Missing: lot",IF(COUNTIF($A$2:$A$301,$A221)&gt;1,"Duplicate lot",IF($B221="","Missing: SKU",IF(NOT(ISNUMBER($E221)),"Missing: expiry date",IF($G221="","Missing: status",IF(COUNTIF(Products!$A$2:$A$101,$B221)=0,"Unknown SKU",IF(AND($C221&lt;&gt;"",COUNTIF(Suppliers!$A$2:$A$51,$C221)=0),"Unknown supplier",IF(COUNTIF(Config!$E$15:$E$34,$G221)=0,"Unsupported status",IF($L221&lt;0,"Negative lot balance",IF(AND($G221="Closed",$L221&lt;&gt;0),"Closed lot still has stock","OK")))))))))))</f>
        <v/>
      </c>
    </row>
    <row r="222">
      <c r="A222" s="46" t="n"/>
      <c r="B222" s="46" t="n"/>
      <c r="C222" s="46" t="n"/>
      <c r="D222" s="54" t="n"/>
      <c r="E222" s="54" t="n"/>
      <c r="F222" s="48" t="n"/>
      <c r="G222" s="46" t="n"/>
      <c r="H222" s="46" t="n"/>
      <c r="I222" s="46" t="n"/>
      <c r="J222" s="49" t="str">
        <f>IF($A222="","",IFERROR(INDEX(Products!$B$2:$B$101,MATCH($B222,Products!$A$2:$A$101,0))&amp;"","(not found)"))</f>
        <v/>
      </c>
      <c r="K222" s="51" t="str">
        <f>IF($A222="","",SUMIFS(Inventory_Ledger!$M$2:$M$2001,Inventory_Ledger!$F$2:$F$2001,$A222))</f>
        <v/>
      </c>
      <c r="L222" s="51" t="str">
        <f>IF($A222="","",IF(ISNUMBER($F222),$F222,0)+$K222)</f>
        <v/>
      </c>
      <c r="M222" s="56" t="str">
        <f>IF(OR($A222="",NOT(ISNUMBER($E222))),"",$E222-Config!$B$4)</f>
        <v/>
      </c>
      <c r="N222" s="49" t="str">
        <f>IF($M222="","",IF($M222&lt;0,"Expired",IF($M222&lt;=Config!$B$6,"&lt;="&amp;Config!$B$6,IF($M222&lt;=Config!$B$7,(Config!$B$6+1)&amp;"-"&amp;Config!$B$7,IF($M222&lt;=Config!$B$8,(Config!$B$7+1)&amp;"-"&amp;Config!$B$8,"&gt;"&amp;Config!$B$8)))))</f>
        <v/>
      </c>
      <c r="O222" s="52" t="str">
        <f>IF($M222="","",IF($M222&lt;0,0,IF($M222&lt;=Config!$B$6,1,IF($M222&lt;=Config!$B$7,2,IF($M222&lt;=Config!$B$8,3,4)))))</f>
        <v/>
      </c>
      <c r="P222" s="50" t="str">
        <f>IF($A222="","",IF($L222&lt;=0,0,IF(OR(IFERROR(INDEX(Config!$F$15:$F$34,MATCH($G222,Config!$E$15:$E$34,0)),"No")="Yes",AND(Config!$B$10="Yes",ISNUMBER($M222),$M222&lt;0)),$L222,0)))</f>
        <v/>
      </c>
      <c r="Q222" s="52" t="str">
        <f>IF($A222="","",IF(AND($L222&gt;0,ISNUMBER($M222)),IF($M222&lt;=Config!$B$8,1,0),0))</f>
        <v/>
      </c>
      <c r="R222" s="52" t="str">
        <f>IF($Q222=1,COUNTIFS($Q$2:$Q$301,1,$E$2:$E$301,"&lt;"&amp;$E222)+COUNTIFS($Q$2:$Q222,1,$E$2:$E222,$E222),"")</f>
        <v/>
      </c>
      <c r="S222" s="49" t="str">
        <f>IF(COUNTA($A222:$I222)=0,"",IF($A222="","Missing: lot",IF(COUNTIF($A$2:$A$301,$A222)&gt;1,"Duplicate lot",IF($B222="","Missing: SKU",IF(NOT(ISNUMBER($E222)),"Missing: expiry date",IF($G222="","Missing: status",IF(COUNTIF(Products!$A$2:$A$101,$B222)=0,"Unknown SKU",IF(AND($C222&lt;&gt;"",COUNTIF(Suppliers!$A$2:$A$51,$C222)=0),"Unknown supplier",IF(COUNTIF(Config!$E$15:$E$34,$G222)=0,"Unsupported status",IF($L222&lt;0,"Negative lot balance",IF(AND($G222="Closed",$L222&lt;&gt;0),"Closed lot still has stock","OK")))))))))))</f>
        <v/>
      </c>
    </row>
    <row r="223">
      <c r="A223" s="46" t="n"/>
      <c r="B223" s="46" t="n"/>
      <c r="C223" s="46" t="n"/>
      <c r="D223" s="54" t="n"/>
      <c r="E223" s="54" t="n"/>
      <c r="F223" s="48" t="n"/>
      <c r="G223" s="46" t="n"/>
      <c r="H223" s="46" t="n"/>
      <c r="I223" s="46" t="n"/>
      <c r="J223" s="49" t="str">
        <f>IF($A223="","",IFERROR(INDEX(Products!$B$2:$B$101,MATCH($B223,Products!$A$2:$A$101,0))&amp;"","(not found)"))</f>
        <v/>
      </c>
      <c r="K223" s="51" t="str">
        <f>IF($A223="","",SUMIFS(Inventory_Ledger!$M$2:$M$2001,Inventory_Ledger!$F$2:$F$2001,$A223))</f>
        <v/>
      </c>
      <c r="L223" s="51" t="str">
        <f>IF($A223="","",IF(ISNUMBER($F223),$F223,0)+$K223)</f>
        <v/>
      </c>
      <c r="M223" s="56" t="str">
        <f>IF(OR($A223="",NOT(ISNUMBER($E223))),"",$E223-Config!$B$4)</f>
        <v/>
      </c>
      <c r="N223" s="49" t="str">
        <f>IF($M223="","",IF($M223&lt;0,"Expired",IF($M223&lt;=Config!$B$6,"&lt;="&amp;Config!$B$6,IF($M223&lt;=Config!$B$7,(Config!$B$6+1)&amp;"-"&amp;Config!$B$7,IF($M223&lt;=Config!$B$8,(Config!$B$7+1)&amp;"-"&amp;Config!$B$8,"&gt;"&amp;Config!$B$8)))))</f>
        <v/>
      </c>
      <c r="O223" s="52" t="str">
        <f>IF($M223="","",IF($M223&lt;0,0,IF($M223&lt;=Config!$B$6,1,IF($M223&lt;=Config!$B$7,2,IF($M223&lt;=Config!$B$8,3,4)))))</f>
        <v/>
      </c>
      <c r="P223" s="50" t="str">
        <f>IF($A223="","",IF($L223&lt;=0,0,IF(OR(IFERROR(INDEX(Config!$F$15:$F$34,MATCH($G223,Config!$E$15:$E$34,0)),"No")="Yes",AND(Config!$B$10="Yes",ISNUMBER($M223),$M223&lt;0)),$L223,0)))</f>
        <v/>
      </c>
      <c r="Q223" s="52" t="str">
        <f>IF($A223="","",IF(AND($L223&gt;0,ISNUMBER($M223)),IF($M223&lt;=Config!$B$8,1,0),0))</f>
        <v/>
      </c>
      <c r="R223" s="52" t="str">
        <f>IF($Q223=1,COUNTIFS($Q$2:$Q$301,1,$E$2:$E$301,"&lt;"&amp;$E223)+COUNTIFS($Q$2:$Q223,1,$E$2:$E223,$E223),"")</f>
        <v/>
      </c>
      <c r="S223" s="49" t="str">
        <f>IF(COUNTA($A223:$I223)=0,"",IF($A223="","Missing: lot",IF(COUNTIF($A$2:$A$301,$A223)&gt;1,"Duplicate lot",IF($B223="","Missing: SKU",IF(NOT(ISNUMBER($E223)),"Missing: expiry date",IF($G223="","Missing: status",IF(COUNTIF(Products!$A$2:$A$101,$B223)=0,"Unknown SKU",IF(AND($C223&lt;&gt;"",COUNTIF(Suppliers!$A$2:$A$51,$C223)=0),"Unknown supplier",IF(COUNTIF(Config!$E$15:$E$34,$G223)=0,"Unsupported status",IF($L223&lt;0,"Negative lot balance",IF(AND($G223="Closed",$L223&lt;&gt;0),"Closed lot still has stock","OK")))))))))))</f>
        <v/>
      </c>
    </row>
    <row r="224">
      <c r="A224" s="46" t="n"/>
      <c r="B224" s="46" t="n"/>
      <c r="C224" s="46" t="n"/>
      <c r="D224" s="54" t="n"/>
      <c r="E224" s="54" t="n"/>
      <c r="F224" s="48" t="n"/>
      <c r="G224" s="46" t="n"/>
      <c r="H224" s="46" t="n"/>
      <c r="I224" s="46" t="n"/>
      <c r="J224" s="49" t="str">
        <f>IF($A224="","",IFERROR(INDEX(Products!$B$2:$B$101,MATCH($B224,Products!$A$2:$A$101,0))&amp;"","(not found)"))</f>
        <v/>
      </c>
      <c r="K224" s="51" t="str">
        <f>IF($A224="","",SUMIFS(Inventory_Ledger!$M$2:$M$2001,Inventory_Ledger!$F$2:$F$2001,$A224))</f>
        <v/>
      </c>
      <c r="L224" s="51" t="str">
        <f>IF($A224="","",IF(ISNUMBER($F224),$F224,0)+$K224)</f>
        <v/>
      </c>
      <c r="M224" s="56" t="str">
        <f>IF(OR($A224="",NOT(ISNUMBER($E224))),"",$E224-Config!$B$4)</f>
        <v/>
      </c>
      <c r="N224" s="49" t="str">
        <f>IF($M224="","",IF($M224&lt;0,"Expired",IF($M224&lt;=Config!$B$6,"&lt;="&amp;Config!$B$6,IF($M224&lt;=Config!$B$7,(Config!$B$6+1)&amp;"-"&amp;Config!$B$7,IF($M224&lt;=Config!$B$8,(Config!$B$7+1)&amp;"-"&amp;Config!$B$8,"&gt;"&amp;Config!$B$8)))))</f>
        <v/>
      </c>
      <c r="O224" s="52" t="str">
        <f>IF($M224="","",IF($M224&lt;0,0,IF($M224&lt;=Config!$B$6,1,IF($M224&lt;=Config!$B$7,2,IF($M224&lt;=Config!$B$8,3,4)))))</f>
        <v/>
      </c>
      <c r="P224" s="50" t="str">
        <f>IF($A224="","",IF($L224&lt;=0,0,IF(OR(IFERROR(INDEX(Config!$F$15:$F$34,MATCH($G224,Config!$E$15:$E$34,0)),"No")="Yes",AND(Config!$B$10="Yes",ISNUMBER($M224),$M224&lt;0)),$L224,0)))</f>
        <v/>
      </c>
      <c r="Q224" s="52" t="str">
        <f>IF($A224="","",IF(AND($L224&gt;0,ISNUMBER($M224)),IF($M224&lt;=Config!$B$8,1,0),0))</f>
        <v/>
      </c>
      <c r="R224" s="52" t="str">
        <f>IF($Q224=1,COUNTIFS($Q$2:$Q$301,1,$E$2:$E$301,"&lt;"&amp;$E224)+COUNTIFS($Q$2:$Q224,1,$E$2:$E224,$E224),"")</f>
        <v/>
      </c>
      <c r="S224" s="49" t="str">
        <f>IF(COUNTA($A224:$I224)=0,"",IF($A224="","Missing: lot",IF(COUNTIF($A$2:$A$301,$A224)&gt;1,"Duplicate lot",IF($B224="","Missing: SKU",IF(NOT(ISNUMBER($E224)),"Missing: expiry date",IF($G224="","Missing: status",IF(COUNTIF(Products!$A$2:$A$101,$B224)=0,"Unknown SKU",IF(AND($C224&lt;&gt;"",COUNTIF(Suppliers!$A$2:$A$51,$C224)=0),"Unknown supplier",IF(COUNTIF(Config!$E$15:$E$34,$G224)=0,"Unsupported status",IF($L224&lt;0,"Negative lot balance",IF(AND($G224="Closed",$L224&lt;&gt;0),"Closed lot still has stock","OK")))))))))))</f>
        <v/>
      </c>
    </row>
    <row r="225">
      <c r="A225" s="46" t="n"/>
      <c r="B225" s="46" t="n"/>
      <c r="C225" s="46" t="n"/>
      <c r="D225" s="54" t="n"/>
      <c r="E225" s="54" t="n"/>
      <c r="F225" s="48" t="n"/>
      <c r="G225" s="46" t="n"/>
      <c r="H225" s="46" t="n"/>
      <c r="I225" s="46" t="n"/>
      <c r="J225" s="49" t="str">
        <f>IF($A225="","",IFERROR(INDEX(Products!$B$2:$B$101,MATCH($B225,Products!$A$2:$A$101,0))&amp;"","(not found)"))</f>
        <v/>
      </c>
      <c r="K225" s="51" t="str">
        <f>IF($A225="","",SUMIFS(Inventory_Ledger!$M$2:$M$2001,Inventory_Ledger!$F$2:$F$2001,$A225))</f>
        <v/>
      </c>
      <c r="L225" s="51" t="str">
        <f>IF($A225="","",IF(ISNUMBER($F225),$F225,0)+$K225)</f>
        <v/>
      </c>
      <c r="M225" s="56" t="str">
        <f>IF(OR($A225="",NOT(ISNUMBER($E225))),"",$E225-Config!$B$4)</f>
        <v/>
      </c>
      <c r="N225" s="49" t="str">
        <f>IF($M225="","",IF($M225&lt;0,"Expired",IF($M225&lt;=Config!$B$6,"&lt;="&amp;Config!$B$6,IF($M225&lt;=Config!$B$7,(Config!$B$6+1)&amp;"-"&amp;Config!$B$7,IF($M225&lt;=Config!$B$8,(Config!$B$7+1)&amp;"-"&amp;Config!$B$8,"&gt;"&amp;Config!$B$8)))))</f>
        <v/>
      </c>
      <c r="O225" s="52" t="str">
        <f>IF($M225="","",IF($M225&lt;0,0,IF($M225&lt;=Config!$B$6,1,IF($M225&lt;=Config!$B$7,2,IF($M225&lt;=Config!$B$8,3,4)))))</f>
        <v/>
      </c>
      <c r="P225" s="50" t="str">
        <f>IF($A225="","",IF($L225&lt;=0,0,IF(OR(IFERROR(INDEX(Config!$F$15:$F$34,MATCH($G225,Config!$E$15:$E$34,0)),"No")="Yes",AND(Config!$B$10="Yes",ISNUMBER($M225),$M225&lt;0)),$L225,0)))</f>
        <v/>
      </c>
      <c r="Q225" s="52" t="str">
        <f>IF($A225="","",IF(AND($L225&gt;0,ISNUMBER($M225)),IF($M225&lt;=Config!$B$8,1,0),0))</f>
        <v/>
      </c>
      <c r="R225" s="52" t="str">
        <f>IF($Q225=1,COUNTIFS($Q$2:$Q$301,1,$E$2:$E$301,"&lt;"&amp;$E225)+COUNTIFS($Q$2:$Q225,1,$E$2:$E225,$E225),"")</f>
        <v/>
      </c>
      <c r="S225" s="49" t="str">
        <f>IF(COUNTA($A225:$I225)=0,"",IF($A225="","Missing: lot",IF(COUNTIF($A$2:$A$301,$A225)&gt;1,"Duplicate lot",IF($B225="","Missing: SKU",IF(NOT(ISNUMBER($E225)),"Missing: expiry date",IF($G225="","Missing: status",IF(COUNTIF(Products!$A$2:$A$101,$B225)=0,"Unknown SKU",IF(AND($C225&lt;&gt;"",COUNTIF(Suppliers!$A$2:$A$51,$C225)=0),"Unknown supplier",IF(COUNTIF(Config!$E$15:$E$34,$G225)=0,"Unsupported status",IF($L225&lt;0,"Negative lot balance",IF(AND($G225="Closed",$L225&lt;&gt;0),"Closed lot still has stock","OK")))))))))))</f>
        <v/>
      </c>
    </row>
    <row r="226">
      <c r="A226" s="46" t="n"/>
      <c r="B226" s="46" t="n"/>
      <c r="C226" s="46" t="n"/>
      <c r="D226" s="54" t="n"/>
      <c r="E226" s="54" t="n"/>
      <c r="F226" s="48" t="n"/>
      <c r="G226" s="46" t="n"/>
      <c r="H226" s="46" t="n"/>
      <c r="I226" s="46" t="n"/>
      <c r="J226" s="49" t="str">
        <f>IF($A226="","",IFERROR(INDEX(Products!$B$2:$B$101,MATCH($B226,Products!$A$2:$A$101,0))&amp;"","(not found)"))</f>
        <v/>
      </c>
      <c r="K226" s="51" t="str">
        <f>IF($A226="","",SUMIFS(Inventory_Ledger!$M$2:$M$2001,Inventory_Ledger!$F$2:$F$2001,$A226))</f>
        <v/>
      </c>
      <c r="L226" s="51" t="str">
        <f>IF($A226="","",IF(ISNUMBER($F226),$F226,0)+$K226)</f>
        <v/>
      </c>
      <c r="M226" s="56" t="str">
        <f>IF(OR($A226="",NOT(ISNUMBER($E226))),"",$E226-Config!$B$4)</f>
        <v/>
      </c>
      <c r="N226" s="49" t="str">
        <f>IF($M226="","",IF($M226&lt;0,"Expired",IF($M226&lt;=Config!$B$6,"&lt;="&amp;Config!$B$6,IF($M226&lt;=Config!$B$7,(Config!$B$6+1)&amp;"-"&amp;Config!$B$7,IF($M226&lt;=Config!$B$8,(Config!$B$7+1)&amp;"-"&amp;Config!$B$8,"&gt;"&amp;Config!$B$8)))))</f>
        <v/>
      </c>
      <c r="O226" s="52" t="str">
        <f>IF($M226="","",IF($M226&lt;0,0,IF($M226&lt;=Config!$B$6,1,IF($M226&lt;=Config!$B$7,2,IF($M226&lt;=Config!$B$8,3,4)))))</f>
        <v/>
      </c>
      <c r="P226" s="50" t="str">
        <f>IF($A226="","",IF($L226&lt;=0,0,IF(OR(IFERROR(INDEX(Config!$F$15:$F$34,MATCH($G226,Config!$E$15:$E$34,0)),"No")="Yes",AND(Config!$B$10="Yes",ISNUMBER($M226),$M226&lt;0)),$L226,0)))</f>
        <v/>
      </c>
      <c r="Q226" s="52" t="str">
        <f>IF($A226="","",IF(AND($L226&gt;0,ISNUMBER($M226)),IF($M226&lt;=Config!$B$8,1,0),0))</f>
        <v/>
      </c>
      <c r="R226" s="52" t="str">
        <f>IF($Q226=1,COUNTIFS($Q$2:$Q$301,1,$E$2:$E$301,"&lt;"&amp;$E226)+COUNTIFS($Q$2:$Q226,1,$E$2:$E226,$E226),"")</f>
        <v/>
      </c>
      <c r="S226" s="49" t="str">
        <f>IF(COUNTA($A226:$I226)=0,"",IF($A226="","Missing: lot",IF(COUNTIF($A$2:$A$301,$A226)&gt;1,"Duplicate lot",IF($B226="","Missing: SKU",IF(NOT(ISNUMBER($E226)),"Missing: expiry date",IF($G226="","Missing: status",IF(COUNTIF(Products!$A$2:$A$101,$B226)=0,"Unknown SKU",IF(AND($C226&lt;&gt;"",COUNTIF(Suppliers!$A$2:$A$51,$C226)=0),"Unknown supplier",IF(COUNTIF(Config!$E$15:$E$34,$G226)=0,"Unsupported status",IF($L226&lt;0,"Negative lot balance",IF(AND($G226="Closed",$L226&lt;&gt;0),"Closed lot still has stock","OK")))))))))))</f>
        <v/>
      </c>
    </row>
    <row r="227">
      <c r="A227" s="46" t="n"/>
      <c r="B227" s="46" t="n"/>
      <c r="C227" s="46" t="n"/>
      <c r="D227" s="54" t="n"/>
      <c r="E227" s="54" t="n"/>
      <c r="F227" s="48" t="n"/>
      <c r="G227" s="46" t="n"/>
      <c r="H227" s="46" t="n"/>
      <c r="I227" s="46" t="n"/>
      <c r="J227" s="49" t="str">
        <f>IF($A227="","",IFERROR(INDEX(Products!$B$2:$B$101,MATCH($B227,Products!$A$2:$A$101,0))&amp;"","(not found)"))</f>
        <v/>
      </c>
      <c r="K227" s="51" t="str">
        <f>IF($A227="","",SUMIFS(Inventory_Ledger!$M$2:$M$2001,Inventory_Ledger!$F$2:$F$2001,$A227))</f>
        <v/>
      </c>
      <c r="L227" s="51" t="str">
        <f>IF($A227="","",IF(ISNUMBER($F227),$F227,0)+$K227)</f>
        <v/>
      </c>
      <c r="M227" s="56" t="str">
        <f>IF(OR($A227="",NOT(ISNUMBER($E227))),"",$E227-Config!$B$4)</f>
        <v/>
      </c>
      <c r="N227" s="49" t="str">
        <f>IF($M227="","",IF($M227&lt;0,"Expired",IF($M227&lt;=Config!$B$6,"&lt;="&amp;Config!$B$6,IF($M227&lt;=Config!$B$7,(Config!$B$6+1)&amp;"-"&amp;Config!$B$7,IF($M227&lt;=Config!$B$8,(Config!$B$7+1)&amp;"-"&amp;Config!$B$8,"&gt;"&amp;Config!$B$8)))))</f>
        <v/>
      </c>
      <c r="O227" s="52" t="str">
        <f>IF($M227="","",IF($M227&lt;0,0,IF($M227&lt;=Config!$B$6,1,IF($M227&lt;=Config!$B$7,2,IF($M227&lt;=Config!$B$8,3,4)))))</f>
        <v/>
      </c>
      <c r="P227" s="50" t="str">
        <f>IF($A227="","",IF($L227&lt;=0,0,IF(OR(IFERROR(INDEX(Config!$F$15:$F$34,MATCH($G227,Config!$E$15:$E$34,0)),"No")="Yes",AND(Config!$B$10="Yes",ISNUMBER($M227),$M227&lt;0)),$L227,0)))</f>
        <v/>
      </c>
      <c r="Q227" s="52" t="str">
        <f>IF($A227="","",IF(AND($L227&gt;0,ISNUMBER($M227)),IF($M227&lt;=Config!$B$8,1,0),0))</f>
        <v/>
      </c>
      <c r="R227" s="52" t="str">
        <f>IF($Q227=1,COUNTIFS($Q$2:$Q$301,1,$E$2:$E$301,"&lt;"&amp;$E227)+COUNTIFS($Q$2:$Q227,1,$E$2:$E227,$E227),"")</f>
        <v/>
      </c>
      <c r="S227" s="49" t="str">
        <f>IF(COUNTA($A227:$I227)=0,"",IF($A227="","Missing: lot",IF(COUNTIF($A$2:$A$301,$A227)&gt;1,"Duplicate lot",IF($B227="","Missing: SKU",IF(NOT(ISNUMBER($E227)),"Missing: expiry date",IF($G227="","Missing: status",IF(COUNTIF(Products!$A$2:$A$101,$B227)=0,"Unknown SKU",IF(AND($C227&lt;&gt;"",COUNTIF(Suppliers!$A$2:$A$51,$C227)=0),"Unknown supplier",IF(COUNTIF(Config!$E$15:$E$34,$G227)=0,"Unsupported status",IF($L227&lt;0,"Negative lot balance",IF(AND($G227="Closed",$L227&lt;&gt;0),"Closed lot still has stock","OK")))))))))))</f>
        <v/>
      </c>
    </row>
    <row r="228">
      <c r="A228" s="46" t="n"/>
      <c r="B228" s="46" t="n"/>
      <c r="C228" s="46" t="n"/>
      <c r="D228" s="54" t="n"/>
      <c r="E228" s="54" t="n"/>
      <c r="F228" s="48" t="n"/>
      <c r="G228" s="46" t="n"/>
      <c r="H228" s="46" t="n"/>
      <c r="I228" s="46" t="n"/>
      <c r="J228" s="49" t="str">
        <f>IF($A228="","",IFERROR(INDEX(Products!$B$2:$B$101,MATCH($B228,Products!$A$2:$A$101,0))&amp;"","(not found)"))</f>
        <v/>
      </c>
      <c r="K228" s="51" t="str">
        <f>IF($A228="","",SUMIFS(Inventory_Ledger!$M$2:$M$2001,Inventory_Ledger!$F$2:$F$2001,$A228))</f>
        <v/>
      </c>
      <c r="L228" s="51" t="str">
        <f>IF($A228="","",IF(ISNUMBER($F228),$F228,0)+$K228)</f>
        <v/>
      </c>
      <c r="M228" s="56" t="str">
        <f>IF(OR($A228="",NOT(ISNUMBER($E228))),"",$E228-Config!$B$4)</f>
        <v/>
      </c>
      <c r="N228" s="49" t="str">
        <f>IF($M228="","",IF($M228&lt;0,"Expired",IF($M228&lt;=Config!$B$6,"&lt;="&amp;Config!$B$6,IF($M228&lt;=Config!$B$7,(Config!$B$6+1)&amp;"-"&amp;Config!$B$7,IF($M228&lt;=Config!$B$8,(Config!$B$7+1)&amp;"-"&amp;Config!$B$8,"&gt;"&amp;Config!$B$8)))))</f>
        <v/>
      </c>
      <c r="O228" s="52" t="str">
        <f>IF($M228="","",IF($M228&lt;0,0,IF($M228&lt;=Config!$B$6,1,IF($M228&lt;=Config!$B$7,2,IF($M228&lt;=Config!$B$8,3,4)))))</f>
        <v/>
      </c>
      <c r="P228" s="50" t="str">
        <f>IF($A228="","",IF($L228&lt;=0,0,IF(OR(IFERROR(INDEX(Config!$F$15:$F$34,MATCH($G228,Config!$E$15:$E$34,0)),"No")="Yes",AND(Config!$B$10="Yes",ISNUMBER($M228),$M228&lt;0)),$L228,0)))</f>
        <v/>
      </c>
      <c r="Q228" s="52" t="str">
        <f>IF($A228="","",IF(AND($L228&gt;0,ISNUMBER($M228)),IF($M228&lt;=Config!$B$8,1,0),0))</f>
        <v/>
      </c>
      <c r="R228" s="52" t="str">
        <f>IF($Q228=1,COUNTIFS($Q$2:$Q$301,1,$E$2:$E$301,"&lt;"&amp;$E228)+COUNTIFS($Q$2:$Q228,1,$E$2:$E228,$E228),"")</f>
        <v/>
      </c>
      <c r="S228" s="49" t="str">
        <f>IF(COUNTA($A228:$I228)=0,"",IF($A228="","Missing: lot",IF(COUNTIF($A$2:$A$301,$A228)&gt;1,"Duplicate lot",IF($B228="","Missing: SKU",IF(NOT(ISNUMBER($E228)),"Missing: expiry date",IF($G228="","Missing: status",IF(COUNTIF(Products!$A$2:$A$101,$B228)=0,"Unknown SKU",IF(AND($C228&lt;&gt;"",COUNTIF(Suppliers!$A$2:$A$51,$C228)=0),"Unknown supplier",IF(COUNTIF(Config!$E$15:$E$34,$G228)=0,"Unsupported status",IF($L228&lt;0,"Negative lot balance",IF(AND($G228="Closed",$L228&lt;&gt;0),"Closed lot still has stock","OK")))))))))))</f>
        <v/>
      </c>
    </row>
    <row r="229">
      <c r="A229" s="46" t="n"/>
      <c r="B229" s="46" t="n"/>
      <c r="C229" s="46" t="n"/>
      <c r="D229" s="54" t="n"/>
      <c r="E229" s="54" t="n"/>
      <c r="F229" s="48" t="n"/>
      <c r="G229" s="46" t="n"/>
      <c r="H229" s="46" t="n"/>
      <c r="I229" s="46" t="n"/>
      <c r="J229" s="49" t="str">
        <f>IF($A229="","",IFERROR(INDEX(Products!$B$2:$B$101,MATCH($B229,Products!$A$2:$A$101,0))&amp;"","(not found)"))</f>
        <v/>
      </c>
      <c r="K229" s="51" t="str">
        <f>IF($A229="","",SUMIFS(Inventory_Ledger!$M$2:$M$2001,Inventory_Ledger!$F$2:$F$2001,$A229))</f>
        <v/>
      </c>
      <c r="L229" s="51" t="str">
        <f>IF($A229="","",IF(ISNUMBER($F229),$F229,0)+$K229)</f>
        <v/>
      </c>
      <c r="M229" s="56" t="str">
        <f>IF(OR($A229="",NOT(ISNUMBER($E229))),"",$E229-Config!$B$4)</f>
        <v/>
      </c>
      <c r="N229" s="49" t="str">
        <f>IF($M229="","",IF($M229&lt;0,"Expired",IF($M229&lt;=Config!$B$6,"&lt;="&amp;Config!$B$6,IF($M229&lt;=Config!$B$7,(Config!$B$6+1)&amp;"-"&amp;Config!$B$7,IF($M229&lt;=Config!$B$8,(Config!$B$7+1)&amp;"-"&amp;Config!$B$8,"&gt;"&amp;Config!$B$8)))))</f>
        <v/>
      </c>
      <c r="O229" s="52" t="str">
        <f>IF($M229="","",IF($M229&lt;0,0,IF($M229&lt;=Config!$B$6,1,IF($M229&lt;=Config!$B$7,2,IF($M229&lt;=Config!$B$8,3,4)))))</f>
        <v/>
      </c>
      <c r="P229" s="50" t="str">
        <f>IF($A229="","",IF($L229&lt;=0,0,IF(OR(IFERROR(INDEX(Config!$F$15:$F$34,MATCH($G229,Config!$E$15:$E$34,0)),"No")="Yes",AND(Config!$B$10="Yes",ISNUMBER($M229),$M229&lt;0)),$L229,0)))</f>
        <v/>
      </c>
      <c r="Q229" s="52" t="str">
        <f>IF($A229="","",IF(AND($L229&gt;0,ISNUMBER($M229)),IF($M229&lt;=Config!$B$8,1,0),0))</f>
        <v/>
      </c>
      <c r="R229" s="52" t="str">
        <f>IF($Q229=1,COUNTIFS($Q$2:$Q$301,1,$E$2:$E$301,"&lt;"&amp;$E229)+COUNTIFS($Q$2:$Q229,1,$E$2:$E229,$E229),"")</f>
        <v/>
      </c>
      <c r="S229" s="49" t="str">
        <f>IF(COUNTA($A229:$I229)=0,"",IF($A229="","Missing: lot",IF(COUNTIF($A$2:$A$301,$A229)&gt;1,"Duplicate lot",IF($B229="","Missing: SKU",IF(NOT(ISNUMBER($E229)),"Missing: expiry date",IF($G229="","Missing: status",IF(COUNTIF(Products!$A$2:$A$101,$B229)=0,"Unknown SKU",IF(AND($C229&lt;&gt;"",COUNTIF(Suppliers!$A$2:$A$51,$C229)=0),"Unknown supplier",IF(COUNTIF(Config!$E$15:$E$34,$G229)=0,"Unsupported status",IF($L229&lt;0,"Negative lot balance",IF(AND($G229="Closed",$L229&lt;&gt;0),"Closed lot still has stock","OK")))))))))))</f>
        <v/>
      </c>
    </row>
    <row r="230">
      <c r="A230" s="46" t="n"/>
      <c r="B230" s="46" t="n"/>
      <c r="C230" s="46" t="n"/>
      <c r="D230" s="54" t="n"/>
      <c r="E230" s="54" t="n"/>
      <c r="F230" s="48" t="n"/>
      <c r="G230" s="46" t="n"/>
      <c r="H230" s="46" t="n"/>
      <c r="I230" s="46" t="n"/>
      <c r="J230" s="49" t="str">
        <f>IF($A230="","",IFERROR(INDEX(Products!$B$2:$B$101,MATCH($B230,Products!$A$2:$A$101,0))&amp;"","(not found)"))</f>
        <v/>
      </c>
      <c r="K230" s="51" t="str">
        <f>IF($A230="","",SUMIFS(Inventory_Ledger!$M$2:$M$2001,Inventory_Ledger!$F$2:$F$2001,$A230))</f>
        <v/>
      </c>
      <c r="L230" s="51" t="str">
        <f>IF($A230="","",IF(ISNUMBER($F230),$F230,0)+$K230)</f>
        <v/>
      </c>
      <c r="M230" s="56" t="str">
        <f>IF(OR($A230="",NOT(ISNUMBER($E230))),"",$E230-Config!$B$4)</f>
        <v/>
      </c>
      <c r="N230" s="49" t="str">
        <f>IF($M230="","",IF($M230&lt;0,"Expired",IF($M230&lt;=Config!$B$6,"&lt;="&amp;Config!$B$6,IF($M230&lt;=Config!$B$7,(Config!$B$6+1)&amp;"-"&amp;Config!$B$7,IF($M230&lt;=Config!$B$8,(Config!$B$7+1)&amp;"-"&amp;Config!$B$8,"&gt;"&amp;Config!$B$8)))))</f>
        <v/>
      </c>
      <c r="O230" s="52" t="str">
        <f>IF($M230="","",IF($M230&lt;0,0,IF($M230&lt;=Config!$B$6,1,IF($M230&lt;=Config!$B$7,2,IF($M230&lt;=Config!$B$8,3,4)))))</f>
        <v/>
      </c>
      <c r="P230" s="50" t="str">
        <f>IF($A230="","",IF($L230&lt;=0,0,IF(OR(IFERROR(INDEX(Config!$F$15:$F$34,MATCH($G230,Config!$E$15:$E$34,0)),"No")="Yes",AND(Config!$B$10="Yes",ISNUMBER($M230),$M230&lt;0)),$L230,0)))</f>
        <v/>
      </c>
      <c r="Q230" s="52" t="str">
        <f>IF($A230="","",IF(AND($L230&gt;0,ISNUMBER($M230)),IF($M230&lt;=Config!$B$8,1,0),0))</f>
        <v/>
      </c>
      <c r="R230" s="52" t="str">
        <f>IF($Q230=1,COUNTIFS($Q$2:$Q$301,1,$E$2:$E$301,"&lt;"&amp;$E230)+COUNTIFS($Q$2:$Q230,1,$E$2:$E230,$E230),"")</f>
        <v/>
      </c>
      <c r="S230" s="49" t="str">
        <f>IF(COUNTA($A230:$I230)=0,"",IF($A230="","Missing: lot",IF(COUNTIF($A$2:$A$301,$A230)&gt;1,"Duplicate lot",IF($B230="","Missing: SKU",IF(NOT(ISNUMBER($E230)),"Missing: expiry date",IF($G230="","Missing: status",IF(COUNTIF(Products!$A$2:$A$101,$B230)=0,"Unknown SKU",IF(AND($C230&lt;&gt;"",COUNTIF(Suppliers!$A$2:$A$51,$C230)=0),"Unknown supplier",IF(COUNTIF(Config!$E$15:$E$34,$G230)=0,"Unsupported status",IF($L230&lt;0,"Negative lot balance",IF(AND($G230="Closed",$L230&lt;&gt;0),"Closed lot still has stock","OK")))))))))))</f>
        <v/>
      </c>
    </row>
    <row r="231">
      <c r="A231" s="46" t="n"/>
      <c r="B231" s="46" t="n"/>
      <c r="C231" s="46" t="n"/>
      <c r="D231" s="54" t="n"/>
      <c r="E231" s="54" t="n"/>
      <c r="F231" s="48" t="n"/>
      <c r="G231" s="46" t="n"/>
      <c r="H231" s="46" t="n"/>
      <c r="I231" s="46" t="n"/>
      <c r="J231" s="49" t="str">
        <f>IF($A231="","",IFERROR(INDEX(Products!$B$2:$B$101,MATCH($B231,Products!$A$2:$A$101,0))&amp;"","(not found)"))</f>
        <v/>
      </c>
      <c r="K231" s="51" t="str">
        <f>IF($A231="","",SUMIFS(Inventory_Ledger!$M$2:$M$2001,Inventory_Ledger!$F$2:$F$2001,$A231))</f>
        <v/>
      </c>
      <c r="L231" s="51" t="str">
        <f>IF($A231="","",IF(ISNUMBER($F231),$F231,0)+$K231)</f>
        <v/>
      </c>
      <c r="M231" s="56" t="str">
        <f>IF(OR($A231="",NOT(ISNUMBER($E231))),"",$E231-Config!$B$4)</f>
        <v/>
      </c>
      <c r="N231" s="49" t="str">
        <f>IF($M231="","",IF($M231&lt;0,"Expired",IF($M231&lt;=Config!$B$6,"&lt;="&amp;Config!$B$6,IF($M231&lt;=Config!$B$7,(Config!$B$6+1)&amp;"-"&amp;Config!$B$7,IF($M231&lt;=Config!$B$8,(Config!$B$7+1)&amp;"-"&amp;Config!$B$8,"&gt;"&amp;Config!$B$8)))))</f>
        <v/>
      </c>
      <c r="O231" s="52" t="str">
        <f>IF($M231="","",IF($M231&lt;0,0,IF($M231&lt;=Config!$B$6,1,IF($M231&lt;=Config!$B$7,2,IF($M231&lt;=Config!$B$8,3,4)))))</f>
        <v/>
      </c>
      <c r="P231" s="50" t="str">
        <f>IF($A231="","",IF($L231&lt;=0,0,IF(OR(IFERROR(INDEX(Config!$F$15:$F$34,MATCH($G231,Config!$E$15:$E$34,0)),"No")="Yes",AND(Config!$B$10="Yes",ISNUMBER($M231),$M231&lt;0)),$L231,0)))</f>
        <v/>
      </c>
      <c r="Q231" s="52" t="str">
        <f>IF($A231="","",IF(AND($L231&gt;0,ISNUMBER($M231)),IF($M231&lt;=Config!$B$8,1,0),0))</f>
        <v/>
      </c>
      <c r="R231" s="52" t="str">
        <f>IF($Q231=1,COUNTIFS($Q$2:$Q$301,1,$E$2:$E$301,"&lt;"&amp;$E231)+COUNTIFS($Q$2:$Q231,1,$E$2:$E231,$E231),"")</f>
        <v/>
      </c>
      <c r="S231" s="49" t="str">
        <f>IF(COUNTA($A231:$I231)=0,"",IF($A231="","Missing: lot",IF(COUNTIF($A$2:$A$301,$A231)&gt;1,"Duplicate lot",IF($B231="","Missing: SKU",IF(NOT(ISNUMBER($E231)),"Missing: expiry date",IF($G231="","Missing: status",IF(COUNTIF(Products!$A$2:$A$101,$B231)=0,"Unknown SKU",IF(AND($C231&lt;&gt;"",COUNTIF(Suppliers!$A$2:$A$51,$C231)=0),"Unknown supplier",IF(COUNTIF(Config!$E$15:$E$34,$G231)=0,"Unsupported status",IF($L231&lt;0,"Negative lot balance",IF(AND($G231="Closed",$L231&lt;&gt;0),"Closed lot still has stock","OK")))))))))))</f>
        <v/>
      </c>
    </row>
    <row r="232">
      <c r="A232" s="46" t="n"/>
      <c r="B232" s="46" t="n"/>
      <c r="C232" s="46" t="n"/>
      <c r="D232" s="54" t="n"/>
      <c r="E232" s="54" t="n"/>
      <c r="F232" s="48" t="n"/>
      <c r="G232" s="46" t="n"/>
      <c r="H232" s="46" t="n"/>
      <c r="I232" s="46" t="n"/>
      <c r="J232" s="49" t="str">
        <f>IF($A232="","",IFERROR(INDEX(Products!$B$2:$B$101,MATCH($B232,Products!$A$2:$A$101,0))&amp;"","(not found)"))</f>
        <v/>
      </c>
      <c r="K232" s="51" t="str">
        <f>IF($A232="","",SUMIFS(Inventory_Ledger!$M$2:$M$2001,Inventory_Ledger!$F$2:$F$2001,$A232))</f>
        <v/>
      </c>
      <c r="L232" s="51" t="str">
        <f>IF($A232="","",IF(ISNUMBER($F232),$F232,0)+$K232)</f>
        <v/>
      </c>
      <c r="M232" s="56" t="str">
        <f>IF(OR($A232="",NOT(ISNUMBER($E232))),"",$E232-Config!$B$4)</f>
        <v/>
      </c>
      <c r="N232" s="49" t="str">
        <f>IF($M232="","",IF($M232&lt;0,"Expired",IF($M232&lt;=Config!$B$6,"&lt;="&amp;Config!$B$6,IF($M232&lt;=Config!$B$7,(Config!$B$6+1)&amp;"-"&amp;Config!$B$7,IF($M232&lt;=Config!$B$8,(Config!$B$7+1)&amp;"-"&amp;Config!$B$8,"&gt;"&amp;Config!$B$8)))))</f>
        <v/>
      </c>
      <c r="O232" s="52" t="str">
        <f>IF($M232="","",IF($M232&lt;0,0,IF($M232&lt;=Config!$B$6,1,IF($M232&lt;=Config!$B$7,2,IF($M232&lt;=Config!$B$8,3,4)))))</f>
        <v/>
      </c>
      <c r="P232" s="50" t="str">
        <f>IF($A232="","",IF($L232&lt;=0,0,IF(OR(IFERROR(INDEX(Config!$F$15:$F$34,MATCH($G232,Config!$E$15:$E$34,0)),"No")="Yes",AND(Config!$B$10="Yes",ISNUMBER($M232),$M232&lt;0)),$L232,0)))</f>
        <v/>
      </c>
      <c r="Q232" s="52" t="str">
        <f>IF($A232="","",IF(AND($L232&gt;0,ISNUMBER($M232)),IF($M232&lt;=Config!$B$8,1,0),0))</f>
        <v/>
      </c>
      <c r="R232" s="52" t="str">
        <f>IF($Q232=1,COUNTIFS($Q$2:$Q$301,1,$E$2:$E$301,"&lt;"&amp;$E232)+COUNTIFS($Q$2:$Q232,1,$E$2:$E232,$E232),"")</f>
        <v/>
      </c>
      <c r="S232" s="49" t="str">
        <f>IF(COUNTA($A232:$I232)=0,"",IF($A232="","Missing: lot",IF(COUNTIF($A$2:$A$301,$A232)&gt;1,"Duplicate lot",IF($B232="","Missing: SKU",IF(NOT(ISNUMBER($E232)),"Missing: expiry date",IF($G232="","Missing: status",IF(COUNTIF(Products!$A$2:$A$101,$B232)=0,"Unknown SKU",IF(AND($C232&lt;&gt;"",COUNTIF(Suppliers!$A$2:$A$51,$C232)=0),"Unknown supplier",IF(COUNTIF(Config!$E$15:$E$34,$G232)=0,"Unsupported status",IF($L232&lt;0,"Negative lot balance",IF(AND($G232="Closed",$L232&lt;&gt;0),"Closed lot still has stock","OK")))))))))))</f>
        <v/>
      </c>
    </row>
    <row r="233">
      <c r="A233" s="46" t="n"/>
      <c r="B233" s="46" t="n"/>
      <c r="C233" s="46" t="n"/>
      <c r="D233" s="54" t="n"/>
      <c r="E233" s="54" t="n"/>
      <c r="F233" s="48" t="n"/>
      <c r="G233" s="46" t="n"/>
      <c r="H233" s="46" t="n"/>
      <c r="I233" s="46" t="n"/>
      <c r="J233" s="49" t="str">
        <f>IF($A233="","",IFERROR(INDEX(Products!$B$2:$B$101,MATCH($B233,Products!$A$2:$A$101,0))&amp;"","(not found)"))</f>
        <v/>
      </c>
      <c r="K233" s="51" t="str">
        <f>IF($A233="","",SUMIFS(Inventory_Ledger!$M$2:$M$2001,Inventory_Ledger!$F$2:$F$2001,$A233))</f>
        <v/>
      </c>
      <c r="L233" s="51" t="str">
        <f>IF($A233="","",IF(ISNUMBER($F233),$F233,0)+$K233)</f>
        <v/>
      </c>
      <c r="M233" s="56" t="str">
        <f>IF(OR($A233="",NOT(ISNUMBER($E233))),"",$E233-Config!$B$4)</f>
        <v/>
      </c>
      <c r="N233" s="49" t="str">
        <f>IF($M233="","",IF($M233&lt;0,"Expired",IF($M233&lt;=Config!$B$6,"&lt;="&amp;Config!$B$6,IF($M233&lt;=Config!$B$7,(Config!$B$6+1)&amp;"-"&amp;Config!$B$7,IF($M233&lt;=Config!$B$8,(Config!$B$7+1)&amp;"-"&amp;Config!$B$8,"&gt;"&amp;Config!$B$8)))))</f>
        <v/>
      </c>
      <c r="O233" s="52" t="str">
        <f>IF($M233="","",IF($M233&lt;0,0,IF($M233&lt;=Config!$B$6,1,IF($M233&lt;=Config!$B$7,2,IF($M233&lt;=Config!$B$8,3,4)))))</f>
        <v/>
      </c>
      <c r="P233" s="50" t="str">
        <f>IF($A233="","",IF($L233&lt;=0,0,IF(OR(IFERROR(INDEX(Config!$F$15:$F$34,MATCH($G233,Config!$E$15:$E$34,0)),"No")="Yes",AND(Config!$B$10="Yes",ISNUMBER($M233),$M233&lt;0)),$L233,0)))</f>
        <v/>
      </c>
      <c r="Q233" s="52" t="str">
        <f>IF($A233="","",IF(AND($L233&gt;0,ISNUMBER($M233)),IF($M233&lt;=Config!$B$8,1,0),0))</f>
        <v/>
      </c>
      <c r="R233" s="52" t="str">
        <f>IF($Q233=1,COUNTIFS($Q$2:$Q$301,1,$E$2:$E$301,"&lt;"&amp;$E233)+COUNTIFS($Q$2:$Q233,1,$E$2:$E233,$E233),"")</f>
        <v/>
      </c>
      <c r="S233" s="49" t="str">
        <f>IF(COUNTA($A233:$I233)=0,"",IF($A233="","Missing: lot",IF(COUNTIF($A$2:$A$301,$A233)&gt;1,"Duplicate lot",IF($B233="","Missing: SKU",IF(NOT(ISNUMBER($E233)),"Missing: expiry date",IF($G233="","Missing: status",IF(COUNTIF(Products!$A$2:$A$101,$B233)=0,"Unknown SKU",IF(AND($C233&lt;&gt;"",COUNTIF(Suppliers!$A$2:$A$51,$C233)=0),"Unknown supplier",IF(COUNTIF(Config!$E$15:$E$34,$G233)=0,"Unsupported status",IF($L233&lt;0,"Negative lot balance",IF(AND($G233="Closed",$L233&lt;&gt;0),"Closed lot still has stock","OK")))))))))))</f>
        <v/>
      </c>
    </row>
    <row r="234">
      <c r="A234" s="46" t="n"/>
      <c r="B234" s="46" t="n"/>
      <c r="C234" s="46" t="n"/>
      <c r="D234" s="54" t="n"/>
      <c r="E234" s="54" t="n"/>
      <c r="F234" s="48" t="n"/>
      <c r="G234" s="46" t="n"/>
      <c r="H234" s="46" t="n"/>
      <c r="I234" s="46" t="n"/>
      <c r="J234" s="49" t="str">
        <f>IF($A234="","",IFERROR(INDEX(Products!$B$2:$B$101,MATCH($B234,Products!$A$2:$A$101,0))&amp;"","(not found)"))</f>
        <v/>
      </c>
      <c r="K234" s="51" t="str">
        <f>IF($A234="","",SUMIFS(Inventory_Ledger!$M$2:$M$2001,Inventory_Ledger!$F$2:$F$2001,$A234))</f>
        <v/>
      </c>
      <c r="L234" s="51" t="str">
        <f>IF($A234="","",IF(ISNUMBER($F234),$F234,0)+$K234)</f>
        <v/>
      </c>
      <c r="M234" s="56" t="str">
        <f>IF(OR($A234="",NOT(ISNUMBER($E234))),"",$E234-Config!$B$4)</f>
        <v/>
      </c>
      <c r="N234" s="49" t="str">
        <f>IF($M234="","",IF($M234&lt;0,"Expired",IF($M234&lt;=Config!$B$6,"&lt;="&amp;Config!$B$6,IF($M234&lt;=Config!$B$7,(Config!$B$6+1)&amp;"-"&amp;Config!$B$7,IF($M234&lt;=Config!$B$8,(Config!$B$7+1)&amp;"-"&amp;Config!$B$8,"&gt;"&amp;Config!$B$8)))))</f>
        <v/>
      </c>
      <c r="O234" s="52" t="str">
        <f>IF($M234="","",IF($M234&lt;0,0,IF($M234&lt;=Config!$B$6,1,IF($M234&lt;=Config!$B$7,2,IF($M234&lt;=Config!$B$8,3,4)))))</f>
        <v/>
      </c>
      <c r="P234" s="50" t="str">
        <f>IF($A234="","",IF($L234&lt;=0,0,IF(OR(IFERROR(INDEX(Config!$F$15:$F$34,MATCH($G234,Config!$E$15:$E$34,0)),"No")="Yes",AND(Config!$B$10="Yes",ISNUMBER($M234),$M234&lt;0)),$L234,0)))</f>
        <v/>
      </c>
      <c r="Q234" s="52" t="str">
        <f>IF($A234="","",IF(AND($L234&gt;0,ISNUMBER($M234)),IF($M234&lt;=Config!$B$8,1,0),0))</f>
        <v/>
      </c>
      <c r="R234" s="52" t="str">
        <f>IF($Q234=1,COUNTIFS($Q$2:$Q$301,1,$E$2:$E$301,"&lt;"&amp;$E234)+COUNTIFS($Q$2:$Q234,1,$E$2:$E234,$E234),"")</f>
        <v/>
      </c>
      <c r="S234" s="49" t="str">
        <f>IF(COUNTA($A234:$I234)=0,"",IF($A234="","Missing: lot",IF(COUNTIF($A$2:$A$301,$A234)&gt;1,"Duplicate lot",IF($B234="","Missing: SKU",IF(NOT(ISNUMBER($E234)),"Missing: expiry date",IF($G234="","Missing: status",IF(COUNTIF(Products!$A$2:$A$101,$B234)=0,"Unknown SKU",IF(AND($C234&lt;&gt;"",COUNTIF(Suppliers!$A$2:$A$51,$C234)=0),"Unknown supplier",IF(COUNTIF(Config!$E$15:$E$34,$G234)=0,"Unsupported status",IF($L234&lt;0,"Negative lot balance",IF(AND($G234="Closed",$L234&lt;&gt;0),"Closed lot still has stock","OK")))))))))))</f>
        <v/>
      </c>
    </row>
    <row r="235">
      <c r="A235" s="46" t="n"/>
      <c r="B235" s="46" t="n"/>
      <c r="C235" s="46" t="n"/>
      <c r="D235" s="54" t="n"/>
      <c r="E235" s="54" t="n"/>
      <c r="F235" s="48" t="n"/>
      <c r="G235" s="46" t="n"/>
      <c r="H235" s="46" t="n"/>
      <c r="I235" s="46" t="n"/>
      <c r="J235" s="49" t="str">
        <f>IF($A235="","",IFERROR(INDEX(Products!$B$2:$B$101,MATCH($B235,Products!$A$2:$A$101,0))&amp;"","(not found)"))</f>
        <v/>
      </c>
      <c r="K235" s="51" t="str">
        <f>IF($A235="","",SUMIFS(Inventory_Ledger!$M$2:$M$2001,Inventory_Ledger!$F$2:$F$2001,$A235))</f>
        <v/>
      </c>
      <c r="L235" s="51" t="str">
        <f>IF($A235="","",IF(ISNUMBER($F235),$F235,0)+$K235)</f>
        <v/>
      </c>
      <c r="M235" s="56" t="str">
        <f>IF(OR($A235="",NOT(ISNUMBER($E235))),"",$E235-Config!$B$4)</f>
        <v/>
      </c>
      <c r="N235" s="49" t="str">
        <f>IF($M235="","",IF($M235&lt;0,"Expired",IF($M235&lt;=Config!$B$6,"&lt;="&amp;Config!$B$6,IF($M235&lt;=Config!$B$7,(Config!$B$6+1)&amp;"-"&amp;Config!$B$7,IF($M235&lt;=Config!$B$8,(Config!$B$7+1)&amp;"-"&amp;Config!$B$8,"&gt;"&amp;Config!$B$8)))))</f>
        <v/>
      </c>
      <c r="O235" s="52" t="str">
        <f>IF($M235="","",IF($M235&lt;0,0,IF($M235&lt;=Config!$B$6,1,IF($M235&lt;=Config!$B$7,2,IF($M235&lt;=Config!$B$8,3,4)))))</f>
        <v/>
      </c>
      <c r="P235" s="50" t="str">
        <f>IF($A235="","",IF($L235&lt;=0,0,IF(OR(IFERROR(INDEX(Config!$F$15:$F$34,MATCH($G235,Config!$E$15:$E$34,0)),"No")="Yes",AND(Config!$B$10="Yes",ISNUMBER($M235),$M235&lt;0)),$L235,0)))</f>
        <v/>
      </c>
      <c r="Q235" s="52" t="str">
        <f>IF($A235="","",IF(AND($L235&gt;0,ISNUMBER($M235)),IF($M235&lt;=Config!$B$8,1,0),0))</f>
        <v/>
      </c>
      <c r="R235" s="52" t="str">
        <f>IF($Q235=1,COUNTIFS($Q$2:$Q$301,1,$E$2:$E$301,"&lt;"&amp;$E235)+COUNTIFS($Q$2:$Q235,1,$E$2:$E235,$E235),"")</f>
        <v/>
      </c>
      <c r="S235" s="49" t="str">
        <f>IF(COUNTA($A235:$I235)=0,"",IF($A235="","Missing: lot",IF(COUNTIF($A$2:$A$301,$A235)&gt;1,"Duplicate lot",IF($B235="","Missing: SKU",IF(NOT(ISNUMBER($E235)),"Missing: expiry date",IF($G235="","Missing: status",IF(COUNTIF(Products!$A$2:$A$101,$B235)=0,"Unknown SKU",IF(AND($C235&lt;&gt;"",COUNTIF(Suppliers!$A$2:$A$51,$C235)=0),"Unknown supplier",IF(COUNTIF(Config!$E$15:$E$34,$G235)=0,"Unsupported status",IF($L235&lt;0,"Negative lot balance",IF(AND($G235="Closed",$L235&lt;&gt;0),"Closed lot still has stock","OK")))))))))))</f>
        <v/>
      </c>
    </row>
    <row r="236">
      <c r="A236" s="46" t="n"/>
      <c r="B236" s="46" t="n"/>
      <c r="C236" s="46" t="n"/>
      <c r="D236" s="54" t="n"/>
      <c r="E236" s="54" t="n"/>
      <c r="F236" s="48" t="n"/>
      <c r="G236" s="46" t="n"/>
      <c r="H236" s="46" t="n"/>
      <c r="I236" s="46" t="n"/>
      <c r="J236" s="49" t="str">
        <f>IF($A236="","",IFERROR(INDEX(Products!$B$2:$B$101,MATCH($B236,Products!$A$2:$A$101,0))&amp;"","(not found)"))</f>
        <v/>
      </c>
      <c r="K236" s="51" t="str">
        <f>IF($A236="","",SUMIFS(Inventory_Ledger!$M$2:$M$2001,Inventory_Ledger!$F$2:$F$2001,$A236))</f>
        <v/>
      </c>
      <c r="L236" s="51" t="str">
        <f>IF($A236="","",IF(ISNUMBER($F236),$F236,0)+$K236)</f>
        <v/>
      </c>
      <c r="M236" s="56" t="str">
        <f>IF(OR($A236="",NOT(ISNUMBER($E236))),"",$E236-Config!$B$4)</f>
        <v/>
      </c>
      <c r="N236" s="49" t="str">
        <f>IF($M236="","",IF($M236&lt;0,"Expired",IF($M236&lt;=Config!$B$6,"&lt;="&amp;Config!$B$6,IF($M236&lt;=Config!$B$7,(Config!$B$6+1)&amp;"-"&amp;Config!$B$7,IF($M236&lt;=Config!$B$8,(Config!$B$7+1)&amp;"-"&amp;Config!$B$8,"&gt;"&amp;Config!$B$8)))))</f>
        <v/>
      </c>
      <c r="O236" s="52" t="str">
        <f>IF($M236="","",IF($M236&lt;0,0,IF($M236&lt;=Config!$B$6,1,IF($M236&lt;=Config!$B$7,2,IF($M236&lt;=Config!$B$8,3,4)))))</f>
        <v/>
      </c>
      <c r="P236" s="50" t="str">
        <f>IF($A236="","",IF($L236&lt;=0,0,IF(OR(IFERROR(INDEX(Config!$F$15:$F$34,MATCH($G236,Config!$E$15:$E$34,0)),"No")="Yes",AND(Config!$B$10="Yes",ISNUMBER($M236),$M236&lt;0)),$L236,0)))</f>
        <v/>
      </c>
      <c r="Q236" s="52" t="str">
        <f>IF($A236="","",IF(AND($L236&gt;0,ISNUMBER($M236)),IF($M236&lt;=Config!$B$8,1,0),0))</f>
        <v/>
      </c>
      <c r="R236" s="52" t="str">
        <f>IF($Q236=1,COUNTIFS($Q$2:$Q$301,1,$E$2:$E$301,"&lt;"&amp;$E236)+COUNTIFS($Q$2:$Q236,1,$E$2:$E236,$E236),"")</f>
        <v/>
      </c>
      <c r="S236" s="49" t="str">
        <f>IF(COUNTA($A236:$I236)=0,"",IF($A236="","Missing: lot",IF(COUNTIF($A$2:$A$301,$A236)&gt;1,"Duplicate lot",IF($B236="","Missing: SKU",IF(NOT(ISNUMBER($E236)),"Missing: expiry date",IF($G236="","Missing: status",IF(COUNTIF(Products!$A$2:$A$101,$B236)=0,"Unknown SKU",IF(AND($C236&lt;&gt;"",COUNTIF(Suppliers!$A$2:$A$51,$C236)=0),"Unknown supplier",IF(COUNTIF(Config!$E$15:$E$34,$G236)=0,"Unsupported status",IF($L236&lt;0,"Negative lot balance",IF(AND($G236="Closed",$L236&lt;&gt;0),"Closed lot still has stock","OK")))))))))))</f>
        <v/>
      </c>
    </row>
    <row r="237">
      <c r="A237" s="46" t="n"/>
      <c r="B237" s="46" t="n"/>
      <c r="C237" s="46" t="n"/>
      <c r="D237" s="54" t="n"/>
      <c r="E237" s="54" t="n"/>
      <c r="F237" s="48" t="n"/>
      <c r="G237" s="46" t="n"/>
      <c r="H237" s="46" t="n"/>
      <c r="I237" s="46" t="n"/>
      <c r="J237" s="49" t="str">
        <f>IF($A237="","",IFERROR(INDEX(Products!$B$2:$B$101,MATCH($B237,Products!$A$2:$A$101,0))&amp;"","(not found)"))</f>
        <v/>
      </c>
      <c r="K237" s="51" t="str">
        <f>IF($A237="","",SUMIFS(Inventory_Ledger!$M$2:$M$2001,Inventory_Ledger!$F$2:$F$2001,$A237))</f>
        <v/>
      </c>
      <c r="L237" s="51" t="str">
        <f>IF($A237="","",IF(ISNUMBER($F237),$F237,0)+$K237)</f>
        <v/>
      </c>
      <c r="M237" s="56" t="str">
        <f>IF(OR($A237="",NOT(ISNUMBER($E237))),"",$E237-Config!$B$4)</f>
        <v/>
      </c>
      <c r="N237" s="49" t="str">
        <f>IF($M237="","",IF($M237&lt;0,"Expired",IF($M237&lt;=Config!$B$6,"&lt;="&amp;Config!$B$6,IF($M237&lt;=Config!$B$7,(Config!$B$6+1)&amp;"-"&amp;Config!$B$7,IF($M237&lt;=Config!$B$8,(Config!$B$7+1)&amp;"-"&amp;Config!$B$8,"&gt;"&amp;Config!$B$8)))))</f>
        <v/>
      </c>
      <c r="O237" s="52" t="str">
        <f>IF($M237="","",IF($M237&lt;0,0,IF($M237&lt;=Config!$B$6,1,IF($M237&lt;=Config!$B$7,2,IF($M237&lt;=Config!$B$8,3,4)))))</f>
        <v/>
      </c>
      <c r="P237" s="50" t="str">
        <f>IF($A237="","",IF($L237&lt;=0,0,IF(OR(IFERROR(INDEX(Config!$F$15:$F$34,MATCH($G237,Config!$E$15:$E$34,0)),"No")="Yes",AND(Config!$B$10="Yes",ISNUMBER($M237),$M237&lt;0)),$L237,0)))</f>
        <v/>
      </c>
      <c r="Q237" s="52" t="str">
        <f>IF($A237="","",IF(AND($L237&gt;0,ISNUMBER($M237)),IF($M237&lt;=Config!$B$8,1,0),0))</f>
        <v/>
      </c>
      <c r="R237" s="52" t="str">
        <f>IF($Q237=1,COUNTIFS($Q$2:$Q$301,1,$E$2:$E$301,"&lt;"&amp;$E237)+COUNTIFS($Q$2:$Q237,1,$E$2:$E237,$E237),"")</f>
        <v/>
      </c>
      <c r="S237" s="49" t="str">
        <f>IF(COUNTA($A237:$I237)=0,"",IF($A237="","Missing: lot",IF(COUNTIF($A$2:$A$301,$A237)&gt;1,"Duplicate lot",IF($B237="","Missing: SKU",IF(NOT(ISNUMBER($E237)),"Missing: expiry date",IF($G237="","Missing: status",IF(COUNTIF(Products!$A$2:$A$101,$B237)=0,"Unknown SKU",IF(AND($C237&lt;&gt;"",COUNTIF(Suppliers!$A$2:$A$51,$C237)=0),"Unknown supplier",IF(COUNTIF(Config!$E$15:$E$34,$G237)=0,"Unsupported status",IF($L237&lt;0,"Negative lot balance",IF(AND($G237="Closed",$L237&lt;&gt;0),"Closed lot still has stock","OK")))))))))))</f>
        <v/>
      </c>
    </row>
    <row r="238">
      <c r="A238" s="46" t="n"/>
      <c r="B238" s="46" t="n"/>
      <c r="C238" s="46" t="n"/>
      <c r="D238" s="54" t="n"/>
      <c r="E238" s="54" t="n"/>
      <c r="F238" s="48" t="n"/>
      <c r="G238" s="46" t="n"/>
      <c r="H238" s="46" t="n"/>
      <c r="I238" s="46" t="n"/>
      <c r="J238" s="49" t="str">
        <f>IF($A238="","",IFERROR(INDEX(Products!$B$2:$B$101,MATCH($B238,Products!$A$2:$A$101,0))&amp;"","(not found)"))</f>
        <v/>
      </c>
      <c r="K238" s="51" t="str">
        <f>IF($A238="","",SUMIFS(Inventory_Ledger!$M$2:$M$2001,Inventory_Ledger!$F$2:$F$2001,$A238))</f>
        <v/>
      </c>
      <c r="L238" s="51" t="str">
        <f>IF($A238="","",IF(ISNUMBER($F238),$F238,0)+$K238)</f>
        <v/>
      </c>
      <c r="M238" s="56" t="str">
        <f>IF(OR($A238="",NOT(ISNUMBER($E238))),"",$E238-Config!$B$4)</f>
        <v/>
      </c>
      <c r="N238" s="49" t="str">
        <f>IF($M238="","",IF($M238&lt;0,"Expired",IF($M238&lt;=Config!$B$6,"&lt;="&amp;Config!$B$6,IF($M238&lt;=Config!$B$7,(Config!$B$6+1)&amp;"-"&amp;Config!$B$7,IF($M238&lt;=Config!$B$8,(Config!$B$7+1)&amp;"-"&amp;Config!$B$8,"&gt;"&amp;Config!$B$8)))))</f>
        <v/>
      </c>
      <c r="O238" s="52" t="str">
        <f>IF($M238="","",IF($M238&lt;0,0,IF($M238&lt;=Config!$B$6,1,IF($M238&lt;=Config!$B$7,2,IF($M238&lt;=Config!$B$8,3,4)))))</f>
        <v/>
      </c>
      <c r="P238" s="50" t="str">
        <f>IF($A238="","",IF($L238&lt;=0,0,IF(OR(IFERROR(INDEX(Config!$F$15:$F$34,MATCH($G238,Config!$E$15:$E$34,0)),"No")="Yes",AND(Config!$B$10="Yes",ISNUMBER($M238),$M238&lt;0)),$L238,0)))</f>
        <v/>
      </c>
      <c r="Q238" s="52" t="str">
        <f>IF($A238="","",IF(AND($L238&gt;0,ISNUMBER($M238)),IF($M238&lt;=Config!$B$8,1,0),0))</f>
        <v/>
      </c>
      <c r="R238" s="52" t="str">
        <f>IF($Q238=1,COUNTIFS($Q$2:$Q$301,1,$E$2:$E$301,"&lt;"&amp;$E238)+COUNTIFS($Q$2:$Q238,1,$E$2:$E238,$E238),"")</f>
        <v/>
      </c>
      <c r="S238" s="49" t="str">
        <f>IF(COUNTA($A238:$I238)=0,"",IF($A238="","Missing: lot",IF(COUNTIF($A$2:$A$301,$A238)&gt;1,"Duplicate lot",IF($B238="","Missing: SKU",IF(NOT(ISNUMBER($E238)),"Missing: expiry date",IF($G238="","Missing: status",IF(COUNTIF(Products!$A$2:$A$101,$B238)=0,"Unknown SKU",IF(AND($C238&lt;&gt;"",COUNTIF(Suppliers!$A$2:$A$51,$C238)=0),"Unknown supplier",IF(COUNTIF(Config!$E$15:$E$34,$G238)=0,"Unsupported status",IF($L238&lt;0,"Negative lot balance",IF(AND($G238="Closed",$L238&lt;&gt;0),"Closed lot still has stock","OK")))))))))))</f>
        <v/>
      </c>
    </row>
    <row r="239">
      <c r="A239" s="46" t="n"/>
      <c r="B239" s="46" t="n"/>
      <c r="C239" s="46" t="n"/>
      <c r="D239" s="54" t="n"/>
      <c r="E239" s="54" t="n"/>
      <c r="F239" s="48" t="n"/>
      <c r="G239" s="46" t="n"/>
      <c r="H239" s="46" t="n"/>
      <c r="I239" s="46" t="n"/>
      <c r="J239" s="49" t="str">
        <f>IF($A239="","",IFERROR(INDEX(Products!$B$2:$B$101,MATCH($B239,Products!$A$2:$A$101,0))&amp;"","(not found)"))</f>
        <v/>
      </c>
      <c r="K239" s="51" t="str">
        <f>IF($A239="","",SUMIFS(Inventory_Ledger!$M$2:$M$2001,Inventory_Ledger!$F$2:$F$2001,$A239))</f>
        <v/>
      </c>
      <c r="L239" s="51" t="str">
        <f>IF($A239="","",IF(ISNUMBER($F239),$F239,0)+$K239)</f>
        <v/>
      </c>
      <c r="M239" s="56" t="str">
        <f>IF(OR($A239="",NOT(ISNUMBER($E239))),"",$E239-Config!$B$4)</f>
        <v/>
      </c>
      <c r="N239" s="49" t="str">
        <f>IF($M239="","",IF($M239&lt;0,"Expired",IF($M239&lt;=Config!$B$6,"&lt;="&amp;Config!$B$6,IF($M239&lt;=Config!$B$7,(Config!$B$6+1)&amp;"-"&amp;Config!$B$7,IF($M239&lt;=Config!$B$8,(Config!$B$7+1)&amp;"-"&amp;Config!$B$8,"&gt;"&amp;Config!$B$8)))))</f>
        <v/>
      </c>
      <c r="O239" s="52" t="str">
        <f>IF($M239="","",IF($M239&lt;0,0,IF($M239&lt;=Config!$B$6,1,IF($M239&lt;=Config!$B$7,2,IF($M239&lt;=Config!$B$8,3,4)))))</f>
        <v/>
      </c>
      <c r="P239" s="50" t="str">
        <f>IF($A239="","",IF($L239&lt;=0,0,IF(OR(IFERROR(INDEX(Config!$F$15:$F$34,MATCH($G239,Config!$E$15:$E$34,0)),"No")="Yes",AND(Config!$B$10="Yes",ISNUMBER($M239),$M239&lt;0)),$L239,0)))</f>
        <v/>
      </c>
      <c r="Q239" s="52" t="str">
        <f>IF($A239="","",IF(AND($L239&gt;0,ISNUMBER($M239)),IF($M239&lt;=Config!$B$8,1,0),0))</f>
        <v/>
      </c>
      <c r="R239" s="52" t="str">
        <f>IF($Q239=1,COUNTIFS($Q$2:$Q$301,1,$E$2:$E$301,"&lt;"&amp;$E239)+COUNTIFS($Q$2:$Q239,1,$E$2:$E239,$E239),"")</f>
        <v/>
      </c>
      <c r="S239" s="49" t="str">
        <f>IF(COUNTA($A239:$I239)=0,"",IF($A239="","Missing: lot",IF(COUNTIF($A$2:$A$301,$A239)&gt;1,"Duplicate lot",IF($B239="","Missing: SKU",IF(NOT(ISNUMBER($E239)),"Missing: expiry date",IF($G239="","Missing: status",IF(COUNTIF(Products!$A$2:$A$101,$B239)=0,"Unknown SKU",IF(AND($C239&lt;&gt;"",COUNTIF(Suppliers!$A$2:$A$51,$C239)=0),"Unknown supplier",IF(COUNTIF(Config!$E$15:$E$34,$G239)=0,"Unsupported status",IF($L239&lt;0,"Negative lot balance",IF(AND($G239="Closed",$L239&lt;&gt;0),"Closed lot still has stock","OK")))))))))))</f>
        <v/>
      </c>
    </row>
    <row r="240">
      <c r="A240" s="46" t="n"/>
      <c r="B240" s="46" t="n"/>
      <c r="C240" s="46" t="n"/>
      <c r="D240" s="54" t="n"/>
      <c r="E240" s="54" t="n"/>
      <c r="F240" s="48" t="n"/>
      <c r="G240" s="46" t="n"/>
      <c r="H240" s="46" t="n"/>
      <c r="I240" s="46" t="n"/>
      <c r="J240" s="49" t="str">
        <f>IF($A240="","",IFERROR(INDEX(Products!$B$2:$B$101,MATCH($B240,Products!$A$2:$A$101,0))&amp;"","(not found)"))</f>
        <v/>
      </c>
      <c r="K240" s="51" t="str">
        <f>IF($A240="","",SUMIFS(Inventory_Ledger!$M$2:$M$2001,Inventory_Ledger!$F$2:$F$2001,$A240))</f>
        <v/>
      </c>
      <c r="L240" s="51" t="str">
        <f>IF($A240="","",IF(ISNUMBER($F240),$F240,0)+$K240)</f>
        <v/>
      </c>
      <c r="M240" s="56" t="str">
        <f>IF(OR($A240="",NOT(ISNUMBER($E240))),"",$E240-Config!$B$4)</f>
        <v/>
      </c>
      <c r="N240" s="49" t="str">
        <f>IF($M240="","",IF($M240&lt;0,"Expired",IF($M240&lt;=Config!$B$6,"&lt;="&amp;Config!$B$6,IF($M240&lt;=Config!$B$7,(Config!$B$6+1)&amp;"-"&amp;Config!$B$7,IF($M240&lt;=Config!$B$8,(Config!$B$7+1)&amp;"-"&amp;Config!$B$8,"&gt;"&amp;Config!$B$8)))))</f>
        <v/>
      </c>
      <c r="O240" s="52" t="str">
        <f>IF($M240="","",IF($M240&lt;0,0,IF($M240&lt;=Config!$B$6,1,IF($M240&lt;=Config!$B$7,2,IF($M240&lt;=Config!$B$8,3,4)))))</f>
        <v/>
      </c>
      <c r="P240" s="50" t="str">
        <f>IF($A240="","",IF($L240&lt;=0,0,IF(OR(IFERROR(INDEX(Config!$F$15:$F$34,MATCH($G240,Config!$E$15:$E$34,0)),"No")="Yes",AND(Config!$B$10="Yes",ISNUMBER($M240),$M240&lt;0)),$L240,0)))</f>
        <v/>
      </c>
      <c r="Q240" s="52" t="str">
        <f>IF($A240="","",IF(AND($L240&gt;0,ISNUMBER($M240)),IF($M240&lt;=Config!$B$8,1,0),0))</f>
        <v/>
      </c>
      <c r="R240" s="52" t="str">
        <f>IF($Q240=1,COUNTIFS($Q$2:$Q$301,1,$E$2:$E$301,"&lt;"&amp;$E240)+COUNTIFS($Q$2:$Q240,1,$E$2:$E240,$E240),"")</f>
        <v/>
      </c>
      <c r="S240" s="49" t="str">
        <f>IF(COUNTA($A240:$I240)=0,"",IF($A240="","Missing: lot",IF(COUNTIF($A$2:$A$301,$A240)&gt;1,"Duplicate lot",IF($B240="","Missing: SKU",IF(NOT(ISNUMBER($E240)),"Missing: expiry date",IF($G240="","Missing: status",IF(COUNTIF(Products!$A$2:$A$101,$B240)=0,"Unknown SKU",IF(AND($C240&lt;&gt;"",COUNTIF(Suppliers!$A$2:$A$51,$C240)=0),"Unknown supplier",IF(COUNTIF(Config!$E$15:$E$34,$G240)=0,"Unsupported status",IF($L240&lt;0,"Negative lot balance",IF(AND($G240="Closed",$L240&lt;&gt;0),"Closed lot still has stock","OK")))))))))))</f>
        <v/>
      </c>
    </row>
    <row r="241">
      <c r="A241" s="46" t="n"/>
      <c r="B241" s="46" t="n"/>
      <c r="C241" s="46" t="n"/>
      <c r="D241" s="54" t="n"/>
      <c r="E241" s="54" t="n"/>
      <c r="F241" s="48" t="n"/>
      <c r="G241" s="46" t="n"/>
      <c r="H241" s="46" t="n"/>
      <c r="I241" s="46" t="n"/>
      <c r="J241" s="49" t="str">
        <f>IF($A241="","",IFERROR(INDEX(Products!$B$2:$B$101,MATCH($B241,Products!$A$2:$A$101,0))&amp;"","(not found)"))</f>
        <v/>
      </c>
      <c r="K241" s="51" t="str">
        <f>IF($A241="","",SUMIFS(Inventory_Ledger!$M$2:$M$2001,Inventory_Ledger!$F$2:$F$2001,$A241))</f>
        <v/>
      </c>
      <c r="L241" s="51" t="str">
        <f>IF($A241="","",IF(ISNUMBER($F241),$F241,0)+$K241)</f>
        <v/>
      </c>
      <c r="M241" s="56" t="str">
        <f>IF(OR($A241="",NOT(ISNUMBER($E241))),"",$E241-Config!$B$4)</f>
        <v/>
      </c>
      <c r="N241" s="49" t="str">
        <f>IF($M241="","",IF($M241&lt;0,"Expired",IF($M241&lt;=Config!$B$6,"&lt;="&amp;Config!$B$6,IF($M241&lt;=Config!$B$7,(Config!$B$6+1)&amp;"-"&amp;Config!$B$7,IF($M241&lt;=Config!$B$8,(Config!$B$7+1)&amp;"-"&amp;Config!$B$8,"&gt;"&amp;Config!$B$8)))))</f>
        <v/>
      </c>
      <c r="O241" s="52" t="str">
        <f>IF($M241="","",IF($M241&lt;0,0,IF($M241&lt;=Config!$B$6,1,IF($M241&lt;=Config!$B$7,2,IF($M241&lt;=Config!$B$8,3,4)))))</f>
        <v/>
      </c>
      <c r="P241" s="50" t="str">
        <f>IF($A241="","",IF($L241&lt;=0,0,IF(OR(IFERROR(INDEX(Config!$F$15:$F$34,MATCH($G241,Config!$E$15:$E$34,0)),"No")="Yes",AND(Config!$B$10="Yes",ISNUMBER($M241),$M241&lt;0)),$L241,0)))</f>
        <v/>
      </c>
      <c r="Q241" s="52" t="str">
        <f>IF($A241="","",IF(AND($L241&gt;0,ISNUMBER($M241)),IF($M241&lt;=Config!$B$8,1,0),0))</f>
        <v/>
      </c>
      <c r="R241" s="52" t="str">
        <f>IF($Q241=1,COUNTIFS($Q$2:$Q$301,1,$E$2:$E$301,"&lt;"&amp;$E241)+COUNTIFS($Q$2:$Q241,1,$E$2:$E241,$E241),"")</f>
        <v/>
      </c>
      <c r="S241" s="49" t="str">
        <f>IF(COUNTA($A241:$I241)=0,"",IF($A241="","Missing: lot",IF(COUNTIF($A$2:$A$301,$A241)&gt;1,"Duplicate lot",IF($B241="","Missing: SKU",IF(NOT(ISNUMBER($E241)),"Missing: expiry date",IF($G241="","Missing: status",IF(COUNTIF(Products!$A$2:$A$101,$B241)=0,"Unknown SKU",IF(AND($C241&lt;&gt;"",COUNTIF(Suppliers!$A$2:$A$51,$C241)=0),"Unknown supplier",IF(COUNTIF(Config!$E$15:$E$34,$G241)=0,"Unsupported status",IF($L241&lt;0,"Negative lot balance",IF(AND($G241="Closed",$L241&lt;&gt;0),"Closed lot still has stock","OK")))))))))))</f>
        <v/>
      </c>
    </row>
    <row r="242">
      <c r="A242" s="46" t="n"/>
      <c r="B242" s="46" t="n"/>
      <c r="C242" s="46" t="n"/>
      <c r="D242" s="54" t="n"/>
      <c r="E242" s="54" t="n"/>
      <c r="F242" s="48" t="n"/>
      <c r="G242" s="46" t="n"/>
      <c r="H242" s="46" t="n"/>
      <c r="I242" s="46" t="n"/>
      <c r="J242" s="49" t="str">
        <f>IF($A242="","",IFERROR(INDEX(Products!$B$2:$B$101,MATCH($B242,Products!$A$2:$A$101,0))&amp;"","(not found)"))</f>
        <v/>
      </c>
      <c r="K242" s="51" t="str">
        <f>IF($A242="","",SUMIFS(Inventory_Ledger!$M$2:$M$2001,Inventory_Ledger!$F$2:$F$2001,$A242))</f>
        <v/>
      </c>
      <c r="L242" s="51" t="str">
        <f>IF($A242="","",IF(ISNUMBER($F242),$F242,0)+$K242)</f>
        <v/>
      </c>
      <c r="M242" s="56" t="str">
        <f>IF(OR($A242="",NOT(ISNUMBER($E242))),"",$E242-Config!$B$4)</f>
        <v/>
      </c>
      <c r="N242" s="49" t="str">
        <f>IF($M242="","",IF($M242&lt;0,"Expired",IF($M242&lt;=Config!$B$6,"&lt;="&amp;Config!$B$6,IF($M242&lt;=Config!$B$7,(Config!$B$6+1)&amp;"-"&amp;Config!$B$7,IF($M242&lt;=Config!$B$8,(Config!$B$7+1)&amp;"-"&amp;Config!$B$8,"&gt;"&amp;Config!$B$8)))))</f>
        <v/>
      </c>
      <c r="O242" s="52" t="str">
        <f>IF($M242="","",IF($M242&lt;0,0,IF($M242&lt;=Config!$B$6,1,IF($M242&lt;=Config!$B$7,2,IF($M242&lt;=Config!$B$8,3,4)))))</f>
        <v/>
      </c>
      <c r="P242" s="50" t="str">
        <f>IF($A242="","",IF($L242&lt;=0,0,IF(OR(IFERROR(INDEX(Config!$F$15:$F$34,MATCH($G242,Config!$E$15:$E$34,0)),"No")="Yes",AND(Config!$B$10="Yes",ISNUMBER($M242),$M242&lt;0)),$L242,0)))</f>
        <v/>
      </c>
      <c r="Q242" s="52" t="str">
        <f>IF($A242="","",IF(AND($L242&gt;0,ISNUMBER($M242)),IF($M242&lt;=Config!$B$8,1,0),0))</f>
        <v/>
      </c>
      <c r="R242" s="52" t="str">
        <f>IF($Q242=1,COUNTIFS($Q$2:$Q$301,1,$E$2:$E$301,"&lt;"&amp;$E242)+COUNTIFS($Q$2:$Q242,1,$E$2:$E242,$E242),"")</f>
        <v/>
      </c>
      <c r="S242" s="49" t="str">
        <f>IF(COUNTA($A242:$I242)=0,"",IF($A242="","Missing: lot",IF(COUNTIF($A$2:$A$301,$A242)&gt;1,"Duplicate lot",IF($B242="","Missing: SKU",IF(NOT(ISNUMBER($E242)),"Missing: expiry date",IF($G242="","Missing: status",IF(COUNTIF(Products!$A$2:$A$101,$B242)=0,"Unknown SKU",IF(AND($C242&lt;&gt;"",COUNTIF(Suppliers!$A$2:$A$51,$C242)=0),"Unknown supplier",IF(COUNTIF(Config!$E$15:$E$34,$G242)=0,"Unsupported status",IF($L242&lt;0,"Negative lot balance",IF(AND($G242="Closed",$L242&lt;&gt;0),"Closed lot still has stock","OK")))))))))))</f>
        <v/>
      </c>
    </row>
    <row r="243">
      <c r="A243" s="46" t="n"/>
      <c r="B243" s="46" t="n"/>
      <c r="C243" s="46" t="n"/>
      <c r="D243" s="54" t="n"/>
      <c r="E243" s="54" t="n"/>
      <c r="F243" s="48" t="n"/>
      <c r="G243" s="46" t="n"/>
      <c r="H243" s="46" t="n"/>
      <c r="I243" s="46" t="n"/>
      <c r="J243" s="49" t="str">
        <f>IF($A243="","",IFERROR(INDEX(Products!$B$2:$B$101,MATCH($B243,Products!$A$2:$A$101,0))&amp;"","(not found)"))</f>
        <v/>
      </c>
      <c r="K243" s="51" t="str">
        <f>IF($A243="","",SUMIFS(Inventory_Ledger!$M$2:$M$2001,Inventory_Ledger!$F$2:$F$2001,$A243))</f>
        <v/>
      </c>
      <c r="L243" s="51" t="str">
        <f>IF($A243="","",IF(ISNUMBER($F243),$F243,0)+$K243)</f>
        <v/>
      </c>
      <c r="M243" s="56" t="str">
        <f>IF(OR($A243="",NOT(ISNUMBER($E243))),"",$E243-Config!$B$4)</f>
        <v/>
      </c>
      <c r="N243" s="49" t="str">
        <f>IF($M243="","",IF($M243&lt;0,"Expired",IF($M243&lt;=Config!$B$6,"&lt;="&amp;Config!$B$6,IF($M243&lt;=Config!$B$7,(Config!$B$6+1)&amp;"-"&amp;Config!$B$7,IF($M243&lt;=Config!$B$8,(Config!$B$7+1)&amp;"-"&amp;Config!$B$8,"&gt;"&amp;Config!$B$8)))))</f>
        <v/>
      </c>
      <c r="O243" s="52" t="str">
        <f>IF($M243="","",IF($M243&lt;0,0,IF($M243&lt;=Config!$B$6,1,IF($M243&lt;=Config!$B$7,2,IF($M243&lt;=Config!$B$8,3,4)))))</f>
        <v/>
      </c>
      <c r="P243" s="50" t="str">
        <f>IF($A243="","",IF($L243&lt;=0,0,IF(OR(IFERROR(INDEX(Config!$F$15:$F$34,MATCH($G243,Config!$E$15:$E$34,0)),"No")="Yes",AND(Config!$B$10="Yes",ISNUMBER($M243),$M243&lt;0)),$L243,0)))</f>
        <v/>
      </c>
      <c r="Q243" s="52" t="str">
        <f>IF($A243="","",IF(AND($L243&gt;0,ISNUMBER($M243)),IF($M243&lt;=Config!$B$8,1,0),0))</f>
        <v/>
      </c>
      <c r="R243" s="52" t="str">
        <f>IF($Q243=1,COUNTIFS($Q$2:$Q$301,1,$E$2:$E$301,"&lt;"&amp;$E243)+COUNTIFS($Q$2:$Q243,1,$E$2:$E243,$E243),"")</f>
        <v/>
      </c>
      <c r="S243" s="49" t="str">
        <f>IF(COUNTA($A243:$I243)=0,"",IF($A243="","Missing: lot",IF(COUNTIF($A$2:$A$301,$A243)&gt;1,"Duplicate lot",IF($B243="","Missing: SKU",IF(NOT(ISNUMBER($E243)),"Missing: expiry date",IF($G243="","Missing: status",IF(COUNTIF(Products!$A$2:$A$101,$B243)=0,"Unknown SKU",IF(AND($C243&lt;&gt;"",COUNTIF(Suppliers!$A$2:$A$51,$C243)=0),"Unknown supplier",IF(COUNTIF(Config!$E$15:$E$34,$G243)=0,"Unsupported status",IF($L243&lt;0,"Negative lot balance",IF(AND($G243="Closed",$L243&lt;&gt;0),"Closed lot still has stock","OK")))))))))))</f>
        <v/>
      </c>
    </row>
    <row r="244">
      <c r="A244" s="46" t="n"/>
      <c r="B244" s="46" t="n"/>
      <c r="C244" s="46" t="n"/>
      <c r="D244" s="54" t="n"/>
      <c r="E244" s="54" t="n"/>
      <c r="F244" s="48" t="n"/>
      <c r="G244" s="46" t="n"/>
      <c r="H244" s="46" t="n"/>
      <c r="I244" s="46" t="n"/>
      <c r="J244" s="49" t="str">
        <f>IF($A244="","",IFERROR(INDEX(Products!$B$2:$B$101,MATCH($B244,Products!$A$2:$A$101,0))&amp;"","(not found)"))</f>
        <v/>
      </c>
      <c r="K244" s="51" t="str">
        <f>IF($A244="","",SUMIFS(Inventory_Ledger!$M$2:$M$2001,Inventory_Ledger!$F$2:$F$2001,$A244))</f>
        <v/>
      </c>
      <c r="L244" s="51" t="str">
        <f>IF($A244="","",IF(ISNUMBER($F244),$F244,0)+$K244)</f>
        <v/>
      </c>
      <c r="M244" s="56" t="str">
        <f>IF(OR($A244="",NOT(ISNUMBER($E244))),"",$E244-Config!$B$4)</f>
        <v/>
      </c>
      <c r="N244" s="49" t="str">
        <f>IF($M244="","",IF($M244&lt;0,"Expired",IF($M244&lt;=Config!$B$6,"&lt;="&amp;Config!$B$6,IF($M244&lt;=Config!$B$7,(Config!$B$6+1)&amp;"-"&amp;Config!$B$7,IF($M244&lt;=Config!$B$8,(Config!$B$7+1)&amp;"-"&amp;Config!$B$8,"&gt;"&amp;Config!$B$8)))))</f>
        <v/>
      </c>
      <c r="O244" s="52" t="str">
        <f>IF($M244="","",IF($M244&lt;0,0,IF($M244&lt;=Config!$B$6,1,IF($M244&lt;=Config!$B$7,2,IF($M244&lt;=Config!$B$8,3,4)))))</f>
        <v/>
      </c>
      <c r="P244" s="50" t="str">
        <f>IF($A244="","",IF($L244&lt;=0,0,IF(OR(IFERROR(INDEX(Config!$F$15:$F$34,MATCH($G244,Config!$E$15:$E$34,0)),"No")="Yes",AND(Config!$B$10="Yes",ISNUMBER($M244),$M244&lt;0)),$L244,0)))</f>
        <v/>
      </c>
      <c r="Q244" s="52" t="str">
        <f>IF($A244="","",IF(AND($L244&gt;0,ISNUMBER($M244)),IF($M244&lt;=Config!$B$8,1,0),0))</f>
        <v/>
      </c>
      <c r="R244" s="52" t="str">
        <f>IF($Q244=1,COUNTIFS($Q$2:$Q$301,1,$E$2:$E$301,"&lt;"&amp;$E244)+COUNTIFS($Q$2:$Q244,1,$E$2:$E244,$E244),"")</f>
        <v/>
      </c>
      <c r="S244" s="49" t="str">
        <f>IF(COUNTA($A244:$I244)=0,"",IF($A244="","Missing: lot",IF(COUNTIF($A$2:$A$301,$A244)&gt;1,"Duplicate lot",IF($B244="","Missing: SKU",IF(NOT(ISNUMBER($E244)),"Missing: expiry date",IF($G244="","Missing: status",IF(COUNTIF(Products!$A$2:$A$101,$B244)=0,"Unknown SKU",IF(AND($C244&lt;&gt;"",COUNTIF(Suppliers!$A$2:$A$51,$C244)=0),"Unknown supplier",IF(COUNTIF(Config!$E$15:$E$34,$G244)=0,"Unsupported status",IF($L244&lt;0,"Negative lot balance",IF(AND($G244="Closed",$L244&lt;&gt;0),"Closed lot still has stock","OK")))))))))))</f>
        <v/>
      </c>
    </row>
    <row r="245">
      <c r="A245" s="46" t="n"/>
      <c r="B245" s="46" t="n"/>
      <c r="C245" s="46" t="n"/>
      <c r="D245" s="54" t="n"/>
      <c r="E245" s="54" t="n"/>
      <c r="F245" s="48" t="n"/>
      <c r="G245" s="46" t="n"/>
      <c r="H245" s="46" t="n"/>
      <c r="I245" s="46" t="n"/>
      <c r="J245" s="49" t="str">
        <f>IF($A245="","",IFERROR(INDEX(Products!$B$2:$B$101,MATCH($B245,Products!$A$2:$A$101,0))&amp;"","(not found)"))</f>
        <v/>
      </c>
      <c r="K245" s="51" t="str">
        <f>IF($A245="","",SUMIFS(Inventory_Ledger!$M$2:$M$2001,Inventory_Ledger!$F$2:$F$2001,$A245))</f>
        <v/>
      </c>
      <c r="L245" s="51" t="str">
        <f>IF($A245="","",IF(ISNUMBER($F245),$F245,0)+$K245)</f>
        <v/>
      </c>
      <c r="M245" s="56" t="str">
        <f>IF(OR($A245="",NOT(ISNUMBER($E245))),"",$E245-Config!$B$4)</f>
        <v/>
      </c>
      <c r="N245" s="49" t="str">
        <f>IF($M245="","",IF($M245&lt;0,"Expired",IF($M245&lt;=Config!$B$6,"&lt;="&amp;Config!$B$6,IF($M245&lt;=Config!$B$7,(Config!$B$6+1)&amp;"-"&amp;Config!$B$7,IF($M245&lt;=Config!$B$8,(Config!$B$7+1)&amp;"-"&amp;Config!$B$8,"&gt;"&amp;Config!$B$8)))))</f>
        <v/>
      </c>
      <c r="O245" s="52" t="str">
        <f>IF($M245="","",IF($M245&lt;0,0,IF($M245&lt;=Config!$B$6,1,IF($M245&lt;=Config!$B$7,2,IF($M245&lt;=Config!$B$8,3,4)))))</f>
        <v/>
      </c>
      <c r="P245" s="50" t="str">
        <f>IF($A245="","",IF($L245&lt;=0,0,IF(OR(IFERROR(INDEX(Config!$F$15:$F$34,MATCH($G245,Config!$E$15:$E$34,0)),"No")="Yes",AND(Config!$B$10="Yes",ISNUMBER($M245),$M245&lt;0)),$L245,0)))</f>
        <v/>
      </c>
      <c r="Q245" s="52" t="str">
        <f>IF($A245="","",IF(AND($L245&gt;0,ISNUMBER($M245)),IF($M245&lt;=Config!$B$8,1,0),0))</f>
        <v/>
      </c>
      <c r="R245" s="52" t="str">
        <f>IF($Q245=1,COUNTIFS($Q$2:$Q$301,1,$E$2:$E$301,"&lt;"&amp;$E245)+COUNTIFS($Q$2:$Q245,1,$E$2:$E245,$E245),"")</f>
        <v/>
      </c>
      <c r="S245" s="49" t="str">
        <f>IF(COUNTA($A245:$I245)=0,"",IF($A245="","Missing: lot",IF(COUNTIF($A$2:$A$301,$A245)&gt;1,"Duplicate lot",IF($B245="","Missing: SKU",IF(NOT(ISNUMBER($E245)),"Missing: expiry date",IF($G245="","Missing: status",IF(COUNTIF(Products!$A$2:$A$101,$B245)=0,"Unknown SKU",IF(AND($C245&lt;&gt;"",COUNTIF(Suppliers!$A$2:$A$51,$C245)=0),"Unknown supplier",IF(COUNTIF(Config!$E$15:$E$34,$G245)=0,"Unsupported status",IF($L245&lt;0,"Negative lot balance",IF(AND($G245="Closed",$L245&lt;&gt;0),"Closed lot still has stock","OK")))))))))))</f>
        <v/>
      </c>
    </row>
    <row r="246">
      <c r="A246" s="46" t="n"/>
      <c r="B246" s="46" t="n"/>
      <c r="C246" s="46" t="n"/>
      <c r="D246" s="54" t="n"/>
      <c r="E246" s="54" t="n"/>
      <c r="F246" s="48" t="n"/>
      <c r="G246" s="46" t="n"/>
      <c r="H246" s="46" t="n"/>
      <c r="I246" s="46" t="n"/>
      <c r="J246" s="49" t="str">
        <f>IF($A246="","",IFERROR(INDEX(Products!$B$2:$B$101,MATCH($B246,Products!$A$2:$A$101,0))&amp;"","(not found)"))</f>
        <v/>
      </c>
      <c r="K246" s="51" t="str">
        <f>IF($A246="","",SUMIFS(Inventory_Ledger!$M$2:$M$2001,Inventory_Ledger!$F$2:$F$2001,$A246))</f>
        <v/>
      </c>
      <c r="L246" s="51" t="str">
        <f>IF($A246="","",IF(ISNUMBER($F246),$F246,0)+$K246)</f>
        <v/>
      </c>
      <c r="M246" s="56" t="str">
        <f>IF(OR($A246="",NOT(ISNUMBER($E246))),"",$E246-Config!$B$4)</f>
        <v/>
      </c>
      <c r="N246" s="49" t="str">
        <f>IF($M246="","",IF($M246&lt;0,"Expired",IF($M246&lt;=Config!$B$6,"&lt;="&amp;Config!$B$6,IF($M246&lt;=Config!$B$7,(Config!$B$6+1)&amp;"-"&amp;Config!$B$7,IF($M246&lt;=Config!$B$8,(Config!$B$7+1)&amp;"-"&amp;Config!$B$8,"&gt;"&amp;Config!$B$8)))))</f>
        <v/>
      </c>
      <c r="O246" s="52" t="str">
        <f>IF($M246="","",IF($M246&lt;0,0,IF($M246&lt;=Config!$B$6,1,IF($M246&lt;=Config!$B$7,2,IF($M246&lt;=Config!$B$8,3,4)))))</f>
        <v/>
      </c>
      <c r="P246" s="50" t="str">
        <f>IF($A246="","",IF($L246&lt;=0,0,IF(OR(IFERROR(INDEX(Config!$F$15:$F$34,MATCH($G246,Config!$E$15:$E$34,0)),"No")="Yes",AND(Config!$B$10="Yes",ISNUMBER($M246),$M246&lt;0)),$L246,0)))</f>
        <v/>
      </c>
      <c r="Q246" s="52" t="str">
        <f>IF($A246="","",IF(AND($L246&gt;0,ISNUMBER($M246)),IF($M246&lt;=Config!$B$8,1,0),0))</f>
        <v/>
      </c>
      <c r="R246" s="52" t="str">
        <f>IF($Q246=1,COUNTIFS($Q$2:$Q$301,1,$E$2:$E$301,"&lt;"&amp;$E246)+COUNTIFS($Q$2:$Q246,1,$E$2:$E246,$E246),"")</f>
        <v/>
      </c>
      <c r="S246" s="49" t="str">
        <f>IF(COUNTA($A246:$I246)=0,"",IF($A246="","Missing: lot",IF(COUNTIF($A$2:$A$301,$A246)&gt;1,"Duplicate lot",IF($B246="","Missing: SKU",IF(NOT(ISNUMBER($E246)),"Missing: expiry date",IF($G246="","Missing: status",IF(COUNTIF(Products!$A$2:$A$101,$B246)=0,"Unknown SKU",IF(AND($C246&lt;&gt;"",COUNTIF(Suppliers!$A$2:$A$51,$C246)=0),"Unknown supplier",IF(COUNTIF(Config!$E$15:$E$34,$G246)=0,"Unsupported status",IF($L246&lt;0,"Negative lot balance",IF(AND($G246="Closed",$L246&lt;&gt;0),"Closed lot still has stock","OK")))))))))))</f>
        <v/>
      </c>
    </row>
    <row r="247">
      <c r="A247" s="46" t="n"/>
      <c r="B247" s="46" t="n"/>
      <c r="C247" s="46" t="n"/>
      <c r="D247" s="54" t="n"/>
      <c r="E247" s="54" t="n"/>
      <c r="F247" s="48" t="n"/>
      <c r="G247" s="46" t="n"/>
      <c r="H247" s="46" t="n"/>
      <c r="I247" s="46" t="n"/>
      <c r="J247" s="49" t="str">
        <f>IF($A247="","",IFERROR(INDEX(Products!$B$2:$B$101,MATCH($B247,Products!$A$2:$A$101,0))&amp;"","(not found)"))</f>
        <v/>
      </c>
      <c r="K247" s="51" t="str">
        <f>IF($A247="","",SUMIFS(Inventory_Ledger!$M$2:$M$2001,Inventory_Ledger!$F$2:$F$2001,$A247))</f>
        <v/>
      </c>
      <c r="L247" s="51" t="str">
        <f>IF($A247="","",IF(ISNUMBER($F247),$F247,0)+$K247)</f>
        <v/>
      </c>
      <c r="M247" s="56" t="str">
        <f>IF(OR($A247="",NOT(ISNUMBER($E247))),"",$E247-Config!$B$4)</f>
        <v/>
      </c>
      <c r="N247" s="49" t="str">
        <f>IF($M247="","",IF($M247&lt;0,"Expired",IF($M247&lt;=Config!$B$6,"&lt;="&amp;Config!$B$6,IF($M247&lt;=Config!$B$7,(Config!$B$6+1)&amp;"-"&amp;Config!$B$7,IF($M247&lt;=Config!$B$8,(Config!$B$7+1)&amp;"-"&amp;Config!$B$8,"&gt;"&amp;Config!$B$8)))))</f>
        <v/>
      </c>
      <c r="O247" s="52" t="str">
        <f>IF($M247="","",IF($M247&lt;0,0,IF($M247&lt;=Config!$B$6,1,IF($M247&lt;=Config!$B$7,2,IF($M247&lt;=Config!$B$8,3,4)))))</f>
        <v/>
      </c>
      <c r="P247" s="50" t="str">
        <f>IF($A247="","",IF($L247&lt;=0,0,IF(OR(IFERROR(INDEX(Config!$F$15:$F$34,MATCH($G247,Config!$E$15:$E$34,0)),"No")="Yes",AND(Config!$B$10="Yes",ISNUMBER($M247),$M247&lt;0)),$L247,0)))</f>
        <v/>
      </c>
      <c r="Q247" s="52" t="str">
        <f>IF($A247="","",IF(AND($L247&gt;0,ISNUMBER($M247)),IF($M247&lt;=Config!$B$8,1,0),0))</f>
        <v/>
      </c>
      <c r="R247" s="52" t="str">
        <f>IF($Q247=1,COUNTIFS($Q$2:$Q$301,1,$E$2:$E$301,"&lt;"&amp;$E247)+COUNTIFS($Q$2:$Q247,1,$E$2:$E247,$E247),"")</f>
        <v/>
      </c>
      <c r="S247" s="49" t="str">
        <f>IF(COUNTA($A247:$I247)=0,"",IF($A247="","Missing: lot",IF(COUNTIF($A$2:$A$301,$A247)&gt;1,"Duplicate lot",IF($B247="","Missing: SKU",IF(NOT(ISNUMBER($E247)),"Missing: expiry date",IF($G247="","Missing: status",IF(COUNTIF(Products!$A$2:$A$101,$B247)=0,"Unknown SKU",IF(AND($C247&lt;&gt;"",COUNTIF(Suppliers!$A$2:$A$51,$C247)=0),"Unknown supplier",IF(COUNTIF(Config!$E$15:$E$34,$G247)=0,"Unsupported status",IF($L247&lt;0,"Negative lot balance",IF(AND($G247="Closed",$L247&lt;&gt;0),"Closed lot still has stock","OK")))))))))))</f>
        <v/>
      </c>
    </row>
    <row r="248">
      <c r="A248" s="46" t="n"/>
      <c r="B248" s="46" t="n"/>
      <c r="C248" s="46" t="n"/>
      <c r="D248" s="54" t="n"/>
      <c r="E248" s="54" t="n"/>
      <c r="F248" s="48" t="n"/>
      <c r="G248" s="46" t="n"/>
      <c r="H248" s="46" t="n"/>
      <c r="I248" s="46" t="n"/>
      <c r="J248" s="49" t="str">
        <f>IF($A248="","",IFERROR(INDEX(Products!$B$2:$B$101,MATCH($B248,Products!$A$2:$A$101,0))&amp;"","(not found)"))</f>
        <v/>
      </c>
      <c r="K248" s="51" t="str">
        <f>IF($A248="","",SUMIFS(Inventory_Ledger!$M$2:$M$2001,Inventory_Ledger!$F$2:$F$2001,$A248))</f>
        <v/>
      </c>
      <c r="L248" s="51" t="str">
        <f>IF($A248="","",IF(ISNUMBER($F248),$F248,0)+$K248)</f>
        <v/>
      </c>
      <c r="M248" s="56" t="str">
        <f>IF(OR($A248="",NOT(ISNUMBER($E248))),"",$E248-Config!$B$4)</f>
        <v/>
      </c>
      <c r="N248" s="49" t="str">
        <f>IF($M248="","",IF($M248&lt;0,"Expired",IF($M248&lt;=Config!$B$6,"&lt;="&amp;Config!$B$6,IF($M248&lt;=Config!$B$7,(Config!$B$6+1)&amp;"-"&amp;Config!$B$7,IF($M248&lt;=Config!$B$8,(Config!$B$7+1)&amp;"-"&amp;Config!$B$8,"&gt;"&amp;Config!$B$8)))))</f>
        <v/>
      </c>
      <c r="O248" s="52" t="str">
        <f>IF($M248="","",IF($M248&lt;0,0,IF($M248&lt;=Config!$B$6,1,IF($M248&lt;=Config!$B$7,2,IF($M248&lt;=Config!$B$8,3,4)))))</f>
        <v/>
      </c>
      <c r="P248" s="50" t="str">
        <f>IF($A248="","",IF($L248&lt;=0,0,IF(OR(IFERROR(INDEX(Config!$F$15:$F$34,MATCH($G248,Config!$E$15:$E$34,0)),"No")="Yes",AND(Config!$B$10="Yes",ISNUMBER($M248),$M248&lt;0)),$L248,0)))</f>
        <v/>
      </c>
      <c r="Q248" s="52" t="str">
        <f>IF($A248="","",IF(AND($L248&gt;0,ISNUMBER($M248)),IF($M248&lt;=Config!$B$8,1,0),0))</f>
        <v/>
      </c>
      <c r="R248" s="52" t="str">
        <f>IF($Q248=1,COUNTIFS($Q$2:$Q$301,1,$E$2:$E$301,"&lt;"&amp;$E248)+COUNTIFS($Q$2:$Q248,1,$E$2:$E248,$E248),"")</f>
        <v/>
      </c>
      <c r="S248" s="49" t="str">
        <f>IF(COUNTA($A248:$I248)=0,"",IF($A248="","Missing: lot",IF(COUNTIF($A$2:$A$301,$A248)&gt;1,"Duplicate lot",IF($B248="","Missing: SKU",IF(NOT(ISNUMBER($E248)),"Missing: expiry date",IF($G248="","Missing: status",IF(COUNTIF(Products!$A$2:$A$101,$B248)=0,"Unknown SKU",IF(AND($C248&lt;&gt;"",COUNTIF(Suppliers!$A$2:$A$51,$C248)=0),"Unknown supplier",IF(COUNTIF(Config!$E$15:$E$34,$G248)=0,"Unsupported status",IF($L248&lt;0,"Negative lot balance",IF(AND($G248="Closed",$L248&lt;&gt;0),"Closed lot still has stock","OK")))))))))))</f>
        <v/>
      </c>
    </row>
    <row r="249">
      <c r="A249" s="46" t="n"/>
      <c r="B249" s="46" t="n"/>
      <c r="C249" s="46" t="n"/>
      <c r="D249" s="54" t="n"/>
      <c r="E249" s="54" t="n"/>
      <c r="F249" s="48" t="n"/>
      <c r="G249" s="46" t="n"/>
      <c r="H249" s="46" t="n"/>
      <c r="I249" s="46" t="n"/>
      <c r="J249" s="49" t="str">
        <f>IF($A249="","",IFERROR(INDEX(Products!$B$2:$B$101,MATCH($B249,Products!$A$2:$A$101,0))&amp;"","(not found)"))</f>
        <v/>
      </c>
      <c r="K249" s="51" t="str">
        <f>IF($A249="","",SUMIFS(Inventory_Ledger!$M$2:$M$2001,Inventory_Ledger!$F$2:$F$2001,$A249))</f>
        <v/>
      </c>
      <c r="L249" s="51" t="str">
        <f>IF($A249="","",IF(ISNUMBER($F249),$F249,0)+$K249)</f>
        <v/>
      </c>
      <c r="M249" s="56" t="str">
        <f>IF(OR($A249="",NOT(ISNUMBER($E249))),"",$E249-Config!$B$4)</f>
        <v/>
      </c>
      <c r="N249" s="49" t="str">
        <f>IF($M249="","",IF($M249&lt;0,"Expired",IF($M249&lt;=Config!$B$6,"&lt;="&amp;Config!$B$6,IF($M249&lt;=Config!$B$7,(Config!$B$6+1)&amp;"-"&amp;Config!$B$7,IF($M249&lt;=Config!$B$8,(Config!$B$7+1)&amp;"-"&amp;Config!$B$8,"&gt;"&amp;Config!$B$8)))))</f>
        <v/>
      </c>
      <c r="O249" s="52" t="str">
        <f>IF($M249="","",IF($M249&lt;0,0,IF($M249&lt;=Config!$B$6,1,IF($M249&lt;=Config!$B$7,2,IF($M249&lt;=Config!$B$8,3,4)))))</f>
        <v/>
      </c>
      <c r="P249" s="50" t="str">
        <f>IF($A249="","",IF($L249&lt;=0,0,IF(OR(IFERROR(INDEX(Config!$F$15:$F$34,MATCH($G249,Config!$E$15:$E$34,0)),"No")="Yes",AND(Config!$B$10="Yes",ISNUMBER($M249),$M249&lt;0)),$L249,0)))</f>
        <v/>
      </c>
      <c r="Q249" s="52" t="str">
        <f>IF($A249="","",IF(AND($L249&gt;0,ISNUMBER($M249)),IF($M249&lt;=Config!$B$8,1,0),0))</f>
        <v/>
      </c>
      <c r="R249" s="52" t="str">
        <f>IF($Q249=1,COUNTIFS($Q$2:$Q$301,1,$E$2:$E$301,"&lt;"&amp;$E249)+COUNTIFS($Q$2:$Q249,1,$E$2:$E249,$E249),"")</f>
        <v/>
      </c>
      <c r="S249" s="49" t="str">
        <f>IF(COUNTA($A249:$I249)=0,"",IF($A249="","Missing: lot",IF(COUNTIF($A$2:$A$301,$A249)&gt;1,"Duplicate lot",IF($B249="","Missing: SKU",IF(NOT(ISNUMBER($E249)),"Missing: expiry date",IF($G249="","Missing: status",IF(COUNTIF(Products!$A$2:$A$101,$B249)=0,"Unknown SKU",IF(AND($C249&lt;&gt;"",COUNTIF(Suppliers!$A$2:$A$51,$C249)=0),"Unknown supplier",IF(COUNTIF(Config!$E$15:$E$34,$G249)=0,"Unsupported status",IF($L249&lt;0,"Negative lot balance",IF(AND($G249="Closed",$L249&lt;&gt;0),"Closed lot still has stock","OK")))))))))))</f>
        <v/>
      </c>
    </row>
    <row r="250">
      <c r="A250" s="46" t="n"/>
      <c r="B250" s="46" t="n"/>
      <c r="C250" s="46" t="n"/>
      <c r="D250" s="54" t="n"/>
      <c r="E250" s="54" t="n"/>
      <c r="F250" s="48" t="n"/>
      <c r="G250" s="46" t="n"/>
      <c r="H250" s="46" t="n"/>
      <c r="I250" s="46" t="n"/>
      <c r="J250" s="49" t="str">
        <f>IF($A250="","",IFERROR(INDEX(Products!$B$2:$B$101,MATCH($B250,Products!$A$2:$A$101,0))&amp;"","(not found)"))</f>
        <v/>
      </c>
      <c r="K250" s="51" t="str">
        <f>IF($A250="","",SUMIFS(Inventory_Ledger!$M$2:$M$2001,Inventory_Ledger!$F$2:$F$2001,$A250))</f>
        <v/>
      </c>
      <c r="L250" s="51" t="str">
        <f>IF($A250="","",IF(ISNUMBER($F250),$F250,0)+$K250)</f>
        <v/>
      </c>
      <c r="M250" s="56" t="str">
        <f>IF(OR($A250="",NOT(ISNUMBER($E250))),"",$E250-Config!$B$4)</f>
        <v/>
      </c>
      <c r="N250" s="49" t="str">
        <f>IF($M250="","",IF($M250&lt;0,"Expired",IF($M250&lt;=Config!$B$6,"&lt;="&amp;Config!$B$6,IF($M250&lt;=Config!$B$7,(Config!$B$6+1)&amp;"-"&amp;Config!$B$7,IF($M250&lt;=Config!$B$8,(Config!$B$7+1)&amp;"-"&amp;Config!$B$8,"&gt;"&amp;Config!$B$8)))))</f>
        <v/>
      </c>
      <c r="O250" s="52" t="str">
        <f>IF($M250="","",IF($M250&lt;0,0,IF($M250&lt;=Config!$B$6,1,IF($M250&lt;=Config!$B$7,2,IF($M250&lt;=Config!$B$8,3,4)))))</f>
        <v/>
      </c>
      <c r="P250" s="50" t="str">
        <f>IF($A250="","",IF($L250&lt;=0,0,IF(OR(IFERROR(INDEX(Config!$F$15:$F$34,MATCH($G250,Config!$E$15:$E$34,0)),"No")="Yes",AND(Config!$B$10="Yes",ISNUMBER($M250),$M250&lt;0)),$L250,0)))</f>
        <v/>
      </c>
      <c r="Q250" s="52" t="str">
        <f>IF($A250="","",IF(AND($L250&gt;0,ISNUMBER($M250)),IF($M250&lt;=Config!$B$8,1,0),0))</f>
        <v/>
      </c>
      <c r="R250" s="52" t="str">
        <f>IF($Q250=1,COUNTIFS($Q$2:$Q$301,1,$E$2:$E$301,"&lt;"&amp;$E250)+COUNTIFS($Q$2:$Q250,1,$E$2:$E250,$E250),"")</f>
        <v/>
      </c>
      <c r="S250" s="49" t="str">
        <f>IF(COUNTA($A250:$I250)=0,"",IF($A250="","Missing: lot",IF(COUNTIF($A$2:$A$301,$A250)&gt;1,"Duplicate lot",IF($B250="","Missing: SKU",IF(NOT(ISNUMBER($E250)),"Missing: expiry date",IF($G250="","Missing: status",IF(COUNTIF(Products!$A$2:$A$101,$B250)=0,"Unknown SKU",IF(AND($C250&lt;&gt;"",COUNTIF(Suppliers!$A$2:$A$51,$C250)=0),"Unknown supplier",IF(COUNTIF(Config!$E$15:$E$34,$G250)=0,"Unsupported status",IF($L250&lt;0,"Negative lot balance",IF(AND($G250="Closed",$L250&lt;&gt;0),"Closed lot still has stock","OK")))))))))))</f>
        <v/>
      </c>
    </row>
    <row r="251">
      <c r="A251" s="46" t="n"/>
      <c r="B251" s="46" t="n"/>
      <c r="C251" s="46" t="n"/>
      <c r="D251" s="54" t="n"/>
      <c r="E251" s="54" t="n"/>
      <c r="F251" s="48" t="n"/>
      <c r="G251" s="46" t="n"/>
      <c r="H251" s="46" t="n"/>
      <c r="I251" s="46" t="n"/>
      <c r="J251" s="49" t="str">
        <f>IF($A251="","",IFERROR(INDEX(Products!$B$2:$B$101,MATCH($B251,Products!$A$2:$A$101,0))&amp;"","(not found)"))</f>
        <v/>
      </c>
      <c r="K251" s="51" t="str">
        <f>IF($A251="","",SUMIFS(Inventory_Ledger!$M$2:$M$2001,Inventory_Ledger!$F$2:$F$2001,$A251))</f>
        <v/>
      </c>
      <c r="L251" s="51" t="str">
        <f>IF($A251="","",IF(ISNUMBER($F251),$F251,0)+$K251)</f>
        <v/>
      </c>
      <c r="M251" s="56" t="str">
        <f>IF(OR($A251="",NOT(ISNUMBER($E251))),"",$E251-Config!$B$4)</f>
        <v/>
      </c>
      <c r="N251" s="49" t="str">
        <f>IF($M251="","",IF($M251&lt;0,"Expired",IF($M251&lt;=Config!$B$6,"&lt;="&amp;Config!$B$6,IF($M251&lt;=Config!$B$7,(Config!$B$6+1)&amp;"-"&amp;Config!$B$7,IF($M251&lt;=Config!$B$8,(Config!$B$7+1)&amp;"-"&amp;Config!$B$8,"&gt;"&amp;Config!$B$8)))))</f>
        <v/>
      </c>
      <c r="O251" s="52" t="str">
        <f>IF($M251="","",IF($M251&lt;0,0,IF($M251&lt;=Config!$B$6,1,IF($M251&lt;=Config!$B$7,2,IF($M251&lt;=Config!$B$8,3,4)))))</f>
        <v/>
      </c>
      <c r="P251" s="50" t="str">
        <f>IF($A251="","",IF($L251&lt;=0,0,IF(OR(IFERROR(INDEX(Config!$F$15:$F$34,MATCH($G251,Config!$E$15:$E$34,0)),"No")="Yes",AND(Config!$B$10="Yes",ISNUMBER($M251),$M251&lt;0)),$L251,0)))</f>
        <v/>
      </c>
      <c r="Q251" s="52" t="str">
        <f>IF($A251="","",IF(AND($L251&gt;0,ISNUMBER($M251)),IF($M251&lt;=Config!$B$8,1,0),0))</f>
        <v/>
      </c>
      <c r="R251" s="52" t="str">
        <f>IF($Q251=1,COUNTIFS($Q$2:$Q$301,1,$E$2:$E$301,"&lt;"&amp;$E251)+COUNTIFS($Q$2:$Q251,1,$E$2:$E251,$E251),"")</f>
        <v/>
      </c>
      <c r="S251" s="49" t="str">
        <f>IF(COUNTA($A251:$I251)=0,"",IF($A251="","Missing: lot",IF(COUNTIF($A$2:$A$301,$A251)&gt;1,"Duplicate lot",IF($B251="","Missing: SKU",IF(NOT(ISNUMBER($E251)),"Missing: expiry date",IF($G251="","Missing: status",IF(COUNTIF(Products!$A$2:$A$101,$B251)=0,"Unknown SKU",IF(AND($C251&lt;&gt;"",COUNTIF(Suppliers!$A$2:$A$51,$C251)=0),"Unknown supplier",IF(COUNTIF(Config!$E$15:$E$34,$G251)=0,"Unsupported status",IF($L251&lt;0,"Negative lot balance",IF(AND($G251="Closed",$L251&lt;&gt;0),"Closed lot still has stock","OK")))))))))))</f>
        <v/>
      </c>
    </row>
    <row r="252">
      <c r="A252" s="46" t="n"/>
      <c r="B252" s="46" t="n"/>
      <c r="C252" s="46" t="n"/>
      <c r="D252" s="54" t="n"/>
      <c r="E252" s="54" t="n"/>
      <c r="F252" s="48" t="n"/>
      <c r="G252" s="46" t="n"/>
      <c r="H252" s="46" t="n"/>
      <c r="I252" s="46" t="n"/>
      <c r="J252" s="49" t="str">
        <f>IF($A252="","",IFERROR(INDEX(Products!$B$2:$B$101,MATCH($B252,Products!$A$2:$A$101,0))&amp;"","(not found)"))</f>
        <v/>
      </c>
      <c r="K252" s="51" t="str">
        <f>IF($A252="","",SUMIFS(Inventory_Ledger!$M$2:$M$2001,Inventory_Ledger!$F$2:$F$2001,$A252))</f>
        <v/>
      </c>
      <c r="L252" s="51" t="str">
        <f>IF($A252="","",IF(ISNUMBER($F252),$F252,0)+$K252)</f>
        <v/>
      </c>
      <c r="M252" s="56" t="str">
        <f>IF(OR($A252="",NOT(ISNUMBER($E252))),"",$E252-Config!$B$4)</f>
        <v/>
      </c>
      <c r="N252" s="49" t="str">
        <f>IF($M252="","",IF($M252&lt;0,"Expired",IF($M252&lt;=Config!$B$6,"&lt;="&amp;Config!$B$6,IF($M252&lt;=Config!$B$7,(Config!$B$6+1)&amp;"-"&amp;Config!$B$7,IF($M252&lt;=Config!$B$8,(Config!$B$7+1)&amp;"-"&amp;Config!$B$8,"&gt;"&amp;Config!$B$8)))))</f>
        <v/>
      </c>
      <c r="O252" s="52" t="str">
        <f>IF($M252="","",IF($M252&lt;0,0,IF($M252&lt;=Config!$B$6,1,IF($M252&lt;=Config!$B$7,2,IF($M252&lt;=Config!$B$8,3,4)))))</f>
        <v/>
      </c>
      <c r="P252" s="50" t="str">
        <f>IF($A252="","",IF($L252&lt;=0,0,IF(OR(IFERROR(INDEX(Config!$F$15:$F$34,MATCH($G252,Config!$E$15:$E$34,0)),"No")="Yes",AND(Config!$B$10="Yes",ISNUMBER($M252),$M252&lt;0)),$L252,0)))</f>
        <v/>
      </c>
      <c r="Q252" s="52" t="str">
        <f>IF($A252="","",IF(AND($L252&gt;0,ISNUMBER($M252)),IF($M252&lt;=Config!$B$8,1,0),0))</f>
        <v/>
      </c>
      <c r="R252" s="52" t="str">
        <f>IF($Q252=1,COUNTIFS($Q$2:$Q$301,1,$E$2:$E$301,"&lt;"&amp;$E252)+COUNTIFS($Q$2:$Q252,1,$E$2:$E252,$E252),"")</f>
        <v/>
      </c>
      <c r="S252" s="49" t="str">
        <f>IF(COUNTA($A252:$I252)=0,"",IF($A252="","Missing: lot",IF(COUNTIF($A$2:$A$301,$A252)&gt;1,"Duplicate lot",IF($B252="","Missing: SKU",IF(NOT(ISNUMBER($E252)),"Missing: expiry date",IF($G252="","Missing: status",IF(COUNTIF(Products!$A$2:$A$101,$B252)=0,"Unknown SKU",IF(AND($C252&lt;&gt;"",COUNTIF(Suppliers!$A$2:$A$51,$C252)=0),"Unknown supplier",IF(COUNTIF(Config!$E$15:$E$34,$G252)=0,"Unsupported status",IF($L252&lt;0,"Negative lot balance",IF(AND($G252="Closed",$L252&lt;&gt;0),"Closed lot still has stock","OK")))))))))))</f>
        <v/>
      </c>
    </row>
    <row r="253">
      <c r="A253" s="46" t="n"/>
      <c r="B253" s="46" t="n"/>
      <c r="C253" s="46" t="n"/>
      <c r="D253" s="54" t="n"/>
      <c r="E253" s="54" t="n"/>
      <c r="F253" s="48" t="n"/>
      <c r="G253" s="46" t="n"/>
      <c r="H253" s="46" t="n"/>
      <c r="I253" s="46" t="n"/>
      <c r="J253" s="49" t="str">
        <f>IF($A253="","",IFERROR(INDEX(Products!$B$2:$B$101,MATCH($B253,Products!$A$2:$A$101,0))&amp;"","(not found)"))</f>
        <v/>
      </c>
      <c r="K253" s="51" t="str">
        <f>IF($A253="","",SUMIFS(Inventory_Ledger!$M$2:$M$2001,Inventory_Ledger!$F$2:$F$2001,$A253))</f>
        <v/>
      </c>
      <c r="L253" s="51" t="str">
        <f>IF($A253="","",IF(ISNUMBER($F253),$F253,0)+$K253)</f>
        <v/>
      </c>
      <c r="M253" s="56" t="str">
        <f>IF(OR($A253="",NOT(ISNUMBER($E253))),"",$E253-Config!$B$4)</f>
        <v/>
      </c>
      <c r="N253" s="49" t="str">
        <f>IF($M253="","",IF($M253&lt;0,"Expired",IF($M253&lt;=Config!$B$6,"&lt;="&amp;Config!$B$6,IF($M253&lt;=Config!$B$7,(Config!$B$6+1)&amp;"-"&amp;Config!$B$7,IF($M253&lt;=Config!$B$8,(Config!$B$7+1)&amp;"-"&amp;Config!$B$8,"&gt;"&amp;Config!$B$8)))))</f>
        <v/>
      </c>
      <c r="O253" s="52" t="str">
        <f>IF($M253="","",IF($M253&lt;0,0,IF($M253&lt;=Config!$B$6,1,IF($M253&lt;=Config!$B$7,2,IF($M253&lt;=Config!$B$8,3,4)))))</f>
        <v/>
      </c>
      <c r="P253" s="50" t="str">
        <f>IF($A253="","",IF($L253&lt;=0,0,IF(OR(IFERROR(INDEX(Config!$F$15:$F$34,MATCH($G253,Config!$E$15:$E$34,0)),"No")="Yes",AND(Config!$B$10="Yes",ISNUMBER($M253),$M253&lt;0)),$L253,0)))</f>
        <v/>
      </c>
      <c r="Q253" s="52" t="str">
        <f>IF($A253="","",IF(AND($L253&gt;0,ISNUMBER($M253)),IF($M253&lt;=Config!$B$8,1,0),0))</f>
        <v/>
      </c>
      <c r="R253" s="52" t="str">
        <f>IF($Q253=1,COUNTIFS($Q$2:$Q$301,1,$E$2:$E$301,"&lt;"&amp;$E253)+COUNTIFS($Q$2:$Q253,1,$E$2:$E253,$E253),"")</f>
        <v/>
      </c>
      <c r="S253" s="49" t="str">
        <f>IF(COUNTA($A253:$I253)=0,"",IF($A253="","Missing: lot",IF(COUNTIF($A$2:$A$301,$A253)&gt;1,"Duplicate lot",IF($B253="","Missing: SKU",IF(NOT(ISNUMBER($E253)),"Missing: expiry date",IF($G253="","Missing: status",IF(COUNTIF(Products!$A$2:$A$101,$B253)=0,"Unknown SKU",IF(AND($C253&lt;&gt;"",COUNTIF(Suppliers!$A$2:$A$51,$C253)=0),"Unknown supplier",IF(COUNTIF(Config!$E$15:$E$34,$G253)=0,"Unsupported status",IF($L253&lt;0,"Negative lot balance",IF(AND($G253="Closed",$L253&lt;&gt;0),"Closed lot still has stock","OK")))))))))))</f>
        <v/>
      </c>
    </row>
    <row r="254">
      <c r="A254" s="46" t="n"/>
      <c r="B254" s="46" t="n"/>
      <c r="C254" s="46" t="n"/>
      <c r="D254" s="54" t="n"/>
      <c r="E254" s="54" t="n"/>
      <c r="F254" s="48" t="n"/>
      <c r="G254" s="46" t="n"/>
      <c r="H254" s="46" t="n"/>
      <c r="I254" s="46" t="n"/>
      <c r="J254" s="49" t="str">
        <f>IF($A254="","",IFERROR(INDEX(Products!$B$2:$B$101,MATCH($B254,Products!$A$2:$A$101,0))&amp;"","(not found)"))</f>
        <v/>
      </c>
      <c r="K254" s="51" t="str">
        <f>IF($A254="","",SUMIFS(Inventory_Ledger!$M$2:$M$2001,Inventory_Ledger!$F$2:$F$2001,$A254))</f>
        <v/>
      </c>
      <c r="L254" s="51" t="str">
        <f>IF($A254="","",IF(ISNUMBER($F254),$F254,0)+$K254)</f>
        <v/>
      </c>
      <c r="M254" s="56" t="str">
        <f>IF(OR($A254="",NOT(ISNUMBER($E254))),"",$E254-Config!$B$4)</f>
        <v/>
      </c>
      <c r="N254" s="49" t="str">
        <f>IF($M254="","",IF($M254&lt;0,"Expired",IF($M254&lt;=Config!$B$6,"&lt;="&amp;Config!$B$6,IF($M254&lt;=Config!$B$7,(Config!$B$6+1)&amp;"-"&amp;Config!$B$7,IF($M254&lt;=Config!$B$8,(Config!$B$7+1)&amp;"-"&amp;Config!$B$8,"&gt;"&amp;Config!$B$8)))))</f>
        <v/>
      </c>
      <c r="O254" s="52" t="str">
        <f>IF($M254="","",IF($M254&lt;0,0,IF($M254&lt;=Config!$B$6,1,IF($M254&lt;=Config!$B$7,2,IF($M254&lt;=Config!$B$8,3,4)))))</f>
        <v/>
      </c>
      <c r="P254" s="50" t="str">
        <f>IF($A254="","",IF($L254&lt;=0,0,IF(OR(IFERROR(INDEX(Config!$F$15:$F$34,MATCH($G254,Config!$E$15:$E$34,0)),"No")="Yes",AND(Config!$B$10="Yes",ISNUMBER($M254),$M254&lt;0)),$L254,0)))</f>
        <v/>
      </c>
      <c r="Q254" s="52" t="str">
        <f>IF($A254="","",IF(AND($L254&gt;0,ISNUMBER($M254)),IF($M254&lt;=Config!$B$8,1,0),0))</f>
        <v/>
      </c>
      <c r="R254" s="52" t="str">
        <f>IF($Q254=1,COUNTIFS($Q$2:$Q$301,1,$E$2:$E$301,"&lt;"&amp;$E254)+COUNTIFS($Q$2:$Q254,1,$E$2:$E254,$E254),"")</f>
        <v/>
      </c>
      <c r="S254" s="49" t="str">
        <f>IF(COUNTA($A254:$I254)=0,"",IF($A254="","Missing: lot",IF(COUNTIF($A$2:$A$301,$A254)&gt;1,"Duplicate lot",IF($B254="","Missing: SKU",IF(NOT(ISNUMBER($E254)),"Missing: expiry date",IF($G254="","Missing: status",IF(COUNTIF(Products!$A$2:$A$101,$B254)=0,"Unknown SKU",IF(AND($C254&lt;&gt;"",COUNTIF(Suppliers!$A$2:$A$51,$C254)=0),"Unknown supplier",IF(COUNTIF(Config!$E$15:$E$34,$G254)=0,"Unsupported status",IF($L254&lt;0,"Negative lot balance",IF(AND($G254="Closed",$L254&lt;&gt;0),"Closed lot still has stock","OK")))))))))))</f>
        <v/>
      </c>
    </row>
    <row r="255">
      <c r="A255" s="46" t="n"/>
      <c r="B255" s="46" t="n"/>
      <c r="C255" s="46" t="n"/>
      <c r="D255" s="54" t="n"/>
      <c r="E255" s="54" t="n"/>
      <c r="F255" s="48" t="n"/>
      <c r="G255" s="46" t="n"/>
      <c r="H255" s="46" t="n"/>
      <c r="I255" s="46" t="n"/>
      <c r="J255" s="49" t="str">
        <f>IF($A255="","",IFERROR(INDEX(Products!$B$2:$B$101,MATCH($B255,Products!$A$2:$A$101,0))&amp;"","(not found)"))</f>
        <v/>
      </c>
      <c r="K255" s="51" t="str">
        <f>IF($A255="","",SUMIFS(Inventory_Ledger!$M$2:$M$2001,Inventory_Ledger!$F$2:$F$2001,$A255))</f>
        <v/>
      </c>
      <c r="L255" s="51" t="str">
        <f>IF($A255="","",IF(ISNUMBER($F255),$F255,0)+$K255)</f>
        <v/>
      </c>
      <c r="M255" s="56" t="str">
        <f>IF(OR($A255="",NOT(ISNUMBER($E255))),"",$E255-Config!$B$4)</f>
        <v/>
      </c>
      <c r="N255" s="49" t="str">
        <f>IF($M255="","",IF($M255&lt;0,"Expired",IF($M255&lt;=Config!$B$6,"&lt;="&amp;Config!$B$6,IF($M255&lt;=Config!$B$7,(Config!$B$6+1)&amp;"-"&amp;Config!$B$7,IF($M255&lt;=Config!$B$8,(Config!$B$7+1)&amp;"-"&amp;Config!$B$8,"&gt;"&amp;Config!$B$8)))))</f>
        <v/>
      </c>
      <c r="O255" s="52" t="str">
        <f>IF($M255="","",IF($M255&lt;0,0,IF($M255&lt;=Config!$B$6,1,IF($M255&lt;=Config!$B$7,2,IF($M255&lt;=Config!$B$8,3,4)))))</f>
        <v/>
      </c>
      <c r="P255" s="50" t="str">
        <f>IF($A255="","",IF($L255&lt;=0,0,IF(OR(IFERROR(INDEX(Config!$F$15:$F$34,MATCH($G255,Config!$E$15:$E$34,0)),"No")="Yes",AND(Config!$B$10="Yes",ISNUMBER($M255),$M255&lt;0)),$L255,0)))</f>
        <v/>
      </c>
      <c r="Q255" s="52" t="str">
        <f>IF($A255="","",IF(AND($L255&gt;0,ISNUMBER($M255)),IF($M255&lt;=Config!$B$8,1,0),0))</f>
        <v/>
      </c>
      <c r="R255" s="52" t="str">
        <f>IF($Q255=1,COUNTIFS($Q$2:$Q$301,1,$E$2:$E$301,"&lt;"&amp;$E255)+COUNTIFS($Q$2:$Q255,1,$E$2:$E255,$E255),"")</f>
        <v/>
      </c>
      <c r="S255" s="49" t="str">
        <f>IF(COUNTA($A255:$I255)=0,"",IF($A255="","Missing: lot",IF(COUNTIF($A$2:$A$301,$A255)&gt;1,"Duplicate lot",IF($B255="","Missing: SKU",IF(NOT(ISNUMBER($E255)),"Missing: expiry date",IF($G255="","Missing: status",IF(COUNTIF(Products!$A$2:$A$101,$B255)=0,"Unknown SKU",IF(AND($C255&lt;&gt;"",COUNTIF(Suppliers!$A$2:$A$51,$C255)=0),"Unknown supplier",IF(COUNTIF(Config!$E$15:$E$34,$G255)=0,"Unsupported status",IF($L255&lt;0,"Negative lot balance",IF(AND($G255="Closed",$L255&lt;&gt;0),"Closed lot still has stock","OK")))))))))))</f>
        <v/>
      </c>
    </row>
    <row r="256">
      <c r="A256" s="46" t="n"/>
      <c r="B256" s="46" t="n"/>
      <c r="C256" s="46" t="n"/>
      <c r="D256" s="54" t="n"/>
      <c r="E256" s="54" t="n"/>
      <c r="F256" s="48" t="n"/>
      <c r="G256" s="46" t="n"/>
      <c r="H256" s="46" t="n"/>
      <c r="I256" s="46" t="n"/>
      <c r="J256" s="49" t="str">
        <f>IF($A256="","",IFERROR(INDEX(Products!$B$2:$B$101,MATCH($B256,Products!$A$2:$A$101,0))&amp;"","(not found)"))</f>
        <v/>
      </c>
      <c r="K256" s="51" t="str">
        <f>IF($A256="","",SUMIFS(Inventory_Ledger!$M$2:$M$2001,Inventory_Ledger!$F$2:$F$2001,$A256))</f>
        <v/>
      </c>
      <c r="L256" s="51" t="str">
        <f>IF($A256="","",IF(ISNUMBER($F256),$F256,0)+$K256)</f>
        <v/>
      </c>
      <c r="M256" s="56" t="str">
        <f>IF(OR($A256="",NOT(ISNUMBER($E256))),"",$E256-Config!$B$4)</f>
        <v/>
      </c>
      <c r="N256" s="49" t="str">
        <f>IF($M256="","",IF($M256&lt;0,"Expired",IF($M256&lt;=Config!$B$6,"&lt;="&amp;Config!$B$6,IF($M256&lt;=Config!$B$7,(Config!$B$6+1)&amp;"-"&amp;Config!$B$7,IF($M256&lt;=Config!$B$8,(Config!$B$7+1)&amp;"-"&amp;Config!$B$8,"&gt;"&amp;Config!$B$8)))))</f>
        <v/>
      </c>
      <c r="O256" s="52" t="str">
        <f>IF($M256="","",IF($M256&lt;0,0,IF($M256&lt;=Config!$B$6,1,IF($M256&lt;=Config!$B$7,2,IF($M256&lt;=Config!$B$8,3,4)))))</f>
        <v/>
      </c>
      <c r="P256" s="50" t="str">
        <f>IF($A256="","",IF($L256&lt;=0,0,IF(OR(IFERROR(INDEX(Config!$F$15:$F$34,MATCH($G256,Config!$E$15:$E$34,0)),"No")="Yes",AND(Config!$B$10="Yes",ISNUMBER($M256),$M256&lt;0)),$L256,0)))</f>
        <v/>
      </c>
      <c r="Q256" s="52" t="str">
        <f>IF($A256="","",IF(AND($L256&gt;0,ISNUMBER($M256)),IF($M256&lt;=Config!$B$8,1,0),0))</f>
        <v/>
      </c>
      <c r="R256" s="52" t="str">
        <f>IF($Q256=1,COUNTIFS($Q$2:$Q$301,1,$E$2:$E$301,"&lt;"&amp;$E256)+COUNTIFS($Q$2:$Q256,1,$E$2:$E256,$E256),"")</f>
        <v/>
      </c>
      <c r="S256" s="49" t="str">
        <f>IF(COUNTA($A256:$I256)=0,"",IF($A256="","Missing: lot",IF(COUNTIF($A$2:$A$301,$A256)&gt;1,"Duplicate lot",IF($B256="","Missing: SKU",IF(NOT(ISNUMBER($E256)),"Missing: expiry date",IF($G256="","Missing: status",IF(COUNTIF(Products!$A$2:$A$101,$B256)=0,"Unknown SKU",IF(AND($C256&lt;&gt;"",COUNTIF(Suppliers!$A$2:$A$51,$C256)=0),"Unknown supplier",IF(COUNTIF(Config!$E$15:$E$34,$G256)=0,"Unsupported status",IF($L256&lt;0,"Negative lot balance",IF(AND($G256="Closed",$L256&lt;&gt;0),"Closed lot still has stock","OK")))))))))))</f>
        <v/>
      </c>
    </row>
    <row r="257">
      <c r="A257" s="46" t="n"/>
      <c r="B257" s="46" t="n"/>
      <c r="C257" s="46" t="n"/>
      <c r="D257" s="54" t="n"/>
      <c r="E257" s="54" t="n"/>
      <c r="F257" s="48" t="n"/>
      <c r="G257" s="46" t="n"/>
      <c r="H257" s="46" t="n"/>
      <c r="I257" s="46" t="n"/>
      <c r="J257" s="49" t="str">
        <f>IF($A257="","",IFERROR(INDEX(Products!$B$2:$B$101,MATCH($B257,Products!$A$2:$A$101,0))&amp;"","(not found)"))</f>
        <v/>
      </c>
      <c r="K257" s="51" t="str">
        <f>IF($A257="","",SUMIFS(Inventory_Ledger!$M$2:$M$2001,Inventory_Ledger!$F$2:$F$2001,$A257))</f>
        <v/>
      </c>
      <c r="L257" s="51" t="str">
        <f>IF($A257="","",IF(ISNUMBER($F257),$F257,0)+$K257)</f>
        <v/>
      </c>
      <c r="M257" s="56" t="str">
        <f>IF(OR($A257="",NOT(ISNUMBER($E257))),"",$E257-Config!$B$4)</f>
        <v/>
      </c>
      <c r="N257" s="49" t="str">
        <f>IF($M257="","",IF($M257&lt;0,"Expired",IF($M257&lt;=Config!$B$6,"&lt;="&amp;Config!$B$6,IF($M257&lt;=Config!$B$7,(Config!$B$6+1)&amp;"-"&amp;Config!$B$7,IF($M257&lt;=Config!$B$8,(Config!$B$7+1)&amp;"-"&amp;Config!$B$8,"&gt;"&amp;Config!$B$8)))))</f>
        <v/>
      </c>
      <c r="O257" s="52" t="str">
        <f>IF($M257="","",IF($M257&lt;0,0,IF($M257&lt;=Config!$B$6,1,IF($M257&lt;=Config!$B$7,2,IF($M257&lt;=Config!$B$8,3,4)))))</f>
        <v/>
      </c>
      <c r="P257" s="50" t="str">
        <f>IF($A257="","",IF($L257&lt;=0,0,IF(OR(IFERROR(INDEX(Config!$F$15:$F$34,MATCH($G257,Config!$E$15:$E$34,0)),"No")="Yes",AND(Config!$B$10="Yes",ISNUMBER($M257),$M257&lt;0)),$L257,0)))</f>
        <v/>
      </c>
      <c r="Q257" s="52" t="str">
        <f>IF($A257="","",IF(AND($L257&gt;0,ISNUMBER($M257)),IF($M257&lt;=Config!$B$8,1,0),0))</f>
        <v/>
      </c>
      <c r="R257" s="52" t="str">
        <f>IF($Q257=1,COUNTIFS($Q$2:$Q$301,1,$E$2:$E$301,"&lt;"&amp;$E257)+COUNTIFS($Q$2:$Q257,1,$E$2:$E257,$E257),"")</f>
        <v/>
      </c>
      <c r="S257" s="49" t="str">
        <f>IF(COUNTA($A257:$I257)=0,"",IF($A257="","Missing: lot",IF(COUNTIF($A$2:$A$301,$A257)&gt;1,"Duplicate lot",IF($B257="","Missing: SKU",IF(NOT(ISNUMBER($E257)),"Missing: expiry date",IF($G257="","Missing: status",IF(COUNTIF(Products!$A$2:$A$101,$B257)=0,"Unknown SKU",IF(AND($C257&lt;&gt;"",COUNTIF(Suppliers!$A$2:$A$51,$C257)=0),"Unknown supplier",IF(COUNTIF(Config!$E$15:$E$34,$G257)=0,"Unsupported status",IF($L257&lt;0,"Negative lot balance",IF(AND($G257="Closed",$L257&lt;&gt;0),"Closed lot still has stock","OK")))))))))))</f>
        <v/>
      </c>
    </row>
    <row r="258">
      <c r="A258" s="46" t="n"/>
      <c r="B258" s="46" t="n"/>
      <c r="C258" s="46" t="n"/>
      <c r="D258" s="54" t="n"/>
      <c r="E258" s="54" t="n"/>
      <c r="F258" s="48" t="n"/>
      <c r="G258" s="46" t="n"/>
      <c r="H258" s="46" t="n"/>
      <c r="I258" s="46" t="n"/>
      <c r="J258" s="49" t="str">
        <f>IF($A258="","",IFERROR(INDEX(Products!$B$2:$B$101,MATCH($B258,Products!$A$2:$A$101,0))&amp;"","(not found)"))</f>
        <v/>
      </c>
      <c r="K258" s="51" t="str">
        <f>IF($A258="","",SUMIFS(Inventory_Ledger!$M$2:$M$2001,Inventory_Ledger!$F$2:$F$2001,$A258))</f>
        <v/>
      </c>
      <c r="L258" s="51" t="str">
        <f>IF($A258="","",IF(ISNUMBER($F258),$F258,0)+$K258)</f>
        <v/>
      </c>
      <c r="M258" s="56" t="str">
        <f>IF(OR($A258="",NOT(ISNUMBER($E258))),"",$E258-Config!$B$4)</f>
        <v/>
      </c>
      <c r="N258" s="49" t="str">
        <f>IF($M258="","",IF($M258&lt;0,"Expired",IF($M258&lt;=Config!$B$6,"&lt;="&amp;Config!$B$6,IF($M258&lt;=Config!$B$7,(Config!$B$6+1)&amp;"-"&amp;Config!$B$7,IF($M258&lt;=Config!$B$8,(Config!$B$7+1)&amp;"-"&amp;Config!$B$8,"&gt;"&amp;Config!$B$8)))))</f>
        <v/>
      </c>
      <c r="O258" s="52" t="str">
        <f>IF($M258="","",IF($M258&lt;0,0,IF($M258&lt;=Config!$B$6,1,IF($M258&lt;=Config!$B$7,2,IF($M258&lt;=Config!$B$8,3,4)))))</f>
        <v/>
      </c>
      <c r="P258" s="50" t="str">
        <f>IF($A258="","",IF($L258&lt;=0,0,IF(OR(IFERROR(INDEX(Config!$F$15:$F$34,MATCH($G258,Config!$E$15:$E$34,0)),"No")="Yes",AND(Config!$B$10="Yes",ISNUMBER($M258),$M258&lt;0)),$L258,0)))</f>
        <v/>
      </c>
      <c r="Q258" s="52" t="str">
        <f>IF($A258="","",IF(AND($L258&gt;0,ISNUMBER($M258)),IF($M258&lt;=Config!$B$8,1,0),0))</f>
        <v/>
      </c>
      <c r="R258" s="52" t="str">
        <f>IF($Q258=1,COUNTIFS($Q$2:$Q$301,1,$E$2:$E$301,"&lt;"&amp;$E258)+COUNTIFS($Q$2:$Q258,1,$E$2:$E258,$E258),"")</f>
        <v/>
      </c>
      <c r="S258" s="49" t="str">
        <f>IF(COUNTA($A258:$I258)=0,"",IF($A258="","Missing: lot",IF(COUNTIF($A$2:$A$301,$A258)&gt;1,"Duplicate lot",IF($B258="","Missing: SKU",IF(NOT(ISNUMBER($E258)),"Missing: expiry date",IF($G258="","Missing: status",IF(COUNTIF(Products!$A$2:$A$101,$B258)=0,"Unknown SKU",IF(AND($C258&lt;&gt;"",COUNTIF(Suppliers!$A$2:$A$51,$C258)=0),"Unknown supplier",IF(COUNTIF(Config!$E$15:$E$34,$G258)=0,"Unsupported status",IF($L258&lt;0,"Negative lot balance",IF(AND($G258="Closed",$L258&lt;&gt;0),"Closed lot still has stock","OK")))))))))))</f>
        <v/>
      </c>
    </row>
    <row r="259">
      <c r="A259" s="46" t="n"/>
      <c r="B259" s="46" t="n"/>
      <c r="C259" s="46" t="n"/>
      <c r="D259" s="54" t="n"/>
      <c r="E259" s="54" t="n"/>
      <c r="F259" s="48" t="n"/>
      <c r="G259" s="46" t="n"/>
      <c r="H259" s="46" t="n"/>
      <c r="I259" s="46" t="n"/>
      <c r="J259" s="49" t="str">
        <f>IF($A259="","",IFERROR(INDEX(Products!$B$2:$B$101,MATCH($B259,Products!$A$2:$A$101,0))&amp;"","(not found)"))</f>
        <v/>
      </c>
      <c r="K259" s="51" t="str">
        <f>IF($A259="","",SUMIFS(Inventory_Ledger!$M$2:$M$2001,Inventory_Ledger!$F$2:$F$2001,$A259))</f>
        <v/>
      </c>
      <c r="L259" s="51" t="str">
        <f>IF($A259="","",IF(ISNUMBER($F259),$F259,0)+$K259)</f>
        <v/>
      </c>
      <c r="M259" s="56" t="str">
        <f>IF(OR($A259="",NOT(ISNUMBER($E259))),"",$E259-Config!$B$4)</f>
        <v/>
      </c>
      <c r="N259" s="49" t="str">
        <f>IF($M259="","",IF($M259&lt;0,"Expired",IF($M259&lt;=Config!$B$6,"&lt;="&amp;Config!$B$6,IF($M259&lt;=Config!$B$7,(Config!$B$6+1)&amp;"-"&amp;Config!$B$7,IF($M259&lt;=Config!$B$8,(Config!$B$7+1)&amp;"-"&amp;Config!$B$8,"&gt;"&amp;Config!$B$8)))))</f>
        <v/>
      </c>
      <c r="O259" s="52" t="str">
        <f>IF($M259="","",IF($M259&lt;0,0,IF($M259&lt;=Config!$B$6,1,IF($M259&lt;=Config!$B$7,2,IF($M259&lt;=Config!$B$8,3,4)))))</f>
        <v/>
      </c>
      <c r="P259" s="50" t="str">
        <f>IF($A259="","",IF($L259&lt;=0,0,IF(OR(IFERROR(INDEX(Config!$F$15:$F$34,MATCH($G259,Config!$E$15:$E$34,0)),"No")="Yes",AND(Config!$B$10="Yes",ISNUMBER($M259),$M259&lt;0)),$L259,0)))</f>
        <v/>
      </c>
      <c r="Q259" s="52" t="str">
        <f>IF($A259="","",IF(AND($L259&gt;0,ISNUMBER($M259)),IF($M259&lt;=Config!$B$8,1,0),0))</f>
        <v/>
      </c>
      <c r="R259" s="52" t="str">
        <f>IF($Q259=1,COUNTIFS($Q$2:$Q$301,1,$E$2:$E$301,"&lt;"&amp;$E259)+COUNTIFS($Q$2:$Q259,1,$E$2:$E259,$E259),"")</f>
        <v/>
      </c>
      <c r="S259" s="49" t="str">
        <f>IF(COUNTA($A259:$I259)=0,"",IF($A259="","Missing: lot",IF(COUNTIF($A$2:$A$301,$A259)&gt;1,"Duplicate lot",IF($B259="","Missing: SKU",IF(NOT(ISNUMBER($E259)),"Missing: expiry date",IF($G259="","Missing: status",IF(COUNTIF(Products!$A$2:$A$101,$B259)=0,"Unknown SKU",IF(AND($C259&lt;&gt;"",COUNTIF(Suppliers!$A$2:$A$51,$C259)=0),"Unknown supplier",IF(COUNTIF(Config!$E$15:$E$34,$G259)=0,"Unsupported status",IF($L259&lt;0,"Negative lot balance",IF(AND($G259="Closed",$L259&lt;&gt;0),"Closed lot still has stock","OK")))))))))))</f>
        <v/>
      </c>
    </row>
    <row r="260">
      <c r="A260" s="46" t="n"/>
      <c r="B260" s="46" t="n"/>
      <c r="C260" s="46" t="n"/>
      <c r="D260" s="54" t="n"/>
      <c r="E260" s="54" t="n"/>
      <c r="F260" s="48" t="n"/>
      <c r="G260" s="46" t="n"/>
      <c r="H260" s="46" t="n"/>
      <c r="I260" s="46" t="n"/>
      <c r="J260" s="49" t="str">
        <f>IF($A260="","",IFERROR(INDEX(Products!$B$2:$B$101,MATCH($B260,Products!$A$2:$A$101,0))&amp;"","(not found)"))</f>
        <v/>
      </c>
      <c r="K260" s="51" t="str">
        <f>IF($A260="","",SUMIFS(Inventory_Ledger!$M$2:$M$2001,Inventory_Ledger!$F$2:$F$2001,$A260))</f>
        <v/>
      </c>
      <c r="L260" s="51" t="str">
        <f>IF($A260="","",IF(ISNUMBER($F260),$F260,0)+$K260)</f>
        <v/>
      </c>
      <c r="M260" s="56" t="str">
        <f>IF(OR($A260="",NOT(ISNUMBER($E260))),"",$E260-Config!$B$4)</f>
        <v/>
      </c>
      <c r="N260" s="49" t="str">
        <f>IF($M260="","",IF($M260&lt;0,"Expired",IF($M260&lt;=Config!$B$6,"&lt;="&amp;Config!$B$6,IF($M260&lt;=Config!$B$7,(Config!$B$6+1)&amp;"-"&amp;Config!$B$7,IF($M260&lt;=Config!$B$8,(Config!$B$7+1)&amp;"-"&amp;Config!$B$8,"&gt;"&amp;Config!$B$8)))))</f>
        <v/>
      </c>
      <c r="O260" s="52" t="str">
        <f>IF($M260="","",IF($M260&lt;0,0,IF($M260&lt;=Config!$B$6,1,IF($M260&lt;=Config!$B$7,2,IF($M260&lt;=Config!$B$8,3,4)))))</f>
        <v/>
      </c>
      <c r="P260" s="50" t="str">
        <f>IF($A260="","",IF($L260&lt;=0,0,IF(OR(IFERROR(INDEX(Config!$F$15:$F$34,MATCH($G260,Config!$E$15:$E$34,0)),"No")="Yes",AND(Config!$B$10="Yes",ISNUMBER($M260),$M260&lt;0)),$L260,0)))</f>
        <v/>
      </c>
      <c r="Q260" s="52" t="str">
        <f>IF($A260="","",IF(AND($L260&gt;0,ISNUMBER($M260)),IF($M260&lt;=Config!$B$8,1,0),0))</f>
        <v/>
      </c>
      <c r="R260" s="52" t="str">
        <f>IF($Q260=1,COUNTIFS($Q$2:$Q$301,1,$E$2:$E$301,"&lt;"&amp;$E260)+COUNTIFS($Q$2:$Q260,1,$E$2:$E260,$E260),"")</f>
        <v/>
      </c>
      <c r="S260" s="49" t="str">
        <f>IF(COUNTA($A260:$I260)=0,"",IF($A260="","Missing: lot",IF(COUNTIF($A$2:$A$301,$A260)&gt;1,"Duplicate lot",IF($B260="","Missing: SKU",IF(NOT(ISNUMBER($E260)),"Missing: expiry date",IF($G260="","Missing: status",IF(COUNTIF(Products!$A$2:$A$101,$B260)=0,"Unknown SKU",IF(AND($C260&lt;&gt;"",COUNTIF(Suppliers!$A$2:$A$51,$C260)=0),"Unknown supplier",IF(COUNTIF(Config!$E$15:$E$34,$G260)=0,"Unsupported status",IF($L260&lt;0,"Negative lot balance",IF(AND($G260="Closed",$L260&lt;&gt;0),"Closed lot still has stock","OK")))))))))))</f>
        <v/>
      </c>
    </row>
    <row r="261">
      <c r="A261" s="46" t="n"/>
      <c r="B261" s="46" t="n"/>
      <c r="C261" s="46" t="n"/>
      <c r="D261" s="54" t="n"/>
      <c r="E261" s="54" t="n"/>
      <c r="F261" s="48" t="n"/>
      <c r="G261" s="46" t="n"/>
      <c r="H261" s="46" t="n"/>
      <c r="I261" s="46" t="n"/>
      <c r="J261" s="49" t="str">
        <f>IF($A261="","",IFERROR(INDEX(Products!$B$2:$B$101,MATCH($B261,Products!$A$2:$A$101,0))&amp;"","(not found)"))</f>
        <v/>
      </c>
      <c r="K261" s="51" t="str">
        <f>IF($A261="","",SUMIFS(Inventory_Ledger!$M$2:$M$2001,Inventory_Ledger!$F$2:$F$2001,$A261))</f>
        <v/>
      </c>
      <c r="L261" s="51" t="str">
        <f>IF($A261="","",IF(ISNUMBER($F261),$F261,0)+$K261)</f>
        <v/>
      </c>
      <c r="M261" s="56" t="str">
        <f>IF(OR($A261="",NOT(ISNUMBER($E261))),"",$E261-Config!$B$4)</f>
        <v/>
      </c>
      <c r="N261" s="49" t="str">
        <f>IF($M261="","",IF($M261&lt;0,"Expired",IF($M261&lt;=Config!$B$6,"&lt;="&amp;Config!$B$6,IF($M261&lt;=Config!$B$7,(Config!$B$6+1)&amp;"-"&amp;Config!$B$7,IF($M261&lt;=Config!$B$8,(Config!$B$7+1)&amp;"-"&amp;Config!$B$8,"&gt;"&amp;Config!$B$8)))))</f>
        <v/>
      </c>
      <c r="O261" s="52" t="str">
        <f>IF($M261="","",IF($M261&lt;0,0,IF($M261&lt;=Config!$B$6,1,IF($M261&lt;=Config!$B$7,2,IF($M261&lt;=Config!$B$8,3,4)))))</f>
        <v/>
      </c>
      <c r="P261" s="50" t="str">
        <f>IF($A261="","",IF($L261&lt;=0,0,IF(OR(IFERROR(INDEX(Config!$F$15:$F$34,MATCH($G261,Config!$E$15:$E$34,0)),"No")="Yes",AND(Config!$B$10="Yes",ISNUMBER($M261),$M261&lt;0)),$L261,0)))</f>
        <v/>
      </c>
      <c r="Q261" s="52" t="str">
        <f>IF($A261="","",IF(AND($L261&gt;0,ISNUMBER($M261)),IF($M261&lt;=Config!$B$8,1,0),0))</f>
        <v/>
      </c>
      <c r="R261" s="52" t="str">
        <f>IF($Q261=1,COUNTIFS($Q$2:$Q$301,1,$E$2:$E$301,"&lt;"&amp;$E261)+COUNTIFS($Q$2:$Q261,1,$E$2:$E261,$E261),"")</f>
        <v/>
      </c>
      <c r="S261" s="49" t="str">
        <f>IF(COUNTA($A261:$I261)=0,"",IF($A261="","Missing: lot",IF(COUNTIF($A$2:$A$301,$A261)&gt;1,"Duplicate lot",IF($B261="","Missing: SKU",IF(NOT(ISNUMBER($E261)),"Missing: expiry date",IF($G261="","Missing: status",IF(COUNTIF(Products!$A$2:$A$101,$B261)=0,"Unknown SKU",IF(AND($C261&lt;&gt;"",COUNTIF(Suppliers!$A$2:$A$51,$C261)=0),"Unknown supplier",IF(COUNTIF(Config!$E$15:$E$34,$G261)=0,"Unsupported status",IF($L261&lt;0,"Negative lot balance",IF(AND($G261="Closed",$L261&lt;&gt;0),"Closed lot still has stock","OK")))))))))))</f>
        <v/>
      </c>
    </row>
    <row r="262">
      <c r="A262" s="46" t="n"/>
      <c r="B262" s="46" t="n"/>
      <c r="C262" s="46" t="n"/>
      <c r="D262" s="54" t="n"/>
      <c r="E262" s="54" t="n"/>
      <c r="F262" s="48" t="n"/>
      <c r="G262" s="46" t="n"/>
      <c r="H262" s="46" t="n"/>
      <c r="I262" s="46" t="n"/>
      <c r="J262" s="49" t="str">
        <f>IF($A262="","",IFERROR(INDEX(Products!$B$2:$B$101,MATCH($B262,Products!$A$2:$A$101,0))&amp;"","(not found)"))</f>
        <v/>
      </c>
      <c r="K262" s="51" t="str">
        <f>IF($A262="","",SUMIFS(Inventory_Ledger!$M$2:$M$2001,Inventory_Ledger!$F$2:$F$2001,$A262))</f>
        <v/>
      </c>
      <c r="L262" s="51" t="str">
        <f>IF($A262="","",IF(ISNUMBER($F262),$F262,0)+$K262)</f>
        <v/>
      </c>
      <c r="M262" s="56" t="str">
        <f>IF(OR($A262="",NOT(ISNUMBER($E262))),"",$E262-Config!$B$4)</f>
        <v/>
      </c>
      <c r="N262" s="49" t="str">
        <f>IF($M262="","",IF($M262&lt;0,"Expired",IF($M262&lt;=Config!$B$6,"&lt;="&amp;Config!$B$6,IF($M262&lt;=Config!$B$7,(Config!$B$6+1)&amp;"-"&amp;Config!$B$7,IF($M262&lt;=Config!$B$8,(Config!$B$7+1)&amp;"-"&amp;Config!$B$8,"&gt;"&amp;Config!$B$8)))))</f>
        <v/>
      </c>
      <c r="O262" s="52" t="str">
        <f>IF($M262="","",IF($M262&lt;0,0,IF($M262&lt;=Config!$B$6,1,IF($M262&lt;=Config!$B$7,2,IF($M262&lt;=Config!$B$8,3,4)))))</f>
        <v/>
      </c>
      <c r="P262" s="50" t="str">
        <f>IF($A262="","",IF($L262&lt;=0,0,IF(OR(IFERROR(INDEX(Config!$F$15:$F$34,MATCH($G262,Config!$E$15:$E$34,0)),"No")="Yes",AND(Config!$B$10="Yes",ISNUMBER($M262),$M262&lt;0)),$L262,0)))</f>
        <v/>
      </c>
      <c r="Q262" s="52" t="str">
        <f>IF($A262="","",IF(AND($L262&gt;0,ISNUMBER($M262)),IF($M262&lt;=Config!$B$8,1,0),0))</f>
        <v/>
      </c>
      <c r="R262" s="52" t="str">
        <f>IF($Q262=1,COUNTIFS($Q$2:$Q$301,1,$E$2:$E$301,"&lt;"&amp;$E262)+COUNTIFS($Q$2:$Q262,1,$E$2:$E262,$E262),"")</f>
        <v/>
      </c>
      <c r="S262" s="49" t="str">
        <f>IF(COUNTA($A262:$I262)=0,"",IF($A262="","Missing: lot",IF(COUNTIF($A$2:$A$301,$A262)&gt;1,"Duplicate lot",IF($B262="","Missing: SKU",IF(NOT(ISNUMBER($E262)),"Missing: expiry date",IF($G262="","Missing: status",IF(COUNTIF(Products!$A$2:$A$101,$B262)=0,"Unknown SKU",IF(AND($C262&lt;&gt;"",COUNTIF(Suppliers!$A$2:$A$51,$C262)=0),"Unknown supplier",IF(COUNTIF(Config!$E$15:$E$34,$G262)=0,"Unsupported status",IF($L262&lt;0,"Negative lot balance",IF(AND($G262="Closed",$L262&lt;&gt;0),"Closed lot still has stock","OK")))))))))))</f>
        <v/>
      </c>
    </row>
    <row r="263">
      <c r="A263" s="46" t="n"/>
      <c r="B263" s="46" t="n"/>
      <c r="C263" s="46" t="n"/>
      <c r="D263" s="54" t="n"/>
      <c r="E263" s="54" t="n"/>
      <c r="F263" s="48" t="n"/>
      <c r="G263" s="46" t="n"/>
      <c r="H263" s="46" t="n"/>
      <c r="I263" s="46" t="n"/>
      <c r="J263" s="49" t="str">
        <f>IF($A263="","",IFERROR(INDEX(Products!$B$2:$B$101,MATCH($B263,Products!$A$2:$A$101,0))&amp;"","(not found)"))</f>
        <v/>
      </c>
      <c r="K263" s="51" t="str">
        <f>IF($A263="","",SUMIFS(Inventory_Ledger!$M$2:$M$2001,Inventory_Ledger!$F$2:$F$2001,$A263))</f>
        <v/>
      </c>
      <c r="L263" s="51" t="str">
        <f>IF($A263="","",IF(ISNUMBER($F263),$F263,0)+$K263)</f>
        <v/>
      </c>
      <c r="M263" s="56" t="str">
        <f>IF(OR($A263="",NOT(ISNUMBER($E263))),"",$E263-Config!$B$4)</f>
        <v/>
      </c>
      <c r="N263" s="49" t="str">
        <f>IF($M263="","",IF($M263&lt;0,"Expired",IF($M263&lt;=Config!$B$6,"&lt;="&amp;Config!$B$6,IF($M263&lt;=Config!$B$7,(Config!$B$6+1)&amp;"-"&amp;Config!$B$7,IF($M263&lt;=Config!$B$8,(Config!$B$7+1)&amp;"-"&amp;Config!$B$8,"&gt;"&amp;Config!$B$8)))))</f>
        <v/>
      </c>
      <c r="O263" s="52" t="str">
        <f>IF($M263="","",IF($M263&lt;0,0,IF($M263&lt;=Config!$B$6,1,IF($M263&lt;=Config!$B$7,2,IF($M263&lt;=Config!$B$8,3,4)))))</f>
        <v/>
      </c>
      <c r="P263" s="50" t="str">
        <f>IF($A263="","",IF($L263&lt;=0,0,IF(OR(IFERROR(INDEX(Config!$F$15:$F$34,MATCH($G263,Config!$E$15:$E$34,0)),"No")="Yes",AND(Config!$B$10="Yes",ISNUMBER($M263),$M263&lt;0)),$L263,0)))</f>
        <v/>
      </c>
      <c r="Q263" s="52" t="str">
        <f>IF($A263="","",IF(AND($L263&gt;0,ISNUMBER($M263)),IF($M263&lt;=Config!$B$8,1,0),0))</f>
        <v/>
      </c>
      <c r="R263" s="52" t="str">
        <f>IF($Q263=1,COUNTIFS($Q$2:$Q$301,1,$E$2:$E$301,"&lt;"&amp;$E263)+COUNTIFS($Q$2:$Q263,1,$E$2:$E263,$E263),"")</f>
        <v/>
      </c>
      <c r="S263" s="49" t="str">
        <f>IF(COUNTA($A263:$I263)=0,"",IF($A263="","Missing: lot",IF(COUNTIF($A$2:$A$301,$A263)&gt;1,"Duplicate lot",IF($B263="","Missing: SKU",IF(NOT(ISNUMBER($E263)),"Missing: expiry date",IF($G263="","Missing: status",IF(COUNTIF(Products!$A$2:$A$101,$B263)=0,"Unknown SKU",IF(AND($C263&lt;&gt;"",COUNTIF(Suppliers!$A$2:$A$51,$C263)=0),"Unknown supplier",IF(COUNTIF(Config!$E$15:$E$34,$G263)=0,"Unsupported status",IF($L263&lt;0,"Negative lot balance",IF(AND($G263="Closed",$L263&lt;&gt;0),"Closed lot still has stock","OK")))))))))))</f>
        <v/>
      </c>
    </row>
    <row r="264">
      <c r="A264" s="46" t="n"/>
      <c r="B264" s="46" t="n"/>
      <c r="C264" s="46" t="n"/>
      <c r="D264" s="54" t="n"/>
      <c r="E264" s="54" t="n"/>
      <c r="F264" s="48" t="n"/>
      <c r="G264" s="46" t="n"/>
      <c r="H264" s="46" t="n"/>
      <c r="I264" s="46" t="n"/>
      <c r="J264" s="49" t="str">
        <f>IF($A264="","",IFERROR(INDEX(Products!$B$2:$B$101,MATCH($B264,Products!$A$2:$A$101,0))&amp;"","(not found)"))</f>
        <v/>
      </c>
      <c r="K264" s="51" t="str">
        <f>IF($A264="","",SUMIFS(Inventory_Ledger!$M$2:$M$2001,Inventory_Ledger!$F$2:$F$2001,$A264))</f>
        <v/>
      </c>
      <c r="L264" s="51" t="str">
        <f>IF($A264="","",IF(ISNUMBER($F264),$F264,0)+$K264)</f>
        <v/>
      </c>
      <c r="M264" s="56" t="str">
        <f>IF(OR($A264="",NOT(ISNUMBER($E264))),"",$E264-Config!$B$4)</f>
        <v/>
      </c>
      <c r="N264" s="49" t="str">
        <f>IF($M264="","",IF($M264&lt;0,"Expired",IF($M264&lt;=Config!$B$6,"&lt;="&amp;Config!$B$6,IF($M264&lt;=Config!$B$7,(Config!$B$6+1)&amp;"-"&amp;Config!$B$7,IF($M264&lt;=Config!$B$8,(Config!$B$7+1)&amp;"-"&amp;Config!$B$8,"&gt;"&amp;Config!$B$8)))))</f>
        <v/>
      </c>
      <c r="O264" s="52" t="str">
        <f>IF($M264="","",IF($M264&lt;0,0,IF($M264&lt;=Config!$B$6,1,IF($M264&lt;=Config!$B$7,2,IF($M264&lt;=Config!$B$8,3,4)))))</f>
        <v/>
      </c>
      <c r="P264" s="50" t="str">
        <f>IF($A264="","",IF($L264&lt;=0,0,IF(OR(IFERROR(INDEX(Config!$F$15:$F$34,MATCH($G264,Config!$E$15:$E$34,0)),"No")="Yes",AND(Config!$B$10="Yes",ISNUMBER($M264),$M264&lt;0)),$L264,0)))</f>
        <v/>
      </c>
      <c r="Q264" s="52" t="str">
        <f>IF($A264="","",IF(AND($L264&gt;0,ISNUMBER($M264)),IF($M264&lt;=Config!$B$8,1,0),0))</f>
        <v/>
      </c>
      <c r="R264" s="52" t="str">
        <f>IF($Q264=1,COUNTIFS($Q$2:$Q$301,1,$E$2:$E$301,"&lt;"&amp;$E264)+COUNTIFS($Q$2:$Q264,1,$E$2:$E264,$E264),"")</f>
        <v/>
      </c>
      <c r="S264" s="49" t="str">
        <f>IF(COUNTA($A264:$I264)=0,"",IF($A264="","Missing: lot",IF(COUNTIF($A$2:$A$301,$A264)&gt;1,"Duplicate lot",IF($B264="","Missing: SKU",IF(NOT(ISNUMBER($E264)),"Missing: expiry date",IF($G264="","Missing: status",IF(COUNTIF(Products!$A$2:$A$101,$B264)=0,"Unknown SKU",IF(AND($C264&lt;&gt;"",COUNTIF(Suppliers!$A$2:$A$51,$C264)=0),"Unknown supplier",IF(COUNTIF(Config!$E$15:$E$34,$G264)=0,"Unsupported status",IF($L264&lt;0,"Negative lot balance",IF(AND($G264="Closed",$L264&lt;&gt;0),"Closed lot still has stock","OK")))))))))))</f>
        <v/>
      </c>
    </row>
    <row r="265">
      <c r="A265" s="46" t="n"/>
      <c r="B265" s="46" t="n"/>
      <c r="C265" s="46" t="n"/>
      <c r="D265" s="54" t="n"/>
      <c r="E265" s="54" t="n"/>
      <c r="F265" s="48" t="n"/>
      <c r="G265" s="46" t="n"/>
      <c r="H265" s="46" t="n"/>
      <c r="I265" s="46" t="n"/>
      <c r="J265" s="49" t="str">
        <f>IF($A265="","",IFERROR(INDEX(Products!$B$2:$B$101,MATCH($B265,Products!$A$2:$A$101,0))&amp;"","(not found)"))</f>
        <v/>
      </c>
      <c r="K265" s="51" t="str">
        <f>IF($A265="","",SUMIFS(Inventory_Ledger!$M$2:$M$2001,Inventory_Ledger!$F$2:$F$2001,$A265))</f>
        <v/>
      </c>
      <c r="L265" s="51" t="str">
        <f>IF($A265="","",IF(ISNUMBER($F265),$F265,0)+$K265)</f>
        <v/>
      </c>
      <c r="M265" s="56" t="str">
        <f>IF(OR($A265="",NOT(ISNUMBER($E265))),"",$E265-Config!$B$4)</f>
        <v/>
      </c>
      <c r="N265" s="49" t="str">
        <f>IF($M265="","",IF($M265&lt;0,"Expired",IF($M265&lt;=Config!$B$6,"&lt;="&amp;Config!$B$6,IF($M265&lt;=Config!$B$7,(Config!$B$6+1)&amp;"-"&amp;Config!$B$7,IF($M265&lt;=Config!$B$8,(Config!$B$7+1)&amp;"-"&amp;Config!$B$8,"&gt;"&amp;Config!$B$8)))))</f>
        <v/>
      </c>
      <c r="O265" s="52" t="str">
        <f>IF($M265="","",IF($M265&lt;0,0,IF($M265&lt;=Config!$B$6,1,IF($M265&lt;=Config!$B$7,2,IF($M265&lt;=Config!$B$8,3,4)))))</f>
        <v/>
      </c>
      <c r="P265" s="50" t="str">
        <f>IF($A265="","",IF($L265&lt;=0,0,IF(OR(IFERROR(INDEX(Config!$F$15:$F$34,MATCH($G265,Config!$E$15:$E$34,0)),"No")="Yes",AND(Config!$B$10="Yes",ISNUMBER($M265),$M265&lt;0)),$L265,0)))</f>
        <v/>
      </c>
      <c r="Q265" s="52" t="str">
        <f>IF($A265="","",IF(AND($L265&gt;0,ISNUMBER($M265)),IF($M265&lt;=Config!$B$8,1,0),0))</f>
        <v/>
      </c>
      <c r="R265" s="52" t="str">
        <f>IF($Q265=1,COUNTIFS($Q$2:$Q$301,1,$E$2:$E$301,"&lt;"&amp;$E265)+COUNTIFS($Q$2:$Q265,1,$E$2:$E265,$E265),"")</f>
        <v/>
      </c>
      <c r="S265" s="49" t="str">
        <f>IF(COUNTA($A265:$I265)=0,"",IF($A265="","Missing: lot",IF(COUNTIF($A$2:$A$301,$A265)&gt;1,"Duplicate lot",IF($B265="","Missing: SKU",IF(NOT(ISNUMBER($E265)),"Missing: expiry date",IF($G265="","Missing: status",IF(COUNTIF(Products!$A$2:$A$101,$B265)=0,"Unknown SKU",IF(AND($C265&lt;&gt;"",COUNTIF(Suppliers!$A$2:$A$51,$C265)=0),"Unknown supplier",IF(COUNTIF(Config!$E$15:$E$34,$G265)=0,"Unsupported status",IF($L265&lt;0,"Negative lot balance",IF(AND($G265="Closed",$L265&lt;&gt;0),"Closed lot still has stock","OK")))))))))))</f>
        <v/>
      </c>
    </row>
    <row r="266">
      <c r="A266" s="46" t="n"/>
      <c r="B266" s="46" t="n"/>
      <c r="C266" s="46" t="n"/>
      <c r="D266" s="54" t="n"/>
      <c r="E266" s="54" t="n"/>
      <c r="F266" s="48" t="n"/>
      <c r="G266" s="46" t="n"/>
      <c r="H266" s="46" t="n"/>
      <c r="I266" s="46" t="n"/>
      <c r="J266" s="49" t="str">
        <f>IF($A266="","",IFERROR(INDEX(Products!$B$2:$B$101,MATCH($B266,Products!$A$2:$A$101,0))&amp;"","(not found)"))</f>
        <v/>
      </c>
      <c r="K266" s="51" t="str">
        <f>IF($A266="","",SUMIFS(Inventory_Ledger!$M$2:$M$2001,Inventory_Ledger!$F$2:$F$2001,$A266))</f>
        <v/>
      </c>
      <c r="L266" s="51" t="str">
        <f>IF($A266="","",IF(ISNUMBER($F266),$F266,0)+$K266)</f>
        <v/>
      </c>
      <c r="M266" s="56" t="str">
        <f>IF(OR($A266="",NOT(ISNUMBER($E266))),"",$E266-Config!$B$4)</f>
        <v/>
      </c>
      <c r="N266" s="49" t="str">
        <f>IF($M266="","",IF($M266&lt;0,"Expired",IF($M266&lt;=Config!$B$6,"&lt;="&amp;Config!$B$6,IF($M266&lt;=Config!$B$7,(Config!$B$6+1)&amp;"-"&amp;Config!$B$7,IF($M266&lt;=Config!$B$8,(Config!$B$7+1)&amp;"-"&amp;Config!$B$8,"&gt;"&amp;Config!$B$8)))))</f>
        <v/>
      </c>
      <c r="O266" s="52" t="str">
        <f>IF($M266="","",IF($M266&lt;0,0,IF($M266&lt;=Config!$B$6,1,IF($M266&lt;=Config!$B$7,2,IF($M266&lt;=Config!$B$8,3,4)))))</f>
        <v/>
      </c>
      <c r="P266" s="50" t="str">
        <f>IF($A266="","",IF($L266&lt;=0,0,IF(OR(IFERROR(INDEX(Config!$F$15:$F$34,MATCH($G266,Config!$E$15:$E$34,0)),"No")="Yes",AND(Config!$B$10="Yes",ISNUMBER($M266),$M266&lt;0)),$L266,0)))</f>
        <v/>
      </c>
      <c r="Q266" s="52" t="str">
        <f>IF($A266="","",IF(AND($L266&gt;0,ISNUMBER($M266)),IF($M266&lt;=Config!$B$8,1,0),0))</f>
        <v/>
      </c>
      <c r="R266" s="52" t="str">
        <f>IF($Q266=1,COUNTIFS($Q$2:$Q$301,1,$E$2:$E$301,"&lt;"&amp;$E266)+COUNTIFS($Q$2:$Q266,1,$E$2:$E266,$E266),"")</f>
        <v/>
      </c>
      <c r="S266" s="49" t="str">
        <f>IF(COUNTA($A266:$I266)=0,"",IF($A266="","Missing: lot",IF(COUNTIF($A$2:$A$301,$A266)&gt;1,"Duplicate lot",IF($B266="","Missing: SKU",IF(NOT(ISNUMBER($E266)),"Missing: expiry date",IF($G266="","Missing: status",IF(COUNTIF(Products!$A$2:$A$101,$B266)=0,"Unknown SKU",IF(AND($C266&lt;&gt;"",COUNTIF(Suppliers!$A$2:$A$51,$C266)=0),"Unknown supplier",IF(COUNTIF(Config!$E$15:$E$34,$G266)=0,"Unsupported status",IF($L266&lt;0,"Negative lot balance",IF(AND($G266="Closed",$L266&lt;&gt;0),"Closed lot still has stock","OK")))))))))))</f>
        <v/>
      </c>
    </row>
    <row r="267">
      <c r="A267" s="46" t="n"/>
      <c r="B267" s="46" t="n"/>
      <c r="C267" s="46" t="n"/>
      <c r="D267" s="54" t="n"/>
      <c r="E267" s="54" t="n"/>
      <c r="F267" s="48" t="n"/>
      <c r="G267" s="46" t="n"/>
      <c r="H267" s="46" t="n"/>
      <c r="I267" s="46" t="n"/>
      <c r="J267" s="49" t="str">
        <f>IF($A267="","",IFERROR(INDEX(Products!$B$2:$B$101,MATCH($B267,Products!$A$2:$A$101,0))&amp;"","(not found)"))</f>
        <v/>
      </c>
      <c r="K267" s="51" t="str">
        <f>IF($A267="","",SUMIFS(Inventory_Ledger!$M$2:$M$2001,Inventory_Ledger!$F$2:$F$2001,$A267))</f>
        <v/>
      </c>
      <c r="L267" s="51" t="str">
        <f>IF($A267="","",IF(ISNUMBER($F267),$F267,0)+$K267)</f>
        <v/>
      </c>
      <c r="M267" s="56" t="str">
        <f>IF(OR($A267="",NOT(ISNUMBER($E267))),"",$E267-Config!$B$4)</f>
        <v/>
      </c>
      <c r="N267" s="49" t="str">
        <f>IF($M267="","",IF($M267&lt;0,"Expired",IF($M267&lt;=Config!$B$6,"&lt;="&amp;Config!$B$6,IF($M267&lt;=Config!$B$7,(Config!$B$6+1)&amp;"-"&amp;Config!$B$7,IF($M267&lt;=Config!$B$8,(Config!$B$7+1)&amp;"-"&amp;Config!$B$8,"&gt;"&amp;Config!$B$8)))))</f>
        <v/>
      </c>
      <c r="O267" s="52" t="str">
        <f>IF($M267="","",IF($M267&lt;0,0,IF($M267&lt;=Config!$B$6,1,IF($M267&lt;=Config!$B$7,2,IF($M267&lt;=Config!$B$8,3,4)))))</f>
        <v/>
      </c>
      <c r="P267" s="50" t="str">
        <f>IF($A267="","",IF($L267&lt;=0,0,IF(OR(IFERROR(INDEX(Config!$F$15:$F$34,MATCH($G267,Config!$E$15:$E$34,0)),"No")="Yes",AND(Config!$B$10="Yes",ISNUMBER($M267),$M267&lt;0)),$L267,0)))</f>
        <v/>
      </c>
      <c r="Q267" s="52" t="str">
        <f>IF($A267="","",IF(AND($L267&gt;0,ISNUMBER($M267)),IF($M267&lt;=Config!$B$8,1,0),0))</f>
        <v/>
      </c>
      <c r="R267" s="52" t="str">
        <f>IF($Q267=1,COUNTIFS($Q$2:$Q$301,1,$E$2:$E$301,"&lt;"&amp;$E267)+COUNTIFS($Q$2:$Q267,1,$E$2:$E267,$E267),"")</f>
        <v/>
      </c>
      <c r="S267" s="49" t="str">
        <f>IF(COUNTA($A267:$I267)=0,"",IF($A267="","Missing: lot",IF(COUNTIF($A$2:$A$301,$A267)&gt;1,"Duplicate lot",IF($B267="","Missing: SKU",IF(NOT(ISNUMBER($E267)),"Missing: expiry date",IF($G267="","Missing: status",IF(COUNTIF(Products!$A$2:$A$101,$B267)=0,"Unknown SKU",IF(AND($C267&lt;&gt;"",COUNTIF(Suppliers!$A$2:$A$51,$C267)=0),"Unknown supplier",IF(COUNTIF(Config!$E$15:$E$34,$G267)=0,"Unsupported status",IF($L267&lt;0,"Negative lot balance",IF(AND($G267="Closed",$L267&lt;&gt;0),"Closed lot still has stock","OK")))))))))))</f>
        <v/>
      </c>
    </row>
    <row r="268">
      <c r="A268" s="46" t="n"/>
      <c r="B268" s="46" t="n"/>
      <c r="C268" s="46" t="n"/>
      <c r="D268" s="54" t="n"/>
      <c r="E268" s="54" t="n"/>
      <c r="F268" s="48" t="n"/>
      <c r="G268" s="46" t="n"/>
      <c r="H268" s="46" t="n"/>
      <c r="I268" s="46" t="n"/>
      <c r="J268" s="49" t="str">
        <f>IF($A268="","",IFERROR(INDEX(Products!$B$2:$B$101,MATCH($B268,Products!$A$2:$A$101,0))&amp;"","(not found)"))</f>
        <v/>
      </c>
      <c r="K268" s="51" t="str">
        <f>IF($A268="","",SUMIFS(Inventory_Ledger!$M$2:$M$2001,Inventory_Ledger!$F$2:$F$2001,$A268))</f>
        <v/>
      </c>
      <c r="L268" s="51" t="str">
        <f>IF($A268="","",IF(ISNUMBER($F268),$F268,0)+$K268)</f>
        <v/>
      </c>
      <c r="M268" s="56" t="str">
        <f>IF(OR($A268="",NOT(ISNUMBER($E268))),"",$E268-Config!$B$4)</f>
        <v/>
      </c>
      <c r="N268" s="49" t="str">
        <f>IF($M268="","",IF($M268&lt;0,"Expired",IF($M268&lt;=Config!$B$6,"&lt;="&amp;Config!$B$6,IF($M268&lt;=Config!$B$7,(Config!$B$6+1)&amp;"-"&amp;Config!$B$7,IF($M268&lt;=Config!$B$8,(Config!$B$7+1)&amp;"-"&amp;Config!$B$8,"&gt;"&amp;Config!$B$8)))))</f>
        <v/>
      </c>
      <c r="O268" s="52" t="str">
        <f>IF($M268="","",IF($M268&lt;0,0,IF($M268&lt;=Config!$B$6,1,IF($M268&lt;=Config!$B$7,2,IF($M268&lt;=Config!$B$8,3,4)))))</f>
        <v/>
      </c>
      <c r="P268" s="50" t="str">
        <f>IF($A268="","",IF($L268&lt;=0,0,IF(OR(IFERROR(INDEX(Config!$F$15:$F$34,MATCH($G268,Config!$E$15:$E$34,0)),"No")="Yes",AND(Config!$B$10="Yes",ISNUMBER($M268),$M268&lt;0)),$L268,0)))</f>
        <v/>
      </c>
      <c r="Q268" s="52" t="str">
        <f>IF($A268="","",IF(AND($L268&gt;0,ISNUMBER($M268)),IF($M268&lt;=Config!$B$8,1,0),0))</f>
        <v/>
      </c>
      <c r="R268" s="52" t="str">
        <f>IF($Q268=1,COUNTIFS($Q$2:$Q$301,1,$E$2:$E$301,"&lt;"&amp;$E268)+COUNTIFS($Q$2:$Q268,1,$E$2:$E268,$E268),"")</f>
        <v/>
      </c>
      <c r="S268" s="49" t="str">
        <f>IF(COUNTA($A268:$I268)=0,"",IF($A268="","Missing: lot",IF(COUNTIF($A$2:$A$301,$A268)&gt;1,"Duplicate lot",IF($B268="","Missing: SKU",IF(NOT(ISNUMBER($E268)),"Missing: expiry date",IF($G268="","Missing: status",IF(COUNTIF(Products!$A$2:$A$101,$B268)=0,"Unknown SKU",IF(AND($C268&lt;&gt;"",COUNTIF(Suppliers!$A$2:$A$51,$C268)=0),"Unknown supplier",IF(COUNTIF(Config!$E$15:$E$34,$G268)=0,"Unsupported status",IF($L268&lt;0,"Negative lot balance",IF(AND($G268="Closed",$L268&lt;&gt;0),"Closed lot still has stock","OK")))))))))))</f>
        <v/>
      </c>
    </row>
    <row r="269">
      <c r="A269" s="46" t="n"/>
      <c r="B269" s="46" t="n"/>
      <c r="C269" s="46" t="n"/>
      <c r="D269" s="54" t="n"/>
      <c r="E269" s="54" t="n"/>
      <c r="F269" s="48" t="n"/>
      <c r="G269" s="46" t="n"/>
      <c r="H269" s="46" t="n"/>
      <c r="I269" s="46" t="n"/>
      <c r="J269" s="49" t="str">
        <f>IF($A269="","",IFERROR(INDEX(Products!$B$2:$B$101,MATCH($B269,Products!$A$2:$A$101,0))&amp;"","(not found)"))</f>
        <v/>
      </c>
      <c r="K269" s="51" t="str">
        <f>IF($A269="","",SUMIFS(Inventory_Ledger!$M$2:$M$2001,Inventory_Ledger!$F$2:$F$2001,$A269))</f>
        <v/>
      </c>
      <c r="L269" s="51" t="str">
        <f>IF($A269="","",IF(ISNUMBER($F269),$F269,0)+$K269)</f>
        <v/>
      </c>
      <c r="M269" s="56" t="str">
        <f>IF(OR($A269="",NOT(ISNUMBER($E269))),"",$E269-Config!$B$4)</f>
        <v/>
      </c>
      <c r="N269" s="49" t="str">
        <f>IF($M269="","",IF($M269&lt;0,"Expired",IF($M269&lt;=Config!$B$6,"&lt;="&amp;Config!$B$6,IF($M269&lt;=Config!$B$7,(Config!$B$6+1)&amp;"-"&amp;Config!$B$7,IF($M269&lt;=Config!$B$8,(Config!$B$7+1)&amp;"-"&amp;Config!$B$8,"&gt;"&amp;Config!$B$8)))))</f>
        <v/>
      </c>
      <c r="O269" s="52" t="str">
        <f>IF($M269="","",IF($M269&lt;0,0,IF($M269&lt;=Config!$B$6,1,IF($M269&lt;=Config!$B$7,2,IF($M269&lt;=Config!$B$8,3,4)))))</f>
        <v/>
      </c>
      <c r="P269" s="50" t="str">
        <f>IF($A269="","",IF($L269&lt;=0,0,IF(OR(IFERROR(INDEX(Config!$F$15:$F$34,MATCH($G269,Config!$E$15:$E$34,0)),"No")="Yes",AND(Config!$B$10="Yes",ISNUMBER($M269),$M269&lt;0)),$L269,0)))</f>
        <v/>
      </c>
      <c r="Q269" s="52" t="str">
        <f>IF($A269="","",IF(AND($L269&gt;0,ISNUMBER($M269)),IF($M269&lt;=Config!$B$8,1,0),0))</f>
        <v/>
      </c>
      <c r="R269" s="52" t="str">
        <f>IF($Q269=1,COUNTIFS($Q$2:$Q$301,1,$E$2:$E$301,"&lt;"&amp;$E269)+COUNTIFS($Q$2:$Q269,1,$E$2:$E269,$E269),"")</f>
        <v/>
      </c>
      <c r="S269" s="49" t="str">
        <f>IF(COUNTA($A269:$I269)=0,"",IF($A269="","Missing: lot",IF(COUNTIF($A$2:$A$301,$A269)&gt;1,"Duplicate lot",IF($B269="","Missing: SKU",IF(NOT(ISNUMBER($E269)),"Missing: expiry date",IF($G269="","Missing: status",IF(COUNTIF(Products!$A$2:$A$101,$B269)=0,"Unknown SKU",IF(AND($C269&lt;&gt;"",COUNTIF(Suppliers!$A$2:$A$51,$C269)=0),"Unknown supplier",IF(COUNTIF(Config!$E$15:$E$34,$G269)=0,"Unsupported status",IF($L269&lt;0,"Negative lot balance",IF(AND($G269="Closed",$L269&lt;&gt;0),"Closed lot still has stock","OK")))))))))))</f>
        <v/>
      </c>
    </row>
    <row r="270">
      <c r="A270" s="46" t="n"/>
      <c r="B270" s="46" t="n"/>
      <c r="C270" s="46" t="n"/>
      <c r="D270" s="54" t="n"/>
      <c r="E270" s="54" t="n"/>
      <c r="F270" s="48" t="n"/>
      <c r="G270" s="46" t="n"/>
      <c r="H270" s="46" t="n"/>
      <c r="I270" s="46" t="n"/>
      <c r="J270" s="49" t="str">
        <f>IF($A270="","",IFERROR(INDEX(Products!$B$2:$B$101,MATCH($B270,Products!$A$2:$A$101,0))&amp;"","(not found)"))</f>
        <v/>
      </c>
      <c r="K270" s="51" t="str">
        <f>IF($A270="","",SUMIFS(Inventory_Ledger!$M$2:$M$2001,Inventory_Ledger!$F$2:$F$2001,$A270))</f>
        <v/>
      </c>
      <c r="L270" s="51" t="str">
        <f>IF($A270="","",IF(ISNUMBER($F270),$F270,0)+$K270)</f>
        <v/>
      </c>
      <c r="M270" s="56" t="str">
        <f>IF(OR($A270="",NOT(ISNUMBER($E270))),"",$E270-Config!$B$4)</f>
        <v/>
      </c>
      <c r="N270" s="49" t="str">
        <f>IF($M270="","",IF($M270&lt;0,"Expired",IF($M270&lt;=Config!$B$6,"&lt;="&amp;Config!$B$6,IF($M270&lt;=Config!$B$7,(Config!$B$6+1)&amp;"-"&amp;Config!$B$7,IF($M270&lt;=Config!$B$8,(Config!$B$7+1)&amp;"-"&amp;Config!$B$8,"&gt;"&amp;Config!$B$8)))))</f>
        <v/>
      </c>
      <c r="O270" s="52" t="str">
        <f>IF($M270="","",IF($M270&lt;0,0,IF($M270&lt;=Config!$B$6,1,IF($M270&lt;=Config!$B$7,2,IF($M270&lt;=Config!$B$8,3,4)))))</f>
        <v/>
      </c>
      <c r="P270" s="50" t="str">
        <f>IF($A270="","",IF($L270&lt;=0,0,IF(OR(IFERROR(INDEX(Config!$F$15:$F$34,MATCH($G270,Config!$E$15:$E$34,0)),"No")="Yes",AND(Config!$B$10="Yes",ISNUMBER($M270),$M270&lt;0)),$L270,0)))</f>
        <v/>
      </c>
      <c r="Q270" s="52" t="str">
        <f>IF($A270="","",IF(AND($L270&gt;0,ISNUMBER($M270)),IF($M270&lt;=Config!$B$8,1,0),0))</f>
        <v/>
      </c>
      <c r="R270" s="52" t="str">
        <f>IF($Q270=1,COUNTIFS($Q$2:$Q$301,1,$E$2:$E$301,"&lt;"&amp;$E270)+COUNTIFS($Q$2:$Q270,1,$E$2:$E270,$E270),"")</f>
        <v/>
      </c>
      <c r="S270" s="49" t="str">
        <f>IF(COUNTA($A270:$I270)=0,"",IF($A270="","Missing: lot",IF(COUNTIF($A$2:$A$301,$A270)&gt;1,"Duplicate lot",IF($B270="","Missing: SKU",IF(NOT(ISNUMBER($E270)),"Missing: expiry date",IF($G270="","Missing: status",IF(COUNTIF(Products!$A$2:$A$101,$B270)=0,"Unknown SKU",IF(AND($C270&lt;&gt;"",COUNTIF(Suppliers!$A$2:$A$51,$C270)=0),"Unknown supplier",IF(COUNTIF(Config!$E$15:$E$34,$G270)=0,"Unsupported status",IF($L270&lt;0,"Negative lot balance",IF(AND($G270="Closed",$L270&lt;&gt;0),"Closed lot still has stock","OK")))))))))))</f>
        <v/>
      </c>
    </row>
    <row r="271">
      <c r="A271" s="46" t="n"/>
      <c r="B271" s="46" t="n"/>
      <c r="C271" s="46" t="n"/>
      <c r="D271" s="54" t="n"/>
      <c r="E271" s="54" t="n"/>
      <c r="F271" s="48" t="n"/>
      <c r="G271" s="46" t="n"/>
      <c r="H271" s="46" t="n"/>
      <c r="I271" s="46" t="n"/>
      <c r="J271" s="49" t="str">
        <f>IF($A271="","",IFERROR(INDEX(Products!$B$2:$B$101,MATCH($B271,Products!$A$2:$A$101,0))&amp;"","(not found)"))</f>
        <v/>
      </c>
      <c r="K271" s="51" t="str">
        <f>IF($A271="","",SUMIFS(Inventory_Ledger!$M$2:$M$2001,Inventory_Ledger!$F$2:$F$2001,$A271))</f>
        <v/>
      </c>
      <c r="L271" s="51" t="str">
        <f>IF($A271="","",IF(ISNUMBER($F271),$F271,0)+$K271)</f>
        <v/>
      </c>
      <c r="M271" s="56" t="str">
        <f>IF(OR($A271="",NOT(ISNUMBER($E271))),"",$E271-Config!$B$4)</f>
        <v/>
      </c>
      <c r="N271" s="49" t="str">
        <f>IF($M271="","",IF($M271&lt;0,"Expired",IF($M271&lt;=Config!$B$6,"&lt;="&amp;Config!$B$6,IF($M271&lt;=Config!$B$7,(Config!$B$6+1)&amp;"-"&amp;Config!$B$7,IF($M271&lt;=Config!$B$8,(Config!$B$7+1)&amp;"-"&amp;Config!$B$8,"&gt;"&amp;Config!$B$8)))))</f>
        <v/>
      </c>
      <c r="O271" s="52" t="str">
        <f>IF($M271="","",IF($M271&lt;0,0,IF($M271&lt;=Config!$B$6,1,IF($M271&lt;=Config!$B$7,2,IF($M271&lt;=Config!$B$8,3,4)))))</f>
        <v/>
      </c>
      <c r="P271" s="50" t="str">
        <f>IF($A271="","",IF($L271&lt;=0,0,IF(OR(IFERROR(INDEX(Config!$F$15:$F$34,MATCH($G271,Config!$E$15:$E$34,0)),"No")="Yes",AND(Config!$B$10="Yes",ISNUMBER($M271),$M271&lt;0)),$L271,0)))</f>
        <v/>
      </c>
      <c r="Q271" s="52" t="str">
        <f>IF($A271="","",IF(AND($L271&gt;0,ISNUMBER($M271)),IF($M271&lt;=Config!$B$8,1,0),0))</f>
        <v/>
      </c>
      <c r="R271" s="52" t="str">
        <f>IF($Q271=1,COUNTIFS($Q$2:$Q$301,1,$E$2:$E$301,"&lt;"&amp;$E271)+COUNTIFS($Q$2:$Q271,1,$E$2:$E271,$E271),"")</f>
        <v/>
      </c>
      <c r="S271" s="49" t="str">
        <f>IF(COUNTA($A271:$I271)=0,"",IF($A271="","Missing: lot",IF(COUNTIF($A$2:$A$301,$A271)&gt;1,"Duplicate lot",IF($B271="","Missing: SKU",IF(NOT(ISNUMBER($E271)),"Missing: expiry date",IF($G271="","Missing: status",IF(COUNTIF(Products!$A$2:$A$101,$B271)=0,"Unknown SKU",IF(AND($C271&lt;&gt;"",COUNTIF(Suppliers!$A$2:$A$51,$C271)=0),"Unknown supplier",IF(COUNTIF(Config!$E$15:$E$34,$G271)=0,"Unsupported status",IF($L271&lt;0,"Negative lot balance",IF(AND($G271="Closed",$L271&lt;&gt;0),"Closed lot still has stock","OK")))))))))))</f>
        <v/>
      </c>
    </row>
    <row r="272">
      <c r="A272" s="46" t="n"/>
      <c r="B272" s="46" t="n"/>
      <c r="C272" s="46" t="n"/>
      <c r="D272" s="54" t="n"/>
      <c r="E272" s="54" t="n"/>
      <c r="F272" s="48" t="n"/>
      <c r="G272" s="46" t="n"/>
      <c r="H272" s="46" t="n"/>
      <c r="I272" s="46" t="n"/>
      <c r="J272" s="49" t="str">
        <f>IF($A272="","",IFERROR(INDEX(Products!$B$2:$B$101,MATCH($B272,Products!$A$2:$A$101,0))&amp;"","(not found)"))</f>
        <v/>
      </c>
      <c r="K272" s="51" t="str">
        <f>IF($A272="","",SUMIFS(Inventory_Ledger!$M$2:$M$2001,Inventory_Ledger!$F$2:$F$2001,$A272))</f>
        <v/>
      </c>
      <c r="L272" s="51" t="str">
        <f>IF($A272="","",IF(ISNUMBER($F272),$F272,0)+$K272)</f>
        <v/>
      </c>
      <c r="M272" s="56" t="str">
        <f>IF(OR($A272="",NOT(ISNUMBER($E272))),"",$E272-Config!$B$4)</f>
        <v/>
      </c>
      <c r="N272" s="49" t="str">
        <f>IF($M272="","",IF($M272&lt;0,"Expired",IF($M272&lt;=Config!$B$6,"&lt;="&amp;Config!$B$6,IF($M272&lt;=Config!$B$7,(Config!$B$6+1)&amp;"-"&amp;Config!$B$7,IF($M272&lt;=Config!$B$8,(Config!$B$7+1)&amp;"-"&amp;Config!$B$8,"&gt;"&amp;Config!$B$8)))))</f>
        <v/>
      </c>
      <c r="O272" s="52" t="str">
        <f>IF($M272="","",IF($M272&lt;0,0,IF($M272&lt;=Config!$B$6,1,IF($M272&lt;=Config!$B$7,2,IF($M272&lt;=Config!$B$8,3,4)))))</f>
        <v/>
      </c>
      <c r="P272" s="50" t="str">
        <f>IF($A272="","",IF($L272&lt;=0,0,IF(OR(IFERROR(INDEX(Config!$F$15:$F$34,MATCH($G272,Config!$E$15:$E$34,0)),"No")="Yes",AND(Config!$B$10="Yes",ISNUMBER($M272),$M272&lt;0)),$L272,0)))</f>
        <v/>
      </c>
      <c r="Q272" s="52" t="str">
        <f>IF($A272="","",IF(AND($L272&gt;0,ISNUMBER($M272)),IF($M272&lt;=Config!$B$8,1,0),0))</f>
        <v/>
      </c>
      <c r="R272" s="52" t="str">
        <f>IF($Q272=1,COUNTIFS($Q$2:$Q$301,1,$E$2:$E$301,"&lt;"&amp;$E272)+COUNTIFS($Q$2:$Q272,1,$E$2:$E272,$E272),"")</f>
        <v/>
      </c>
      <c r="S272" s="49" t="str">
        <f>IF(COUNTA($A272:$I272)=0,"",IF($A272="","Missing: lot",IF(COUNTIF($A$2:$A$301,$A272)&gt;1,"Duplicate lot",IF($B272="","Missing: SKU",IF(NOT(ISNUMBER($E272)),"Missing: expiry date",IF($G272="","Missing: status",IF(COUNTIF(Products!$A$2:$A$101,$B272)=0,"Unknown SKU",IF(AND($C272&lt;&gt;"",COUNTIF(Suppliers!$A$2:$A$51,$C272)=0),"Unknown supplier",IF(COUNTIF(Config!$E$15:$E$34,$G272)=0,"Unsupported status",IF($L272&lt;0,"Negative lot balance",IF(AND($G272="Closed",$L272&lt;&gt;0),"Closed lot still has stock","OK")))))))))))</f>
        <v/>
      </c>
    </row>
    <row r="273">
      <c r="A273" s="46" t="n"/>
      <c r="B273" s="46" t="n"/>
      <c r="C273" s="46" t="n"/>
      <c r="D273" s="54" t="n"/>
      <c r="E273" s="54" t="n"/>
      <c r="F273" s="48" t="n"/>
      <c r="G273" s="46" t="n"/>
      <c r="H273" s="46" t="n"/>
      <c r="I273" s="46" t="n"/>
      <c r="J273" s="49" t="str">
        <f>IF($A273="","",IFERROR(INDEX(Products!$B$2:$B$101,MATCH($B273,Products!$A$2:$A$101,0))&amp;"","(not found)"))</f>
        <v/>
      </c>
      <c r="K273" s="51" t="str">
        <f>IF($A273="","",SUMIFS(Inventory_Ledger!$M$2:$M$2001,Inventory_Ledger!$F$2:$F$2001,$A273))</f>
        <v/>
      </c>
      <c r="L273" s="51" t="str">
        <f>IF($A273="","",IF(ISNUMBER($F273),$F273,0)+$K273)</f>
        <v/>
      </c>
      <c r="M273" s="56" t="str">
        <f>IF(OR($A273="",NOT(ISNUMBER($E273))),"",$E273-Config!$B$4)</f>
        <v/>
      </c>
      <c r="N273" s="49" t="str">
        <f>IF($M273="","",IF($M273&lt;0,"Expired",IF($M273&lt;=Config!$B$6,"&lt;="&amp;Config!$B$6,IF($M273&lt;=Config!$B$7,(Config!$B$6+1)&amp;"-"&amp;Config!$B$7,IF($M273&lt;=Config!$B$8,(Config!$B$7+1)&amp;"-"&amp;Config!$B$8,"&gt;"&amp;Config!$B$8)))))</f>
        <v/>
      </c>
      <c r="O273" s="52" t="str">
        <f>IF($M273="","",IF($M273&lt;0,0,IF($M273&lt;=Config!$B$6,1,IF($M273&lt;=Config!$B$7,2,IF($M273&lt;=Config!$B$8,3,4)))))</f>
        <v/>
      </c>
      <c r="P273" s="50" t="str">
        <f>IF($A273="","",IF($L273&lt;=0,0,IF(OR(IFERROR(INDEX(Config!$F$15:$F$34,MATCH($G273,Config!$E$15:$E$34,0)),"No")="Yes",AND(Config!$B$10="Yes",ISNUMBER($M273),$M273&lt;0)),$L273,0)))</f>
        <v/>
      </c>
      <c r="Q273" s="52" t="str">
        <f>IF($A273="","",IF(AND($L273&gt;0,ISNUMBER($M273)),IF($M273&lt;=Config!$B$8,1,0),0))</f>
        <v/>
      </c>
      <c r="R273" s="52" t="str">
        <f>IF($Q273=1,COUNTIFS($Q$2:$Q$301,1,$E$2:$E$301,"&lt;"&amp;$E273)+COUNTIFS($Q$2:$Q273,1,$E$2:$E273,$E273),"")</f>
        <v/>
      </c>
      <c r="S273" s="49" t="str">
        <f>IF(COUNTA($A273:$I273)=0,"",IF($A273="","Missing: lot",IF(COUNTIF($A$2:$A$301,$A273)&gt;1,"Duplicate lot",IF($B273="","Missing: SKU",IF(NOT(ISNUMBER($E273)),"Missing: expiry date",IF($G273="","Missing: status",IF(COUNTIF(Products!$A$2:$A$101,$B273)=0,"Unknown SKU",IF(AND($C273&lt;&gt;"",COUNTIF(Suppliers!$A$2:$A$51,$C273)=0),"Unknown supplier",IF(COUNTIF(Config!$E$15:$E$34,$G273)=0,"Unsupported status",IF($L273&lt;0,"Negative lot balance",IF(AND($G273="Closed",$L273&lt;&gt;0),"Closed lot still has stock","OK")))))))))))</f>
        <v/>
      </c>
    </row>
    <row r="274">
      <c r="A274" s="46" t="n"/>
      <c r="B274" s="46" t="n"/>
      <c r="C274" s="46" t="n"/>
      <c r="D274" s="54" t="n"/>
      <c r="E274" s="54" t="n"/>
      <c r="F274" s="48" t="n"/>
      <c r="G274" s="46" t="n"/>
      <c r="H274" s="46" t="n"/>
      <c r="I274" s="46" t="n"/>
      <c r="J274" s="49" t="str">
        <f>IF($A274="","",IFERROR(INDEX(Products!$B$2:$B$101,MATCH($B274,Products!$A$2:$A$101,0))&amp;"","(not found)"))</f>
        <v/>
      </c>
      <c r="K274" s="51" t="str">
        <f>IF($A274="","",SUMIFS(Inventory_Ledger!$M$2:$M$2001,Inventory_Ledger!$F$2:$F$2001,$A274))</f>
        <v/>
      </c>
      <c r="L274" s="51" t="str">
        <f>IF($A274="","",IF(ISNUMBER($F274),$F274,0)+$K274)</f>
        <v/>
      </c>
      <c r="M274" s="56" t="str">
        <f>IF(OR($A274="",NOT(ISNUMBER($E274))),"",$E274-Config!$B$4)</f>
        <v/>
      </c>
      <c r="N274" s="49" t="str">
        <f>IF($M274="","",IF($M274&lt;0,"Expired",IF($M274&lt;=Config!$B$6,"&lt;="&amp;Config!$B$6,IF($M274&lt;=Config!$B$7,(Config!$B$6+1)&amp;"-"&amp;Config!$B$7,IF($M274&lt;=Config!$B$8,(Config!$B$7+1)&amp;"-"&amp;Config!$B$8,"&gt;"&amp;Config!$B$8)))))</f>
        <v/>
      </c>
      <c r="O274" s="52" t="str">
        <f>IF($M274="","",IF($M274&lt;0,0,IF($M274&lt;=Config!$B$6,1,IF($M274&lt;=Config!$B$7,2,IF($M274&lt;=Config!$B$8,3,4)))))</f>
        <v/>
      </c>
      <c r="P274" s="50" t="str">
        <f>IF($A274="","",IF($L274&lt;=0,0,IF(OR(IFERROR(INDEX(Config!$F$15:$F$34,MATCH($G274,Config!$E$15:$E$34,0)),"No")="Yes",AND(Config!$B$10="Yes",ISNUMBER($M274),$M274&lt;0)),$L274,0)))</f>
        <v/>
      </c>
      <c r="Q274" s="52" t="str">
        <f>IF($A274="","",IF(AND($L274&gt;0,ISNUMBER($M274)),IF($M274&lt;=Config!$B$8,1,0),0))</f>
        <v/>
      </c>
      <c r="R274" s="52" t="str">
        <f>IF($Q274=1,COUNTIFS($Q$2:$Q$301,1,$E$2:$E$301,"&lt;"&amp;$E274)+COUNTIFS($Q$2:$Q274,1,$E$2:$E274,$E274),"")</f>
        <v/>
      </c>
      <c r="S274" s="49" t="str">
        <f>IF(COUNTA($A274:$I274)=0,"",IF($A274="","Missing: lot",IF(COUNTIF($A$2:$A$301,$A274)&gt;1,"Duplicate lot",IF($B274="","Missing: SKU",IF(NOT(ISNUMBER($E274)),"Missing: expiry date",IF($G274="","Missing: status",IF(COUNTIF(Products!$A$2:$A$101,$B274)=0,"Unknown SKU",IF(AND($C274&lt;&gt;"",COUNTIF(Suppliers!$A$2:$A$51,$C274)=0),"Unknown supplier",IF(COUNTIF(Config!$E$15:$E$34,$G274)=0,"Unsupported status",IF($L274&lt;0,"Negative lot balance",IF(AND($G274="Closed",$L274&lt;&gt;0),"Closed lot still has stock","OK")))))))))))</f>
        <v/>
      </c>
    </row>
    <row r="275">
      <c r="A275" s="46" t="n"/>
      <c r="B275" s="46" t="n"/>
      <c r="C275" s="46" t="n"/>
      <c r="D275" s="54" t="n"/>
      <c r="E275" s="54" t="n"/>
      <c r="F275" s="48" t="n"/>
      <c r="G275" s="46" t="n"/>
      <c r="H275" s="46" t="n"/>
      <c r="I275" s="46" t="n"/>
      <c r="J275" s="49" t="str">
        <f>IF($A275="","",IFERROR(INDEX(Products!$B$2:$B$101,MATCH($B275,Products!$A$2:$A$101,0))&amp;"","(not found)"))</f>
        <v/>
      </c>
      <c r="K275" s="51" t="str">
        <f>IF($A275="","",SUMIFS(Inventory_Ledger!$M$2:$M$2001,Inventory_Ledger!$F$2:$F$2001,$A275))</f>
        <v/>
      </c>
      <c r="L275" s="51" t="str">
        <f>IF($A275="","",IF(ISNUMBER($F275),$F275,0)+$K275)</f>
        <v/>
      </c>
      <c r="M275" s="56" t="str">
        <f>IF(OR($A275="",NOT(ISNUMBER($E275))),"",$E275-Config!$B$4)</f>
        <v/>
      </c>
      <c r="N275" s="49" t="str">
        <f>IF($M275="","",IF($M275&lt;0,"Expired",IF($M275&lt;=Config!$B$6,"&lt;="&amp;Config!$B$6,IF($M275&lt;=Config!$B$7,(Config!$B$6+1)&amp;"-"&amp;Config!$B$7,IF($M275&lt;=Config!$B$8,(Config!$B$7+1)&amp;"-"&amp;Config!$B$8,"&gt;"&amp;Config!$B$8)))))</f>
        <v/>
      </c>
      <c r="O275" s="52" t="str">
        <f>IF($M275="","",IF($M275&lt;0,0,IF($M275&lt;=Config!$B$6,1,IF($M275&lt;=Config!$B$7,2,IF($M275&lt;=Config!$B$8,3,4)))))</f>
        <v/>
      </c>
      <c r="P275" s="50" t="str">
        <f>IF($A275="","",IF($L275&lt;=0,0,IF(OR(IFERROR(INDEX(Config!$F$15:$F$34,MATCH($G275,Config!$E$15:$E$34,0)),"No")="Yes",AND(Config!$B$10="Yes",ISNUMBER($M275),$M275&lt;0)),$L275,0)))</f>
        <v/>
      </c>
      <c r="Q275" s="52" t="str">
        <f>IF($A275="","",IF(AND($L275&gt;0,ISNUMBER($M275)),IF($M275&lt;=Config!$B$8,1,0),0))</f>
        <v/>
      </c>
      <c r="R275" s="52" t="str">
        <f>IF($Q275=1,COUNTIFS($Q$2:$Q$301,1,$E$2:$E$301,"&lt;"&amp;$E275)+COUNTIFS($Q$2:$Q275,1,$E$2:$E275,$E275),"")</f>
        <v/>
      </c>
      <c r="S275" s="49" t="str">
        <f>IF(COUNTA($A275:$I275)=0,"",IF($A275="","Missing: lot",IF(COUNTIF($A$2:$A$301,$A275)&gt;1,"Duplicate lot",IF($B275="","Missing: SKU",IF(NOT(ISNUMBER($E275)),"Missing: expiry date",IF($G275="","Missing: status",IF(COUNTIF(Products!$A$2:$A$101,$B275)=0,"Unknown SKU",IF(AND($C275&lt;&gt;"",COUNTIF(Suppliers!$A$2:$A$51,$C275)=0),"Unknown supplier",IF(COUNTIF(Config!$E$15:$E$34,$G275)=0,"Unsupported status",IF($L275&lt;0,"Negative lot balance",IF(AND($G275="Closed",$L275&lt;&gt;0),"Closed lot still has stock","OK")))))))))))</f>
        <v/>
      </c>
    </row>
    <row r="276">
      <c r="A276" s="46" t="n"/>
      <c r="B276" s="46" t="n"/>
      <c r="C276" s="46" t="n"/>
      <c r="D276" s="54" t="n"/>
      <c r="E276" s="54" t="n"/>
      <c r="F276" s="48" t="n"/>
      <c r="G276" s="46" t="n"/>
      <c r="H276" s="46" t="n"/>
      <c r="I276" s="46" t="n"/>
      <c r="J276" s="49" t="str">
        <f>IF($A276="","",IFERROR(INDEX(Products!$B$2:$B$101,MATCH($B276,Products!$A$2:$A$101,0))&amp;"","(not found)"))</f>
        <v/>
      </c>
      <c r="K276" s="51" t="str">
        <f>IF($A276="","",SUMIFS(Inventory_Ledger!$M$2:$M$2001,Inventory_Ledger!$F$2:$F$2001,$A276))</f>
        <v/>
      </c>
      <c r="L276" s="51" t="str">
        <f>IF($A276="","",IF(ISNUMBER($F276),$F276,0)+$K276)</f>
        <v/>
      </c>
      <c r="M276" s="56" t="str">
        <f>IF(OR($A276="",NOT(ISNUMBER($E276))),"",$E276-Config!$B$4)</f>
        <v/>
      </c>
      <c r="N276" s="49" t="str">
        <f>IF($M276="","",IF($M276&lt;0,"Expired",IF($M276&lt;=Config!$B$6,"&lt;="&amp;Config!$B$6,IF($M276&lt;=Config!$B$7,(Config!$B$6+1)&amp;"-"&amp;Config!$B$7,IF($M276&lt;=Config!$B$8,(Config!$B$7+1)&amp;"-"&amp;Config!$B$8,"&gt;"&amp;Config!$B$8)))))</f>
        <v/>
      </c>
      <c r="O276" s="52" t="str">
        <f>IF($M276="","",IF($M276&lt;0,0,IF($M276&lt;=Config!$B$6,1,IF($M276&lt;=Config!$B$7,2,IF($M276&lt;=Config!$B$8,3,4)))))</f>
        <v/>
      </c>
      <c r="P276" s="50" t="str">
        <f>IF($A276="","",IF($L276&lt;=0,0,IF(OR(IFERROR(INDEX(Config!$F$15:$F$34,MATCH($G276,Config!$E$15:$E$34,0)),"No")="Yes",AND(Config!$B$10="Yes",ISNUMBER($M276),$M276&lt;0)),$L276,0)))</f>
        <v/>
      </c>
      <c r="Q276" s="52" t="str">
        <f>IF($A276="","",IF(AND($L276&gt;0,ISNUMBER($M276)),IF($M276&lt;=Config!$B$8,1,0),0))</f>
        <v/>
      </c>
      <c r="R276" s="52" t="str">
        <f>IF($Q276=1,COUNTIFS($Q$2:$Q$301,1,$E$2:$E$301,"&lt;"&amp;$E276)+COUNTIFS($Q$2:$Q276,1,$E$2:$E276,$E276),"")</f>
        <v/>
      </c>
      <c r="S276" s="49" t="str">
        <f>IF(COUNTA($A276:$I276)=0,"",IF($A276="","Missing: lot",IF(COUNTIF($A$2:$A$301,$A276)&gt;1,"Duplicate lot",IF($B276="","Missing: SKU",IF(NOT(ISNUMBER($E276)),"Missing: expiry date",IF($G276="","Missing: status",IF(COUNTIF(Products!$A$2:$A$101,$B276)=0,"Unknown SKU",IF(AND($C276&lt;&gt;"",COUNTIF(Suppliers!$A$2:$A$51,$C276)=0),"Unknown supplier",IF(COUNTIF(Config!$E$15:$E$34,$G276)=0,"Unsupported status",IF($L276&lt;0,"Negative lot balance",IF(AND($G276="Closed",$L276&lt;&gt;0),"Closed lot still has stock","OK")))))))))))</f>
        <v/>
      </c>
    </row>
    <row r="277">
      <c r="A277" s="46" t="n"/>
      <c r="B277" s="46" t="n"/>
      <c r="C277" s="46" t="n"/>
      <c r="D277" s="54" t="n"/>
      <c r="E277" s="54" t="n"/>
      <c r="F277" s="48" t="n"/>
      <c r="G277" s="46" t="n"/>
      <c r="H277" s="46" t="n"/>
      <c r="I277" s="46" t="n"/>
      <c r="J277" s="49" t="str">
        <f>IF($A277="","",IFERROR(INDEX(Products!$B$2:$B$101,MATCH($B277,Products!$A$2:$A$101,0))&amp;"","(not found)"))</f>
        <v/>
      </c>
      <c r="K277" s="51" t="str">
        <f>IF($A277="","",SUMIFS(Inventory_Ledger!$M$2:$M$2001,Inventory_Ledger!$F$2:$F$2001,$A277))</f>
        <v/>
      </c>
      <c r="L277" s="51" t="str">
        <f>IF($A277="","",IF(ISNUMBER($F277),$F277,0)+$K277)</f>
        <v/>
      </c>
      <c r="M277" s="56" t="str">
        <f>IF(OR($A277="",NOT(ISNUMBER($E277))),"",$E277-Config!$B$4)</f>
        <v/>
      </c>
      <c r="N277" s="49" t="str">
        <f>IF($M277="","",IF($M277&lt;0,"Expired",IF($M277&lt;=Config!$B$6,"&lt;="&amp;Config!$B$6,IF($M277&lt;=Config!$B$7,(Config!$B$6+1)&amp;"-"&amp;Config!$B$7,IF($M277&lt;=Config!$B$8,(Config!$B$7+1)&amp;"-"&amp;Config!$B$8,"&gt;"&amp;Config!$B$8)))))</f>
        <v/>
      </c>
      <c r="O277" s="52" t="str">
        <f>IF($M277="","",IF($M277&lt;0,0,IF($M277&lt;=Config!$B$6,1,IF($M277&lt;=Config!$B$7,2,IF($M277&lt;=Config!$B$8,3,4)))))</f>
        <v/>
      </c>
      <c r="P277" s="50" t="str">
        <f>IF($A277="","",IF($L277&lt;=0,0,IF(OR(IFERROR(INDEX(Config!$F$15:$F$34,MATCH($G277,Config!$E$15:$E$34,0)),"No")="Yes",AND(Config!$B$10="Yes",ISNUMBER($M277),$M277&lt;0)),$L277,0)))</f>
        <v/>
      </c>
      <c r="Q277" s="52" t="str">
        <f>IF($A277="","",IF(AND($L277&gt;0,ISNUMBER($M277)),IF($M277&lt;=Config!$B$8,1,0),0))</f>
        <v/>
      </c>
      <c r="R277" s="52" t="str">
        <f>IF($Q277=1,COUNTIFS($Q$2:$Q$301,1,$E$2:$E$301,"&lt;"&amp;$E277)+COUNTIFS($Q$2:$Q277,1,$E$2:$E277,$E277),"")</f>
        <v/>
      </c>
      <c r="S277" s="49" t="str">
        <f>IF(COUNTA($A277:$I277)=0,"",IF($A277="","Missing: lot",IF(COUNTIF($A$2:$A$301,$A277)&gt;1,"Duplicate lot",IF($B277="","Missing: SKU",IF(NOT(ISNUMBER($E277)),"Missing: expiry date",IF($G277="","Missing: status",IF(COUNTIF(Products!$A$2:$A$101,$B277)=0,"Unknown SKU",IF(AND($C277&lt;&gt;"",COUNTIF(Suppliers!$A$2:$A$51,$C277)=0),"Unknown supplier",IF(COUNTIF(Config!$E$15:$E$34,$G277)=0,"Unsupported status",IF($L277&lt;0,"Negative lot balance",IF(AND($G277="Closed",$L277&lt;&gt;0),"Closed lot still has stock","OK")))))))))))</f>
        <v/>
      </c>
    </row>
    <row r="278">
      <c r="A278" s="46" t="n"/>
      <c r="B278" s="46" t="n"/>
      <c r="C278" s="46" t="n"/>
      <c r="D278" s="54" t="n"/>
      <c r="E278" s="54" t="n"/>
      <c r="F278" s="48" t="n"/>
      <c r="G278" s="46" t="n"/>
      <c r="H278" s="46" t="n"/>
      <c r="I278" s="46" t="n"/>
      <c r="J278" s="49" t="str">
        <f>IF($A278="","",IFERROR(INDEX(Products!$B$2:$B$101,MATCH($B278,Products!$A$2:$A$101,0))&amp;"","(not found)"))</f>
        <v/>
      </c>
      <c r="K278" s="51" t="str">
        <f>IF($A278="","",SUMIFS(Inventory_Ledger!$M$2:$M$2001,Inventory_Ledger!$F$2:$F$2001,$A278))</f>
        <v/>
      </c>
      <c r="L278" s="51" t="str">
        <f>IF($A278="","",IF(ISNUMBER($F278),$F278,0)+$K278)</f>
        <v/>
      </c>
      <c r="M278" s="56" t="str">
        <f>IF(OR($A278="",NOT(ISNUMBER($E278))),"",$E278-Config!$B$4)</f>
        <v/>
      </c>
      <c r="N278" s="49" t="str">
        <f>IF($M278="","",IF($M278&lt;0,"Expired",IF($M278&lt;=Config!$B$6,"&lt;="&amp;Config!$B$6,IF($M278&lt;=Config!$B$7,(Config!$B$6+1)&amp;"-"&amp;Config!$B$7,IF($M278&lt;=Config!$B$8,(Config!$B$7+1)&amp;"-"&amp;Config!$B$8,"&gt;"&amp;Config!$B$8)))))</f>
        <v/>
      </c>
      <c r="O278" s="52" t="str">
        <f>IF($M278="","",IF($M278&lt;0,0,IF($M278&lt;=Config!$B$6,1,IF($M278&lt;=Config!$B$7,2,IF($M278&lt;=Config!$B$8,3,4)))))</f>
        <v/>
      </c>
      <c r="P278" s="50" t="str">
        <f>IF($A278="","",IF($L278&lt;=0,0,IF(OR(IFERROR(INDEX(Config!$F$15:$F$34,MATCH($G278,Config!$E$15:$E$34,0)),"No")="Yes",AND(Config!$B$10="Yes",ISNUMBER($M278),$M278&lt;0)),$L278,0)))</f>
        <v/>
      </c>
      <c r="Q278" s="52" t="str">
        <f>IF($A278="","",IF(AND($L278&gt;0,ISNUMBER($M278)),IF($M278&lt;=Config!$B$8,1,0),0))</f>
        <v/>
      </c>
      <c r="R278" s="52" t="str">
        <f>IF($Q278=1,COUNTIFS($Q$2:$Q$301,1,$E$2:$E$301,"&lt;"&amp;$E278)+COUNTIFS($Q$2:$Q278,1,$E$2:$E278,$E278),"")</f>
        <v/>
      </c>
      <c r="S278" s="49" t="str">
        <f>IF(COUNTA($A278:$I278)=0,"",IF($A278="","Missing: lot",IF(COUNTIF($A$2:$A$301,$A278)&gt;1,"Duplicate lot",IF($B278="","Missing: SKU",IF(NOT(ISNUMBER($E278)),"Missing: expiry date",IF($G278="","Missing: status",IF(COUNTIF(Products!$A$2:$A$101,$B278)=0,"Unknown SKU",IF(AND($C278&lt;&gt;"",COUNTIF(Suppliers!$A$2:$A$51,$C278)=0),"Unknown supplier",IF(COUNTIF(Config!$E$15:$E$34,$G278)=0,"Unsupported status",IF($L278&lt;0,"Negative lot balance",IF(AND($G278="Closed",$L278&lt;&gt;0),"Closed lot still has stock","OK")))))))))))</f>
        <v/>
      </c>
    </row>
    <row r="279">
      <c r="A279" s="46" t="n"/>
      <c r="B279" s="46" t="n"/>
      <c r="C279" s="46" t="n"/>
      <c r="D279" s="54" t="n"/>
      <c r="E279" s="54" t="n"/>
      <c r="F279" s="48" t="n"/>
      <c r="G279" s="46" t="n"/>
      <c r="H279" s="46" t="n"/>
      <c r="I279" s="46" t="n"/>
      <c r="J279" s="49" t="str">
        <f>IF($A279="","",IFERROR(INDEX(Products!$B$2:$B$101,MATCH($B279,Products!$A$2:$A$101,0))&amp;"","(not found)"))</f>
        <v/>
      </c>
      <c r="K279" s="51" t="str">
        <f>IF($A279="","",SUMIFS(Inventory_Ledger!$M$2:$M$2001,Inventory_Ledger!$F$2:$F$2001,$A279))</f>
        <v/>
      </c>
      <c r="L279" s="51" t="str">
        <f>IF($A279="","",IF(ISNUMBER($F279),$F279,0)+$K279)</f>
        <v/>
      </c>
      <c r="M279" s="56" t="str">
        <f>IF(OR($A279="",NOT(ISNUMBER($E279))),"",$E279-Config!$B$4)</f>
        <v/>
      </c>
      <c r="N279" s="49" t="str">
        <f>IF($M279="","",IF($M279&lt;0,"Expired",IF($M279&lt;=Config!$B$6,"&lt;="&amp;Config!$B$6,IF($M279&lt;=Config!$B$7,(Config!$B$6+1)&amp;"-"&amp;Config!$B$7,IF($M279&lt;=Config!$B$8,(Config!$B$7+1)&amp;"-"&amp;Config!$B$8,"&gt;"&amp;Config!$B$8)))))</f>
        <v/>
      </c>
      <c r="O279" s="52" t="str">
        <f>IF($M279="","",IF($M279&lt;0,0,IF($M279&lt;=Config!$B$6,1,IF($M279&lt;=Config!$B$7,2,IF($M279&lt;=Config!$B$8,3,4)))))</f>
        <v/>
      </c>
      <c r="P279" s="50" t="str">
        <f>IF($A279="","",IF($L279&lt;=0,0,IF(OR(IFERROR(INDEX(Config!$F$15:$F$34,MATCH($G279,Config!$E$15:$E$34,0)),"No")="Yes",AND(Config!$B$10="Yes",ISNUMBER($M279),$M279&lt;0)),$L279,0)))</f>
        <v/>
      </c>
      <c r="Q279" s="52" t="str">
        <f>IF($A279="","",IF(AND($L279&gt;0,ISNUMBER($M279)),IF($M279&lt;=Config!$B$8,1,0),0))</f>
        <v/>
      </c>
      <c r="R279" s="52" t="str">
        <f>IF($Q279=1,COUNTIFS($Q$2:$Q$301,1,$E$2:$E$301,"&lt;"&amp;$E279)+COUNTIFS($Q$2:$Q279,1,$E$2:$E279,$E279),"")</f>
        <v/>
      </c>
      <c r="S279" s="49" t="str">
        <f>IF(COUNTA($A279:$I279)=0,"",IF($A279="","Missing: lot",IF(COUNTIF($A$2:$A$301,$A279)&gt;1,"Duplicate lot",IF($B279="","Missing: SKU",IF(NOT(ISNUMBER($E279)),"Missing: expiry date",IF($G279="","Missing: status",IF(COUNTIF(Products!$A$2:$A$101,$B279)=0,"Unknown SKU",IF(AND($C279&lt;&gt;"",COUNTIF(Suppliers!$A$2:$A$51,$C279)=0),"Unknown supplier",IF(COUNTIF(Config!$E$15:$E$34,$G279)=0,"Unsupported status",IF($L279&lt;0,"Negative lot balance",IF(AND($G279="Closed",$L279&lt;&gt;0),"Closed lot still has stock","OK")))))))))))</f>
        <v/>
      </c>
    </row>
    <row r="280">
      <c r="A280" s="46" t="n"/>
      <c r="B280" s="46" t="n"/>
      <c r="C280" s="46" t="n"/>
      <c r="D280" s="54" t="n"/>
      <c r="E280" s="54" t="n"/>
      <c r="F280" s="48" t="n"/>
      <c r="G280" s="46" t="n"/>
      <c r="H280" s="46" t="n"/>
      <c r="I280" s="46" t="n"/>
      <c r="J280" s="49" t="str">
        <f>IF($A280="","",IFERROR(INDEX(Products!$B$2:$B$101,MATCH($B280,Products!$A$2:$A$101,0))&amp;"","(not found)"))</f>
        <v/>
      </c>
      <c r="K280" s="51" t="str">
        <f>IF($A280="","",SUMIFS(Inventory_Ledger!$M$2:$M$2001,Inventory_Ledger!$F$2:$F$2001,$A280))</f>
        <v/>
      </c>
      <c r="L280" s="51" t="str">
        <f>IF($A280="","",IF(ISNUMBER($F280),$F280,0)+$K280)</f>
        <v/>
      </c>
      <c r="M280" s="56" t="str">
        <f>IF(OR($A280="",NOT(ISNUMBER($E280))),"",$E280-Config!$B$4)</f>
        <v/>
      </c>
      <c r="N280" s="49" t="str">
        <f>IF($M280="","",IF($M280&lt;0,"Expired",IF($M280&lt;=Config!$B$6,"&lt;="&amp;Config!$B$6,IF($M280&lt;=Config!$B$7,(Config!$B$6+1)&amp;"-"&amp;Config!$B$7,IF($M280&lt;=Config!$B$8,(Config!$B$7+1)&amp;"-"&amp;Config!$B$8,"&gt;"&amp;Config!$B$8)))))</f>
        <v/>
      </c>
      <c r="O280" s="52" t="str">
        <f>IF($M280="","",IF($M280&lt;0,0,IF($M280&lt;=Config!$B$6,1,IF($M280&lt;=Config!$B$7,2,IF($M280&lt;=Config!$B$8,3,4)))))</f>
        <v/>
      </c>
      <c r="P280" s="50" t="str">
        <f>IF($A280="","",IF($L280&lt;=0,0,IF(OR(IFERROR(INDEX(Config!$F$15:$F$34,MATCH($G280,Config!$E$15:$E$34,0)),"No")="Yes",AND(Config!$B$10="Yes",ISNUMBER($M280),$M280&lt;0)),$L280,0)))</f>
        <v/>
      </c>
      <c r="Q280" s="52" t="str">
        <f>IF($A280="","",IF(AND($L280&gt;0,ISNUMBER($M280)),IF($M280&lt;=Config!$B$8,1,0),0))</f>
        <v/>
      </c>
      <c r="R280" s="52" t="str">
        <f>IF($Q280=1,COUNTIFS($Q$2:$Q$301,1,$E$2:$E$301,"&lt;"&amp;$E280)+COUNTIFS($Q$2:$Q280,1,$E$2:$E280,$E280),"")</f>
        <v/>
      </c>
      <c r="S280" s="49" t="str">
        <f>IF(COUNTA($A280:$I280)=0,"",IF($A280="","Missing: lot",IF(COUNTIF($A$2:$A$301,$A280)&gt;1,"Duplicate lot",IF($B280="","Missing: SKU",IF(NOT(ISNUMBER($E280)),"Missing: expiry date",IF($G280="","Missing: status",IF(COUNTIF(Products!$A$2:$A$101,$B280)=0,"Unknown SKU",IF(AND($C280&lt;&gt;"",COUNTIF(Suppliers!$A$2:$A$51,$C280)=0),"Unknown supplier",IF(COUNTIF(Config!$E$15:$E$34,$G280)=0,"Unsupported status",IF($L280&lt;0,"Negative lot balance",IF(AND($G280="Closed",$L280&lt;&gt;0),"Closed lot still has stock","OK")))))))))))</f>
        <v/>
      </c>
    </row>
    <row r="281">
      <c r="A281" s="46" t="n"/>
      <c r="B281" s="46" t="n"/>
      <c r="C281" s="46" t="n"/>
      <c r="D281" s="54" t="n"/>
      <c r="E281" s="54" t="n"/>
      <c r="F281" s="48" t="n"/>
      <c r="G281" s="46" t="n"/>
      <c r="H281" s="46" t="n"/>
      <c r="I281" s="46" t="n"/>
      <c r="J281" s="49" t="str">
        <f>IF($A281="","",IFERROR(INDEX(Products!$B$2:$B$101,MATCH($B281,Products!$A$2:$A$101,0))&amp;"","(not found)"))</f>
        <v/>
      </c>
      <c r="K281" s="51" t="str">
        <f>IF($A281="","",SUMIFS(Inventory_Ledger!$M$2:$M$2001,Inventory_Ledger!$F$2:$F$2001,$A281))</f>
        <v/>
      </c>
      <c r="L281" s="51" t="str">
        <f>IF($A281="","",IF(ISNUMBER($F281),$F281,0)+$K281)</f>
        <v/>
      </c>
      <c r="M281" s="56" t="str">
        <f>IF(OR($A281="",NOT(ISNUMBER($E281))),"",$E281-Config!$B$4)</f>
        <v/>
      </c>
      <c r="N281" s="49" t="str">
        <f>IF($M281="","",IF($M281&lt;0,"Expired",IF($M281&lt;=Config!$B$6,"&lt;="&amp;Config!$B$6,IF($M281&lt;=Config!$B$7,(Config!$B$6+1)&amp;"-"&amp;Config!$B$7,IF($M281&lt;=Config!$B$8,(Config!$B$7+1)&amp;"-"&amp;Config!$B$8,"&gt;"&amp;Config!$B$8)))))</f>
        <v/>
      </c>
      <c r="O281" s="52" t="str">
        <f>IF($M281="","",IF($M281&lt;0,0,IF($M281&lt;=Config!$B$6,1,IF($M281&lt;=Config!$B$7,2,IF($M281&lt;=Config!$B$8,3,4)))))</f>
        <v/>
      </c>
      <c r="P281" s="50" t="str">
        <f>IF($A281="","",IF($L281&lt;=0,0,IF(OR(IFERROR(INDEX(Config!$F$15:$F$34,MATCH($G281,Config!$E$15:$E$34,0)),"No")="Yes",AND(Config!$B$10="Yes",ISNUMBER($M281),$M281&lt;0)),$L281,0)))</f>
        <v/>
      </c>
      <c r="Q281" s="52" t="str">
        <f>IF($A281="","",IF(AND($L281&gt;0,ISNUMBER($M281)),IF($M281&lt;=Config!$B$8,1,0),0))</f>
        <v/>
      </c>
      <c r="R281" s="52" t="str">
        <f>IF($Q281=1,COUNTIFS($Q$2:$Q$301,1,$E$2:$E$301,"&lt;"&amp;$E281)+COUNTIFS($Q$2:$Q281,1,$E$2:$E281,$E281),"")</f>
        <v/>
      </c>
      <c r="S281" s="49" t="str">
        <f>IF(COUNTA($A281:$I281)=0,"",IF($A281="","Missing: lot",IF(COUNTIF($A$2:$A$301,$A281)&gt;1,"Duplicate lot",IF($B281="","Missing: SKU",IF(NOT(ISNUMBER($E281)),"Missing: expiry date",IF($G281="","Missing: status",IF(COUNTIF(Products!$A$2:$A$101,$B281)=0,"Unknown SKU",IF(AND($C281&lt;&gt;"",COUNTIF(Suppliers!$A$2:$A$51,$C281)=0),"Unknown supplier",IF(COUNTIF(Config!$E$15:$E$34,$G281)=0,"Unsupported status",IF($L281&lt;0,"Negative lot balance",IF(AND($G281="Closed",$L281&lt;&gt;0),"Closed lot still has stock","OK")))))))))))</f>
        <v/>
      </c>
    </row>
    <row r="282">
      <c r="A282" s="46" t="n"/>
      <c r="B282" s="46" t="n"/>
      <c r="C282" s="46" t="n"/>
      <c r="D282" s="54" t="n"/>
      <c r="E282" s="54" t="n"/>
      <c r="F282" s="48" t="n"/>
      <c r="G282" s="46" t="n"/>
      <c r="H282" s="46" t="n"/>
      <c r="I282" s="46" t="n"/>
      <c r="J282" s="49" t="str">
        <f>IF($A282="","",IFERROR(INDEX(Products!$B$2:$B$101,MATCH($B282,Products!$A$2:$A$101,0))&amp;"","(not found)"))</f>
        <v/>
      </c>
      <c r="K282" s="51" t="str">
        <f>IF($A282="","",SUMIFS(Inventory_Ledger!$M$2:$M$2001,Inventory_Ledger!$F$2:$F$2001,$A282))</f>
        <v/>
      </c>
      <c r="L282" s="51" t="str">
        <f>IF($A282="","",IF(ISNUMBER($F282),$F282,0)+$K282)</f>
        <v/>
      </c>
      <c r="M282" s="56" t="str">
        <f>IF(OR($A282="",NOT(ISNUMBER($E282))),"",$E282-Config!$B$4)</f>
        <v/>
      </c>
      <c r="N282" s="49" t="str">
        <f>IF($M282="","",IF($M282&lt;0,"Expired",IF($M282&lt;=Config!$B$6,"&lt;="&amp;Config!$B$6,IF($M282&lt;=Config!$B$7,(Config!$B$6+1)&amp;"-"&amp;Config!$B$7,IF($M282&lt;=Config!$B$8,(Config!$B$7+1)&amp;"-"&amp;Config!$B$8,"&gt;"&amp;Config!$B$8)))))</f>
        <v/>
      </c>
      <c r="O282" s="52" t="str">
        <f>IF($M282="","",IF($M282&lt;0,0,IF($M282&lt;=Config!$B$6,1,IF($M282&lt;=Config!$B$7,2,IF($M282&lt;=Config!$B$8,3,4)))))</f>
        <v/>
      </c>
      <c r="P282" s="50" t="str">
        <f>IF($A282="","",IF($L282&lt;=0,0,IF(OR(IFERROR(INDEX(Config!$F$15:$F$34,MATCH($G282,Config!$E$15:$E$34,0)),"No")="Yes",AND(Config!$B$10="Yes",ISNUMBER($M282),$M282&lt;0)),$L282,0)))</f>
        <v/>
      </c>
      <c r="Q282" s="52" t="str">
        <f>IF($A282="","",IF(AND($L282&gt;0,ISNUMBER($M282)),IF($M282&lt;=Config!$B$8,1,0),0))</f>
        <v/>
      </c>
      <c r="R282" s="52" t="str">
        <f>IF($Q282=1,COUNTIFS($Q$2:$Q$301,1,$E$2:$E$301,"&lt;"&amp;$E282)+COUNTIFS($Q$2:$Q282,1,$E$2:$E282,$E282),"")</f>
        <v/>
      </c>
      <c r="S282" s="49" t="str">
        <f>IF(COUNTA($A282:$I282)=0,"",IF($A282="","Missing: lot",IF(COUNTIF($A$2:$A$301,$A282)&gt;1,"Duplicate lot",IF($B282="","Missing: SKU",IF(NOT(ISNUMBER($E282)),"Missing: expiry date",IF($G282="","Missing: status",IF(COUNTIF(Products!$A$2:$A$101,$B282)=0,"Unknown SKU",IF(AND($C282&lt;&gt;"",COUNTIF(Suppliers!$A$2:$A$51,$C282)=0),"Unknown supplier",IF(COUNTIF(Config!$E$15:$E$34,$G282)=0,"Unsupported status",IF($L282&lt;0,"Negative lot balance",IF(AND($G282="Closed",$L282&lt;&gt;0),"Closed lot still has stock","OK")))))))))))</f>
        <v/>
      </c>
    </row>
    <row r="283">
      <c r="A283" s="46" t="n"/>
      <c r="B283" s="46" t="n"/>
      <c r="C283" s="46" t="n"/>
      <c r="D283" s="54" t="n"/>
      <c r="E283" s="54" t="n"/>
      <c r="F283" s="48" t="n"/>
      <c r="G283" s="46" t="n"/>
      <c r="H283" s="46" t="n"/>
      <c r="I283" s="46" t="n"/>
      <c r="J283" s="49" t="str">
        <f>IF($A283="","",IFERROR(INDEX(Products!$B$2:$B$101,MATCH($B283,Products!$A$2:$A$101,0))&amp;"","(not found)"))</f>
        <v/>
      </c>
      <c r="K283" s="51" t="str">
        <f>IF($A283="","",SUMIFS(Inventory_Ledger!$M$2:$M$2001,Inventory_Ledger!$F$2:$F$2001,$A283))</f>
        <v/>
      </c>
      <c r="L283" s="51" t="str">
        <f>IF($A283="","",IF(ISNUMBER($F283),$F283,0)+$K283)</f>
        <v/>
      </c>
      <c r="M283" s="56" t="str">
        <f>IF(OR($A283="",NOT(ISNUMBER($E283))),"",$E283-Config!$B$4)</f>
        <v/>
      </c>
      <c r="N283" s="49" t="str">
        <f>IF($M283="","",IF($M283&lt;0,"Expired",IF($M283&lt;=Config!$B$6,"&lt;="&amp;Config!$B$6,IF($M283&lt;=Config!$B$7,(Config!$B$6+1)&amp;"-"&amp;Config!$B$7,IF($M283&lt;=Config!$B$8,(Config!$B$7+1)&amp;"-"&amp;Config!$B$8,"&gt;"&amp;Config!$B$8)))))</f>
        <v/>
      </c>
      <c r="O283" s="52" t="str">
        <f>IF($M283="","",IF($M283&lt;0,0,IF($M283&lt;=Config!$B$6,1,IF($M283&lt;=Config!$B$7,2,IF($M283&lt;=Config!$B$8,3,4)))))</f>
        <v/>
      </c>
      <c r="P283" s="50" t="str">
        <f>IF($A283="","",IF($L283&lt;=0,0,IF(OR(IFERROR(INDEX(Config!$F$15:$F$34,MATCH($G283,Config!$E$15:$E$34,0)),"No")="Yes",AND(Config!$B$10="Yes",ISNUMBER($M283),$M283&lt;0)),$L283,0)))</f>
        <v/>
      </c>
      <c r="Q283" s="52" t="str">
        <f>IF($A283="","",IF(AND($L283&gt;0,ISNUMBER($M283)),IF($M283&lt;=Config!$B$8,1,0),0))</f>
        <v/>
      </c>
      <c r="R283" s="52" t="str">
        <f>IF($Q283=1,COUNTIFS($Q$2:$Q$301,1,$E$2:$E$301,"&lt;"&amp;$E283)+COUNTIFS($Q$2:$Q283,1,$E$2:$E283,$E283),"")</f>
        <v/>
      </c>
      <c r="S283" s="49" t="str">
        <f>IF(COUNTA($A283:$I283)=0,"",IF($A283="","Missing: lot",IF(COUNTIF($A$2:$A$301,$A283)&gt;1,"Duplicate lot",IF($B283="","Missing: SKU",IF(NOT(ISNUMBER($E283)),"Missing: expiry date",IF($G283="","Missing: status",IF(COUNTIF(Products!$A$2:$A$101,$B283)=0,"Unknown SKU",IF(AND($C283&lt;&gt;"",COUNTIF(Suppliers!$A$2:$A$51,$C283)=0),"Unknown supplier",IF(COUNTIF(Config!$E$15:$E$34,$G283)=0,"Unsupported status",IF($L283&lt;0,"Negative lot balance",IF(AND($G283="Closed",$L283&lt;&gt;0),"Closed lot still has stock","OK")))))))))))</f>
        <v/>
      </c>
    </row>
    <row r="284">
      <c r="A284" s="46" t="n"/>
      <c r="B284" s="46" t="n"/>
      <c r="C284" s="46" t="n"/>
      <c r="D284" s="54" t="n"/>
      <c r="E284" s="54" t="n"/>
      <c r="F284" s="48" t="n"/>
      <c r="G284" s="46" t="n"/>
      <c r="H284" s="46" t="n"/>
      <c r="I284" s="46" t="n"/>
      <c r="J284" s="49" t="str">
        <f>IF($A284="","",IFERROR(INDEX(Products!$B$2:$B$101,MATCH($B284,Products!$A$2:$A$101,0))&amp;"","(not found)"))</f>
        <v/>
      </c>
      <c r="K284" s="51" t="str">
        <f>IF($A284="","",SUMIFS(Inventory_Ledger!$M$2:$M$2001,Inventory_Ledger!$F$2:$F$2001,$A284))</f>
        <v/>
      </c>
      <c r="L284" s="51" t="str">
        <f>IF($A284="","",IF(ISNUMBER($F284),$F284,0)+$K284)</f>
        <v/>
      </c>
      <c r="M284" s="56" t="str">
        <f>IF(OR($A284="",NOT(ISNUMBER($E284))),"",$E284-Config!$B$4)</f>
        <v/>
      </c>
      <c r="N284" s="49" t="str">
        <f>IF($M284="","",IF($M284&lt;0,"Expired",IF($M284&lt;=Config!$B$6,"&lt;="&amp;Config!$B$6,IF($M284&lt;=Config!$B$7,(Config!$B$6+1)&amp;"-"&amp;Config!$B$7,IF($M284&lt;=Config!$B$8,(Config!$B$7+1)&amp;"-"&amp;Config!$B$8,"&gt;"&amp;Config!$B$8)))))</f>
        <v/>
      </c>
      <c r="O284" s="52" t="str">
        <f>IF($M284="","",IF($M284&lt;0,0,IF($M284&lt;=Config!$B$6,1,IF($M284&lt;=Config!$B$7,2,IF($M284&lt;=Config!$B$8,3,4)))))</f>
        <v/>
      </c>
      <c r="P284" s="50" t="str">
        <f>IF($A284="","",IF($L284&lt;=0,0,IF(OR(IFERROR(INDEX(Config!$F$15:$F$34,MATCH($G284,Config!$E$15:$E$34,0)),"No")="Yes",AND(Config!$B$10="Yes",ISNUMBER($M284),$M284&lt;0)),$L284,0)))</f>
        <v/>
      </c>
      <c r="Q284" s="52" t="str">
        <f>IF($A284="","",IF(AND($L284&gt;0,ISNUMBER($M284)),IF($M284&lt;=Config!$B$8,1,0),0))</f>
        <v/>
      </c>
      <c r="R284" s="52" t="str">
        <f>IF($Q284=1,COUNTIFS($Q$2:$Q$301,1,$E$2:$E$301,"&lt;"&amp;$E284)+COUNTIFS($Q$2:$Q284,1,$E$2:$E284,$E284),"")</f>
        <v/>
      </c>
      <c r="S284" s="49" t="str">
        <f>IF(COUNTA($A284:$I284)=0,"",IF($A284="","Missing: lot",IF(COUNTIF($A$2:$A$301,$A284)&gt;1,"Duplicate lot",IF($B284="","Missing: SKU",IF(NOT(ISNUMBER($E284)),"Missing: expiry date",IF($G284="","Missing: status",IF(COUNTIF(Products!$A$2:$A$101,$B284)=0,"Unknown SKU",IF(AND($C284&lt;&gt;"",COUNTIF(Suppliers!$A$2:$A$51,$C284)=0),"Unknown supplier",IF(COUNTIF(Config!$E$15:$E$34,$G284)=0,"Unsupported status",IF($L284&lt;0,"Negative lot balance",IF(AND($G284="Closed",$L284&lt;&gt;0),"Closed lot still has stock","OK")))))))))))</f>
        <v/>
      </c>
    </row>
    <row r="285">
      <c r="A285" s="46" t="n"/>
      <c r="B285" s="46" t="n"/>
      <c r="C285" s="46" t="n"/>
      <c r="D285" s="54" t="n"/>
      <c r="E285" s="54" t="n"/>
      <c r="F285" s="48" t="n"/>
      <c r="G285" s="46" t="n"/>
      <c r="H285" s="46" t="n"/>
      <c r="I285" s="46" t="n"/>
      <c r="J285" s="49" t="str">
        <f>IF($A285="","",IFERROR(INDEX(Products!$B$2:$B$101,MATCH($B285,Products!$A$2:$A$101,0))&amp;"","(not found)"))</f>
        <v/>
      </c>
      <c r="K285" s="51" t="str">
        <f>IF($A285="","",SUMIFS(Inventory_Ledger!$M$2:$M$2001,Inventory_Ledger!$F$2:$F$2001,$A285))</f>
        <v/>
      </c>
      <c r="L285" s="51" t="str">
        <f>IF($A285="","",IF(ISNUMBER($F285),$F285,0)+$K285)</f>
        <v/>
      </c>
      <c r="M285" s="56" t="str">
        <f>IF(OR($A285="",NOT(ISNUMBER($E285))),"",$E285-Config!$B$4)</f>
        <v/>
      </c>
      <c r="N285" s="49" t="str">
        <f>IF($M285="","",IF($M285&lt;0,"Expired",IF($M285&lt;=Config!$B$6,"&lt;="&amp;Config!$B$6,IF($M285&lt;=Config!$B$7,(Config!$B$6+1)&amp;"-"&amp;Config!$B$7,IF($M285&lt;=Config!$B$8,(Config!$B$7+1)&amp;"-"&amp;Config!$B$8,"&gt;"&amp;Config!$B$8)))))</f>
        <v/>
      </c>
      <c r="O285" s="52" t="str">
        <f>IF($M285="","",IF($M285&lt;0,0,IF($M285&lt;=Config!$B$6,1,IF($M285&lt;=Config!$B$7,2,IF($M285&lt;=Config!$B$8,3,4)))))</f>
        <v/>
      </c>
      <c r="P285" s="50" t="str">
        <f>IF($A285="","",IF($L285&lt;=0,0,IF(OR(IFERROR(INDEX(Config!$F$15:$F$34,MATCH($G285,Config!$E$15:$E$34,0)),"No")="Yes",AND(Config!$B$10="Yes",ISNUMBER($M285),$M285&lt;0)),$L285,0)))</f>
        <v/>
      </c>
      <c r="Q285" s="52" t="str">
        <f>IF($A285="","",IF(AND($L285&gt;0,ISNUMBER($M285)),IF($M285&lt;=Config!$B$8,1,0),0))</f>
        <v/>
      </c>
      <c r="R285" s="52" t="str">
        <f>IF($Q285=1,COUNTIFS($Q$2:$Q$301,1,$E$2:$E$301,"&lt;"&amp;$E285)+COUNTIFS($Q$2:$Q285,1,$E$2:$E285,$E285),"")</f>
        <v/>
      </c>
      <c r="S285" s="49" t="str">
        <f>IF(COUNTA($A285:$I285)=0,"",IF($A285="","Missing: lot",IF(COUNTIF($A$2:$A$301,$A285)&gt;1,"Duplicate lot",IF($B285="","Missing: SKU",IF(NOT(ISNUMBER($E285)),"Missing: expiry date",IF($G285="","Missing: status",IF(COUNTIF(Products!$A$2:$A$101,$B285)=0,"Unknown SKU",IF(AND($C285&lt;&gt;"",COUNTIF(Suppliers!$A$2:$A$51,$C285)=0),"Unknown supplier",IF(COUNTIF(Config!$E$15:$E$34,$G285)=0,"Unsupported status",IF($L285&lt;0,"Negative lot balance",IF(AND($G285="Closed",$L285&lt;&gt;0),"Closed lot still has stock","OK")))))))))))</f>
        <v/>
      </c>
    </row>
    <row r="286">
      <c r="A286" s="46" t="n"/>
      <c r="B286" s="46" t="n"/>
      <c r="C286" s="46" t="n"/>
      <c r="D286" s="54" t="n"/>
      <c r="E286" s="54" t="n"/>
      <c r="F286" s="48" t="n"/>
      <c r="G286" s="46" t="n"/>
      <c r="H286" s="46" t="n"/>
      <c r="I286" s="46" t="n"/>
      <c r="J286" s="49" t="str">
        <f>IF($A286="","",IFERROR(INDEX(Products!$B$2:$B$101,MATCH($B286,Products!$A$2:$A$101,0))&amp;"","(not found)"))</f>
        <v/>
      </c>
      <c r="K286" s="51" t="str">
        <f>IF($A286="","",SUMIFS(Inventory_Ledger!$M$2:$M$2001,Inventory_Ledger!$F$2:$F$2001,$A286))</f>
        <v/>
      </c>
      <c r="L286" s="51" t="str">
        <f>IF($A286="","",IF(ISNUMBER($F286),$F286,0)+$K286)</f>
        <v/>
      </c>
      <c r="M286" s="56" t="str">
        <f>IF(OR($A286="",NOT(ISNUMBER($E286))),"",$E286-Config!$B$4)</f>
        <v/>
      </c>
      <c r="N286" s="49" t="str">
        <f>IF($M286="","",IF($M286&lt;0,"Expired",IF($M286&lt;=Config!$B$6,"&lt;="&amp;Config!$B$6,IF($M286&lt;=Config!$B$7,(Config!$B$6+1)&amp;"-"&amp;Config!$B$7,IF($M286&lt;=Config!$B$8,(Config!$B$7+1)&amp;"-"&amp;Config!$B$8,"&gt;"&amp;Config!$B$8)))))</f>
        <v/>
      </c>
      <c r="O286" s="52" t="str">
        <f>IF($M286="","",IF($M286&lt;0,0,IF($M286&lt;=Config!$B$6,1,IF($M286&lt;=Config!$B$7,2,IF($M286&lt;=Config!$B$8,3,4)))))</f>
        <v/>
      </c>
      <c r="P286" s="50" t="str">
        <f>IF($A286="","",IF($L286&lt;=0,0,IF(OR(IFERROR(INDEX(Config!$F$15:$F$34,MATCH($G286,Config!$E$15:$E$34,0)),"No")="Yes",AND(Config!$B$10="Yes",ISNUMBER($M286),$M286&lt;0)),$L286,0)))</f>
        <v/>
      </c>
      <c r="Q286" s="52" t="str">
        <f>IF($A286="","",IF(AND($L286&gt;0,ISNUMBER($M286)),IF($M286&lt;=Config!$B$8,1,0),0))</f>
        <v/>
      </c>
      <c r="R286" s="52" t="str">
        <f>IF($Q286=1,COUNTIFS($Q$2:$Q$301,1,$E$2:$E$301,"&lt;"&amp;$E286)+COUNTIFS($Q$2:$Q286,1,$E$2:$E286,$E286),"")</f>
        <v/>
      </c>
      <c r="S286" s="49" t="str">
        <f>IF(COUNTA($A286:$I286)=0,"",IF($A286="","Missing: lot",IF(COUNTIF($A$2:$A$301,$A286)&gt;1,"Duplicate lot",IF($B286="","Missing: SKU",IF(NOT(ISNUMBER($E286)),"Missing: expiry date",IF($G286="","Missing: status",IF(COUNTIF(Products!$A$2:$A$101,$B286)=0,"Unknown SKU",IF(AND($C286&lt;&gt;"",COUNTIF(Suppliers!$A$2:$A$51,$C286)=0),"Unknown supplier",IF(COUNTIF(Config!$E$15:$E$34,$G286)=0,"Unsupported status",IF($L286&lt;0,"Negative lot balance",IF(AND($G286="Closed",$L286&lt;&gt;0),"Closed lot still has stock","OK")))))))))))</f>
        <v/>
      </c>
    </row>
    <row r="287">
      <c r="A287" s="46" t="n"/>
      <c r="B287" s="46" t="n"/>
      <c r="C287" s="46" t="n"/>
      <c r="D287" s="54" t="n"/>
      <c r="E287" s="54" t="n"/>
      <c r="F287" s="48" t="n"/>
      <c r="G287" s="46" t="n"/>
      <c r="H287" s="46" t="n"/>
      <c r="I287" s="46" t="n"/>
      <c r="J287" s="49" t="str">
        <f>IF($A287="","",IFERROR(INDEX(Products!$B$2:$B$101,MATCH($B287,Products!$A$2:$A$101,0))&amp;"","(not found)"))</f>
        <v/>
      </c>
      <c r="K287" s="51" t="str">
        <f>IF($A287="","",SUMIFS(Inventory_Ledger!$M$2:$M$2001,Inventory_Ledger!$F$2:$F$2001,$A287))</f>
        <v/>
      </c>
      <c r="L287" s="51" t="str">
        <f>IF($A287="","",IF(ISNUMBER($F287),$F287,0)+$K287)</f>
        <v/>
      </c>
      <c r="M287" s="56" t="str">
        <f>IF(OR($A287="",NOT(ISNUMBER($E287))),"",$E287-Config!$B$4)</f>
        <v/>
      </c>
      <c r="N287" s="49" t="str">
        <f>IF($M287="","",IF($M287&lt;0,"Expired",IF($M287&lt;=Config!$B$6,"&lt;="&amp;Config!$B$6,IF($M287&lt;=Config!$B$7,(Config!$B$6+1)&amp;"-"&amp;Config!$B$7,IF($M287&lt;=Config!$B$8,(Config!$B$7+1)&amp;"-"&amp;Config!$B$8,"&gt;"&amp;Config!$B$8)))))</f>
        <v/>
      </c>
      <c r="O287" s="52" t="str">
        <f>IF($M287="","",IF($M287&lt;0,0,IF($M287&lt;=Config!$B$6,1,IF($M287&lt;=Config!$B$7,2,IF($M287&lt;=Config!$B$8,3,4)))))</f>
        <v/>
      </c>
      <c r="P287" s="50" t="str">
        <f>IF($A287="","",IF($L287&lt;=0,0,IF(OR(IFERROR(INDEX(Config!$F$15:$F$34,MATCH($G287,Config!$E$15:$E$34,0)),"No")="Yes",AND(Config!$B$10="Yes",ISNUMBER($M287),$M287&lt;0)),$L287,0)))</f>
        <v/>
      </c>
      <c r="Q287" s="52" t="str">
        <f>IF($A287="","",IF(AND($L287&gt;0,ISNUMBER($M287)),IF($M287&lt;=Config!$B$8,1,0),0))</f>
        <v/>
      </c>
      <c r="R287" s="52" t="str">
        <f>IF($Q287=1,COUNTIFS($Q$2:$Q$301,1,$E$2:$E$301,"&lt;"&amp;$E287)+COUNTIFS($Q$2:$Q287,1,$E$2:$E287,$E287),"")</f>
        <v/>
      </c>
      <c r="S287" s="49" t="str">
        <f>IF(COUNTA($A287:$I287)=0,"",IF($A287="","Missing: lot",IF(COUNTIF($A$2:$A$301,$A287)&gt;1,"Duplicate lot",IF($B287="","Missing: SKU",IF(NOT(ISNUMBER($E287)),"Missing: expiry date",IF($G287="","Missing: status",IF(COUNTIF(Products!$A$2:$A$101,$B287)=0,"Unknown SKU",IF(AND($C287&lt;&gt;"",COUNTIF(Suppliers!$A$2:$A$51,$C287)=0),"Unknown supplier",IF(COUNTIF(Config!$E$15:$E$34,$G287)=0,"Unsupported status",IF($L287&lt;0,"Negative lot balance",IF(AND($G287="Closed",$L287&lt;&gt;0),"Closed lot still has stock","OK")))))))))))</f>
        <v/>
      </c>
    </row>
    <row r="288">
      <c r="A288" s="46" t="n"/>
      <c r="B288" s="46" t="n"/>
      <c r="C288" s="46" t="n"/>
      <c r="D288" s="54" t="n"/>
      <c r="E288" s="54" t="n"/>
      <c r="F288" s="48" t="n"/>
      <c r="G288" s="46" t="n"/>
      <c r="H288" s="46" t="n"/>
      <c r="I288" s="46" t="n"/>
      <c r="J288" s="49" t="str">
        <f>IF($A288="","",IFERROR(INDEX(Products!$B$2:$B$101,MATCH($B288,Products!$A$2:$A$101,0))&amp;"","(not found)"))</f>
        <v/>
      </c>
      <c r="K288" s="51" t="str">
        <f>IF($A288="","",SUMIFS(Inventory_Ledger!$M$2:$M$2001,Inventory_Ledger!$F$2:$F$2001,$A288))</f>
        <v/>
      </c>
      <c r="L288" s="51" t="str">
        <f>IF($A288="","",IF(ISNUMBER($F288),$F288,0)+$K288)</f>
        <v/>
      </c>
      <c r="M288" s="56" t="str">
        <f>IF(OR($A288="",NOT(ISNUMBER($E288))),"",$E288-Config!$B$4)</f>
        <v/>
      </c>
      <c r="N288" s="49" t="str">
        <f>IF($M288="","",IF($M288&lt;0,"Expired",IF($M288&lt;=Config!$B$6,"&lt;="&amp;Config!$B$6,IF($M288&lt;=Config!$B$7,(Config!$B$6+1)&amp;"-"&amp;Config!$B$7,IF($M288&lt;=Config!$B$8,(Config!$B$7+1)&amp;"-"&amp;Config!$B$8,"&gt;"&amp;Config!$B$8)))))</f>
        <v/>
      </c>
      <c r="O288" s="52" t="str">
        <f>IF($M288="","",IF($M288&lt;0,0,IF($M288&lt;=Config!$B$6,1,IF($M288&lt;=Config!$B$7,2,IF($M288&lt;=Config!$B$8,3,4)))))</f>
        <v/>
      </c>
      <c r="P288" s="50" t="str">
        <f>IF($A288="","",IF($L288&lt;=0,0,IF(OR(IFERROR(INDEX(Config!$F$15:$F$34,MATCH($G288,Config!$E$15:$E$34,0)),"No")="Yes",AND(Config!$B$10="Yes",ISNUMBER($M288),$M288&lt;0)),$L288,0)))</f>
        <v/>
      </c>
      <c r="Q288" s="52" t="str">
        <f>IF($A288="","",IF(AND($L288&gt;0,ISNUMBER($M288)),IF($M288&lt;=Config!$B$8,1,0),0))</f>
        <v/>
      </c>
      <c r="R288" s="52" t="str">
        <f>IF($Q288=1,COUNTIFS($Q$2:$Q$301,1,$E$2:$E$301,"&lt;"&amp;$E288)+COUNTIFS($Q$2:$Q288,1,$E$2:$E288,$E288),"")</f>
        <v/>
      </c>
      <c r="S288" s="49" t="str">
        <f>IF(COUNTA($A288:$I288)=0,"",IF($A288="","Missing: lot",IF(COUNTIF($A$2:$A$301,$A288)&gt;1,"Duplicate lot",IF($B288="","Missing: SKU",IF(NOT(ISNUMBER($E288)),"Missing: expiry date",IF($G288="","Missing: status",IF(COUNTIF(Products!$A$2:$A$101,$B288)=0,"Unknown SKU",IF(AND($C288&lt;&gt;"",COUNTIF(Suppliers!$A$2:$A$51,$C288)=0),"Unknown supplier",IF(COUNTIF(Config!$E$15:$E$34,$G288)=0,"Unsupported status",IF($L288&lt;0,"Negative lot balance",IF(AND($G288="Closed",$L288&lt;&gt;0),"Closed lot still has stock","OK")))))))))))</f>
        <v/>
      </c>
    </row>
    <row r="289">
      <c r="A289" s="46" t="n"/>
      <c r="B289" s="46" t="n"/>
      <c r="C289" s="46" t="n"/>
      <c r="D289" s="54" t="n"/>
      <c r="E289" s="54" t="n"/>
      <c r="F289" s="48" t="n"/>
      <c r="G289" s="46" t="n"/>
      <c r="H289" s="46" t="n"/>
      <c r="I289" s="46" t="n"/>
      <c r="J289" s="49" t="str">
        <f>IF($A289="","",IFERROR(INDEX(Products!$B$2:$B$101,MATCH($B289,Products!$A$2:$A$101,0))&amp;"","(not found)"))</f>
        <v/>
      </c>
      <c r="K289" s="51" t="str">
        <f>IF($A289="","",SUMIFS(Inventory_Ledger!$M$2:$M$2001,Inventory_Ledger!$F$2:$F$2001,$A289))</f>
        <v/>
      </c>
      <c r="L289" s="51" t="str">
        <f>IF($A289="","",IF(ISNUMBER($F289),$F289,0)+$K289)</f>
        <v/>
      </c>
      <c r="M289" s="56" t="str">
        <f>IF(OR($A289="",NOT(ISNUMBER($E289))),"",$E289-Config!$B$4)</f>
        <v/>
      </c>
      <c r="N289" s="49" t="str">
        <f>IF($M289="","",IF($M289&lt;0,"Expired",IF($M289&lt;=Config!$B$6,"&lt;="&amp;Config!$B$6,IF($M289&lt;=Config!$B$7,(Config!$B$6+1)&amp;"-"&amp;Config!$B$7,IF($M289&lt;=Config!$B$8,(Config!$B$7+1)&amp;"-"&amp;Config!$B$8,"&gt;"&amp;Config!$B$8)))))</f>
        <v/>
      </c>
      <c r="O289" s="52" t="str">
        <f>IF($M289="","",IF($M289&lt;0,0,IF($M289&lt;=Config!$B$6,1,IF($M289&lt;=Config!$B$7,2,IF($M289&lt;=Config!$B$8,3,4)))))</f>
        <v/>
      </c>
      <c r="P289" s="50" t="str">
        <f>IF($A289="","",IF($L289&lt;=0,0,IF(OR(IFERROR(INDEX(Config!$F$15:$F$34,MATCH($G289,Config!$E$15:$E$34,0)),"No")="Yes",AND(Config!$B$10="Yes",ISNUMBER($M289),$M289&lt;0)),$L289,0)))</f>
        <v/>
      </c>
      <c r="Q289" s="52" t="str">
        <f>IF($A289="","",IF(AND($L289&gt;0,ISNUMBER($M289)),IF($M289&lt;=Config!$B$8,1,0),0))</f>
        <v/>
      </c>
      <c r="R289" s="52" t="str">
        <f>IF($Q289=1,COUNTIFS($Q$2:$Q$301,1,$E$2:$E$301,"&lt;"&amp;$E289)+COUNTIFS($Q$2:$Q289,1,$E$2:$E289,$E289),"")</f>
        <v/>
      </c>
      <c r="S289" s="49" t="str">
        <f>IF(COUNTA($A289:$I289)=0,"",IF($A289="","Missing: lot",IF(COUNTIF($A$2:$A$301,$A289)&gt;1,"Duplicate lot",IF($B289="","Missing: SKU",IF(NOT(ISNUMBER($E289)),"Missing: expiry date",IF($G289="","Missing: status",IF(COUNTIF(Products!$A$2:$A$101,$B289)=0,"Unknown SKU",IF(AND($C289&lt;&gt;"",COUNTIF(Suppliers!$A$2:$A$51,$C289)=0),"Unknown supplier",IF(COUNTIF(Config!$E$15:$E$34,$G289)=0,"Unsupported status",IF($L289&lt;0,"Negative lot balance",IF(AND($G289="Closed",$L289&lt;&gt;0),"Closed lot still has stock","OK")))))))))))</f>
        <v/>
      </c>
    </row>
    <row r="290">
      <c r="A290" s="46" t="n"/>
      <c r="B290" s="46" t="n"/>
      <c r="C290" s="46" t="n"/>
      <c r="D290" s="54" t="n"/>
      <c r="E290" s="54" t="n"/>
      <c r="F290" s="48" t="n"/>
      <c r="G290" s="46" t="n"/>
      <c r="H290" s="46" t="n"/>
      <c r="I290" s="46" t="n"/>
      <c r="J290" s="49" t="str">
        <f>IF($A290="","",IFERROR(INDEX(Products!$B$2:$B$101,MATCH($B290,Products!$A$2:$A$101,0))&amp;"","(not found)"))</f>
        <v/>
      </c>
      <c r="K290" s="51" t="str">
        <f>IF($A290="","",SUMIFS(Inventory_Ledger!$M$2:$M$2001,Inventory_Ledger!$F$2:$F$2001,$A290))</f>
        <v/>
      </c>
      <c r="L290" s="51" t="str">
        <f>IF($A290="","",IF(ISNUMBER($F290),$F290,0)+$K290)</f>
        <v/>
      </c>
      <c r="M290" s="56" t="str">
        <f>IF(OR($A290="",NOT(ISNUMBER($E290))),"",$E290-Config!$B$4)</f>
        <v/>
      </c>
      <c r="N290" s="49" t="str">
        <f>IF($M290="","",IF($M290&lt;0,"Expired",IF($M290&lt;=Config!$B$6,"&lt;="&amp;Config!$B$6,IF($M290&lt;=Config!$B$7,(Config!$B$6+1)&amp;"-"&amp;Config!$B$7,IF($M290&lt;=Config!$B$8,(Config!$B$7+1)&amp;"-"&amp;Config!$B$8,"&gt;"&amp;Config!$B$8)))))</f>
        <v/>
      </c>
      <c r="O290" s="52" t="str">
        <f>IF($M290="","",IF($M290&lt;0,0,IF($M290&lt;=Config!$B$6,1,IF($M290&lt;=Config!$B$7,2,IF($M290&lt;=Config!$B$8,3,4)))))</f>
        <v/>
      </c>
      <c r="P290" s="50" t="str">
        <f>IF($A290="","",IF($L290&lt;=0,0,IF(OR(IFERROR(INDEX(Config!$F$15:$F$34,MATCH($G290,Config!$E$15:$E$34,0)),"No")="Yes",AND(Config!$B$10="Yes",ISNUMBER($M290),$M290&lt;0)),$L290,0)))</f>
        <v/>
      </c>
      <c r="Q290" s="52" t="str">
        <f>IF($A290="","",IF(AND($L290&gt;0,ISNUMBER($M290)),IF($M290&lt;=Config!$B$8,1,0),0))</f>
        <v/>
      </c>
      <c r="R290" s="52" t="str">
        <f>IF($Q290=1,COUNTIFS($Q$2:$Q$301,1,$E$2:$E$301,"&lt;"&amp;$E290)+COUNTIFS($Q$2:$Q290,1,$E$2:$E290,$E290),"")</f>
        <v/>
      </c>
      <c r="S290" s="49" t="str">
        <f>IF(COUNTA($A290:$I290)=0,"",IF($A290="","Missing: lot",IF(COUNTIF($A$2:$A$301,$A290)&gt;1,"Duplicate lot",IF($B290="","Missing: SKU",IF(NOT(ISNUMBER($E290)),"Missing: expiry date",IF($G290="","Missing: status",IF(COUNTIF(Products!$A$2:$A$101,$B290)=0,"Unknown SKU",IF(AND($C290&lt;&gt;"",COUNTIF(Suppliers!$A$2:$A$51,$C290)=0),"Unknown supplier",IF(COUNTIF(Config!$E$15:$E$34,$G290)=0,"Unsupported status",IF($L290&lt;0,"Negative lot balance",IF(AND($G290="Closed",$L290&lt;&gt;0),"Closed lot still has stock","OK")))))))))))</f>
        <v/>
      </c>
    </row>
    <row r="291">
      <c r="A291" s="46" t="n"/>
      <c r="B291" s="46" t="n"/>
      <c r="C291" s="46" t="n"/>
      <c r="D291" s="54" t="n"/>
      <c r="E291" s="54" t="n"/>
      <c r="F291" s="48" t="n"/>
      <c r="G291" s="46" t="n"/>
      <c r="H291" s="46" t="n"/>
      <c r="I291" s="46" t="n"/>
      <c r="J291" s="49" t="str">
        <f>IF($A291="","",IFERROR(INDEX(Products!$B$2:$B$101,MATCH($B291,Products!$A$2:$A$101,0))&amp;"","(not found)"))</f>
        <v/>
      </c>
      <c r="K291" s="51" t="str">
        <f>IF($A291="","",SUMIFS(Inventory_Ledger!$M$2:$M$2001,Inventory_Ledger!$F$2:$F$2001,$A291))</f>
        <v/>
      </c>
      <c r="L291" s="51" t="str">
        <f>IF($A291="","",IF(ISNUMBER($F291),$F291,0)+$K291)</f>
        <v/>
      </c>
      <c r="M291" s="56" t="str">
        <f>IF(OR($A291="",NOT(ISNUMBER($E291))),"",$E291-Config!$B$4)</f>
        <v/>
      </c>
      <c r="N291" s="49" t="str">
        <f>IF($M291="","",IF($M291&lt;0,"Expired",IF($M291&lt;=Config!$B$6,"&lt;="&amp;Config!$B$6,IF($M291&lt;=Config!$B$7,(Config!$B$6+1)&amp;"-"&amp;Config!$B$7,IF($M291&lt;=Config!$B$8,(Config!$B$7+1)&amp;"-"&amp;Config!$B$8,"&gt;"&amp;Config!$B$8)))))</f>
        <v/>
      </c>
      <c r="O291" s="52" t="str">
        <f>IF($M291="","",IF($M291&lt;0,0,IF($M291&lt;=Config!$B$6,1,IF($M291&lt;=Config!$B$7,2,IF($M291&lt;=Config!$B$8,3,4)))))</f>
        <v/>
      </c>
      <c r="P291" s="50" t="str">
        <f>IF($A291="","",IF($L291&lt;=0,0,IF(OR(IFERROR(INDEX(Config!$F$15:$F$34,MATCH($G291,Config!$E$15:$E$34,0)),"No")="Yes",AND(Config!$B$10="Yes",ISNUMBER($M291),$M291&lt;0)),$L291,0)))</f>
        <v/>
      </c>
      <c r="Q291" s="52" t="str">
        <f>IF($A291="","",IF(AND($L291&gt;0,ISNUMBER($M291)),IF($M291&lt;=Config!$B$8,1,0),0))</f>
        <v/>
      </c>
      <c r="R291" s="52" t="str">
        <f>IF($Q291=1,COUNTIFS($Q$2:$Q$301,1,$E$2:$E$301,"&lt;"&amp;$E291)+COUNTIFS($Q$2:$Q291,1,$E$2:$E291,$E291),"")</f>
        <v/>
      </c>
      <c r="S291" s="49" t="str">
        <f>IF(COUNTA($A291:$I291)=0,"",IF($A291="","Missing: lot",IF(COUNTIF($A$2:$A$301,$A291)&gt;1,"Duplicate lot",IF($B291="","Missing: SKU",IF(NOT(ISNUMBER($E291)),"Missing: expiry date",IF($G291="","Missing: status",IF(COUNTIF(Products!$A$2:$A$101,$B291)=0,"Unknown SKU",IF(AND($C291&lt;&gt;"",COUNTIF(Suppliers!$A$2:$A$51,$C291)=0),"Unknown supplier",IF(COUNTIF(Config!$E$15:$E$34,$G291)=0,"Unsupported status",IF($L291&lt;0,"Negative lot balance",IF(AND($G291="Closed",$L291&lt;&gt;0),"Closed lot still has stock","OK")))))))))))</f>
        <v/>
      </c>
    </row>
    <row r="292">
      <c r="A292" s="46" t="n"/>
      <c r="B292" s="46" t="n"/>
      <c r="C292" s="46" t="n"/>
      <c r="D292" s="54" t="n"/>
      <c r="E292" s="54" t="n"/>
      <c r="F292" s="48" t="n"/>
      <c r="G292" s="46" t="n"/>
      <c r="H292" s="46" t="n"/>
      <c r="I292" s="46" t="n"/>
      <c r="J292" s="49" t="str">
        <f>IF($A292="","",IFERROR(INDEX(Products!$B$2:$B$101,MATCH($B292,Products!$A$2:$A$101,0))&amp;"","(not found)"))</f>
        <v/>
      </c>
      <c r="K292" s="51" t="str">
        <f>IF($A292="","",SUMIFS(Inventory_Ledger!$M$2:$M$2001,Inventory_Ledger!$F$2:$F$2001,$A292))</f>
        <v/>
      </c>
      <c r="L292" s="51" t="str">
        <f>IF($A292="","",IF(ISNUMBER($F292),$F292,0)+$K292)</f>
        <v/>
      </c>
      <c r="M292" s="56" t="str">
        <f>IF(OR($A292="",NOT(ISNUMBER($E292))),"",$E292-Config!$B$4)</f>
        <v/>
      </c>
      <c r="N292" s="49" t="str">
        <f>IF($M292="","",IF($M292&lt;0,"Expired",IF($M292&lt;=Config!$B$6,"&lt;="&amp;Config!$B$6,IF($M292&lt;=Config!$B$7,(Config!$B$6+1)&amp;"-"&amp;Config!$B$7,IF($M292&lt;=Config!$B$8,(Config!$B$7+1)&amp;"-"&amp;Config!$B$8,"&gt;"&amp;Config!$B$8)))))</f>
        <v/>
      </c>
      <c r="O292" s="52" t="str">
        <f>IF($M292="","",IF($M292&lt;0,0,IF($M292&lt;=Config!$B$6,1,IF($M292&lt;=Config!$B$7,2,IF($M292&lt;=Config!$B$8,3,4)))))</f>
        <v/>
      </c>
      <c r="P292" s="50" t="str">
        <f>IF($A292="","",IF($L292&lt;=0,0,IF(OR(IFERROR(INDEX(Config!$F$15:$F$34,MATCH($G292,Config!$E$15:$E$34,0)),"No")="Yes",AND(Config!$B$10="Yes",ISNUMBER($M292),$M292&lt;0)),$L292,0)))</f>
        <v/>
      </c>
      <c r="Q292" s="52" t="str">
        <f>IF($A292="","",IF(AND($L292&gt;0,ISNUMBER($M292)),IF($M292&lt;=Config!$B$8,1,0),0))</f>
        <v/>
      </c>
      <c r="R292" s="52" t="str">
        <f>IF($Q292=1,COUNTIFS($Q$2:$Q$301,1,$E$2:$E$301,"&lt;"&amp;$E292)+COUNTIFS($Q$2:$Q292,1,$E$2:$E292,$E292),"")</f>
        <v/>
      </c>
      <c r="S292" s="49" t="str">
        <f>IF(COUNTA($A292:$I292)=0,"",IF($A292="","Missing: lot",IF(COUNTIF($A$2:$A$301,$A292)&gt;1,"Duplicate lot",IF($B292="","Missing: SKU",IF(NOT(ISNUMBER($E292)),"Missing: expiry date",IF($G292="","Missing: status",IF(COUNTIF(Products!$A$2:$A$101,$B292)=0,"Unknown SKU",IF(AND($C292&lt;&gt;"",COUNTIF(Suppliers!$A$2:$A$51,$C292)=0),"Unknown supplier",IF(COUNTIF(Config!$E$15:$E$34,$G292)=0,"Unsupported status",IF($L292&lt;0,"Negative lot balance",IF(AND($G292="Closed",$L292&lt;&gt;0),"Closed lot still has stock","OK")))))))))))</f>
        <v/>
      </c>
    </row>
    <row r="293">
      <c r="A293" s="46" t="n"/>
      <c r="B293" s="46" t="n"/>
      <c r="C293" s="46" t="n"/>
      <c r="D293" s="54" t="n"/>
      <c r="E293" s="54" t="n"/>
      <c r="F293" s="48" t="n"/>
      <c r="G293" s="46" t="n"/>
      <c r="H293" s="46" t="n"/>
      <c r="I293" s="46" t="n"/>
      <c r="J293" s="49" t="str">
        <f>IF($A293="","",IFERROR(INDEX(Products!$B$2:$B$101,MATCH($B293,Products!$A$2:$A$101,0))&amp;"","(not found)"))</f>
        <v/>
      </c>
      <c r="K293" s="51" t="str">
        <f>IF($A293="","",SUMIFS(Inventory_Ledger!$M$2:$M$2001,Inventory_Ledger!$F$2:$F$2001,$A293))</f>
        <v/>
      </c>
      <c r="L293" s="51" t="str">
        <f>IF($A293="","",IF(ISNUMBER($F293),$F293,0)+$K293)</f>
        <v/>
      </c>
      <c r="M293" s="56" t="str">
        <f>IF(OR($A293="",NOT(ISNUMBER($E293))),"",$E293-Config!$B$4)</f>
        <v/>
      </c>
      <c r="N293" s="49" t="str">
        <f>IF($M293="","",IF($M293&lt;0,"Expired",IF($M293&lt;=Config!$B$6,"&lt;="&amp;Config!$B$6,IF($M293&lt;=Config!$B$7,(Config!$B$6+1)&amp;"-"&amp;Config!$B$7,IF($M293&lt;=Config!$B$8,(Config!$B$7+1)&amp;"-"&amp;Config!$B$8,"&gt;"&amp;Config!$B$8)))))</f>
        <v/>
      </c>
      <c r="O293" s="52" t="str">
        <f>IF($M293="","",IF($M293&lt;0,0,IF($M293&lt;=Config!$B$6,1,IF($M293&lt;=Config!$B$7,2,IF($M293&lt;=Config!$B$8,3,4)))))</f>
        <v/>
      </c>
      <c r="P293" s="50" t="str">
        <f>IF($A293="","",IF($L293&lt;=0,0,IF(OR(IFERROR(INDEX(Config!$F$15:$F$34,MATCH($G293,Config!$E$15:$E$34,0)),"No")="Yes",AND(Config!$B$10="Yes",ISNUMBER($M293),$M293&lt;0)),$L293,0)))</f>
        <v/>
      </c>
      <c r="Q293" s="52" t="str">
        <f>IF($A293="","",IF(AND($L293&gt;0,ISNUMBER($M293)),IF($M293&lt;=Config!$B$8,1,0),0))</f>
        <v/>
      </c>
      <c r="R293" s="52" t="str">
        <f>IF($Q293=1,COUNTIFS($Q$2:$Q$301,1,$E$2:$E$301,"&lt;"&amp;$E293)+COUNTIFS($Q$2:$Q293,1,$E$2:$E293,$E293),"")</f>
        <v/>
      </c>
      <c r="S293" s="49" t="str">
        <f>IF(COUNTA($A293:$I293)=0,"",IF($A293="","Missing: lot",IF(COUNTIF($A$2:$A$301,$A293)&gt;1,"Duplicate lot",IF($B293="","Missing: SKU",IF(NOT(ISNUMBER($E293)),"Missing: expiry date",IF($G293="","Missing: status",IF(COUNTIF(Products!$A$2:$A$101,$B293)=0,"Unknown SKU",IF(AND($C293&lt;&gt;"",COUNTIF(Suppliers!$A$2:$A$51,$C293)=0),"Unknown supplier",IF(COUNTIF(Config!$E$15:$E$34,$G293)=0,"Unsupported status",IF($L293&lt;0,"Negative lot balance",IF(AND($G293="Closed",$L293&lt;&gt;0),"Closed lot still has stock","OK")))))))))))</f>
        <v/>
      </c>
    </row>
    <row r="294">
      <c r="A294" s="46" t="n"/>
      <c r="B294" s="46" t="n"/>
      <c r="C294" s="46" t="n"/>
      <c r="D294" s="54" t="n"/>
      <c r="E294" s="54" t="n"/>
      <c r="F294" s="48" t="n"/>
      <c r="G294" s="46" t="n"/>
      <c r="H294" s="46" t="n"/>
      <c r="I294" s="46" t="n"/>
      <c r="J294" s="49" t="str">
        <f>IF($A294="","",IFERROR(INDEX(Products!$B$2:$B$101,MATCH($B294,Products!$A$2:$A$101,0))&amp;"","(not found)"))</f>
        <v/>
      </c>
      <c r="K294" s="51" t="str">
        <f>IF($A294="","",SUMIFS(Inventory_Ledger!$M$2:$M$2001,Inventory_Ledger!$F$2:$F$2001,$A294))</f>
        <v/>
      </c>
      <c r="L294" s="51" t="str">
        <f>IF($A294="","",IF(ISNUMBER($F294),$F294,0)+$K294)</f>
        <v/>
      </c>
      <c r="M294" s="56" t="str">
        <f>IF(OR($A294="",NOT(ISNUMBER($E294))),"",$E294-Config!$B$4)</f>
        <v/>
      </c>
      <c r="N294" s="49" t="str">
        <f>IF($M294="","",IF($M294&lt;0,"Expired",IF($M294&lt;=Config!$B$6,"&lt;="&amp;Config!$B$6,IF($M294&lt;=Config!$B$7,(Config!$B$6+1)&amp;"-"&amp;Config!$B$7,IF($M294&lt;=Config!$B$8,(Config!$B$7+1)&amp;"-"&amp;Config!$B$8,"&gt;"&amp;Config!$B$8)))))</f>
        <v/>
      </c>
      <c r="O294" s="52" t="str">
        <f>IF($M294="","",IF($M294&lt;0,0,IF($M294&lt;=Config!$B$6,1,IF($M294&lt;=Config!$B$7,2,IF($M294&lt;=Config!$B$8,3,4)))))</f>
        <v/>
      </c>
      <c r="P294" s="50" t="str">
        <f>IF($A294="","",IF($L294&lt;=0,0,IF(OR(IFERROR(INDEX(Config!$F$15:$F$34,MATCH($G294,Config!$E$15:$E$34,0)),"No")="Yes",AND(Config!$B$10="Yes",ISNUMBER($M294),$M294&lt;0)),$L294,0)))</f>
        <v/>
      </c>
      <c r="Q294" s="52" t="str">
        <f>IF($A294="","",IF(AND($L294&gt;0,ISNUMBER($M294)),IF($M294&lt;=Config!$B$8,1,0),0))</f>
        <v/>
      </c>
      <c r="R294" s="52" t="str">
        <f>IF($Q294=1,COUNTIFS($Q$2:$Q$301,1,$E$2:$E$301,"&lt;"&amp;$E294)+COUNTIFS($Q$2:$Q294,1,$E$2:$E294,$E294),"")</f>
        <v/>
      </c>
      <c r="S294" s="49" t="str">
        <f>IF(COUNTA($A294:$I294)=0,"",IF($A294="","Missing: lot",IF(COUNTIF($A$2:$A$301,$A294)&gt;1,"Duplicate lot",IF($B294="","Missing: SKU",IF(NOT(ISNUMBER($E294)),"Missing: expiry date",IF($G294="","Missing: status",IF(COUNTIF(Products!$A$2:$A$101,$B294)=0,"Unknown SKU",IF(AND($C294&lt;&gt;"",COUNTIF(Suppliers!$A$2:$A$51,$C294)=0),"Unknown supplier",IF(COUNTIF(Config!$E$15:$E$34,$G294)=0,"Unsupported status",IF($L294&lt;0,"Negative lot balance",IF(AND($G294="Closed",$L294&lt;&gt;0),"Closed lot still has stock","OK")))))))))))</f>
        <v/>
      </c>
    </row>
    <row r="295">
      <c r="A295" s="46" t="n"/>
      <c r="B295" s="46" t="n"/>
      <c r="C295" s="46" t="n"/>
      <c r="D295" s="54" t="n"/>
      <c r="E295" s="54" t="n"/>
      <c r="F295" s="48" t="n"/>
      <c r="G295" s="46" t="n"/>
      <c r="H295" s="46" t="n"/>
      <c r="I295" s="46" t="n"/>
      <c r="J295" s="49" t="str">
        <f>IF($A295="","",IFERROR(INDEX(Products!$B$2:$B$101,MATCH($B295,Products!$A$2:$A$101,0))&amp;"","(not found)"))</f>
        <v/>
      </c>
      <c r="K295" s="51" t="str">
        <f>IF($A295="","",SUMIFS(Inventory_Ledger!$M$2:$M$2001,Inventory_Ledger!$F$2:$F$2001,$A295))</f>
        <v/>
      </c>
      <c r="L295" s="51" t="str">
        <f>IF($A295="","",IF(ISNUMBER($F295),$F295,0)+$K295)</f>
        <v/>
      </c>
      <c r="M295" s="56" t="str">
        <f>IF(OR($A295="",NOT(ISNUMBER($E295))),"",$E295-Config!$B$4)</f>
        <v/>
      </c>
      <c r="N295" s="49" t="str">
        <f>IF($M295="","",IF($M295&lt;0,"Expired",IF($M295&lt;=Config!$B$6,"&lt;="&amp;Config!$B$6,IF($M295&lt;=Config!$B$7,(Config!$B$6+1)&amp;"-"&amp;Config!$B$7,IF($M295&lt;=Config!$B$8,(Config!$B$7+1)&amp;"-"&amp;Config!$B$8,"&gt;"&amp;Config!$B$8)))))</f>
        <v/>
      </c>
      <c r="O295" s="52" t="str">
        <f>IF($M295="","",IF($M295&lt;0,0,IF($M295&lt;=Config!$B$6,1,IF($M295&lt;=Config!$B$7,2,IF($M295&lt;=Config!$B$8,3,4)))))</f>
        <v/>
      </c>
      <c r="P295" s="50" t="str">
        <f>IF($A295="","",IF($L295&lt;=0,0,IF(OR(IFERROR(INDEX(Config!$F$15:$F$34,MATCH($G295,Config!$E$15:$E$34,0)),"No")="Yes",AND(Config!$B$10="Yes",ISNUMBER($M295),$M295&lt;0)),$L295,0)))</f>
        <v/>
      </c>
      <c r="Q295" s="52" t="str">
        <f>IF($A295="","",IF(AND($L295&gt;0,ISNUMBER($M295)),IF($M295&lt;=Config!$B$8,1,0),0))</f>
        <v/>
      </c>
      <c r="R295" s="52" t="str">
        <f>IF($Q295=1,COUNTIFS($Q$2:$Q$301,1,$E$2:$E$301,"&lt;"&amp;$E295)+COUNTIFS($Q$2:$Q295,1,$E$2:$E295,$E295),"")</f>
        <v/>
      </c>
      <c r="S295" s="49" t="str">
        <f>IF(COUNTA($A295:$I295)=0,"",IF($A295="","Missing: lot",IF(COUNTIF($A$2:$A$301,$A295)&gt;1,"Duplicate lot",IF($B295="","Missing: SKU",IF(NOT(ISNUMBER($E295)),"Missing: expiry date",IF($G295="","Missing: status",IF(COUNTIF(Products!$A$2:$A$101,$B295)=0,"Unknown SKU",IF(AND($C295&lt;&gt;"",COUNTIF(Suppliers!$A$2:$A$51,$C295)=0),"Unknown supplier",IF(COUNTIF(Config!$E$15:$E$34,$G295)=0,"Unsupported status",IF($L295&lt;0,"Negative lot balance",IF(AND($G295="Closed",$L295&lt;&gt;0),"Closed lot still has stock","OK")))))))))))</f>
        <v/>
      </c>
    </row>
    <row r="296">
      <c r="A296" s="46" t="n"/>
      <c r="B296" s="46" t="n"/>
      <c r="C296" s="46" t="n"/>
      <c r="D296" s="54" t="n"/>
      <c r="E296" s="54" t="n"/>
      <c r="F296" s="48" t="n"/>
      <c r="G296" s="46" t="n"/>
      <c r="H296" s="46" t="n"/>
      <c r="I296" s="46" t="n"/>
      <c r="J296" s="49" t="str">
        <f>IF($A296="","",IFERROR(INDEX(Products!$B$2:$B$101,MATCH($B296,Products!$A$2:$A$101,0))&amp;"","(not found)"))</f>
        <v/>
      </c>
      <c r="K296" s="51" t="str">
        <f>IF($A296="","",SUMIFS(Inventory_Ledger!$M$2:$M$2001,Inventory_Ledger!$F$2:$F$2001,$A296))</f>
        <v/>
      </c>
      <c r="L296" s="51" t="str">
        <f>IF($A296="","",IF(ISNUMBER($F296),$F296,0)+$K296)</f>
        <v/>
      </c>
      <c r="M296" s="56" t="str">
        <f>IF(OR($A296="",NOT(ISNUMBER($E296))),"",$E296-Config!$B$4)</f>
        <v/>
      </c>
      <c r="N296" s="49" t="str">
        <f>IF($M296="","",IF($M296&lt;0,"Expired",IF($M296&lt;=Config!$B$6,"&lt;="&amp;Config!$B$6,IF($M296&lt;=Config!$B$7,(Config!$B$6+1)&amp;"-"&amp;Config!$B$7,IF($M296&lt;=Config!$B$8,(Config!$B$7+1)&amp;"-"&amp;Config!$B$8,"&gt;"&amp;Config!$B$8)))))</f>
        <v/>
      </c>
      <c r="O296" s="52" t="str">
        <f>IF($M296="","",IF($M296&lt;0,0,IF($M296&lt;=Config!$B$6,1,IF($M296&lt;=Config!$B$7,2,IF($M296&lt;=Config!$B$8,3,4)))))</f>
        <v/>
      </c>
      <c r="P296" s="50" t="str">
        <f>IF($A296="","",IF($L296&lt;=0,0,IF(OR(IFERROR(INDEX(Config!$F$15:$F$34,MATCH($G296,Config!$E$15:$E$34,0)),"No")="Yes",AND(Config!$B$10="Yes",ISNUMBER($M296),$M296&lt;0)),$L296,0)))</f>
        <v/>
      </c>
      <c r="Q296" s="52" t="str">
        <f>IF($A296="","",IF(AND($L296&gt;0,ISNUMBER($M296)),IF($M296&lt;=Config!$B$8,1,0),0))</f>
        <v/>
      </c>
      <c r="R296" s="52" t="str">
        <f>IF($Q296=1,COUNTIFS($Q$2:$Q$301,1,$E$2:$E$301,"&lt;"&amp;$E296)+COUNTIFS($Q$2:$Q296,1,$E$2:$E296,$E296),"")</f>
        <v/>
      </c>
      <c r="S296" s="49" t="str">
        <f>IF(COUNTA($A296:$I296)=0,"",IF($A296="","Missing: lot",IF(COUNTIF($A$2:$A$301,$A296)&gt;1,"Duplicate lot",IF($B296="","Missing: SKU",IF(NOT(ISNUMBER($E296)),"Missing: expiry date",IF($G296="","Missing: status",IF(COUNTIF(Products!$A$2:$A$101,$B296)=0,"Unknown SKU",IF(AND($C296&lt;&gt;"",COUNTIF(Suppliers!$A$2:$A$51,$C296)=0),"Unknown supplier",IF(COUNTIF(Config!$E$15:$E$34,$G296)=0,"Unsupported status",IF($L296&lt;0,"Negative lot balance",IF(AND($G296="Closed",$L296&lt;&gt;0),"Closed lot still has stock","OK")))))))))))</f>
        <v/>
      </c>
    </row>
    <row r="297">
      <c r="A297" s="46" t="n"/>
      <c r="B297" s="46" t="n"/>
      <c r="C297" s="46" t="n"/>
      <c r="D297" s="54" t="n"/>
      <c r="E297" s="54" t="n"/>
      <c r="F297" s="48" t="n"/>
      <c r="G297" s="46" t="n"/>
      <c r="H297" s="46" t="n"/>
      <c r="I297" s="46" t="n"/>
      <c r="J297" s="49" t="str">
        <f>IF($A297="","",IFERROR(INDEX(Products!$B$2:$B$101,MATCH($B297,Products!$A$2:$A$101,0))&amp;"","(not found)"))</f>
        <v/>
      </c>
      <c r="K297" s="51" t="str">
        <f>IF($A297="","",SUMIFS(Inventory_Ledger!$M$2:$M$2001,Inventory_Ledger!$F$2:$F$2001,$A297))</f>
        <v/>
      </c>
      <c r="L297" s="51" t="str">
        <f>IF($A297="","",IF(ISNUMBER($F297),$F297,0)+$K297)</f>
        <v/>
      </c>
      <c r="M297" s="56" t="str">
        <f>IF(OR($A297="",NOT(ISNUMBER($E297))),"",$E297-Config!$B$4)</f>
        <v/>
      </c>
      <c r="N297" s="49" t="str">
        <f>IF($M297="","",IF($M297&lt;0,"Expired",IF($M297&lt;=Config!$B$6,"&lt;="&amp;Config!$B$6,IF($M297&lt;=Config!$B$7,(Config!$B$6+1)&amp;"-"&amp;Config!$B$7,IF($M297&lt;=Config!$B$8,(Config!$B$7+1)&amp;"-"&amp;Config!$B$8,"&gt;"&amp;Config!$B$8)))))</f>
        <v/>
      </c>
      <c r="O297" s="52" t="str">
        <f>IF($M297="","",IF($M297&lt;0,0,IF($M297&lt;=Config!$B$6,1,IF($M297&lt;=Config!$B$7,2,IF($M297&lt;=Config!$B$8,3,4)))))</f>
        <v/>
      </c>
      <c r="P297" s="50" t="str">
        <f>IF($A297="","",IF($L297&lt;=0,0,IF(OR(IFERROR(INDEX(Config!$F$15:$F$34,MATCH($G297,Config!$E$15:$E$34,0)),"No")="Yes",AND(Config!$B$10="Yes",ISNUMBER($M297),$M297&lt;0)),$L297,0)))</f>
        <v/>
      </c>
      <c r="Q297" s="52" t="str">
        <f>IF($A297="","",IF(AND($L297&gt;0,ISNUMBER($M297)),IF($M297&lt;=Config!$B$8,1,0),0))</f>
        <v/>
      </c>
      <c r="R297" s="52" t="str">
        <f>IF($Q297=1,COUNTIFS($Q$2:$Q$301,1,$E$2:$E$301,"&lt;"&amp;$E297)+COUNTIFS($Q$2:$Q297,1,$E$2:$E297,$E297),"")</f>
        <v/>
      </c>
      <c r="S297" s="49" t="str">
        <f>IF(COUNTA($A297:$I297)=0,"",IF($A297="","Missing: lot",IF(COUNTIF($A$2:$A$301,$A297)&gt;1,"Duplicate lot",IF($B297="","Missing: SKU",IF(NOT(ISNUMBER($E297)),"Missing: expiry date",IF($G297="","Missing: status",IF(COUNTIF(Products!$A$2:$A$101,$B297)=0,"Unknown SKU",IF(AND($C297&lt;&gt;"",COUNTIF(Suppliers!$A$2:$A$51,$C297)=0),"Unknown supplier",IF(COUNTIF(Config!$E$15:$E$34,$G297)=0,"Unsupported status",IF($L297&lt;0,"Negative lot balance",IF(AND($G297="Closed",$L297&lt;&gt;0),"Closed lot still has stock","OK")))))))))))</f>
        <v/>
      </c>
    </row>
    <row r="298">
      <c r="A298" s="46" t="n"/>
      <c r="B298" s="46" t="n"/>
      <c r="C298" s="46" t="n"/>
      <c r="D298" s="54" t="n"/>
      <c r="E298" s="54" t="n"/>
      <c r="F298" s="48" t="n"/>
      <c r="G298" s="46" t="n"/>
      <c r="H298" s="46" t="n"/>
      <c r="I298" s="46" t="n"/>
      <c r="J298" s="49" t="str">
        <f>IF($A298="","",IFERROR(INDEX(Products!$B$2:$B$101,MATCH($B298,Products!$A$2:$A$101,0))&amp;"","(not found)"))</f>
        <v/>
      </c>
      <c r="K298" s="51" t="str">
        <f>IF($A298="","",SUMIFS(Inventory_Ledger!$M$2:$M$2001,Inventory_Ledger!$F$2:$F$2001,$A298))</f>
        <v/>
      </c>
      <c r="L298" s="51" t="str">
        <f>IF($A298="","",IF(ISNUMBER($F298),$F298,0)+$K298)</f>
        <v/>
      </c>
      <c r="M298" s="56" t="str">
        <f>IF(OR($A298="",NOT(ISNUMBER($E298))),"",$E298-Config!$B$4)</f>
        <v/>
      </c>
      <c r="N298" s="49" t="str">
        <f>IF($M298="","",IF($M298&lt;0,"Expired",IF($M298&lt;=Config!$B$6,"&lt;="&amp;Config!$B$6,IF($M298&lt;=Config!$B$7,(Config!$B$6+1)&amp;"-"&amp;Config!$B$7,IF($M298&lt;=Config!$B$8,(Config!$B$7+1)&amp;"-"&amp;Config!$B$8,"&gt;"&amp;Config!$B$8)))))</f>
        <v/>
      </c>
      <c r="O298" s="52" t="str">
        <f>IF($M298="","",IF($M298&lt;0,0,IF($M298&lt;=Config!$B$6,1,IF($M298&lt;=Config!$B$7,2,IF($M298&lt;=Config!$B$8,3,4)))))</f>
        <v/>
      </c>
      <c r="P298" s="50" t="str">
        <f>IF($A298="","",IF($L298&lt;=0,0,IF(OR(IFERROR(INDEX(Config!$F$15:$F$34,MATCH($G298,Config!$E$15:$E$34,0)),"No")="Yes",AND(Config!$B$10="Yes",ISNUMBER($M298),$M298&lt;0)),$L298,0)))</f>
        <v/>
      </c>
      <c r="Q298" s="52" t="str">
        <f>IF($A298="","",IF(AND($L298&gt;0,ISNUMBER($M298)),IF($M298&lt;=Config!$B$8,1,0),0))</f>
        <v/>
      </c>
      <c r="R298" s="52" t="str">
        <f>IF($Q298=1,COUNTIFS($Q$2:$Q$301,1,$E$2:$E$301,"&lt;"&amp;$E298)+COUNTIFS($Q$2:$Q298,1,$E$2:$E298,$E298),"")</f>
        <v/>
      </c>
      <c r="S298" s="49" t="str">
        <f>IF(COUNTA($A298:$I298)=0,"",IF($A298="","Missing: lot",IF(COUNTIF($A$2:$A$301,$A298)&gt;1,"Duplicate lot",IF($B298="","Missing: SKU",IF(NOT(ISNUMBER($E298)),"Missing: expiry date",IF($G298="","Missing: status",IF(COUNTIF(Products!$A$2:$A$101,$B298)=0,"Unknown SKU",IF(AND($C298&lt;&gt;"",COUNTIF(Suppliers!$A$2:$A$51,$C298)=0),"Unknown supplier",IF(COUNTIF(Config!$E$15:$E$34,$G298)=0,"Unsupported status",IF($L298&lt;0,"Negative lot balance",IF(AND($G298="Closed",$L298&lt;&gt;0),"Closed lot still has stock","OK")))))))))))</f>
        <v/>
      </c>
    </row>
    <row r="299">
      <c r="A299" s="46" t="n"/>
      <c r="B299" s="46" t="n"/>
      <c r="C299" s="46" t="n"/>
      <c r="D299" s="54" t="n"/>
      <c r="E299" s="54" t="n"/>
      <c r="F299" s="48" t="n"/>
      <c r="G299" s="46" t="n"/>
      <c r="H299" s="46" t="n"/>
      <c r="I299" s="46" t="n"/>
      <c r="J299" s="49" t="str">
        <f>IF($A299="","",IFERROR(INDEX(Products!$B$2:$B$101,MATCH($B299,Products!$A$2:$A$101,0))&amp;"","(not found)"))</f>
        <v/>
      </c>
      <c r="K299" s="51" t="str">
        <f>IF($A299="","",SUMIFS(Inventory_Ledger!$M$2:$M$2001,Inventory_Ledger!$F$2:$F$2001,$A299))</f>
        <v/>
      </c>
      <c r="L299" s="51" t="str">
        <f>IF($A299="","",IF(ISNUMBER($F299),$F299,0)+$K299)</f>
        <v/>
      </c>
      <c r="M299" s="56" t="str">
        <f>IF(OR($A299="",NOT(ISNUMBER($E299))),"",$E299-Config!$B$4)</f>
        <v/>
      </c>
      <c r="N299" s="49" t="str">
        <f>IF($M299="","",IF($M299&lt;0,"Expired",IF($M299&lt;=Config!$B$6,"&lt;="&amp;Config!$B$6,IF($M299&lt;=Config!$B$7,(Config!$B$6+1)&amp;"-"&amp;Config!$B$7,IF($M299&lt;=Config!$B$8,(Config!$B$7+1)&amp;"-"&amp;Config!$B$8,"&gt;"&amp;Config!$B$8)))))</f>
        <v/>
      </c>
      <c r="O299" s="52" t="str">
        <f>IF($M299="","",IF($M299&lt;0,0,IF($M299&lt;=Config!$B$6,1,IF($M299&lt;=Config!$B$7,2,IF($M299&lt;=Config!$B$8,3,4)))))</f>
        <v/>
      </c>
      <c r="P299" s="50" t="str">
        <f>IF($A299="","",IF($L299&lt;=0,0,IF(OR(IFERROR(INDEX(Config!$F$15:$F$34,MATCH($G299,Config!$E$15:$E$34,0)),"No")="Yes",AND(Config!$B$10="Yes",ISNUMBER($M299),$M299&lt;0)),$L299,0)))</f>
        <v/>
      </c>
      <c r="Q299" s="52" t="str">
        <f>IF($A299="","",IF(AND($L299&gt;0,ISNUMBER($M299)),IF($M299&lt;=Config!$B$8,1,0),0))</f>
        <v/>
      </c>
      <c r="R299" s="52" t="str">
        <f>IF($Q299=1,COUNTIFS($Q$2:$Q$301,1,$E$2:$E$301,"&lt;"&amp;$E299)+COUNTIFS($Q$2:$Q299,1,$E$2:$E299,$E299),"")</f>
        <v/>
      </c>
      <c r="S299" s="49" t="str">
        <f>IF(COUNTA($A299:$I299)=0,"",IF($A299="","Missing: lot",IF(COUNTIF($A$2:$A$301,$A299)&gt;1,"Duplicate lot",IF($B299="","Missing: SKU",IF(NOT(ISNUMBER($E299)),"Missing: expiry date",IF($G299="","Missing: status",IF(COUNTIF(Products!$A$2:$A$101,$B299)=0,"Unknown SKU",IF(AND($C299&lt;&gt;"",COUNTIF(Suppliers!$A$2:$A$51,$C299)=0),"Unknown supplier",IF(COUNTIF(Config!$E$15:$E$34,$G299)=0,"Unsupported status",IF($L299&lt;0,"Negative lot balance",IF(AND($G299="Closed",$L299&lt;&gt;0),"Closed lot still has stock","OK")))))))))))</f>
        <v/>
      </c>
    </row>
    <row r="300">
      <c r="A300" s="46" t="n"/>
      <c r="B300" s="46" t="n"/>
      <c r="C300" s="46" t="n"/>
      <c r="D300" s="54" t="n"/>
      <c r="E300" s="54" t="n"/>
      <c r="F300" s="48" t="n"/>
      <c r="G300" s="46" t="n"/>
      <c r="H300" s="46" t="n"/>
      <c r="I300" s="46" t="n"/>
      <c r="J300" s="49" t="str">
        <f>IF($A300="","",IFERROR(INDEX(Products!$B$2:$B$101,MATCH($B300,Products!$A$2:$A$101,0))&amp;"","(not found)"))</f>
        <v/>
      </c>
      <c r="K300" s="51" t="str">
        <f>IF($A300="","",SUMIFS(Inventory_Ledger!$M$2:$M$2001,Inventory_Ledger!$F$2:$F$2001,$A300))</f>
        <v/>
      </c>
      <c r="L300" s="51" t="str">
        <f>IF($A300="","",IF(ISNUMBER($F300),$F300,0)+$K300)</f>
        <v/>
      </c>
      <c r="M300" s="56" t="str">
        <f>IF(OR($A300="",NOT(ISNUMBER($E300))),"",$E300-Config!$B$4)</f>
        <v/>
      </c>
      <c r="N300" s="49" t="str">
        <f>IF($M300="","",IF($M300&lt;0,"Expired",IF($M300&lt;=Config!$B$6,"&lt;="&amp;Config!$B$6,IF($M300&lt;=Config!$B$7,(Config!$B$6+1)&amp;"-"&amp;Config!$B$7,IF($M300&lt;=Config!$B$8,(Config!$B$7+1)&amp;"-"&amp;Config!$B$8,"&gt;"&amp;Config!$B$8)))))</f>
        <v/>
      </c>
      <c r="O300" s="52" t="str">
        <f>IF($M300="","",IF($M300&lt;0,0,IF($M300&lt;=Config!$B$6,1,IF($M300&lt;=Config!$B$7,2,IF($M300&lt;=Config!$B$8,3,4)))))</f>
        <v/>
      </c>
      <c r="P300" s="50" t="str">
        <f>IF($A300="","",IF($L300&lt;=0,0,IF(OR(IFERROR(INDEX(Config!$F$15:$F$34,MATCH($G300,Config!$E$15:$E$34,0)),"No")="Yes",AND(Config!$B$10="Yes",ISNUMBER($M300),$M300&lt;0)),$L300,0)))</f>
        <v/>
      </c>
      <c r="Q300" s="52" t="str">
        <f>IF($A300="","",IF(AND($L300&gt;0,ISNUMBER($M300)),IF($M300&lt;=Config!$B$8,1,0),0))</f>
        <v/>
      </c>
      <c r="R300" s="52" t="str">
        <f>IF($Q300=1,COUNTIFS($Q$2:$Q$301,1,$E$2:$E$301,"&lt;"&amp;$E300)+COUNTIFS($Q$2:$Q300,1,$E$2:$E300,$E300),"")</f>
        <v/>
      </c>
      <c r="S300" s="49" t="str">
        <f>IF(COUNTA($A300:$I300)=0,"",IF($A300="","Missing: lot",IF(COUNTIF($A$2:$A$301,$A300)&gt;1,"Duplicate lot",IF($B300="","Missing: SKU",IF(NOT(ISNUMBER($E300)),"Missing: expiry date",IF($G300="","Missing: status",IF(COUNTIF(Products!$A$2:$A$101,$B300)=0,"Unknown SKU",IF(AND($C300&lt;&gt;"",COUNTIF(Suppliers!$A$2:$A$51,$C300)=0),"Unknown supplier",IF(COUNTIF(Config!$E$15:$E$34,$G300)=0,"Unsupported status",IF($L300&lt;0,"Negative lot balance",IF(AND($G300="Closed",$L300&lt;&gt;0),"Closed lot still has stock","OK")))))))))))</f>
        <v/>
      </c>
    </row>
    <row r="301">
      <c r="A301" s="46" t="n"/>
      <c r="B301" s="46" t="n"/>
      <c r="C301" s="46" t="n"/>
      <c r="D301" s="54" t="n"/>
      <c r="E301" s="54" t="n"/>
      <c r="F301" s="48" t="n"/>
      <c r="G301" s="46" t="n"/>
      <c r="H301" s="46" t="n"/>
      <c r="I301" s="46" t="n"/>
      <c r="J301" s="49" t="str">
        <f>IF($A301="","",IFERROR(INDEX(Products!$B$2:$B$101,MATCH($B301,Products!$A$2:$A$101,0))&amp;"","(not found)"))</f>
        <v/>
      </c>
      <c r="K301" s="51" t="str">
        <f>IF($A301="","",SUMIFS(Inventory_Ledger!$M$2:$M$2001,Inventory_Ledger!$F$2:$F$2001,$A301))</f>
        <v/>
      </c>
      <c r="L301" s="51" t="str">
        <f>IF($A301="","",IF(ISNUMBER($F301),$F301,0)+$K301)</f>
        <v/>
      </c>
      <c r="M301" s="56" t="str">
        <f>IF(OR($A301="",NOT(ISNUMBER($E301))),"",$E301-Config!$B$4)</f>
        <v/>
      </c>
      <c r="N301" s="49" t="str">
        <f>IF($M301="","",IF($M301&lt;0,"Expired",IF($M301&lt;=Config!$B$6,"&lt;="&amp;Config!$B$6,IF($M301&lt;=Config!$B$7,(Config!$B$6+1)&amp;"-"&amp;Config!$B$7,IF($M301&lt;=Config!$B$8,(Config!$B$7+1)&amp;"-"&amp;Config!$B$8,"&gt;"&amp;Config!$B$8)))))</f>
        <v/>
      </c>
      <c r="O301" s="52" t="str">
        <f>IF($M301="","",IF($M301&lt;0,0,IF($M301&lt;=Config!$B$6,1,IF($M301&lt;=Config!$B$7,2,IF($M301&lt;=Config!$B$8,3,4)))))</f>
        <v/>
      </c>
      <c r="P301" s="50" t="str">
        <f>IF($A301="","",IF($L301&lt;=0,0,IF(OR(IFERROR(INDEX(Config!$F$15:$F$34,MATCH($G301,Config!$E$15:$E$34,0)),"No")="Yes",AND(Config!$B$10="Yes",ISNUMBER($M301),$M301&lt;0)),$L301,0)))</f>
        <v/>
      </c>
      <c r="Q301" s="52" t="str">
        <f>IF($A301="","",IF(AND($L301&gt;0,ISNUMBER($M301)),IF($M301&lt;=Config!$B$8,1,0),0))</f>
        <v/>
      </c>
      <c r="R301" s="52" t="str">
        <f>IF($Q301=1,COUNTIFS($Q$2:$Q$301,1,$E$2:$E$301,"&lt;"&amp;$E301)+COUNTIFS($Q$2:$Q301,1,$E$2:$E301,$E301),"")</f>
        <v/>
      </c>
      <c r="S301" s="49" t="str">
        <f>IF(COUNTA($A301:$I301)=0,"",IF($A301="","Missing: lot",IF(COUNTIF($A$2:$A$301,$A301)&gt;1,"Duplicate lot",IF($B301="","Missing: SKU",IF(NOT(ISNUMBER($E301)),"Missing: expiry date",IF($G301="","Missing: status",IF(COUNTIF(Products!$A$2:$A$101,$B301)=0,"Unknown SKU",IF(AND($C301&lt;&gt;"",COUNTIF(Suppliers!$A$2:$A$51,$C301)=0),"Unknown supplier",IF(COUNTIF(Config!$E$15:$E$34,$G301)=0,"Unsupported status",IF($L301&lt;0,"Negative lot balance",IF(AND($G301="Closed",$L301&lt;&gt;0),"Closed lot still has stock","OK")))))))))))</f>
        <v/>
      </c>
    </row>
  </sheetData>
  <sheetProtection selectLockedCells="0" selectUnlockedCells="0" sheet="1" objects="0" insertRows="1" insertHyperlinks="1" autoFilter="0" scenarios="0" formatColumns="0" deleteColumns="1" insertColumns="1" pivotTables="1" deleteRows="1" formatCells="1" formatRows="0" sort="0"/>
  <autoFilter ref="A1:S301"/>
  <conditionalFormatting sqref="S2:S301">
    <cfRule type="expression" priority="1" dxfId="4">
      <formula>AND($S2&lt;&gt;"",$S2&lt;&gt;"OK")</formula>
    </cfRule>
  </conditionalFormatting>
  <conditionalFormatting sqref="A2:S301">
    <cfRule type="expression" priority="2" dxfId="0">
      <formula>AND($L2&gt;0,$O2=0)</formula>
    </cfRule>
    <cfRule type="expression" priority="3" dxfId="2">
      <formula>AND($L2&gt;0,$O2=1)</formula>
    </cfRule>
    <cfRule type="expression" priority="4" dxfId="1">
      <formula>AND($L2&gt;0,$O2=2)</formula>
    </cfRule>
    <cfRule type="expression" priority="5" dxfId="3">
      <formula>AND($L2&gt;0,$O2=3)</formula>
    </cfRule>
  </conditionalFormatting>
  <dataValidations count="7">
    <dataValidation sqref="A2:A301" showDropDown="0" showInputMessage="1" showErrorMessage="1" allowBlank="1" errorTitle="Duplicate ID" error="This ID is already used in this sheet. IDs must be unique." promptTitle="Lot" prompt="Required. Must be unique in this sheet." type="custom">
      <formula1>COUNTIF($A$2:$A$301,A2)&lt;=1</formula1>
    </dataValidation>
    <dataValidation sqref="B2:B301" showDropDown="0" showInputMessage="1" showErrorMessage="1" allowBlank="1" errorTitle="Not in the list" error="Pick a value from the dropdown list." promptTitle="SKU" prompt="Required. Pick from the list." type="list">
      <formula1>Products!$A$2:$A$101</formula1>
    </dataValidation>
    <dataValidation sqref="C2:C301" showDropDown="0" showInputMessage="1" showErrorMessage="1" allowBlank="1" errorTitle="Not in the list" error="Pick a value from the dropdown list." promptTitle="Supplier ID" prompt="Optional. Pick from the list." type="list">
      <formula1>Suppliers!$A$2:$A$51</formula1>
    </dataValidation>
    <dataValidation sqref="D2:D301" showDropDown="0" showInputMessage="1" showErrorMessage="1" allowBlank="1" errorTitle="Date needed" error="Enter a date (yyyy-mm-dd)." promptTitle="Manufacture date" prompt="Optional. Date as yyyy-mm-dd." type="date" operator="greaterThan">
      <formula1>36526</formula1>
    </dataValidation>
    <dataValidation sqref="E2:E301" showDropDown="0" showInputMessage="1" showErrorMessage="1" allowBlank="1" errorTitle="Date needed" error="Enter a date (yyyy-mm-dd)." promptTitle="Expiry date" prompt="Required. Date as yyyy-mm-dd." type="date" operator="greaterThan">
      <formula1>36526</formula1>
    </dataValidation>
    <dataValidation sqref="F2:F301" showDropDown="0" showInputMessage="1" showErrorMessage="1" allowBlank="1" errorTitle="Whole number needed" error="Enter a whole number of 0 or more." promptTitle="Opening qty" prompt="Optional. Whole number." type="whole" operator="between">
      <formula1>0</formula1>
      <formula2>10000000</formula2>
    </dataValidation>
    <dataValidation sqref="G2:G301" showDropDown="0" showInputMessage="1" showErrorMessage="1" allowBlank="1" errorTitle="Not in the list" error="Pick a value from the dropdown list." promptTitle="Status" prompt="Required. Pick from the list." type="list">
      <formula1>Config!$E$15:$E$34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1F3A5F"/>
    <outlinePr summaryBelow="1" summaryRight="1"/>
    <pageSetUpPr/>
  </sheetPr>
  <dimension ref="A1:M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8" customWidth="1" min="3" max="3"/>
    <col width="38" customWidth="1" min="4" max="4"/>
    <col width="10" customWidth="1" min="5" max="5"/>
    <col width="11" customWidth="1" min="6" max="6"/>
    <col width="11" customWidth="1" min="7" max="7"/>
    <col width="14" customWidth="1" min="8" max="8"/>
    <col width="40" customWidth="1" min="9" max="9"/>
    <col width="30" customWidth="1" min="10" max="10"/>
    <col width="9" customWidth="1" min="11" max="11"/>
    <col width="9" customWidth="1" min="12" max="12"/>
    <col width="28" customWidth="1" min="13" max="13"/>
  </cols>
  <sheetData>
    <row r="1" ht="42" customHeight="1">
      <c r="A1" s="41" t="inlineStr">
        <is>
          <t>Reservation ID *</t>
        </is>
      </c>
      <c r="B1" s="41" t="inlineStr">
        <is>
          <t>SKU *</t>
        </is>
      </c>
      <c r="C1" s="41" t="inlineStr">
        <is>
          <t>Qty *</t>
        </is>
      </c>
      <c r="D1" s="41" t="inlineStr">
        <is>
          <t>Reserved for *</t>
        </is>
      </c>
      <c r="E1" s="41" t="inlineStr">
        <is>
          <t>Status *</t>
        </is>
      </c>
      <c r="F1" s="41" t="inlineStr">
        <is>
          <t>Start date *</t>
        </is>
      </c>
      <c r="G1" s="41" t="inlineStr">
        <is>
          <t>Release date</t>
        </is>
      </c>
      <c r="H1" s="41" t="inlineStr">
        <is>
          <t>Owner</t>
        </is>
      </c>
      <c r="I1" s="41" t="inlineStr">
        <is>
          <t>Notes</t>
        </is>
      </c>
      <c r="J1" s="23" t="inlineStr">
        <is>
          <t>Product name</t>
        </is>
      </c>
      <c r="K1" s="23" t="inlineStr">
        <is>
          <t>Counts now (1 = yes)</t>
        </is>
      </c>
      <c r="L1" s="23" t="inlineStr">
        <is>
          <t>Counted qty</t>
        </is>
      </c>
      <c r="M1" s="23" t="inlineStr">
        <is>
          <t>Record check</t>
        </is>
      </c>
    </row>
    <row r="2">
      <c r="A2" s="46" t="inlineStr">
        <is>
          <t>RES-001</t>
        </is>
      </c>
      <c r="B2" s="46" t="inlineStr">
        <is>
          <t>CRE-UNF-500G</t>
        </is>
      </c>
      <c r="C2" s="48" t="n">
        <v>80</v>
      </c>
      <c r="D2" s="46" t="inlineStr">
        <is>
          <t>Wholesale order WS-1043 (gym group)</t>
        </is>
      </c>
      <c r="E2" s="46" t="inlineStr">
        <is>
          <t>Active</t>
        </is>
      </c>
      <c r="F2" s="54" t="n">
        <v>46304</v>
      </c>
      <c r="G2" s="54" t="n">
        <v>46319</v>
      </c>
      <c r="H2" s="46" t="inlineStr">
        <is>
          <t>Hannah Becker</t>
        </is>
      </c>
      <c r="I2" s="46" t="inlineStr">
        <is>
          <t>Ships when the customer confirms the pickup date</t>
        </is>
      </c>
      <c r="J2" s="49" t="str">
        <f>IF($A2="","",IFERROR(INDEX(Products!$B$2:$B$101,MATCH($B2,Products!$A$2:$A$101,0))&amp;"","(not found)"))</f>
        <v>Creatine Monohydrate, Unflavoured, 500 g</v>
      </c>
      <c r="K2" s="52">
        <f>IF($A2="","",IF(AND(IFERROR(INDEX(Config!$I$15:$I$34,MATCH($E2,Config!$H$15:$H$34,0)),"No")="Yes",ISNUMBER($F2)),IF(AND($F2&lt;=Config!$B$4,OR($G2="",AND(ISNUMBER($G2),$G2&gt;=Config!$B$4))),1,0),0))</f>
        <v>1</v>
      </c>
      <c r="L2" s="50">
        <f>IF($A2="","",IF(AND($K2=1,ISNUMBER($C2)),$C2,0))</f>
        <v>80</v>
      </c>
      <c r="M2" s="49" t="str">
        <f>IF(COUNTA($A2:$I2)=0,"",IF($A2="","Missing: reservation ID",IF(COUNTIF($A$2:$A$201,$A2)&gt;1,"Duplicate reservation ID",IF($B2="","Missing: SKU",IF(NOT(ISNUMBER($C2)),"Missing: qty",IF($D2="","Missing: reserved for",IF($E2="","Missing: status",IF(NOT(ISNUMBER($F2)),"Missing: start date",IF(COUNTIF(Products!$A$2:$A$101,$B2)=0,"Unknown SKU",IF(COUNTIF(Config!$H$15:$H$34,$E2)=0,"Unsupported status",IF($C2&lt;=0,"Qty must be above 0",IF(AND(ISNUMBER($G2),$G2&lt;$F2),"Release date before start date","OK"))))))))))))</f>
        <v>OK</v>
      </c>
    </row>
    <row r="3">
      <c r="A3" s="46" t="inlineStr">
        <is>
          <t>RES-002</t>
        </is>
      </c>
      <c r="B3" s="46" t="inlineStr">
        <is>
          <t>BAR-CKD-12</t>
        </is>
      </c>
      <c r="C3" s="48" t="n">
        <v>150</v>
      </c>
      <c r="D3" s="46" t="inlineStr">
        <is>
          <t>Creator kits for CMP-2026-04</t>
        </is>
      </c>
      <c r="E3" s="46" t="inlineStr">
        <is>
          <t>Active</t>
        </is>
      </c>
      <c r="F3" s="54" t="n">
        <v>46296</v>
      </c>
      <c r="G3" s="54" t="n">
        <v>46326</v>
      </c>
      <c r="H3" s="46" t="inlineStr">
        <is>
          <t>Maya Torres</t>
        </is>
      </c>
      <c r="I3" s="46" t="n"/>
      <c r="J3" s="49" t="str">
        <f>IF($A3="","",IFERROR(INDEX(Products!$B$2:$B$101,MATCH($B3,Products!$A$2:$A$101,0))&amp;"","(not found)"))</f>
        <v>Protein Bar, Cookie Dough, 12-pack</v>
      </c>
      <c r="K3" s="52">
        <f>IF($A3="","",IF(AND(IFERROR(INDEX(Config!$I$15:$I$34,MATCH($E3,Config!$H$15:$H$34,0)),"No")="Yes",ISNUMBER($F3)),IF(AND($F3&lt;=Config!$B$4,OR($G3="",AND(ISNUMBER($G3),$G3&gt;=Config!$B$4))),1,0),0))</f>
        <v>1</v>
      </c>
      <c r="L3" s="50">
        <f>IF($A3="","",IF(AND($K3=1,ISNUMBER($C3)),$C3,0))</f>
        <v>150</v>
      </c>
      <c r="M3" s="49" t="str">
        <f>IF(COUNTA($A3:$I3)=0,"",IF($A3="","Missing: reservation ID",IF(COUNTIF($A$2:$A$201,$A3)&gt;1,"Duplicate reservation ID",IF($B3="","Missing: SKU",IF(NOT(ISNUMBER($C3)),"Missing: qty",IF($D3="","Missing: reserved for",IF($E3="","Missing: status",IF(NOT(ISNUMBER($F3)),"Missing: start date",IF(COUNTIF(Products!$A$2:$A$101,$B3)=0,"Unknown SKU",IF(COUNTIF(Config!$H$15:$H$34,$E3)=0,"Unsupported status",IF($C3&lt;=0,"Qty must be above 0",IF(AND(ISNUMBER($G3),$G3&lt;$F3),"Release date before start date","OK"))))))))))))</f>
        <v>OK</v>
      </c>
    </row>
    <row r="4">
      <c r="A4" s="46" t="inlineStr">
        <is>
          <t>RES-003</t>
        </is>
      </c>
      <c r="B4" s="46" t="inlineStr">
        <is>
          <t>WPI-CHO-2LB</t>
        </is>
      </c>
      <c r="C4" s="48" t="n">
        <v>120</v>
      </c>
      <c r="D4" s="46" t="inlineStr">
        <is>
          <t>Retail partner launch allocation</t>
        </is>
      </c>
      <c r="E4" s="46" t="inlineStr">
        <is>
          <t>Active</t>
        </is>
      </c>
      <c r="F4" s="54" t="n">
        <v>46300</v>
      </c>
      <c r="G4" s="54" t="n">
        <v>46341</v>
      </c>
      <c r="H4" s="46" t="inlineStr">
        <is>
          <t>Hannah Becker</t>
        </is>
      </c>
      <c r="I4" s="46" t="n"/>
      <c r="J4" s="49" t="str">
        <f>IF($A4="","",IFERROR(INDEX(Products!$B$2:$B$101,MATCH($B4,Products!$A$2:$A$101,0))&amp;"","(not found)"))</f>
        <v>Whey Protein Isolate, Chocolate, 2 lb</v>
      </c>
      <c r="K4" s="52">
        <f>IF($A4="","",IF(AND(IFERROR(INDEX(Config!$I$15:$I$34,MATCH($E4,Config!$H$15:$H$34,0)),"No")="Yes",ISNUMBER($F4)),IF(AND($F4&lt;=Config!$B$4,OR($G4="",AND(ISNUMBER($G4),$G4&gt;=Config!$B$4))),1,0),0))</f>
        <v>1</v>
      </c>
      <c r="L4" s="50">
        <f>IF($A4="","",IF(AND($K4=1,ISNUMBER($C4)),$C4,0))</f>
        <v>120</v>
      </c>
      <c r="M4" s="49" t="str">
        <f>IF(COUNTA($A4:$I4)=0,"",IF($A4="","Missing: reservation ID",IF(COUNTIF($A$2:$A$201,$A4)&gt;1,"Duplicate reservation ID",IF($B4="","Missing: SKU",IF(NOT(ISNUMBER($C4)),"Missing: qty",IF($D4="","Missing: reserved for",IF($E4="","Missing: status",IF(NOT(ISNUMBER($F4)),"Missing: start date",IF(COUNTIF(Products!$A$2:$A$101,$B4)=0,"Unknown SKU",IF(COUNTIF(Config!$H$15:$H$34,$E4)=0,"Unsupported status",IF($C4&lt;=0,"Qty must be above 0",IF(AND(ISNUMBER($G4),$G4&lt;$F4),"Release date before start date","OK"))))))))))))</f>
        <v>OK</v>
      </c>
    </row>
    <row r="5">
      <c r="A5" s="46" t="inlineStr">
        <is>
          <t>RES-004</t>
        </is>
      </c>
      <c r="B5" s="46" t="inlineStr">
        <is>
          <t>PRE-BRZ-30</t>
        </is>
      </c>
      <c r="C5" s="48" t="n">
        <v>60</v>
      </c>
      <c r="D5" s="46" t="inlineStr">
        <is>
          <t>October subscription boxes</t>
        </is>
      </c>
      <c r="E5" s="46" t="inlineStr">
        <is>
          <t>Released</t>
        </is>
      </c>
      <c r="F5" s="54" t="n">
        <v>46290</v>
      </c>
      <c r="G5" s="54" t="n">
        <v>46300</v>
      </c>
      <c r="H5" s="46" t="inlineStr">
        <is>
          <t>Hannah Becker</t>
        </is>
      </c>
      <c r="I5" s="46" t="inlineStr">
        <is>
          <t>Boxes shipped; reservation released</t>
        </is>
      </c>
      <c r="J5" s="49" t="str">
        <f>IF($A5="","",IFERROR(INDEX(Products!$B$2:$B$101,MATCH($B5,Products!$A$2:$A$101,0))&amp;"","(not found)"))</f>
        <v>Pre-Workout, Blue Raspberry, 30 servings</v>
      </c>
      <c r="K5" s="52">
        <f>IF($A5="","",IF(AND(IFERROR(INDEX(Config!$I$15:$I$34,MATCH($E5,Config!$H$15:$H$34,0)),"No")="Yes",ISNUMBER($F5)),IF(AND($F5&lt;=Config!$B$4,OR($G5="",AND(ISNUMBER($G5),$G5&gt;=Config!$B$4))),1,0),0))</f>
        <v>0</v>
      </c>
      <c r="L5" s="50">
        <f>IF($A5="","",IF(AND($K5=1,ISNUMBER($C5)),$C5,0))</f>
        <v>0</v>
      </c>
      <c r="M5" s="49" t="str">
        <f>IF(COUNTA($A5:$I5)=0,"",IF($A5="","Missing: reservation ID",IF(COUNTIF($A$2:$A$201,$A5)&gt;1,"Duplicate reservation ID",IF($B5="","Missing: SKU",IF(NOT(ISNUMBER($C5)),"Missing: qty",IF($D5="","Missing: reserved for",IF($E5="","Missing: status",IF(NOT(ISNUMBER($F5)),"Missing: start date",IF(COUNTIF(Products!$A$2:$A$101,$B5)=0,"Unknown SKU",IF(COUNTIF(Config!$H$15:$H$34,$E5)=0,"Unsupported status",IF($C5&lt;=0,"Qty must be above 0",IF(AND(ISNUMBER($G5),$G5&lt;$F5),"Release date before start date","OK"))))))))))))</f>
        <v>OK</v>
      </c>
    </row>
    <row r="6">
      <c r="A6" s="46" t="inlineStr">
        <is>
          <t>RES-005</t>
        </is>
      </c>
      <c r="B6" s="46" t="inlineStr">
        <is>
          <t>PLT-CHO-2LB</t>
        </is>
      </c>
      <c r="C6" s="48" t="n">
        <v>40</v>
      </c>
      <c r="D6" s="46" t="inlineStr">
        <is>
          <t>Wholesale quote Q-2210 (awaiting approval)</t>
        </is>
      </c>
      <c r="E6" s="46" t="inlineStr">
        <is>
          <t>Pending</t>
        </is>
      </c>
      <c r="F6" s="54" t="n">
        <v>46307</v>
      </c>
      <c r="G6" s="54" t="n"/>
      <c r="H6" s="46" t="inlineStr">
        <is>
          <t>Hannah Becker</t>
        </is>
      </c>
      <c r="I6" s="46" t="inlineStr">
        <is>
          <t>Counts only if Config says Pending holds stock</t>
        </is>
      </c>
      <c r="J6" s="49" t="str">
        <f>IF($A6="","",IFERROR(INDEX(Products!$B$2:$B$101,MATCH($B6,Products!$A$2:$A$101,0))&amp;"","(not found)"))</f>
        <v>Plant Protein, Chocolate, 2 lb</v>
      </c>
      <c r="K6" s="52">
        <f>IF($A6="","",IF(AND(IFERROR(INDEX(Config!$I$15:$I$34,MATCH($E6,Config!$H$15:$H$34,0)),"No")="Yes",ISNUMBER($F6)),IF(AND($F6&lt;=Config!$B$4,OR($G6="",AND(ISNUMBER($G6),$G6&gt;=Config!$B$4))),1,0),0))</f>
        <v>0</v>
      </c>
      <c r="L6" s="50">
        <f>IF($A6="","",IF(AND($K6=1,ISNUMBER($C6)),$C6,0))</f>
        <v>0</v>
      </c>
      <c r="M6" s="49" t="str">
        <f>IF(COUNTA($A6:$I6)=0,"",IF($A6="","Missing: reservation ID",IF(COUNTIF($A$2:$A$201,$A6)&gt;1,"Duplicate reservation ID",IF($B6="","Missing: SKU",IF(NOT(ISNUMBER($C6)),"Missing: qty",IF($D6="","Missing: reserved for",IF($E6="","Missing: status",IF(NOT(ISNUMBER($F6)),"Missing: start date",IF(COUNTIF(Products!$A$2:$A$101,$B6)=0,"Unknown SKU",IF(COUNTIF(Config!$H$15:$H$34,$E6)=0,"Unsupported status",IF($C6&lt;=0,"Qty must be above 0",IF(AND(ISNUMBER($G6),$G6&lt;$F6),"Release date before start date","OK"))))))))))))</f>
        <v>OK</v>
      </c>
    </row>
    <row r="7">
      <c r="A7" s="46" t="inlineStr">
        <is>
          <t>RES-006</t>
        </is>
      </c>
      <c r="B7" s="46" t="inlineStr">
        <is>
          <t>BAR-PBC-12</t>
        </is>
      </c>
      <c r="C7" s="48" t="n">
        <v>200</v>
      </c>
      <c r="D7" s="46" t="inlineStr">
        <is>
          <t>Marketplace inbound allocation</t>
        </is>
      </c>
      <c r="E7" s="46" t="inlineStr">
        <is>
          <t>Active</t>
        </is>
      </c>
      <c r="F7" s="54" t="n">
        <v>46305</v>
      </c>
      <c r="G7" s="54" t="n">
        <v>46326</v>
      </c>
      <c r="H7" s="46" t="inlineStr">
        <is>
          <t>Hannah Becker</t>
        </is>
      </c>
      <c r="I7" s="46" t="n"/>
      <c r="J7" s="49" t="str">
        <f>IF($A7="","",IFERROR(INDEX(Products!$B$2:$B$101,MATCH($B7,Products!$A$2:$A$101,0))&amp;"","(not found)"))</f>
        <v>Protein Bar, Peanut Butter Chocolate, 12-pack</v>
      </c>
      <c r="K7" s="52">
        <f>IF($A7="","",IF(AND(IFERROR(INDEX(Config!$I$15:$I$34,MATCH($E7,Config!$H$15:$H$34,0)),"No")="Yes",ISNUMBER($F7)),IF(AND($F7&lt;=Config!$B$4,OR($G7="",AND(ISNUMBER($G7),$G7&gt;=Config!$B$4))),1,0),0))</f>
        <v>1</v>
      </c>
      <c r="L7" s="50">
        <f>IF($A7="","",IF(AND($K7=1,ISNUMBER($C7)),$C7,0))</f>
        <v>200</v>
      </c>
      <c r="M7" s="49" t="str">
        <f>IF(COUNTA($A7:$I7)=0,"",IF($A7="","Missing: reservation ID",IF(COUNTIF($A$2:$A$201,$A7)&gt;1,"Duplicate reservation ID",IF($B7="","Missing: SKU",IF(NOT(ISNUMBER($C7)),"Missing: qty",IF($D7="","Missing: reserved for",IF($E7="","Missing: status",IF(NOT(ISNUMBER($F7)),"Missing: start date",IF(COUNTIF(Products!$A$2:$A$101,$B7)=0,"Unknown SKU",IF(COUNTIF(Config!$H$15:$H$34,$E7)=0,"Unsupported status",IF($C7&lt;=0,"Qty must be above 0",IF(AND(ISNUMBER($G7),$G7&lt;$F7),"Release date before start date","OK"))))))))))))</f>
        <v>OK</v>
      </c>
    </row>
    <row r="8">
      <c r="A8" s="46" t="inlineStr">
        <is>
          <t>RES-007</t>
        </is>
      </c>
      <c r="B8" s="46" t="inlineStr">
        <is>
          <t>WPI-VAN-2LB</t>
        </is>
      </c>
      <c r="C8" s="48" t="n">
        <v>60</v>
      </c>
      <c r="D8" s="46" t="inlineStr">
        <is>
          <t>Gym partner order WS-1047</t>
        </is>
      </c>
      <c r="E8" s="46" t="inlineStr">
        <is>
          <t>Active</t>
        </is>
      </c>
      <c r="F8" s="54" t="n">
        <v>46315</v>
      </c>
      <c r="G8" s="54" t="n">
        <v>46325</v>
      </c>
      <c r="H8" s="46" t="inlineStr">
        <is>
          <t>Hannah Becker</t>
        </is>
      </c>
      <c r="I8" s="46" t="inlineStr">
        <is>
          <t>Starts 2026-10-20, so not counted yet</t>
        </is>
      </c>
      <c r="J8" s="49" t="str">
        <f>IF($A8="","",IFERROR(INDEX(Products!$B$2:$B$101,MATCH($B8,Products!$A$2:$A$101,0))&amp;"","(not found)"))</f>
        <v>Whey Protein Isolate, Vanilla, 2 lb</v>
      </c>
      <c r="K8" s="52">
        <f>IF($A8="","",IF(AND(IFERROR(INDEX(Config!$I$15:$I$34,MATCH($E8,Config!$H$15:$H$34,0)),"No")="Yes",ISNUMBER($F8)),IF(AND($F8&lt;=Config!$B$4,OR($G8="",AND(ISNUMBER($G8),$G8&gt;=Config!$B$4))),1,0),0))</f>
        <v>0</v>
      </c>
      <c r="L8" s="50">
        <f>IF($A8="","",IF(AND($K8=1,ISNUMBER($C8)),$C8,0))</f>
        <v>0</v>
      </c>
      <c r="M8" s="49" t="str">
        <f>IF(COUNTA($A8:$I8)=0,"",IF($A8="","Missing: reservation ID",IF(COUNTIF($A$2:$A$201,$A8)&gt;1,"Duplicate reservation ID",IF($B8="","Missing: SKU",IF(NOT(ISNUMBER($C8)),"Missing: qty",IF($D8="","Missing: reserved for",IF($E8="","Missing: status",IF(NOT(ISNUMBER($F8)),"Missing: start date",IF(COUNTIF(Products!$A$2:$A$101,$B8)=0,"Unknown SKU",IF(COUNTIF(Config!$H$15:$H$34,$E8)=0,"Unsupported status",IF($C8&lt;=0,"Qty must be above 0",IF(AND(ISNUMBER($G8),$G8&lt;$F8),"Release date before start date","OK"))))))))))))</f>
        <v>OK</v>
      </c>
    </row>
    <row r="9">
      <c r="A9" s="46" t="inlineStr">
        <is>
          <t>RES-008</t>
        </is>
      </c>
      <c r="B9" s="46" t="inlineStr">
        <is>
          <t>PRE-BRZ-30</t>
        </is>
      </c>
      <c r="C9" s="48" t="n">
        <v>50</v>
      </c>
      <c r="D9" s="46" t="inlineStr">
        <is>
          <t>Creator giveaway (ended)</t>
        </is>
      </c>
      <c r="E9" s="46" t="inlineStr">
        <is>
          <t>Active</t>
        </is>
      </c>
      <c r="F9" s="54" t="n">
        <v>46285</v>
      </c>
      <c r="G9" s="54" t="n">
        <v>46305</v>
      </c>
      <c r="H9" s="46" t="inlineStr">
        <is>
          <t>Maya Torres</t>
        </is>
      </c>
      <c r="I9" s="46" t="inlineStr">
        <is>
          <t>Release date has passed, so the rule no longer counts it</t>
        </is>
      </c>
      <c r="J9" s="49" t="str">
        <f>IF($A9="","",IFERROR(INDEX(Products!$B$2:$B$101,MATCH($B9,Products!$A$2:$A$101,0))&amp;"","(not found)"))</f>
        <v>Pre-Workout, Blue Raspberry, 30 servings</v>
      </c>
      <c r="K9" s="52">
        <f>IF($A9="","",IF(AND(IFERROR(INDEX(Config!$I$15:$I$34,MATCH($E9,Config!$H$15:$H$34,0)),"No")="Yes",ISNUMBER($F9)),IF(AND($F9&lt;=Config!$B$4,OR($G9="",AND(ISNUMBER($G9),$G9&gt;=Config!$B$4))),1,0),0))</f>
        <v>0</v>
      </c>
      <c r="L9" s="50">
        <f>IF($A9="","",IF(AND($K9=1,ISNUMBER($C9)),$C9,0))</f>
        <v>0</v>
      </c>
      <c r="M9" s="49" t="str">
        <f>IF(COUNTA($A9:$I9)=0,"",IF($A9="","Missing: reservation ID",IF(COUNTIF($A$2:$A$201,$A9)&gt;1,"Duplicate reservation ID",IF($B9="","Missing: SKU",IF(NOT(ISNUMBER($C9)),"Missing: qty",IF($D9="","Missing: reserved for",IF($E9="","Missing: status",IF(NOT(ISNUMBER($F9)),"Missing: start date",IF(COUNTIF(Products!$A$2:$A$101,$B9)=0,"Unknown SKU",IF(COUNTIF(Config!$H$15:$H$34,$E9)=0,"Unsupported status",IF($C9&lt;=0,"Qty must be above 0",IF(AND(ISNUMBER($G9),$G9&lt;$F9),"Release date before start date","OK"))))))))))))</f>
        <v>OK</v>
      </c>
    </row>
    <row r="10">
      <c r="A10" s="46" t="n"/>
      <c r="B10" s="46" t="n"/>
      <c r="C10" s="48" t="n"/>
      <c r="D10" s="46" t="n"/>
      <c r="E10" s="46" t="n"/>
      <c r="F10" s="54" t="n"/>
      <c r="G10" s="54" t="n"/>
      <c r="H10" s="46" t="n"/>
      <c r="I10" s="46" t="n"/>
      <c r="J10" s="49" t="str">
        <f>IF($A10="","",IFERROR(INDEX(Products!$B$2:$B$101,MATCH($B10,Products!$A$2:$A$101,0))&amp;"","(not found)"))</f>
        <v/>
      </c>
      <c r="K10" s="52" t="str">
        <f>IF($A10="","",IF(AND(IFERROR(INDEX(Config!$I$15:$I$34,MATCH($E10,Config!$H$15:$H$34,0)),"No")="Yes",ISNUMBER($F10)),IF(AND($F10&lt;=Config!$B$4,OR($G10="",AND(ISNUMBER($G10),$G10&gt;=Config!$B$4))),1,0),0))</f>
        <v/>
      </c>
      <c r="L10" s="50" t="str">
        <f>IF($A10="","",IF(AND($K10=1,ISNUMBER($C10)),$C10,0))</f>
        <v/>
      </c>
      <c r="M10" s="49" t="str">
        <f>IF(COUNTA($A10:$I10)=0,"",IF($A10="","Missing: reservation ID",IF(COUNTIF($A$2:$A$201,$A10)&gt;1,"Duplicate reservation ID",IF($B10="","Missing: SKU",IF(NOT(ISNUMBER($C10)),"Missing: qty",IF($D10="","Missing: reserved for",IF($E10="","Missing: status",IF(NOT(ISNUMBER($F10)),"Missing: start date",IF(COUNTIF(Products!$A$2:$A$101,$B10)=0,"Unknown SKU",IF(COUNTIF(Config!$H$15:$H$34,$E10)=0,"Unsupported status",IF($C10&lt;=0,"Qty must be above 0",IF(AND(ISNUMBER($G10),$G10&lt;$F10),"Release date before start date","OK"))))))))))))</f>
        <v/>
      </c>
    </row>
    <row r="11">
      <c r="A11" s="46" t="n"/>
      <c r="B11" s="46" t="n"/>
      <c r="C11" s="48" t="n"/>
      <c r="D11" s="46" t="n"/>
      <c r="E11" s="46" t="n"/>
      <c r="F11" s="54" t="n"/>
      <c r="G11" s="54" t="n"/>
      <c r="H11" s="46" t="n"/>
      <c r="I11" s="46" t="n"/>
      <c r="J11" s="49" t="str">
        <f>IF($A11="","",IFERROR(INDEX(Products!$B$2:$B$101,MATCH($B11,Products!$A$2:$A$101,0))&amp;"","(not found)"))</f>
        <v/>
      </c>
      <c r="K11" s="52" t="str">
        <f>IF($A11="","",IF(AND(IFERROR(INDEX(Config!$I$15:$I$34,MATCH($E11,Config!$H$15:$H$34,0)),"No")="Yes",ISNUMBER($F11)),IF(AND($F11&lt;=Config!$B$4,OR($G11="",AND(ISNUMBER($G11),$G11&gt;=Config!$B$4))),1,0),0))</f>
        <v/>
      </c>
      <c r="L11" s="50" t="str">
        <f>IF($A11="","",IF(AND($K11=1,ISNUMBER($C11)),$C11,0))</f>
        <v/>
      </c>
      <c r="M11" s="49" t="str">
        <f>IF(COUNTA($A11:$I11)=0,"",IF($A11="","Missing: reservation ID",IF(COUNTIF($A$2:$A$201,$A11)&gt;1,"Duplicate reservation ID",IF($B11="","Missing: SKU",IF(NOT(ISNUMBER($C11)),"Missing: qty",IF($D11="","Missing: reserved for",IF($E11="","Missing: status",IF(NOT(ISNUMBER($F11)),"Missing: start date",IF(COUNTIF(Products!$A$2:$A$101,$B11)=0,"Unknown SKU",IF(COUNTIF(Config!$H$15:$H$34,$E11)=0,"Unsupported status",IF($C11&lt;=0,"Qty must be above 0",IF(AND(ISNUMBER($G11),$G11&lt;$F11),"Release date before start date","OK"))))))))))))</f>
        <v/>
      </c>
    </row>
    <row r="12">
      <c r="A12" s="46" t="n"/>
      <c r="B12" s="46" t="n"/>
      <c r="C12" s="48" t="n"/>
      <c r="D12" s="46" t="n"/>
      <c r="E12" s="46" t="n"/>
      <c r="F12" s="54" t="n"/>
      <c r="G12" s="54" t="n"/>
      <c r="H12" s="46" t="n"/>
      <c r="I12" s="46" t="n"/>
      <c r="J12" s="49" t="str">
        <f>IF($A12="","",IFERROR(INDEX(Products!$B$2:$B$101,MATCH($B12,Products!$A$2:$A$101,0))&amp;"","(not found)"))</f>
        <v/>
      </c>
      <c r="K12" s="52" t="str">
        <f>IF($A12="","",IF(AND(IFERROR(INDEX(Config!$I$15:$I$34,MATCH($E12,Config!$H$15:$H$34,0)),"No")="Yes",ISNUMBER($F12)),IF(AND($F12&lt;=Config!$B$4,OR($G12="",AND(ISNUMBER($G12),$G12&gt;=Config!$B$4))),1,0),0))</f>
        <v/>
      </c>
      <c r="L12" s="50" t="str">
        <f>IF($A12="","",IF(AND($K12=1,ISNUMBER($C12)),$C12,0))</f>
        <v/>
      </c>
      <c r="M12" s="49" t="str">
        <f>IF(COUNTA($A12:$I12)=0,"",IF($A12="","Missing: reservation ID",IF(COUNTIF($A$2:$A$201,$A12)&gt;1,"Duplicate reservation ID",IF($B12="","Missing: SKU",IF(NOT(ISNUMBER($C12)),"Missing: qty",IF($D12="","Missing: reserved for",IF($E12="","Missing: status",IF(NOT(ISNUMBER($F12)),"Missing: start date",IF(COUNTIF(Products!$A$2:$A$101,$B12)=0,"Unknown SKU",IF(COUNTIF(Config!$H$15:$H$34,$E12)=0,"Unsupported status",IF($C12&lt;=0,"Qty must be above 0",IF(AND(ISNUMBER($G12),$G12&lt;$F12),"Release date before start date","OK"))))))))))))</f>
        <v/>
      </c>
    </row>
    <row r="13">
      <c r="A13" s="46" t="n"/>
      <c r="B13" s="46" t="n"/>
      <c r="C13" s="48" t="n"/>
      <c r="D13" s="46" t="n"/>
      <c r="E13" s="46" t="n"/>
      <c r="F13" s="54" t="n"/>
      <c r="G13" s="54" t="n"/>
      <c r="H13" s="46" t="n"/>
      <c r="I13" s="46" t="n"/>
      <c r="J13" s="49" t="str">
        <f>IF($A13="","",IFERROR(INDEX(Products!$B$2:$B$101,MATCH($B13,Products!$A$2:$A$101,0))&amp;"","(not found)"))</f>
        <v/>
      </c>
      <c r="K13" s="52" t="str">
        <f>IF($A13="","",IF(AND(IFERROR(INDEX(Config!$I$15:$I$34,MATCH($E13,Config!$H$15:$H$34,0)),"No")="Yes",ISNUMBER($F13)),IF(AND($F13&lt;=Config!$B$4,OR($G13="",AND(ISNUMBER($G13),$G13&gt;=Config!$B$4))),1,0),0))</f>
        <v/>
      </c>
      <c r="L13" s="50" t="str">
        <f>IF($A13="","",IF(AND($K13=1,ISNUMBER($C13)),$C13,0))</f>
        <v/>
      </c>
      <c r="M13" s="49" t="str">
        <f>IF(COUNTA($A13:$I13)=0,"",IF($A13="","Missing: reservation ID",IF(COUNTIF($A$2:$A$201,$A13)&gt;1,"Duplicate reservation ID",IF($B13="","Missing: SKU",IF(NOT(ISNUMBER($C13)),"Missing: qty",IF($D13="","Missing: reserved for",IF($E13="","Missing: status",IF(NOT(ISNUMBER($F13)),"Missing: start date",IF(COUNTIF(Products!$A$2:$A$101,$B13)=0,"Unknown SKU",IF(COUNTIF(Config!$H$15:$H$34,$E13)=0,"Unsupported status",IF($C13&lt;=0,"Qty must be above 0",IF(AND(ISNUMBER($G13),$G13&lt;$F13),"Release date before start date","OK"))))))))))))</f>
        <v/>
      </c>
    </row>
    <row r="14">
      <c r="A14" s="46" t="n"/>
      <c r="B14" s="46" t="n"/>
      <c r="C14" s="48" t="n"/>
      <c r="D14" s="46" t="n"/>
      <c r="E14" s="46" t="n"/>
      <c r="F14" s="54" t="n"/>
      <c r="G14" s="54" t="n"/>
      <c r="H14" s="46" t="n"/>
      <c r="I14" s="46" t="n"/>
      <c r="J14" s="49" t="str">
        <f>IF($A14="","",IFERROR(INDEX(Products!$B$2:$B$101,MATCH($B14,Products!$A$2:$A$101,0))&amp;"","(not found)"))</f>
        <v/>
      </c>
      <c r="K14" s="52" t="str">
        <f>IF($A14="","",IF(AND(IFERROR(INDEX(Config!$I$15:$I$34,MATCH($E14,Config!$H$15:$H$34,0)),"No")="Yes",ISNUMBER($F14)),IF(AND($F14&lt;=Config!$B$4,OR($G14="",AND(ISNUMBER($G14),$G14&gt;=Config!$B$4))),1,0),0))</f>
        <v/>
      </c>
      <c r="L14" s="50" t="str">
        <f>IF($A14="","",IF(AND($K14=1,ISNUMBER($C14)),$C14,0))</f>
        <v/>
      </c>
      <c r="M14" s="49" t="str">
        <f>IF(COUNTA($A14:$I14)=0,"",IF($A14="","Missing: reservation ID",IF(COUNTIF($A$2:$A$201,$A14)&gt;1,"Duplicate reservation ID",IF($B14="","Missing: SKU",IF(NOT(ISNUMBER($C14)),"Missing: qty",IF($D14="","Missing: reserved for",IF($E14="","Missing: status",IF(NOT(ISNUMBER($F14)),"Missing: start date",IF(COUNTIF(Products!$A$2:$A$101,$B14)=0,"Unknown SKU",IF(COUNTIF(Config!$H$15:$H$34,$E14)=0,"Unsupported status",IF($C14&lt;=0,"Qty must be above 0",IF(AND(ISNUMBER($G14),$G14&lt;$F14),"Release date before start date","OK"))))))))))))</f>
        <v/>
      </c>
    </row>
    <row r="15">
      <c r="A15" s="46" t="n"/>
      <c r="B15" s="46" t="n"/>
      <c r="C15" s="48" t="n"/>
      <c r="D15" s="46" t="n"/>
      <c r="E15" s="46" t="n"/>
      <c r="F15" s="54" t="n"/>
      <c r="G15" s="54" t="n"/>
      <c r="H15" s="46" t="n"/>
      <c r="I15" s="46" t="n"/>
      <c r="J15" s="49" t="str">
        <f>IF($A15="","",IFERROR(INDEX(Products!$B$2:$B$101,MATCH($B15,Products!$A$2:$A$101,0))&amp;"","(not found)"))</f>
        <v/>
      </c>
      <c r="K15" s="52" t="str">
        <f>IF($A15="","",IF(AND(IFERROR(INDEX(Config!$I$15:$I$34,MATCH($E15,Config!$H$15:$H$34,0)),"No")="Yes",ISNUMBER($F15)),IF(AND($F15&lt;=Config!$B$4,OR($G15="",AND(ISNUMBER($G15),$G15&gt;=Config!$B$4))),1,0),0))</f>
        <v/>
      </c>
      <c r="L15" s="50" t="str">
        <f>IF($A15="","",IF(AND($K15=1,ISNUMBER($C15)),$C15,0))</f>
        <v/>
      </c>
      <c r="M15" s="49" t="str">
        <f>IF(COUNTA($A15:$I15)=0,"",IF($A15="","Missing: reservation ID",IF(COUNTIF($A$2:$A$201,$A15)&gt;1,"Duplicate reservation ID",IF($B15="","Missing: SKU",IF(NOT(ISNUMBER($C15)),"Missing: qty",IF($D15="","Missing: reserved for",IF($E15="","Missing: status",IF(NOT(ISNUMBER($F15)),"Missing: start date",IF(COUNTIF(Products!$A$2:$A$101,$B15)=0,"Unknown SKU",IF(COUNTIF(Config!$H$15:$H$34,$E15)=0,"Unsupported status",IF($C15&lt;=0,"Qty must be above 0",IF(AND(ISNUMBER($G15),$G15&lt;$F15),"Release date before start date","OK"))))))))))))</f>
        <v/>
      </c>
    </row>
    <row r="16">
      <c r="A16" s="46" t="n"/>
      <c r="B16" s="46" t="n"/>
      <c r="C16" s="48" t="n"/>
      <c r="D16" s="46" t="n"/>
      <c r="E16" s="46" t="n"/>
      <c r="F16" s="54" t="n"/>
      <c r="G16" s="54" t="n"/>
      <c r="H16" s="46" t="n"/>
      <c r="I16" s="46" t="n"/>
      <c r="J16" s="49" t="str">
        <f>IF($A16="","",IFERROR(INDEX(Products!$B$2:$B$101,MATCH($B16,Products!$A$2:$A$101,0))&amp;"","(not found)"))</f>
        <v/>
      </c>
      <c r="K16" s="52" t="str">
        <f>IF($A16="","",IF(AND(IFERROR(INDEX(Config!$I$15:$I$34,MATCH($E16,Config!$H$15:$H$34,0)),"No")="Yes",ISNUMBER($F16)),IF(AND($F16&lt;=Config!$B$4,OR($G16="",AND(ISNUMBER($G16),$G16&gt;=Config!$B$4))),1,0),0))</f>
        <v/>
      </c>
      <c r="L16" s="50" t="str">
        <f>IF($A16="","",IF(AND($K16=1,ISNUMBER($C16)),$C16,0))</f>
        <v/>
      </c>
      <c r="M16" s="49" t="str">
        <f>IF(COUNTA($A16:$I16)=0,"",IF($A16="","Missing: reservation ID",IF(COUNTIF($A$2:$A$201,$A16)&gt;1,"Duplicate reservation ID",IF($B16="","Missing: SKU",IF(NOT(ISNUMBER($C16)),"Missing: qty",IF($D16="","Missing: reserved for",IF($E16="","Missing: status",IF(NOT(ISNUMBER($F16)),"Missing: start date",IF(COUNTIF(Products!$A$2:$A$101,$B16)=0,"Unknown SKU",IF(COUNTIF(Config!$H$15:$H$34,$E16)=0,"Unsupported status",IF($C16&lt;=0,"Qty must be above 0",IF(AND(ISNUMBER($G16),$G16&lt;$F16),"Release date before start date","OK"))))))))))))</f>
        <v/>
      </c>
    </row>
    <row r="17">
      <c r="A17" s="46" t="n"/>
      <c r="B17" s="46" t="n"/>
      <c r="C17" s="48" t="n"/>
      <c r="D17" s="46" t="n"/>
      <c r="E17" s="46" t="n"/>
      <c r="F17" s="54" t="n"/>
      <c r="G17" s="54" t="n"/>
      <c r="H17" s="46" t="n"/>
      <c r="I17" s="46" t="n"/>
      <c r="J17" s="49" t="str">
        <f>IF($A17="","",IFERROR(INDEX(Products!$B$2:$B$101,MATCH($B17,Products!$A$2:$A$101,0))&amp;"","(not found)"))</f>
        <v/>
      </c>
      <c r="K17" s="52" t="str">
        <f>IF($A17="","",IF(AND(IFERROR(INDEX(Config!$I$15:$I$34,MATCH($E17,Config!$H$15:$H$34,0)),"No")="Yes",ISNUMBER($F17)),IF(AND($F17&lt;=Config!$B$4,OR($G17="",AND(ISNUMBER($G17),$G17&gt;=Config!$B$4))),1,0),0))</f>
        <v/>
      </c>
      <c r="L17" s="50" t="str">
        <f>IF($A17="","",IF(AND($K17=1,ISNUMBER($C17)),$C17,0))</f>
        <v/>
      </c>
      <c r="M17" s="49" t="str">
        <f>IF(COUNTA($A17:$I17)=0,"",IF($A17="","Missing: reservation ID",IF(COUNTIF($A$2:$A$201,$A17)&gt;1,"Duplicate reservation ID",IF($B17="","Missing: SKU",IF(NOT(ISNUMBER($C17)),"Missing: qty",IF($D17="","Missing: reserved for",IF($E17="","Missing: status",IF(NOT(ISNUMBER($F17)),"Missing: start date",IF(COUNTIF(Products!$A$2:$A$101,$B17)=0,"Unknown SKU",IF(COUNTIF(Config!$H$15:$H$34,$E17)=0,"Unsupported status",IF($C17&lt;=0,"Qty must be above 0",IF(AND(ISNUMBER($G17),$G17&lt;$F17),"Release date before start date","OK"))))))))))))</f>
        <v/>
      </c>
    </row>
    <row r="18">
      <c r="A18" s="46" t="n"/>
      <c r="B18" s="46" t="n"/>
      <c r="C18" s="48" t="n"/>
      <c r="D18" s="46" t="n"/>
      <c r="E18" s="46" t="n"/>
      <c r="F18" s="54" t="n"/>
      <c r="G18" s="54" t="n"/>
      <c r="H18" s="46" t="n"/>
      <c r="I18" s="46" t="n"/>
      <c r="J18" s="49" t="str">
        <f>IF($A18="","",IFERROR(INDEX(Products!$B$2:$B$101,MATCH($B18,Products!$A$2:$A$101,0))&amp;"","(not found)"))</f>
        <v/>
      </c>
      <c r="K18" s="52" t="str">
        <f>IF($A18="","",IF(AND(IFERROR(INDEX(Config!$I$15:$I$34,MATCH($E18,Config!$H$15:$H$34,0)),"No")="Yes",ISNUMBER($F18)),IF(AND($F18&lt;=Config!$B$4,OR($G18="",AND(ISNUMBER($G18),$G18&gt;=Config!$B$4))),1,0),0))</f>
        <v/>
      </c>
      <c r="L18" s="50" t="str">
        <f>IF($A18="","",IF(AND($K18=1,ISNUMBER($C18)),$C18,0))</f>
        <v/>
      </c>
      <c r="M18" s="49" t="str">
        <f>IF(COUNTA($A18:$I18)=0,"",IF($A18="","Missing: reservation ID",IF(COUNTIF($A$2:$A$201,$A18)&gt;1,"Duplicate reservation ID",IF($B18="","Missing: SKU",IF(NOT(ISNUMBER($C18)),"Missing: qty",IF($D18="","Missing: reserved for",IF($E18="","Missing: status",IF(NOT(ISNUMBER($F18)),"Missing: start date",IF(COUNTIF(Products!$A$2:$A$101,$B18)=0,"Unknown SKU",IF(COUNTIF(Config!$H$15:$H$34,$E18)=0,"Unsupported status",IF($C18&lt;=0,"Qty must be above 0",IF(AND(ISNUMBER($G18),$G18&lt;$F18),"Release date before start date","OK"))))))))))))</f>
        <v/>
      </c>
    </row>
    <row r="19">
      <c r="A19" s="46" t="n"/>
      <c r="B19" s="46" t="n"/>
      <c r="C19" s="48" t="n"/>
      <c r="D19" s="46" t="n"/>
      <c r="E19" s="46" t="n"/>
      <c r="F19" s="54" t="n"/>
      <c r="G19" s="54" t="n"/>
      <c r="H19" s="46" t="n"/>
      <c r="I19" s="46" t="n"/>
      <c r="J19" s="49" t="str">
        <f>IF($A19="","",IFERROR(INDEX(Products!$B$2:$B$101,MATCH($B19,Products!$A$2:$A$101,0))&amp;"","(not found)"))</f>
        <v/>
      </c>
      <c r="K19" s="52" t="str">
        <f>IF($A19="","",IF(AND(IFERROR(INDEX(Config!$I$15:$I$34,MATCH($E19,Config!$H$15:$H$34,0)),"No")="Yes",ISNUMBER($F19)),IF(AND($F19&lt;=Config!$B$4,OR($G19="",AND(ISNUMBER($G19),$G19&gt;=Config!$B$4))),1,0),0))</f>
        <v/>
      </c>
      <c r="L19" s="50" t="str">
        <f>IF($A19="","",IF(AND($K19=1,ISNUMBER($C19)),$C19,0))</f>
        <v/>
      </c>
      <c r="M19" s="49" t="str">
        <f>IF(COUNTA($A19:$I19)=0,"",IF($A19="","Missing: reservation ID",IF(COUNTIF($A$2:$A$201,$A19)&gt;1,"Duplicate reservation ID",IF($B19="","Missing: SKU",IF(NOT(ISNUMBER($C19)),"Missing: qty",IF($D19="","Missing: reserved for",IF($E19="","Missing: status",IF(NOT(ISNUMBER($F19)),"Missing: start date",IF(COUNTIF(Products!$A$2:$A$101,$B19)=0,"Unknown SKU",IF(COUNTIF(Config!$H$15:$H$34,$E19)=0,"Unsupported status",IF($C19&lt;=0,"Qty must be above 0",IF(AND(ISNUMBER($G19),$G19&lt;$F19),"Release date before start date","OK"))))))))))))</f>
        <v/>
      </c>
    </row>
    <row r="20">
      <c r="A20" s="46" t="n"/>
      <c r="B20" s="46" t="n"/>
      <c r="C20" s="48" t="n"/>
      <c r="D20" s="46" t="n"/>
      <c r="E20" s="46" t="n"/>
      <c r="F20" s="54" t="n"/>
      <c r="G20" s="54" t="n"/>
      <c r="H20" s="46" t="n"/>
      <c r="I20" s="46" t="n"/>
      <c r="J20" s="49" t="str">
        <f>IF($A20="","",IFERROR(INDEX(Products!$B$2:$B$101,MATCH($B20,Products!$A$2:$A$101,0))&amp;"","(not found)"))</f>
        <v/>
      </c>
      <c r="K20" s="52" t="str">
        <f>IF($A20="","",IF(AND(IFERROR(INDEX(Config!$I$15:$I$34,MATCH($E20,Config!$H$15:$H$34,0)),"No")="Yes",ISNUMBER($F20)),IF(AND($F20&lt;=Config!$B$4,OR($G20="",AND(ISNUMBER($G20),$G20&gt;=Config!$B$4))),1,0),0))</f>
        <v/>
      </c>
      <c r="L20" s="50" t="str">
        <f>IF($A20="","",IF(AND($K20=1,ISNUMBER($C20)),$C20,0))</f>
        <v/>
      </c>
      <c r="M20" s="49" t="str">
        <f>IF(COUNTA($A20:$I20)=0,"",IF($A20="","Missing: reservation ID",IF(COUNTIF($A$2:$A$201,$A20)&gt;1,"Duplicate reservation ID",IF($B20="","Missing: SKU",IF(NOT(ISNUMBER($C20)),"Missing: qty",IF($D20="","Missing: reserved for",IF($E20="","Missing: status",IF(NOT(ISNUMBER($F20)),"Missing: start date",IF(COUNTIF(Products!$A$2:$A$101,$B20)=0,"Unknown SKU",IF(COUNTIF(Config!$H$15:$H$34,$E20)=0,"Unsupported status",IF($C20&lt;=0,"Qty must be above 0",IF(AND(ISNUMBER($G20),$G20&lt;$F20),"Release date before start date","OK"))))))))))))</f>
        <v/>
      </c>
    </row>
    <row r="21">
      <c r="A21" s="46" t="n"/>
      <c r="B21" s="46" t="n"/>
      <c r="C21" s="48" t="n"/>
      <c r="D21" s="46" t="n"/>
      <c r="E21" s="46" t="n"/>
      <c r="F21" s="54" t="n"/>
      <c r="G21" s="54" t="n"/>
      <c r="H21" s="46" t="n"/>
      <c r="I21" s="46" t="n"/>
      <c r="J21" s="49" t="str">
        <f>IF($A21="","",IFERROR(INDEX(Products!$B$2:$B$101,MATCH($B21,Products!$A$2:$A$101,0))&amp;"","(not found)"))</f>
        <v/>
      </c>
      <c r="K21" s="52" t="str">
        <f>IF($A21="","",IF(AND(IFERROR(INDEX(Config!$I$15:$I$34,MATCH($E21,Config!$H$15:$H$34,0)),"No")="Yes",ISNUMBER($F21)),IF(AND($F21&lt;=Config!$B$4,OR($G21="",AND(ISNUMBER($G21),$G21&gt;=Config!$B$4))),1,0),0))</f>
        <v/>
      </c>
      <c r="L21" s="50" t="str">
        <f>IF($A21="","",IF(AND($K21=1,ISNUMBER($C21)),$C21,0))</f>
        <v/>
      </c>
      <c r="M21" s="49" t="str">
        <f>IF(COUNTA($A21:$I21)=0,"",IF($A21="","Missing: reservation ID",IF(COUNTIF($A$2:$A$201,$A21)&gt;1,"Duplicate reservation ID",IF($B21="","Missing: SKU",IF(NOT(ISNUMBER($C21)),"Missing: qty",IF($D21="","Missing: reserved for",IF($E21="","Missing: status",IF(NOT(ISNUMBER($F21)),"Missing: start date",IF(COUNTIF(Products!$A$2:$A$101,$B21)=0,"Unknown SKU",IF(COUNTIF(Config!$H$15:$H$34,$E21)=0,"Unsupported status",IF($C21&lt;=0,"Qty must be above 0",IF(AND(ISNUMBER($G21),$G21&lt;$F21),"Release date before start date","OK"))))))))))))</f>
        <v/>
      </c>
    </row>
    <row r="22">
      <c r="A22" s="46" t="n"/>
      <c r="B22" s="46" t="n"/>
      <c r="C22" s="48" t="n"/>
      <c r="D22" s="46" t="n"/>
      <c r="E22" s="46" t="n"/>
      <c r="F22" s="54" t="n"/>
      <c r="G22" s="54" t="n"/>
      <c r="H22" s="46" t="n"/>
      <c r="I22" s="46" t="n"/>
      <c r="J22" s="49" t="str">
        <f>IF($A22="","",IFERROR(INDEX(Products!$B$2:$B$101,MATCH($B22,Products!$A$2:$A$101,0))&amp;"","(not found)"))</f>
        <v/>
      </c>
      <c r="K22" s="52" t="str">
        <f>IF($A22="","",IF(AND(IFERROR(INDEX(Config!$I$15:$I$34,MATCH($E22,Config!$H$15:$H$34,0)),"No")="Yes",ISNUMBER($F22)),IF(AND($F22&lt;=Config!$B$4,OR($G22="",AND(ISNUMBER($G22),$G22&gt;=Config!$B$4))),1,0),0))</f>
        <v/>
      </c>
      <c r="L22" s="50" t="str">
        <f>IF($A22="","",IF(AND($K22=1,ISNUMBER($C22)),$C22,0))</f>
        <v/>
      </c>
      <c r="M22" s="49" t="str">
        <f>IF(COUNTA($A22:$I22)=0,"",IF($A22="","Missing: reservation ID",IF(COUNTIF($A$2:$A$201,$A22)&gt;1,"Duplicate reservation ID",IF($B22="","Missing: SKU",IF(NOT(ISNUMBER($C22)),"Missing: qty",IF($D22="","Missing: reserved for",IF($E22="","Missing: status",IF(NOT(ISNUMBER($F22)),"Missing: start date",IF(COUNTIF(Products!$A$2:$A$101,$B22)=0,"Unknown SKU",IF(COUNTIF(Config!$H$15:$H$34,$E22)=0,"Unsupported status",IF($C22&lt;=0,"Qty must be above 0",IF(AND(ISNUMBER($G22),$G22&lt;$F22),"Release date before start date","OK"))))))))))))</f>
        <v/>
      </c>
    </row>
    <row r="23">
      <c r="A23" s="46" t="n"/>
      <c r="B23" s="46" t="n"/>
      <c r="C23" s="48" t="n"/>
      <c r="D23" s="46" t="n"/>
      <c r="E23" s="46" t="n"/>
      <c r="F23" s="54" t="n"/>
      <c r="G23" s="54" t="n"/>
      <c r="H23" s="46" t="n"/>
      <c r="I23" s="46" t="n"/>
      <c r="J23" s="49" t="str">
        <f>IF($A23="","",IFERROR(INDEX(Products!$B$2:$B$101,MATCH($B23,Products!$A$2:$A$101,0))&amp;"","(not found)"))</f>
        <v/>
      </c>
      <c r="K23" s="52" t="str">
        <f>IF($A23="","",IF(AND(IFERROR(INDEX(Config!$I$15:$I$34,MATCH($E23,Config!$H$15:$H$34,0)),"No")="Yes",ISNUMBER($F23)),IF(AND($F23&lt;=Config!$B$4,OR($G23="",AND(ISNUMBER($G23),$G23&gt;=Config!$B$4))),1,0),0))</f>
        <v/>
      </c>
      <c r="L23" s="50" t="str">
        <f>IF($A23="","",IF(AND($K23=1,ISNUMBER($C23)),$C23,0))</f>
        <v/>
      </c>
      <c r="M23" s="49" t="str">
        <f>IF(COUNTA($A23:$I23)=0,"",IF($A23="","Missing: reservation ID",IF(COUNTIF($A$2:$A$201,$A23)&gt;1,"Duplicate reservation ID",IF($B23="","Missing: SKU",IF(NOT(ISNUMBER($C23)),"Missing: qty",IF($D23="","Missing: reserved for",IF($E23="","Missing: status",IF(NOT(ISNUMBER($F23)),"Missing: start date",IF(COUNTIF(Products!$A$2:$A$101,$B23)=0,"Unknown SKU",IF(COUNTIF(Config!$H$15:$H$34,$E23)=0,"Unsupported status",IF($C23&lt;=0,"Qty must be above 0",IF(AND(ISNUMBER($G23),$G23&lt;$F23),"Release date before start date","OK"))))))))))))</f>
        <v/>
      </c>
    </row>
    <row r="24">
      <c r="A24" s="46" t="n"/>
      <c r="B24" s="46" t="n"/>
      <c r="C24" s="48" t="n"/>
      <c r="D24" s="46" t="n"/>
      <c r="E24" s="46" t="n"/>
      <c r="F24" s="54" t="n"/>
      <c r="G24" s="54" t="n"/>
      <c r="H24" s="46" t="n"/>
      <c r="I24" s="46" t="n"/>
      <c r="J24" s="49" t="str">
        <f>IF($A24="","",IFERROR(INDEX(Products!$B$2:$B$101,MATCH($B24,Products!$A$2:$A$101,0))&amp;"","(not found)"))</f>
        <v/>
      </c>
      <c r="K24" s="52" t="str">
        <f>IF($A24="","",IF(AND(IFERROR(INDEX(Config!$I$15:$I$34,MATCH($E24,Config!$H$15:$H$34,0)),"No")="Yes",ISNUMBER($F24)),IF(AND($F24&lt;=Config!$B$4,OR($G24="",AND(ISNUMBER($G24),$G24&gt;=Config!$B$4))),1,0),0))</f>
        <v/>
      </c>
      <c r="L24" s="50" t="str">
        <f>IF($A24="","",IF(AND($K24=1,ISNUMBER($C24)),$C24,0))</f>
        <v/>
      </c>
      <c r="M24" s="49" t="str">
        <f>IF(COUNTA($A24:$I24)=0,"",IF($A24="","Missing: reservation ID",IF(COUNTIF($A$2:$A$201,$A24)&gt;1,"Duplicate reservation ID",IF($B24="","Missing: SKU",IF(NOT(ISNUMBER($C24)),"Missing: qty",IF($D24="","Missing: reserved for",IF($E24="","Missing: status",IF(NOT(ISNUMBER($F24)),"Missing: start date",IF(COUNTIF(Products!$A$2:$A$101,$B24)=0,"Unknown SKU",IF(COUNTIF(Config!$H$15:$H$34,$E24)=0,"Unsupported status",IF($C24&lt;=0,"Qty must be above 0",IF(AND(ISNUMBER($G24),$G24&lt;$F24),"Release date before start date","OK"))))))))))))</f>
        <v/>
      </c>
    </row>
    <row r="25">
      <c r="A25" s="46" t="n"/>
      <c r="B25" s="46" t="n"/>
      <c r="C25" s="48" t="n"/>
      <c r="D25" s="46" t="n"/>
      <c r="E25" s="46" t="n"/>
      <c r="F25" s="54" t="n"/>
      <c r="G25" s="54" t="n"/>
      <c r="H25" s="46" t="n"/>
      <c r="I25" s="46" t="n"/>
      <c r="J25" s="49" t="str">
        <f>IF($A25="","",IFERROR(INDEX(Products!$B$2:$B$101,MATCH($B25,Products!$A$2:$A$101,0))&amp;"","(not found)"))</f>
        <v/>
      </c>
      <c r="K25" s="52" t="str">
        <f>IF($A25="","",IF(AND(IFERROR(INDEX(Config!$I$15:$I$34,MATCH($E25,Config!$H$15:$H$34,0)),"No")="Yes",ISNUMBER($F25)),IF(AND($F25&lt;=Config!$B$4,OR($G25="",AND(ISNUMBER($G25),$G25&gt;=Config!$B$4))),1,0),0))</f>
        <v/>
      </c>
      <c r="L25" s="50" t="str">
        <f>IF($A25="","",IF(AND($K25=1,ISNUMBER($C25)),$C25,0))</f>
        <v/>
      </c>
      <c r="M25" s="49" t="str">
        <f>IF(COUNTA($A25:$I25)=0,"",IF($A25="","Missing: reservation ID",IF(COUNTIF($A$2:$A$201,$A25)&gt;1,"Duplicate reservation ID",IF($B25="","Missing: SKU",IF(NOT(ISNUMBER($C25)),"Missing: qty",IF($D25="","Missing: reserved for",IF($E25="","Missing: status",IF(NOT(ISNUMBER($F25)),"Missing: start date",IF(COUNTIF(Products!$A$2:$A$101,$B25)=0,"Unknown SKU",IF(COUNTIF(Config!$H$15:$H$34,$E25)=0,"Unsupported status",IF($C25&lt;=0,"Qty must be above 0",IF(AND(ISNUMBER($G25),$G25&lt;$F25),"Release date before start date","OK"))))))))))))</f>
        <v/>
      </c>
    </row>
    <row r="26">
      <c r="A26" s="46" t="n"/>
      <c r="B26" s="46" t="n"/>
      <c r="C26" s="48" t="n"/>
      <c r="D26" s="46" t="n"/>
      <c r="E26" s="46" t="n"/>
      <c r="F26" s="54" t="n"/>
      <c r="G26" s="54" t="n"/>
      <c r="H26" s="46" t="n"/>
      <c r="I26" s="46" t="n"/>
      <c r="J26" s="49" t="str">
        <f>IF($A26="","",IFERROR(INDEX(Products!$B$2:$B$101,MATCH($B26,Products!$A$2:$A$101,0))&amp;"","(not found)"))</f>
        <v/>
      </c>
      <c r="K26" s="52" t="str">
        <f>IF($A26="","",IF(AND(IFERROR(INDEX(Config!$I$15:$I$34,MATCH($E26,Config!$H$15:$H$34,0)),"No")="Yes",ISNUMBER($F26)),IF(AND($F26&lt;=Config!$B$4,OR($G26="",AND(ISNUMBER($G26),$G26&gt;=Config!$B$4))),1,0),0))</f>
        <v/>
      </c>
      <c r="L26" s="50" t="str">
        <f>IF($A26="","",IF(AND($K26=1,ISNUMBER($C26)),$C26,0))</f>
        <v/>
      </c>
      <c r="M26" s="49" t="str">
        <f>IF(COUNTA($A26:$I26)=0,"",IF($A26="","Missing: reservation ID",IF(COUNTIF($A$2:$A$201,$A26)&gt;1,"Duplicate reservation ID",IF($B26="","Missing: SKU",IF(NOT(ISNUMBER($C26)),"Missing: qty",IF($D26="","Missing: reserved for",IF($E26="","Missing: status",IF(NOT(ISNUMBER($F26)),"Missing: start date",IF(COUNTIF(Products!$A$2:$A$101,$B26)=0,"Unknown SKU",IF(COUNTIF(Config!$H$15:$H$34,$E26)=0,"Unsupported status",IF($C26&lt;=0,"Qty must be above 0",IF(AND(ISNUMBER($G26),$G26&lt;$F26),"Release date before start date","OK"))))))))))))</f>
        <v/>
      </c>
    </row>
    <row r="27">
      <c r="A27" s="46" t="n"/>
      <c r="B27" s="46" t="n"/>
      <c r="C27" s="48" t="n"/>
      <c r="D27" s="46" t="n"/>
      <c r="E27" s="46" t="n"/>
      <c r="F27" s="54" t="n"/>
      <c r="G27" s="54" t="n"/>
      <c r="H27" s="46" t="n"/>
      <c r="I27" s="46" t="n"/>
      <c r="J27" s="49" t="str">
        <f>IF($A27="","",IFERROR(INDEX(Products!$B$2:$B$101,MATCH($B27,Products!$A$2:$A$101,0))&amp;"","(not found)"))</f>
        <v/>
      </c>
      <c r="K27" s="52" t="str">
        <f>IF($A27="","",IF(AND(IFERROR(INDEX(Config!$I$15:$I$34,MATCH($E27,Config!$H$15:$H$34,0)),"No")="Yes",ISNUMBER($F27)),IF(AND($F27&lt;=Config!$B$4,OR($G27="",AND(ISNUMBER($G27),$G27&gt;=Config!$B$4))),1,0),0))</f>
        <v/>
      </c>
      <c r="L27" s="50" t="str">
        <f>IF($A27="","",IF(AND($K27=1,ISNUMBER($C27)),$C27,0))</f>
        <v/>
      </c>
      <c r="M27" s="49" t="str">
        <f>IF(COUNTA($A27:$I27)=0,"",IF($A27="","Missing: reservation ID",IF(COUNTIF($A$2:$A$201,$A27)&gt;1,"Duplicate reservation ID",IF($B27="","Missing: SKU",IF(NOT(ISNUMBER($C27)),"Missing: qty",IF($D27="","Missing: reserved for",IF($E27="","Missing: status",IF(NOT(ISNUMBER($F27)),"Missing: start date",IF(COUNTIF(Products!$A$2:$A$101,$B27)=0,"Unknown SKU",IF(COUNTIF(Config!$H$15:$H$34,$E27)=0,"Unsupported status",IF($C27&lt;=0,"Qty must be above 0",IF(AND(ISNUMBER($G27),$G27&lt;$F27),"Release date before start date","OK"))))))))))))</f>
        <v/>
      </c>
    </row>
    <row r="28">
      <c r="A28" s="46" t="n"/>
      <c r="B28" s="46" t="n"/>
      <c r="C28" s="48" t="n"/>
      <c r="D28" s="46" t="n"/>
      <c r="E28" s="46" t="n"/>
      <c r="F28" s="54" t="n"/>
      <c r="G28" s="54" t="n"/>
      <c r="H28" s="46" t="n"/>
      <c r="I28" s="46" t="n"/>
      <c r="J28" s="49" t="str">
        <f>IF($A28="","",IFERROR(INDEX(Products!$B$2:$B$101,MATCH($B28,Products!$A$2:$A$101,0))&amp;"","(not found)"))</f>
        <v/>
      </c>
      <c r="K28" s="52" t="str">
        <f>IF($A28="","",IF(AND(IFERROR(INDEX(Config!$I$15:$I$34,MATCH($E28,Config!$H$15:$H$34,0)),"No")="Yes",ISNUMBER($F28)),IF(AND($F28&lt;=Config!$B$4,OR($G28="",AND(ISNUMBER($G28),$G28&gt;=Config!$B$4))),1,0),0))</f>
        <v/>
      </c>
      <c r="L28" s="50" t="str">
        <f>IF($A28="","",IF(AND($K28=1,ISNUMBER($C28)),$C28,0))</f>
        <v/>
      </c>
      <c r="M28" s="49" t="str">
        <f>IF(COUNTA($A28:$I28)=0,"",IF($A28="","Missing: reservation ID",IF(COUNTIF($A$2:$A$201,$A28)&gt;1,"Duplicate reservation ID",IF($B28="","Missing: SKU",IF(NOT(ISNUMBER($C28)),"Missing: qty",IF($D28="","Missing: reserved for",IF($E28="","Missing: status",IF(NOT(ISNUMBER($F28)),"Missing: start date",IF(COUNTIF(Products!$A$2:$A$101,$B28)=0,"Unknown SKU",IF(COUNTIF(Config!$H$15:$H$34,$E28)=0,"Unsupported status",IF($C28&lt;=0,"Qty must be above 0",IF(AND(ISNUMBER($G28),$G28&lt;$F28),"Release date before start date","OK"))))))))))))</f>
        <v/>
      </c>
    </row>
    <row r="29">
      <c r="A29" s="46" t="n"/>
      <c r="B29" s="46" t="n"/>
      <c r="C29" s="48" t="n"/>
      <c r="D29" s="46" t="n"/>
      <c r="E29" s="46" t="n"/>
      <c r="F29" s="54" t="n"/>
      <c r="G29" s="54" t="n"/>
      <c r="H29" s="46" t="n"/>
      <c r="I29" s="46" t="n"/>
      <c r="J29" s="49" t="str">
        <f>IF($A29="","",IFERROR(INDEX(Products!$B$2:$B$101,MATCH($B29,Products!$A$2:$A$101,0))&amp;"","(not found)"))</f>
        <v/>
      </c>
      <c r="K29" s="52" t="str">
        <f>IF($A29="","",IF(AND(IFERROR(INDEX(Config!$I$15:$I$34,MATCH($E29,Config!$H$15:$H$34,0)),"No")="Yes",ISNUMBER($F29)),IF(AND($F29&lt;=Config!$B$4,OR($G29="",AND(ISNUMBER($G29),$G29&gt;=Config!$B$4))),1,0),0))</f>
        <v/>
      </c>
      <c r="L29" s="50" t="str">
        <f>IF($A29="","",IF(AND($K29=1,ISNUMBER($C29)),$C29,0))</f>
        <v/>
      </c>
      <c r="M29" s="49" t="str">
        <f>IF(COUNTA($A29:$I29)=0,"",IF($A29="","Missing: reservation ID",IF(COUNTIF($A$2:$A$201,$A29)&gt;1,"Duplicate reservation ID",IF($B29="","Missing: SKU",IF(NOT(ISNUMBER($C29)),"Missing: qty",IF($D29="","Missing: reserved for",IF($E29="","Missing: status",IF(NOT(ISNUMBER($F29)),"Missing: start date",IF(COUNTIF(Products!$A$2:$A$101,$B29)=0,"Unknown SKU",IF(COUNTIF(Config!$H$15:$H$34,$E29)=0,"Unsupported status",IF($C29&lt;=0,"Qty must be above 0",IF(AND(ISNUMBER($G29),$G29&lt;$F29),"Release date before start date","OK"))))))))))))</f>
        <v/>
      </c>
    </row>
    <row r="30">
      <c r="A30" s="46" t="n"/>
      <c r="B30" s="46" t="n"/>
      <c r="C30" s="48" t="n"/>
      <c r="D30" s="46" t="n"/>
      <c r="E30" s="46" t="n"/>
      <c r="F30" s="54" t="n"/>
      <c r="G30" s="54" t="n"/>
      <c r="H30" s="46" t="n"/>
      <c r="I30" s="46" t="n"/>
      <c r="J30" s="49" t="str">
        <f>IF($A30="","",IFERROR(INDEX(Products!$B$2:$B$101,MATCH($B30,Products!$A$2:$A$101,0))&amp;"","(not found)"))</f>
        <v/>
      </c>
      <c r="K30" s="52" t="str">
        <f>IF($A30="","",IF(AND(IFERROR(INDEX(Config!$I$15:$I$34,MATCH($E30,Config!$H$15:$H$34,0)),"No")="Yes",ISNUMBER($F30)),IF(AND($F30&lt;=Config!$B$4,OR($G30="",AND(ISNUMBER($G30),$G30&gt;=Config!$B$4))),1,0),0))</f>
        <v/>
      </c>
      <c r="L30" s="50" t="str">
        <f>IF($A30="","",IF(AND($K30=1,ISNUMBER($C30)),$C30,0))</f>
        <v/>
      </c>
      <c r="M30" s="49" t="str">
        <f>IF(COUNTA($A30:$I30)=0,"",IF($A30="","Missing: reservation ID",IF(COUNTIF($A$2:$A$201,$A30)&gt;1,"Duplicate reservation ID",IF($B30="","Missing: SKU",IF(NOT(ISNUMBER($C30)),"Missing: qty",IF($D30="","Missing: reserved for",IF($E30="","Missing: status",IF(NOT(ISNUMBER($F30)),"Missing: start date",IF(COUNTIF(Products!$A$2:$A$101,$B30)=0,"Unknown SKU",IF(COUNTIF(Config!$H$15:$H$34,$E30)=0,"Unsupported status",IF($C30&lt;=0,"Qty must be above 0",IF(AND(ISNUMBER($G30),$G30&lt;$F30),"Release date before start date","OK"))))))))))))</f>
        <v/>
      </c>
    </row>
    <row r="31">
      <c r="A31" s="46" t="n"/>
      <c r="B31" s="46" t="n"/>
      <c r="C31" s="48" t="n"/>
      <c r="D31" s="46" t="n"/>
      <c r="E31" s="46" t="n"/>
      <c r="F31" s="54" t="n"/>
      <c r="G31" s="54" t="n"/>
      <c r="H31" s="46" t="n"/>
      <c r="I31" s="46" t="n"/>
      <c r="J31" s="49" t="str">
        <f>IF($A31="","",IFERROR(INDEX(Products!$B$2:$B$101,MATCH($B31,Products!$A$2:$A$101,0))&amp;"","(not found)"))</f>
        <v/>
      </c>
      <c r="K31" s="52" t="str">
        <f>IF($A31="","",IF(AND(IFERROR(INDEX(Config!$I$15:$I$34,MATCH($E31,Config!$H$15:$H$34,0)),"No")="Yes",ISNUMBER($F31)),IF(AND($F31&lt;=Config!$B$4,OR($G31="",AND(ISNUMBER($G31),$G31&gt;=Config!$B$4))),1,0),0))</f>
        <v/>
      </c>
      <c r="L31" s="50" t="str">
        <f>IF($A31="","",IF(AND($K31=1,ISNUMBER($C31)),$C31,0))</f>
        <v/>
      </c>
      <c r="M31" s="49" t="str">
        <f>IF(COUNTA($A31:$I31)=0,"",IF($A31="","Missing: reservation ID",IF(COUNTIF($A$2:$A$201,$A31)&gt;1,"Duplicate reservation ID",IF($B31="","Missing: SKU",IF(NOT(ISNUMBER($C31)),"Missing: qty",IF($D31="","Missing: reserved for",IF($E31="","Missing: status",IF(NOT(ISNUMBER($F31)),"Missing: start date",IF(COUNTIF(Products!$A$2:$A$101,$B31)=0,"Unknown SKU",IF(COUNTIF(Config!$H$15:$H$34,$E31)=0,"Unsupported status",IF($C31&lt;=0,"Qty must be above 0",IF(AND(ISNUMBER($G31),$G31&lt;$F31),"Release date before start date","OK"))))))))))))</f>
        <v/>
      </c>
    </row>
    <row r="32">
      <c r="A32" s="46" t="n"/>
      <c r="B32" s="46" t="n"/>
      <c r="C32" s="48" t="n"/>
      <c r="D32" s="46" t="n"/>
      <c r="E32" s="46" t="n"/>
      <c r="F32" s="54" t="n"/>
      <c r="G32" s="54" t="n"/>
      <c r="H32" s="46" t="n"/>
      <c r="I32" s="46" t="n"/>
      <c r="J32" s="49" t="str">
        <f>IF($A32="","",IFERROR(INDEX(Products!$B$2:$B$101,MATCH($B32,Products!$A$2:$A$101,0))&amp;"","(not found)"))</f>
        <v/>
      </c>
      <c r="K32" s="52" t="str">
        <f>IF($A32="","",IF(AND(IFERROR(INDEX(Config!$I$15:$I$34,MATCH($E32,Config!$H$15:$H$34,0)),"No")="Yes",ISNUMBER($F32)),IF(AND($F32&lt;=Config!$B$4,OR($G32="",AND(ISNUMBER($G32),$G32&gt;=Config!$B$4))),1,0),0))</f>
        <v/>
      </c>
      <c r="L32" s="50" t="str">
        <f>IF($A32="","",IF(AND($K32=1,ISNUMBER($C32)),$C32,0))</f>
        <v/>
      </c>
      <c r="M32" s="49" t="str">
        <f>IF(COUNTA($A32:$I32)=0,"",IF($A32="","Missing: reservation ID",IF(COUNTIF($A$2:$A$201,$A32)&gt;1,"Duplicate reservation ID",IF($B32="","Missing: SKU",IF(NOT(ISNUMBER($C32)),"Missing: qty",IF($D32="","Missing: reserved for",IF($E32="","Missing: status",IF(NOT(ISNUMBER($F32)),"Missing: start date",IF(COUNTIF(Products!$A$2:$A$101,$B32)=0,"Unknown SKU",IF(COUNTIF(Config!$H$15:$H$34,$E32)=0,"Unsupported status",IF($C32&lt;=0,"Qty must be above 0",IF(AND(ISNUMBER($G32),$G32&lt;$F32),"Release date before start date","OK"))))))))))))</f>
        <v/>
      </c>
    </row>
    <row r="33">
      <c r="A33" s="46" t="n"/>
      <c r="B33" s="46" t="n"/>
      <c r="C33" s="48" t="n"/>
      <c r="D33" s="46" t="n"/>
      <c r="E33" s="46" t="n"/>
      <c r="F33" s="54" t="n"/>
      <c r="G33" s="54" t="n"/>
      <c r="H33" s="46" t="n"/>
      <c r="I33" s="46" t="n"/>
      <c r="J33" s="49" t="str">
        <f>IF($A33="","",IFERROR(INDEX(Products!$B$2:$B$101,MATCH($B33,Products!$A$2:$A$101,0))&amp;"","(not found)"))</f>
        <v/>
      </c>
      <c r="K33" s="52" t="str">
        <f>IF($A33="","",IF(AND(IFERROR(INDEX(Config!$I$15:$I$34,MATCH($E33,Config!$H$15:$H$34,0)),"No")="Yes",ISNUMBER($F33)),IF(AND($F33&lt;=Config!$B$4,OR($G33="",AND(ISNUMBER($G33),$G33&gt;=Config!$B$4))),1,0),0))</f>
        <v/>
      </c>
      <c r="L33" s="50" t="str">
        <f>IF($A33="","",IF(AND($K33=1,ISNUMBER($C33)),$C33,0))</f>
        <v/>
      </c>
      <c r="M33" s="49" t="str">
        <f>IF(COUNTA($A33:$I33)=0,"",IF($A33="","Missing: reservation ID",IF(COUNTIF($A$2:$A$201,$A33)&gt;1,"Duplicate reservation ID",IF($B33="","Missing: SKU",IF(NOT(ISNUMBER($C33)),"Missing: qty",IF($D33="","Missing: reserved for",IF($E33="","Missing: status",IF(NOT(ISNUMBER($F33)),"Missing: start date",IF(COUNTIF(Products!$A$2:$A$101,$B33)=0,"Unknown SKU",IF(COUNTIF(Config!$H$15:$H$34,$E33)=0,"Unsupported status",IF($C33&lt;=0,"Qty must be above 0",IF(AND(ISNUMBER($G33),$G33&lt;$F33),"Release date before start date","OK"))))))))))))</f>
        <v/>
      </c>
    </row>
    <row r="34">
      <c r="A34" s="46" t="n"/>
      <c r="B34" s="46" t="n"/>
      <c r="C34" s="48" t="n"/>
      <c r="D34" s="46" t="n"/>
      <c r="E34" s="46" t="n"/>
      <c r="F34" s="54" t="n"/>
      <c r="G34" s="54" t="n"/>
      <c r="H34" s="46" t="n"/>
      <c r="I34" s="46" t="n"/>
      <c r="J34" s="49" t="str">
        <f>IF($A34="","",IFERROR(INDEX(Products!$B$2:$B$101,MATCH($B34,Products!$A$2:$A$101,0))&amp;"","(not found)"))</f>
        <v/>
      </c>
      <c r="K34" s="52" t="str">
        <f>IF($A34="","",IF(AND(IFERROR(INDEX(Config!$I$15:$I$34,MATCH($E34,Config!$H$15:$H$34,0)),"No")="Yes",ISNUMBER($F34)),IF(AND($F34&lt;=Config!$B$4,OR($G34="",AND(ISNUMBER($G34),$G34&gt;=Config!$B$4))),1,0),0))</f>
        <v/>
      </c>
      <c r="L34" s="50" t="str">
        <f>IF($A34="","",IF(AND($K34=1,ISNUMBER($C34)),$C34,0))</f>
        <v/>
      </c>
      <c r="M34" s="49" t="str">
        <f>IF(COUNTA($A34:$I34)=0,"",IF($A34="","Missing: reservation ID",IF(COUNTIF($A$2:$A$201,$A34)&gt;1,"Duplicate reservation ID",IF($B34="","Missing: SKU",IF(NOT(ISNUMBER($C34)),"Missing: qty",IF($D34="","Missing: reserved for",IF($E34="","Missing: status",IF(NOT(ISNUMBER($F34)),"Missing: start date",IF(COUNTIF(Products!$A$2:$A$101,$B34)=0,"Unknown SKU",IF(COUNTIF(Config!$H$15:$H$34,$E34)=0,"Unsupported status",IF($C34&lt;=0,"Qty must be above 0",IF(AND(ISNUMBER($G34),$G34&lt;$F34),"Release date before start date","OK"))))))))))))</f>
        <v/>
      </c>
    </row>
    <row r="35">
      <c r="A35" s="46" t="n"/>
      <c r="B35" s="46" t="n"/>
      <c r="C35" s="48" t="n"/>
      <c r="D35" s="46" t="n"/>
      <c r="E35" s="46" t="n"/>
      <c r="F35" s="54" t="n"/>
      <c r="G35" s="54" t="n"/>
      <c r="H35" s="46" t="n"/>
      <c r="I35" s="46" t="n"/>
      <c r="J35" s="49" t="str">
        <f>IF($A35="","",IFERROR(INDEX(Products!$B$2:$B$101,MATCH($B35,Products!$A$2:$A$101,0))&amp;"","(not found)"))</f>
        <v/>
      </c>
      <c r="K35" s="52" t="str">
        <f>IF($A35="","",IF(AND(IFERROR(INDEX(Config!$I$15:$I$34,MATCH($E35,Config!$H$15:$H$34,0)),"No")="Yes",ISNUMBER($F35)),IF(AND($F35&lt;=Config!$B$4,OR($G35="",AND(ISNUMBER($G35),$G35&gt;=Config!$B$4))),1,0),0))</f>
        <v/>
      </c>
      <c r="L35" s="50" t="str">
        <f>IF($A35="","",IF(AND($K35=1,ISNUMBER($C35)),$C35,0))</f>
        <v/>
      </c>
      <c r="M35" s="49" t="str">
        <f>IF(COUNTA($A35:$I35)=0,"",IF($A35="","Missing: reservation ID",IF(COUNTIF($A$2:$A$201,$A35)&gt;1,"Duplicate reservation ID",IF($B35="","Missing: SKU",IF(NOT(ISNUMBER($C35)),"Missing: qty",IF($D35="","Missing: reserved for",IF($E35="","Missing: status",IF(NOT(ISNUMBER($F35)),"Missing: start date",IF(COUNTIF(Products!$A$2:$A$101,$B35)=0,"Unknown SKU",IF(COUNTIF(Config!$H$15:$H$34,$E35)=0,"Unsupported status",IF($C35&lt;=0,"Qty must be above 0",IF(AND(ISNUMBER($G35),$G35&lt;$F35),"Release date before start date","OK"))))))))))))</f>
        <v/>
      </c>
    </row>
    <row r="36">
      <c r="A36" s="46" t="n"/>
      <c r="B36" s="46" t="n"/>
      <c r="C36" s="48" t="n"/>
      <c r="D36" s="46" t="n"/>
      <c r="E36" s="46" t="n"/>
      <c r="F36" s="54" t="n"/>
      <c r="G36" s="54" t="n"/>
      <c r="H36" s="46" t="n"/>
      <c r="I36" s="46" t="n"/>
      <c r="J36" s="49" t="str">
        <f>IF($A36="","",IFERROR(INDEX(Products!$B$2:$B$101,MATCH($B36,Products!$A$2:$A$101,0))&amp;"","(not found)"))</f>
        <v/>
      </c>
      <c r="K36" s="52" t="str">
        <f>IF($A36="","",IF(AND(IFERROR(INDEX(Config!$I$15:$I$34,MATCH($E36,Config!$H$15:$H$34,0)),"No")="Yes",ISNUMBER($F36)),IF(AND($F36&lt;=Config!$B$4,OR($G36="",AND(ISNUMBER($G36),$G36&gt;=Config!$B$4))),1,0),0))</f>
        <v/>
      </c>
      <c r="L36" s="50" t="str">
        <f>IF($A36="","",IF(AND($K36=1,ISNUMBER($C36)),$C36,0))</f>
        <v/>
      </c>
      <c r="M36" s="49" t="str">
        <f>IF(COUNTA($A36:$I36)=0,"",IF($A36="","Missing: reservation ID",IF(COUNTIF($A$2:$A$201,$A36)&gt;1,"Duplicate reservation ID",IF($B36="","Missing: SKU",IF(NOT(ISNUMBER($C36)),"Missing: qty",IF($D36="","Missing: reserved for",IF($E36="","Missing: status",IF(NOT(ISNUMBER($F36)),"Missing: start date",IF(COUNTIF(Products!$A$2:$A$101,$B36)=0,"Unknown SKU",IF(COUNTIF(Config!$H$15:$H$34,$E36)=0,"Unsupported status",IF($C36&lt;=0,"Qty must be above 0",IF(AND(ISNUMBER($G36),$G36&lt;$F36),"Release date before start date","OK"))))))))))))</f>
        <v/>
      </c>
    </row>
    <row r="37">
      <c r="A37" s="46" t="n"/>
      <c r="B37" s="46" t="n"/>
      <c r="C37" s="48" t="n"/>
      <c r="D37" s="46" t="n"/>
      <c r="E37" s="46" t="n"/>
      <c r="F37" s="54" t="n"/>
      <c r="G37" s="54" t="n"/>
      <c r="H37" s="46" t="n"/>
      <c r="I37" s="46" t="n"/>
      <c r="J37" s="49" t="str">
        <f>IF($A37="","",IFERROR(INDEX(Products!$B$2:$B$101,MATCH($B37,Products!$A$2:$A$101,0))&amp;"","(not found)"))</f>
        <v/>
      </c>
      <c r="K37" s="52" t="str">
        <f>IF($A37="","",IF(AND(IFERROR(INDEX(Config!$I$15:$I$34,MATCH($E37,Config!$H$15:$H$34,0)),"No")="Yes",ISNUMBER($F37)),IF(AND($F37&lt;=Config!$B$4,OR($G37="",AND(ISNUMBER($G37),$G37&gt;=Config!$B$4))),1,0),0))</f>
        <v/>
      </c>
      <c r="L37" s="50" t="str">
        <f>IF($A37="","",IF(AND($K37=1,ISNUMBER($C37)),$C37,0))</f>
        <v/>
      </c>
      <c r="M37" s="49" t="str">
        <f>IF(COUNTA($A37:$I37)=0,"",IF($A37="","Missing: reservation ID",IF(COUNTIF($A$2:$A$201,$A37)&gt;1,"Duplicate reservation ID",IF($B37="","Missing: SKU",IF(NOT(ISNUMBER($C37)),"Missing: qty",IF($D37="","Missing: reserved for",IF($E37="","Missing: status",IF(NOT(ISNUMBER($F37)),"Missing: start date",IF(COUNTIF(Products!$A$2:$A$101,$B37)=0,"Unknown SKU",IF(COUNTIF(Config!$H$15:$H$34,$E37)=0,"Unsupported status",IF($C37&lt;=0,"Qty must be above 0",IF(AND(ISNUMBER($G37),$G37&lt;$F37),"Release date before start date","OK"))))))))))))</f>
        <v/>
      </c>
    </row>
    <row r="38">
      <c r="A38" s="46" t="n"/>
      <c r="B38" s="46" t="n"/>
      <c r="C38" s="48" t="n"/>
      <c r="D38" s="46" t="n"/>
      <c r="E38" s="46" t="n"/>
      <c r="F38" s="54" t="n"/>
      <c r="G38" s="54" t="n"/>
      <c r="H38" s="46" t="n"/>
      <c r="I38" s="46" t="n"/>
      <c r="J38" s="49" t="str">
        <f>IF($A38="","",IFERROR(INDEX(Products!$B$2:$B$101,MATCH($B38,Products!$A$2:$A$101,0))&amp;"","(not found)"))</f>
        <v/>
      </c>
      <c r="K38" s="52" t="str">
        <f>IF($A38="","",IF(AND(IFERROR(INDEX(Config!$I$15:$I$34,MATCH($E38,Config!$H$15:$H$34,0)),"No")="Yes",ISNUMBER($F38)),IF(AND($F38&lt;=Config!$B$4,OR($G38="",AND(ISNUMBER($G38),$G38&gt;=Config!$B$4))),1,0),0))</f>
        <v/>
      </c>
      <c r="L38" s="50" t="str">
        <f>IF($A38="","",IF(AND($K38=1,ISNUMBER($C38)),$C38,0))</f>
        <v/>
      </c>
      <c r="M38" s="49" t="str">
        <f>IF(COUNTA($A38:$I38)=0,"",IF($A38="","Missing: reservation ID",IF(COUNTIF($A$2:$A$201,$A38)&gt;1,"Duplicate reservation ID",IF($B38="","Missing: SKU",IF(NOT(ISNUMBER($C38)),"Missing: qty",IF($D38="","Missing: reserved for",IF($E38="","Missing: status",IF(NOT(ISNUMBER($F38)),"Missing: start date",IF(COUNTIF(Products!$A$2:$A$101,$B38)=0,"Unknown SKU",IF(COUNTIF(Config!$H$15:$H$34,$E38)=0,"Unsupported status",IF($C38&lt;=0,"Qty must be above 0",IF(AND(ISNUMBER($G38),$G38&lt;$F38),"Release date before start date","OK"))))))))))))</f>
        <v/>
      </c>
    </row>
    <row r="39">
      <c r="A39" s="46" t="n"/>
      <c r="B39" s="46" t="n"/>
      <c r="C39" s="48" t="n"/>
      <c r="D39" s="46" t="n"/>
      <c r="E39" s="46" t="n"/>
      <c r="F39" s="54" t="n"/>
      <c r="G39" s="54" t="n"/>
      <c r="H39" s="46" t="n"/>
      <c r="I39" s="46" t="n"/>
      <c r="J39" s="49" t="str">
        <f>IF($A39="","",IFERROR(INDEX(Products!$B$2:$B$101,MATCH($B39,Products!$A$2:$A$101,0))&amp;"","(not found)"))</f>
        <v/>
      </c>
      <c r="K39" s="52" t="str">
        <f>IF($A39="","",IF(AND(IFERROR(INDEX(Config!$I$15:$I$34,MATCH($E39,Config!$H$15:$H$34,0)),"No")="Yes",ISNUMBER($F39)),IF(AND($F39&lt;=Config!$B$4,OR($G39="",AND(ISNUMBER($G39),$G39&gt;=Config!$B$4))),1,0),0))</f>
        <v/>
      </c>
      <c r="L39" s="50" t="str">
        <f>IF($A39="","",IF(AND($K39=1,ISNUMBER($C39)),$C39,0))</f>
        <v/>
      </c>
      <c r="M39" s="49" t="str">
        <f>IF(COUNTA($A39:$I39)=0,"",IF($A39="","Missing: reservation ID",IF(COUNTIF($A$2:$A$201,$A39)&gt;1,"Duplicate reservation ID",IF($B39="","Missing: SKU",IF(NOT(ISNUMBER($C39)),"Missing: qty",IF($D39="","Missing: reserved for",IF($E39="","Missing: status",IF(NOT(ISNUMBER($F39)),"Missing: start date",IF(COUNTIF(Products!$A$2:$A$101,$B39)=0,"Unknown SKU",IF(COUNTIF(Config!$H$15:$H$34,$E39)=0,"Unsupported status",IF($C39&lt;=0,"Qty must be above 0",IF(AND(ISNUMBER($G39),$G39&lt;$F39),"Release date before start date","OK"))))))))))))</f>
        <v/>
      </c>
    </row>
    <row r="40">
      <c r="A40" s="46" t="n"/>
      <c r="B40" s="46" t="n"/>
      <c r="C40" s="48" t="n"/>
      <c r="D40" s="46" t="n"/>
      <c r="E40" s="46" t="n"/>
      <c r="F40" s="54" t="n"/>
      <c r="G40" s="54" t="n"/>
      <c r="H40" s="46" t="n"/>
      <c r="I40" s="46" t="n"/>
      <c r="J40" s="49" t="str">
        <f>IF($A40="","",IFERROR(INDEX(Products!$B$2:$B$101,MATCH($B40,Products!$A$2:$A$101,0))&amp;"","(not found)"))</f>
        <v/>
      </c>
      <c r="K40" s="52" t="str">
        <f>IF($A40="","",IF(AND(IFERROR(INDEX(Config!$I$15:$I$34,MATCH($E40,Config!$H$15:$H$34,0)),"No")="Yes",ISNUMBER($F40)),IF(AND($F40&lt;=Config!$B$4,OR($G40="",AND(ISNUMBER($G40),$G40&gt;=Config!$B$4))),1,0),0))</f>
        <v/>
      </c>
      <c r="L40" s="50" t="str">
        <f>IF($A40="","",IF(AND($K40=1,ISNUMBER($C40)),$C40,0))</f>
        <v/>
      </c>
      <c r="M40" s="49" t="str">
        <f>IF(COUNTA($A40:$I40)=0,"",IF($A40="","Missing: reservation ID",IF(COUNTIF($A$2:$A$201,$A40)&gt;1,"Duplicate reservation ID",IF($B40="","Missing: SKU",IF(NOT(ISNUMBER($C40)),"Missing: qty",IF($D40="","Missing: reserved for",IF($E40="","Missing: status",IF(NOT(ISNUMBER($F40)),"Missing: start date",IF(COUNTIF(Products!$A$2:$A$101,$B40)=0,"Unknown SKU",IF(COUNTIF(Config!$H$15:$H$34,$E40)=0,"Unsupported status",IF($C40&lt;=0,"Qty must be above 0",IF(AND(ISNUMBER($G40),$G40&lt;$F40),"Release date before start date","OK"))))))))))))</f>
        <v/>
      </c>
    </row>
    <row r="41">
      <c r="A41" s="46" t="n"/>
      <c r="B41" s="46" t="n"/>
      <c r="C41" s="48" t="n"/>
      <c r="D41" s="46" t="n"/>
      <c r="E41" s="46" t="n"/>
      <c r="F41" s="54" t="n"/>
      <c r="G41" s="54" t="n"/>
      <c r="H41" s="46" t="n"/>
      <c r="I41" s="46" t="n"/>
      <c r="J41" s="49" t="str">
        <f>IF($A41="","",IFERROR(INDEX(Products!$B$2:$B$101,MATCH($B41,Products!$A$2:$A$101,0))&amp;"","(not found)"))</f>
        <v/>
      </c>
      <c r="K41" s="52" t="str">
        <f>IF($A41="","",IF(AND(IFERROR(INDEX(Config!$I$15:$I$34,MATCH($E41,Config!$H$15:$H$34,0)),"No")="Yes",ISNUMBER($F41)),IF(AND($F41&lt;=Config!$B$4,OR($G41="",AND(ISNUMBER($G41),$G41&gt;=Config!$B$4))),1,0),0))</f>
        <v/>
      </c>
      <c r="L41" s="50" t="str">
        <f>IF($A41="","",IF(AND($K41=1,ISNUMBER($C41)),$C41,0))</f>
        <v/>
      </c>
      <c r="M41" s="49" t="str">
        <f>IF(COUNTA($A41:$I41)=0,"",IF($A41="","Missing: reservation ID",IF(COUNTIF($A$2:$A$201,$A41)&gt;1,"Duplicate reservation ID",IF($B41="","Missing: SKU",IF(NOT(ISNUMBER($C41)),"Missing: qty",IF($D41="","Missing: reserved for",IF($E41="","Missing: status",IF(NOT(ISNUMBER($F41)),"Missing: start date",IF(COUNTIF(Products!$A$2:$A$101,$B41)=0,"Unknown SKU",IF(COUNTIF(Config!$H$15:$H$34,$E41)=0,"Unsupported status",IF($C41&lt;=0,"Qty must be above 0",IF(AND(ISNUMBER($G41),$G41&lt;$F41),"Release date before start date","OK"))))))))))))</f>
        <v/>
      </c>
    </row>
    <row r="42">
      <c r="A42" s="46" t="n"/>
      <c r="B42" s="46" t="n"/>
      <c r="C42" s="48" t="n"/>
      <c r="D42" s="46" t="n"/>
      <c r="E42" s="46" t="n"/>
      <c r="F42" s="54" t="n"/>
      <c r="G42" s="54" t="n"/>
      <c r="H42" s="46" t="n"/>
      <c r="I42" s="46" t="n"/>
      <c r="J42" s="49" t="str">
        <f>IF($A42="","",IFERROR(INDEX(Products!$B$2:$B$101,MATCH($B42,Products!$A$2:$A$101,0))&amp;"","(not found)"))</f>
        <v/>
      </c>
      <c r="K42" s="52" t="str">
        <f>IF($A42="","",IF(AND(IFERROR(INDEX(Config!$I$15:$I$34,MATCH($E42,Config!$H$15:$H$34,0)),"No")="Yes",ISNUMBER($F42)),IF(AND($F42&lt;=Config!$B$4,OR($G42="",AND(ISNUMBER($G42),$G42&gt;=Config!$B$4))),1,0),0))</f>
        <v/>
      </c>
      <c r="L42" s="50" t="str">
        <f>IF($A42="","",IF(AND($K42=1,ISNUMBER($C42)),$C42,0))</f>
        <v/>
      </c>
      <c r="M42" s="49" t="str">
        <f>IF(COUNTA($A42:$I42)=0,"",IF($A42="","Missing: reservation ID",IF(COUNTIF($A$2:$A$201,$A42)&gt;1,"Duplicate reservation ID",IF($B42="","Missing: SKU",IF(NOT(ISNUMBER($C42)),"Missing: qty",IF($D42="","Missing: reserved for",IF($E42="","Missing: status",IF(NOT(ISNUMBER($F42)),"Missing: start date",IF(COUNTIF(Products!$A$2:$A$101,$B42)=0,"Unknown SKU",IF(COUNTIF(Config!$H$15:$H$34,$E42)=0,"Unsupported status",IF($C42&lt;=0,"Qty must be above 0",IF(AND(ISNUMBER($G42),$G42&lt;$F42),"Release date before start date","OK"))))))))))))</f>
        <v/>
      </c>
    </row>
    <row r="43">
      <c r="A43" s="46" t="n"/>
      <c r="B43" s="46" t="n"/>
      <c r="C43" s="48" t="n"/>
      <c r="D43" s="46" t="n"/>
      <c r="E43" s="46" t="n"/>
      <c r="F43" s="54" t="n"/>
      <c r="G43" s="54" t="n"/>
      <c r="H43" s="46" t="n"/>
      <c r="I43" s="46" t="n"/>
      <c r="J43" s="49" t="str">
        <f>IF($A43="","",IFERROR(INDEX(Products!$B$2:$B$101,MATCH($B43,Products!$A$2:$A$101,0))&amp;"","(not found)"))</f>
        <v/>
      </c>
      <c r="K43" s="52" t="str">
        <f>IF($A43="","",IF(AND(IFERROR(INDEX(Config!$I$15:$I$34,MATCH($E43,Config!$H$15:$H$34,0)),"No")="Yes",ISNUMBER($F43)),IF(AND($F43&lt;=Config!$B$4,OR($G43="",AND(ISNUMBER($G43),$G43&gt;=Config!$B$4))),1,0),0))</f>
        <v/>
      </c>
      <c r="L43" s="50" t="str">
        <f>IF($A43="","",IF(AND($K43=1,ISNUMBER($C43)),$C43,0))</f>
        <v/>
      </c>
      <c r="M43" s="49" t="str">
        <f>IF(COUNTA($A43:$I43)=0,"",IF($A43="","Missing: reservation ID",IF(COUNTIF($A$2:$A$201,$A43)&gt;1,"Duplicate reservation ID",IF($B43="","Missing: SKU",IF(NOT(ISNUMBER($C43)),"Missing: qty",IF($D43="","Missing: reserved for",IF($E43="","Missing: status",IF(NOT(ISNUMBER($F43)),"Missing: start date",IF(COUNTIF(Products!$A$2:$A$101,$B43)=0,"Unknown SKU",IF(COUNTIF(Config!$H$15:$H$34,$E43)=0,"Unsupported status",IF($C43&lt;=0,"Qty must be above 0",IF(AND(ISNUMBER($G43),$G43&lt;$F43),"Release date before start date","OK"))))))))))))</f>
        <v/>
      </c>
    </row>
    <row r="44">
      <c r="A44" s="46" t="n"/>
      <c r="B44" s="46" t="n"/>
      <c r="C44" s="48" t="n"/>
      <c r="D44" s="46" t="n"/>
      <c r="E44" s="46" t="n"/>
      <c r="F44" s="54" t="n"/>
      <c r="G44" s="54" t="n"/>
      <c r="H44" s="46" t="n"/>
      <c r="I44" s="46" t="n"/>
      <c r="J44" s="49" t="str">
        <f>IF($A44="","",IFERROR(INDEX(Products!$B$2:$B$101,MATCH($B44,Products!$A$2:$A$101,0))&amp;"","(not found)"))</f>
        <v/>
      </c>
      <c r="K44" s="52" t="str">
        <f>IF($A44="","",IF(AND(IFERROR(INDEX(Config!$I$15:$I$34,MATCH($E44,Config!$H$15:$H$34,0)),"No")="Yes",ISNUMBER($F44)),IF(AND($F44&lt;=Config!$B$4,OR($G44="",AND(ISNUMBER($G44),$G44&gt;=Config!$B$4))),1,0),0))</f>
        <v/>
      </c>
      <c r="L44" s="50" t="str">
        <f>IF($A44="","",IF(AND($K44=1,ISNUMBER($C44)),$C44,0))</f>
        <v/>
      </c>
      <c r="M44" s="49" t="str">
        <f>IF(COUNTA($A44:$I44)=0,"",IF($A44="","Missing: reservation ID",IF(COUNTIF($A$2:$A$201,$A44)&gt;1,"Duplicate reservation ID",IF($B44="","Missing: SKU",IF(NOT(ISNUMBER($C44)),"Missing: qty",IF($D44="","Missing: reserved for",IF($E44="","Missing: status",IF(NOT(ISNUMBER($F44)),"Missing: start date",IF(COUNTIF(Products!$A$2:$A$101,$B44)=0,"Unknown SKU",IF(COUNTIF(Config!$H$15:$H$34,$E44)=0,"Unsupported status",IF($C44&lt;=0,"Qty must be above 0",IF(AND(ISNUMBER($G44),$G44&lt;$F44),"Release date before start date","OK"))))))))))))</f>
        <v/>
      </c>
    </row>
    <row r="45">
      <c r="A45" s="46" t="n"/>
      <c r="B45" s="46" t="n"/>
      <c r="C45" s="48" t="n"/>
      <c r="D45" s="46" t="n"/>
      <c r="E45" s="46" t="n"/>
      <c r="F45" s="54" t="n"/>
      <c r="G45" s="54" t="n"/>
      <c r="H45" s="46" t="n"/>
      <c r="I45" s="46" t="n"/>
      <c r="J45" s="49" t="str">
        <f>IF($A45="","",IFERROR(INDEX(Products!$B$2:$B$101,MATCH($B45,Products!$A$2:$A$101,0))&amp;"","(not found)"))</f>
        <v/>
      </c>
      <c r="K45" s="52" t="str">
        <f>IF($A45="","",IF(AND(IFERROR(INDEX(Config!$I$15:$I$34,MATCH($E45,Config!$H$15:$H$34,0)),"No")="Yes",ISNUMBER($F45)),IF(AND($F45&lt;=Config!$B$4,OR($G45="",AND(ISNUMBER($G45),$G45&gt;=Config!$B$4))),1,0),0))</f>
        <v/>
      </c>
      <c r="L45" s="50" t="str">
        <f>IF($A45="","",IF(AND($K45=1,ISNUMBER($C45)),$C45,0))</f>
        <v/>
      </c>
      <c r="M45" s="49" t="str">
        <f>IF(COUNTA($A45:$I45)=0,"",IF($A45="","Missing: reservation ID",IF(COUNTIF($A$2:$A$201,$A45)&gt;1,"Duplicate reservation ID",IF($B45="","Missing: SKU",IF(NOT(ISNUMBER($C45)),"Missing: qty",IF($D45="","Missing: reserved for",IF($E45="","Missing: status",IF(NOT(ISNUMBER($F45)),"Missing: start date",IF(COUNTIF(Products!$A$2:$A$101,$B45)=0,"Unknown SKU",IF(COUNTIF(Config!$H$15:$H$34,$E45)=0,"Unsupported status",IF($C45&lt;=0,"Qty must be above 0",IF(AND(ISNUMBER($G45),$G45&lt;$F45),"Release date before start date","OK"))))))))))))</f>
        <v/>
      </c>
    </row>
    <row r="46">
      <c r="A46" s="46" t="n"/>
      <c r="B46" s="46" t="n"/>
      <c r="C46" s="48" t="n"/>
      <c r="D46" s="46" t="n"/>
      <c r="E46" s="46" t="n"/>
      <c r="F46" s="54" t="n"/>
      <c r="G46" s="54" t="n"/>
      <c r="H46" s="46" t="n"/>
      <c r="I46" s="46" t="n"/>
      <c r="J46" s="49" t="str">
        <f>IF($A46="","",IFERROR(INDEX(Products!$B$2:$B$101,MATCH($B46,Products!$A$2:$A$101,0))&amp;"","(not found)"))</f>
        <v/>
      </c>
      <c r="K46" s="52" t="str">
        <f>IF($A46="","",IF(AND(IFERROR(INDEX(Config!$I$15:$I$34,MATCH($E46,Config!$H$15:$H$34,0)),"No")="Yes",ISNUMBER($F46)),IF(AND($F46&lt;=Config!$B$4,OR($G46="",AND(ISNUMBER($G46),$G46&gt;=Config!$B$4))),1,0),0))</f>
        <v/>
      </c>
      <c r="L46" s="50" t="str">
        <f>IF($A46="","",IF(AND($K46=1,ISNUMBER($C46)),$C46,0))</f>
        <v/>
      </c>
      <c r="M46" s="49" t="str">
        <f>IF(COUNTA($A46:$I46)=0,"",IF($A46="","Missing: reservation ID",IF(COUNTIF($A$2:$A$201,$A46)&gt;1,"Duplicate reservation ID",IF($B46="","Missing: SKU",IF(NOT(ISNUMBER($C46)),"Missing: qty",IF($D46="","Missing: reserved for",IF($E46="","Missing: status",IF(NOT(ISNUMBER($F46)),"Missing: start date",IF(COUNTIF(Products!$A$2:$A$101,$B46)=0,"Unknown SKU",IF(COUNTIF(Config!$H$15:$H$34,$E46)=0,"Unsupported status",IF($C46&lt;=0,"Qty must be above 0",IF(AND(ISNUMBER($G46),$G46&lt;$F46),"Release date before start date","OK"))))))))))))</f>
        <v/>
      </c>
    </row>
    <row r="47">
      <c r="A47" s="46" t="n"/>
      <c r="B47" s="46" t="n"/>
      <c r="C47" s="48" t="n"/>
      <c r="D47" s="46" t="n"/>
      <c r="E47" s="46" t="n"/>
      <c r="F47" s="54" t="n"/>
      <c r="G47" s="54" t="n"/>
      <c r="H47" s="46" t="n"/>
      <c r="I47" s="46" t="n"/>
      <c r="J47" s="49" t="str">
        <f>IF($A47="","",IFERROR(INDEX(Products!$B$2:$B$101,MATCH($B47,Products!$A$2:$A$101,0))&amp;"","(not found)"))</f>
        <v/>
      </c>
      <c r="K47" s="52" t="str">
        <f>IF($A47="","",IF(AND(IFERROR(INDEX(Config!$I$15:$I$34,MATCH($E47,Config!$H$15:$H$34,0)),"No")="Yes",ISNUMBER($F47)),IF(AND($F47&lt;=Config!$B$4,OR($G47="",AND(ISNUMBER($G47),$G47&gt;=Config!$B$4))),1,0),0))</f>
        <v/>
      </c>
      <c r="L47" s="50" t="str">
        <f>IF($A47="","",IF(AND($K47=1,ISNUMBER($C47)),$C47,0))</f>
        <v/>
      </c>
      <c r="M47" s="49" t="str">
        <f>IF(COUNTA($A47:$I47)=0,"",IF($A47="","Missing: reservation ID",IF(COUNTIF($A$2:$A$201,$A47)&gt;1,"Duplicate reservation ID",IF($B47="","Missing: SKU",IF(NOT(ISNUMBER($C47)),"Missing: qty",IF($D47="","Missing: reserved for",IF($E47="","Missing: status",IF(NOT(ISNUMBER($F47)),"Missing: start date",IF(COUNTIF(Products!$A$2:$A$101,$B47)=0,"Unknown SKU",IF(COUNTIF(Config!$H$15:$H$34,$E47)=0,"Unsupported status",IF($C47&lt;=0,"Qty must be above 0",IF(AND(ISNUMBER($G47),$G47&lt;$F47),"Release date before start date","OK"))))))))))))</f>
        <v/>
      </c>
    </row>
    <row r="48">
      <c r="A48" s="46" t="n"/>
      <c r="B48" s="46" t="n"/>
      <c r="C48" s="48" t="n"/>
      <c r="D48" s="46" t="n"/>
      <c r="E48" s="46" t="n"/>
      <c r="F48" s="54" t="n"/>
      <c r="G48" s="54" t="n"/>
      <c r="H48" s="46" t="n"/>
      <c r="I48" s="46" t="n"/>
      <c r="J48" s="49" t="str">
        <f>IF($A48="","",IFERROR(INDEX(Products!$B$2:$B$101,MATCH($B48,Products!$A$2:$A$101,0))&amp;"","(not found)"))</f>
        <v/>
      </c>
      <c r="K48" s="52" t="str">
        <f>IF($A48="","",IF(AND(IFERROR(INDEX(Config!$I$15:$I$34,MATCH($E48,Config!$H$15:$H$34,0)),"No")="Yes",ISNUMBER($F48)),IF(AND($F48&lt;=Config!$B$4,OR($G48="",AND(ISNUMBER($G48),$G48&gt;=Config!$B$4))),1,0),0))</f>
        <v/>
      </c>
      <c r="L48" s="50" t="str">
        <f>IF($A48="","",IF(AND($K48=1,ISNUMBER($C48)),$C48,0))</f>
        <v/>
      </c>
      <c r="M48" s="49" t="str">
        <f>IF(COUNTA($A48:$I48)=0,"",IF($A48="","Missing: reservation ID",IF(COUNTIF($A$2:$A$201,$A48)&gt;1,"Duplicate reservation ID",IF($B48="","Missing: SKU",IF(NOT(ISNUMBER($C48)),"Missing: qty",IF($D48="","Missing: reserved for",IF($E48="","Missing: status",IF(NOT(ISNUMBER($F48)),"Missing: start date",IF(COUNTIF(Products!$A$2:$A$101,$B48)=0,"Unknown SKU",IF(COUNTIF(Config!$H$15:$H$34,$E48)=0,"Unsupported status",IF($C48&lt;=0,"Qty must be above 0",IF(AND(ISNUMBER($G48),$G48&lt;$F48),"Release date before start date","OK"))))))))))))</f>
        <v/>
      </c>
    </row>
    <row r="49">
      <c r="A49" s="46" t="n"/>
      <c r="B49" s="46" t="n"/>
      <c r="C49" s="48" t="n"/>
      <c r="D49" s="46" t="n"/>
      <c r="E49" s="46" t="n"/>
      <c r="F49" s="54" t="n"/>
      <c r="G49" s="54" t="n"/>
      <c r="H49" s="46" t="n"/>
      <c r="I49" s="46" t="n"/>
      <c r="J49" s="49" t="str">
        <f>IF($A49="","",IFERROR(INDEX(Products!$B$2:$B$101,MATCH($B49,Products!$A$2:$A$101,0))&amp;"","(not found)"))</f>
        <v/>
      </c>
      <c r="K49" s="52" t="str">
        <f>IF($A49="","",IF(AND(IFERROR(INDEX(Config!$I$15:$I$34,MATCH($E49,Config!$H$15:$H$34,0)),"No")="Yes",ISNUMBER($F49)),IF(AND($F49&lt;=Config!$B$4,OR($G49="",AND(ISNUMBER($G49),$G49&gt;=Config!$B$4))),1,0),0))</f>
        <v/>
      </c>
      <c r="L49" s="50" t="str">
        <f>IF($A49="","",IF(AND($K49=1,ISNUMBER($C49)),$C49,0))</f>
        <v/>
      </c>
      <c r="M49" s="49" t="str">
        <f>IF(COUNTA($A49:$I49)=0,"",IF($A49="","Missing: reservation ID",IF(COUNTIF($A$2:$A$201,$A49)&gt;1,"Duplicate reservation ID",IF($B49="","Missing: SKU",IF(NOT(ISNUMBER($C49)),"Missing: qty",IF($D49="","Missing: reserved for",IF($E49="","Missing: status",IF(NOT(ISNUMBER($F49)),"Missing: start date",IF(COUNTIF(Products!$A$2:$A$101,$B49)=0,"Unknown SKU",IF(COUNTIF(Config!$H$15:$H$34,$E49)=0,"Unsupported status",IF($C49&lt;=0,"Qty must be above 0",IF(AND(ISNUMBER($G49),$G49&lt;$F49),"Release date before start date","OK"))))))))))))</f>
        <v/>
      </c>
    </row>
    <row r="50">
      <c r="A50" s="46" t="n"/>
      <c r="B50" s="46" t="n"/>
      <c r="C50" s="48" t="n"/>
      <c r="D50" s="46" t="n"/>
      <c r="E50" s="46" t="n"/>
      <c r="F50" s="54" t="n"/>
      <c r="G50" s="54" t="n"/>
      <c r="H50" s="46" t="n"/>
      <c r="I50" s="46" t="n"/>
      <c r="J50" s="49" t="str">
        <f>IF($A50="","",IFERROR(INDEX(Products!$B$2:$B$101,MATCH($B50,Products!$A$2:$A$101,0))&amp;"","(not found)"))</f>
        <v/>
      </c>
      <c r="K50" s="52" t="str">
        <f>IF($A50="","",IF(AND(IFERROR(INDEX(Config!$I$15:$I$34,MATCH($E50,Config!$H$15:$H$34,0)),"No")="Yes",ISNUMBER($F50)),IF(AND($F50&lt;=Config!$B$4,OR($G50="",AND(ISNUMBER($G50),$G50&gt;=Config!$B$4))),1,0),0))</f>
        <v/>
      </c>
      <c r="L50" s="50" t="str">
        <f>IF($A50="","",IF(AND($K50=1,ISNUMBER($C50)),$C50,0))</f>
        <v/>
      </c>
      <c r="M50" s="49" t="str">
        <f>IF(COUNTA($A50:$I50)=0,"",IF($A50="","Missing: reservation ID",IF(COUNTIF($A$2:$A$201,$A50)&gt;1,"Duplicate reservation ID",IF($B50="","Missing: SKU",IF(NOT(ISNUMBER($C50)),"Missing: qty",IF($D50="","Missing: reserved for",IF($E50="","Missing: status",IF(NOT(ISNUMBER($F50)),"Missing: start date",IF(COUNTIF(Products!$A$2:$A$101,$B50)=0,"Unknown SKU",IF(COUNTIF(Config!$H$15:$H$34,$E50)=0,"Unsupported status",IF($C50&lt;=0,"Qty must be above 0",IF(AND(ISNUMBER($G50),$G50&lt;$F50),"Release date before start date","OK"))))))))))))</f>
        <v/>
      </c>
    </row>
    <row r="51">
      <c r="A51" s="46" t="n"/>
      <c r="B51" s="46" t="n"/>
      <c r="C51" s="48" t="n"/>
      <c r="D51" s="46" t="n"/>
      <c r="E51" s="46" t="n"/>
      <c r="F51" s="54" t="n"/>
      <c r="G51" s="54" t="n"/>
      <c r="H51" s="46" t="n"/>
      <c r="I51" s="46" t="n"/>
      <c r="J51" s="49" t="str">
        <f>IF($A51="","",IFERROR(INDEX(Products!$B$2:$B$101,MATCH($B51,Products!$A$2:$A$101,0))&amp;"","(not found)"))</f>
        <v/>
      </c>
      <c r="K51" s="52" t="str">
        <f>IF($A51="","",IF(AND(IFERROR(INDEX(Config!$I$15:$I$34,MATCH($E51,Config!$H$15:$H$34,0)),"No")="Yes",ISNUMBER($F51)),IF(AND($F51&lt;=Config!$B$4,OR($G51="",AND(ISNUMBER($G51),$G51&gt;=Config!$B$4))),1,0),0))</f>
        <v/>
      </c>
      <c r="L51" s="50" t="str">
        <f>IF($A51="","",IF(AND($K51=1,ISNUMBER($C51)),$C51,0))</f>
        <v/>
      </c>
      <c r="M51" s="49" t="str">
        <f>IF(COUNTA($A51:$I51)=0,"",IF($A51="","Missing: reservation ID",IF(COUNTIF($A$2:$A$201,$A51)&gt;1,"Duplicate reservation ID",IF($B51="","Missing: SKU",IF(NOT(ISNUMBER($C51)),"Missing: qty",IF($D51="","Missing: reserved for",IF($E51="","Missing: status",IF(NOT(ISNUMBER($F51)),"Missing: start date",IF(COUNTIF(Products!$A$2:$A$101,$B51)=0,"Unknown SKU",IF(COUNTIF(Config!$H$15:$H$34,$E51)=0,"Unsupported status",IF($C51&lt;=0,"Qty must be above 0",IF(AND(ISNUMBER($G51),$G51&lt;$F51),"Release date before start date","OK"))))))))))))</f>
        <v/>
      </c>
    </row>
    <row r="52">
      <c r="A52" s="46" t="n"/>
      <c r="B52" s="46" t="n"/>
      <c r="C52" s="48" t="n"/>
      <c r="D52" s="46" t="n"/>
      <c r="E52" s="46" t="n"/>
      <c r="F52" s="54" t="n"/>
      <c r="G52" s="54" t="n"/>
      <c r="H52" s="46" t="n"/>
      <c r="I52" s="46" t="n"/>
      <c r="J52" s="49" t="str">
        <f>IF($A52="","",IFERROR(INDEX(Products!$B$2:$B$101,MATCH($B52,Products!$A$2:$A$101,0))&amp;"","(not found)"))</f>
        <v/>
      </c>
      <c r="K52" s="52" t="str">
        <f>IF($A52="","",IF(AND(IFERROR(INDEX(Config!$I$15:$I$34,MATCH($E52,Config!$H$15:$H$34,0)),"No")="Yes",ISNUMBER($F52)),IF(AND($F52&lt;=Config!$B$4,OR($G52="",AND(ISNUMBER($G52),$G52&gt;=Config!$B$4))),1,0),0))</f>
        <v/>
      </c>
      <c r="L52" s="50" t="str">
        <f>IF($A52="","",IF(AND($K52=1,ISNUMBER($C52)),$C52,0))</f>
        <v/>
      </c>
      <c r="M52" s="49" t="str">
        <f>IF(COUNTA($A52:$I52)=0,"",IF($A52="","Missing: reservation ID",IF(COUNTIF($A$2:$A$201,$A52)&gt;1,"Duplicate reservation ID",IF($B52="","Missing: SKU",IF(NOT(ISNUMBER($C52)),"Missing: qty",IF($D52="","Missing: reserved for",IF($E52="","Missing: status",IF(NOT(ISNUMBER($F52)),"Missing: start date",IF(COUNTIF(Products!$A$2:$A$101,$B52)=0,"Unknown SKU",IF(COUNTIF(Config!$H$15:$H$34,$E52)=0,"Unsupported status",IF($C52&lt;=0,"Qty must be above 0",IF(AND(ISNUMBER($G52),$G52&lt;$F52),"Release date before start date","OK"))))))))))))</f>
        <v/>
      </c>
    </row>
    <row r="53">
      <c r="A53" s="46" t="n"/>
      <c r="B53" s="46" t="n"/>
      <c r="C53" s="48" t="n"/>
      <c r="D53" s="46" t="n"/>
      <c r="E53" s="46" t="n"/>
      <c r="F53" s="54" t="n"/>
      <c r="G53" s="54" t="n"/>
      <c r="H53" s="46" t="n"/>
      <c r="I53" s="46" t="n"/>
      <c r="J53" s="49" t="str">
        <f>IF($A53="","",IFERROR(INDEX(Products!$B$2:$B$101,MATCH($B53,Products!$A$2:$A$101,0))&amp;"","(not found)"))</f>
        <v/>
      </c>
      <c r="K53" s="52" t="str">
        <f>IF($A53="","",IF(AND(IFERROR(INDEX(Config!$I$15:$I$34,MATCH($E53,Config!$H$15:$H$34,0)),"No")="Yes",ISNUMBER($F53)),IF(AND($F53&lt;=Config!$B$4,OR($G53="",AND(ISNUMBER($G53),$G53&gt;=Config!$B$4))),1,0),0))</f>
        <v/>
      </c>
      <c r="L53" s="50" t="str">
        <f>IF($A53="","",IF(AND($K53=1,ISNUMBER($C53)),$C53,0))</f>
        <v/>
      </c>
      <c r="M53" s="49" t="str">
        <f>IF(COUNTA($A53:$I53)=0,"",IF($A53="","Missing: reservation ID",IF(COUNTIF($A$2:$A$201,$A53)&gt;1,"Duplicate reservation ID",IF($B53="","Missing: SKU",IF(NOT(ISNUMBER($C53)),"Missing: qty",IF($D53="","Missing: reserved for",IF($E53="","Missing: status",IF(NOT(ISNUMBER($F53)),"Missing: start date",IF(COUNTIF(Products!$A$2:$A$101,$B53)=0,"Unknown SKU",IF(COUNTIF(Config!$H$15:$H$34,$E53)=0,"Unsupported status",IF($C53&lt;=0,"Qty must be above 0",IF(AND(ISNUMBER($G53),$G53&lt;$F53),"Release date before start date","OK"))))))))))))</f>
        <v/>
      </c>
    </row>
    <row r="54">
      <c r="A54" s="46" t="n"/>
      <c r="B54" s="46" t="n"/>
      <c r="C54" s="48" t="n"/>
      <c r="D54" s="46" t="n"/>
      <c r="E54" s="46" t="n"/>
      <c r="F54" s="54" t="n"/>
      <c r="G54" s="54" t="n"/>
      <c r="H54" s="46" t="n"/>
      <c r="I54" s="46" t="n"/>
      <c r="J54" s="49" t="str">
        <f>IF($A54="","",IFERROR(INDEX(Products!$B$2:$B$101,MATCH($B54,Products!$A$2:$A$101,0))&amp;"","(not found)"))</f>
        <v/>
      </c>
      <c r="K54" s="52" t="str">
        <f>IF($A54="","",IF(AND(IFERROR(INDEX(Config!$I$15:$I$34,MATCH($E54,Config!$H$15:$H$34,0)),"No")="Yes",ISNUMBER($F54)),IF(AND($F54&lt;=Config!$B$4,OR($G54="",AND(ISNUMBER($G54),$G54&gt;=Config!$B$4))),1,0),0))</f>
        <v/>
      </c>
      <c r="L54" s="50" t="str">
        <f>IF($A54="","",IF(AND($K54=1,ISNUMBER($C54)),$C54,0))</f>
        <v/>
      </c>
      <c r="M54" s="49" t="str">
        <f>IF(COUNTA($A54:$I54)=0,"",IF($A54="","Missing: reservation ID",IF(COUNTIF($A$2:$A$201,$A54)&gt;1,"Duplicate reservation ID",IF($B54="","Missing: SKU",IF(NOT(ISNUMBER($C54)),"Missing: qty",IF($D54="","Missing: reserved for",IF($E54="","Missing: status",IF(NOT(ISNUMBER($F54)),"Missing: start date",IF(COUNTIF(Products!$A$2:$A$101,$B54)=0,"Unknown SKU",IF(COUNTIF(Config!$H$15:$H$34,$E54)=0,"Unsupported status",IF($C54&lt;=0,"Qty must be above 0",IF(AND(ISNUMBER($G54),$G54&lt;$F54),"Release date before start date","OK"))))))))))))</f>
        <v/>
      </c>
    </row>
    <row r="55">
      <c r="A55" s="46" t="n"/>
      <c r="B55" s="46" t="n"/>
      <c r="C55" s="48" t="n"/>
      <c r="D55" s="46" t="n"/>
      <c r="E55" s="46" t="n"/>
      <c r="F55" s="54" t="n"/>
      <c r="G55" s="54" t="n"/>
      <c r="H55" s="46" t="n"/>
      <c r="I55" s="46" t="n"/>
      <c r="J55" s="49" t="str">
        <f>IF($A55="","",IFERROR(INDEX(Products!$B$2:$B$101,MATCH($B55,Products!$A$2:$A$101,0))&amp;"","(not found)"))</f>
        <v/>
      </c>
      <c r="K55" s="52" t="str">
        <f>IF($A55="","",IF(AND(IFERROR(INDEX(Config!$I$15:$I$34,MATCH($E55,Config!$H$15:$H$34,0)),"No")="Yes",ISNUMBER($F55)),IF(AND($F55&lt;=Config!$B$4,OR($G55="",AND(ISNUMBER($G55),$G55&gt;=Config!$B$4))),1,0),0))</f>
        <v/>
      </c>
      <c r="L55" s="50" t="str">
        <f>IF($A55="","",IF(AND($K55=1,ISNUMBER($C55)),$C55,0))</f>
        <v/>
      </c>
      <c r="M55" s="49" t="str">
        <f>IF(COUNTA($A55:$I55)=0,"",IF($A55="","Missing: reservation ID",IF(COUNTIF($A$2:$A$201,$A55)&gt;1,"Duplicate reservation ID",IF($B55="","Missing: SKU",IF(NOT(ISNUMBER($C55)),"Missing: qty",IF($D55="","Missing: reserved for",IF($E55="","Missing: status",IF(NOT(ISNUMBER($F55)),"Missing: start date",IF(COUNTIF(Products!$A$2:$A$101,$B55)=0,"Unknown SKU",IF(COUNTIF(Config!$H$15:$H$34,$E55)=0,"Unsupported status",IF($C55&lt;=0,"Qty must be above 0",IF(AND(ISNUMBER($G55),$G55&lt;$F55),"Release date before start date","OK"))))))))))))</f>
        <v/>
      </c>
    </row>
    <row r="56">
      <c r="A56" s="46" t="n"/>
      <c r="B56" s="46" t="n"/>
      <c r="C56" s="48" t="n"/>
      <c r="D56" s="46" t="n"/>
      <c r="E56" s="46" t="n"/>
      <c r="F56" s="54" t="n"/>
      <c r="G56" s="54" t="n"/>
      <c r="H56" s="46" t="n"/>
      <c r="I56" s="46" t="n"/>
      <c r="J56" s="49" t="str">
        <f>IF($A56="","",IFERROR(INDEX(Products!$B$2:$B$101,MATCH($B56,Products!$A$2:$A$101,0))&amp;"","(not found)"))</f>
        <v/>
      </c>
      <c r="K56" s="52" t="str">
        <f>IF($A56="","",IF(AND(IFERROR(INDEX(Config!$I$15:$I$34,MATCH($E56,Config!$H$15:$H$34,0)),"No")="Yes",ISNUMBER($F56)),IF(AND($F56&lt;=Config!$B$4,OR($G56="",AND(ISNUMBER($G56),$G56&gt;=Config!$B$4))),1,0),0))</f>
        <v/>
      </c>
      <c r="L56" s="50" t="str">
        <f>IF($A56="","",IF(AND($K56=1,ISNUMBER($C56)),$C56,0))</f>
        <v/>
      </c>
      <c r="M56" s="49" t="str">
        <f>IF(COUNTA($A56:$I56)=0,"",IF($A56="","Missing: reservation ID",IF(COUNTIF($A$2:$A$201,$A56)&gt;1,"Duplicate reservation ID",IF($B56="","Missing: SKU",IF(NOT(ISNUMBER($C56)),"Missing: qty",IF($D56="","Missing: reserved for",IF($E56="","Missing: status",IF(NOT(ISNUMBER($F56)),"Missing: start date",IF(COUNTIF(Products!$A$2:$A$101,$B56)=0,"Unknown SKU",IF(COUNTIF(Config!$H$15:$H$34,$E56)=0,"Unsupported status",IF($C56&lt;=0,"Qty must be above 0",IF(AND(ISNUMBER($G56),$G56&lt;$F56),"Release date before start date","OK"))))))))))))</f>
        <v/>
      </c>
    </row>
    <row r="57">
      <c r="A57" s="46" t="n"/>
      <c r="B57" s="46" t="n"/>
      <c r="C57" s="48" t="n"/>
      <c r="D57" s="46" t="n"/>
      <c r="E57" s="46" t="n"/>
      <c r="F57" s="54" t="n"/>
      <c r="G57" s="54" t="n"/>
      <c r="H57" s="46" t="n"/>
      <c r="I57" s="46" t="n"/>
      <c r="J57" s="49" t="str">
        <f>IF($A57="","",IFERROR(INDEX(Products!$B$2:$B$101,MATCH($B57,Products!$A$2:$A$101,0))&amp;"","(not found)"))</f>
        <v/>
      </c>
      <c r="K57" s="52" t="str">
        <f>IF($A57="","",IF(AND(IFERROR(INDEX(Config!$I$15:$I$34,MATCH($E57,Config!$H$15:$H$34,0)),"No")="Yes",ISNUMBER($F57)),IF(AND($F57&lt;=Config!$B$4,OR($G57="",AND(ISNUMBER($G57),$G57&gt;=Config!$B$4))),1,0),0))</f>
        <v/>
      </c>
      <c r="L57" s="50" t="str">
        <f>IF($A57="","",IF(AND($K57=1,ISNUMBER($C57)),$C57,0))</f>
        <v/>
      </c>
      <c r="M57" s="49" t="str">
        <f>IF(COUNTA($A57:$I57)=0,"",IF($A57="","Missing: reservation ID",IF(COUNTIF($A$2:$A$201,$A57)&gt;1,"Duplicate reservation ID",IF($B57="","Missing: SKU",IF(NOT(ISNUMBER($C57)),"Missing: qty",IF($D57="","Missing: reserved for",IF($E57="","Missing: status",IF(NOT(ISNUMBER($F57)),"Missing: start date",IF(COUNTIF(Products!$A$2:$A$101,$B57)=0,"Unknown SKU",IF(COUNTIF(Config!$H$15:$H$34,$E57)=0,"Unsupported status",IF($C57&lt;=0,"Qty must be above 0",IF(AND(ISNUMBER($G57),$G57&lt;$F57),"Release date before start date","OK"))))))))))))</f>
        <v/>
      </c>
    </row>
    <row r="58">
      <c r="A58" s="46" t="n"/>
      <c r="B58" s="46" t="n"/>
      <c r="C58" s="48" t="n"/>
      <c r="D58" s="46" t="n"/>
      <c r="E58" s="46" t="n"/>
      <c r="F58" s="54" t="n"/>
      <c r="G58" s="54" t="n"/>
      <c r="H58" s="46" t="n"/>
      <c r="I58" s="46" t="n"/>
      <c r="J58" s="49" t="str">
        <f>IF($A58="","",IFERROR(INDEX(Products!$B$2:$B$101,MATCH($B58,Products!$A$2:$A$101,0))&amp;"","(not found)"))</f>
        <v/>
      </c>
      <c r="K58" s="52" t="str">
        <f>IF($A58="","",IF(AND(IFERROR(INDEX(Config!$I$15:$I$34,MATCH($E58,Config!$H$15:$H$34,0)),"No")="Yes",ISNUMBER($F58)),IF(AND($F58&lt;=Config!$B$4,OR($G58="",AND(ISNUMBER($G58),$G58&gt;=Config!$B$4))),1,0),0))</f>
        <v/>
      </c>
      <c r="L58" s="50" t="str">
        <f>IF($A58="","",IF(AND($K58=1,ISNUMBER($C58)),$C58,0))</f>
        <v/>
      </c>
      <c r="M58" s="49" t="str">
        <f>IF(COUNTA($A58:$I58)=0,"",IF($A58="","Missing: reservation ID",IF(COUNTIF($A$2:$A$201,$A58)&gt;1,"Duplicate reservation ID",IF($B58="","Missing: SKU",IF(NOT(ISNUMBER($C58)),"Missing: qty",IF($D58="","Missing: reserved for",IF($E58="","Missing: status",IF(NOT(ISNUMBER($F58)),"Missing: start date",IF(COUNTIF(Products!$A$2:$A$101,$B58)=0,"Unknown SKU",IF(COUNTIF(Config!$H$15:$H$34,$E58)=0,"Unsupported status",IF($C58&lt;=0,"Qty must be above 0",IF(AND(ISNUMBER($G58),$G58&lt;$F58),"Release date before start date","OK"))))))))))))</f>
        <v/>
      </c>
    </row>
    <row r="59">
      <c r="A59" s="46" t="n"/>
      <c r="B59" s="46" t="n"/>
      <c r="C59" s="48" t="n"/>
      <c r="D59" s="46" t="n"/>
      <c r="E59" s="46" t="n"/>
      <c r="F59" s="54" t="n"/>
      <c r="G59" s="54" t="n"/>
      <c r="H59" s="46" t="n"/>
      <c r="I59" s="46" t="n"/>
      <c r="J59" s="49" t="str">
        <f>IF($A59="","",IFERROR(INDEX(Products!$B$2:$B$101,MATCH($B59,Products!$A$2:$A$101,0))&amp;"","(not found)"))</f>
        <v/>
      </c>
      <c r="K59" s="52" t="str">
        <f>IF($A59="","",IF(AND(IFERROR(INDEX(Config!$I$15:$I$34,MATCH($E59,Config!$H$15:$H$34,0)),"No")="Yes",ISNUMBER($F59)),IF(AND($F59&lt;=Config!$B$4,OR($G59="",AND(ISNUMBER($G59),$G59&gt;=Config!$B$4))),1,0),0))</f>
        <v/>
      </c>
      <c r="L59" s="50" t="str">
        <f>IF($A59="","",IF(AND($K59=1,ISNUMBER($C59)),$C59,0))</f>
        <v/>
      </c>
      <c r="M59" s="49" t="str">
        <f>IF(COUNTA($A59:$I59)=0,"",IF($A59="","Missing: reservation ID",IF(COUNTIF($A$2:$A$201,$A59)&gt;1,"Duplicate reservation ID",IF($B59="","Missing: SKU",IF(NOT(ISNUMBER($C59)),"Missing: qty",IF($D59="","Missing: reserved for",IF($E59="","Missing: status",IF(NOT(ISNUMBER($F59)),"Missing: start date",IF(COUNTIF(Products!$A$2:$A$101,$B59)=0,"Unknown SKU",IF(COUNTIF(Config!$H$15:$H$34,$E59)=0,"Unsupported status",IF($C59&lt;=0,"Qty must be above 0",IF(AND(ISNUMBER($G59),$G59&lt;$F59),"Release date before start date","OK"))))))))))))</f>
        <v/>
      </c>
    </row>
    <row r="60">
      <c r="A60" s="46" t="n"/>
      <c r="B60" s="46" t="n"/>
      <c r="C60" s="48" t="n"/>
      <c r="D60" s="46" t="n"/>
      <c r="E60" s="46" t="n"/>
      <c r="F60" s="54" t="n"/>
      <c r="G60" s="54" t="n"/>
      <c r="H60" s="46" t="n"/>
      <c r="I60" s="46" t="n"/>
      <c r="J60" s="49" t="str">
        <f>IF($A60="","",IFERROR(INDEX(Products!$B$2:$B$101,MATCH($B60,Products!$A$2:$A$101,0))&amp;"","(not found)"))</f>
        <v/>
      </c>
      <c r="K60" s="52" t="str">
        <f>IF($A60="","",IF(AND(IFERROR(INDEX(Config!$I$15:$I$34,MATCH($E60,Config!$H$15:$H$34,0)),"No")="Yes",ISNUMBER($F60)),IF(AND($F60&lt;=Config!$B$4,OR($G60="",AND(ISNUMBER($G60),$G60&gt;=Config!$B$4))),1,0),0))</f>
        <v/>
      </c>
      <c r="L60" s="50" t="str">
        <f>IF($A60="","",IF(AND($K60=1,ISNUMBER($C60)),$C60,0))</f>
        <v/>
      </c>
      <c r="M60" s="49" t="str">
        <f>IF(COUNTA($A60:$I60)=0,"",IF($A60="","Missing: reservation ID",IF(COUNTIF($A$2:$A$201,$A60)&gt;1,"Duplicate reservation ID",IF($B60="","Missing: SKU",IF(NOT(ISNUMBER($C60)),"Missing: qty",IF($D60="","Missing: reserved for",IF($E60="","Missing: status",IF(NOT(ISNUMBER($F60)),"Missing: start date",IF(COUNTIF(Products!$A$2:$A$101,$B60)=0,"Unknown SKU",IF(COUNTIF(Config!$H$15:$H$34,$E60)=0,"Unsupported status",IF($C60&lt;=0,"Qty must be above 0",IF(AND(ISNUMBER($G60),$G60&lt;$F60),"Release date before start date","OK"))))))))))))</f>
        <v/>
      </c>
    </row>
    <row r="61">
      <c r="A61" s="46" t="n"/>
      <c r="B61" s="46" t="n"/>
      <c r="C61" s="48" t="n"/>
      <c r="D61" s="46" t="n"/>
      <c r="E61" s="46" t="n"/>
      <c r="F61" s="54" t="n"/>
      <c r="G61" s="54" t="n"/>
      <c r="H61" s="46" t="n"/>
      <c r="I61" s="46" t="n"/>
      <c r="J61" s="49" t="str">
        <f>IF($A61="","",IFERROR(INDEX(Products!$B$2:$B$101,MATCH($B61,Products!$A$2:$A$101,0))&amp;"","(not found)"))</f>
        <v/>
      </c>
      <c r="K61" s="52" t="str">
        <f>IF($A61="","",IF(AND(IFERROR(INDEX(Config!$I$15:$I$34,MATCH($E61,Config!$H$15:$H$34,0)),"No")="Yes",ISNUMBER($F61)),IF(AND($F61&lt;=Config!$B$4,OR($G61="",AND(ISNUMBER($G61),$G61&gt;=Config!$B$4))),1,0),0))</f>
        <v/>
      </c>
      <c r="L61" s="50" t="str">
        <f>IF($A61="","",IF(AND($K61=1,ISNUMBER($C61)),$C61,0))</f>
        <v/>
      </c>
      <c r="M61" s="49" t="str">
        <f>IF(COUNTA($A61:$I61)=0,"",IF($A61="","Missing: reservation ID",IF(COUNTIF($A$2:$A$201,$A61)&gt;1,"Duplicate reservation ID",IF($B61="","Missing: SKU",IF(NOT(ISNUMBER($C61)),"Missing: qty",IF($D61="","Missing: reserved for",IF($E61="","Missing: status",IF(NOT(ISNUMBER($F61)),"Missing: start date",IF(COUNTIF(Products!$A$2:$A$101,$B61)=0,"Unknown SKU",IF(COUNTIF(Config!$H$15:$H$34,$E61)=0,"Unsupported status",IF($C61&lt;=0,"Qty must be above 0",IF(AND(ISNUMBER($G61),$G61&lt;$F61),"Release date before start date","OK"))))))))))))</f>
        <v/>
      </c>
    </row>
    <row r="62">
      <c r="A62" s="46" t="n"/>
      <c r="B62" s="46" t="n"/>
      <c r="C62" s="48" t="n"/>
      <c r="D62" s="46" t="n"/>
      <c r="E62" s="46" t="n"/>
      <c r="F62" s="54" t="n"/>
      <c r="G62" s="54" t="n"/>
      <c r="H62" s="46" t="n"/>
      <c r="I62" s="46" t="n"/>
      <c r="J62" s="49" t="str">
        <f>IF($A62="","",IFERROR(INDEX(Products!$B$2:$B$101,MATCH($B62,Products!$A$2:$A$101,0))&amp;"","(not found)"))</f>
        <v/>
      </c>
      <c r="K62" s="52" t="str">
        <f>IF($A62="","",IF(AND(IFERROR(INDEX(Config!$I$15:$I$34,MATCH($E62,Config!$H$15:$H$34,0)),"No")="Yes",ISNUMBER($F62)),IF(AND($F62&lt;=Config!$B$4,OR($G62="",AND(ISNUMBER($G62),$G62&gt;=Config!$B$4))),1,0),0))</f>
        <v/>
      </c>
      <c r="L62" s="50" t="str">
        <f>IF($A62="","",IF(AND($K62=1,ISNUMBER($C62)),$C62,0))</f>
        <v/>
      </c>
      <c r="M62" s="49" t="str">
        <f>IF(COUNTA($A62:$I62)=0,"",IF($A62="","Missing: reservation ID",IF(COUNTIF($A$2:$A$201,$A62)&gt;1,"Duplicate reservation ID",IF($B62="","Missing: SKU",IF(NOT(ISNUMBER($C62)),"Missing: qty",IF($D62="","Missing: reserved for",IF($E62="","Missing: status",IF(NOT(ISNUMBER($F62)),"Missing: start date",IF(COUNTIF(Products!$A$2:$A$101,$B62)=0,"Unknown SKU",IF(COUNTIF(Config!$H$15:$H$34,$E62)=0,"Unsupported status",IF($C62&lt;=0,"Qty must be above 0",IF(AND(ISNUMBER($G62),$G62&lt;$F62),"Release date before start date","OK"))))))))))))</f>
        <v/>
      </c>
    </row>
    <row r="63">
      <c r="A63" s="46" t="n"/>
      <c r="B63" s="46" t="n"/>
      <c r="C63" s="48" t="n"/>
      <c r="D63" s="46" t="n"/>
      <c r="E63" s="46" t="n"/>
      <c r="F63" s="54" t="n"/>
      <c r="G63" s="54" t="n"/>
      <c r="H63" s="46" t="n"/>
      <c r="I63" s="46" t="n"/>
      <c r="J63" s="49" t="str">
        <f>IF($A63="","",IFERROR(INDEX(Products!$B$2:$B$101,MATCH($B63,Products!$A$2:$A$101,0))&amp;"","(not found)"))</f>
        <v/>
      </c>
      <c r="K63" s="52" t="str">
        <f>IF($A63="","",IF(AND(IFERROR(INDEX(Config!$I$15:$I$34,MATCH($E63,Config!$H$15:$H$34,0)),"No")="Yes",ISNUMBER($F63)),IF(AND($F63&lt;=Config!$B$4,OR($G63="",AND(ISNUMBER($G63),$G63&gt;=Config!$B$4))),1,0),0))</f>
        <v/>
      </c>
      <c r="L63" s="50" t="str">
        <f>IF($A63="","",IF(AND($K63=1,ISNUMBER($C63)),$C63,0))</f>
        <v/>
      </c>
      <c r="M63" s="49" t="str">
        <f>IF(COUNTA($A63:$I63)=0,"",IF($A63="","Missing: reservation ID",IF(COUNTIF($A$2:$A$201,$A63)&gt;1,"Duplicate reservation ID",IF($B63="","Missing: SKU",IF(NOT(ISNUMBER($C63)),"Missing: qty",IF($D63="","Missing: reserved for",IF($E63="","Missing: status",IF(NOT(ISNUMBER($F63)),"Missing: start date",IF(COUNTIF(Products!$A$2:$A$101,$B63)=0,"Unknown SKU",IF(COUNTIF(Config!$H$15:$H$34,$E63)=0,"Unsupported status",IF($C63&lt;=0,"Qty must be above 0",IF(AND(ISNUMBER($G63),$G63&lt;$F63),"Release date before start date","OK"))))))))))))</f>
        <v/>
      </c>
    </row>
    <row r="64">
      <c r="A64" s="46" t="n"/>
      <c r="B64" s="46" t="n"/>
      <c r="C64" s="48" t="n"/>
      <c r="D64" s="46" t="n"/>
      <c r="E64" s="46" t="n"/>
      <c r="F64" s="54" t="n"/>
      <c r="G64" s="54" t="n"/>
      <c r="H64" s="46" t="n"/>
      <c r="I64" s="46" t="n"/>
      <c r="J64" s="49" t="str">
        <f>IF($A64="","",IFERROR(INDEX(Products!$B$2:$B$101,MATCH($B64,Products!$A$2:$A$101,0))&amp;"","(not found)"))</f>
        <v/>
      </c>
      <c r="K64" s="52" t="str">
        <f>IF($A64="","",IF(AND(IFERROR(INDEX(Config!$I$15:$I$34,MATCH($E64,Config!$H$15:$H$34,0)),"No")="Yes",ISNUMBER($F64)),IF(AND($F64&lt;=Config!$B$4,OR($G64="",AND(ISNUMBER($G64),$G64&gt;=Config!$B$4))),1,0),0))</f>
        <v/>
      </c>
      <c r="L64" s="50" t="str">
        <f>IF($A64="","",IF(AND($K64=1,ISNUMBER($C64)),$C64,0))</f>
        <v/>
      </c>
      <c r="M64" s="49" t="str">
        <f>IF(COUNTA($A64:$I64)=0,"",IF($A64="","Missing: reservation ID",IF(COUNTIF($A$2:$A$201,$A64)&gt;1,"Duplicate reservation ID",IF($B64="","Missing: SKU",IF(NOT(ISNUMBER($C64)),"Missing: qty",IF($D64="","Missing: reserved for",IF($E64="","Missing: status",IF(NOT(ISNUMBER($F64)),"Missing: start date",IF(COUNTIF(Products!$A$2:$A$101,$B64)=0,"Unknown SKU",IF(COUNTIF(Config!$H$15:$H$34,$E64)=0,"Unsupported status",IF($C64&lt;=0,"Qty must be above 0",IF(AND(ISNUMBER($G64),$G64&lt;$F64),"Release date before start date","OK"))))))))))))</f>
        <v/>
      </c>
    </row>
    <row r="65">
      <c r="A65" s="46" t="n"/>
      <c r="B65" s="46" t="n"/>
      <c r="C65" s="48" t="n"/>
      <c r="D65" s="46" t="n"/>
      <c r="E65" s="46" t="n"/>
      <c r="F65" s="54" t="n"/>
      <c r="G65" s="54" t="n"/>
      <c r="H65" s="46" t="n"/>
      <c r="I65" s="46" t="n"/>
      <c r="J65" s="49" t="str">
        <f>IF($A65="","",IFERROR(INDEX(Products!$B$2:$B$101,MATCH($B65,Products!$A$2:$A$101,0))&amp;"","(not found)"))</f>
        <v/>
      </c>
      <c r="K65" s="52" t="str">
        <f>IF($A65="","",IF(AND(IFERROR(INDEX(Config!$I$15:$I$34,MATCH($E65,Config!$H$15:$H$34,0)),"No")="Yes",ISNUMBER($F65)),IF(AND($F65&lt;=Config!$B$4,OR($G65="",AND(ISNUMBER($G65),$G65&gt;=Config!$B$4))),1,0),0))</f>
        <v/>
      </c>
      <c r="L65" s="50" t="str">
        <f>IF($A65="","",IF(AND($K65=1,ISNUMBER($C65)),$C65,0))</f>
        <v/>
      </c>
      <c r="M65" s="49" t="str">
        <f>IF(COUNTA($A65:$I65)=0,"",IF($A65="","Missing: reservation ID",IF(COUNTIF($A$2:$A$201,$A65)&gt;1,"Duplicate reservation ID",IF($B65="","Missing: SKU",IF(NOT(ISNUMBER($C65)),"Missing: qty",IF($D65="","Missing: reserved for",IF($E65="","Missing: status",IF(NOT(ISNUMBER($F65)),"Missing: start date",IF(COUNTIF(Products!$A$2:$A$101,$B65)=0,"Unknown SKU",IF(COUNTIF(Config!$H$15:$H$34,$E65)=0,"Unsupported status",IF($C65&lt;=0,"Qty must be above 0",IF(AND(ISNUMBER($G65),$G65&lt;$F65),"Release date before start date","OK"))))))))))))</f>
        <v/>
      </c>
    </row>
    <row r="66">
      <c r="A66" s="46" t="n"/>
      <c r="B66" s="46" t="n"/>
      <c r="C66" s="48" t="n"/>
      <c r="D66" s="46" t="n"/>
      <c r="E66" s="46" t="n"/>
      <c r="F66" s="54" t="n"/>
      <c r="G66" s="54" t="n"/>
      <c r="H66" s="46" t="n"/>
      <c r="I66" s="46" t="n"/>
      <c r="J66" s="49" t="str">
        <f>IF($A66="","",IFERROR(INDEX(Products!$B$2:$B$101,MATCH($B66,Products!$A$2:$A$101,0))&amp;"","(not found)"))</f>
        <v/>
      </c>
      <c r="K66" s="52" t="str">
        <f>IF($A66="","",IF(AND(IFERROR(INDEX(Config!$I$15:$I$34,MATCH($E66,Config!$H$15:$H$34,0)),"No")="Yes",ISNUMBER($F66)),IF(AND($F66&lt;=Config!$B$4,OR($G66="",AND(ISNUMBER($G66),$G66&gt;=Config!$B$4))),1,0),0))</f>
        <v/>
      </c>
      <c r="L66" s="50" t="str">
        <f>IF($A66="","",IF(AND($K66=1,ISNUMBER($C66)),$C66,0))</f>
        <v/>
      </c>
      <c r="M66" s="49" t="str">
        <f>IF(COUNTA($A66:$I66)=0,"",IF($A66="","Missing: reservation ID",IF(COUNTIF($A$2:$A$201,$A66)&gt;1,"Duplicate reservation ID",IF($B66="","Missing: SKU",IF(NOT(ISNUMBER($C66)),"Missing: qty",IF($D66="","Missing: reserved for",IF($E66="","Missing: status",IF(NOT(ISNUMBER($F66)),"Missing: start date",IF(COUNTIF(Products!$A$2:$A$101,$B66)=0,"Unknown SKU",IF(COUNTIF(Config!$H$15:$H$34,$E66)=0,"Unsupported status",IF($C66&lt;=0,"Qty must be above 0",IF(AND(ISNUMBER($G66),$G66&lt;$F66),"Release date before start date","OK"))))))))))))</f>
        <v/>
      </c>
    </row>
    <row r="67">
      <c r="A67" s="46" t="n"/>
      <c r="B67" s="46" t="n"/>
      <c r="C67" s="48" t="n"/>
      <c r="D67" s="46" t="n"/>
      <c r="E67" s="46" t="n"/>
      <c r="F67" s="54" t="n"/>
      <c r="G67" s="54" t="n"/>
      <c r="H67" s="46" t="n"/>
      <c r="I67" s="46" t="n"/>
      <c r="J67" s="49" t="str">
        <f>IF($A67="","",IFERROR(INDEX(Products!$B$2:$B$101,MATCH($B67,Products!$A$2:$A$101,0))&amp;"","(not found)"))</f>
        <v/>
      </c>
      <c r="K67" s="52" t="str">
        <f>IF($A67="","",IF(AND(IFERROR(INDEX(Config!$I$15:$I$34,MATCH($E67,Config!$H$15:$H$34,0)),"No")="Yes",ISNUMBER($F67)),IF(AND($F67&lt;=Config!$B$4,OR($G67="",AND(ISNUMBER($G67),$G67&gt;=Config!$B$4))),1,0),0))</f>
        <v/>
      </c>
      <c r="L67" s="50" t="str">
        <f>IF($A67="","",IF(AND($K67=1,ISNUMBER($C67)),$C67,0))</f>
        <v/>
      </c>
      <c r="M67" s="49" t="str">
        <f>IF(COUNTA($A67:$I67)=0,"",IF($A67="","Missing: reservation ID",IF(COUNTIF($A$2:$A$201,$A67)&gt;1,"Duplicate reservation ID",IF($B67="","Missing: SKU",IF(NOT(ISNUMBER($C67)),"Missing: qty",IF($D67="","Missing: reserved for",IF($E67="","Missing: status",IF(NOT(ISNUMBER($F67)),"Missing: start date",IF(COUNTIF(Products!$A$2:$A$101,$B67)=0,"Unknown SKU",IF(COUNTIF(Config!$H$15:$H$34,$E67)=0,"Unsupported status",IF($C67&lt;=0,"Qty must be above 0",IF(AND(ISNUMBER($G67),$G67&lt;$F67),"Release date before start date","OK"))))))))))))</f>
        <v/>
      </c>
    </row>
    <row r="68">
      <c r="A68" s="46" t="n"/>
      <c r="B68" s="46" t="n"/>
      <c r="C68" s="48" t="n"/>
      <c r="D68" s="46" t="n"/>
      <c r="E68" s="46" t="n"/>
      <c r="F68" s="54" t="n"/>
      <c r="G68" s="54" t="n"/>
      <c r="H68" s="46" t="n"/>
      <c r="I68" s="46" t="n"/>
      <c r="J68" s="49" t="str">
        <f>IF($A68="","",IFERROR(INDEX(Products!$B$2:$B$101,MATCH($B68,Products!$A$2:$A$101,0))&amp;"","(not found)"))</f>
        <v/>
      </c>
      <c r="K68" s="52" t="str">
        <f>IF($A68="","",IF(AND(IFERROR(INDEX(Config!$I$15:$I$34,MATCH($E68,Config!$H$15:$H$34,0)),"No")="Yes",ISNUMBER($F68)),IF(AND($F68&lt;=Config!$B$4,OR($G68="",AND(ISNUMBER($G68),$G68&gt;=Config!$B$4))),1,0),0))</f>
        <v/>
      </c>
      <c r="L68" s="50" t="str">
        <f>IF($A68="","",IF(AND($K68=1,ISNUMBER($C68)),$C68,0))</f>
        <v/>
      </c>
      <c r="M68" s="49" t="str">
        <f>IF(COUNTA($A68:$I68)=0,"",IF($A68="","Missing: reservation ID",IF(COUNTIF($A$2:$A$201,$A68)&gt;1,"Duplicate reservation ID",IF($B68="","Missing: SKU",IF(NOT(ISNUMBER($C68)),"Missing: qty",IF($D68="","Missing: reserved for",IF($E68="","Missing: status",IF(NOT(ISNUMBER($F68)),"Missing: start date",IF(COUNTIF(Products!$A$2:$A$101,$B68)=0,"Unknown SKU",IF(COUNTIF(Config!$H$15:$H$34,$E68)=0,"Unsupported status",IF($C68&lt;=0,"Qty must be above 0",IF(AND(ISNUMBER($G68),$G68&lt;$F68),"Release date before start date","OK"))))))))))))</f>
        <v/>
      </c>
    </row>
    <row r="69">
      <c r="A69" s="46" t="n"/>
      <c r="B69" s="46" t="n"/>
      <c r="C69" s="48" t="n"/>
      <c r="D69" s="46" t="n"/>
      <c r="E69" s="46" t="n"/>
      <c r="F69" s="54" t="n"/>
      <c r="G69" s="54" t="n"/>
      <c r="H69" s="46" t="n"/>
      <c r="I69" s="46" t="n"/>
      <c r="J69" s="49" t="str">
        <f>IF($A69="","",IFERROR(INDEX(Products!$B$2:$B$101,MATCH($B69,Products!$A$2:$A$101,0))&amp;"","(not found)"))</f>
        <v/>
      </c>
      <c r="K69" s="52" t="str">
        <f>IF($A69="","",IF(AND(IFERROR(INDEX(Config!$I$15:$I$34,MATCH($E69,Config!$H$15:$H$34,0)),"No")="Yes",ISNUMBER($F69)),IF(AND($F69&lt;=Config!$B$4,OR($G69="",AND(ISNUMBER($G69),$G69&gt;=Config!$B$4))),1,0),0))</f>
        <v/>
      </c>
      <c r="L69" s="50" t="str">
        <f>IF($A69="","",IF(AND($K69=1,ISNUMBER($C69)),$C69,0))</f>
        <v/>
      </c>
      <c r="M69" s="49" t="str">
        <f>IF(COUNTA($A69:$I69)=0,"",IF($A69="","Missing: reservation ID",IF(COUNTIF($A$2:$A$201,$A69)&gt;1,"Duplicate reservation ID",IF($B69="","Missing: SKU",IF(NOT(ISNUMBER($C69)),"Missing: qty",IF($D69="","Missing: reserved for",IF($E69="","Missing: status",IF(NOT(ISNUMBER($F69)),"Missing: start date",IF(COUNTIF(Products!$A$2:$A$101,$B69)=0,"Unknown SKU",IF(COUNTIF(Config!$H$15:$H$34,$E69)=0,"Unsupported status",IF($C69&lt;=0,"Qty must be above 0",IF(AND(ISNUMBER($G69),$G69&lt;$F69),"Release date before start date","OK"))))))))))))</f>
        <v/>
      </c>
    </row>
    <row r="70">
      <c r="A70" s="46" t="n"/>
      <c r="B70" s="46" t="n"/>
      <c r="C70" s="48" t="n"/>
      <c r="D70" s="46" t="n"/>
      <c r="E70" s="46" t="n"/>
      <c r="F70" s="54" t="n"/>
      <c r="G70" s="54" t="n"/>
      <c r="H70" s="46" t="n"/>
      <c r="I70" s="46" t="n"/>
      <c r="J70" s="49" t="str">
        <f>IF($A70="","",IFERROR(INDEX(Products!$B$2:$B$101,MATCH($B70,Products!$A$2:$A$101,0))&amp;"","(not found)"))</f>
        <v/>
      </c>
      <c r="K70" s="52" t="str">
        <f>IF($A70="","",IF(AND(IFERROR(INDEX(Config!$I$15:$I$34,MATCH($E70,Config!$H$15:$H$34,0)),"No")="Yes",ISNUMBER($F70)),IF(AND($F70&lt;=Config!$B$4,OR($G70="",AND(ISNUMBER($G70),$G70&gt;=Config!$B$4))),1,0),0))</f>
        <v/>
      </c>
      <c r="L70" s="50" t="str">
        <f>IF($A70="","",IF(AND($K70=1,ISNUMBER($C70)),$C70,0))</f>
        <v/>
      </c>
      <c r="M70" s="49" t="str">
        <f>IF(COUNTA($A70:$I70)=0,"",IF($A70="","Missing: reservation ID",IF(COUNTIF($A$2:$A$201,$A70)&gt;1,"Duplicate reservation ID",IF($B70="","Missing: SKU",IF(NOT(ISNUMBER($C70)),"Missing: qty",IF($D70="","Missing: reserved for",IF($E70="","Missing: status",IF(NOT(ISNUMBER($F70)),"Missing: start date",IF(COUNTIF(Products!$A$2:$A$101,$B70)=0,"Unknown SKU",IF(COUNTIF(Config!$H$15:$H$34,$E70)=0,"Unsupported status",IF($C70&lt;=0,"Qty must be above 0",IF(AND(ISNUMBER($G70),$G70&lt;$F70),"Release date before start date","OK"))))))))))))</f>
        <v/>
      </c>
    </row>
    <row r="71">
      <c r="A71" s="46" t="n"/>
      <c r="B71" s="46" t="n"/>
      <c r="C71" s="48" t="n"/>
      <c r="D71" s="46" t="n"/>
      <c r="E71" s="46" t="n"/>
      <c r="F71" s="54" t="n"/>
      <c r="G71" s="54" t="n"/>
      <c r="H71" s="46" t="n"/>
      <c r="I71" s="46" t="n"/>
      <c r="J71" s="49" t="str">
        <f>IF($A71="","",IFERROR(INDEX(Products!$B$2:$B$101,MATCH($B71,Products!$A$2:$A$101,0))&amp;"","(not found)"))</f>
        <v/>
      </c>
      <c r="K71" s="52" t="str">
        <f>IF($A71="","",IF(AND(IFERROR(INDEX(Config!$I$15:$I$34,MATCH($E71,Config!$H$15:$H$34,0)),"No")="Yes",ISNUMBER($F71)),IF(AND($F71&lt;=Config!$B$4,OR($G71="",AND(ISNUMBER($G71),$G71&gt;=Config!$B$4))),1,0),0))</f>
        <v/>
      </c>
      <c r="L71" s="50" t="str">
        <f>IF($A71="","",IF(AND($K71=1,ISNUMBER($C71)),$C71,0))</f>
        <v/>
      </c>
      <c r="M71" s="49" t="str">
        <f>IF(COUNTA($A71:$I71)=0,"",IF($A71="","Missing: reservation ID",IF(COUNTIF($A$2:$A$201,$A71)&gt;1,"Duplicate reservation ID",IF($B71="","Missing: SKU",IF(NOT(ISNUMBER($C71)),"Missing: qty",IF($D71="","Missing: reserved for",IF($E71="","Missing: status",IF(NOT(ISNUMBER($F71)),"Missing: start date",IF(COUNTIF(Products!$A$2:$A$101,$B71)=0,"Unknown SKU",IF(COUNTIF(Config!$H$15:$H$34,$E71)=0,"Unsupported status",IF($C71&lt;=0,"Qty must be above 0",IF(AND(ISNUMBER($G71),$G71&lt;$F71),"Release date before start date","OK"))))))))))))</f>
        <v/>
      </c>
    </row>
    <row r="72">
      <c r="A72" s="46" t="n"/>
      <c r="B72" s="46" t="n"/>
      <c r="C72" s="48" t="n"/>
      <c r="D72" s="46" t="n"/>
      <c r="E72" s="46" t="n"/>
      <c r="F72" s="54" t="n"/>
      <c r="G72" s="54" t="n"/>
      <c r="H72" s="46" t="n"/>
      <c r="I72" s="46" t="n"/>
      <c r="J72" s="49" t="str">
        <f>IF($A72="","",IFERROR(INDEX(Products!$B$2:$B$101,MATCH($B72,Products!$A$2:$A$101,0))&amp;"","(not found)"))</f>
        <v/>
      </c>
      <c r="K72" s="52" t="str">
        <f>IF($A72="","",IF(AND(IFERROR(INDEX(Config!$I$15:$I$34,MATCH($E72,Config!$H$15:$H$34,0)),"No")="Yes",ISNUMBER($F72)),IF(AND($F72&lt;=Config!$B$4,OR($G72="",AND(ISNUMBER($G72),$G72&gt;=Config!$B$4))),1,0),0))</f>
        <v/>
      </c>
      <c r="L72" s="50" t="str">
        <f>IF($A72="","",IF(AND($K72=1,ISNUMBER($C72)),$C72,0))</f>
        <v/>
      </c>
      <c r="M72" s="49" t="str">
        <f>IF(COUNTA($A72:$I72)=0,"",IF($A72="","Missing: reservation ID",IF(COUNTIF($A$2:$A$201,$A72)&gt;1,"Duplicate reservation ID",IF($B72="","Missing: SKU",IF(NOT(ISNUMBER($C72)),"Missing: qty",IF($D72="","Missing: reserved for",IF($E72="","Missing: status",IF(NOT(ISNUMBER($F72)),"Missing: start date",IF(COUNTIF(Products!$A$2:$A$101,$B72)=0,"Unknown SKU",IF(COUNTIF(Config!$H$15:$H$34,$E72)=0,"Unsupported status",IF($C72&lt;=0,"Qty must be above 0",IF(AND(ISNUMBER($G72),$G72&lt;$F72),"Release date before start date","OK"))))))))))))</f>
        <v/>
      </c>
    </row>
    <row r="73">
      <c r="A73" s="46" t="n"/>
      <c r="B73" s="46" t="n"/>
      <c r="C73" s="48" t="n"/>
      <c r="D73" s="46" t="n"/>
      <c r="E73" s="46" t="n"/>
      <c r="F73" s="54" t="n"/>
      <c r="G73" s="54" t="n"/>
      <c r="H73" s="46" t="n"/>
      <c r="I73" s="46" t="n"/>
      <c r="J73" s="49" t="str">
        <f>IF($A73="","",IFERROR(INDEX(Products!$B$2:$B$101,MATCH($B73,Products!$A$2:$A$101,0))&amp;"","(not found)"))</f>
        <v/>
      </c>
      <c r="K73" s="52" t="str">
        <f>IF($A73="","",IF(AND(IFERROR(INDEX(Config!$I$15:$I$34,MATCH($E73,Config!$H$15:$H$34,0)),"No")="Yes",ISNUMBER($F73)),IF(AND($F73&lt;=Config!$B$4,OR($G73="",AND(ISNUMBER($G73),$G73&gt;=Config!$B$4))),1,0),0))</f>
        <v/>
      </c>
      <c r="L73" s="50" t="str">
        <f>IF($A73="","",IF(AND($K73=1,ISNUMBER($C73)),$C73,0))</f>
        <v/>
      </c>
      <c r="M73" s="49" t="str">
        <f>IF(COUNTA($A73:$I73)=0,"",IF($A73="","Missing: reservation ID",IF(COUNTIF($A$2:$A$201,$A73)&gt;1,"Duplicate reservation ID",IF($B73="","Missing: SKU",IF(NOT(ISNUMBER($C73)),"Missing: qty",IF($D73="","Missing: reserved for",IF($E73="","Missing: status",IF(NOT(ISNUMBER($F73)),"Missing: start date",IF(COUNTIF(Products!$A$2:$A$101,$B73)=0,"Unknown SKU",IF(COUNTIF(Config!$H$15:$H$34,$E73)=0,"Unsupported status",IF($C73&lt;=0,"Qty must be above 0",IF(AND(ISNUMBER($G73),$G73&lt;$F73),"Release date before start date","OK"))))))))))))</f>
        <v/>
      </c>
    </row>
    <row r="74">
      <c r="A74" s="46" t="n"/>
      <c r="B74" s="46" t="n"/>
      <c r="C74" s="48" t="n"/>
      <c r="D74" s="46" t="n"/>
      <c r="E74" s="46" t="n"/>
      <c r="F74" s="54" t="n"/>
      <c r="G74" s="54" t="n"/>
      <c r="H74" s="46" t="n"/>
      <c r="I74" s="46" t="n"/>
      <c r="J74" s="49" t="str">
        <f>IF($A74="","",IFERROR(INDEX(Products!$B$2:$B$101,MATCH($B74,Products!$A$2:$A$101,0))&amp;"","(not found)"))</f>
        <v/>
      </c>
      <c r="K74" s="52" t="str">
        <f>IF($A74="","",IF(AND(IFERROR(INDEX(Config!$I$15:$I$34,MATCH($E74,Config!$H$15:$H$34,0)),"No")="Yes",ISNUMBER($F74)),IF(AND($F74&lt;=Config!$B$4,OR($G74="",AND(ISNUMBER($G74),$G74&gt;=Config!$B$4))),1,0),0))</f>
        <v/>
      </c>
      <c r="L74" s="50" t="str">
        <f>IF($A74="","",IF(AND($K74=1,ISNUMBER($C74)),$C74,0))</f>
        <v/>
      </c>
      <c r="M74" s="49" t="str">
        <f>IF(COUNTA($A74:$I74)=0,"",IF($A74="","Missing: reservation ID",IF(COUNTIF($A$2:$A$201,$A74)&gt;1,"Duplicate reservation ID",IF($B74="","Missing: SKU",IF(NOT(ISNUMBER($C74)),"Missing: qty",IF($D74="","Missing: reserved for",IF($E74="","Missing: status",IF(NOT(ISNUMBER($F74)),"Missing: start date",IF(COUNTIF(Products!$A$2:$A$101,$B74)=0,"Unknown SKU",IF(COUNTIF(Config!$H$15:$H$34,$E74)=0,"Unsupported status",IF($C74&lt;=0,"Qty must be above 0",IF(AND(ISNUMBER($G74),$G74&lt;$F74),"Release date before start date","OK"))))))))))))</f>
        <v/>
      </c>
    </row>
    <row r="75">
      <c r="A75" s="46" t="n"/>
      <c r="B75" s="46" t="n"/>
      <c r="C75" s="48" t="n"/>
      <c r="D75" s="46" t="n"/>
      <c r="E75" s="46" t="n"/>
      <c r="F75" s="54" t="n"/>
      <c r="G75" s="54" t="n"/>
      <c r="H75" s="46" t="n"/>
      <c r="I75" s="46" t="n"/>
      <c r="J75" s="49" t="str">
        <f>IF($A75="","",IFERROR(INDEX(Products!$B$2:$B$101,MATCH($B75,Products!$A$2:$A$101,0))&amp;"","(not found)"))</f>
        <v/>
      </c>
      <c r="K75" s="52" t="str">
        <f>IF($A75="","",IF(AND(IFERROR(INDEX(Config!$I$15:$I$34,MATCH($E75,Config!$H$15:$H$34,0)),"No")="Yes",ISNUMBER($F75)),IF(AND($F75&lt;=Config!$B$4,OR($G75="",AND(ISNUMBER($G75),$G75&gt;=Config!$B$4))),1,0),0))</f>
        <v/>
      </c>
      <c r="L75" s="50" t="str">
        <f>IF($A75="","",IF(AND($K75=1,ISNUMBER($C75)),$C75,0))</f>
        <v/>
      </c>
      <c r="M75" s="49" t="str">
        <f>IF(COUNTA($A75:$I75)=0,"",IF($A75="","Missing: reservation ID",IF(COUNTIF($A$2:$A$201,$A75)&gt;1,"Duplicate reservation ID",IF($B75="","Missing: SKU",IF(NOT(ISNUMBER($C75)),"Missing: qty",IF($D75="","Missing: reserved for",IF($E75="","Missing: status",IF(NOT(ISNUMBER($F75)),"Missing: start date",IF(COUNTIF(Products!$A$2:$A$101,$B75)=0,"Unknown SKU",IF(COUNTIF(Config!$H$15:$H$34,$E75)=0,"Unsupported status",IF($C75&lt;=0,"Qty must be above 0",IF(AND(ISNUMBER($G75),$G75&lt;$F75),"Release date before start date","OK"))))))))))))</f>
        <v/>
      </c>
    </row>
    <row r="76">
      <c r="A76" s="46" t="n"/>
      <c r="B76" s="46" t="n"/>
      <c r="C76" s="48" t="n"/>
      <c r="D76" s="46" t="n"/>
      <c r="E76" s="46" t="n"/>
      <c r="F76" s="54" t="n"/>
      <c r="G76" s="54" t="n"/>
      <c r="H76" s="46" t="n"/>
      <c r="I76" s="46" t="n"/>
      <c r="J76" s="49" t="str">
        <f>IF($A76="","",IFERROR(INDEX(Products!$B$2:$B$101,MATCH($B76,Products!$A$2:$A$101,0))&amp;"","(not found)"))</f>
        <v/>
      </c>
      <c r="K76" s="52" t="str">
        <f>IF($A76="","",IF(AND(IFERROR(INDEX(Config!$I$15:$I$34,MATCH($E76,Config!$H$15:$H$34,0)),"No")="Yes",ISNUMBER($F76)),IF(AND($F76&lt;=Config!$B$4,OR($G76="",AND(ISNUMBER($G76),$G76&gt;=Config!$B$4))),1,0),0))</f>
        <v/>
      </c>
      <c r="L76" s="50" t="str">
        <f>IF($A76="","",IF(AND($K76=1,ISNUMBER($C76)),$C76,0))</f>
        <v/>
      </c>
      <c r="M76" s="49" t="str">
        <f>IF(COUNTA($A76:$I76)=0,"",IF($A76="","Missing: reservation ID",IF(COUNTIF($A$2:$A$201,$A76)&gt;1,"Duplicate reservation ID",IF($B76="","Missing: SKU",IF(NOT(ISNUMBER($C76)),"Missing: qty",IF($D76="","Missing: reserved for",IF($E76="","Missing: status",IF(NOT(ISNUMBER($F76)),"Missing: start date",IF(COUNTIF(Products!$A$2:$A$101,$B76)=0,"Unknown SKU",IF(COUNTIF(Config!$H$15:$H$34,$E76)=0,"Unsupported status",IF($C76&lt;=0,"Qty must be above 0",IF(AND(ISNUMBER($G76),$G76&lt;$F76),"Release date before start date","OK"))))))))))))</f>
        <v/>
      </c>
    </row>
    <row r="77">
      <c r="A77" s="46" t="n"/>
      <c r="B77" s="46" t="n"/>
      <c r="C77" s="48" t="n"/>
      <c r="D77" s="46" t="n"/>
      <c r="E77" s="46" t="n"/>
      <c r="F77" s="54" t="n"/>
      <c r="G77" s="54" t="n"/>
      <c r="H77" s="46" t="n"/>
      <c r="I77" s="46" t="n"/>
      <c r="J77" s="49" t="str">
        <f>IF($A77="","",IFERROR(INDEX(Products!$B$2:$B$101,MATCH($B77,Products!$A$2:$A$101,0))&amp;"","(not found)"))</f>
        <v/>
      </c>
      <c r="K77" s="52" t="str">
        <f>IF($A77="","",IF(AND(IFERROR(INDEX(Config!$I$15:$I$34,MATCH($E77,Config!$H$15:$H$34,0)),"No")="Yes",ISNUMBER($F77)),IF(AND($F77&lt;=Config!$B$4,OR($G77="",AND(ISNUMBER($G77),$G77&gt;=Config!$B$4))),1,0),0))</f>
        <v/>
      </c>
      <c r="L77" s="50" t="str">
        <f>IF($A77="","",IF(AND($K77=1,ISNUMBER($C77)),$C77,0))</f>
        <v/>
      </c>
      <c r="M77" s="49" t="str">
        <f>IF(COUNTA($A77:$I77)=0,"",IF($A77="","Missing: reservation ID",IF(COUNTIF($A$2:$A$201,$A77)&gt;1,"Duplicate reservation ID",IF($B77="","Missing: SKU",IF(NOT(ISNUMBER($C77)),"Missing: qty",IF($D77="","Missing: reserved for",IF($E77="","Missing: status",IF(NOT(ISNUMBER($F77)),"Missing: start date",IF(COUNTIF(Products!$A$2:$A$101,$B77)=0,"Unknown SKU",IF(COUNTIF(Config!$H$15:$H$34,$E77)=0,"Unsupported status",IF($C77&lt;=0,"Qty must be above 0",IF(AND(ISNUMBER($G77),$G77&lt;$F77),"Release date before start date","OK"))))))))))))</f>
        <v/>
      </c>
    </row>
    <row r="78">
      <c r="A78" s="46" t="n"/>
      <c r="B78" s="46" t="n"/>
      <c r="C78" s="48" t="n"/>
      <c r="D78" s="46" t="n"/>
      <c r="E78" s="46" t="n"/>
      <c r="F78" s="54" t="n"/>
      <c r="G78" s="54" t="n"/>
      <c r="H78" s="46" t="n"/>
      <c r="I78" s="46" t="n"/>
      <c r="J78" s="49" t="str">
        <f>IF($A78="","",IFERROR(INDEX(Products!$B$2:$B$101,MATCH($B78,Products!$A$2:$A$101,0))&amp;"","(not found)"))</f>
        <v/>
      </c>
      <c r="K78" s="52" t="str">
        <f>IF($A78="","",IF(AND(IFERROR(INDEX(Config!$I$15:$I$34,MATCH($E78,Config!$H$15:$H$34,0)),"No")="Yes",ISNUMBER($F78)),IF(AND($F78&lt;=Config!$B$4,OR($G78="",AND(ISNUMBER($G78),$G78&gt;=Config!$B$4))),1,0),0))</f>
        <v/>
      </c>
      <c r="L78" s="50" t="str">
        <f>IF($A78="","",IF(AND($K78=1,ISNUMBER($C78)),$C78,0))</f>
        <v/>
      </c>
      <c r="M78" s="49" t="str">
        <f>IF(COUNTA($A78:$I78)=0,"",IF($A78="","Missing: reservation ID",IF(COUNTIF($A$2:$A$201,$A78)&gt;1,"Duplicate reservation ID",IF($B78="","Missing: SKU",IF(NOT(ISNUMBER($C78)),"Missing: qty",IF($D78="","Missing: reserved for",IF($E78="","Missing: status",IF(NOT(ISNUMBER($F78)),"Missing: start date",IF(COUNTIF(Products!$A$2:$A$101,$B78)=0,"Unknown SKU",IF(COUNTIF(Config!$H$15:$H$34,$E78)=0,"Unsupported status",IF($C78&lt;=0,"Qty must be above 0",IF(AND(ISNUMBER($G78),$G78&lt;$F78),"Release date before start date","OK"))))))))))))</f>
        <v/>
      </c>
    </row>
    <row r="79">
      <c r="A79" s="46" t="n"/>
      <c r="B79" s="46" t="n"/>
      <c r="C79" s="48" t="n"/>
      <c r="D79" s="46" t="n"/>
      <c r="E79" s="46" t="n"/>
      <c r="F79" s="54" t="n"/>
      <c r="G79" s="54" t="n"/>
      <c r="H79" s="46" t="n"/>
      <c r="I79" s="46" t="n"/>
      <c r="J79" s="49" t="str">
        <f>IF($A79="","",IFERROR(INDEX(Products!$B$2:$B$101,MATCH($B79,Products!$A$2:$A$101,0))&amp;"","(not found)"))</f>
        <v/>
      </c>
      <c r="K79" s="52" t="str">
        <f>IF($A79="","",IF(AND(IFERROR(INDEX(Config!$I$15:$I$34,MATCH($E79,Config!$H$15:$H$34,0)),"No")="Yes",ISNUMBER($F79)),IF(AND($F79&lt;=Config!$B$4,OR($G79="",AND(ISNUMBER($G79),$G79&gt;=Config!$B$4))),1,0),0))</f>
        <v/>
      </c>
      <c r="L79" s="50" t="str">
        <f>IF($A79="","",IF(AND($K79=1,ISNUMBER($C79)),$C79,0))</f>
        <v/>
      </c>
      <c r="M79" s="49" t="str">
        <f>IF(COUNTA($A79:$I79)=0,"",IF($A79="","Missing: reservation ID",IF(COUNTIF($A$2:$A$201,$A79)&gt;1,"Duplicate reservation ID",IF($B79="","Missing: SKU",IF(NOT(ISNUMBER($C79)),"Missing: qty",IF($D79="","Missing: reserved for",IF($E79="","Missing: status",IF(NOT(ISNUMBER($F79)),"Missing: start date",IF(COUNTIF(Products!$A$2:$A$101,$B79)=0,"Unknown SKU",IF(COUNTIF(Config!$H$15:$H$34,$E79)=0,"Unsupported status",IF($C79&lt;=0,"Qty must be above 0",IF(AND(ISNUMBER($G79),$G79&lt;$F79),"Release date before start date","OK"))))))))))))</f>
        <v/>
      </c>
    </row>
    <row r="80">
      <c r="A80" s="46" t="n"/>
      <c r="B80" s="46" t="n"/>
      <c r="C80" s="48" t="n"/>
      <c r="D80" s="46" t="n"/>
      <c r="E80" s="46" t="n"/>
      <c r="F80" s="54" t="n"/>
      <c r="G80" s="54" t="n"/>
      <c r="H80" s="46" t="n"/>
      <c r="I80" s="46" t="n"/>
      <c r="J80" s="49" t="str">
        <f>IF($A80="","",IFERROR(INDEX(Products!$B$2:$B$101,MATCH($B80,Products!$A$2:$A$101,0))&amp;"","(not found)"))</f>
        <v/>
      </c>
      <c r="K80" s="52" t="str">
        <f>IF($A80="","",IF(AND(IFERROR(INDEX(Config!$I$15:$I$34,MATCH($E80,Config!$H$15:$H$34,0)),"No")="Yes",ISNUMBER($F80)),IF(AND($F80&lt;=Config!$B$4,OR($G80="",AND(ISNUMBER($G80),$G80&gt;=Config!$B$4))),1,0),0))</f>
        <v/>
      </c>
      <c r="L80" s="50" t="str">
        <f>IF($A80="","",IF(AND($K80=1,ISNUMBER($C80)),$C80,0))</f>
        <v/>
      </c>
      <c r="M80" s="49" t="str">
        <f>IF(COUNTA($A80:$I80)=0,"",IF($A80="","Missing: reservation ID",IF(COUNTIF($A$2:$A$201,$A80)&gt;1,"Duplicate reservation ID",IF($B80="","Missing: SKU",IF(NOT(ISNUMBER($C80)),"Missing: qty",IF($D80="","Missing: reserved for",IF($E80="","Missing: status",IF(NOT(ISNUMBER($F80)),"Missing: start date",IF(COUNTIF(Products!$A$2:$A$101,$B80)=0,"Unknown SKU",IF(COUNTIF(Config!$H$15:$H$34,$E80)=0,"Unsupported status",IF($C80&lt;=0,"Qty must be above 0",IF(AND(ISNUMBER($G80),$G80&lt;$F80),"Release date before start date","OK"))))))))))))</f>
        <v/>
      </c>
    </row>
    <row r="81">
      <c r="A81" s="46" t="n"/>
      <c r="B81" s="46" t="n"/>
      <c r="C81" s="48" t="n"/>
      <c r="D81" s="46" t="n"/>
      <c r="E81" s="46" t="n"/>
      <c r="F81" s="54" t="n"/>
      <c r="G81" s="54" t="n"/>
      <c r="H81" s="46" t="n"/>
      <c r="I81" s="46" t="n"/>
      <c r="J81" s="49" t="str">
        <f>IF($A81="","",IFERROR(INDEX(Products!$B$2:$B$101,MATCH($B81,Products!$A$2:$A$101,0))&amp;"","(not found)"))</f>
        <v/>
      </c>
      <c r="K81" s="52" t="str">
        <f>IF($A81="","",IF(AND(IFERROR(INDEX(Config!$I$15:$I$34,MATCH($E81,Config!$H$15:$H$34,0)),"No")="Yes",ISNUMBER($F81)),IF(AND($F81&lt;=Config!$B$4,OR($G81="",AND(ISNUMBER($G81),$G81&gt;=Config!$B$4))),1,0),0))</f>
        <v/>
      </c>
      <c r="L81" s="50" t="str">
        <f>IF($A81="","",IF(AND($K81=1,ISNUMBER($C81)),$C81,0))</f>
        <v/>
      </c>
      <c r="M81" s="49" t="str">
        <f>IF(COUNTA($A81:$I81)=0,"",IF($A81="","Missing: reservation ID",IF(COUNTIF($A$2:$A$201,$A81)&gt;1,"Duplicate reservation ID",IF($B81="","Missing: SKU",IF(NOT(ISNUMBER($C81)),"Missing: qty",IF($D81="","Missing: reserved for",IF($E81="","Missing: status",IF(NOT(ISNUMBER($F81)),"Missing: start date",IF(COUNTIF(Products!$A$2:$A$101,$B81)=0,"Unknown SKU",IF(COUNTIF(Config!$H$15:$H$34,$E81)=0,"Unsupported status",IF($C81&lt;=0,"Qty must be above 0",IF(AND(ISNUMBER($G81),$G81&lt;$F81),"Release date before start date","OK"))))))))))))</f>
        <v/>
      </c>
    </row>
    <row r="82">
      <c r="A82" s="46" t="n"/>
      <c r="B82" s="46" t="n"/>
      <c r="C82" s="48" t="n"/>
      <c r="D82" s="46" t="n"/>
      <c r="E82" s="46" t="n"/>
      <c r="F82" s="54" t="n"/>
      <c r="G82" s="54" t="n"/>
      <c r="H82" s="46" t="n"/>
      <c r="I82" s="46" t="n"/>
      <c r="J82" s="49" t="str">
        <f>IF($A82="","",IFERROR(INDEX(Products!$B$2:$B$101,MATCH($B82,Products!$A$2:$A$101,0))&amp;"","(not found)"))</f>
        <v/>
      </c>
      <c r="K82" s="52" t="str">
        <f>IF($A82="","",IF(AND(IFERROR(INDEX(Config!$I$15:$I$34,MATCH($E82,Config!$H$15:$H$34,0)),"No")="Yes",ISNUMBER($F82)),IF(AND($F82&lt;=Config!$B$4,OR($G82="",AND(ISNUMBER($G82),$G82&gt;=Config!$B$4))),1,0),0))</f>
        <v/>
      </c>
      <c r="L82" s="50" t="str">
        <f>IF($A82="","",IF(AND($K82=1,ISNUMBER($C82)),$C82,0))</f>
        <v/>
      </c>
      <c r="M82" s="49" t="str">
        <f>IF(COUNTA($A82:$I82)=0,"",IF($A82="","Missing: reservation ID",IF(COUNTIF($A$2:$A$201,$A82)&gt;1,"Duplicate reservation ID",IF($B82="","Missing: SKU",IF(NOT(ISNUMBER($C82)),"Missing: qty",IF($D82="","Missing: reserved for",IF($E82="","Missing: status",IF(NOT(ISNUMBER($F82)),"Missing: start date",IF(COUNTIF(Products!$A$2:$A$101,$B82)=0,"Unknown SKU",IF(COUNTIF(Config!$H$15:$H$34,$E82)=0,"Unsupported status",IF($C82&lt;=0,"Qty must be above 0",IF(AND(ISNUMBER($G82),$G82&lt;$F82),"Release date before start date","OK"))))))))))))</f>
        <v/>
      </c>
    </row>
    <row r="83">
      <c r="A83" s="46" t="n"/>
      <c r="B83" s="46" t="n"/>
      <c r="C83" s="48" t="n"/>
      <c r="D83" s="46" t="n"/>
      <c r="E83" s="46" t="n"/>
      <c r="F83" s="54" t="n"/>
      <c r="G83" s="54" t="n"/>
      <c r="H83" s="46" t="n"/>
      <c r="I83" s="46" t="n"/>
      <c r="J83" s="49" t="str">
        <f>IF($A83="","",IFERROR(INDEX(Products!$B$2:$B$101,MATCH($B83,Products!$A$2:$A$101,0))&amp;"","(not found)"))</f>
        <v/>
      </c>
      <c r="K83" s="52" t="str">
        <f>IF($A83="","",IF(AND(IFERROR(INDEX(Config!$I$15:$I$34,MATCH($E83,Config!$H$15:$H$34,0)),"No")="Yes",ISNUMBER($F83)),IF(AND($F83&lt;=Config!$B$4,OR($G83="",AND(ISNUMBER($G83),$G83&gt;=Config!$B$4))),1,0),0))</f>
        <v/>
      </c>
      <c r="L83" s="50" t="str">
        <f>IF($A83="","",IF(AND($K83=1,ISNUMBER($C83)),$C83,0))</f>
        <v/>
      </c>
      <c r="M83" s="49" t="str">
        <f>IF(COUNTA($A83:$I83)=0,"",IF($A83="","Missing: reservation ID",IF(COUNTIF($A$2:$A$201,$A83)&gt;1,"Duplicate reservation ID",IF($B83="","Missing: SKU",IF(NOT(ISNUMBER($C83)),"Missing: qty",IF($D83="","Missing: reserved for",IF($E83="","Missing: status",IF(NOT(ISNUMBER($F83)),"Missing: start date",IF(COUNTIF(Products!$A$2:$A$101,$B83)=0,"Unknown SKU",IF(COUNTIF(Config!$H$15:$H$34,$E83)=0,"Unsupported status",IF($C83&lt;=0,"Qty must be above 0",IF(AND(ISNUMBER($G83),$G83&lt;$F83),"Release date before start date","OK"))))))))))))</f>
        <v/>
      </c>
    </row>
    <row r="84">
      <c r="A84" s="46" t="n"/>
      <c r="B84" s="46" t="n"/>
      <c r="C84" s="48" t="n"/>
      <c r="D84" s="46" t="n"/>
      <c r="E84" s="46" t="n"/>
      <c r="F84" s="54" t="n"/>
      <c r="G84" s="54" t="n"/>
      <c r="H84" s="46" t="n"/>
      <c r="I84" s="46" t="n"/>
      <c r="J84" s="49" t="str">
        <f>IF($A84="","",IFERROR(INDEX(Products!$B$2:$B$101,MATCH($B84,Products!$A$2:$A$101,0))&amp;"","(not found)"))</f>
        <v/>
      </c>
      <c r="K84" s="52" t="str">
        <f>IF($A84="","",IF(AND(IFERROR(INDEX(Config!$I$15:$I$34,MATCH($E84,Config!$H$15:$H$34,0)),"No")="Yes",ISNUMBER($F84)),IF(AND($F84&lt;=Config!$B$4,OR($G84="",AND(ISNUMBER($G84),$G84&gt;=Config!$B$4))),1,0),0))</f>
        <v/>
      </c>
      <c r="L84" s="50" t="str">
        <f>IF($A84="","",IF(AND($K84=1,ISNUMBER($C84)),$C84,0))</f>
        <v/>
      </c>
      <c r="M84" s="49" t="str">
        <f>IF(COUNTA($A84:$I84)=0,"",IF($A84="","Missing: reservation ID",IF(COUNTIF($A$2:$A$201,$A84)&gt;1,"Duplicate reservation ID",IF($B84="","Missing: SKU",IF(NOT(ISNUMBER($C84)),"Missing: qty",IF($D84="","Missing: reserved for",IF($E84="","Missing: status",IF(NOT(ISNUMBER($F84)),"Missing: start date",IF(COUNTIF(Products!$A$2:$A$101,$B84)=0,"Unknown SKU",IF(COUNTIF(Config!$H$15:$H$34,$E84)=0,"Unsupported status",IF($C84&lt;=0,"Qty must be above 0",IF(AND(ISNUMBER($G84),$G84&lt;$F84),"Release date before start date","OK"))))))))))))</f>
        <v/>
      </c>
    </row>
    <row r="85">
      <c r="A85" s="46" t="n"/>
      <c r="B85" s="46" t="n"/>
      <c r="C85" s="48" t="n"/>
      <c r="D85" s="46" t="n"/>
      <c r="E85" s="46" t="n"/>
      <c r="F85" s="54" t="n"/>
      <c r="G85" s="54" t="n"/>
      <c r="H85" s="46" t="n"/>
      <c r="I85" s="46" t="n"/>
      <c r="J85" s="49" t="str">
        <f>IF($A85="","",IFERROR(INDEX(Products!$B$2:$B$101,MATCH($B85,Products!$A$2:$A$101,0))&amp;"","(not found)"))</f>
        <v/>
      </c>
      <c r="K85" s="52" t="str">
        <f>IF($A85="","",IF(AND(IFERROR(INDEX(Config!$I$15:$I$34,MATCH($E85,Config!$H$15:$H$34,0)),"No")="Yes",ISNUMBER($F85)),IF(AND($F85&lt;=Config!$B$4,OR($G85="",AND(ISNUMBER($G85),$G85&gt;=Config!$B$4))),1,0),0))</f>
        <v/>
      </c>
      <c r="L85" s="50" t="str">
        <f>IF($A85="","",IF(AND($K85=1,ISNUMBER($C85)),$C85,0))</f>
        <v/>
      </c>
      <c r="M85" s="49" t="str">
        <f>IF(COUNTA($A85:$I85)=0,"",IF($A85="","Missing: reservation ID",IF(COUNTIF($A$2:$A$201,$A85)&gt;1,"Duplicate reservation ID",IF($B85="","Missing: SKU",IF(NOT(ISNUMBER($C85)),"Missing: qty",IF($D85="","Missing: reserved for",IF($E85="","Missing: status",IF(NOT(ISNUMBER($F85)),"Missing: start date",IF(COUNTIF(Products!$A$2:$A$101,$B85)=0,"Unknown SKU",IF(COUNTIF(Config!$H$15:$H$34,$E85)=0,"Unsupported status",IF($C85&lt;=0,"Qty must be above 0",IF(AND(ISNUMBER($G85),$G85&lt;$F85),"Release date before start date","OK"))))))))))))</f>
        <v/>
      </c>
    </row>
    <row r="86">
      <c r="A86" s="46" t="n"/>
      <c r="B86" s="46" t="n"/>
      <c r="C86" s="48" t="n"/>
      <c r="D86" s="46" t="n"/>
      <c r="E86" s="46" t="n"/>
      <c r="F86" s="54" t="n"/>
      <c r="G86" s="54" t="n"/>
      <c r="H86" s="46" t="n"/>
      <c r="I86" s="46" t="n"/>
      <c r="J86" s="49" t="str">
        <f>IF($A86="","",IFERROR(INDEX(Products!$B$2:$B$101,MATCH($B86,Products!$A$2:$A$101,0))&amp;"","(not found)"))</f>
        <v/>
      </c>
      <c r="K86" s="52" t="str">
        <f>IF($A86="","",IF(AND(IFERROR(INDEX(Config!$I$15:$I$34,MATCH($E86,Config!$H$15:$H$34,0)),"No")="Yes",ISNUMBER($F86)),IF(AND($F86&lt;=Config!$B$4,OR($G86="",AND(ISNUMBER($G86),$G86&gt;=Config!$B$4))),1,0),0))</f>
        <v/>
      </c>
      <c r="L86" s="50" t="str">
        <f>IF($A86="","",IF(AND($K86=1,ISNUMBER($C86)),$C86,0))</f>
        <v/>
      </c>
      <c r="M86" s="49" t="str">
        <f>IF(COUNTA($A86:$I86)=0,"",IF($A86="","Missing: reservation ID",IF(COUNTIF($A$2:$A$201,$A86)&gt;1,"Duplicate reservation ID",IF($B86="","Missing: SKU",IF(NOT(ISNUMBER($C86)),"Missing: qty",IF($D86="","Missing: reserved for",IF($E86="","Missing: status",IF(NOT(ISNUMBER($F86)),"Missing: start date",IF(COUNTIF(Products!$A$2:$A$101,$B86)=0,"Unknown SKU",IF(COUNTIF(Config!$H$15:$H$34,$E86)=0,"Unsupported status",IF($C86&lt;=0,"Qty must be above 0",IF(AND(ISNUMBER($G86),$G86&lt;$F86),"Release date before start date","OK"))))))))))))</f>
        <v/>
      </c>
    </row>
    <row r="87">
      <c r="A87" s="46" t="n"/>
      <c r="B87" s="46" t="n"/>
      <c r="C87" s="48" t="n"/>
      <c r="D87" s="46" t="n"/>
      <c r="E87" s="46" t="n"/>
      <c r="F87" s="54" t="n"/>
      <c r="G87" s="54" t="n"/>
      <c r="H87" s="46" t="n"/>
      <c r="I87" s="46" t="n"/>
      <c r="J87" s="49" t="str">
        <f>IF($A87="","",IFERROR(INDEX(Products!$B$2:$B$101,MATCH($B87,Products!$A$2:$A$101,0))&amp;"","(not found)"))</f>
        <v/>
      </c>
      <c r="K87" s="52" t="str">
        <f>IF($A87="","",IF(AND(IFERROR(INDEX(Config!$I$15:$I$34,MATCH($E87,Config!$H$15:$H$34,0)),"No")="Yes",ISNUMBER($F87)),IF(AND($F87&lt;=Config!$B$4,OR($G87="",AND(ISNUMBER($G87),$G87&gt;=Config!$B$4))),1,0),0))</f>
        <v/>
      </c>
      <c r="L87" s="50" t="str">
        <f>IF($A87="","",IF(AND($K87=1,ISNUMBER($C87)),$C87,0))</f>
        <v/>
      </c>
      <c r="M87" s="49" t="str">
        <f>IF(COUNTA($A87:$I87)=0,"",IF($A87="","Missing: reservation ID",IF(COUNTIF($A$2:$A$201,$A87)&gt;1,"Duplicate reservation ID",IF($B87="","Missing: SKU",IF(NOT(ISNUMBER($C87)),"Missing: qty",IF($D87="","Missing: reserved for",IF($E87="","Missing: status",IF(NOT(ISNUMBER($F87)),"Missing: start date",IF(COUNTIF(Products!$A$2:$A$101,$B87)=0,"Unknown SKU",IF(COUNTIF(Config!$H$15:$H$34,$E87)=0,"Unsupported status",IF($C87&lt;=0,"Qty must be above 0",IF(AND(ISNUMBER($G87),$G87&lt;$F87),"Release date before start date","OK"))))))))))))</f>
        <v/>
      </c>
    </row>
    <row r="88">
      <c r="A88" s="46" t="n"/>
      <c r="B88" s="46" t="n"/>
      <c r="C88" s="48" t="n"/>
      <c r="D88" s="46" t="n"/>
      <c r="E88" s="46" t="n"/>
      <c r="F88" s="54" t="n"/>
      <c r="G88" s="54" t="n"/>
      <c r="H88" s="46" t="n"/>
      <c r="I88" s="46" t="n"/>
      <c r="J88" s="49" t="str">
        <f>IF($A88="","",IFERROR(INDEX(Products!$B$2:$B$101,MATCH($B88,Products!$A$2:$A$101,0))&amp;"","(not found)"))</f>
        <v/>
      </c>
      <c r="K88" s="52" t="str">
        <f>IF($A88="","",IF(AND(IFERROR(INDEX(Config!$I$15:$I$34,MATCH($E88,Config!$H$15:$H$34,0)),"No")="Yes",ISNUMBER($F88)),IF(AND($F88&lt;=Config!$B$4,OR($G88="",AND(ISNUMBER($G88),$G88&gt;=Config!$B$4))),1,0),0))</f>
        <v/>
      </c>
      <c r="L88" s="50" t="str">
        <f>IF($A88="","",IF(AND($K88=1,ISNUMBER($C88)),$C88,0))</f>
        <v/>
      </c>
      <c r="M88" s="49" t="str">
        <f>IF(COUNTA($A88:$I88)=0,"",IF($A88="","Missing: reservation ID",IF(COUNTIF($A$2:$A$201,$A88)&gt;1,"Duplicate reservation ID",IF($B88="","Missing: SKU",IF(NOT(ISNUMBER($C88)),"Missing: qty",IF($D88="","Missing: reserved for",IF($E88="","Missing: status",IF(NOT(ISNUMBER($F88)),"Missing: start date",IF(COUNTIF(Products!$A$2:$A$101,$B88)=0,"Unknown SKU",IF(COUNTIF(Config!$H$15:$H$34,$E88)=0,"Unsupported status",IF($C88&lt;=0,"Qty must be above 0",IF(AND(ISNUMBER($G88),$G88&lt;$F88),"Release date before start date","OK"))))))))))))</f>
        <v/>
      </c>
    </row>
    <row r="89">
      <c r="A89" s="46" t="n"/>
      <c r="B89" s="46" t="n"/>
      <c r="C89" s="48" t="n"/>
      <c r="D89" s="46" t="n"/>
      <c r="E89" s="46" t="n"/>
      <c r="F89" s="54" t="n"/>
      <c r="G89" s="54" t="n"/>
      <c r="H89" s="46" t="n"/>
      <c r="I89" s="46" t="n"/>
      <c r="J89" s="49" t="str">
        <f>IF($A89="","",IFERROR(INDEX(Products!$B$2:$B$101,MATCH($B89,Products!$A$2:$A$101,0))&amp;"","(not found)"))</f>
        <v/>
      </c>
      <c r="K89" s="52" t="str">
        <f>IF($A89="","",IF(AND(IFERROR(INDEX(Config!$I$15:$I$34,MATCH($E89,Config!$H$15:$H$34,0)),"No")="Yes",ISNUMBER($F89)),IF(AND($F89&lt;=Config!$B$4,OR($G89="",AND(ISNUMBER($G89),$G89&gt;=Config!$B$4))),1,0),0))</f>
        <v/>
      </c>
      <c r="L89" s="50" t="str">
        <f>IF($A89="","",IF(AND($K89=1,ISNUMBER($C89)),$C89,0))</f>
        <v/>
      </c>
      <c r="M89" s="49" t="str">
        <f>IF(COUNTA($A89:$I89)=0,"",IF($A89="","Missing: reservation ID",IF(COUNTIF($A$2:$A$201,$A89)&gt;1,"Duplicate reservation ID",IF($B89="","Missing: SKU",IF(NOT(ISNUMBER($C89)),"Missing: qty",IF($D89="","Missing: reserved for",IF($E89="","Missing: status",IF(NOT(ISNUMBER($F89)),"Missing: start date",IF(COUNTIF(Products!$A$2:$A$101,$B89)=0,"Unknown SKU",IF(COUNTIF(Config!$H$15:$H$34,$E89)=0,"Unsupported status",IF($C89&lt;=0,"Qty must be above 0",IF(AND(ISNUMBER($G89),$G89&lt;$F89),"Release date before start date","OK"))))))))))))</f>
        <v/>
      </c>
    </row>
    <row r="90">
      <c r="A90" s="46" t="n"/>
      <c r="B90" s="46" t="n"/>
      <c r="C90" s="48" t="n"/>
      <c r="D90" s="46" t="n"/>
      <c r="E90" s="46" t="n"/>
      <c r="F90" s="54" t="n"/>
      <c r="G90" s="54" t="n"/>
      <c r="H90" s="46" t="n"/>
      <c r="I90" s="46" t="n"/>
      <c r="J90" s="49" t="str">
        <f>IF($A90="","",IFERROR(INDEX(Products!$B$2:$B$101,MATCH($B90,Products!$A$2:$A$101,0))&amp;"","(not found)"))</f>
        <v/>
      </c>
      <c r="K90" s="52" t="str">
        <f>IF($A90="","",IF(AND(IFERROR(INDEX(Config!$I$15:$I$34,MATCH($E90,Config!$H$15:$H$34,0)),"No")="Yes",ISNUMBER($F90)),IF(AND($F90&lt;=Config!$B$4,OR($G90="",AND(ISNUMBER($G90),$G90&gt;=Config!$B$4))),1,0),0))</f>
        <v/>
      </c>
      <c r="L90" s="50" t="str">
        <f>IF($A90="","",IF(AND($K90=1,ISNUMBER($C90)),$C90,0))</f>
        <v/>
      </c>
      <c r="M90" s="49" t="str">
        <f>IF(COUNTA($A90:$I90)=0,"",IF($A90="","Missing: reservation ID",IF(COUNTIF($A$2:$A$201,$A90)&gt;1,"Duplicate reservation ID",IF($B90="","Missing: SKU",IF(NOT(ISNUMBER($C90)),"Missing: qty",IF($D90="","Missing: reserved for",IF($E90="","Missing: status",IF(NOT(ISNUMBER($F90)),"Missing: start date",IF(COUNTIF(Products!$A$2:$A$101,$B90)=0,"Unknown SKU",IF(COUNTIF(Config!$H$15:$H$34,$E90)=0,"Unsupported status",IF($C90&lt;=0,"Qty must be above 0",IF(AND(ISNUMBER($G90),$G90&lt;$F90),"Release date before start date","OK"))))))))))))</f>
        <v/>
      </c>
    </row>
    <row r="91">
      <c r="A91" s="46" t="n"/>
      <c r="B91" s="46" t="n"/>
      <c r="C91" s="48" t="n"/>
      <c r="D91" s="46" t="n"/>
      <c r="E91" s="46" t="n"/>
      <c r="F91" s="54" t="n"/>
      <c r="G91" s="54" t="n"/>
      <c r="H91" s="46" t="n"/>
      <c r="I91" s="46" t="n"/>
      <c r="J91" s="49" t="str">
        <f>IF($A91="","",IFERROR(INDEX(Products!$B$2:$B$101,MATCH($B91,Products!$A$2:$A$101,0))&amp;"","(not found)"))</f>
        <v/>
      </c>
      <c r="K91" s="52" t="str">
        <f>IF($A91="","",IF(AND(IFERROR(INDEX(Config!$I$15:$I$34,MATCH($E91,Config!$H$15:$H$34,0)),"No")="Yes",ISNUMBER($F91)),IF(AND($F91&lt;=Config!$B$4,OR($G91="",AND(ISNUMBER($G91),$G91&gt;=Config!$B$4))),1,0),0))</f>
        <v/>
      </c>
      <c r="L91" s="50" t="str">
        <f>IF($A91="","",IF(AND($K91=1,ISNUMBER($C91)),$C91,0))</f>
        <v/>
      </c>
      <c r="M91" s="49" t="str">
        <f>IF(COUNTA($A91:$I91)=0,"",IF($A91="","Missing: reservation ID",IF(COUNTIF($A$2:$A$201,$A91)&gt;1,"Duplicate reservation ID",IF($B91="","Missing: SKU",IF(NOT(ISNUMBER($C91)),"Missing: qty",IF($D91="","Missing: reserved for",IF($E91="","Missing: status",IF(NOT(ISNUMBER($F91)),"Missing: start date",IF(COUNTIF(Products!$A$2:$A$101,$B91)=0,"Unknown SKU",IF(COUNTIF(Config!$H$15:$H$34,$E91)=0,"Unsupported status",IF($C91&lt;=0,"Qty must be above 0",IF(AND(ISNUMBER($G91),$G91&lt;$F91),"Release date before start date","OK"))))))))))))</f>
        <v/>
      </c>
    </row>
    <row r="92">
      <c r="A92" s="46" t="n"/>
      <c r="B92" s="46" t="n"/>
      <c r="C92" s="48" t="n"/>
      <c r="D92" s="46" t="n"/>
      <c r="E92" s="46" t="n"/>
      <c r="F92" s="54" t="n"/>
      <c r="G92" s="54" t="n"/>
      <c r="H92" s="46" t="n"/>
      <c r="I92" s="46" t="n"/>
      <c r="J92" s="49" t="str">
        <f>IF($A92="","",IFERROR(INDEX(Products!$B$2:$B$101,MATCH($B92,Products!$A$2:$A$101,0))&amp;"","(not found)"))</f>
        <v/>
      </c>
      <c r="K92" s="52" t="str">
        <f>IF($A92="","",IF(AND(IFERROR(INDEX(Config!$I$15:$I$34,MATCH($E92,Config!$H$15:$H$34,0)),"No")="Yes",ISNUMBER($F92)),IF(AND($F92&lt;=Config!$B$4,OR($G92="",AND(ISNUMBER($G92),$G92&gt;=Config!$B$4))),1,0),0))</f>
        <v/>
      </c>
      <c r="L92" s="50" t="str">
        <f>IF($A92="","",IF(AND($K92=1,ISNUMBER($C92)),$C92,0))</f>
        <v/>
      </c>
      <c r="M92" s="49" t="str">
        <f>IF(COUNTA($A92:$I92)=0,"",IF($A92="","Missing: reservation ID",IF(COUNTIF($A$2:$A$201,$A92)&gt;1,"Duplicate reservation ID",IF($B92="","Missing: SKU",IF(NOT(ISNUMBER($C92)),"Missing: qty",IF($D92="","Missing: reserved for",IF($E92="","Missing: status",IF(NOT(ISNUMBER($F92)),"Missing: start date",IF(COUNTIF(Products!$A$2:$A$101,$B92)=0,"Unknown SKU",IF(COUNTIF(Config!$H$15:$H$34,$E92)=0,"Unsupported status",IF($C92&lt;=0,"Qty must be above 0",IF(AND(ISNUMBER($G92),$G92&lt;$F92),"Release date before start date","OK"))))))))))))</f>
        <v/>
      </c>
    </row>
    <row r="93">
      <c r="A93" s="46" t="n"/>
      <c r="B93" s="46" t="n"/>
      <c r="C93" s="48" t="n"/>
      <c r="D93" s="46" t="n"/>
      <c r="E93" s="46" t="n"/>
      <c r="F93" s="54" t="n"/>
      <c r="G93" s="54" t="n"/>
      <c r="H93" s="46" t="n"/>
      <c r="I93" s="46" t="n"/>
      <c r="J93" s="49" t="str">
        <f>IF($A93="","",IFERROR(INDEX(Products!$B$2:$B$101,MATCH($B93,Products!$A$2:$A$101,0))&amp;"","(not found)"))</f>
        <v/>
      </c>
      <c r="K93" s="52" t="str">
        <f>IF($A93="","",IF(AND(IFERROR(INDEX(Config!$I$15:$I$34,MATCH($E93,Config!$H$15:$H$34,0)),"No")="Yes",ISNUMBER($F93)),IF(AND($F93&lt;=Config!$B$4,OR($G93="",AND(ISNUMBER($G93),$G93&gt;=Config!$B$4))),1,0),0))</f>
        <v/>
      </c>
      <c r="L93" s="50" t="str">
        <f>IF($A93="","",IF(AND($K93=1,ISNUMBER($C93)),$C93,0))</f>
        <v/>
      </c>
      <c r="M93" s="49" t="str">
        <f>IF(COUNTA($A93:$I93)=0,"",IF($A93="","Missing: reservation ID",IF(COUNTIF($A$2:$A$201,$A93)&gt;1,"Duplicate reservation ID",IF($B93="","Missing: SKU",IF(NOT(ISNUMBER($C93)),"Missing: qty",IF($D93="","Missing: reserved for",IF($E93="","Missing: status",IF(NOT(ISNUMBER($F93)),"Missing: start date",IF(COUNTIF(Products!$A$2:$A$101,$B93)=0,"Unknown SKU",IF(COUNTIF(Config!$H$15:$H$34,$E93)=0,"Unsupported status",IF($C93&lt;=0,"Qty must be above 0",IF(AND(ISNUMBER($G93),$G93&lt;$F93),"Release date before start date","OK"))))))))))))</f>
        <v/>
      </c>
    </row>
    <row r="94">
      <c r="A94" s="46" t="n"/>
      <c r="B94" s="46" t="n"/>
      <c r="C94" s="48" t="n"/>
      <c r="D94" s="46" t="n"/>
      <c r="E94" s="46" t="n"/>
      <c r="F94" s="54" t="n"/>
      <c r="G94" s="54" t="n"/>
      <c r="H94" s="46" t="n"/>
      <c r="I94" s="46" t="n"/>
      <c r="J94" s="49" t="str">
        <f>IF($A94="","",IFERROR(INDEX(Products!$B$2:$B$101,MATCH($B94,Products!$A$2:$A$101,0))&amp;"","(not found)"))</f>
        <v/>
      </c>
      <c r="K94" s="52" t="str">
        <f>IF($A94="","",IF(AND(IFERROR(INDEX(Config!$I$15:$I$34,MATCH($E94,Config!$H$15:$H$34,0)),"No")="Yes",ISNUMBER($F94)),IF(AND($F94&lt;=Config!$B$4,OR($G94="",AND(ISNUMBER($G94),$G94&gt;=Config!$B$4))),1,0),0))</f>
        <v/>
      </c>
      <c r="L94" s="50" t="str">
        <f>IF($A94="","",IF(AND($K94=1,ISNUMBER($C94)),$C94,0))</f>
        <v/>
      </c>
      <c r="M94" s="49" t="str">
        <f>IF(COUNTA($A94:$I94)=0,"",IF($A94="","Missing: reservation ID",IF(COUNTIF($A$2:$A$201,$A94)&gt;1,"Duplicate reservation ID",IF($B94="","Missing: SKU",IF(NOT(ISNUMBER($C94)),"Missing: qty",IF($D94="","Missing: reserved for",IF($E94="","Missing: status",IF(NOT(ISNUMBER($F94)),"Missing: start date",IF(COUNTIF(Products!$A$2:$A$101,$B94)=0,"Unknown SKU",IF(COUNTIF(Config!$H$15:$H$34,$E94)=0,"Unsupported status",IF($C94&lt;=0,"Qty must be above 0",IF(AND(ISNUMBER($G94),$G94&lt;$F94),"Release date before start date","OK"))))))))))))</f>
        <v/>
      </c>
    </row>
    <row r="95">
      <c r="A95" s="46" t="n"/>
      <c r="B95" s="46" t="n"/>
      <c r="C95" s="48" t="n"/>
      <c r="D95" s="46" t="n"/>
      <c r="E95" s="46" t="n"/>
      <c r="F95" s="54" t="n"/>
      <c r="G95" s="54" t="n"/>
      <c r="H95" s="46" t="n"/>
      <c r="I95" s="46" t="n"/>
      <c r="J95" s="49" t="str">
        <f>IF($A95="","",IFERROR(INDEX(Products!$B$2:$B$101,MATCH($B95,Products!$A$2:$A$101,0))&amp;"","(not found)"))</f>
        <v/>
      </c>
      <c r="K95" s="52" t="str">
        <f>IF($A95="","",IF(AND(IFERROR(INDEX(Config!$I$15:$I$34,MATCH($E95,Config!$H$15:$H$34,0)),"No")="Yes",ISNUMBER($F95)),IF(AND($F95&lt;=Config!$B$4,OR($G95="",AND(ISNUMBER($G95),$G95&gt;=Config!$B$4))),1,0),0))</f>
        <v/>
      </c>
      <c r="L95" s="50" t="str">
        <f>IF($A95="","",IF(AND($K95=1,ISNUMBER($C95)),$C95,0))</f>
        <v/>
      </c>
      <c r="M95" s="49" t="str">
        <f>IF(COUNTA($A95:$I95)=0,"",IF($A95="","Missing: reservation ID",IF(COUNTIF($A$2:$A$201,$A95)&gt;1,"Duplicate reservation ID",IF($B95="","Missing: SKU",IF(NOT(ISNUMBER($C95)),"Missing: qty",IF($D95="","Missing: reserved for",IF($E95="","Missing: status",IF(NOT(ISNUMBER($F95)),"Missing: start date",IF(COUNTIF(Products!$A$2:$A$101,$B95)=0,"Unknown SKU",IF(COUNTIF(Config!$H$15:$H$34,$E95)=0,"Unsupported status",IF($C95&lt;=0,"Qty must be above 0",IF(AND(ISNUMBER($G95),$G95&lt;$F95),"Release date before start date","OK"))))))))))))</f>
        <v/>
      </c>
    </row>
    <row r="96">
      <c r="A96" s="46" t="n"/>
      <c r="B96" s="46" t="n"/>
      <c r="C96" s="48" t="n"/>
      <c r="D96" s="46" t="n"/>
      <c r="E96" s="46" t="n"/>
      <c r="F96" s="54" t="n"/>
      <c r="G96" s="54" t="n"/>
      <c r="H96" s="46" t="n"/>
      <c r="I96" s="46" t="n"/>
      <c r="J96" s="49" t="str">
        <f>IF($A96="","",IFERROR(INDEX(Products!$B$2:$B$101,MATCH($B96,Products!$A$2:$A$101,0))&amp;"","(not found)"))</f>
        <v/>
      </c>
      <c r="K96" s="52" t="str">
        <f>IF($A96="","",IF(AND(IFERROR(INDEX(Config!$I$15:$I$34,MATCH($E96,Config!$H$15:$H$34,0)),"No")="Yes",ISNUMBER($F96)),IF(AND($F96&lt;=Config!$B$4,OR($G96="",AND(ISNUMBER($G96),$G96&gt;=Config!$B$4))),1,0),0))</f>
        <v/>
      </c>
      <c r="L96" s="50" t="str">
        <f>IF($A96="","",IF(AND($K96=1,ISNUMBER($C96)),$C96,0))</f>
        <v/>
      </c>
      <c r="M96" s="49" t="str">
        <f>IF(COUNTA($A96:$I96)=0,"",IF($A96="","Missing: reservation ID",IF(COUNTIF($A$2:$A$201,$A96)&gt;1,"Duplicate reservation ID",IF($B96="","Missing: SKU",IF(NOT(ISNUMBER($C96)),"Missing: qty",IF($D96="","Missing: reserved for",IF($E96="","Missing: status",IF(NOT(ISNUMBER($F96)),"Missing: start date",IF(COUNTIF(Products!$A$2:$A$101,$B96)=0,"Unknown SKU",IF(COUNTIF(Config!$H$15:$H$34,$E96)=0,"Unsupported status",IF($C96&lt;=0,"Qty must be above 0",IF(AND(ISNUMBER($G96),$G96&lt;$F96),"Release date before start date","OK"))))))))))))</f>
        <v/>
      </c>
    </row>
    <row r="97">
      <c r="A97" s="46" t="n"/>
      <c r="B97" s="46" t="n"/>
      <c r="C97" s="48" t="n"/>
      <c r="D97" s="46" t="n"/>
      <c r="E97" s="46" t="n"/>
      <c r="F97" s="54" t="n"/>
      <c r="G97" s="54" t="n"/>
      <c r="H97" s="46" t="n"/>
      <c r="I97" s="46" t="n"/>
      <c r="J97" s="49" t="str">
        <f>IF($A97="","",IFERROR(INDEX(Products!$B$2:$B$101,MATCH($B97,Products!$A$2:$A$101,0))&amp;"","(not found)"))</f>
        <v/>
      </c>
      <c r="K97" s="52" t="str">
        <f>IF($A97="","",IF(AND(IFERROR(INDEX(Config!$I$15:$I$34,MATCH($E97,Config!$H$15:$H$34,0)),"No")="Yes",ISNUMBER($F97)),IF(AND($F97&lt;=Config!$B$4,OR($G97="",AND(ISNUMBER($G97),$G97&gt;=Config!$B$4))),1,0),0))</f>
        <v/>
      </c>
      <c r="L97" s="50" t="str">
        <f>IF($A97="","",IF(AND($K97=1,ISNUMBER($C97)),$C97,0))</f>
        <v/>
      </c>
      <c r="M97" s="49" t="str">
        <f>IF(COUNTA($A97:$I97)=0,"",IF($A97="","Missing: reservation ID",IF(COUNTIF($A$2:$A$201,$A97)&gt;1,"Duplicate reservation ID",IF($B97="","Missing: SKU",IF(NOT(ISNUMBER($C97)),"Missing: qty",IF($D97="","Missing: reserved for",IF($E97="","Missing: status",IF(NOT(ISNUMBER($F97)),"Missing: start date",IF(COUNTIF(Products!$A$2:$A$101,$B97)=0,"Unknown SKU",IF(COUNTIF(Config!$H$15:$H$34,$E97)=0,"Unsupported status",IF($C97&lt;=0,"Qty must be above 0",IF(AND(ISNUMBER($G97),$G97&lt;$F97),"Release date before start date","OK"))))))))))))</f>
        <v/>
      </c>
    </row>
    <row r="98">
      <c r="A98" s="46" t="n"/>
      <c r="B98" s="46" t="n"/>
      <c r="C98" s="48" t="n"/>
      <c r="D98" s="46" t="n"/>
      <c r="E98" s="46" t="n"/>
      <c r="F98" s="54" t="n"/>
      <c r="G98" s="54" t="n"/>
      <c r="H98" s="46" t="n"/>
      <c r="I98" s="46" t="n"/>
      <c r="J98" s="49" t="str">
        <f>IF($A98="","",IFERROR(INDEX(Products!$B$2:$B$101,MATCH($B98,Products!$A$2:$A$101,0))&amp;"","(not found)"))</f>
        <v/>
      </c>
      <c r="K98" s="52" t="str">
        <f>IF($A98="","",IF(AND(IFERROR(INDEX(Config!$I$15:$I$34,MATCH($E98,Config!$H$15:$H$34,0)),"No")="Yes",ISNUMBER($F98)),IF(AND($F98&lt;=Config!$B$4,OR($G98="",AND(ISNUMBER($G98),$G98&gt;=Config!$B$4))),1,0),0))</f>
        <v/>
      </c>
      <c r="L98" s="50" t="str">
        <f>IF($A98="","",IF(AND($K98=1,ISNUMBER($C98)),$C98,0))</f>
        <v/>
      </c>
      <c r="M98" s="49" t="str">
        <f>IF(COUNTA($A98:$I98)=0,"",IF($A98="","Missing: reservation ID",IF(COUNTIF($A$2:$A$201,$A98)&gt;1,"Duplicate reservation ID",IF($B98="","Missing: SKU",IF(NOT(ISNUMBER($C98)),"Missing: qty",IF($D98="","Missing: reserved for",IF($E98="","Missing: status",IF(NOT(ISNUMBER($F98)),"Missing: start date",IF(COUNTIF(Products!$A$2:$A$101,$B98)=0,"Unknown SKU",IF(COUNTIF(Config!$H$15:$H$34,$E98)=0,"Unsupported status",IF($C98&lt;=0,"Qty must be above 0",IF(AND(ISNUMBER($G98),$G98&lt;$F98),"Release date before start date","OK"))))))))))))</f>
        <v/>
      </c>
    </row>
    <row r="99">
      <c r="A99" s="46" t="n"/>
      <c r="B99" s="46" t="n"/>
      <c r="C99" s="48" t="n"/>
      <c r="D99" s="46" t="n"/>
      <c r="E99" s="46" t="n"/>
      <c r="F99" s="54" t="n"/>
      <c r="G99" s="54" t="n"/>
      <c r="H99" s="46" t="n"/>
      <c r="I99" s="46" t="n"/>
      <c r="J99" s="49" t="str">
        <f>IF($A99="","",IFERROR(INDEX(Products!$B$2:$B$101,MATCH($B99,Products!$A$2:$A$101,0))&amp;"","(not found)"))</f>
        <v/>
      </c>
      <c r="K99" s="52" t="str">
        <f>IF($A99="","",IF(AND(IFERROR(INDEX(Config!$I$15:$I$34,MATCH($E99,Config!$H$15:$H$34,0)),"No")="Yes",ISNUMBER($F99)),IF(AND($F99&lt;=Config!$B$4,OR($G99="",AND(ISNUMBER($G99),$G99&gt;=Config!$B$4))),1,0),0))</f>
        <v/>
      </c>
      <c r="L99" s="50" t="str">
        <f>IF($A99="","",IF(AND($K99=1,ISNUMBER($C99)),$C99,0))</f>
        <v/>
      </c>
      <c r="M99" s="49" t="str">
        <f>IF(COUNTA($A99:$I99)=0,"",IF($A99="","Missing: reservation ID",IF(COUNTIF($A$2:$A$201,$A99)&gt;1,"Duplicate reservation ID",IF($B99="","Missing: SKU",IF(NOT(ISNUMBER($C99)),"Missing: qty",IF($D99="","Missing: reserved for",IF($E99="","Missing: status",IF(NOT(ISNUMBER($F99)),"Missing: start date",IF(COUNTIF(Products!$A$2:$A$101,$B99)=0,"Unknown SKU",IF(COUNTIF(Config!$H$15:$H$34,$E99)=0,"Unsupported status",IF($C99&lt;=0,"Qty must be above 0",IF(AND(ISNUMBER($G99),$G99&lt;$F99),"Release date before start date","OK"))))))))))))</f>
        <v/>
      </c>
    </row>
    <row r="100">
      <c r="A100" s="46" t="n"/>
      <c r="B100" s="46" t="n"/>
      <c r="C100" s="48" t="n"/>
      <c r="D100" s="46" t="n"/>
      <c r="E100" s="46" t="n"/>
      <c r="F100" s="54" t="n"/>
      <c r="G100" s="54" t="n"/>
      <c r="H100" s="46" t="n"/>
      <c r="I100" s="46" t="n"/>
      <c r="J100" s="49" t="str">
        <f>IF($A100="","",IFERROR(INDEX(Products!$B$2:$B$101,MATCH($B100,Products!$A$2:$A$101,0))&amp;"","(not found)"))</f>
        <v/>
      </c>
      <c r="K100" s="52" t="str">
        <f>IF($A100="","",IF(AND(IFERROR(INDEX(Config!$I$15:$I$34,MATCH($E100,Config!$H$15:$H$34,0)),"No")="Yes",ISNUMBER($F100)),IF(AND($F100&lt;=Config!$B$4,OR($G100="",AND(ISNUMBER($G100),$G100&gt;=Config!$B$4))),1,0),0))</f>
        <v/>
      </c>
      <c r="L100" s="50" t="str">
        <f>IF($A100="","",IF(AND($K100=1,ISNUMBER($C100)),$C100,0))</f>
        <v/>
      </c>
      <c r="M100" s="49" t="str">
        <f>IF(COUNTA($A100:$I100)=0,"",IF($A100="","Missing: reservation ID",IF(COUNTIF($A$2:$A$201,$A100)&gt;1,"Duplicate reservation ID",IF($B100="","Missing: SKU",IF(NOT(ISNUMBER($C100)),"Missing: qty",IF($D100="","Missing: reserved for",IF($E100="","Missing: status",IF(NOT(ISNUMBER($F100)),"Missing: start date",IF(COUNTIF(Products!$A$2:$A$101,$B100)=0,"Unknown SKU",IF(COUNTIF(Config!$H$15:$H$34,$E100)=0,"Unsupported status",IF($C100&lt;=0,"Qty must be above 0",IF(AND(ISNUMBER($G100),$G100&lt;$F100),"Release date before start date","OK"))))))))))))</f>
        <v/>
      </c>
    </row>
    <row r="101">
      <c r="A101" s="46" t="n"/>
      <c r="B101" s="46" t="n"/>
      <c r="C101" s="48" t="n"/>
      <c r="D101" s="46" t="n"/>
      <c r="E101" s="46" t="n"/>
      <c r="F101" s="54" t="n"/>
      <c r="G101" s="54" t="n"/>
      <c r="H101" s="46" t="n"/>
      <c r="I101" s="46" t="n"/>
      <c r="J101" s="49" t="str">
        <f>IF($A101="","",IFERROR(INDEX(Products!$B$2:$B$101,MATCH($B101,Products!$A$2:$A$101,0))&amp;"","(not found)"))</f>
        <v/>
      </c>
      <c r="K101" s="52" t="str">
        <f>IF($A101="","",IF(AND(IFERROR(INDEX(Config!$I$15:$I$34,MATCH($E101,Config!$H$15:$H$34,0)),"No")="Yes",ISNUMBER($F101)),IF(AND($F101&lt;=Config!$B$4,OR($G101="",AND(ISNUMBER($G101),$G101&gt;=Config!$B$4))),1,0),0))</f>
        <v/>
      </c>
      <c r="L101" s="50" t="str">
        <f>IF($A101="","",IF(AND($K101=1,ISNUMBER($C101)),$C101,0))</f>
        <v/>
      </c>
      <c r="M101" s="49" t="str">
        <f>IF(COUNTA($A101:$I101)=0,"",IF($A101="","Missing: reservation ID",IF(COUNTIF($A$2:$A$201,$A101)&gt;1,"Duplicate reservation ID",IF($B101="","Missing: SKU",IF(NOT(ISNUMBER($C101)),"Missing: qty",IF($D101="","Missing: reserved for",IF($E101="","Missing: status",IF(NOT(ISNUMBER($F101)),"Missing: start date",IF(COUNTIF(Products!$A$2:$A$101,$B101)=0,"Unknown SKU",IF(COUNTIF(Config!$H$15:$H$34,$E101)=0,"Unsupported status",IF($C101&lt;=0,"Qty must be above 0",IF(AND(ISNUMBER($G101),$G101&lt;$F101),"Release date before start date","OK"))))))))))))</f>
        <v/>
      </c>
    </row>
    <row r="102">
      <c r="A102" s="46" t="n"/>
      <c r="B102" s="46" t="n"/>
      <c r="C102" s="48" t="n"/>
      <c r="D102" s="46" t="n"/>
      <c r="E102" s="46" t="n"/>
      <c r="F102" s="54" t="n"/>
      <c r="G102" s="54" t="n"/>
      <c r="H102" s="46" t="n"/>
      <c r="I102" s="46" t="n"/>
      <c r="J102" s="49" t="str">
        <f>IF($A102="","",IFERROR(INDEX(Products!$B$2:$B$101,MATCH($B102,Products!$A$2:$A$101,0))&amp;"","(not found)"))</f>
        <v/>
      </c>
      <c r="K102" s="52" t="str">
        <f>IF($A102="","",IF(AND(IFERROR(INDEX(Config!$I$15:$I$34,MATCH($E102,Config!$H$15:$H$34,0)),"No")="Yes",ISNUMBER($F102)),IF(AND($F102&lt;=Config!$B$4,OR($G102="",AND(ISNUMBER($G102),$G102&gt;=Config!$B$4))),1,0),0))</f>
        <v/>
      </c>
      <c r="L102" s="50" t="str">
        <f>IF($A102="","",IF(AND($K102=1,ISNUMBER($C102)),$C102,0))</f>
        <v/>
      </c>
      <c r="M102" s="49" t="str">
        <f>IF(COUNTA($A102:$I102)=0,"",IF($A102="","Missing: reservation ID",IF(COUNTIF($A$2:$A$201,$A102)&gt;1,"Duplicate reservation ID",IF($B102="","Missing: SKU",IF(NOT(ISNUMBER($C102)),"Missing: qty",IF($D102="","Missing: reserved for",IF($E102="","Missing: status",IF(NOT(ISNUMBER($F102)),"Missing: start date",IF(COUNTIF(Products!$A$2:$A$101,$B102)=0,"Unknown SKU",IF(COUNTIF(Config!$H$15:$H$34,$E102)=0,"Unsupported status",IF($C102&lt;=0,"Qty must be above 0",IF(AND(ISNUMBER($G102),$G102&lt;$F102),"Release date before start date","OK"))))))))))))</f>
        <v/>
      </c>
    </row>
    <row r="103">
      <c r="A103" s="46" t="n"/>
      <c r="B103" s="46" t="n"/>
      <c r="C103" s="48" t="n"/>
      <c r="D103" s="46" t="n"/>
      <c r="E103" s="46" t="n"/>
      <c r="F103" s="54" t="n"/>
      <c r="G103" s="54" t="n"/>
      <c r="H103" s="46" t="n"/>
      <c r="I103" s="46" t="n"/>
      <c r="J103" s="49" t="str">
        <f>IF($A103="","",IFERROR(INDEX(Products!$B$2:$B$101,MATCH($B103,Products!$A$2:$A$101,0))&amp;"","(not found)"))</f>
        <v/>
      </c>
      <c r="K103" s="52" t="str">
        <f>IF($A103="","",IF(AND(IFERROR(INDEX(Config!$I$15:$I$34,MATCH($E103,Config!$H$15:$H$34,0)),"No")="Yes",ISNUMBER($F103)),IF(AND($F103&lt;=Config!$B$4,OR($G103="",AND(ISNUMBER($G103),$G103&gt;=Config!$B$4))),1,0),0))</f>
        <v/>
      </c>
      <c r="L103" s="50" t="str">
        <f>IF($A103="","",IF(AND($K103=1,ISNUMBER($C103)),$C103,0))</f>
        <v/>
      </c>
      <c r="M103" s="49" t="str">
        <f>IF(COUNTA($A103:$I103)=0,"",IF($A103="","Missing: reservation ID",IF(COUNTIF($A$2:$A$201,$A103)&gt;1,"Duplicate reservation ID",IF($B103="","Missing: SKU",IF(NOT(ISNUMBER($C103)),"Missing: qty",IF($D103="","Missing: reserved for",IF($E103="","Missing: status",IF(NOT(ISNUMBER($F103)),"Missing: start date",IF(COUNTIF(Products!$A$2:$A$101,$B103)=0,"Unknown SKU",IF(COUNTIF(Config!$H$15:$H$34,$E103)=0,"Unsupported status",IF($C103&lt;=0,"Qty must be above 0",IF(AND(ISNUMBER($G103),$G103&lt;$F103),"Release date before start date","OK"))))))))))))</f>
        <v/>
      </c>
    </row>
    <row r="104">
      <c r="A104" s="46" t="n"/>
      <c r="B104" s="46" t="n"/>
      <c r="C104" s="48" t="n"/>
      <c r="D104" s="46" t="n"/>
      <c r="E104" s="46" t="n"/>
      <c r="F104" s="54" t="n"/>
      <c r="G104" s="54" t="n"/>
      <c r="H104" s="46" t="n"/>
      <c r="I104" s="46" t="n"/>
      <c r="J104" s="49" t="str">
        <f>IF($A104="","",IFERROR(INDEX(Products!$B$2:$B$101,MATCH($B104,Products!$A$2:$A$101,0))&amp;"","(not found)"))</f>
        <v/>
      </c>
      <c r="K104" s="52" t="str">
        <f>IF($A104="","",IF(AND(IFERROR(INDEX(Config!$I$15:$I$34,MATCH($E104,Config!$H$15:$H$34,0)),"No")="Yes",ISNUMBER($F104)),IF(AND($F104&lt;=Config!$B$4,OR($G104="",AND(ISNUMBER($G104),$G104&gt;=Config!$B$4))),1,0),0))</f>
        <v/>
      </c>
      <c r="L104" s="50" t="str">
        <f>IF($A104="","",IF(AND($K104=1,ISNUMBER($C104)),$C104,0))</f>
        <v/>
      </c>
      <c r="M104" s="49" t="str">
        <f>IF(COUNTA($A104:$I104)=0,"",IF($A104="","Missing: reservation ID",IF(COUNTIF($A$2:$A$201,$A104)&gt;1,"Duplicate reservation ID",IF($B104="","Missing: SKU",IF(NOT(ISNUMBER($C104)),"Missing: qty",IF($D104="","Missing: reserved for",IF($E104="","Missing: status",IF(NOT(ISNUMBER($F104)),"Missing: start date",IF(COUNTIF(Products!$A$2:$A$101,$B104)=0,"Unknown SKU",IF(COUNTIF(Config!$H$15:$H$34,$E104)=0,"Unsupported status",IF($C104&lt;=0,"Qty must be above 0",IF(AND(ISNUMBER($G104),$G104&lt;$F104),"Release date before start date","OK"))))))))))))</f>
        <v/>
      </c>
    </row>
    <row r="105">
      <c r="A105" s="46" t="n"/>
      <c r="B105" s="46" t="n"/>
      <c r="C105" s="48" t="n"/>
      <c r="D105" s="46" t="n"/>
      <c r="E105" s="46" t="n"/>
      <c r="F105" s="54" t="n"/>
      <c r="G105" s="54" t="n"/>
      <c r="H105" s="46" t="n"/>
      <c r="I105" s="46" t="n"/>
      <c r="J105" s="49" t="str">
        <f>IF($A105="","",IFERROR(INDEX(Products!$B$2:$B$101,MATCH($B105,Products!$A$2:$A$101,0))&amp;"","(not found)"))</f>
        <v/>
      </c>
      <c r="K105" s="52" t="str">
        <f>IF($A105="","",IF(AND(IFERROR(INDEX(Config!$I$15:$I$34,MATCH($E105,Config!$H$15:$H$34,0)),"No")="Yes",ISNUMBER($F105)),IF(AND($F105&lt;=Config!$B$4,OR($G105="",AND(ISNUMBER($G105),$G105&gt;=Config!$B$4))),1,0),0))</f>
        <v/>
      </c>
      <c r="L105" s="50" t="str">
        <f>IF($A105="","",IF(AND($K105=1,ISNUMBER($C105)),$C105,0))</f>
        <v/>
      </c>
      <c r="M105" s="49" t="str">
        <f>IF(COUNTA($A105:$I105)=0,"",IF($A105="","Missing: reservation ID",IF(COUNTIF($A$2:$A$201,$A105)&gt;1,"Duplicate reservation ID",IF($B105="","Missing: SKU",IF(NOT(ISNUMBER($C105)),"Missing: qty",IF($D105="","Missing: reserved for",IF($E105="","Missing: status",IF(NOT(ISNUMBER($F105)),"Missing: start date",IF(COUNTIF(Products!$A$2:$A$101,$B105)=0,"Unknown SKU",IF(COUNTIF(Config!$H$15:$H$34,$E105)=0,"Unsupported status",IF($C105&lt;=0,"Qty must be above 0",IF(AND(ISNUMBER($G105),$G105&lt;$F105),"Release date before start date","OK"))))))))))))</f>
        <v/>
      </c>
    </row>
    <row r="106">
      <c r="A106" s="46" t="n"/>
      <c r="B106" s="46" t="n"/>
      <c r="C106" s="48" t="n"/>
      <c r="D106" s="46" t="n"/>
      <c r="E106" s="46" t="n"/>
      <c r="F106" s="54" t="n"/>
      <c r="G106" s="54" t="n"/>
      <c r="H106" s="46" t="n"/>
      <c r="I106" s="46" t="n"/>
      <c r="J106" s="49" t="str">
        <f>IF($A106="","",IFERROR(INDEX(Products!$B$2:$B$101,MATCH($B106,Products!$A$2:$A$101,0))&amp;"","(not found)"))</f>
        <v/>
      </c>
      <c r="K106" s="52" t="str">
        <f>IF($A106="","",IF(AND(IFERROR(INDEX(Config!$I$15:$I$34,MATCH($E106,Config!$H$15:$H$34,0)),"No")="Yes",ISNUMBER($F106)),IF(AND($F106&lt;=Config!$B$4,OR($G106="",AND(ISNUMBER($G106),$G106&gt;=Config!$B$4))),1,0),0))</f>
        <v/>
      </c>
      <c r="L106" s="50" t="str">
        <f>IF($A106="","",IF(AND($K106=1,ISNUMBER($C106)),$C106,0))</f>
        <v/>
      </c>
      <c r="M106" s="49" t="str">
        <f>IF(COUNTA($A106:$I106)=0,"",IF($A106="","Missing: reservation ID",IF(COUNTIF($A$2:$A$201,$A106)&gt;1,"Duplicate reservation ID",IF($B106="","Missing: SKU",IF(NOT(ISNUMBER($C106)),"Missing: qty",IF($D106="","Missing: reserved for",IF($E106="","Missing: status",IF(NOT(ISNUMBER($F106)),"Missing: start date",IF(COUNTIF(Products!$A$2:$A$101,$B106)=0,"Unknown SKU",IF(COUNTIF(Config!$H$15:$H$34,$E106)=0,"Unsupported status",IF($C106&lt;=0,"Qty must be above 0",IF(AND(ISNUMBER($G106),$G106&lt;$F106),"Release date before start date","OK"))))))))))))</f>
        <v/>
      </c>
    </row>
    <row r="107">
      <c r="A107" s="46" t="n"/>
      <c r="B107" s="46" t="n"/>
      <c r="C107" s="48" t="n"/>
      <c r="D107" s="46" t="n"/>
      <c r="E107" s="46" t="n"/>
      <c r="F107" s="54" t="n"/>
      <c r="G107" s="54" t="n"/>
      <c r="H107" s="46" t="n"/>
      <c r="I107" s="46" t="n"/>
      <c r="J107" s="49" t="str">
        <f>IF($A107="","",IFERROR(INDEX(Products!$B$2:$B$101,MATCH($B107,Products!$A$2:$A$101,0))&amp;"","(not found)"))</f>
        <v/>
      </c>
      <c r="K107" s="52" t="str">
        <f>IF($A107="","",IF(AND(IFERROR(INDEX(Config!$I$15:$I$34,MATCH($E107,Config!$H$15:$H$34,0)),"No")="Yes",ISNUMBER($F107)),IF(AND($F107&lt;=Config!$B$4,OR($G107="",AND(ISNUMBER($G107),$G107&gt;=Config!$B$4))),1,0),0))</f>
        <v/>
      </c>
      <c r="L107" s="50" t="str">
        <f>IF($A107="","",IF(AND($K107=1,ISNUMBER($C107)),$C107,0))</f>
        <v/>
      </c>
      <c r="M107" s="49" t="str">
        <f>IF(COUNTA($A107:$I107)=0,"",IF($A107="","Missing: reservation ID",IF(COUNTIF($A$2:$A$201,$A107)&gt;1,"Duplicate reservation ID",IF($B107="","Missing: SKU",IF(NOT(ISNUMBER($C107)),"Missing: qty",IF($D107="","Missing: reserved for",IF($E107="","Missing: status",IF(NOT(ISNUMBER($F107)),"Missing: start date",IF(COUNTIF(Products!$A$2:$A$101,$B107)=0,"Unknown SKU",IF(COUNTIF(Config!$H$15:$H$34,$E107)=0,"Unsupported status",IF($C107&lt;=0,"Qty must be above 0",IF(AND(ISNUMBER($G107),$G107&lt;$F107),"Release date before start date","OK"))))))))))))</f>
        <v/>
      </c>
    </row>
    <row r="108">
      <c r="A108" s="46" t="n"/>
      <c r="B108" s="46" t="n"/>
      <c r="C108" s="48" t="n"/>
      <c r="D108" s="46" t="n"/>
      <c r="E108" s="46" t="n"/>
      <c r="F108" s="54" t="n"/>
      <c r="G108" s="54" t="n"/>
      <c r="H108" s="46" t="n"/>
      <c r="I108" s="46" t="n"/>
      <c r="J108" s="49" t="str">
        <f>IF($A108="","",IFERROR(INDEX(Products!$B$2:$B$101,MATCH($B108,Products!$A$2:$A$101,0))&amp;"","(not found)"))</f>
        <v/>
      </c>
      <c r="K108" s="52" t="str">
        <f>IF($A108="","",IF(AND(IFERROR(INDEX(Config!$I$15:$I$34,MATCH($E108,Config!$H$15:$H$34,0)),"No")="Yes",ISNUMBER($F108)),IF(AND($F108&lt;=Config!$B$4,OR($G108="",AND(ISNUMBER($G108),$G108&gt;=Config!$B$4))),1,0),0))</f>
        <v/>
      </c>
      <c r="L108" s="50" t="str">
        <f>IF($A108="","",IF(AND($K108=1,ISNUMBER($C108)),$C108,0))</f>
        <v/>
      </c>
      <c r="M108" s="49" t="str">
        <f>IF(COUNTA($A108:$I108)=0,"",IF($A108="","Missing: reservation ID",IF(COUNTIF($A$2:$A$201,$A108)&gt;1,"Duplicate reservation ID",IF($B108="","Missing: SKU",IF(NOT(ISNUMBER($C108)),"Missing: qty",IF($D108="","Missing: reserved for",IF($E108="","Missing: status",IF(NOT(ISNUMBER($F108)),"Missing: start date",IF(COUNTIF(Products!$A$2:$A$101,$B108)=0,"Unknown SKU",IF(COUNTIF(Config!$H$15:$H$34,$E108)=0,"Unsupported status",IF($C108&lt;=0,"Qty must be above 0",IF(AND(ISNUMBER($G108),$G108&lt;$F108),"Release date before start date","OK"))))))))))))</f>
        <v/>
      </c>
    </row>
    <row r="109">
      <c r="A109" s="46" t="n"/>
      <c r="B109" s="46" t="n"/>
      <c r="C109" s="48" t="n"/>
      <c r="D109" s="46" t="n"/>
      <c r="E109" s="46" t="n"/>
      <c r="F109" s="54" t="n"/>
      <c r="G109" s="54" t="n"/>
      <c r="H109" s="46" t="n"/>
      <c r="I109" s="46" t="n"/>
      <c r="J109" s="49" t="str">
        <f>IF($A109="","",IFERROR(INDEX(Products!$B$2:$B$101,MATCH($B109,Products!$A$2:$A$101,0))&amp;"","(not found)"))</f>
        <v/>
      </c>
      <c r="K109" s="52" t="str">
        <f>IF($A109="","",IF(AND(IFERROR(INDEX(Config!$I$15:$I$34,MATCH($E109,Config!$H$15:$H$34,0)),"No")="Yes",ISNUMBER($F109)),IF(AND($F109&lt;=Config!$B$4,OR($G109="",AND(ISNUMBER($G109),$G109&gt;=Config!$B$4))),1,0),0))</f>
        <v/>
      </c>
      <c r="L109" s="50" t="str">
        <f>IF($A109="","",IF(AND($K109=1,ISNUMBER($C109)),$C109,0))</f>
        <v/>
      </c>
      <c r="M109" s="49" t="str">
        <f>IF(COUNTA($A109:$I109)=0,"",IF($A109="","Missing: reservation ID",IF(COUNTIF($A$2:$A$201,$A109)&gt;1,"Duplicate reservation ID",IF($B109="","Missing: SKU",IF(NOT(ISNUMBER($C109)),"Missing: qty",IF($D109="","Missing: reserved for",IF($E109="","Missing: status",IF(NOT(ISNUMBER($F109)),"Missing: start date",IF(COUNTIF(Products!$A$2:$A$101,$B109)=0,"Unknown SKU",IF(COUNTIF(Config!$H$15:$H$34,$E109)=0,"Unsupported status",IF($C109&lt;=0,"Qty must be above 0",IF(AND(ISNUMBER($G109),$G109&lt;$F109),"Release date before start date","OK"))))))))))))</f>
        <v/>
      </c>
    </row>
    <row r="110">
      <c r="A110" s="46" t="n"/>
      <c r="B110" s="46" t="n"/>
      <c r="C110" s="48" t="n"/>
      <c r="D110" s="46" t="n"/>
      <c r="E110" s="46" t="n"/>
      <c r="F110" s="54" t="n"/>
      <c r="G110" s="54" t="n"/>
      <c r="H110" s="46" t="n"/>
      <c r="I110" s="46" t="n"/>
      <c r="J110" s="49" t="str">
        <f>IF($A110="","",IFERROR(INDEX(Products!$B$2:$B$101,MATCH($B110,Products!$A$2:$A$101,0))&amp;"","(not found)"))</f>
        <v/>
      </c>
      <c r="K110" s="52" t="str">
        <f>IF($A110="","",IF(AND(IFERROR(INDEX(Config!$I$15:$I$34,MATCH($E110,Config!$H$15:$H$34,0)),"No")="Yes",ISNUMBER($F110)),IF(AND($F110&lt;=Config!$B$4,OR($G110="",AND(ISNUMBER($G110),$G110&gt;=Config!$B$4))),1,0),0))</f>
        <v/>
      </c>
      <c r="L110" s="50" t="str">
        <f>IF($A110="","",IF(AND($K110=1,ISNUMBER($C110)),$C110,0))</f>
        <v/>
      </c>
      <c r="M110" s="49" t="str">
        <f>IF(COUNTA($A110:$I110)=0,"",IF($A110="","Missing: reservation ID",IF(COUNTIF($A$2:$A$201,$A110)&gt;1,"Duplicate reservation ID",IF($B110="","Missing: SKU",IF(NOT(ISNUMBER($C110)),"Missing: qty",IF($D110="","Missing: reserved for",IF($E110="","Missing: status",IF(NOT(ISNUMBER($F110)),"Missing: start date",IF(COUNTIF(Products!$A$2:$A$101,$B110)=0,"Unknown SKU",IF(COUNTIF(Config!$H$15:$H$34,$E110)=0,"Unsupported status",IF($C110&lt;=0,"Qty must be above 0",IF(AND(ISNUMBER($G110),$G110&lt;$F110),"Release date before start date","OK"))))))))))))</f>
        <v/>
      </c>
    </row>
    <row r="111">
      <c r="A111" s="46" t="n"/>
      <c r="B111" s="46" t="n"/>
      <c r="C111" s="48" t="n"/>
      <c r="D111" s="46" t="n"/>
      <c r="E111" s="46" t="n"/>
      <c r="F111" s="54" t="n"/>
      <c r="G111" s="54" t="n"/>
      <c r="H111" s="46" t="n"/>
      <c r="I111" s="46" t="n"/>
      <c r="J111" s="49" t="str">
        <f>IF($A111="","",IFERROR(INDEX(Products!$B$2:$B$101,MATCH($B111,Products!$A$2:$A$101,0))&amp;"","(not found)"))</f>
        <v/>
      </c>
      <c r="K111" s="52" t="str">
        <f>IF($A111="","",IF(AND(IFERROR(INDEX(Config!$I$15:$I$34,MATCH($E111,Config!$H$15:$H$34,0)),"No")="Yes",ISNUMBER($F111)),IF(AND($F111&lt;=Config!$B$4,OR($G111="",AND(ISNUMBER($G111),$G111&gt;=Config!$B$4))),1,0),0))</f>
        <v/>
      </c>
      <c r="L111" s="50" t="str">
        <f>IF($A111="","",IF(AND($K111=1,ISNUMBER($C111)),$C111,0))</f>
        <v/>
      </c>
      <c r="M111" s="49" t="str">
        <f>IF(COUNTA($A111:$I111)=0,"",IF($A111="","Missing: reservation ID",IF(COUNTIF($A$2:$A$201,$A111)&gt;1,"Duplicate reservation ID",IF($B111="","Missing: SKU",IF(NOT(ISNUMBER($C111)),"Missing: qty",IF($D111="","Missing: reserved for",IF($E111="","Missing: status",IF(NOT(ISNUMBER($F111)),"Missing: start date",IF(COUNTIF(Products!$A$2:$A$101,$B111)=0,"Unknown SKU",IF(COUNTIF(Config!$H$15:$H$34,$E111)=0,"Unsupported status",IF($C111&lt;=0,"Qty must be above 0",IF(AND(ISNUMBER($G111),$G111&lt;$F111),"Release date before start date","OK"))))))))))))</f>
        <v/>
      </c>
    </row>
    <row r="112">
      <c r="A112" s="46" t="n"/>
      <c r="B112" s="46" t="n"/>
      <c r="C112" s="48" t="n"/>
      <c r="D112" s="46" t="n"/>
      <c r="E112" s="46" t="n"/>
      <c r="F112" s="54" t="n"/>
      <c r="G112" s="54" t="n"/>
      <c r="H112" s="46" t="n"/>
      <c r="I112" s="46" t="n"/>
      <c r="J112" s="49" t="str">
        <f>IF($A112="","",IFERROR(INDEX(Products!$B$2:$B$101,MATCH($B112,Products!$A$2:$A$101,0))&amp;"","(not found)"))</f>
        <v/>
      </c>
      <c r="K112" s="52" t="str">
        <f>IF($A112="","",IF(AND(IFERROR(INDEX(Config!$I$15:$I$34,MATCH($E112,Config!$H$15:$H$34,0)),"No")="Yes",ISNUMBER($F112)),IF(AND($F112&lt;=Config!$B$4,OR($G112="",AND(ISNUMBER($G112),$G112&gt;=Config!$B$4))),1,0),0))</f>
        <v/>
      </c>
      <c r="L112" s="50" t="str">
        <f>IF($A112="","",IF(AND($K112=1,ISNUMBER($C112)),$C112,0))</f>
        <v/>
      </c>
      <c r="M112" s="49" t="str">
        <f>IF(COUNTA($A112:$I112)=0,"",IF($A112="","Missing: reservation ID",IF(COUNTIF($A$2:$A$201,$A112)&gt;1,"Duplicate reservation ID",IF($B112="","Missing: SKU",IF(NOT(ISNUMBER($C112)),"Missing: qty",IF($D112="","Missing: reserved for",IF($E112="","Missing: status",IF(NOT(ISNUMBER($F112)),"Missing: start date",IF(COUNTIF(Products!$A$2:$A$101,$B112)=0,"Unknown SKU",IF(COUNTIF(Config!$H$15:$H$34,$E112)=0,"Unsupported status",IF($C112&lt;=0,"Qty must be above 0",IF(AND(ISNUMBER($G112),$G112&lt;$F112),"Release date before start date","OK"))))))))))))</f>
        <v/>
      </c>
    </row>
    <row r="113">
      <c r="A113" s="46" t="n"/>
      <c r="B113" s="46" t="n"/>
      <c r="C113" s="48" t="n"/>
      <c r="D113" s="46" t="n"/>
      <c r="E113" s="46" t="n"/>
      <c r="F113" s="54" t="n"/>
      <c r="G113" s="54" t="n"/>
      <c r="H113" s="46" t="n"/>
      <c r="I113" s="46" t="n"/>
      <c r="J113" s="49" t="str">
        <f>IF($A113="","",IFERROR(INDEX(Products!$B$2:$B$101,MATCH($B113,Products!$A$2:$A$101,0))&amp;"","(not found)"))</f>
        <v/>
      </c>
      <c r="K113" s="52" t="str">
        <f>IF($A113="","",IF(AND(IFERROR(INDEX(Config!$I$15:$I$34,MATCH($E113,Config!$H$15:$H$34,0)),"No")="Yes",ISNUMBER($F113)),IF(AND($F113&lt;=Config!$B$4,OR($G113="",AND(ISNUMBER($G113),$G113&gt;=Config!$B$4))),1,0),0))</f>
        <v/>
      </c>
      <c r="L113" s="50" t="str">
        <f>IF($A113="","",IF(AND($K113=1,ISNUMBER($C113)),$C113,0))</f>
        <v/>
      </c>
      <c r="M113" s="49" t="str">
        <f>IF(COUNTA($A113:$I113)=0,"",IF($A113="","Missing: reservation ID",IF(COUNTIF($A$2:$A$201,$A113)&gt;1,"Duplicate reservation ID",IF($B113="","Missing: SKU",IF(NOT(ISNUMBER($C113)),"Missing: qty",IF($D113="","Missing: reserved for",IF($E113="","Missing: status",IF(NOT(ISNUMBER($F113)),"Missing: start date",IF(COUNTIF(Products!$A$2:$A$101,$B113)=0,"Unknown SKU",IF(COUNTIF(Config!$H$15:$H$34,$E113)=0,"Unsupported status",IF($C113&lt;=0,"Qty must be above 0",IF(AND(ISNUMBER($G113),$G113&lt;$F113),"Release date before start date","OK"))))))))))))</f>
        <v/>
      </c>
    </row>
    <row r="114">
      <c r="A114" s="46" t="n"/>
      <c r="B114" s="46" t="n"/>
      <c r="C114" s="48" t="n"/>
      <c r="D114" s="46" t="n"/>
      <c r="E114" s="46" t="n"/>
      <c r="F114" s="54" t="n"/>
      <c r="G114" s="54" t="n"/>
      <c r="H114" s="46" t="n"/>
      <c r="I114" s="46" t="n"/>
      <c r="J114" s="49" t="str">
        <f>IF($A114="","",IFERROR(INDEX(Products!$B$2:$B$101,MATCH($B114,Products!$A$2:$A$101,0))&amp;"","(not found)"))</f>
        <v/>
      </c>
      <c r="K114" s="52" t="str">
        <f>IF($A114="","",IF(AND(IFERROR(INDEX(Config!$I$15:$I$34,MATCH($E114,Config!$H$15:$H$34,0)),"No")="Yes",ISNUMBER($F114)),IF(AND($F114&lt;=Config!$B$4,OR($G114="",AND(ISNUMBER($G114),$G114&gt;=Config!$B$4))),1,0),0))</f>
        <v/>
      </c>
      <c r="L114" s="50" t="str">
        <f>IF($A114="","",IF(AND($K114=1,ISNUMBER($C114)),$C114,0))</f>
        <v/>
      </c>
      <c r="M114" s="49" t="str">
        <f>IF(COUNTA($A114:$I114)=0,"",IF($A114="","Missing: reservation ID",IF(COUNTIF($A$2:$A$201,$A114)&gt;1,"Duplicate reservation ID",IF($B114="","Missing: SKU",IF(NOT(ISNUMBER($C114)),"Missing: qty",IF($D114="","Missing: reserved for",IF($E114="","Missing: status",IF(NOT(ISNUMBER($F114)),"Missing: start date",IF(COUNTIF(Products!$A$2:$A$101,$B114)=0,"Unknown SKU",IF(COUNTIF(Config!$H$15:$H$34,$E114)=0,"Unsupported status",IF($C114&lt;=0,"Qty must be above 0",IF(AND(ISNUMBER($G114),$G114&lt;$F114),"Release date before start date","OK"))))))))))))</f>
        <v/>
      </c>
    </row>
    <row r="115">
      <c r="A115" s="46" t="n"/>
      <c r="B115" s="46" t="n"/>
      <c r="C115" s="48" t="n"/>
      <c r="D115" s="46" t="n"/>
      <c r="E115" s="46" t="n"/>
      <c r="F115" s="54" t="n"/>
      <c r="G115" s="54" t="n"/>
      <c r="H115" s="46" t="n"/>
      <c r="I115" s="46" t="n"/>
      <c r="J115" s="49" t="str">
        <f>IF($A115="","",IFERROR(INDEX(Products!$B$2:$B$101,MATCH($B115,Products!$A$2:$A$101,0))&amp;"","(not found)"))</f>
        <v/>
      </c>
      <c r="K115" s="52" t="str">
        <f>IF($A115="","",IF(AND(IFERROR(INDEX(Config!$I$15:$I$34,MATCH($E115,Config!$H$15:$H$34,0)),"No")="Yes",ISNUMBER($F115)),IF(AND($F115&lt;=Config!$B$4,OR($G115="",AND(ISNUMBER($G115),$G115&gt;=Config!$B$4))),1,0),0))</f>
        <v/>
      </c>
      <c r="L115" s="50" t="str">
        <f>IF($A115="","",IF(AND($K115=1,ISNUMBER($C115)),$C115,0))</f>
        <v/>
      </c>
      <c r="M115" s="49" t="str">
        <f>IF(COUNTA($A115:$I115)=0,"",IF($A115="","Missing: reservation ID",IF(COUNTIF($A$2:$A$201,$A115)&gt;1,"Duplicate reservation ID",IF($B115="","Missing: SKU",IF(NOT(ISNUMBER($C115)),"Missing: qty",IF($D115="","Missing: reserved for",IF($E115="","Missing: status",IF(NOT(ISNUMBER($F115)),"Missing: start date",IF(COUNTIF(Products!$A$2:$A$101,$B115)=0,"Unknown SKU",IF(COUNTIF(Config!$H$15:$H$34,$E115)=0,"Unsupported status",IF($C115&lt;=0,"Qty must be above 0",IF(AND(ISNUMBER($G115),$G115&lt;$F115),"Release date before start date","OK"))))))))))))</f>
        <v/>
      </c>
    </row>
    <row r="116">
      <c r="A116" s="46" t="n"/>
      <c r="B116" s="46" t="n"/>
      <c r="C116" s="48" t="n"/>
      <c r="D116" s="46" t="n"/>
      <c r="E116" s="46" t="n"/>
      <c r="F116" s="54" t="n"/>
      <c r="G116" s="54" t="n"/>
      <c r="H116" s="46" t="n"/>
      <c r="I116" s="46" t="n"/>
      <c r="J116" s="49" t="str">
        <f>IF($A116="","",IFERROR(INDEX(Products!$B$2:$B$101,MATCH($B116,Products!$A$2:$A$101,0))&amp;"","(not found)"))</f>
        <v/>
      </c>
      <c r="K116" s="52" t="str">
        <f>IF($A116="","",IF(AND(IFERROR(INDEX(Config!$I$15:$I$34,MATCH($E116,Config!$H$15:$H$34,0)),"No")="Yes",ISNUMBER($F116)),IF(AND($F116&lt;=Config!$B$4,OR($G116="",AND(ISNUMBER($G116),$G116&gt;=Config!$B$4))),1,0),0))</f>
        <v/>
      </c>
      <c r="L116" s="50" t="str">
        <f>IF($A116="","",IF(AND($K116=1,ISNUMBER($C116)),$C116,0))</f>
        <v/>
      </c>
      <c r="M116" s="49" t="str">
        <f>IF(COUNTA($A116:$I116)=0,"",IF($A116="","Missing: reservation ID",IF(COUNTIF($A$2:$A$201,$A116)&gt;1,"Duplicate reservation ID",IF($B116="","Missing: SKU",IF(NOT(ISNUMBER($C116)),"Missing: qty",IF($D116="","Missing: reserved for",IF($E116="","Missing: status",IF(NOT(ISNUMBER($F116)),"Missing: start date",IF(COUNTIF(Products!$A$2:$A$101,$B116)=0,"Unknown SKU",IF(COUNTIF(Config!$H$15:$H$34,$E116)=0,"Unsupported status",IF($C116&lt;=0,"Qty must be above 0",IF(AND(ISNUMBER($G116),$G116&lt;$F116),"Release date before start date","OK"))))))))))))</f>
        <v/>
      </c>
    </row>
    <row r="117">
      <c r="A117" s="46" t="n"/>
      <c r="B117" s="46" t="n"/>
      <c r="C117" s="48" t="n"/>
      <c r="D117" s="46" t="n"/>
      <c r="E117" s="46" t="n"/>
      <c r="F117" s="54" t="n"/>
      <c r="G117" s="54" t="n"/>
      <c r="H117" s="46" t="n"/>
      <c r="I117" s="46" t="n"/>
      <c r="J117" s="49" t="str">
        <f>IF($A117="","",IFERROR(INDEX(Products!$B$2:$B$101,MATCH($B117,Products!$A$2:$A$101,0))&amp;"","(not found)"))</f>
        <v/>
      </c>
      <c r="K117" s="52" t="str">
        <f>IF($A117="","",IF(AND(IFERROR(INDEX(Config!$I$15:$I$34,MATCH($E117,Config!$H$15:$H$34,0)),"No")="Yes",ISNUMBER($F117)),IF(AND($F117&lt;=Config!$B$4,OR($G117="",AND(ISNUMBER($G117),$G117&gt;=Config!$B$4))),1,0),0))</f>
        <v/>
      </c>
      <c r="L117" s="50" t="str">
        <f>IF($A117="","",IF(AND($K117=1,ISNUMBER($C117)),$C117,0))</f>
        <v/>
      </c>
      <c r="M117" s="49" t="str">
        <f>IF(COUNTA($A117:$I117)=0,"",IF($A117="","Missing: reservation ID",IF(COUNTIF($A$2:$A$201,$A117)&gt;1,"Duplicate reservation ID",IF($B117="","Missing: SKU",IF(NOT(ISNUMBER($C117)),"Missing: qty",IF($D117="","Missing: reserved for",IF($E117="","Missing: status",IF(NOT(ISNUMBER($F117)),"Missing: start date",IF(COUNTIF(Products!$A$2:$A$101,$B117)=0,"Unknown SKU",IF(COUNTIF(Config!$H$15:$H$34,$E117)=0,"Unsupported status",IF($C117&lt;=0,"Qty must be above 0",IF(AND(ISNUMBER($G117),$G117&lt;$F117),"Release date before start date","OK"))))))))))))</f>
        <v/>
      </c>
    </row>
    <row r="118">
      <c r="A118" s="46" t="n"/>
      <c r="B118" s="46" t="n"/>
      <c r="C118" s="48" t="n"/>
      <c r="D118" s="46" t="n"/>
      <c r="E118" s="46" t="n"/>
      <c r="F118" s="54" t="n"/>
      <c r="G118" s="54" t="n"/>
      <c r="H118" s="46" t="n"/>
      <c r="I118" s="46" t="n"/>
      <c r="J118" s="49" t="str">
        <f>IF($A118="","",IFERROR(INDEX(Products!$B$2:$B$101,MATCH($B118,Products!$A$2:$A$101,0))&amp;"","(not found)"))</f>
        <v/>
      </c>
      <c r="K118" s="52" t="str">
        <f>IF($A118="","",IF(AND(IFERROR(INDEX(Config!$I$15:$I$34,MATCH($E118,Config!$H$15:$H$34,0)),"No")="Yes",ISNUMBER($F118)),IF(AND($F118&lt;=Config!$B$4,OR($G118="",AND(ISNUMBER($G118),$G118&gt;=Config!$B$4))),1,0),0))</f>
        <v/>
      </c>
      <c r="L118" s="50" t="str">
        <f>IF($A118="","",IF(AND($K118=1,ISNUMBER($C118)),$C118,0))</f>
        <v/>
      </c>
      <c r="M118" s="49" t="str">
        <f>IF(COUNTA($A118:$I118)=0,"",IF($A118="","Missing: reservation ID",IF(COUNTIF($A$2:$A$201,$A118)&gt;1,"Duplicate reservation ID",IF($B118="","Missing: SKU",IF(NOT(ISNUMBER($C118)),"Missing: qty",IF($D118="","Missing: reserved for",IF($E118="","Missing: status",IF(NOT(ISNUMBER($F118)),"Missing: start date",IF(COUNTIF(Products!$A$2:$A$101,$B118)=0,"Unknown SKU",IF(COUNTIF(Config!$H$15:$H$34,$E118)=0,"Unsupported status",IF($C118&lt;=0,"Qty must be above 0",IF(AND(ISNUMBER($G118),$G118&lt;$F118),"Release date before start date","OK"))))))))))))</f>
        <v/>
      </c>
    </row>
    <row r="119">
      <c r="A119" s="46" t="n"/>
      <c r="B119" s="46" t="n"/>
      <c r="C119" s="48" t="n"/>
      <c r="D119" s="46" t="n"/>
      <c r="E119" s="46" t="n"/>
      <c r="F119" s="54" t="n"/>
      <c r="G119" s="54" t="n"/>
      <c r="H119" s="46" t="n"/>
      <c r="I119" s="46" t="n"/>
      <c r="J119" s="49" t="str">
        <f>IF($A119="","",IFERROR(INDEX(Products!$B$2:$B$101,MATCH($B119,Products!$A$2:$A$101,0))&amp;"","(not found)"))</f>
        <v/>
      </c>
      <c r="K119" s="52" t="str">
        <f>IF($A119="","",IF(AND(IFERROR(INDEX(Config!$I$15:$I$34,MATCH($E119,Config!$H$15:$H$34,0)),"No")="Yes",ISNUMBER($F119)),IF(AND($F119&lt;=Config!$B$4,OR($G119="",AND(ISNUMBER($G119),$G119&gt;=Config!$B$4))),1,0),0))</f>
        <v/>
      </c>
      <c r="L119" s="50" t="str">
        <f>IF($A119="","",IF(AND($K119=1,ISNUMBER($C119)),$C119,0))</f>
        <v/>
      </c>
      <c r="M119" s="49" t="str">
        <f>IF(COUNTA($A119:$I119)=0,"",IF($A119="","Missing: reservation ID",IF(COUNTIF($A$2:$A$201,$A119)&gt;1,"Duplicate reservation ID",IF($B119="","Missing: SKU",IF(NOT(ISNUMBER($C119)),"Missing: qty",IF($D119="","Missing: reserved for",IF($E119="","Missing: status",IF(NOT(ISNUMBER($F119)),"Missing: start date",IF(COUNTIF(Products!$A$2:$A$101,$B119)=0,"Unknown SKU",IF(COUNTIF(Config!$H$15:$H$34,$E119)=0,"Unsupported status",IF($C119&lt;=0,"Qty must be above 0",IF(AND(ISNUMBER($G119),$G119&lt;$F119),"Release date before start date","OK"))))))))))))</f>
        <v/>
      </c>
    </row>
    <row r="120">
      <c r="A120" s="46" t="n"/>
      <c r="B120" s="46" t="n"/>
      <c r="C120" s="48" t="n"/>
      <c r="D120" s="46" t="n"/>
      <c r="E120" s="46" t="n"/>
      <c r="F120" s="54" t="n"/>
      <c r="G120" s="54" t="n"/>
      <c r="H120" s="46" t="n"/>
      <c r="I120" s="46" t="n"/>
      <c r="J120" s="49" t="str">
        <f>IF($A120="","",IFERROR(INDEX(Products!$B$2:$B$101,MATCH($B120,Products!$A$2:$A$101,0))&amp;"","(not found)"))</f>
        <v/>
      </c>
      <c r="K120" s="52" t="str">
        <f>IF($A120="","",IF(AND(IFERROR(INDEX(Config!$I$15:$I$34,MATCH($E120,Config!$H$15:$H$34,0)),"No")="Yes",ISNUMBER($F120)),IF(AND($F120&lt;=Config!$B$4,OR($G120="",AND(ISNUMBER($G120),$G120&gt;=Config!$B$4))),1,0),0))</f>
        <v/>
      </c>
      <c r="L120" s="50" t="str">
        <f>IF($A120="","",IF(AND($K120=1,ISNUMBER($C120)),$C120,0))</f>
        <v/>
      </c>
      <c r="M120" s="49" t="str">
        <f>IF(COUNTA($A120:$I120)=0,"",IF($A120="","Missing: reservation ID",IF(COUNTIF($A$2:$A$201,$A120)&gt;1,"Duplicate reservation ID",IF($B120="","Missing: SKU",IF(NOT(ISNUMBER($C120)),"Missing: qty",IF($D120="","Missing: reserved for",IF($E120="","Missing: status",IF(NOT(ISNUMBER($F120)),"Missing: start date",IF(COUNTIF(Products!$A$2:$A$101,$B120)=0,"Unknown SKU",IF(COUNTIF(Config!$H$15:$H$34,$E120)=0,"Unsupported status",IF($C120&lt;=0,"Qty must be above 0",IF(AND(ISNUMBER($G120),$G120&lt;$F120),"Release date before start date","OK"))))))))))))</f>
        <v/>
      </c>
    </row>
    <row r="121">
      <c r="A121" s="46" t="n"/>
      <c r="B121" s="46" t="n"/>
      <c r="C121" s="48" t="n"/>
      <c r="D121" s="46" t="n"/>
      <c r="E121" s="46" t="n"/>
      <c r="F121" s="54" t="n"/>
      <c r="G121" s="54" t="n"/>
      <c r="H121" s="46" t="n"/>
      <c r="I121" s="46" t="n"/>
      <c r="J121" s="49" t="str">
        <f>IF($A121="","",IFERROR(INDEX(Products!$B$2:$B$101,MATCH($B121,Products!$A$2:$A$101,0))&amp;"","(not found)"))</f>
        <v/>
      </c>
      <c r="K121" s="52" t="str">
        <f>IF($A121="","",IF(AND(IFERROR(INDEX(Config!$I$15:$I$34,MATCH($E121,Config!$H$15:$H$34,0)),"No")="Yes",ISNUMBER($F121)),IF(AND($F121&lt;=Config!$B$4,OR($G121="",AND(ISNUMBER($G121),$G121&gt;=Config!$B$4))),1,0),0))</f>
        <v/>
      </c>
      <c r="L121" s="50" t="str">
        <f>IF($A121="","",IF(AND($K121=1,ISNUMBER($C121)),$C121,0))</f>
        <v/>
      </c>
      <c r="M121" s="49" t="str">
        <f>IF(COUNTA($A121:$I121)=0,"",IF($A121="","Missing: reservation ID",IF(COUNTIF($A$2:$A$201,$A121)&gt;1,"Duplicate reservation ID",IF($B121="","Missing: SKU",IF(NOT(ISNUMBER($C121)),"Missing: qty",IF($D121="","Missing: reserved for",IF($E121="","Missing: status",IF(NOT(ISNUMBER($F121)),"Missing: start date",IF(COUNTIF(Products!$A$2:$A$101,$B121)=0,"Unknown SKU",IF(COUNTIF(Config!$H$15:$H$34,$E121)=0,"Unsupported status",IF($C121&lt;=0,"Qty must be above 0",IF(AND(ISNUMBER($G121),$G121&lt;$F121),"Release date before start date","OK"))))))))))))</f>
        <v/>
      </c>
    </row>
    <row r="122">
      <c r="A122" s="46" t="n"/>
      <c r="B122" s="46" t="n"/>
      <c r="C122" s="48" t="n"/>
      <c r="D122" s="46" t="n"/>
      <c r="E122" s="46" t="n"/>
      <c r="F122" s="54" t="n"/>
      <c r="G122" s="54" t="n"/>
      <c r="H122" s="46" t="n"/>
      <c r="I122" s="46" t="n"/>
      <c r="J122" s="49" t="str">
        <f>IF($A122="","",IFERROR(INDEX(Products!$B$2:$B$101,MATCH($B122,Products!$A$2:$A$101,0))&amp;"","(not found)"))</f>
        <v/>
      </c>
      <c r="K122" s="52" t="str">
        <f>IF($A122="","",IF(AND(IFERROR(INDEX(Config!$I$15:$I$34,MATCH($E122,Config!$H$15:$H$34,0)),"No")="Yes",ISNUMBER($F122)),IF(AND($F122&lt;=Config!$B$4,OR($G122="",AND(ISNUMBER($G122),$G122&gt;=Config!$B$4))),1,0),0))</f>
        <v/>
      </c>
      <c r="L122" s="50" t="str">
        <f>IF($A122="","",IF(AND($K122=1,ISNUMBER($C122)),$C122,0))</f>
        <v/>
      </c>
      <c r="M122" s="49" t="str">
        <f>IF(COUNTA($A122:$I122)=0,"",IF($A122="","Missing: reservation ID",IF(COUNTIF($A$2:$A$201,$A122)&gt;1,"Duplicate reservation ID",IF($B122="","Missing: SKU",IF(NOT(ISNUMBER($C122)),"Missing: qty",IF($D122="","Missing: reserved for",IF($E122="","Missing: status",IF(NOT(ISNUMBER($F122)),"Missing: start date",IF(COUNTIF(Products!$A$2:$A$101,$B122)=0,"Unknown SKU",IF(COUNTIF(Config!$H$15:$H$34,$E122)=0,"Unsupported status",IF($C122&lt;=0,"Qty must be above 0",IF(AND(ISNUMBER($G122),$G122&lt;$F122),"Release date before start date","OK"))))))))))))</f>
        <v/>
      </c>
    </row>
    <row r="123">
      <c r="A123" s="46" t="n"/>
      <c r="B123" s="46" t="n"/>
      <c r="C123" s="48" t="n"/>
      <c r="D123" s="46" t="n"/>
      <c r="E123" s="46" t="n"/>
      <c r="F123" s="54" t="n"/>
      <c r="G123" s="54" t="n"/>
      <c r="H123" s="46" t="n"/>
      <c r="I123" s="46" t="n"/>
      <c r="J123" s="49" t="str">
        <f>IF($A123="","",IFERROR(INDEX(Products!$B$2:$B$101,MATCH($B123,Products!$A$2:$A$101,0))&amp;"","(not found)"))</f>
        <v/>
      </c>
      <c r="K123" s="52" t="str">
        <f>IF($A123="","",IF(AND(IFERROR(INDEX(Config!$I$15:$I$34,MATCH($E123,Config!$H$15:$H$34,0)),"No")="Yes",ISNUMBER($F123)),IF(AND($F123&lt;=Config!$B$4,OR($G123="",AND(ISNUMBER($G123),$G123&gt;=Config!$B$4))),1,0),0))</f>
        <v/>
      </c>
      <c r="L123" s="50" t="str">
        <f>IF($A123="","",IF(AND($K123=1,ISNUMBER($C123)),$C123,0))</f>
        <v/>
      </c>
      <c r="M123" s="49" t="str">
        <f>IF(COUNTA($A123:$I123)=0,"",IF($A123="","Missing: reservation ID",IF(COUNTIF($A$2:$A$201,$A123)&gt;1,"Duplicate reservation ID",IF($B123="","Missing: SKU",IF(NOT(ISNUMBER($C123)),"Missing: qty",IF($D123="","Missing: reserved for",IF($E123="","Missing: status",IF(NOT(ISNUMBER($F123)),"Missing: start date",IF(COUNTIF(Products!$A$2:$A$101,$B123)=0,"Unknown SKU",IF(COUNTIF(Config!$H$15:$H$34,$E123)=0,"Unsupported status",IF($C123&lt;=0,"Qty must be above 0",IF(AND(ISNUMBER($G123),$G123&lt;$F123),"Release date before start date","OK"))))))))))))</f>
        <v/>
      </c>
    </row>
    <row r="124">
      <c r="A124" s="46" t="n"/>
      <c r="B124" s="46" t="n"/>
      <c r="C124" s="48" t="n"/>
      <c r="D124" s="46" t="n"/>
      <c r="E124" s="46" t="n"/>
      <c r="F124" s="54" t="n"/>
      <c r="G124" s="54" t="n"/>
      <c r="H124" s="46" t="n"/>
      <c r="I124" s="46" t="n"/>
      <c r="J124" s="49" t="str">
        <f>IF($A124="","",IFERROR(INDEX(Products!$B$2:$B$101,MATCH($B124,Products!$A$2:$A$101,0))&amp;"","(not found)"))</f>
        <v/>
      </c>
      <c r="K124" s="52" t="str">
        <f>IF($A124="","",IF(AND(IFERROR(INDEX(Config!$I$15:$I$34,MATCH($E124,Config!$H$15:$H$34,0)),"No")="Yes",ISNUMBER($F124)),IF(AND($F124&lt;=Config!$B$4,OR($G124="",AND(ISNUMBER($G124),$G124&gt;=Config!$B$4))),1,0),0))</f>
        <v/>
      </c>
      <c r="L124" s="50" t="str">
        <f>IF($A124="","",IF(AND($K124=1,ISNUMBER($C124)),$C124,0))</f>
        <v/>
      </c>
      <c r="M124" s="49" t="str">
        <f>IF(COUNTA($A124:$I124)=0,"",IF($A124="","Missing: reservation ID",IF(COUNTIF($A$2:$A$201,$A124)&gt;1,"Duplicate reservation ID",IF($B124="","Missing: SKU",IF(NOT(ISNUMBER($C124)),"Missing: qty",IF($D124="","Missing: reserved for",IF($E124="","Missing: status",IF(NOT(ISNUMBER($F124)),"Missing: start date",IF(COUNTIF(Products!$A$2:$A$101,$B124)=0,"Unknown SKU",IF(COUNTIF(Config!$H$15:$H$34,$E124)=0,"Unsupported status",IF($C124&lt;=0,"Qty must be above 0",IF(AND(ISNUMBER($G124),$G124&lt;$F124),"Release date before start date","OK"))))))))))))</f>
        <v/>
      </c>
    </row>
    <row r="125">
      <c r="A125" s="46" t="n"/>
      <c r="B125" s="46" t="n"/>
      <c r="C125" s="48" t="n"/>
      <c r="D125" s="46" t="n"/>
      <c r="E125" s="46" t="n"/>
      <c r="F125" s="54" t="n"/>
      <c r="G125" s="54" t="n"/>
      <c r="H125" s="46" t="n"/>
      <c r="I125" s="46" t="n"/>
      <c r="J125" s="49" t="str">
        <f>IF($A125="","",IFERROR(INDEX(Products!$B$2:$B$101,MATCH($B125,Products!$A$2:$A$101,0))&amp;"","(not found)"))</f>
        <v/>
      </c>
      <c r="K125" s="52" t="str">
        <f>IF($A125="","",IF(AND(IFERROR(INDEX(Config!$I$15:$I$34,MATCH($E125,Config!$H$15:$H$34,0)),"No")="Yes",ISNUMBER($F125)),IF(AND($F125&lt;=Config!$B$4,OR($G125="",AND(ISNUMBER($G125),$G125&gt;=Config!$B$4))),1,0),0))</f>
        <v/>
      </c>
      <c r="L125" s="50" t="str">
        <f>IF($A125="","",IF(AND($K125=1,ISNUMBER($C125)),$C125,0))</f>
        <v/>
      </c>
      <c r="M125" s="49" t="str">
        <f>IF(COUNTA($A125:$I125)=0,"",IF($A125="","Missing: reservation ID",IF(COUNTIF($A$2:$A$201,$A125)&gt;1,"Duplicate reservation ID",IF($B125="","Missing: SKU",IF(NOT(ISNUMBER($C125)),"Missing: qty",IF($D125="","Missing: reserved for",IF($E125="","Missing: status",IF(NOT(ISNUMBER($F125)),"Missing: start date",IF(COUNTIF(Products!$A$2:$A$101,$B125)=0,"Unknown SKU",IF(COUNTIF(Config!$H$15:$H$34,$E125)=0,"Unsupported status",IF($C125&lt;=0,"Qty must be above 0",IF(AND(ISNUMBER($G125),$G125&lt;$F125),"Release date before start date","OK"))))))))))))</f>
        <v/>
      </c>
    </row>
    <row r="126">
      <c r="A126" s="46" t="n"/>
      <c r="B126" s="46" t="n"/>
      <c r="C126" s="48" t="n"/>
      <c r="D126" s="46" t="n"/>
      <c r="E126" s="46" t="n"/>
      <c r="F126" s="54" t="n"/>
      <c r="G126" s="54" t="n"/>
      <c r="H126" s="46" t="n"/>
      <c r="I126" s="46" t="n"/>
      <c r="J126" s="49" t="str">
        <f>IF($A126="","",IFERROR(INDEX(Products!$B$2:$B$101,MATCH($B126,Products!$A$2:$A$101,0))&amp;"","(not found)"))</f>
        <v/>
      </c>
      <c r="K126" s="52" t="str">
        <f>IF($A126="","",IF(AND(IFERROR(INDEX(Config!$I$15:$I$34,MATCH($E126,Config!$H$15:$H$34,0)),"No")="Yes",ISNUMBER($F126)),IF(AND($F126&lt;=Config!$B$4,OR($G126="",AND(ISNUMBER($G126),$G126&gt;=Config!$B$4))),1,0),0))</f>
        <v/>
      </c>
      <c r="L126" s="50" t="str">
        <f>IF($A126="","",IF(AND($K126=1,ISNUMBER($C126)),$C126,0))</f>
        <v/>
      </c>
      <c r="M126" s="49" t="str">
        <f>IF(COUNTA($A126:$I126)=0,"",IF($A126="","Missing: reservation ID",IF(COUNTIF($A$2:$A$201,$A126)&gt;1,"Duplicate reservation ID",IF($B126="","Missing: SKU",IF(NOT(ISNUMBER($C126)),"Missing: qty",IF($D126="","Missing: reserved for",IF($E126="","Missing: status",IF(NOT(ISNUMBER($F126)),"Missing: start date",IF(COUNTIF(Products!$A$2:$A$101,$B126)=0,"Unknown SKU",IF(COUNTIF(Config!$H$15:$H$34,$E126)=0,"Unsupported status",IF($C126&lt;=0,"Qty must be above 0",IF(AND(ISNUMBER($G126),$G126&lt;$F126),"Release date before start date","OK"))))))))))))</f>
        <v/>
      </c>
    </row>
    <row r="127">
      <c r="A127" s="46" t="n"/>
      <c r="B127" s="46" t="n"/>
      <c r="C127" s="48" t="n"/>
      <c r="D127" s="46" t="n"/>
      <c r="E127" s="46" t="n"/>
      <c r="F127" s="54" t="n"/>
      <c r="G127" s="54" t="n"/>
      <c r="H127" s="46" t="n"/>
      <c r="I127" s="46" t="n"/>
      <c r="J127" s="49" t="str">
        <f>IF($A127="","",IFERROR(INDEX(Products!$B$2:$B$101,MATCH($B127,Products!$A$2:$A$101,0))&amp;"","(not found)"))</f>
        <v/>
      </c>
      <c r="K127" s="52" t="str">
        <f>IF($A127="","",IF(AND(IFERROR(INDEX(Config!$I$15:$I$34,MATCH($E127,Config!$H$15:$H$34,0)),"No")="Yes",ISNUMBER($F127)),IF(AND($F127&lt;=Config!$B$4,OR($G127="",AND(ISNUMBER($G127),$G127&gt;=Config!$B$4))),1,0),0))</f>
        <v/>
      </c>
      <c r="L127" s="50" t="str">
        <f>IF($A127="","",IF(AND($K127=1,ISNUMBER($C127)),$C127,0))</f>
        <v/>
      </c>
      <c r="M127" s="49" t="str">
        <f>IF(COUNTA($A127:$I127)=0,"",IF($A127="","Missing: reservation ID",IF(COUNTIF($A$2:$A$201,$A127)&gt;1,"Duplicate reservation ID",IF($B127="","Missing: SKU",IF(NOT(ISNUMBER($C127)),"Missing: qty",IF($D127="","Missing: reserved for",IF($E127="","Missing: status",IF(NOT(ISNUMBER($F127)),"Missing: start date",IF(COUNTIF(Products!$A$2:$A$101,$B127)=0,"Unknown SKU",IF(COUNTIF(Config!$H$15:$H$34,$E127)=0,"Unsupported status",IF($C127&lt;=0,"Qty must be above 0",IF(AND(ISNUMBER($G127),$G127&lt;$F127),"Release date before start date","OK"))))))))))))</f>
        <v/>
      </c>
    </row>
    <row r="128">
      <c r="A128" s="46" t="n"/>
      <c r="B128" s="46" t="n"/>
      <c r="C128" s="48" t="n"/>
      <c r="D128" s="46" t="n"/>
      <c r="E128" s="46" t="n"/>
      <c r="F128" s="54" t="n"/>
      <c r="G128" s="54" t="n"/>
      <c r="H128" s="46" t="n"/>
      <c r="I128" s="46" t="n"/>
      <c r="J128" s="49" t="str">
        <f>IF($A128="","",IFERROR(INDEX(Products!$B$2:$B$101,MATCH($B128,Products!$A$2:$A$101,0))&amp;"","(not found)"))</f>
        <v/>
      </c>
      <c r="K128" s="52" t="str">
        <f>IF($A128="","",IF(AND(IFERROR(INDEX(Config!$I$15:$I$34,MATCH($E128,Config!$H$15:$H$34,0)),"No")="Yes",ISNUMBER($F128)),IF(AND($F128&lt;=Config!$B$4,OR($G128="",AND(ISNUMBER($G128),$G128&gt;=Config!$B$4))),1,0),0))</f>
        <v/>
      </c>
      <c r="L128" s="50" t="str">
        <f>IF($A128="","",IF(AND($K128=1,ISNUMBER($C128)),$C128,0))</f>
        <v/>
      </c>
      <c r="M128" s="49" t="str">
        <f>IF(COUNTA($A128:$I128)=0,"",IF($A128="","Missing: reservation ID",IF(COUNTIF($A$2:$A$201,$A128)&gt;1,"Duplicate reservation ID",IF($B128="","Missing: SKU",IF(NOT(ISNUMBER($C128)),"Missing: qty",IF($D128="","Missing: reserved for",IF($E128="","Missing: status",IF(NOT(ISNUMBER($F128)),"Missing: start date",IF(COUNTIF(Products!$A$2:$A$101,$B128)=0,"Unknown SKU",IF(COUNTIF(Config!$H$15:$H$34,$E128)=0,"Unsupported status",IF($C128&lt;=0,"Qty must be above 0",IF(AND(ISNUMBER($G128),$G128&lt;$F128),"Release date before start date","OK"))))))))))))</f>
        <v/>
      </c>
    </row>
    <row r="129">
      <c r="A129" s="46" t="n"/>
      <c r="B129" s="46" t="n"/>
      <c r="C129" s="48" t="n"/>
      <c r="D129" s="46" t="n"/>
      <c r="E129" s="46" t="n"/>
      <c r="F129" s="54" t="n"/>
      <c r="G129" s="54" t="n"/>
      <c r="H129" s="46" t="n"/>
      <c r="I129" s="46" t="n"/>
      <c r="J129" s="49" t="str">
        <f>IF($A129="","",IFERROR(INDEX(Products!$B$2:$B$101,MATCH($B129,Products!$A$2:$A$101,0))&amp;"","(not found)"))</f>
        <v/>
      </c>
      <c r="K129" s="52" t="str">
        <f>IF($A129="","",IF(AND(IFERROR(INDEX(Config!$I$15:$I$34,MATCH($E129,Config!$H$15:$H$34,0)),"No")="Yes",ISNUMBER($F129)),IF(AND($F129&lt;=Config!$B$4,OR($G129="",AND(ISNUMBER($G129),$G129&gt;=Config!$B$4))),1,0),0))</f>
        <v/>
      </c>
      <c r="L129" s="50" t="str">
        <f>IF($A129="","",IF(AND($K129=1,ISNUMBER($C129)),$C129,0))</f>
        <v/>
      </c>
      <c r="M129" s="49" t="str">
        <f>IF(COUNTA($A129:$I129)=0,"",IF($A129="","Missing: reservation ID",IF(COUNTIF($A$2:$A$201,$A129)&gt;1,"Duplicate reservation ID",IF($B129="","Missing: SKU",IF(NOT(ISNUMBER($C129)),"Missing: qty",IF($D129="","Missing: reserved for",IF($E129="","Missing: status",IF(NOT(ISNUMBER($F129)),"Missing: start date",IF(COUNTIF(Products!$A$2:$A$101,$B129)=0,"Unknown SKU",IF(COUNTIF(Config!$H$15:$H$34,$E129)=0,"Unsupported status",IF($C129&lt;=0,"Qty must be above 0",IF(AND(ISNUMBER($G129),$G129&lt;$F129),"Release date before start date","OK"))))))))))))</f>
        <v/>
      </c>
    </row>
    <row r="130">
      <c r="A130" s="46" t="n"/>
      <c r="B130" s="46" t="n"/>
      <c r="C130" s="48" t="n"/>
      <c r="D130" s="46" t="n"/>
      <c r="E130" s="46" t="n"/>
      <c r="F130" s="54" t="n"/>
      <c r="G130" s="54" t="n"/>
      <c r="H130" s="46" t="n"/>
      <c r="I130" s="46" t="n"/>
      <c r="J130" s="49" t="str">
        <f>IF($A130="","",IFERROR(INDEX(Products!$B$2:$B$101,MATCH($B130,Products!$A$2:$A$101,0))&amp;"","(not found)"))</f>
        <v/>
      </c>
      <c r="K130" s="52" t="str">
        <f>IF($A130="","",IF(AND(IFERROR(INDEX(Config!$I$15:$I$34,MATCH($E130,Config!$H$15:$H$34,0)),"No")="Yes",ISNUMBER($F130)),IF(AND($F130&lt;=Config!$B$4,OR($G130="",AND(ISNUMBER($G130),$G130&gt;=Config!$B$4))),1,0),0))</f>
        <v/>
      </c>
      <c r="L130" s="50" t="str">
        <f>IF($A130="","",IF(AND($K130=1,ISNUMBER($C130)),$C130,0))</f>
        <v/>
      </c>
      <c r="M130" s="49" t="str">
        <f>IF(COUNTA($A130:$I130)=0,"",IF($A130="","Missing: reservation ID",IF(COUNTIF($A$2:$A$201,$A130)&gt;1,"Duplicate reservation ID",IF($B130="","Missing: SKU",IF(NOT(ISNUMBER($C130)),"Missing: qty",IF($D130="","Missing: reserved for",IF($E130="","Missing: status",IF(NOT(ISNUMBER($F130)),"Missing: start date",IF(COUNTIF(Products!$A$2:$A$101,$B130)=0,"Unknown SKU",IF(COUNTIF(Config!$H$15:$H$34,$E130)=0,"Unsupported status",IF($C130&lt;=0,"Qty must be above 0",IF(AND(ISNUMBER($G130),$G130&lt;$F130),"Release date before start date","OK"))))))))))))</f>
        <v/>
      </c>
    </row>
    <row r="131">
      <c r="A131" s="46" t="n"/>
      <c r="B131" s="46" t="n"/>
      <c r="C131" s="48" t="n"/>
      <c r="D131" s="46" t="n"/>
      <c r="E131" s="46" t="n"/>
      <c r="F131" s="54" t="n"/>
      <c r="G131" s="54" t="n"/>
      <c r="H131" s="46" t="n"/>
      <c r="I131" s="46" t="n"/>
      <c r="J131" s="49" t="str">
        <f>IF($A131="","",IFERROR(INDEX(Products!$B$2:$B$101,MATCH($B131,Products!$A$2:$A$101,0))&amp;"","(not found)"))</f>
        <v/>
      </c>
      <c r="K131" s="52" t="str">
        <f>IF($A131="","",IF(AND(IFERROR(INDEX(Config!$I$15:$I$34,MATCH($E131,Config!$H$15:$H$34,0)),"No")="Yes",ISNUMBER($F131)),IF(AND($F131&lt;=Config!$B$4,OR($G131="",AND(ISNUMBER($G131),$G131&gt;=Config!$B$4))),1,0),0))</f>
        <v/>
      </c>
      <c r="L131" s="50" t="str">
        <f>IF($A131="","",IF(AND($K131=1,ISNUMBER($C131)),$C131,0))</f>
        <v/>
      </c>
      <c r="M131" s="49" t="str">
        <f>IF(COUNTA($A131:$I131)=0,"",IF($A131="","Missing: reservation ID",IF(COUNTIF($A$2:$A$201,$A131)&gt;1,"Duplicate reservation ID",IF($B131="","Missing: SKU",IF(NOT(ISNUMBER($C131)),"Missing: qty",IF($D131="","Missing: reserved for",IF($E131="","Missing: status",IF(NOT(ISNUMBER($F131)),"Missing: start date",IF(COUNTIF(Products!$A$2:$A$101,$B131)=0,"Unknown SKU",IF(COUNTIF(Config!$H$15:$H$34,$E131)=0,"Unsupported status",IF($C131&lt;=0,"Qty must be above 0",IF(AND(ISNUMBER($G131),$G131&lt;$F131),"Release date before start date","OK"))))))))))))</f>
        <v/>
      </c>
    </row>
    <row r="132">
      <c r="A132" s="46" t="n"/>
      <c r="B132" s="46" t="n"/>
      <c r="C132" s="48" t="n"/>
      <c r="D132" s="46" t="n"/>
      <c r="E132" s="46" t="n"/>
      <c r="F132" s="54" t="n"/>
      <c r="G132" s="54" t="n"/>
      <c r="H132" s="46" t="n"/>
      <c r="I132" s="46" t="n"/>
      <c r="J132" s="49" t="str">
        <f>IF($A132="","",IFERROR(INDEX(Products!$B$2:$B$101,MATCH($B132,Products!$A$2:$A$101,0))&amp;"","(not found)"))</f>
        <v/>
      </c>
      <c r="K132" s="52" t="str">
        <f>IF($A132="","",IF(AND(IFERROR(INDEX(Config!$I$15:$I$34,MATCH($E132,Config!$H$15:$H$34,0)),"No")="Yes",ISNUMBER($F132)),IF(AND($F132&lt;=Config!$B$4,OR($G132="",AND(ISNUMBER($G132),$G132&gt;=Config!$B$4))),1,0),0))</f>
        <v/>
      </c>
      <c r="L132" s="50" t="str">
        <f>IF($A132="","",IF(AND($K132=1,ISNUMBER($C132)),$C132,0))</f>
        <v/>
      </c>
      <c r="M132" s="49" t="str">
        <f>IF(COUNTA($A132:$I132)=0,"",IF($A132="","Missing: reservation ID",IF(COUNTIF($A$2:$A$201,$A132)&gt;1,"Duplicate reservation ID",IF($B132="","Missing: SKU",IF(NOT(ISNUMBER($C132)),"Missing: qty",IF($D132="","Missing: reserved for",IF($E132="","Missing: status",IF(NOT(ISNUMBER($F132)),"Missing: start date",IF(COUNTIF(Products!$A$2:$A$101,$B132)=0,"Unknown SKU",IF(COUNTIF(Config!$H$15:$H$34,$E132)=0,"Unsupported status",IF($C132&lt;=0,"Qty must be above 0",IF(AND(ISNUMBER($G132),$G132&lt;$F132),"Release date before start date","OK"))))))))))))</f>
        <v/>
      </c>
    </row>
    <row r="133">
      <c r="A133" s="46" t="n"/>
      <c r="B133" s="46" t="n"/>
      <c r="C133" s="48" t="n"/>
      <c r="D133" s="46" t="n"/>
      <c r="E133" s="46" t="n"/>
      <c r="F133" s="54" t="n"/>
      <c r="G133" s="54" t="n"/>
      <c r="H133" s="46" t="n"/>
      <c r="I133" s="46" t="n"/>
      <c r="J133" s="49" t="str">
        <f>IF($A133="","",IFERROR(INDEX(Products!$B$2:$B$101,MATCH($B133,Products!$A$2:$A$101,0))&amp;"","(not found)"))</f>
        <v/>
      </c>
      <c r="K133" s="52" t="str">
        <f>IF($A133="","",IF(AND(IFERROR(INDEX(Config!$I$15:$I$34,MATCH($E133,Config!$H$15:$H$34,0)),"No")="Yes",ISNUMBER($F133)),IF(AND($F133&lt;=Config!$B$4,OR($G133="",AND(ISNUMBER($G133),$G133&gt;=Config!$B$4))),1,0),0))</f>
        <v/>
      </c>
      <c r="L133" s="50" t="str">
        <f>IF($A133="","",IF(AND($K133=1,ISNUMBER($C133)),$C133,0))</f>
        <v/>
      </c>
      <c r="M133" s="49" t="str">
        <f>IF(COUNTA($A133:$I133)=0,"",IF($A133="","Missing: reservation ID",IF(COUNTIF($A$2:$A$201,$A133)&gt;1,"Duplicate reservation ID",IF($B133="","Missing: SKU",IF(NOT(ISNUMBER($C133)),"Missing: qty",IF($D133="","Missing: reserved for",IF($E133="","Missing: status",IF(NOT(ISNUMBER($F133)),"Missing: start date",IF(COUNTIF(Products!$A$2:$A$101,$B133)=0,"Unknown SKU",IF(COUNTIF(Config!$H$15:$H$34,$E133)=0,"Unsupported status",IF($C133&lt;=0,"Qty must be above 0",IF(AND(ISNUMBER($G133),$G133&lt;$F133),"Release date before start date","OK"))))))))))))</f>
        <v/>
      </c>
    </row>
    <row r="134">
      <c r="A134" s="46" t="n"/>
      <c r="B134" s="46" t="n"/>
      <c r="C134" s="48" t="n"/>
      <c r="D134" s="46" t="n"/>
      <c r="E134" s="46" t="n"/>
      <c r="F134" s="54" t="n"/>
      <c r="G134" s="54" t="n"/>
      <c r="H134" s="46" t="n"/>
      <c r="I134" s="46" t="n"/>
      <c r="J134" s="49" t="str">
        <f>IF($A134="","",IFERROR(INDEX(Products!$B$2:$B$101,MATCH($B134,Products!$A$2:$A$101,0))&amp;"","(not found)"))</f>
        <v/>
      </c>
      <c r="K134" s="52" t="str">
        <f>IF($A134="","",IF(AND(IFERROR(INDEX(Config!$I$15:$I$34,MATCH($E134,Config!$H$15:$H$34,0)),"No")="Yes",ISNUMBER($F134)),IF(AND($F134&lt;=Config!$B$4,OR($G134="",AND(ISNUMBER($G134),$G134&gt;=Config!$B$4))),1,0),0))</f>
        <v/>
      </c>
      <c r="L134" s="50" t="str">
        <f>IF($A134="","",IF(AND($K134=1,ISNUMBER($C134)),$C134,0))</f>
        <v/>
      </c>
      <c r="M134" s="49" t="str">
        <f>IF(COUNTA($A134:$I134)=0,"",IF($A134="","Missing: reservation ID",IF(COUNTIF($A$2:$A$201,$A134)&gt;1,"Duplicate reservation ID",IF($B134="","Missing: SKU",IF(NOT(ISNUMBER($C134)),"Missing: qty",IF($D134="","Missing: reserved for",IF($E134="","Missing: status",IF(NOT(ISNUMBER($F134)),"Missing: start date",IF(COUNTIF(Products!$A$2:$A$101,$B134)=0,"Unknown SKU",IF(COUNTIF(Config!$H$15:$H$34,$E134)=0,"Unsupported status",IF($C134&lt;=0,"Qty must be above 0",IF(AND(ISNUMBER($G134),$G134&lt;$F134),"Release date before start date","OK"))))))))))))</f>
        <v/>
      </c>
    </row>
    <row r="135">
      <c r="A135" s="46" t="n"/>
      <c r="B135" s="46" t="n"/>
      <c r="C135" s="48" t="n"/>
      <c r="D135" s="46" t="n"/>
      <c r="E135" s="46" t="n"/>
      <c r="F135" s="54" t="n"/>
      <c r="G135" s="54" t="n"/>
      <c r="H135" s="46" t="n"/>
      <c r="I135" s="46" t="n"/>
      <c r="J135" s="49" t="str">
        <f>IF($A135="","",IFERROR(INDEX(Products!$B$2:$B$101,MATCH($B135,Products!$A$2:$A$101,0))&amp;"","(not found)"))</f>
        <v/>
      </c>
      <c r="K135" s="52" t="str">
        <f>IF($A135="","",IF(AND(IFERROR(INDEX(Config!$I$15:$I$34,MATCH($E135,Config!$H$15:$H$34,0)),"No")="Yes",ISNUMBER($F135)),IF(AND($F135&lt;=Config!$B$4,OR($G135="",AND(ISNUMBER($G135),$G135&gt;=Config!$B$4))),1,0),0))</f>
        <v/>
      </c>
      <c r="L135" s="50" t="str">
        <f>IF($A135="","",IF(AND($K135=1,ISNUMBER($C135)),$C135,0))</f>
        <v/>
      </c>
      <c r="M135" s="49" t="str">
        <f>IF(COUNTA($A135:$I135)=0,"",IF($A135="","Missing: reservation ID",IF(COUNTIF($A$2:$A$201,$A135)&gt;1,"Duplicate reservation ID",IF($B135="","Missing: SKU",IF(NOT(ISNUMBER($C135)),"Missing: qty",IF($D135="","Missing: reserved for",IF($E135="","Missing: status",IF(NOT(ISNUMBER($F135)),"Missing: start date",IF(COUNTIF(Products!$A$2:$A$101,$B135)=0,"Unknown SKU",IF(COUNTIF(Config!$H$15:$H$34,$E135)=0,"Unsupported status",IF($C135&lt;=0,"Qty must be above 0",IF(AND(ISNUMBER($G135),$G135&lt;$F135),"Release date before start date","OK"))))))))))))</f>
        <v/>
      </c>
    </row>
    <row r="136">
      <c r="A136" s="46" t="n"/>
      <c r="B136" s="46" t="n"/>
      <c r="C136" s="48" t="n"/>
      <c r="D136" s="46" t="n"/>
      <c r="E136" s="46" t="n"/>
      <c r="F136" s="54" t="n"/>
      <c r="G136" s="54" t="n"/>
      <c r="H136" s="46" t="n"/>
      <c r="I136" s="46" t="n"/>
      <c r="J136" s="49" t="str">
        <f>IF($A136="","",IFERROR(INDEX(Products!$B$2:$B$101,MATCH($B136,Products!$A$2:$A$101,0))&amp;"","(not found)"))</f>
        <v/>
      </c>
      <c r="K136" s="52" t="str">
        <f>IF($A136="","",IF(AND(IFERROR(INDEX(Config!$I$15:$I$34,MATCH($E136,Config!$H$15:$H$34,0)),"No")="Yes",ISNUMBER($F136)),IF(AND($F136&lt;=Config!$B$4,OR($G136="",AND(ISNUMBER($G136),$G136&gt;=Config!$B$4))),1,0),0))</f>
        <v/>
      </c>
      <c r="L136" s="50" t="str">
        <f>IF($A136="","",IF(AND($K136=1,ISNUMBER($C136)),$C136,0))</f>
        <v/>
      </c>
      <c r="M136" s="49" t="str">
        <f>IF(COUNTA($A136:$I136)=0,"",IF($A136="","Missing: reservation ID",IF(COUNTIF($A$2:$A$201,$A136)&gt;1,"Duplicate reservation ID",IF($B136="","Missing: SKU",IF(NOT(ISNUMBER($C136)),"Missing: qty",IF($D136="","Missing: reserved for",IF($E136="","Missing: status",IF(NOT(ISNUMBER($F136)),"Missing: start date",IF(COUNTIF(Products!$A$2:$A$101,$B136)=0,"Unknown SKU",IF(COUNTIF(Config!$H$15:$H$34,$E136)=0,"Unsupported status",IF($C136&lt;=0,"Qty must be above 0",IF(AND(ISNUMBER($G136),$G136&lt;$F136),"Release date before start date","OK"))))))))))))</f>
        <v/>
      </c>
    </row>
    <row r="137">
      <c r="A137" s="46" t="n"/>
      <c r="B137" s="46" t="n"/>
      <c r="C137" s="48" t="n"/>
      <c r="D137" s="46" t="n"/>
      <c r="E137" s="46" t="n"/>
      <c r="F137" s="54" t="n"/>
      <c r="G137" s="54" t="n"/>
      <c r="H137" s="46" t="n"/>
      <c r="I137" s="46" t="n"/>
      <c r="J137" s="49" t="str">
        <f>IF($A137="","",IFERROR(INDEX(Products!$B$2:$B$101,MATCH($B137,Products!$A$2:$A$101,0))&amp;"","(not found)"))</f>
        <v/>
      </c>
      <c r="K137" s="52" t="str">
        <f>IF($A137="","",IF(AND(IFERROR(INDEX(Config!$I$15:$I$34,MATCH($E137,Config!$H$15:$H$34,0)),"No")="Yes",ISNUMBER($F137)),IF(AND($F137&lt;=Config!$B$4,OR($G137="",AND(ISNUMBER($G137),$G137&gt;=Config!$B$4))),1,0),0))</f>
        <v/>
      </c>
      <c r="L137" s="50" t="str">
        <f>IF($A137="","",IF(AND($K137=1,ISNUMBER($C137)),$C137,0))</f>
        <v/>
      </c>
      <c r="M137" s="49" t="str">
        <f>IF(COUNTA($A137:$I137)=0,"",IF($A137="","Missing: reservation ID",IF(COUNTIF($A$2:$A$201,$A137)&gt;1,"Duplicate reservation ID",IF($B137="","Missing: SKU",IF(NOT(ISNUMBER($C137)),"Missing: qty",IF($D137="","Missing: reserved for",IF($E137="","Missing: status",IF(NOT(ISNUMBER($F137)),"Missing: start date",IF(COUNTIF(Products!$A$2:$A$101,$B137)=0,"Unknown SKU",IF(COUNTIF(Config!$H$15:$H$34,$E137)=0,"Unsupported status",IF($C137&lt;=0,"Qty must be above 0",IF(AND(ISNUMBER($G137),$G137&lt;$F137),"Release date before start date","OK"))))))))))))</f>
        <v/>
      </c>
    </row>
    <row r="138">
      <c r="A138" s="46" t="n"/>
      <c r="B138" s="46" t="n"/>
      <c r="C138" s="48" t="n"/>
      <c r="D138" s="46" t="n"/>
      <c r="E138" s="46" t="n"/>
      <c r="F138" s="54" t="n"/>
      <c r="G138" s="54" t="n"/>
      <c r="H138" s="46" t="n"/>
      <c r="I138" s="46" t="n"/>
      <c r="J138" s="49" t="str">
        <f>IF($A138="","",IFERROR(INDEX(Products!$B$2:$B$101,MATCH($B138,Products!$A$2:$A$101,0))&amp;"","(not found)"))</f>
        <v/>
      </c>
      <c r="K138" s="52" t="str">
        <f>IF($A138="","",IF(AND(IFERROR(INDEX(Config!$I$15:$I$34,MATCH($E138,Config!$H$15:$H$34,0)),"No")="Yes",ISNUMBER($F138)),IF(AND($F138&lt;=Config!$B$4,OR($G138="",AND(ISNUMBER($G138),$G138&gt;=Config!$B$4))),1,0),0))</f>
        <v/>
      </c>
      <c r="L138" s="50" t="str">
        <f>IF($A138="","",IF(AND($K138=1,ISNUMBER($C138)),$C138,0))</f>
        <v/>
      </c>
      <c r="M138" s="49" t="str">
        <f>IF(COUNTA($A138:$I138)=0,"",IF($A138="","Missing: reservation ID",IF(COUNTIF($A$2:$A$201,$A138)&gt;1,"Duplicate reservation ID",IF($B138="","Missing: SKU",IF(NOT(ISNUMBER($C138)),"Missing: qty",IF($D138="","Missing: reserved for",IF($E138="","Missing: status",IF(NOT(ISNUMBER($F138)),"Missing: start date",IF(COUNTIF(Products!$A$2:$A$101,$B138)=0,"Unknown SKU",IF(COUNTIF(Config!$H$15:$H$34,$E138)=0,"Unsupported status",IF($C138&lt;=0,"Qty must be above 0",IF(AND(ISNUMBER($G138),$G138&lt;$F138),"Release date before start date","OK"))))))))))))</f>
        <v/>
      </c>
    </row>
    <row r="139">
      <c r="A139" s="46" t="n"/>
      <c r="B139" s="46" t="n"/>
      <c r="C139" s="48" t="n"/>
      <c r="D139" s="46" t="n"/>
      <c r="E139" s="46" t="n"/>
      <c r="F139" s="54" t="n"/>
      <c r="G139" s="54" t="n"/>
      <c r="H139" s="46" t="n"/>
      <c r="I139" s="46" t="n"/>
      <c r="J139" s="49" t="str">
        <f>IF($A139="","",IFERROR(INDEX(Products!$B$2:$B$101,MATCH($B139,Products!$A$2:$A$101,0))&amp;"","(not found)"))</f>
        <v/>
      </c>
      <c r="K139" s="52" t="str">
        <f>IF($A139="","",IF(AND(IFERROR(INDEX(Config!$I$15:$I$34,MATCH($E139,Config!$H$15:$H$34,0)),"No")="Yes",ISNUMBER($F139)),IF(AND($F139&lt;=Config!$B$4,OR($G139="",AND(ISNUMBER($G139),$G139&gt;=Config!$B$4))),1,0),0))</f>
        <v/>
      </c>
      <c r="L139" s="50" t="str">
        <f>IF($A139="","",IF(AND($K139=1,ISNUMBER($C139)),$C139,0))</f>
        <v/>
      </c>
      <c r="M139" s="49" t="str">
        <f>IF(COUNTA($A139:$I139)=0,"",IF($A139="","Missing: reservation ID",IF(COUNTIF($A$2:$A$201,$A139)&gt;1,"Duplicate reservation ID",IF($B139="","Missing: SKU",IF(NOT(ISNUMBER($C139)),"Missing: qty",IF($D139="","Missing: reserved for",IF($E139="","Missing: status",IF(NOT(ISNUMBER($F139)),"Missing: start date",IF(COUNTIF(Products!$A$2:$A$101,$B139)=0,"Unknown SKU",IF(COUNTIF(Config!$H$15:$H$34,$E139)=0,"Unsupported status",IF($C139&lt;=0,"Qty must be above 0",IF(AND(ISNUMBER($G139),$G139&lt;$F139),"Release date before start date","OK"))))))))))))</f>
        <v/>
      </c>
    </row>
    <row r="140">
      <c r="A140" s="46" t="n"/>
      <c r="B140" s="46" t="n"/>
      <c r="C140" s="48" t="n"/>
      <c r="D140" s="46" t="n"/>
      <c r="E140" s="46" t="n"/>
      <c r="F140" s="54" t="n"/>
      <c r="G140" s="54" t="n"/>
      <c r="H140" s="46" t="n"/>
      <c r="I140" s="46" t="n"/>
      <c r="J140" s="49" t="str">
        <f>IF($A140="","",IFERROR(INDEX(Products!$B$2:$B$101,MATCH($B140,Products!$A$2:$A$101,0))&amp;"","(not found)"))</f>
        <v/>
      </c>
      <c r="K140" s="52" t="str">
        <f>IF($A140="","",IF(AND(IFERROR(INDEX(Config!$I$15:$I$34,MATCH($E140,Config!$H$15:$H$34,0)),"No")="Yes",ISNUMBER($F140)),IF(AND($F140&lt;=Config!$B$4,OR($G140="",AND(ISNUMBER($G140),$G140&gt;=Config!$B$4))),1,0),0))</f>
        <v/>
      </c>
      <c r="L140" s="50" t="str">
        <f>IF($A140="","",IF(AND($K140=1,ISNUMBER($C140)),$C140,0))</f>
        <v/>
      </c>
      <c r="M140" s="49" t="str">
        <f>IF(COUNTA($A140:$I140)=0,"",IF($A140="","Missing: reservation ID",IF(COUNTIF($A$2:$A$201,$A140)&gt;1,"Duplicate reservation ID",IF($B140="","Missing: SKU",IF(NOT(ISNUMBER($C140)),"Missing: qty",IF($D140="","Missing: reserved for",IF($E140="","Missing: status",IF(NOT(ISNUMBER($F140)),"Missing: start date",IF(COUNTIF(Products!$A$2:$A$101,$B140)=0,"Unknown SKU",IF(COUNTIF(Config!$H$15:$H$34,$E140)=0,"Unsupported status",IF($C140&lt;=0,"Qty must be above 0",IF(AND(ISNUMBER($G140),$G140&lt;$F140),"Release date before start date","OK"))))))))))))</f>
        <v/>
      </c>
    </row>
    <row r="141">
      <c r="A141" s="46" t="n"/>
      <c r="B141" s="46" t="n"/>
      <c r="C141" s="48" t="n"/>
      <c r="D141" s="46" t="n"/>
      <c r="E141" s="46" t="n"/>
      <c r="F141" s="54" t="n"/>
      <c r="G141" s="54" t="n"/>
      <c r="H141" s="46" t="n"/>
      <c r="I141" s="46" t="n"/>
      <c r="J141" s="49" t="str">
        <f>IF($A141="","",IFERROR(INDEX(Products!$B$2:$B$101,MATCH($B141,Products!$A$2:$A$101,0))&amp;"","(not found)"))</f>
        <v/>
      </c>
      <c r="K141" s="52" t="str">
        <f>IF($A141="","",IF(AND(IFERROR(INDEX(Config!$I$15:$I$34,MATCH($E141,Config!$H$15:$H$34,0)),"No")="Yes",ISNUMBER($F141)),IF(AND($F141&lt;=Config!$B$4,OR($G141="",AND(ISNUMBER($G141),$G141&gt;=Config!$B$4))),1,0),0))</f>
        <v/>
      </c>
      <c r="L141" s="50" t="str">
        <f>IF($A141="","",IF(AND($K141=1,ISNUMBER($C141)),$C141,0))</f>
        <v/>
      </c>
      <c r="M141" s="49" t="str">
        <f>IF(COUNTA($A141:$I141)=0,"",IF($A141="","Missing: reservation ID",IF(COUNTIF($A$2:$A$201,$A141)&gt;1,"Duplicate reservation ID",IF($B141="","Missing: SKU",IF(NOT(ISNUMBER($C141)),"Missing: qty",IF($D141="","Missing: reserved for",IF($E141="","Missing: status",IF(NOT(ISNUMBER($F141)),"Missing: start date",IF(COUNTIF(Products!$A$2:$A$101,$B141)=0,"Unknown SKU",IF(COUNTIF(Config!$H$15:$H$34,$E141)=0,"Unsupported status",IF($C141&lt;=0,"Qty must be above 0",IF(AND(ISNUMBER($G141),$G141&lt;$F141),"Release date before start date","OK"))))))))))))</f>
        <v/>
      </c>
    </row>
    <row r="142">
      <c r="A142" s="46" t="n"/>
      <c r="B142" s="46" t="n"/>
      <c r="C142" s="48" t="n"/>
      <c r="D142" s="46" t="n"/>
      <c r="E142" s="46" t="n"/>
      <c r="F142" s="54" t="n"/>
      <c r="G142" s="54" t="n"/>
      <c r="H142" s="46" t="n"/>
      <c r="I142" s="46" t="n"/>
      <c r="J142" s="49" t="str">
        <f>IF($A142="","",IFERROR(INDEX(Products!$B$2:$B$101,MATCH($B142,Products!$A$2:$A$101,0))&amp;"","(not found)"))</f>
        <v/>
      </c>
      <c r="K142" s="52" t="str">
        <f>IF($A142="","",IF(AND(IFERROR(INDEX(Config!$I$15:$I$34,MATCH($E142,Config!$H$15:$H$34,0)),"No")="Yes",ISNUMBER($F142)),IF(AND($F142&lt;=Config!$B$4,OR($G142="",AND(ISNUMBER($G142),$G142&gt;=Config!$B$4))),1,0),0))</f>
        <v/>
      </c>
      <c r="L142" s="50" t="str">
        <f>IF($A142="","",IF(AND($K142=1,ISNUMBER($C142)),$C142,0))</f>
        <v/>
      </c>
      <c r="M142" s="49" t="str">
        <f>IF(COUNTA($A142:$I142)=0,"",IF($A142="","Missing: reservation ID",IF(COUNTIF($A$2:$A$201,$A142)&gt;1,"Duplicate reservation ID",IF($B142="","Missing: SKU",IF(NOT(ISNUMBER($C142)),"Missing: qty",IF($D142="","Missing: reserved for",IF($E142="","Missing: status",IF(NOT(ISNUMBER($F142)),"Missing: start date",IF(COUNTIF(Products!$A$2:$A$101,$B142)=0,"Unknown SKU",IF(COUNTIF(Config!$H$15:$H$34,$E142)=0,"Unsupported status",IF($C142&lt;=0,"Qty must be above 0",IF(AND(ISNUMBER($G142),$G142&lt;$F142),"Release date before start date","OK"))))))))))))</f>
        <v/>
      </c>
    </row>
    <row r="143">
      <c r="A143" s="46" t="n"/>
      <c r="B143" s="46" t="n"/>
      <c r="C143" s="48" t="n"/>
      <c r="D143" s="46" t="n"/>
      <c r="E143" s="46" t="n"/>
      <c r="F143" s="54" t="n"/>
      <c r="G143" s="54" t="n"/>
      <c r="H143" s="46" t="n"/>
      <c r="I143" s="46" t="n"/>
      <c r="J143" s="49" t="str">
        <f>IF($A143="","",IFERROR(INDEX(Products!$B$2:$B$101,MATCH($B143,Products!$A$2:$A$101,0))&amp;"","(not found)"))</f>
        <v/>
      </c>
      <c r="K143" s="52" t="str">
        <f>IF($A143="","",IF(AND(IFERROR(INDEX(Config!$I$15:$I$34,MATCH($E143,Config!$H$15:$H$34,0)),"No")="Yes",ISNUMBER($F143)),IF(AND($F143&lt;=Config!$B$4,OR($G143="",AND(ISNUMBER($G143),$G143&gt;=Config!$B$4))),1,0),0))</f>
        <v/>
      </c>
      <c r="L143" s="50" t="str">
        <f>IF($A143="","",IF(AND($K143=1,ISNUMBER($C143)),$C143,0))</f>
        <v/>
      </c>
      <c r="M143" s="49" t="str">
        <f>IF(COUNTA($A143:$I143)=0,"",IF($A143="","Missing: reservation ID",IF(COUNTIF($A$2:$A$201,$A143)&gt;1,"Duplicate reservation ID",IF($B143="","Missing: SKU",IF(NOT(ISNUMBER($C143)),"Missing: qty",IF($D143="","Missing: reserved for",IF($E143="","Missing: status",IF(NOT(ISNUMBER($F143)),"Missing: start date",IF(COUNTIF(Products!$A$2:$A$101,$B143)=0,"Unknown SKU",IF(COUNTIF(Config!$H$15:$H$34,$E143)=0,"Unsupported status",IF($C143&lt;=0,"Qty must be above 0",IF(AND(ISNUMBER($G143),$G143&lt;$F143),"Release date before start date","OK"))))))))))))</f>
        <v/>
      </c>
    </row>
    <row r="144">
      <c r="A144" s="46" t="n"/>
      <c r="B144" s="46" t="n"/>
      <c r="C144" s="48" t="n"/>
      <c r="D144" s="46" t="n"/>
      <c r="E144" s="46" t="n"/>
      <c r="F144" s="54" t="n"/>
      <c r="G144" s="54" t="n"/>
      <c r="H144" s="46" t="n"/>
      <c r="I144" s="46" t="n"/>
      <c r="J144" s="49" t="str">
        <f>IF($A144="","",IFERROR(INDEX(Products!$B$2:$B$101,MATCH($B144,Products!$A$2:$A$101,0))&amp;"","(not found)"))</f>
        <v/>
      </c>
      <c r="K144" s="52" t="str">
        <f>IF($A144="","",IF(AND(IFERROR(INDEX(Config!$I$15:$I$34,MATCH($E144,Config!$H$15:$H$34,0)),"No")="Yes",ISNUMBER($F144)),IF(AND($F144&lt;=Config!$B$4,OR($G144="",AND(ISNUMBER($G144),$G144&gt;=Config!$B$4))),1,0),0))</f>
        <v/>
      </c>
      <c r="L144" s="50" t="str">
        <f>IF($A144="","",IF(AND($K144=1,ISNUMBER($C144)),$C144,0))</f>
        <v/>
      </c>
      <c r="M144" s="49" t="str">
        <f>IF(COUNTA($A144:$I144)=0,"",IF($A144="","Missing: reservation ID",IF(COUNTIF($A$2:$A$201,$A144)&gt;1,"Duplicate reservation ID",IF($B144="","Missing: SKU",IF(NOT(ISNUMBER($C144)),"Missing: qty",IF($D144="","Missing: reserved for",IF($E144="","Missing: status",IF(NOT(ISNUMBER($F144)),"Missing: start date",IF(COUNTIF(Products!$A$2:$A$101,$B144)=0,"Unknown SKU",IF(COUNTIF(Config!$H$15:$H$34,$E144)=0,"Unsupported status",IF($C144&lt;=0,"Qty must be above 0",IF(AND(ISNUMBER($G144),$G144&lt;$F144),"Release date before start date","OK"))))))))))))</f>
        <v/>
      </c>
    </row>
    <row r="145">
      <c r="A145" s="46" t="n"/>
      <c r="B145" s="46" t="n"/>
      <c r="C145" s="48" t="n"/>
      <c r="D145" s="46" t="n"/>
      <c r="E145" s="46" t="n"/>
      <c r="F145" s="54" t="n"/>
      <c r="G145" s="54" t="n"/>
      <c r="H145" s="46" t="n"/>
      <c r="I145" s="46" t="n"/>
      <c r="J145" s="49" t="str">
        <f>IF($A145="","",IFERROR(INDEX(Products!$B$2:$B$101,MATCH($B145,Products!$A$2:$A$101,0))&amp;"","(not found)"))</f>
        <v/>
      </c>
      <c r="K145" s="52" t="str">
        <f>IF($A145="","",IF(AND(IFERROR(INDEX(Config!$I$15:$I$34,MATCH($E145,Config!$H$15:$H$34,0)),"No")="Yes",ISNUMBER($F145)),IF(AND($F145&lt;=Config!$B$4,OR($G145="",AND(ISNUMBER($G145),$G145&gt;=Config!$B$4))),1,0),0))</f>
        <v/>
      </c>
      <c r="L145" s="50" t="str">
        <f>IF($A145="","",IF(AND($K145=1,ISNUMBER($C145)),$C145,0))</f>
        <v/>
      </c>
      <c r="M145" s="49" t="str">
        <f>IF(COUNTA($A145:$I145)=0,"",IF($A145="","Missing: reservation ID",IF(COUNTIF($A$2:$A$201,$A145)&gt;1,"Duplicate reservation ID",IF($B145="","Missing: SKU",IF(NOT(ISNUMBER($C145)),"Missing: qty",IF($D145="","Missing: reserved for",IF($E145="","Missing: status",IF(NOT(ISNUMBER($F145)),"Missing: start date",IF(COUNTIF(Products!$A$2:$A$101,$B145)=0,"Unknown SKU",IF(COUNTIF(Config!$H$15:$H$34,$E145)=0,"Unsupported status",IF($C145&lt;=0,"Qty must be above 0",IF(AND(ISNUMBER($G145),$G145&lt;$F145),"Release date before start date","OK"))))))))))))</f>
        <v/>
      </c>
    </row>
    <row r="146">
      <c r="A146" s="46" t="n"/>
      <c r="B146" s="46" t="n"/>
      <c r="C146" s="48" t="n"/>
      <c r="D146" s="46" t="n"/>
      <c r="E146" s="46" t="n"/>
      <c r="F146" s="54" t="n"/>
      <c r="G146" s="54" t="n"/>
      <c r="H146" s="46" t="n"/>
      <c r="I146" s="46" t="n"/>
      <c r="J146" s="49" t="str">
        <f>IF($A146="","",IFERROR(INDEX(Products!$B$2:$B$101,MATCH($B146,Products!$A$2:$A$101,0))&amp;"","(not found)"))</f>
        <v/>
      </c>
      <c r="K146" s="52" t="str">
        <f>IF($A146="","",IF(AND(IFERROR(INDEX(Config!$I$15:$I$34,MATCH($E146,Config!$H$15:$H$34,0)),"No")="Yes",ISNUMBER($F146)),IF(AND($F146&lt;=Config!$B$4,OR($G146="",AND(ISNUMBER($G146),$G146&gt;=Config!$B$4))),1,0),0))</f>
        <v/>
      </c>
      <c r="L146" s="50" t="str">
        <f>IF($A146="","",IF(AND($K146=1,ISNUMBER($C146)),$C146,0))</f>
        <v/>
      </c>
      <c r="M146" s="49" t="str">
        <f>IF(COUNTA($A146:$I146)=0,"",IF($A146="","Missing: reservation ID",IF(COUNTIF($A$2:$A$201,$A146)&gt;1,"Duplicate reservation ID",IF($B146="","Missing: SKU",IF(NOT(ISNUMBER($C146)),"Missing: qty",IF($D146="","Missing: reserved for",IF($E146="","Missing: status",IF(NOT(ISNUMBER($F146)),"Missing: start date",IF(COUNTIF(Products!$A$2:$A$101,$B146)=0,"Unknown SKU",IF(COUNTIF(Config!$H$15:$H$34,$E146)=0,"Unsupported status",IF($C146&lt;=0,"Qty must be above 0",IF(AND(ISNUMBER($G146),$G146&lt;$F146),"Release date before start date","OK"))))))))))))</f>
        <v/>
      </c>
    </row>
    <row r="147">
      <c r="A147" s="46" t="n"/>
      <c r="B147" s="46" t="n"/>
      <c r="C147" s="48" t="n"/>
      <c r="D147" s="46" t="n"/>
      <c r="E147" s="46" t="n"/>
      <c r="F147" s="54" t="n"/>
      <c r="G147" s="54" t="n"/>
      <c r="H147" s="46" t="n"/>
      <c r="I147" s="46" t="n"/>
      <c r="J147" s="49" t="str">
        <f>IF($A147="","",IFERROR(INDEX(Products!$B$2:$B$101,MATCH($B147,Products!$A$2:$A$101,0))&amp;"","(not found)"))</f>
        <v/>
      </c>
      <c r="K147" s="52" t="str">
        <f>IF($A147="","",IF(AND(IFERROR(INDEX(Config!$I$15:$I$34,MATCH($E147,Config!$H$15:$H$34,0)),"No")="Yes",ISNUMBER($F147)),IF(AND($F147&lt;=Config!$B$4,OR($G147="",AND(ISNUMBER($G147),$G147&gt;=Config!$B$4))),1,0),0))</f>
        <v/>
      </c>
      <c r="L147" s="50" t="str">
        <f>IF($A147="","",IF(AND($K147=1,ISNUMBER($C147)),$C147,0))</f>
        <v/>
      </c>
      <c r="M147" s="49" t="str">
        <f>IF(COUNTA($A147:$I147)=0,"",IF($A147="","Missing: reservation ID",IF(COUNTIF($A$2:$A$201,$A147)&gt;1,"Duplicate reservation ID",IF($B147="","Missing: SKU",IF(NOT(ISNUMBER($C147)),"Missing: qty",IF($D147="","Missing: reserved for",IF($E147="","Missing: status",IF(NOT(ISNUMBER($F147)),"Missing: start date",IF(COUNTIF(Products!$A$2:$A$101,$B147)=0,"Unknown SKU",IF(COUNTIF(Config!$H$15:$H$34,$E147)=0,"Unsupported status",IF($C147&lt;=0,"Qty must be above 0",IF(AND(ISNUMBER($G147),$G147&lt;$F147),"Release date before start date","OK"))))))))))))</f>
        <v/>
      </c>
    </row>
    <row r="148">
      <c r="A148" s="46" t="n"/>
      <c r="B148" s="46" t="n"/>
      <c r="C148" s="48" t="n"/>
      <c r="D148" s="46" t="n"/>
      <c r="E148" s="46" t="n"/>
      <c r="F148" s="54" t="n"/>
      <c r="G148" s="54" t="n"/>
      <c r="H148" s="46" t="n"/>
      <c r="I148" s="46" t="n"/>
      <c r="J148" s="49" t="str">
        <f>IF($A148="","",IFERROR(INDEX(Products!$B$2:$B$101,MATCH($B148,Products!$A$2:$A$101,0))&amp;"","(not found)"))</f>
        <v/>
      </c>
      <c r="K148" s="52" t="str">
        <f>IF($A148="","",IF(AND(IFERROR(INDEX(Config!$I$15:$I$34,MATCH($E148,Config!$H$15:$H$34,0)),"No")="Yes",ISNUMBER($F148)),IF(AND($F148&lt;=Config!$B$4,OR($G148="",AND(ISNUMBER($G148),$G148&gt;=Config!$B$4))),1,0),0))</f>
        <v/>
      </c>
      <c r="L148" s="50" t="str">
        <f>IF($A148="","",IF(AND($K148=1,ISNUMBER($C148)),$C148,0))</f>
        <v/>
      </c>
      <c r="M148" s="49" t="str">
        <f>IF(COUNTA($A148:$I148)=0,"",IF($A148="","Missing: reservation ID",IF(COUNTIF($A$2:$A$201,$A148)&gt;1,"Duplicate reservation ID",IF($B148="","Missing: SKU",IF(NOT(ISNUMBER($C148)),"Missing: qty",IF($D148="","Missing: reserved for",IF($E148="","Missing: status",IF(NOT(ISNUMBER($F148)),"Missing: start date",IF(COUNTIF(Products!$A$2:$A$101,$B148)=0,"Unknown SKU",IF(COUNTIF(Config!$H$15:$H$34,$E148)=0,"Unsupported status",IF($C148&lt;=0,"Qty must be above 0",IF(AND(ISNUMBER($G148),$G148&lt;$F148),"Release date before start date","OK"))))))))))))</f>
        <v/>
      </c>
    </row>
    <row r="149">
      <c r="A149" s="46" t="n"/>
      <c r="B149" s="46" t="n"/>
      <c r="C149" s="48" t="n"/>
      <c r="D149" s="46" t="n"/>
      <c r="E149" s="46" t="n"/>
      <c r="F149" s="54" t="n"/>
      <c r="G149" s="54" t="n"/>
      <c r="H149" s="46" t="n"/>
      <c r="I149" s="46" t="n"/>
      <c r="J149" s="49" t="str">
        <f>IF($A149="","",IFERROR(INDEX(Products!$B$2:$B$101,MATCH($B149,Products!$A$2:$A$101,0))&amp;"","(not found)"))</f>
        <v/>
      </c>
      <c r="K149" s="52" t="str">
        <f>IF($A149="","",IF(AND(IFERROR(INDEX(Config!$I$15:$I$34,MATCH($E149,Config!$H$15:$H$34,0)),"No")="Yes",ISNUMBER($F149)),IF(AND($F149&lt;=Config!$B$4,OR($G149="",AND(ISNUMBER($G149),$G149&gt;=Config!$B$4))),1,0),0))</f>
        <v/>
      </c>
      <c r="L149" s="50" t="str">
        <f>IF($A149="","",IF(AND($K149=1,ISNUMBER($C149)),$C149,0))</f>
        <v/>
      </c>
      <c r="M149" s="49" t="str">
        <f>IF(COUNTA($A149:$I149)=0,"",IF($A149="","Missing: reservation ID",IF(COUNTIF($A$2:$A$201,$A149)&gt;1,"Duplicate reservation ID",IF($B149="","Missing: SKU",IF(NOT(ISNUMBER($C149)),"Missing: qty",IF($D149="","Missing: reserved for",IF($E149="","Missing: status",IF(NOT(ISNUMBER($F149)),"Missing: start date",IF(COUNTIF(Products!$A$2:$A$101,$B149)=0,"Unknown SKU",IF(COUNTIF(Config!$H$15:$H$34,$E149)=0,"Unsupported status",IF($C149&lt;=0,"Qty must be above 0",IF(AND(ISNUMBER($G149),$G149&lt;$F149),"Release date before start date","OK"))))))))))))</f>
        <v/>
      </c>
    </row>
    <row r="150">
      <c r="A150" s="46" t="n"/>
      <c r="B150" s="46" t="n"/>
      <c r="C150" s="48" t="n"/>
      <c r="D150" s="46" t="n"/>
      <c r="E150" s="46" t="n"/>
      <c r="F150" s="54" t="n"/>
      <c r="G150" s="54" t="n"/>
      <c r="H150" s="46" t="n"/>
      <c r="I150" s="46" t="n"/>
      <c r="J150" s="49" t="str">
        <f>IF($A150="","",IFERROR(INDEX(Products!$B$2:$B$101,MATCH($B150,Products!$A$2:$A$101,0))&amp;"","(not found)"))</f>
        <v/>
      </c>
      <c r="K150" s="52" t="str">
        <f>IF($A150="","",IF(AND(IFERROR(INDEX(Config!$I$15:$I$34,MATCH($E150,Config!$H$15:$H$34,0)),"No")="Yes",ISNUMBER($F150)),IF(AND($F150&lt;=Config!$B$4,OR($G150="",AND(ISNUMBER($G150),$G150&gt;=Config!$B$4))),1,0),0))</f>
        <v/>
      </c>
      <c r="L150" s="50" t="str">
        <f>IF($A150="","",IF(AND($K150=1,ISNUMBER($C150)),$C150,0))</f>
        <v/>
      </c>
      <c r="M150" s="49" t="str">
        <f>IF(COUNTA($A150:$I150)=0,"",IF($A150="","Missing: reservation ID",IF(COUNTIF($A$2:$A$201,$A150)&gt;1,"Duplicate reservation ID",IF($B150="","Missing: SKU",IF(NOT(ISNUMBER($C150)),"Missing: qty",IF($D150="","Missing: reserved for",IF($E150="","Missing: status",IF(NOT(ISNUMBER($F150)),"Missing: start date",IF(COUNTIF(Products!$A$2:$A$101,$B150)=0,"Unknown SKU",IF(COUNTIF(Config!$H$15:$H$34,$E150)=0,"Unsupported status",IF($C150&lt;=0,"Qty must be above 0",IF(AND(ISNUMBER($G150),$G150&lt;$F150),"Release date before start date","OK"))))))))))))</f>
        <v/>
      </c>
    </row>
    <row r="151">
      <c r="A151" s="46" t="n"/>
      <c r="B151" s="46" t="n"/>
      <c r="C151" s="48" t="n"/>
      <c r="D151" s="46" t="n"/>
      <c r="E151" s="46" t="n"/>
      <c r="F151" s="54" t="n"/>
      <c r="G151" s="54" t="n"/>
      <c r="H151" s="46" t="n"/>
      <c r="I151" s="46" t="n"/>
      <c r="J151" s="49" t="str">
        <f>IF($A151="","",IFERROR(INDEX(Products!$B$2:$B$101,MATCH($B151,Products!$A$2:$A$101,0))&amp;"","(not found)"))</f>
        <v/>
      </c>
      <c r="K151" s="52" t="str">
        <f>IF($A151="","",IF(AND(IFERROR(INDEX(Config!$I$15:$I$34,MATCH($E151,Config!$H$15:$H$34,0)),"No")="Yes",ISNUMBER($F151)),IF(AND($F151&lt;=Config!$B$4,OR($G151="",AND(ISNUMBER($G151),$G151&gt;=Config!$B$4))),1,0),0))</f>
        <v/>
      </c>
      <c r="L151" s="50" t="str">
        <f>IF($A151="","",IF(AND($K151=1,ISNUMBER($C151)),$C151,0))</f>
        <v/>
      </c>
      <c r="M151" s="49" t="str">
        <f>IF(COUNTA($A151:$I151)=0,"",IF($A151="","Missing: reservation ID",IF(COUNTIF($A$2:$A$201,$A151)&gt;1,"Duplicate reservation ID",IF($B151="","Missing: SKU",IF(NOT(ISNUMBER($C151)),"Missing: qty",IF($D151="","Missing: reserved for",IF($E151="","Missing: status",IF(NOT(ISNUMBER($F151)),"Missing: start date",IF(COUNTIF(Products!$A$2:$A$101,$B151)=0,"Unknown SKU",IF(COUNTIF(Config!$H$15:$H$34,$E151)=0,"Unsupported status",IF($C151&lt;=0,"Qty must be above 0",IF(AND(ISNUMBER($G151),$G151&lt;$F151),"Release date before start date","OK"))))))))))))</f>
        <v/>
      </c>
    </row>
    <row r="152">
      <c r="A152" s="46" t="n"/>
      <c r="B152" s="46" t="n"/>
      <c r="C152" s="48" t="n"/>
      <c r="D152" s="46" t="n"/>
      <c r="E152" s="46" t="n"/>
      <c r="F152" s="54" t="n"/>
      <c r="G152" s="54" t="n"/>
      <c r="H152" s="46" t="n"/>
      <c r="I152" s="46" t="n"/>
      <c r="J152" s="49" t="str">
        <f>IF($A152="","",IFERROR(INDEX(Products!$B$2:$B$101,MATCH($B152,Products!$A$2:$A$101,0))&amp;"","(not found)"))</f>
        <v/>
      </c>
      <c r="K152" s="52" t="str">
        <f>IF($A152="","",IF(AND(IFERROR(INDEX(Config!$I$15:$I$34,MATCH($E152,Config!$H$15:$H$34,0)),"No")="Yes",ISNUMBER($F152)),IF(AND($F152&lt;=Config!$B$4,OR($G152="",AND(ISNUMBER($G152),$G152&gt;=Config!$B$4))),1,0),0))</f>
        <v/>
      </c>
      <c r="L152" s="50" t="str">
        <f>IF($A152="","",IF(AND($K152=1,ISNUMBER($C152)),$C152,0))</f>
        <v/>
      </c>
      <c r="M152" s="49" t="str">
        <f>IF(COUNTA($A152:$I152)=0,"",IF($A152="","Missing: reservation ID",IF(COUNTIF($A$2:$A$201,$A152)&gt;1,"Duplicate reservation ID",IF($B152="","Missing: SKU",IF(NOT(ISNUMBER($C152)),"Missing: qty",IF($D152="","Missing: reserved for",IF($E152="","Missing: status",IF(NOT(ISNUMBER($F152)),"Missing: start date",IF(COUNTIF(Products!$A$2:$A$101,$B152)=0,"Unknown SKU",IF(COUNTIF(Config!$H$15:$H$34,$E152)=0,"Unsupported status",IF($C152&lt;=0,"Qty must be above 0",IF(AND(ISNUMBER($G152),$G152&lt;$F152),"Release date before start date","OK"))))))))))))</f>
        <v/>
      </c>
    </row>
    <row r="153">
      <c r="A153" s="46" t="n"/>
      <c r="B153" s="46" t="n"/>
      <c r="C153" s="48" t="n"/>
      <c r="D153" s="46" t="n"/>
      <c r="E153" s="46" t="n"/>
      <c r="F153" s="54" t="n"/>
      <c r="G153" s="54" t="n"/>
      <c r="H153" s="46" t="n"/>
      <c r="I153" s="46" t="n"/>
      <c r="J153" s="49" t="str">
        <f>IF($A153="","",IFERROR(INDEX(Products!$B$2:$B$101,MATCH($B153,Products!$A$2:$A$101,0))&amp;"","(not found)"))</f>
        <v/>
      </c>
      <c r="K153" s="52" t="str">
        <f>IF($A153="","",IF(AND(IFERROR(INDEX(Config!$I$15:$I$34,MATCH($E153,Config!$H$15:$H$34,0)),"No")="Yes",ISNUMBER($F153)),IF(AND($F153&lt;=Config!$B$4,OR($G153="",AND(ISNUMBER($G153),$G153&gt;=Config!$B$4))),1,0),0))</f>
        <v/>
      </c>
      <c r="L153" s="50" t="str">
        <f>IF($A153="","",IF(AND($K153=1,ISNUMBER($C153)),$C153,0))</f>
        <v/>
      </c>
      <c r="M153" s="49" t="str">
        <f>IF(COUNTA($A153:$I153)=0,"",IF($A153="","Missing: reservation ID",IF(COUNTIF($A$2:$A$201,$A153)&gt;1,"Duplicate reservation ID",IF($B153="","Missing: SKU",IF(NOT(ISNUMBER($C153)),"Missing: qty",IF($D153="","Missing: reserved for",IF($E153="","Missing: status",IF(NOT(ISNUMBER($F153)),"Missing: start date",IF(COUNTIF(Products!$A$2:$A$101,$B153)=0,"Unknown SKU",IF(COUNTIF(Config!$H$15:$H$34,$E153)=0,"Unsupported status",IF($C153&lt;=0,"Qty must be above 0",IF(AND(ISNUMBER($G153),$G153&lt;$F153),"Release date before start date","OK"))))))))))))</f>
        <v/>
      </c>
    </row>
    <row r="154">
      <c r="A154" s="46" t="n"/>
      <c r="B154" s="46" t="n"/>
      <c r="C154" s="48" t="n"/>
      <c r="D154" s="46" t="n"/>
      <c r="E154" s="46" t="n"/>
      <c r="F154" s="54" t="n"/>
      <c r="G154" s="54" t="n"/>
      <c r="H154" s="46" t="n"/>
      <c r="I154" s="46" t="n"/>
      <c r="J154" s="49" t="str">
        <f>IF($A154="","",IFERROR(INDEX(Products!$B$2:$B$101,MATCH($B154,Products!$A$2:$A$101,0))&amp;"","(not found)"))</f>
        <v/>
      </c>
      <c r="K154" s="52" t="str">
        <f>IF($A154="","",IF(AND(IFERROR(INDEX(Config!$I$15:$I$34,MATCH($E154,Config!$H$15:$H$34,0)),"No")="Yes",ISNUMBER($F154)),IF(AND($F154&lt;=Config!$B$4,OR($G154="",AND(ISNUMBER($G154),$G154&gt;=Config!$B$4))),1,0),0))</f>
        <v/>
      </c>
      <c r="L154" s="50" t="str">
        <f>IF($A154="","",IF(AND($K154=1,ISNUMBER($C154)),$C154,0))</f>
        <v/>
      </c>
      <c r="M154" s="49" t="str">
        <f>IF(COUNTA($A154:$I154)=0,"",IF($A154="","Missing: reservation ID",IF(COUNTIF($A$2:$A$201,$A154)&gt;1,"Duplicate reservation ID",IF($B154="","Missing: SKU",IF(NOT(ISNUMBER($C154)),"Missing: qty",IF($D154="","Missing: reserved for",IF($E154="","Missing: status",IF(NOT(ISNUMBER($F154)),"Missing: start date",IF(COUNTIF(Products!$A$2:$A$101,$B154)=0,"Unknown SKU",IF(COUNTIF(Config!$H$15:$H$34,$E154)=0,"Unsupported status",IF($C154&lt;=0,"Qty must be above 0",IF(AND(ISNUMBER($G154),$G154&lt;$F154),"Release date before start date","OK"))))))))))))</f>
        <v/>
      </c>
    </row>
    <row r="155">
      <c r="A155" s="46" t="n"/>
      <c r="B155" s="46" t="n"/>
      <c r="C155" s="48" t="n"/>
      <c r="D155" s="46" t="n"/>
      <c r="E155" s="46" t="n"/>
      <c r="F155" s="54" t="n"/>
      <c r="G155" s="54" t="n"/>
      <c r="H155" s="46" t="n"/>
      <c r="I155" s="46" t="n"/>
      <c r="J155" s="49" t="str">
        <f>IF($A155="","",IFERROR(INDEX(Products!$B$2:$B$101,MATCH($B155,Products!$A$2:$A$101,0))&amp;"","(not found)"))</f>
        <v/>
      </c>
      <c r="K155" s="52" t="str">
        <f>IF($A155="","",IF(AND(IFERROR(INDEX(Config!$I$15:$I$34,MATCH($E155,Config!$H$15:$H$34,0)),"No")="Yes",ISNUMBER($F155)),IF(AND($F155&lt;=Config!$B$4,OR($G155="",AND(ISNUMBER($G155),$G155&gt;=Config!$B$4))),1,0),0))</f>
        <v/>
      </c>
      <c r="L155" s="50" t="str">
        <f>IF($A155="","",IF(AND($K155=1,ISNUMBER($C155)),$C155,0))</f>
        <v/>
      </c>
      <c r="M155" s="49" t="str">
        <f>IF(COUNTA($A155:$I155)=0,"",IF($A155="","Missing: reservation ID",IF(COUNTIF($A$2:$A$201,$A155)&gt;1,"Duplicate reservation ID",IF($B155="","Missing: SKU",IF(NOT(ISNUMBER($C155)),"Missing: qty",IF($D155="","Missing: reserved for",IF($E155="","Missing: status",IF(NOT(ISNUMBER($F155)),"Missing: start date",IF(COUNTIF(Products!$A$2:$A$101,$B155)=0,"Unknown SKU",IF(COUNTIF(Config!$H$15:$H$34,$E155)=0,"Unsupported status",IF($C155&lt;=0,"Qty must be above 0",IF(AND(ISNUMBER($G155),$G155&lt;$F155),"Release date before start date","OK"))))))))))))</f>
        <v/>
      </c>
    </row>
    <row r="156">
      <c r="A156" s="46" t="n"/>
      <c r="B156" s="46" t="n"/>
      <c r="C156" s="48" t="n"/>
      <c r="D156" s="46" t="n"/>
      <c r="E156" s="46" t="n"/>
      <c r="F156" s="54" t="n"/>
      <c r="G156" s="54" t="n"/>
      <c r="H156" s="46" t="n"/>
      <c r="I156" s="46" t="n"/>
      <c r="J156" s="49" t="str">
        <f>IF($A156="","",IFERROR(INDEX(Products!$B$2:$B$101,MATCH($B156,Products!$A$2:$A$101,0))&amp;"","(not found)"))</f>
        <v/>
      </c>
      <c r="K156" s="52" t="str">
        <f>IF($A156="","",IF(AND(IFERROR(INDEX(Config!$I$15:$I$34,MATCH($E156,Config!$H$15:$H$34,0)),"No")="Yes",ISNUMBER($F156)),IF(AND($F156&lt;=Config!$B$4,OR($G156="",AND(ISNUMBER($G156),$G156&gt;=Config!$B$4))),1,0),0))</f>
        <v/>
      </c>
      <c r="L156" s="50" t="str">
        <f>IF($A156="","",IF(AND($K156=1,ISNUMBER($C156)),$C156,0))</f>
        <v/>
      </c>
      <c r="M156" s="49" t="str">
        <f>IF(COUNTA($A156:$I156)=0,"",IF($A156="","Missing: reservation ID",IF(COUNTIF($A$2:$A$201,$A156)&gt;1,"Duplicate reservation ID",IF($B156="","Missing: SKU",IF(NOT(ISNUMBER($C156)),"Missing: qty",IF($D156="","Missing: reserved for",IF($E156="","Missing: status",IF(NOT(ISNUMBER($F156)),"Missing: start date",IF(COUNTIF(Products!$A$2:$A$101,$B156)=0,"Unknown SKU",IF(COUNTIF(Config!$H$15:$H$34,$E156)=0,"Unsupported status",IF($C156&lt;=0,"Qty must be above 0",IF(AND(ISNUMBER($G156),$G156&lt;$F156),"Release date before start date","OK"))))))))))))</f>
        <v/>
      </c>
    </row>
    <row r="157">
      <c r="A157" s="46" t="n"/>
      <c r="B157" s="46" t="n"/>
      <c r="C157" s="48" t="n"/>
      <c r="D157" s="46" t="n"/>
      <c r="E157" s="46" t="n"/>
      <c r="F157" s="54" t="n"/>
      <c r="G157" s="54" t="n"/>
      <c r="H157" s="46" t="n"/>
      <c r="I157" s="46" t="n"/>
      <c r="J157" s="49" t="str">
        <f>IF($A157="","",IFERROR(INDEX(Products!$B$2:$B$101,MATCH($B157,Products!$A$2:$A$101,0))&amp;"","(not found)"))</f>
        <v/>
      </c>
      <c r="K157" s="52" t="str">
        <f>IF($A157="","",IF(AND(IFERROR(INDEX(Config!$I$15:$I$34,MATCH($E157,Config!$H$15:$H$34,0)),"No")="Yes",ISNUMBER($F157)),IF(AND($F157&lt;=Config!$B$4,OR($G157="",AND(ISNUMBER($G157),$G157&gt;=Config!$B$4))),1,0),0))</f>
        <v/>
      </c>
      <c r="L157" s="50" t="str">
        <f>IF($A157="","",IF(AND($K157=1,ISNUMBER($C157)),$C157,0))</f>
        <v/>
      </c>
      <c r="M157" s="49" t="str">
        <f>IF(COUNTA($A157:$I157)=0,"",IF($A157="","Missing: reservation ID",IF(COUNTIF($A$2:$A$201,$A157)&gt;1,"Duplicate reservation ID",IF($B157="","Missing: SKU",IF(NOT(ISNUMBER($C157)),"Missing: qty",IF($D157="","Missing: reserved for",IF($E157="","Missing: status",IF(NOT(ISNUMBER($F157)),"Missing: start date",IF(COUNTIF(Products!$A$2:$A$101,$B157)=0,"Unknown SKU",IF(COUNTIF(Config!$H$15:$H$34,$E157)=0,"Unsupported status",IF($C157&lt;=0,"Qty must be above 0",IF(AND(ISNUMBER($G157),$G157&lt;$F157),"Release date before start date","OK"))))))))))))</f>
        <v/>
      </c>
    </row>
    <row r="158">
      <c r="A158" s="46" t="n"/>
      <c r="B158" s="46" t="n"/>
      <c r="C158" s="48" t="n"/>
      <c r="D158" s="46" t="n"/>
      <c r="E158" s="46" t="n"/>
      <c r="F158" s="54" t="n"/>
      <c r="G158" s="54" t="n"/>
      <c r="H158" s="46" t="n"/>
      <c r="I158" s="46" t="n"/>
      <c r="J158" s="49" t="str">
        <f>IF($A158="","",IFERROR(INDEX(Products!$B$2:$B$101,MATCH($B158,Products!$A$2:$A$101,0))&amp;"","(not found)"))</f>
        <v/>
      </c>
      <c r="K158" s="52" t="str">
        <f>IF($A158="","",IF(AND(IFERROR(INDEX(Config!$I$15:$I$34,MATCH($E158,Config!$H$15:$H$34,0)),"No")="Yes",ISNUMBER($F158)),IF(AND($F158&lt;=Config!$B$4,OR($G158="",AND(ISNUMBER($G158),$G158&gt;=Config!$B$4))),1,0),0))</f>
        <v/>
      </c>
      <c r="L158" s="50" t="str">
        <f>IF($A158="","",IF(AND($K158=1,ISNUMBER($C158)),$C158,0))</f>
        <v/>
      </c>
      <c r="M158" s="49" t="str">
        <f>IF(COUNTA($A158:$I158)=0,"",IF($A158="","Missing: reservation ID",IF(COUNTIF($A$2:$A$201,$A158)&gt;1,"Duplicate reservation ID",IF($B158="","Missing: SKU",IF(NOT(ISNUMBER($C158)),"Missing: qty",IF($D158="","Missing: reserved for",IF($E158="","Missing: status",IF(NOT(ISNUMBER($F158)),"Missing: start date",IF(COUNTIF(Products!$A$2:$A$101,$B158)=0,"Unknown SKU",IF(COUNTIF(Config!$H$15:$H$34,$E158)=0,"Unsupported status",IF($C158&lt;=0,"Qty must be above 0",IF(AND(ISNUMBER($G158),$G158&lt;$F158),"Release date before start date","OK"))))))))))))</f>
        <v/>
      </c>
    </row>
    <row r="159">
      <c r="A159" s="46" t="n"/>
      <c r="B159" s="46" t="n"/>
      <c r="C159" s="48" t="n"/>
      <c r="D159" s="46" t="n"/>
      <c r="E159" s="46" t="n"/>
      <c r="F159" s="54" t="n"/>
      <c r="G159" s="54" t="n"/>
      <c r="H159" s="46" t="n"/>
      <c r="I159" s="46" t="n"/>
      <c r="J159" s="49" t="str">
        <f>IF($A159="","",IFERROR(INDEX(Products!$B$2:$B$101,MATCH($B159,Products!$A$2:$A$101,0))&amp;"","(not found)"))</f>
        <v/>
      </c>
      <c r="K159" s="52" t="str">
        <f>IF($A159="","",IF(AND(IFERROR(INDEX(Config!$I$15:$I$34,MATCH($E159,Config!$H$15:$H$34,0)),"No")="Yes",ISNUMBER($F159)),IF(AND($F159&lt;=Config!$B$4,OR($G159="",AND(ISNUMBER($G159),$G159&gt;=Config!$B$4))),1,0),0))</f>
        <v/>
      </c>
      <c r="L159" s="50" t="str">
        <f>IF($A159="","",IF(AND($K159=1,ISNUMBER($C159)),$C159,0))</f>
        <v/>
      </c>
      <c r="M159" s="49" t="str">
        <f>IF(COUNTA($A159:$I159)=0,"",IF($A159="","Missing: reservation ID",IF(COUNTIF($A$2:$A$201,$A159)&gt;1,"Duplicate reservation ID",IF($B159="","Missing: SKU",IF(NOT(ISNUMBER($C159)),"Missing: qty",IF($D159="","Missing: reserved for",IF($E159="","Missing: status",IF(NOT(ISNUMBER($F159)),"Missing: start date",IF(COUNTIF(Products!$A$2:$A$101,$B159)=0,"Unknown SKU",IF(COUNTIF(Config!$H$15:$H$34,$E159)=0,"Unsupported status",IF($C159&lt;=0,"Qty must be above 0",IF(AND(ISNUMBER($G159),$G159&lt;$F159),"Release date before start date","OK"))))))))))))</f>
        <v/>
      </c>
    </row>
    <row r="160">
      <c r="A160" s="46" t="n"/>
      <c r="B160" s="46" t="n"/>
      <c r="C160" s="48" t="n"/>
      <c r="D160" s="46" t="n"/>
      <c r="E160" s="46" t="n"/>
      <c r="F160" s="54" t="n"/>
      <c r="G160" s="54" t="n"/>
      <c r="H160" s="46" t="n"/>
      <c r="I160" s="46" t="n"/>
      <c r="J160" s="49" t="str">
        <f>IF($A160="","",IFERROR(INDEX(Products!$B$2:$B$101,MATCH($B160,Products!$A$2:$A$101,0))&amp;"","(not found)"))</f>
        <v/>
      </c>
      <c r="K160" s="52" t="str">
        <f>IF($A160="","",IF(AND(IFERROR(INDEX(Config!$I$15:$I$34,MATCH($E160,Config!$H$15:$H$34,0)),"No")="Yes",ISNUMBER($F160)),IF(AND($F160&lt;=Config!$B$4,OR($G160="",AND(ISNUMBER($G160),$G160&gt;=Config!$B$4))),1,0),0))</f>
        <v/>
      </c>
      <c r="L160" s="50" t="str">
        <f>IF($A160="","",IF(AND($K160=1,ISNUMBER($C160)),$C160,0))</f>
        <v/>
      </c>
      <c r="M160" s="49" t="str">
        <f>IF(COUNTA($A160:$I160)=0,"",IF($A160="","Missing: reservation ID",IF(COUNTIF($A$2:$A$201,$A160)&gt;1,"Duplicate reservation ID",IF($B160="","Missing: SKU",IF(NOT(ISNUMBER($C160)),"Missing: qty",IF($D160="","Missing: reserved for",IF($E160="","Missing: status",IF(NOT(ISNUMBER($F160)),"Missing: start date",IF(COUNTIF(Products!$A$2:$A$101,$B160)=0,"Unknown SKU",IF(COUNTIF(Config!$H$15:$H$34,$E160)=0,"Unsupported status",IF($C160&lt;=0,"Qty must be above 0",IF(AND(ISNUMBER($G160),$G160&lt;$F160),"Release date before start date","OK"))))))))))))</f>
        <v/>
      </c>
    </row>
    <row r="161">
      <c r="A161" s="46" t="n"/>
      <c r="B161" s="46" t="n"/>
      <c r="C161" s="48" t="n"/>
      <c r="D161" s="46" t="n"/>
      <c r="E161" s="46" t="n"/>
      <c r="F161" s="54" t="n"/>
      <c r="G161" s="54" t="n"/>
      <c r="H161" s="46" t="n"/>
      <c r="I161" s="46" t="n"/>
      <c r="J161" s="49" t="str">
        <f>IF($A161="","",IFERROR(INDEX(Products!$B$2:$B$101,MATCH($B161,Products!$A$2:$A$101,0))&amp;"","(not found)"))</f>
        <v/>
      </c>
      <c r="K161" s="52" t="str">
        <f>IF($A161="","",IF(AND(IFERROR(INDEX(Config!$I$15:$I$34,MATCH($E161,Config!$H$15:$H$34,0)),"No")="Yes",ISNUMBER($F161)),IF(AND($F161&lt;=Config!$B$4,OR($G161="",AND(ISNUMBER($G161),$G161&gt;=Config!$B$4))),1,0),0))</f>
        <v/>
      </c>
      <c r="L161" s="50" t="str">
        <f>IF($A161="","",IF(AND($K161=1,ISNUMBER($C161)),$C161,0))</f>
        <v/>
      </c>
      <c r="M161" s="49" t="str">
        <f>IF(COUNTA($A161:$I161)=0,"",IF($A161="","Missing: reservation ID",IF(COUNTIF($A$2:$A$201,$A161)&gt;1,"Duplicate reservation ID",IF($B161="","Missing: SKU",IF(NOT(ISNUMBER($C161)),"Missing: qty",IF($D161="","Missing: reserved for",IF($E161="","Missing: status",IF(NOT(ISNUMBER($F161)),"Missing: start date",IF(COUNTIF(Products!$A$2:$A$101,$B161)=0,"Unknown SKU",IF(COUNTIF(Config!$H$15:$H$34,$E161)=0,"Unsupported status",IF($C161&lt;=0,"Qty must be above 0",IF(AND(ISNUMBER($G161),$G161&lt;$F161),"Release date before start date","OK"))))))))))))</f>
        <v/>
      </c>
    </row>
    <row r="162">
      <c r="A162" s="46" t="n"/>
      <c r="B162" s="46" t="n"/>
      <c r="C162" s="48" t="n"/>
      <c r="D162" s="46" t="n"/>
      <c r="E162" s="46" t="n"/>
      <c r="F162" s="54" t="n"/>
      <c r="G162" s="54" t="n"/>
      <c r="H162" s="46" t="n"/>
      <c r="I162" s="46" t="n"/>
      <c r="J162" s="49" t="str">
        <f>IF($A162="","",IFERROR(INDEX(Products!$B$2:$B$101,MATCH($B162,Products!$A$2:$A$101,0))&amp;"","(not found)"))</f>
        <v/>
      </c>
      <c r="K162" s="52" t="str">
        <f>IF($A162="","",IF(AND(IFERROR(INDEX(Config!$I$15:$I$34,MATCH($E162,Config!$H$15:$H$34,0)),"No")="Yes",ISNUMBER($F162)),IF(AND($F162&lt;=Config!$B$4,OR($G162="",AND(ISNUMBER($G162),$G162&gt;=Config!$B$4))),1,0),0))</f>
        <v/>
      </c>
      <c r="L162" s="50" t="str">
        <f>IF($A162="","",IF(AND($K162=1,ISNUMBER($C162)),$C162,0))</f>
        <v/>
      </c>
      <c r="M162" s="49" t="str">
        <f>IF(COUNTA($A162:$I162)=0,"",IF($A162="","Missing: reservation ID",IF(COUNTIF($A$2:$A$201,$A162)&gt;1,"Duplicate reservation ID",IF($B162="","Missing: SKU",IF(NOT(ISNUMBER($C162)),"Missing: qty",IF($D162="","Missing: reserved for",IF($E162="","Missing: status",IF(NOT(ISNUMBER($F162)),"Missing: start date",IF(COUNTIF(Products!$A$2:$A$101,$B162)=0,"Unknown SKU",IF(COUNTIF(Config!$H$15:$H$34,$E162)=0,"Unsupported status",IF($C162&lt;=0,"Qty must be above 0",IF(AND(ISNUMBER($G162),$G162&lt;$F162),"Release date before start date","OK"))))))))))))</f>
        <v/>
      </c>
    </row>
    <row r="163">
      <c r="A163" s="46" t="n"/>
      <c r="B163" s="46" t="n"/>
      <c r="C163" s="48" t="n"/>
      <c r="D163" s="46" t="n"/>
      <c r="E163" s="46" t="n"/>
      <c r="F163" s="54" t="n"/>
      <c r="G163" s="54" t="n"/>
      <c r="H163" s="46" t="n"/>
      <c r="I163" s="46" t="n"/>
      <c r="J163" s="49" t="str">
        <f>IF($A163="","",IFERROR(INDEX(Products!$B$2:$B$101,MATCH($B163,Products!$A$2:$A$101,0))&amp;"","(not found)"))</f>
        <v/>
      </c>
      <c r="K163" s="52" t="str">
        <f>IF($A163="","",IF(AND(IFERROR(INDEX(Config!$I$15:$I$34,MATCH($E163,Config!$H$15:$H$34,0)),"No")="Yes",ISNUMBER($F163)),IF(AND($F163&lt;=Config!$B$4,OR($G163="",AND(ISNUMBER($G163),$G163&gt;=Config!$B$4))),1,0),0))</f>
        <v/>
      </c>
      <c r="L163" s="50" t="str">
        <f>IF($A163="","",IF(AND($K163=1,ISNUMBER($C163)),$C163,0))</f>
        <v/>
      </c>
      <c r="M163" s="49" t="str">
        <f>IF(COUNTA($A163:$I163)=0,"",IF($A163="","Missing: reservation ID",IF(COUNTIF($A$2:$A$201,$A163)&gt;1,"Duplicate reservation ID",IF($B163="","Missing: SKU",IF(NOT(ISNUMBER($C163)),"Missing: qty",IF($D163="","Missing: reserved for",IF($E163="","Missing: status",IF(NOT(ISNUMBER($F163)),"Missing: start date",IF(COUNTIF(Products!$A$2:$A$101,$B163)=0,"Unknown SKU",IF(COUNTIF(Config!$H$15:$H$34,$E163)=0,"Unsupported status",IF($C163&lt;=0,"Qty must be above 0",IF(AND(ISNUMBER($G163),$G163&lt;$F163),"Release date before start date","OK"))))))))))))</f>
        <v/>
      </c>
    </row>
    <row r="164">
      <c r="A164" s="46" t="n"/>
      <c r="B164" s="46" t="n"/>
      <c r="C164" s="48" t="n"/>
      <c r="D164" s="46" t="n"/>
      <c r="E164" s="46" t="n"/>
      <c r="F164" s="54" t="n"/>
      <c r="G164" s="54" t="n"/>
      <c r="H164" s="46" t="n"/>
      <c r="I164" s="46" t="n"/>
      <c r="J164" s="49" t="str">
        <f>IF($A164="","",IFERROR(INDEX(Products!$B$2:$B$101,MATCH($B164,Products!$A$2:$A$101,0))&amp;"","(not found)"))</f>
        <v/>
      </c>
      <c r="K164" s="52" t="str">
        <f>IF($A164="","",IF(AND(IFERROR(INDEX(Config!$I$15:$I$34,MATCH($E164,Config!$H$15:$H$34,0)),"No")="Yes",ISNUMBER($F164)),IF(AND($F164&lt;=Config!$B$4,OR($G164="",AND(ISNUMBER($G164),$G164&gt;=Config!$B$4))),1,0),0))</f>
        <v/>
      </c>
      <c r="L164" s="50" t="str">
        <f>IF($A164="","",IF(AND($K164=1,ISNUMBER($C164)),$C164,0))</f>
        <v/>
      </c>
      <c r="M164" s="49" t="str">
        <f>IF(COUNTA($A164:$I164)=0,"",IF($A164="","Missing: reservation ID",IF(COUNTIF($A$2:$A$201,$A164)&gt;1,"Duplicate reservation ID",IF($B164="","Missing: SKU",IF(NOT(ISNUMBER($C164)),"Missing: qty",IF($D164="","Missing: reserved for",IF($E164="","Missing: status",IF(NOT(ISNUMBER($F164)),"Missing: start date",IF(COUNTIF(Products!$A$2:$A$101,$B164)=0,"Unknown SKU",IF(COUNTIF(Config!$H$15:$H$34,$E164)=0,"Unsupported status",IF($C164&lt;=0,"Qty must be above 0",IF(AND(ISNUMBER($G164),$G164&lt;$F164),"Release date before start date","OK"))))))))))))</f>
        <v/>
      </c>
    </row>
    <row r="165">
      <c r="A165" s="46" t="n"/>
      <c r="B165" s="46" t="n"/>
      <c r="C165" s="48" t="n"/>
      <c r="D165" s="46" t="n"/>
      <c r="E165" s="46" t="n"/>
      <c r="F165" s="54" t="n"/>
      <c r="G165" s="54" t="n"/>
      <c r="H165" s="46" t="n"/>
      <c r="I165" s="46" t="n"/>
      <c r="J165" s="49" t="str">
        <f>IF($A165="","",IFERROR(INDEX(Products!$B$2:$B$101,MATCH($B165,Products!$A$2:$A$101,0))&amp;"","(not found)"))</f>
        <v/>
      </c>
      <c r="K165" s="52" t="str">
        <f>IF($A165="","",IF(AND(IFERROR(INDEX(Config!$I$15:$I$34,MATCH($E165,Config!$H$15:$H$34,0)),"No")="Yes",ISNUMBER($F165)),IF(AND($F165&lt;=Config!$B$4,OR($G165="",AND(ISNUMBER($G165),$G165&gt;=Config!$B$4))),1,0),0))</f>
        <v/>
      </c>
      <c r="L165" s="50" t="str">
        <f>IF($A165="","",IF(AND($K165=1,ISNUMBER($C165)),$C165,0))</f>
        <v/>
      </c>
      <c r="M165" s="49" t="str">
        <f>IF(COUNTA($A165:$I165)=0,"",IF($A165="","Missing: reservation ID",IF(COUNTIF($A$2:$A$201,$A165)&gt;1,"Duplicate reservation ID",IF($B165="","Missing: SKU",IF(NOT(ISNUMBER($C165)),"Missing: qty",IF($D165="","Missing: reserved for",IF($E165="","Missing: status",IF(NOT(ISNUMBER($F165)),"Missing: start date",IF(COUNTIF(Products!$A$2:$A$101,$B165)=0,"Unknown SKU",IF(COUNTIF(Config!$H$15:$H$34,$E165)=0,"Unsupported status",IF($C165&lt;=0,"Qty must be above 0",IF(AND(ISNUMBER($G165),$G165&lt;$F165),"Release date before start date","OK"))))))))))))</f>
        <v/>
      </c>
    </row>
    <row r="166">
      <c r="A166" s="46" t="n"/>
      <c r="B166" s="46" t="n"/>
      <c r="C166" s="48" t="n"/>
      <c r="D166" s="46" t="n"/>
      <c r="E166" s="46" t="n"/>
      <c r="F166" s="54" t="n"/>
      <c r="G166" s="54" t="n"/>
      <c r="H166" s="46" t="n"/>
      <c r="I166" s="46" t="n"/>
      <c r="J166" s="49" t="str">
        <f>IF($A166="","",IFERROR(INDEX(Products!$B$2:$B$101,MATCH($B166,Products!$A$2:$A$101,0))&amp;"","(not found)"))</f>
        <v/>
      </c>
      <c r="K166" s="52" t="str">
        <f>IF($A166="","",IF(AND(IFERROR(INDEX(Config!$I$15:$I$34,MATCH($E166,Config!$H$15:$H$34,0)),"No")="Yes",ISNUMBER($F166)),IF(AND($F166&lt;=Config!$B$4,OR($G166="",AND(ISNUMBER($G166),$G166&gt;=Config!$B$4))),1,0),0))</f>
        <v/>
      </c>
      <c r="L166" s="50" t="str">
        <f>IF($A166="","",IF(AND($K166=1,ISNUMBER($C166)),$C166,0))</f>
        <v/>
      </c>
      <c r="M166" s="49" t="str">
        <f>IF(COUNTA($A166:$I166)=0,"",IF($A166="","Missing: reservation ID",IF(COUNTIF($A$2:$A$201,$A166)&gt;1,"Duplicate reservation ID",IF($B166="","Missing: SKU",IF(NOT(ISNUMBER($C166)),"Missing: qty",IF($D166="","Missing: reserved for",IF($E166="","Missing: status",IF(NOT(ISNUMBER($F166)),"Missing: start date",IF(COUNTIF(Products!$A$2:$A$101,$B166)=0,"Unknown SKU",IF(COUNTIF(Config!$H$15:$H$34,$E166)=0,"Unsupported status",IF($C166&lt;=0,"Qty must be above 0",IF(AND(ISNUMBER($G166),$G166&lt;$F166),"Release date before start date","OK"))))))))))))</f>
        <v/>
      </c>
    </row>
    <row r="167">
      <c r="A167" s="46" t="n"/>
      <c r="B167" s="46" t="n"/>
      <c r="C167" s="48" t="n"/>
      <c r="D167" s="46" t="n"/>
      <c r="E167" s="46" t="n"/>
      <c r="F167" s="54" t="n"/>
      <c r="G167" s="54" t="n"/>
      <c r="H167" s="46" t="n"/>
      <c r="I167" s="46" t="n"/>
      <c r="J167" s="49" t="str">
        <f>IF($A167="","",IFERROR(INDEX(Products!$B$2:$B$101,MATCH($B167,Products!$A$2:$A$101,0))&amp;"","(not found)"))</f>
        <v/>
      </c>
      <c r="K167" s="52" t="str">
        <f>IF($A167="","",IF(AND(IFERROR(INDEX(Config!$I$15:$I$34,MATCH($E167,Config!$H$15:$H$34,0)),"No")="Yes",ISNUMBER($F167)),IF(AND($F167&lt;=Config!$B$4,OR($G167="",AND(ISNUMBER($G167),$G167&gt;=Config!$B$4))),1,0),0))</f>
        <v/>
      </c>
      <c r="L167" s="50" t="str">
        <f>IF($A167="","",IF(AND($K167=1,ISNUMBER($C167)),$C167,0))</f>
        <v/>
      </c>
      <c r="M167" s="49" t="str">
        <f>IF(COUNTA($A167:$I167)=0,"",IF($A167="","Missing: reservation ID",IF(COUNTIF($A$2:$A$201,$A167)&gt;1,"Duplicate reservation ID",IF($B167="","Missing: SKU",IF(NOT(ISNUMBER($C167)),"Missing: qty",IF($D167="","Missing: reserved for",IF($E167="","Missing: status",IF(NOT(ISNUMBER($F167)),"Missing: start date",IF(COUNTIF(Products!$A$2:$A$101,$B167)=0,"Unknown SKU",IF(COUNTIF(Config!$H$15:$H$34,$E167)=0,"Unsupported status",IF($C167&lt;=0,"Qty must be above 0",IF(AND(ISNUMBER($G167),$G167&lt;$F167),"Release date before start date","OK"))))))))))))</f>
        <v/>
      </c>
    </row>
    <row r="168">
      <c r="A168" s="46" t="n"/>
      <c r="B168" s="46" t="n"/>
      <c r="C168" s="48" t="n"/>
      <c r="D168" s="46" t="n"/>
      <c r="E168" s="46" t="n"/>
      <c r="F168" s="54" t="n"/>
      <c r="G168" s="54" t="n"/>
      <c r="H168" s="46" t="n"/>
      <c r="I168" s="46" t="n"/>
      <c r="J168" s="49" t="str">
        <f>IF($A168="","",IFERROR(INDEX(Products!$B$2:$B$101,MATCH($B168,Products!$A$2:$A$101,0))&amp;"","(not found)"))</f>
        <v/>
      </c>
      <c r="K168" s="52" t="str">
        <f>IF($A168="","",IF(AND(IFERROR(INDEX(Config!$I$15:$I$34,MATCH($E168,Config!$H$15:$H$34,0)),"No")="Yes",ISNUMBER($F168)),IF(AND($F168&lt;=Config!$B$4,OR($G168="",AND(ISNUMBER($G168),$G168&gt;=Config!$B$4))),1,0),0))</f>
        <v/>
      </c>
      <c r="L168" s="50" t="str">
        <f>IF($A168="","",IF(AND($K168=1,ISNUMBER($C168)),$C168,0))</f>
        <v/>
      </c>
      <c r="M168" s="49" t="str">
        <f>IF(COUNTA($A168:$I168)=0,"",IF($A168="","Missing: reservation ID",IF(COUNTIF($A$2:$A$201,$A168)&gt;1,"Duplicate reservation ID",IF($B168="","Missing: SKU",IF(NOT(ISNUMBER($C168)),"Missing: qty",IF($D168="","Missing: reserved for",IF($E168="","Missing: status",IF(NOT(ISNUMBER($F168)),"Missing: start date",IF(COUNTIF(Products!$A$2:$A$101,$B168)=0,"Unknown SKU",IF(COUNTIF(Config!$H$15:$H$34,$E168)=0,"Unsupported status",IF($C168&lt;=0,"Qty must be above 0",IF(AND(ISNUMBER($G168),$G168&lt;$F168),"Release date before start date","OK"))))))))))))</f>
        <v/>
      </c>
    </row>
    <row r="169">
      <c r="A169" s="46" t="n"/>
      <c r="B169" s="46" t="n"/>
      <c r="C169" s="48" t="n"/>
      <c r="D169" s="46" t="n"/>
      <c r="E169" s="46" t="n"/>
      <c r="F169" s="54" t="n"/>
      <c r="G169" s="54" t="n"/>
      <c r="H169" s="46" t="n"/>
      <c r="I169" s="46" t="n"/>
      <c r="J169" s="49" t="str">
        <f>IF($A169="","",IFERROR(INDEX(Products!$B$2:$B$101,MATCH($B169,Products!$A$2:$A$101,0))&amp;"","(not found)"))</f>
        <v/>
      </c>
      <c r="K169" s="52" t="str">
        <f>IF($A169="","",IF(AND(IFERROR(INDEX(Config!$I$15:$I$34,MATCH($E169,Config!$H$15:$H$34,0)),"No")="Yes",ISNUMBER($F169)),IF(AND($F169&lt;=Config!$B$4,OR($G169="",AND(ISNUMBER($G169),$G169&gt;=Config!$B$4))),1,0),0))</f>
        <v/>
      </c>
      <c r="L169" s="50" t="str">
        <f>IF($A169="","",IF(AND($K169=1,ISNUMBER($C169)),$C169,0))</f>
        <v/>
      </c>
      <c r="M169" s="49" t="str">
        <f>IF(COUNTA($A169:$I169)=0,"",IF($A169="","Missing: reservation ID",IF(COUNTIF($A$2:$A$201,$A169)&gt;1,"Duplicate reservation ID",IF($B169="","Missing: SKU",IF(NOT(ISNUMBER($C169)),"Missing: qty",IF($D169="","Missing: reserved for",IF($E169="","Missing: status",IF(NOT(ISNUMBER($F169)),"Missing: start date",IF(COUNTIF(Products!$A$2:$A$101,$B169)=0,"Unknown SKU",IF(COUNTIF(Config!$H$15:$H$34,$E169)=0,"Unsupported status",IF($C169&lt;=0,"Qty must be above 0",IF(AND(ISNUMBER($G169),$G169&lt;$F169),"Release date before start date","OK"))))))))))))</f>
        <v/>
      </c>
    </row>
    <row r="170">
      <c r="A170" s="46" t="n"/>
      <c r="B170" s="46" t="n"/>
      <c r="C170" s="48" t="n"/>
      <c r="D170" s="46" t="n"/>
      <c r="E170" s="46" t="n"/>
      <c r="F170" s="54" t="n"/>
      <c r="G170" s="54" t="n"/>
      <c r="H170" s="46" t="n"/>
      <c r="I170" s="46" t="n"/>
      <c r="J170" s="49" t="str">
        <f>IF($A170="","",IFERROR(INDEX(Products!$B$2:$B$101,MATCH($B170,Products!$A$2:$A$101,0))&amp;"","(not found)"))</f>
        <v/>
      </c>
      <c r="K170" s="52" t="str">
        <f>IF($A170="","",IF(AND(IFERROR(INDEX(Config!$I$15:$I$34,MATCH($E170,Config!$H$15:$H$34,0)),"No")="Yes",ISNUMBER($F170)),IF(AND($F170&lt;=Config!$B$4,OR($G170="",AND(ISNUMBER($G170),$G170&gt;=Config!$B$4))),1,0),0))</f>
        <v/>
      </c>
      <c r="L170" s="50" t="str">
        <f>IF($A170="","",IF(AND($K170=1,ISNUMBER($C170)),$C170,0))</f>
        <v/>
      </c>
      <c r="M170" s="49" t="str">
        <f>IF(COUNTA($A170:$I170)=0,"",IF($A170="","Missing: reservation ID",IF(COUNTIF($A$2:$A$201,$A170)&gt;1,"Duplicate reservation ID",IF($B170="","Missing: SKU",IF(NOT(ISNUMBER($C170)),"Missing: qty",IF($D170="","Missing: reserved for",IF($E170="","Missing: status",IF(NOT(ISNUMBER($F170)),"Missing: start date",IF(COUNTIF(Products!$A$2:$A$101,$B170)=0,"Unknown SKU",IF(COUNTIF(Config!$H$15:$H$34,$E170)=0,"Unsupported status",IF($C170&lt;=0,"Qty must be above 0",IF(AND(ISNUMBER($G170),$G170&lt;$F170),"Release date before start date","OK"))))))))))))</f>
        <v/>
      </c>
    </row>
    <row r="171">
      <c r="A171" s="46" t="n"/>
      <c r="B171" s="46" t="n"/>
      <c r="C171" s="48" t="n"/>
      <c r="D171" s="46" t="n"/>
      <c r="E171" s="46" t="n"/>
      <c r="F171" s="54" t="n"/>
      <c r="G171" s="54" t="n"/>
      <c r="H171" s="46" t="n"/>
      <c r="I171" s="46" t="n"/>
      <c r="J171" s="49" t="str">
        <f>IF($A171="","",IFERROR(INDEX(Products!$B$2:$B$101,MATCH($B171,Products!$A$2:$A$101,0))&amp;"","(not found)"))</f>
        <v/>
      </c>
      <c r="K171" s="52" t="str">
        <f>IF($A171="","",IF(AND(IFERROR(INDEX(Config!$I$15:$I$34,MATCH($E171,Config!$H$15:$H$34,0)),"No")="Yes",ISNUMBER($F171)),IF(AND($F171&lt;=Config!$B$4,OR($G171="",AND(ISNUMBER($G171),$G171&gt;=Config!$B$4))),1,0),0))</f>
        <v/>
      </c>
      <c r="L171" s="50" t="str">
        <f>IF($A171="","",IF(AND($K171=1,ISNUMBER($C171)),$C171,0))</f>
        <v/>
      </c>
      <c r="M171" s="49" t="str">
        <f>IF(COUNTA($A171:$I171)=0,"",IF($A171="","Missing: reservation ID",IF(COUNTIF($A$2:$A$201,$A171)&gt;1,"Duplicate reservation ID",IF($B171="","Missing: SKU",IF(NOT(ISNUMBER($C171)),"Missing: qty",IF($D171="","Missing: reserved for",IF($E171="","Missing: status",IF(NOT(ISNUMBER($F171)),"Missing: start date",IF(COUNTIF(Products!$A$2:$A$101,$B171)=0,"Unknown SKU",IF(COUNTIF(Config!$H$15:$H$34,$E171)=0,"Unsupported status",IF($C171&lt;=0,"Qty must be above 0",IF(AND(ISNUMBER($G171),$G171&lt;$F171),"Release date before start date","OK"))))))))))))</f>
        <v/>
      </c>
    </row>
    <row r="172">
      <c r="A172" s="46" t="n"/>
      <c r="B172" s="46" t="n"/>
      <c r="C172" s="48" t="n"/>
      <c r="D172" s="46" t="n"/>
      <c r="E172" s="46" t="n"/>
      <c r="F172" s="54" t="n"/>
      <c r="G172" s="54" t="n"/>
      <c r="H172" s="46" t="n"/>
      <c r="I172" s="46" t="n"/>
      <c r="J172" s="49" t="str">
        <f>IF($A172="","",IFERROR(INDEX(Products!$B$2:$B$101,MATCH($B172,Products!$A$2:$A$101,0))&amp;"","(not found)"))</f>
        <v/>
      </c>
      <c r="K172" s="52" t="str">
        <f>IF($A172="","",IF(AND(IFERROR(INDEX(Config!$I$15:$I$34,MATCH($E172,Config!$H$15:$H$34,0)),"No")="Yes",ISNUMBER($F172)),IF(AND($F172&lt;=Config!$B$4,OR($G172="",AND(ISNUMBER($G172),$G172&gt;=Config!$B$4))),1,0),0))</f>
        <v/>
      </c>
      <c r="L172" s="50" t="str">
        <f>IF($A172="","",IF(AND($K172=1,ISNUMBER($C172)),$C172,0))</f>
        <v/>
      </c>
      <c r="M172" s="49" t="str">
        <f>IF(COUNTA($A172:$I172)=0,"",IF($A172="","Missing: reservation ID",IF(COUNTIF($A$2:$A$201,$A172)&gt;1,"Duplicate reservation ID",IF($B172="","Missing: SKU",IF(NOT(ISNUMBER($C172)),"Missing: qty",IF($D172="","Missing: reserved for",IF($E172="","Missing: status",IF(NOT(ISNUMBER($F172)),"Missing: start date",IF(COUNTIF(Products!$A$2:$A$101,$B172)=0,"Unknown SKU",IF(COUNTIF(Config!$H$15:$H$34,$E172)=0,"Unsupported status",IF($C172&lt;=0,"Qty must be above 0",IF(AND(ISNUMBER($G172),$G172&lt;$F172),"Release date before start date","OK"))))))))))))</f>
        <v/>
      </c>
    </row>
    <row r="173">
      <c r="A173" s="46" t="n"/>
      <c r="B173" s="46" t="n"/>
      <c r="C173" s="48" t="n"/>
      <c r="D173" s="46" t="n"/>
      <c r="E173" s="46" t="n"/>
      <c r="F173" s="54" t="n"/>
      <c r="G173" s="54" t="n"/>
      <c r="H173" s="46" t="n"/>
      <c r="I173" s="46" t="n"/>
      <c r="J173" s="49" t="str">
        <f>IF($A173="","",IFERROR(INDEX(Products!$B$2:$B$101,MATCH($B173,Products!$A$2:$A$101,0))&amp;"","(not found)"))</f>
        <v/>
      </c>
      <c r="K173" s="52" t="str">
        <f>IF($A173="","",IF(AND(IFERROR(INDEX(Config!$I$15:$I$34,MATCH($E173,Config!$H$15:$H$34,0)),"No")="Yes",ISNUMBER($F173)),IF(AND($F173&lt;=Config!$B$4,OR($G173="",AND(ISNUMBER($G173),$G173&gt;=Config!$B$4))),1,0),0))</f>
        <v/>
      </c>
      <c r="L173" s="50" t="str">
        <f>IF($A173="","",IF(AND($K173=1,ISNUMBER($C173)),$C173,0))</f>
        <v/>
      </c>
      <c r="M173" s="49" t="str">
        <f>IF(COUNTA($A173:$I173)=0,"",IF($A173="","Missing: reservation ID",IF(COUNTIF($A$2:$A$201,$A173)&gt;1,"Duplicate reservation ID",IF($B173="","Missing: SKU",IF(NOT(ISNUMBER($C173)),"Missing: qty",IF($D173="","Missing: reserved for",IF($E173="","Missing: status",IF(NOT(ISNUMBER($F173)),"Missing: start date",IF(COUNTIF(Products!$A$2:$A$101,$B173)=0,"Unknown SKU",IF(COUNTIF(Config!$H$15:$H$34,$E173)=0,"Unsupported status",IF($C173&lt;=0,"Qty must be above 0",IF(AND(ISNUMBER($G173),$G173&lt;$F173),"Release date before start date","OK"))))))))))))</f>
        <v/>
      </c>
    </row>
    <row r="174">
      <c r="A174" s="46" t="n"/>
      <c r="B174" s="46" t="n"/>
      <c r="C174" s="48" t="n"/>
      <c r="D174" s="46" t="n"/>
      <c r="E174" s="46" t="n"/>
      <c r="F174" s="54" t="n"/>
      <c r="G174" s="54" t="n"/>
      <c r="H174" s="46" t="n"/>
      <c r="I174" s="46" t="n"/>
      <c r="J174" s="49" t="str">
        <f>IF($A174="","",IFERROR(INDEX(Products!$B$2:$B$101,MATCH($B174,Products!$A$2:$A$101,0))&amp;"","(not found)"))</f>
        <v/>
      </c>
      <c r="K174" s="52" t="str">
        <f>IF($A174="","",IF(AND(IFERROR(INDEX(Config!$I$15:$I$34,MATCH($E174,Config!$H$15:$H$34,0)),"No")="Yes",ISNUMBER($F174)),IF(AND($F174&lt;=Config!$B$4,OR($G174="",AND(ISNUMBER($G174),$G174&gt;=Config!$B$4))),1,0),0))</f>
        <v/>
      </c>
      <c r="L174" s="50" t="str">
        <f>IF($A174="","",IF(AND($K174=1,ISNUMBER($C174)),$C174,0))</f>
        <v/>
      </c>
      <c r="M174" s="49" t="str">
        <f>IF(COUNTA($A174:$I174)=0,"",IF($A174="","Missing: reservation ID",IF(COUNTIF($A$2:$A$201,$A174)&gt;1,"Duplicate reservation ID",IF($B174="","Missing: SKU",IF(NOT(ISNUMBER($C174)),"Missing: qty",IF($D174="","Missing: reserved for",IF($E174="","Missing: status",IF(NOT(ISNUMBER($F174)),"Missing: start date",IF(COUNTIF(Products!$A$2:$A$101,$B174)=0,"Unknown SKU",IF(COUNTIF(Config!$H$15:$H$34,$E174)=0,"Unsupported status",IF($C174&lt;=0,"Qty must be above 0",IF(AND(ISNUMBER($G174),$G174&lt;$F174),"Release date before start date","OK"))))))))))))</f>
        <v/>
      </c>
    </row>
    <row r="175">
      <c r="A175" s="46" t="n"/>
      <c r="B175" s="46" t="n"/>
      <c r="C175" s="48" t="n"/>
      <c r="D175" s="46" t="n"/>
      <c r="E175" s="46" t="n"/>
      <c r="F175" s="54" t="n"/>
      <c r="G175" s="54" t="n"/>
      <c r="H175" s="46" t="n"/>
      <c r="I175" s="46" t="n"/>
      <c r="J175" s="49" t="str">
        <f>IF($A175="","",IFERROR(INDEX(Products!$B$2:$B$101,MATCH($B175,Products!$A$2:$A$101,0))&amp;"","(not found)"))</f>
        <v/>
      </c>
      <c r="K175" s="52" t="str">
        <f>IF($A175="","",IF(AND(IFERROR(INDEX(Config!$I$15:$I$34,MATCH($E175,Config!$H$15:$H$34,0)),"No")="Yes",ISNUMBER($F175)),IF(AND($F175&lt;=Config!$B$4,OR($G175="",AND(ISNUMBER($G175),$G175&gt;=Config!$B$4))),1,0),0))</f>
        <v/>
      </c>
      <c r="L175" s="50" t="str">
        <f>IF($A175="","",IF(AND($K175=1,ISNUMBER($C175)),$C175,0))</f>
        <v/>
      </c>
      <c r="M175" s="49" t="str">
        <f>IF(COUNTA($A175:$I175)=0,"",IF($A175="","Missing: reservation ID",IF(COUNTIF($A$2:$A$201,$A175)&gt;1,"Duplicate reservation ID",IF($B175="","Missing: SKU",IF(NOT(ISNUMBER($C175)),"Missing: qty",IF($D175="","Missing: reserved for",IF($E175="","Missing: status",IF(NOT(ISNUMBER($F175)),"Missing: start date",IF(COUNTIF(Products!$A$2:$A$101,$B175)=0,"Unknown SKU",IF(COUNTIF(Config!$H$15:$H$34,$E175)=0,"Unsupported status",IF($C175&lt;=0,"Qty must be above 0",IF(AND(ISNUMBER($G175),$G175&lt;$F175),"Release date before start date","OK"))))))))))))</f>
        <v/>
      </c>
    </row>
    <row r="176">
      <c r="A176" s="46" t="n"/>
      <c r="B176" s="46" t="n"/>
      <c r="C176" s="48" t="n"/>
      <c r="D176" s="46" t="n"/>
      <c r="E176" s="46" t="n"/>
      <c r="F176" s="54" t="n"/>
      <c r="G176" s="54" t="n"/>
      <c r="H176" s="46" t="n"/>
      <c r="I176" s="46" t="n"/>
      <c r="J176" s="49" t="str">
        <f>IF($A176="","",IFERROR(INDEX(Products!$B$2:$B$101,MATCH($B176,Products!$A$2:$A$101,0))&amp;"","(not found)"))</f>
        <v/>
      </c>
      <c r="K176" s="52" t="str">
        <f>IF($A176="","",IF(AND(IFERROR(INDEX(Config!$I$15:$I$34,MATCH($E176,Config!$H$15:$H$34,0)),"No")="Yes",ISNUMBER($F176)),IF(AND($F176&lt;=Config!$B$4,OR($G176="",AND(ISNUMBER($G176),$G176&gt;=Config!$B$4))),1,0),0))</f>
        <v/>
      </c>
      <c r="L176" s="50" t="str">
        <f>IF($A176="","",IF(AND($K176=1,ISNUMBER($C176)),$C176,0))</f>
        <v/>
      </c>
      <c r="M176" s="49" t="str">
        <f>IF(COUNTA($A176:$I176)=0,"",IF($A176="","Missing: reservation ID",IF(COUNTIF($A$2:$A$201,$A176)&gt;1,"Duplicate reservation ID",IF($B176="","Missing: SKU",IF(NOT(ISNUMBER($C176)),"Missing: qty",IF($D176="","Missing: reserved for",IF($E176="","Missing: status",IF(NOT(ISNUMBER($F176)),"Missing: start date",IF(COUNTIF(Products!$A$2:$A$101,$B176)=0,"Unknown SKU",IF(COUNTIF(Config!$H$15:$H$34,$E176)=0,"Unsupported status",IF($C176&lt;=0,"Qty must be above 0",IF(AND(ISNUMBER($G176),$G176&lt;$F176),"Release date before start date","OK"))))))))))))</f>
        <v/>
      </c>
    </row>
    <row r="177">
      <c r="A177" s="46" t="n"/>
      <c r="B177" s="46" t="n"/>
      <c r="C177" s="48" t="n"/>
      <c r="D177" s="46" t="n"/>
      <c r="E177" s="46" t="n"/>
      <c r="F177" s="54" t="n"/>
      <c r="G177" s="54" t="n"/>
      <c r="H177" s="46" t="n"/>
      <c r="I177" s="46" t="n"/>
      <c r="J177" s="49" t="str">
        <f>IF($A177="","",IFERROR(INDEX(Products!$B$2:$B$101,MATCH($B177,Products!$A$2:$A$101,0))&amp;"","(not found)"))</f>
        <v/>
      </c>
      <c r="K177" s="52" t="str">
        <f>IF($A177="","",IF(AND(IFERROR(INDEX(Config!$I$15:$I$34,MATCH($E177,Config!$H$15:$H$34,0)),"No")="Yes",ISNUMBER($F177)),IF(AND($F177&lt;=Config!$B$4,OR($G177="",AND(ISNUMBER($G177),$G177&gt;=Config!$B$4))),1,0),0))</f>
        <v/>
      </c>
      <c r="L177" s="50" t="str">
        <f>IF($A177="","",IF(AND($K177=1,ISNUMBER($C177)),$C177,0))</f>
        <v/>
      </c>
      <c r="M177" s="49" t="str">
        <f>IF(COUNTA($A177:$I177)=0,"",IF($A177="","Missing: reservation ID",IF(COUNTIF($A$2:$A$201,$A177)&gt;1,"Duplicate reservation ID",IF($B177="","Missing: SKU",IF(NOT(ISNUMBER($C177)),"Missing: qty",IF($D177="","Missing: reserved for",IF($E177="","Missing: status",IF(NOT(ISNUMBER($F177)),"Missing: start date",IF(COUNTIF(Products!$A$2:$A$101,$B177)=0,"Unknown SKU",IF(COUNTIF(Config!$H$15:$H$34,$E177)=0,"Unsupported status",IF($C177&lt;=0,"Qty must be above 0",IF(AND(ISNUMBER($G177),$G177&lt;$F177),"Release date before start date","OK"))))))))))))</f>
        <v/>
      </c>
    </row>
    <row r="178">
      <c r="A178" s="46" t="n"/>
      <c r="B178" s="46" t="n"/>
      <c r="C178" s="48" t="n"/>
      <c r="D178" s="46" t="n"/>
      <c r="E178" s="46" t="n"/>
      <c r="F178" s="54" t="n"/>
      <c r="G178" s="54" t="n"/>
      <c r="H178" s="46" t="n"/>
      <c r="I178" s="46" t="n"/>
      <c r="J178" s="49" t="str">
        <f>IF($A178="","",IFERROR(INDEX(Products!$B$2:$B$101,MATCH($B178,Products!$A$2:$A$101,0))&amp;"","(not found)"))</f>
        <v/>
      </c>
      <c r="K178" s="52" t="str">
        <f>IF($A178="","",IF(AND(IFERROR(INDEX(Config!$I$15:$I$34,MATCH($E178,Config!$H$15:$H$34,0)),"No")="Yes",ISNUMBER($F178)),IF(AND($F178&lt;=Config!$B$4,OR($G178="",AND(ISNUMBER($G178),$G178&gt;=Config!$B$4))),1,0),0))</f>
        <v/>
      </c>
      <c r="L178" s="50" t="str">
        <f>IF($A178="","",IF(AND($K178=1,ISNUMBER($C178)),$C178,0))</f>
        <v/>
      </c>
      <c r="M178" s="49" t="str">
        <f>IF(COUNTA($A178:$I178)=0,"",IF($A178="","Missing: reservation ID",IF(COUNTIF($A$2:$A$201,$A178)&gt;1,"Duplicate reservation ID",IF($B178="","Missing: SKU",IF(NOT(ISNUMBER($C178)),"Missing: qty",IF($D178="","Missing: reserved for",IF($E178="","Missing: status",IF(NOT(ISNUMBER($F178)),"Missing: start date",IF(COUNTIF(Products!$A$2:$A$101,$B178)=0,"Unknown SKU",IF(COUNTIF(Config!$H$15:$H$34,$E178)=0,"Unsupported status",IF($C178&lt;=0,"Qty must be above 0",IF(AND(ISNUMBER($G178),$G178&lt;$F178),"Release date before start date","OK"))))))))))))</f>
        <v/>
      </c>
    </row>
    <row r="179">
      <c r="A179" s="46" t="n"/>
      <c r="B179" s="46" t="n"/>
      <c r="C179" s="48" t="n"/>
      <c r="D179" s="46" t="n"/>
      <c r="E179" s="46" t="n"/>
      <c r="F179" s="54" t="n"/>
      <c r="G179" s="54" t="n"/>
      <c r="H179" s="46" t="n"/>
      <c r="I179" s="46" t="n"/>
      <c r="J179" s="49" t="str">
        <f>IF($A179="","",IFERROR(INDEX(Products!$B$2:$B$101,MATCH($B179,Products!$A$2:$A$101,0))&amp;"","(not found)"))</f>
        <v/>
      </c>
      <c r="K179" s="52" t="str">
        <f>IF($A179="","",IF(AND(IFERROR(INDEX(Config!$I$15:$I$34,MATCH($E179,Config!$H$15:$H$34,0)),"No")="Yes",ISNUMBER($F179)),IF(AND($F179&lt;=Config!$B$4,OR($G179="",AND(ISNUMBER($G179),$G179&gt;=Config!$B$4))),1,0),0))</f>
        <v/>
      </c>
      <c r="L179" s="50" t="str">
        <f>IF($A179="","",IF(AND($K179=1,ISNUMBER($C179)),$C179,0))</f>
        <v/>
      </c>
      <c r="M179" s="49" t="str">
        <f>IF(COUNTA($A179:$I179)=0,"",IF($A179="","Missing: reservation ID",IF(COUNTIF($A$2:$A$201,$A179)&gt;1,"Duplicate reservation ID",IF($B179="","Missing: SKU",IF(NOT(ISNUMBER($C179)),"Missing: qty",IF($D179="","Missing: reserved for",IF($E179="","Missing: status",IF(NOT(ISNUMBER($F179)),"Missing: start date",IF(COUNTIF(Products!$A$2:$A$101,$B179)=0,"Unknown SKU",IF(COUNTIF(Config!$H$15:$H$34,$E179)=0,"Unsupported status",IF($C179&lt;=0,"Qty must be above 0",IF(AND(ISNUMBER($G179),$G179&lt;$F179),"Release date before start date","OK"))))))))))))</f>
        <v/>
      </c>
    </row>
    <row r="180">
      <c r="A180" s="46" t="n"/>
      <c r="B180" s="46" t="n"/>
      <c r="C180" s="48" t="n"/>
      <c r="D180" s="46" t="n"/>
      <c r="E180" s="46" t="n"/>
      <c r="F180" s="54" t="n"/>
      <c r="G180" s="54" t="n"/>
      <c r="H180" s="46" t="n"/>
      <c r="I180" s="46" t="n"/>
      <c r="J180" s="49" t="str">
        <f>IF($A180="","",IFERROR(INDEX(Products!$B$2:$B$101,MATCH($B180,Products!$A$2:$A$101,0))&amp;"","(not found)"))</f>
        <v/>
      </c>
      <c r="K180" s="52" t="str">
        <f>IF($A180="","",IF(AND(IFERROR(INDEX(Config!$I$15:$I$34,MATCH($E180,Config!$H$15:$H$34,0)),"No")="Yes",ISNUMBER($F180)),IF(AND($F180&lt;=Config!$B$4,OR($G180="",AND(ISNUMBER($G180),$G180&gt;=Config!$B$4))),1,0),0))</f>
        <v/>
      </c>
      <c r="L180" s="50" t="str">
        <f>IF($A180="","",IF(AND($K180=1,ISNUMBER($C180)),$C180,0))</f>
        <v/>
      </c>
      <c r="M180" s="49" t="str">
        <f>IF(COUNTA($A180:$I180)=0,"",IF($A180="","Missing: reservation ID",IF(COUNTIF($A$2:$A$201,$A180)&gt;1,"Duplicate reservation ID",IF($B180="","Missing: SKU",IF(NOT(ISNUMBER($C180)),"Missing: qty",IF($D180="","Missing: reserved for",IF($E180="","Missing: status",IF(NOT(ISNUMBER($F180)),"Missing: start date",IF(COUNTIF(Products!$A$2:$A$101,$B180)=0,"Unknown SKU",IF(COUNTIF(Config!$H$15:$H$34,$E180)=0,"Unsupported status",IF($C180&lt;=0,"Qty must be above 0",IF(AND(ISNUMBER($G180),$G180&lt;$F180),"Release date before start date","OK"))))))))))))</f>
        <v/>
      </c>
    </row>
    <row r="181">
      <c r="A181" s="46" t="n"/>
      <c r="B181" s="46" t="n"/>
      <c r="C181" s="48" t="n"/>
      <c r="D181" s="46" t="n"/>
      <c r="E181" s="46" t="n"/>
      <c r="F181" s="54" t="n"/>
      <c r="G181" s="54" t="n"/>
      <c r="H181" s="46" t="n"/>
      <c r="I181" s="46" t="n"/>
      <c r="J181" s="49" t="str">
        <f>IF($A181="","",IFERROR(INDEX(Products!$B$2:$B$101,MATCH($B181,Products!$A$2:$A$101,0))&amp;"","(not found)"))</f>
        <v/>
      </c>
      <c r="K181" s="52" t="str">
        <f>IF($A181="","",IF(AND(IFERROR(INDEX(Config!$I$15:$I$34,MATCH($E181,Config!$H$15:$H$34,0)),"No")="Yes",ISNUMBER($F181)),IF(AND($F181&lt;=Config!$B$4,OR($G181="",AND(ISNUMBER($G181),$G181&gt;=Config!$B$4))),1,0),0))</f>
        <v/>
      </c>
      <c r="L181" s="50" t="str">
        <f>IF($A181="","",IF(AND($K181=1,ISNUMBER($C181)),$C181,0))</f>
        <v/>
      </c>
      <c r="M181" s="49" t="str">
        <f>IF(COUNTA($A181:$I181)=0,"",IF($A181="","Missing: reservation ID",IF(COUNTIF($A$2:$A$201,$A181)&gt;1,"Duplicate reservation ID",IF($B181="","Missing: SKU",IF(NOT(ISNUMBER($C181)),"Missing: qty",IF($D181="","Missing: reserved for",IF($E181="","Missing: status",IF(NOT(ISNUMBER($F181)),"Missing: start date",IF(COUNTIF(Products!$A$2:$A$101,$B181)=0,"Unknown SKU",IF(COUNTIF(Config!$H$15:$H$34,$E181)=0,"Unsupported status",IF($C181&lt;=0,"Qty must be above 0",IF(AND(ISNUMBER($G181),$G181&lt;$F181),"Release date before start date","OK"))))))))))))</f>
        <v/>
      </c>
    </row>
    <row r="182">
      <c r="A182" s="46" t="n"/>
      <c r="B182" s="46" t="n"/>
      <c r="C182" s="48" t="n"/>
      <c r="D182" s="46" t="n"/>
      <c r="E182" s="46" t="n"/>
      <c r="F182" s="54" t="n"/>
      <c r="G182" s="54" t="n"/>
      <c r="H182" s="46" t="n"/>
      <c r="I182" s="46" t="n"/>
      <c r="J182" s="49" t="str">
        <f>IF($A182="","",IFERROR(INDEX(Products!$B$2:$B$101,MATCH($B182,Products!$A$2:$A$101,0))&amp;"","(not found)"))</f>
        <v/>
      </c>
      <c r="K182" s="52" t="str">
        <f>IF($A182="","",IF(AND(IFERROR(INDEX(Config!$I$15:$I$34,MATCH($E182,Config!$H$15:$H$34,0)),"No")="Yes",ISNUMBER($F182)),IF(AND($F182&lt;=Config!$B$4,OR($G182="",AND(ISNUMBER($G182),$G182&gt;=Config!$B$4))),1,0),0))</f>
        <v/>
      </c>
      <c r="L182" s="50" t="str">
        <f>IF($A182="","",IF(AND($K182=1,ISNUMBER($C182)),$C182,0))</f>
        <v/>
      </c>
      <c r="M182" s="49" t="str">
        <f>IF(COUNTA($A182:$I182)=0,"",IF($A182="","Missing: reservation ID",IF(COUNTIF($A$2:$A$201,$A182)&gt;1,"Duplicate reservation ID",IF($B182="","Missing: SKU",IF(NOT(ISNUMBER($C182)),"Missing: qty",IF($D182="","Missing: reserved for",IF($E182="","Missing: status",IF(NOT(ISNUMBER($F182)),"Missing: start date",IF(COUNTIF(Products!$A$2:$A$101,$B182)=0,"Unknown SKU",IF(COUNTIF(Config!$H$15:$H$34,$E182)=0,"Unsupported status",IF($C182&lt;=0,"Qty must be above 0",IF(AND(ISNUMBER($G182),$G182&lt;$F182),"Release date before start date","OK"))))))))))))</f>
        <v/>
      </c>
    </row>
    <row r="183">
      <c r="A183" s="46" t="n"/>
      <c r="B183" s="46" t="n"/>
      <c r="C183" s="48" t="n"/>
      <c r="D183" s="46" t="n"/>
      <c r="E183" s="46" t="n"/>
      <c r="F183" s="54" t="n"/>
      <c r="G183" s="54" t="n"/>
      <c r="H183" s="46" t="n"/>
      <c r="I183" s="46" t="n"/>
      <c r="J183" s="49" t="str">
        <f>IF($A183="","",IFERROR(INDEX(Products!$B$2:$B$101,MATCH($B183,Products!$A$2:$A$101,0))&amp;"","(not found)"))</f>
        <v/>
      </c>
      <c r="K183" s="52" t="str">
        <f>IF($A183="","",IF(AND(IFERROR(INDEX(Config!$I$15:$I$34,MATCH($E183,Config!$H$15:$H$34,0)),"No")="Yes",ISNUMBER($F183)),IF(AND($F183&lt;=Config!$B$4,OR($G183="",AND(ISNUMBER($G183),$G183&gt;=Config!$B$4))),1,0),0))</f>
        <v/>
      </c>
      <c r="L183" s="50" t="str">
        <f>IF($A183="","",IF(AND($K183=1,ISNUMBER($C183)),$C183,0))</f>
        <v/>
      </c>
      <c r="M183" s="49" t="str">
        <f>IF(COUNTA($A183:$I183)=0,"",IF($A183="","Missing: reservation ID",IF(COUNTIF($A$2:$A$201,$A183)&gt;1,"Duplicate reservation ID",IF($B183="","Missing: SKU",IF(NOT(ISNUMBER($C183)),"Missing: qty",IF($D183="","Missing: reserved for",IF($E183="","Missing: status",IF(NOT(ISNUMBER($F183)),"Missing: start date",IF(COUNTIF(Products!$A$2:$A$101,$B183)=0,"Unknown SKU",IF(COUNTIF(Config!$H$15:$H$34,$E183)=0,"Unsupported status",IF($C183&lt;=0,"Qty must be above 0",IF(AND(ISNUMBER($G183),$G183&lt;$F183),"Release date before start date","OK"))))))))))))</f>
        <v/>
      </c>
    </row>
    <row r="184">
      <c r="A184" s="46" t="n"/>
      <c r="B184" s="46" t="n"/>
      <c r="C184" s="48" t="n"/>
      <c r="D184" s="46" t="n"/>
      <c r="E184" s="46" t="n"/>
      <c r="F184" s="54" t="n"/>
      <c r="G184" s="54" t="n"/>
      <c r="H184" s="46" t="n"/>
      <c r="I184" s="46" t="n"/>
      <c r="J184" s="49" t="str">
        <f>IF($A184="","",IFERROR(INDEX(Products!$B$2:$B$101,MATCH($B184,Products!$A$2:$A$101,0))&amp;"","(not found)"))</f>
        <v/>
      </c>
      <c r="K184" s="52" t="str">
        <f>IF($A184="","",IF(AND(IFERROR(INDEX(Config!$I$15:$I$34,MATCH($E184,Config!$H$15:$H$34,0)),"No")="Yes",ISNUMBER($F184)),IF(AND($F184&lt;=Config!$B$4,OR($G184="",AND(ISNUMBER($G184),$G184&gt;=Config!$B$4))),1,0),0))</f>
        <v/>
      </c>
      <c r="L184" s="50" t="str">
        <f>IF($A184="","",IF(AND($K184=1,ISNUMBER($C184)),$C184,0))</f>
        <v/>
      </c>
      <c r="M184" s="49" t="str">
        <f>IF(COUNTA($A184:$I184)=0,"",IF($A184="","Missing: reservation ID",IF(COUNTIF($A$2:$A$201,$A184)&gt;1,"Duplicate reservation ID",IF($B184="","Missing: SKU",IF(NOT(ISNUMBER($C184)),"Missing: qty",IF($D184="","Missing: reserved for",IF($E184="","Missing: status",IF(NOT(ISNUMBER($F184)),"Missing: start date",IF(COUNTIF(Products!$A$2:$A$101,$B184)=0,"Unknown SKU",IF(COUNTIF(Config!$H$15:$H$34,$E184)=0,"Unsupported status",IF($C184&lt;=0,"Qty must be above 0",IF(AND(ISNUMBER($G184),$G184&lt;$F184),"Release date before start date","OK"))))))))))))</f>
        <v/>
      </c>
    </row>
    <row r="185">
      <c r="A185" s="46" t="n"/>
      <c r="B185" s="46" t="n"/>
      <c r="C185" s="48" t="n"/>
      <c r="D185" s="46" t="n"/>
      <c r="E185" s="46" t="n"/>
      <c r="F185" s="54" t="n"/>
      <c r="G185" s="54" t="n"/>
      <c r="H185" s="46" t="n"/>
      <c r="I185" s="46" t="n"/>
      <c r="J185" s="49" t="str">
        <f>IF($A185="","",IFERROR(INDEX(Products!$B$2:$B$101,MATCH($B185,Products!$A$2:$A$101,0))&amp;"","(not found)"))</f>
        <v/>
      </c>
      <c r="K185" s="52" t="str">
        <f>IF($A185="","",IF(AND(IFERROR(INDEX(Config!$I$15:$I$34,MATCH($E185,Config!$H$15:$H$34,0)),"No")="Yes",ISNUMBER($F185)),IF(AND($F185&lt;=Config!$B$4,OR($G185="",AND(ISNUMBER($G185),$G185&gt;=Config!$B$4))),1,0),0))</f>
        <v/>
      </c>
      <c r="L185" s="50" t="str">
        <f>IF($A185="","",IF(AND($K185=1,ISNUMBER($C185)),$C185,0))</f>
        <v/>
      </c>
      <c r="M185" s="49" t="str">
        <f>IF(COUNTA($A185:$I185)=0,"",IF($A185="","Missing: reservation ID",IF(COUNTIF($A$2:$A$201,$A185)&gt;1,"Duplicate reservation ID",IF($B185="","Missing: SKU",IF(NOT(ISNUMBER($C185)),"Missing: qty",IF($D185="","Missing: reserved for",IF($E185="","Missing: status",IF(NOT(ISNUMBER($F185)),"Missing: start date",IF(COUNTIF(Products!$A$2:$A$101,$B185)=0,"Unknown SKU",IF(COUNTIF(Config!$H$15:$H$34,$E185)=0,"Unsupported status",IF($C185&lt;=0,"Qty must be above 0",IF(AND(ISNUMBER($G185),$G185&lt;$F185),"Release date before start date","OK"))))))))))))</f>
        <v/>
      </c>
    </row>
    <row r="186">
      <c r="A186" s="46" t="n"/>
      <c r="B186" s="46" t="n"/>
      <c r="C186" s="48" t="n"/>
      <c r="D186" s="46" t="n"/>
      <c r="E186" s="46" t="n"/>
      <c r="F186" s="54" t="n"/>
      <c r="G186" s="54" t="n"/>
      <c r="H186" s="46" t="n"/>
      <c r="I186" s="46" t="n"/>
      <c r="J186" s="49" t="str">
        <f>IF($A186="","",IFERROR(INDEX(Products!$B$2:$B$101,MATCH($B186,Products!$A$2:$A$101,0))&amp;"","(not found)"))</f>
        <v/>
      </c>
      <c r="K186" s="52" t="str">
        <f>IF($A186="","",IF(AND(IFERROR(INDEX(Config!$I$15:$I$34,MATCH($E186,Config!$H$15:$H$34,0)),"No")="Yes",ISNUMBER($F186)),IF(AND($F186&lt;=Config!$B$4,OR($G186="",AND(ISNUMBER($G186),$G186&gt;=Config!$B$4))),1,0),0))</f>
        <v/>
      </c>
      <c r="L186" s="50" t="str">
        <f>IF($A186="","",IF(AND($K186=1,ISNUMBER($C186)),$C186,0))</f>
        <v/>
      </c>
      <c r="M186" s="49" t="str">
        <f>IF(COUNTA($A186:$I186)=0,"",IF($A186="","Missing: reservation ID",IF(COUNTIF($A$2:$A$201,$A186)&gt;1,"Duplicate reservation ID",IF($B186="","Missing: SKU",IF(NOT(ISNUMBER($C186)),"Missing: qty",IF($D186="","Missing: reserved for",IF($E186="","Missing: status",IF(NOT(ISNUMBER($F186)),"Missing: start date",IF(COUNTIF(Products!$A$2:$A$101,$B186)=0,"Unknown SKU",IF(COUNTIF(Config!$H$15:$H$34,$E186)=0,"Unsupported status",IF($C186&lt;=0,"Qty must be above 0",IF(AND(ISNUMBER($G186),$G186&lt;$F186),"Release date before start date","OK"))))))))))))</f>
        <v/>
      </c>
    </row>
    <row r="187">
      <c r="A187" s="46" t="n"/>
      <c r="B187" s="46" t="n"/>
      <c r="C187" s="48" t="n"/>
      <c r="D187" s="46" t="n"/>
      <c r="E187" s="46" t="n"/>
      <c r="F187" s="54" t="n"/>
      <c r="G187" s="54" t="n"/>
      <c r="H187" s="46" t="n"/>
      <c r="I187" s="46" t="n"/>
      <c r="J187" s="49" t="str">
        <f>IF($A187="","",IFERROR(INDEX(Products!$B$2:$B$101,MATCH($B187,Products!$A$2:$A$101,0))&amp;"","(not found)"))</f>
        <v/>
      </c>
      <c r="K187" s="52" t="str">
        <f>IF($A187="","",IF(AND(IFERROR(INDEX(Config!$I$15:$I$34,MATCH($E187,Config!$H$15:$H$34,0)),"No")="Yes",ISNUMBER($F187)),IF(AND($F187&lt;=Config!$B$4,OR($G187="",AND(ISNUMBER($G187),$G187&gt;=Config!$B$4))),1,0),0))</f>
        <v/>
      </c>
      <c r="L187" s="50" t="str">
        <f>IF($A187="","",IF(AND($K187=1,ISNUMBER($C187)),$C187,0))</f>
        <v/>
      </c>
      <c r="M187" s="49" t="str">
        <f>IF(COUNTA($A187:$I187)=0,"",IF($A187="","Missing: reservation ID",IF(COUNTIF($A$2:$A$201,$A187)&gt;1,"Duplicate reservation ID",IF($B187="","Missing: SKU",IF(NOT(ISNUMBER($C187)),"Missing: qty",IF($D187="","Missing: reserved for",IF($E187="","Missing: status",IF(NOT(ISNUMBER($F187)),"Missing: start date",IF(COUNTIF(Products!$A$2:$A$101,$B187)=0,"Unknown SKU",IF(COUNTIF(Config!$H$15:$H$34,$E187)=0,"Unsupported status",IF($C187&lt;=0,"Qty must be above 0",IF(AND(ISNUMBER($G187),$G187&lt;$F187),"Release date before start date","OK"))))))))))))</f>
        <v/>
      </c>
    </row>
    <row r="188">
      <c r="A188" s="46" t="n"/>
      <c r="B188" s="46" t="n"/>
      <c r="C188" s="48" t="n"/>
      <c r="D188" s="46" t="n"/>
      <c r="E188" s="46" t="n"/>
      <c r="F188" s="54" t="n"/>
      <c r="G188" s="54" t="n"/>
      <c r="H188" s="46" t="n"/>
      <c r="I188" s="46" t="n"/>
      <c r="J188" s="49" t="str">
        <f>IF($A188="","",IFERROR(INDEX(Products!$B$2:$B$101,MATCH($B188,Products!$A$2:$A$101,0))&amp;"","(not found)"))</f>
        <v/>
      </c>
      <c r="K188" s="52" t="str">
        <f>IF($A188="","",IF(AND(IFERROR(INDEX(Config!$I$15:$I$34,MATCH($E188,Config!$H$15:$H$34,0)),"No")="Yes",ISNUMBER($F188)),IF(AND($F188&lt;=Config!$B$4,OR($G188="",AND(ISNUMBER($G188),$G188&gt;=Config!$B$4))),1,0),0))</f>
        <v/>
      </c>
      <c r="L188" s="50" t="str">
        <f>IF($A188="","",IF(AND($K188=1,ISNUMBER($C188)),$C188,0))</f>
        <v/>
      </c>
      <c r="M188" s="49" t="str">
        <f>IF(COUNTA($A188:$I188)=0,"",IF($A188="","Missing: reservation ID",IF(COUNTIF($A$2:$A$201,$A188)&gt;1,"Duplicate reservation ID",IF($B188="","Missing: SKU",IF(NOT(ISNUMBER($C188)),"Missing: qty",IF($D188="","Missing: reserved for",IF($E188="","Missing: status",IF(NOT(ISNUMBER($F188)),"Missing: start date",IF(COUNTIF(Products!$A$2:$A$101,$B188)=0,"Unknown SKU",IF(COUNTIF(Config!$H$15:$H$34,$E188)=0,"Unsupported status",IF($C188&lt;=0,"Qty must be above 0",IF(AND(ISNUMBER($G188),$G188&lt;$F188),"Release date before start date","OK"))))))))))))</f>
        <v/>
      </c>
    </row>
    <row r="189">
      <c r="A189" s="46" t="n"/>
      <c r="B189" s="46" t="n"/>
      <c r="C189" s="48" t="n"/>
      <c r="D189" s="46" t="n"/>
      <c r="E189" s="46" t="n"/>
      <c r="F189" s="54" t="n"/>
      <c r="G189" s="54" t="n"/>
      <c r="H189" s="46" t="n"/>
      <c r="I189" s="46" t="n"/>
      <c r="J189" s="49" t="str">
        <f>IF($A189="","",IFERROR(INDEX(Products!$B$2:$B$101,MATCH($B189,Products!$A$2:$A$101,0))&amp;"","(not found)"))</f>
        <v/>
      </c>
      <c r="K189" s="52" t="str">
        <f>IF($A189="","",IF(AND(IFERROR(INDEX(Config!$I$15:$I$34,MATCH($E189,Config!$H$15:$H$34,0)),"No")="Yes",ISNUMBER($F189)),IF(AND($F189&lt;=Config!$B$4,OR($G189="",AND(ISNUMBER($G189),$G189&gt;=Config!$B$4))),1,0),0))</f>
        <v/>
      </c>
      <c r="L189" s="50" t="str">
        <f>IF($A189="","",IF(AND($K189=1,ISNUMBER($C189)),$C189,0))</f>
        <v/>
      </c>
      <c r="M189" s="49" t="str">
        <f>IF(COUNTA($A189:$I189)=0,"",IF($A189="","Missing: reservation ID",IF(COUNTIF($A$2:$A$201,$A189)&gt;1,"Duplicate reservation ID",IF($B189="","Missing: SKU",IF(NOT(ISNUMBER($C189)),"Missing: qty",IF($D189="","Missing: reserved for",IF($E189="","Missing: status",IF(NOT(ISNUMBER($F189)),"Missing: start date",IF(COUNTIF(Products!$A$2:$A$101,$B189)=0,"Unknown SKU",IF(COUNTIF(Config!$H$15:$H$34,$E189)=0,"Unsupported status",IF($C189&lt;=0,"Qty must be above 0",IF(AND(ISNUMBER($G189),$G189&lt;$F189),"Release date before start date","OK"))))))))))))</f>
        <v/>
      </c>
    </row>
    <row r="190">
      <c r="A190" s="46" t="n"/>
      <c r="B190" s="46" t="n"/>
      <c r="C190" s="48" t="n"/>
      <c r="D190" s="46" t="n"/>
      <c r="E190" s="46" t="n"/>
      <c r="F190" s="54" t="n"/>
      <c r="G190" s="54" t="n"/>
      <c r="H190" s="46" t="n"/>
      <c r="I190" s="46" t="n"/>
      <c r="J190" s="49" t="str">
        <f>IF($A190="","",IFERROR(INDEX(Products!$B$2:$B$101,MATCH($B190,Products!$A$2:$A$101,0))&amp;"","(not found)"))</f>
        <v/>
      </c>
      <c r="K190" s="52" t="str">
        <f>IF($A190="","",IF(AND(IFERROR(INDEX(Config!$I$15:$I$34,MATCH($E190,Config!$H$15:$H$34,0)),"No")="Yes",ISNUMBER($F190)),IF(AND($F190&lt;=Config!$B$4,OR($G190="",AND(ISNUMBER($G190),$G190&gt;=Config!$B$4))),1,0),0))</f>
        <v/>
      </c>
      <c r="L190" s="50" t="str">
        <f>IF($A190="","",IF(AND($K190=1,ISNUMBER($C190)),$C190,0))</f>
        <v/>
      </c>
      <c r="M190" s="49" t="str">
        <f>IF(COUNTA($A190:$I190)=0,"",IF($A190="","Missing: reservation ID",IF(COUNTIF($A$2:$A$201,$A190)&gt;1,"Duplicate reservation ID",IF($B190="","Missing: SKU",IF(NOT(ISNUMBER($C190)),"Missing: qty",IF($D190="","Missing: reserved for",IF($E190="","Missing: status",IF(NOT(ISNUMBER($F190)),"Missing: start date",IF(COUNTIF(Products!$A$2:$A$101,$B190)=0,"Unknown SKU",IF(COUNTIF(Config!$H$15:$H$34,$E190)=0,"Unsupported status",IF($C190&lt;=0,"Qty must be above 0",IF(AND(ISNUMBER($G190),$G190&lt;$F190),"Release date before start date","OK"))))))))))))</f>
        <v/>
      </c>
    </row>
    <row r="191">
      <c r="A191" s="46" t="n"/>
      <c r="B191" s="46" t="n"/>
      <c r="C191" s="48" t="n"/>
      <c r="D191" s="46" t="n"/>
      <c r="E191" s="46" t="n"/>
      <c r="F191" s="54" t="n"/>
      <c r="G191" s="54" t="n"/>
      <c r="H191" s="46" t="n"/>
      <c r="I191" s="46" t="n"/>
      <c r="J191" s="49" t="str">
        <f>IF($A191="","",IFERROR(INDEX(Products!$B$2:$B$101,MATCH($B191,Products!$A$2:$A$101,0))&amp;"","(not found)"))</f>
        <v/>
      </c>
      <c r="K191" s="52" t="str">
        <f>IF($A191="","",IF(AND(IFERROR(INDEX(Config!$I$15:$I$34,MATCH($E191,Config!$H$15:$H$34,0)),"No")="Yes",ISNUMBER($F191)),IF(AND($F191&lt;=Config!$B$4,OR($G191="",AND(ISNUMBER($G191),$G191&gt;=Config!$B$4))),1,0),0))</f>
        <v/>
      </c>
      <c r="L191" s="50" t="str">
        <f>IF($A191="","",IF(AND($K191=1,ISNUMBER($C191)),$C191,0))</f>
        <v/>
      </c>
      <c r="M191" s="49" t="str">
        <f>IF(COUNTA($A191:$I191)=0,"",IF($A191="","Missing: reservation ID",IF(COUNTIF($A$2:$A$201,$A191)&gt;1,"Duplicate reservation ID",IF($B191="","Missing: SKU",IF(NOT(ISNUMBER($C191)),"Missing: qty",IF($D191="","Missing: reserved for",IF($E191="","Missing: status",IF(NOT(ISNUMBER($F191)),"Missing: start date",IF(COUNTIF(Products!$A$2:$A$101,$B191)=0,"Unknown SKU",IF(COUNTIF(Config!$H$15:$H$34,$E191)=0,"Unsupported status",IF($C191&lt;=0,"Qty must be above 0",IF(AND(ISNUMBER($G191),$G191&lt;$F191),"Release date before start date","OK"))))))))))))</f>
        <v/>
      </c>
    </row>
    <row r="192">
      <c r="A192" s="46" t="n"/>
      <c r="B192" s="46" t="n"/>
      <c r="C192" s="48" t="n"/>
      <c r="D192" s="46" t="n"/>
      <c r="E192" s="46" t="n"/>
      <c r="F192" s="54" t="n"/>
      <c r="G192" s="54" t="n"/>
      <c r="H192" s="46" t="n"/>
      <c r="I192" s="46" t="n"/>
      <c r="J192" s="49" t="str">
        <f>IF($A192="","",IFERROR(INDEX(Products!$B$2:$B$101,MATCH($B192,Products!$A$2:$A$101,0))&amp;"","(not found)"))</f>
        <v/>
      </c>
      <c r="K192" s="52" t="str">
        <f>IF($A192="","",IF(AND(IFERROR(INDEX(Config!$I$15:$I$34,MATCH($E192,Config!$H$15:$H$34,0)),"No")="Yes",ISNUMBER($F192)),IF(AND($F192&lt;=Config!$B$4,OR($G192="",AND(ISNUMBER($G192),$G192&gt;=Config!$B$4))),1,0),0))</f>
        <v/>
      </c>
      <c r="L192" s="50" t="str">
        <f>IF($A192="","",IF(AND($K192=1,ISNUMBER($C192)),$C192,0))</f>
        <v/>
      </c>
      <c r="M192" s="49" t="str">
        <f>IF(COUNTA($A192:$I192)=0,"",IF($A192="","Missing: reservation ID",IF(COUNTIF($A$2:$A$201,$A192)&gt;1,"Duplicate reservation ID",IF($B192="","Missing: SKU",IF(NOT(ISNUMBER($C192)),"Missing: qty",IF($D192="","Missing: reserved for",IF($E192="","Missing: status",IF(NOT(ISNUMBER($F192)),"Missing: start date",IF(COUNTIF(Products!$A$2:$A$101,$B192)=0,"Unknown SKU",IF(COUNTIF(Config!$H$15:$H$34,$E192)=0,"Unsupported status",IF($C192&lt;=0,"Qty must be above 0",IF(AND(ISNUMBER($G192),$G192&lt;$F192),"Release date before start date","OK"))))))))))))</f>
        <v/>
      </c>
    </row>
    <row r="193">
      <c r="A193" s="46" t="n"/>
      <c r="B193" s="46" t="n"/>
      <c r="C193" s="48" t="n"/>
      <c r="D193" s="46" t="n"/>
      <c r="E193" s="46" t="n"/>
      <c r="F193" s="54" t="n"/>
      <c r="G193" s="54" t="n"/>
      <c r="H193" s="46" t="n"/>
      <c r="I193" s="46" t="n"/>
      <c r="J193" s="49" t="str">
        <f>IF($A193="","",IFERROR(INDEX(Products!$B$2:$B$101,MATCH($B193,Products!$A$2:$A$101,0))&amp;"","(not found)"))</f>
        <v/>
      </c>
      <c r="K193" s="52" t="str">
        <f>IF($A193="","",IF(AND(IFERROR(INDEX(Config!$I$15:$I$34,MATCH($E193,Config!$H$15:$H$34,0)),"No")="Yes",ISNUMBER($F193)),IF(AND($F193&lt;=Config!$B$4,OR($G193="",AND(ISNUMBER($G193),$G193&gt;=Config!$B$4))),1,0),0))</f>
        <v/>
      </c>
      <c r="L193" s="50" t="str">
        <f>IF($A193="","",IF(AND($K193=1,ISNUMBER($C193)),$C193,0))</f>
        <v/>
      </c>
      <c r="M193" s="49" t="str">
        <f>IF(COUNTA($A193:$I193)=0,"",IF($A193="","Missing: reservation ID",IF(COUNTIF($A$2:$A$201,$A193)&gt;1,"Duplicate reservation ID",IF($B193="","Missing: SKU",IF(NOT(ISNUMBER($C193)),"Missing: qty",IF($D193="","Missing: reserved for",IF($E193="","Missing: status",IF(NOT(ISNUMBER($F193)),"Missing: start date",IF(COUNTIF(Products!$A$2:$A$101,$B193)=0,"Unknown SKU",IF(COUNTIF(Config!$H$15:$H$34,$E193)=0,"Unsupported status",IF($C193&lt;=0,"Qty must be above 0",IF(AND(ISNUMBER($G193),$G193&lt;$F193),"Release date before start date","OK"))))))))))))</f>
        <v/>
      </c>
    </row>
    <row r="194">
      <c r="A194" s="46" t="n"/>
      <c r="B194" s="46" t="n"/>
      <c r="C194" s="48" t="n"/>
      <c r="D194" s="46" t="n"/>
      <c r="E194" s="46" t="n"/>
      <c r="F194" s="54" t="n"/>
      <c r="G194" s="54" t="n"/>
      <c r="H194" s="46" t="n"/>
      <c r="I194" s="46" t="n"/>
      <c r="J194" s="49" t="str">
        <f>IF($A194="","",IFERROR(INDEX(Products!$B$2:$B$101,MATCH($B194,Products!$A$2:$A$101,0))&amp;"","(not found)"))</f>
        <v/>
      </c>
      <c r="K194" s="52" t="str">
        <f>IF($A194="","",IF(AND(IFERROR(INDEX(Config!$I$15:$I$34,MATCH($E194,Config!$H$15:$H$34,0)),"No")="Yes",ISNUMBER($F194)),IF(AND($F194&lt;=Config!$B$4,OR($G194="",AND(ISNUMBER($G194),$G194&gt;=Config!$B$4))),1,0),0))</f>
        <v/>
      </c>
      <c r="L194" s="50" t="str">
        <f>IF($A194="","",IF(AND($K194=1,ISNUMBER($C194)),$C194,0))</f>
        <v/>
      </c>
      <c r="M194" s="49" t="str">
        <f>IF(COUNTA($A194:$I194)=0,"",IF($A194="","Missing: reservation ID",IF(COUNTIF($A$2:$A$201,$A194)&gt;1,"Duplicate reservation ID",IF($B194="","Missing: SKU",IF(NOT(ISNUMBER($C194)),"Missing: qty",IF($D194="","Missing: reserved for",IF($E194="","Missing: status",IF(NOT(ISNUMBER($F194)),"Missing: start date",IF(COUNTIF(Products!$A$2:$A$101,$B194)=0,"Unknown SKU",IF(COUNTIF(Config!$H$15:$H$34,$E194)=0,"Unsupported status",IF($C194&lt;=0,"Qty must be above 0",IF(AND(ISNUMBER($G194),$G194&lt;$F194),"Release date before start date","OK"))))))))))))</f>
        <v/>
      </c>
    </row>
    <row r="195">
      <c r="A195" s="46" t="n"/>
      <c r="B195" s="46" t="n"/>
      <c r="C195" s="48" t="n"/>
      <c r="D195" s="46" t="n"/>
      <c r="E195" s="46" t="n"/>
      <c r="F195" s="54" t="n"/>
      <c r="G195" s="54" t="n"/>
      <c r="H195" s="46" t="n"/>
      <c r="I195" s="46" t="n"/>
      <c r="J195" s="49" t="str">
        <f>IF($A195="","",IFERROR(INDEX(Products!$B$2:$B$101,MATCH($B195,Products!$A$2:$A$101,0))&amp;"","(not found)"))</f>
        <v/>
      </c>
      <c r="K195" s="52" t="str">
        <f>IF($A195="","",IF(AND(IFERROR(INDEX(Config!$I$15:$I$34,MATCH($E195,Config!$H$15:$H$34,0)),"No")="Yes",ISNUMBER($F195)),IF(AND($F195&lt;=Config!$B$4,OR($G195="",AND(ISNUMBER($G195),$G195&gt;=Config!$B$4))),1,0),0))</f>
        <v/>
      </c>
      <c r="L195" s="50" t="str">
        <f>IF($A195="","",IF(AND($K195=1,ISNUMBER($C195)),$C195,0))</f>
        <v/>
      </c>
      <c r="M195" s="49" t="str">
        <f>IF(COUNTA($A195:$I195)=0,"",IF($A195="","Missing: reservation ID",IF(COUNTIF($A$2:$A$201,$A195)&gt;1,"Duplicate reservation ID",IF($B195="","Missing: SKU",IF(NOT(ISNUMBER($C195)),"Missing: qty",IF($D195="","Missing: reserved for",IF($E195="","Missing: status",IF(NOT(ISNUMBER($F195)),"Missing: start date",IF(COUNTIF(Products!$A$2:$A$101,$B195)=0,"Unknown SKU",IF(COUNTIF(Config!$H$15:$H$34,$E195)=0,"Unsupported status",IF($C195&lt;=0,"Qty must be above 0",IF(AND(ISNUMBER($G195),$G195&lt;$F195),"Release date before start date","OK"))))))))))))</f>
        <v/>
      </c>
    </row>
    <row r="196">
      <c r="A196" s="46" t="n"/>
      <c r="B196" s="46" t="n"/>
      <c r="C196" s="48" t="n"/>
      <c r="D196" s="46" t="n"/>
      <c r="E196" s="46" t="n"/>
      <c r="F196" s="54" t="n"/>
      <c r="G196" s="54" t="n"/>
      <c r="H196" s="46" t="n"/>
      <c r="I196" s="46" t="n"/>
      <c r="J196" s="49" t="str">
        <f>IF($A196="","",IFERROR(INDEX(Products!$B$2:$B$101,MATCH($B196,Products!$A$2:$A$101,0))&amp;"","(not found)"))</f>
        <v/>
      </c>
      <c r="K196" s="52" t="str">
        <f>IF($A196="","",IF(AND(IFERROR(INDEX(Config!$I$15:$I$34,MATCH($E196,Config!$H$15:$H$34,0)),"No")="Yes",ISNUMBER($F196)),IF(AND($F196&lt;=Config!$B$4,OR($G196="",AND(ISNUMBER($G196),$G196&gt;=Config!$B$4))),1,0),0))</f>
        <v/>
      </c>
      <c r="L196" s="50" t="str">
        <f>IF($A196="","",IF(AND($K196=1,ISNUMBER($C196)),$C196,0))</f>
        <v/>
      </c>
      <c r="M196" s="49" t="str">
        <f>IF(COUNTA($A196:$I196)=0,"",IF($A196="","Missing: reservation ID",IF(COUNTIF($A$2:$A$201,$A196)&gt;1,"Duplicate reservation ID",IF($B196="","Missing: SKU",IF(NOT(ISNUMBER($C196)),"Missing: qty",IF($D196="","Missing: reserved for",IF($E196="","Missing: status",IF(NOT(ISNUMBER($F196)),"Missing: start date",IF(COUNTIF(Products!$A$2:$A$101,$B196)=0,"Unknown SKU",IF(COUNTIF(Config!$H$15:$H$34,$E196)=0,"Unsupported status",IF($C196&lt;=0,"Qty must be above 0",IF(AND(ISNUMBER($G196),$G196&lt;$F196),"Release date before start date","OK"))))))))))))</f>
        <v/>
      </c>
    </row>
    <row r="197">
      <c r="A197" s="46" t="n"/>
      <c r="B197" s="46" t="n"/>
      <c r="C197" s="48" t="n"/>
      <c r="D197" s="46" t="n"/>
      <c r="E197" s="46" t="n"/>
      <c r="F197" s="54" t="n"/>
      <c r="G197" s="54" t="n"/>
      <c r="H197" s="46" t="n"/>
      <c r="I197" s="46" t="n"/>
      <c r="J197" s="49" t="str">
        <f>IF($A197="","",IFERROR(INDEX(Products!$B$2:$B$101,MATCH($B197,Products!$A$2:$A$101,0))&amp;"","(not found)"))</f>
        <v/>
      </c>
      <c r="K197" s="52" t="str">
        <f>IF($A197="","",IF(AND(IFERROR(INDEX(Config!$I$15:$I$34,MATCH($E197,Config!$H$15:$H$34,0)),"No")="Yes",ISNUMBER($F197)),IF(AND($F197&lt;=Config!$B$4,OR($G197="",AND(ISNUMBER($G197),$G197&gt;=Config!$B$4))),1,0),0))</f>
        <v/>
      </c>
      <c r="L197" s="50" t="str">
        <f>IF($A197="","",IF(AND($K197=1,ISNUMBER($C197)),$C197,0))</f>
        <v/>
      </c>
      <c r="M197" s="49" t="str">
        <f>IF(COUNTA($A197:$I197)=0,"",IF($A197="","Missing: reservation ID",IF(COUNTIF($A$2:$A$201,$A197)&gt;1,"Duplicate reservation ID",IF($B197="","Missing: SKU",IF(NOT(ISNUMBER($C197)),"Missing: qty",IF($D197="","Missing: reserved for",IF($E197="","Missing: status",IF(NOT(ISNUMBER($F197)),"Missing: start date",IF(COUNTIF(Products!$A$2:$A$101,$B197)=0,"Unknown SKU",IF(COUNTIF(Config!$H$15:$H$34,$E197)=0,"Unsupported status",IF($C197&lt;=0,"Qty must be above 0",IF(AND(ISNUMBER($G197),$G197&lt;$F197),"Release date before start date","OK"))))))))))))</f>
        <v/>
      </c>
    </row>
    <row r="198">
      <c r="A198" s="46" t="n"/>
      <c r="B198" s="46" t="n"/>
      <c r="C198" s="48" t="n"/>
      <c r="D198" s="46" t="n"/>
      <c r="E198" s="46" t="n"/>
      <c r="F198" s="54" t="n"/>
      <c r="G198" s="54" t="n"/>
      <c r="H198" s="46" t="n"/>
      <c r="I198" s="46" t="n"/>
      <c r="J198" s="49" t="str">
        <f>IF($A198="","",IFERROR(INDEX(Products!$B$2:$B$101,MATCH($B198,Products!$A$2:$A$101,0))&amp;"","(not found)"))</f>
        <v/>
      </c>
      <c r="K198" s="52" t="str">
        <f>IF($A198="","",IF(AND(IFERROR(INDEX(Config!$I$15:$I$34,MATCH($E198,Config!$H$15:$H$34,0)),"No")="Yes",ISNUMBER($F198)),IF(AND($F198&lt;=Config!$B$4,OR($G198="",AND(ISNUMBER($G198),$G198&gt;=Config!$B$4))),1,0),0))</f>
        <v/>
      </c>
      <c r="L198" s="50" t="str">
        <f>IF($A198="","",IF(AND($K198=1,ISNUMBER($C198)),$C198,0))</f>
        <v/>
      </c>
      <c r="M198" s="49" t="str">
        <f>IF(COUNTA($A198:$I198)=0,"",IF($A198="","Missing: reservation ID",IF(COUNTIF($A$2:$A$201,$A198)&gt;1,"Duplicate reservation ID",IF($B198="","Missing: SKU",IF(NOT(ISNUMBER($C198)),"Missing: qty",IF($D198="","Missing: reserved for",IF($E198="","Missing: status",IF(NOT(ISNUMBER($F198)),"Missing: start date",IF(COUNTIF(Products!$A$2:$A$101,$B198)=0,"Unknown SKU",IF(COUNTIF(Config!$H$15:$H$34,$E198)=0,"Unsupported status",IF($C198&lt;=0,"Qty must be above 0",IF(AND(ISNUMBER($G198),$G198&lt;$F198),"Release date before start date","OK"))))))))))))</f>
        <v/>
      </c>
    </row>
    <row r="199">
      <c r="A199" s="46" t="n"/>
      <c r="B199" s="46" t="n"/>
      <c r="C199" s="48" t="n"/>
      <c r="D199" s="46" t="n"/>
      <c r="E199" s="46" t="n"/>
      <c r="F199" s="54" t="n"/>
      <c r="G199" s="54" t="n"/>
      <c r="H199" s="46" t="n"/>
      <c r="I199" s="46" t="n"/>
      <c r="J199" s="49" t="str">
        <f>IF($A199="","",IFERROR(INDEX(Products!$B$2:$B$101,MATCH($B199,Products!$A$2:$A$101,0))&amp;"","(not found)"))</f>
        <v/>
      </c>
      <c r="K199" s="52" t="str">
        <f>IF($A199="","",IF(AND(IFERROR(INDEX(Config!$I$15:$I$34,MATCH($E199,Config!$H$15:$H$34,0)),"No")="Yes",ISNUMBER($F199)),IF(AND($F199&lt;=Config!$B$4,OR($G199="",AND(ISNUMBER($G199),$G199&gt;=Config!$B$4))),1,0),0))</f>
        <v/>
      </c>
      <c r="L199" s="50" t="str">
        <f>IF($A199="","",IF(AND($K199=1,ISNUMBER($C199)),$C199,0))</f>
        <v/>
      </c>
      <c r="M199" s="49" t="str">
        <f>IF(COUNTA($A199:$I199)=0,"",IF($A199="","Missing: reservation ID",IF(COUNTIF($A$2:$A$201,$A199)&gt;1,"Duplicate reservation ID",IF($B199="","Missing: SKU",IF(NOT(ISNUMBER($C199)),"Missing: qty",IF($D199="","Missing: reserved for",IF($E199="","Missing: status",IF(NOT(ISNUMBER($F199)),"Missing: start date",IF(COUNTIF(Products!$A$2:$A$101,$B199)=0,"Unknown SKU",IF(COUNTIF(Config!$H$15:$H$34,$E199)=0,"Unsupported status",IF($C199&lt;=0,"Qty must be above 0",IF(AND(ISNUMBER($G199),$G199&lt;$F199),"Release date before start date","OK"))))))))))))</f>
        <v/>
      </c>
    </row>
    <row r="200">
      <c r="A200" s="46" t="n"/>
      <c r="B200" s="46" t="n"/>
      <c r="C200" s="48" t="n"/>
      <c r="D200" s="46" t="n"/>
      <c r="E200" s="46" t="n"/>
      <c r="F200" s="54" t="n"/>
      <c r="G200" s="54" t="n"/>
      <c r="H200" s="46" t="n"/>
      <c r="I200" s="46" t="n"/>
      <c r="J200" s="49" t="str">
        <f>IF($A200="","",IFERROR(INDEX(Products!$B$2:$B$101,MATCH($B200,Products!$A$2:$A$101,0))&amp;"","(not found)"))</f>
        <v/>
      </c>
      <c r="K200" s="52" t="str">
        <f>IF($A200="","",IF(AND(IFERROR(INDEX(Config!$I$15:$I$34,MATCH($E200,Config!$H$15:$H$34,0)),"No")="Yes",ISNUMBER($F200)),IF(AND($F200&lt;=Config!$B$4,OR($G200="",AND(ISNUMBER($G200),$G200&gt;=Config!$B$4))),1,0),0))</f>
        <v/>
      </c>
      <c r="L200" s="50" t="str">
        <f>IF($A200="","",IF(AND($K200=1,ISNUMBER($C200)),$C200,0))</f>
        <v/>
      </c>
      <c r="M200" s="49" t="str">
        <f>IF(COUNTA($A200:$I200)=0,"",IF($A200="","Missing: reservation ID",IF(COUNTIF($A$2:$A$201,$A200)&gt;1,"Duplicate reservation ID",IF($B200="","Missing: SKU",IF(NOT(ISNUMBER($C200)),"Missing: qty",IF($D200="","Missing: reserved for",IF($E200="","Missing: status",IF(NOT(ISNUMBER($F200)),"Missing: start date",IF(COUNTIF(Products!$A$2:$A$101,$B200)=0,"Unknown SKU",IF(COUNTIF(Config!$H$15:$H$34,$E200)=0,"Unsupported status",IF($C200&lt;=0,"Qty must be above 0",IF(AND(ISNUMBER($G200),$G200&lt;$F200),"Release date before start date","OK"))))))))))))</f>
        <v/>
      </c>
    </row>
    <row r="201">
      <c r="A201" s="46" t="n"/>
      <c r="B201" s="46" t="n"/>
      <c r="C201" s="48" t="n"/>
      <c r="D201" s="46" t="n"/>
      <c r="E201" s="46" t="n"/>
      <c r="F201" s="54" t="n"/>
      <c r="G201" s="54" t="n"/>
      <c r="H201" s="46" t="n"/>
      <c r="I201" s="46" t="n"/>
      <c r="J201" s="49" t="str">
        <f>IF($A201="","",IFERROR(INDEX(Products!$B$2:$B$101,MATCH($B201,Products!$A$2:$A$101,0))&amp;"","(not found)"))</f>
        <v/>
      </c>
      <c r="K201" s="52" t="str">
        <f>IF($A201="","",IF(AND(IFERROR(INDEX(Config!$I$15:$I$34,MATCH($E201,Config!$H$15:$H$34,0)),"No")="Yes",ISNUMBER($F201)),IF(AND($F201&lt;=Config!$B$4,OR($G201="",AND(ISNUMBER($G201),$G201&gt;=Config!$B$4))),1,0),0))</f>
        <v/>
      </c>
      <c r="L201" s="50" t="str">
        <f>IF($A201="","",IF(AND($K201=1,ISNUMBER($C201)),$C201,0))</f>
        <v/>
      </c>
      <c r="M201" s="49" t="str">
        <f>IF(COUNTA($A201:$I201)=0,"",IF($A201="","Missing: reservation ID",IF(COUNTIF($A$2:$A$201,$A201)&gt;1,"Duplicate reservation ID",IF($B201="","Missing: SKU",IF(NOT(ISNUMBER($C201)),"Missing: qty",IF($D201="","Missing: reserved for",IF($E201="","Missing: status",IF(NOT(ISNUMBER($F201)),"Missing: start date",IF(COUNTIF(Products!$A$2:$A$101,$B201)=0,"Unknown SKU",IF(COUNTIF(Config!$H$15:$H$34,$E201)=0,"Unsupported status",IF($C201&lt;=0,"Qty must be above 0",IF(AND(ISNUMBER($G201),$G201&lt;$F201),"Release date before start date","OK"))))))))))))</f>
        <v/>
      </c>
    </row>
  </sheetData>
  <sheetProtection selectLockedCells="0" selectUnlockedCells="0" sheet="1" objects="0" insertRows="1" insertHyperlinks="1" autoFilter="0" scenarios="0" formatColumns="0" deleteColumns="1" insertColumns="1" pivotTables="1" deleteRows="1" formatCells="1" formatRows="0" sort="0"/>
  <autoFilter ref="A1:M201"/>
  <conditionalFormatting sqref="M2:M201">
    <cfRule type="expression" priority="1" dxfId="4">
      <formula>AND($M2&lt;&gt;"",$M2&lt;&gt;"OK")</formula>
    </cfRule>
  </conditionalFormatting>
  <dataValidations count="6">
    <dataValidation sqref="A2:A201" showDropDown="0" showInputMessage="1" showErrorMessage="1" allowBlank="1" errorTitle="Duplicate ID" error="This ID is already used in this sheet. IDs must be unique." promptTitle="Reservation ID" prompt="Required. Must be unique in this sheet." type="custom">
      <formula1>COUNTIF($A$2:$A$201,A2)&lt;=1</formula1>
    </dataValidation>
    <dataValidation sqref="B2:B201" showDropDown="0" showInputMessage="1" showErrorMessage="1" allowBlank="1" errorTitle="Not in the list" error="Pick a value from the dropdown list." promptTitle="SKU" prompt="Required. Pick from the list." type="list">
      <formula1>Products!$A$2:$A$101</formula1>
    </dataValidation>
    <dataValidation sqref="C2:C201" showDropDown="0" showInputMessage="1" showErrorMessage="1" allowBlank="1" errorTitle="Whole number needed" error="Enter a whole number of 1 or more." promptTitle="Qty" prompt="Required. Whole number." type="whole" operator="between">
      <formula1>1</formula1>
      <formula2>10000000</formula2>
    </dataValidation>
    <dataValidation sqref="E2:E201" showDropDown="0" showInputMessage="1" showErrorMessage="1" allowBlank="1" errorTitle="Not in the list" error="Pick a value from the dropdown list." promptTitle="Status" prompt="Required. Pick from the list." type="list">
      <formula1>Config!$H$15:$H$34</formula1>
    </dataValidation>
    <dataValidation sqref="F2:F201" showDropDown="0" showInputMessage="1" showErrorMessage="1" allowBlank="1" errorTitle="Date needed" error="Enter a date (yyyy-mm-dd)." promptTitle="Start date" prompt="Required. Date as yyyy-mm-dd." type="date" operator="greaterThan">
      <formula1>36526</formula1>
    </dataValidation>
    <dataValidation sqref="G2:G201" showDropDown="0" showInputMessage="1" showErrorMessage="1" allowBlank="1" errorTitle="Date needed" error="Enter a date (yyyy-mm-dd)." promptTitle="Release date" prompt="Optional. Date as yyyy-mm-dd." type="date" operator="greaterThan">
      <formula1>36526</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1F3A5F"/>
    <outlinePr summaryBelow="1" summaryRight="1"/>
    <pageSetUpPr/>
  </sheetPr>
  <dimension ref="A1:U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36" customWidth="1" min="3" max="3"/>
    <col width="13" customWidth="1" min="4" max="4"/>
    <col width="13" customWidth="1" min="5" max="5"/>
    <col width="13" customWidth="1" min="6" max="6"/>
    <col width="15" customWidth="1" min="7" max="7"/>
    <col width="14" customWidth="1" min="8" max="8"/>
    <col width="11" customWidth="1" min="9" max="9"/>
    <col width="11" customWidth="1" min="10" max="10"/>
    <col width="11" customWidth="1" min="11" max="11"/>
    <col width="11" customWidth="1" min="12" max="12"/>
    <col width="32" customWidth="1" min="13" max="13"/>
    <col width="11" customWidth="1" min="14" max="14"/>
    <col width="11" customWidth="1" min="15" max="15"/>
    <col width="13" customWidth="1" min="16" max="16"/>
    <col width="13" customWidth="1" min="17" max="17"/>
    <col width="40" customWidth="1" min="18" max="18"/>
    <col width="11" customWidth="1" min="19" max="19"/>
    <col width="9" customWidth="1" min="20" max="20"/>
    <col width="28" customWidth="1" min="21" max="21"/>
  </cols>
  <sheetData>
    <row r="1" ht="42" customHeight="1">
      <c r="A1" s="41" t="inlineStr">
        <is>
          <t>Campaign ID *</t>
        </is>
      </c>
      <c r="B1" s="41" t="inlineStr">
        <is>
          <t>Campaign name *</t>
        </is>
      </c>
      <c r="C1" s="41" t="inlineStr">
        <is>
          <t>Objective *</t>
        </is>
      </c>
      <c r="D1" s="41" t="inlineStr">
        <is>
          <t>Product 1 *</t>
        </is>
      </c>
      <c r="E1" s="41" t="inlineStr">
        <is>
          <t>Product 2</t>
        </is>
      </c>
      <c r="F1" s="41" t="inlineStr">
        <is>
          <t>Product 3</t>
        </is>
      </c>
      <c r="G1" s="41" t="inlineStr">
        <is>
          <t>Channel *</t>
        </is>
      </c>
      <c r="H1" s="41" t="inlineStr">
        <is>
          <t>Owner *</t>
        </is>
      </c>
      <c r="I1" s="41" t="inlineStr">
        <is>
          <t>Launch date *</t>
        </is>
      </c>
      <c r="J1" s="41" t="inlineStr">
        <is>
          <t>Brief due</t>
        </is>
      </c>
      <c r="K1" s="41" t="inlineStr">
        <is>
          <t>Creative due</t>
        </is>
      </c>
      <c r="L1" s="41" t="inlineStr">
        <is>
          <t>Approval status *</t>
        </is>
      </c>
      <c r="M1" s="41" t="inlineStr">
        <is>
          <t>Asset link</t>
        </is>
      </c>
      <c r="N1" s="41" t="inlineStr">
        <is>
          <t>Planned spend (USD) *</t>
        </is>
      </c>
      <c r="O1" s="41" t="inlineStr">
        <is>
          <t>Actual spend (USD)</t>
        </is>
      </c>
      <c r="P1" s="41" t="inlineStr">
        <is>
          <t>Platform-attributed revenue (USD)</t>
        </is>
      </c>
      <c r="Q1" s="41" t="inlineStr">
        <is>
          <t>Company sales, campaign period (USD)</t>
        </is>
      </c>
      <c r="R1" s="41" t="inlineStr">
        <is>
          <t>Results note</t>
        </is>
      </c>
      <c r="S1" s="23" t="inlineStr">
        <is>
          <t>Spend variance (USD)</t>
        </is>
      </c>
      <c r="T1" s="23" t="inlineStr">
        <is>
          <t>Platform ROAS</t>
        </is>
      </c>
      <c r="U1" s="23" t="inlineStr">
        <is>
          <t>Record check</t>
        </is>
      </c>
    </row>
    <row r="2">
      <c r="A2" s="46" t="inlineStr">
        <is>
          <t>CMP-2026-01</t>
        </is>
      </c>
      <c r="B2" s="46" t="inlineStr">
        <is>
          <t>Summer Shred Bundle</t>
        </is>
      </c>
      <c r="C2" s="46" t="inlineStr">
        <is>
          <t>Grow bundle sales of whey isolate with creatine</t>
        </is>
      </c>
      <c r="D2" s="46" t="inlineStr">
        <is>
          <t>WPI-CHO-2LB</t>
        </is>
      </c>
      <c r="E2" s="46" t="inlineStr">
        <is>
          <t>CRE-UNF-300G</t>
        </is>
      </c>
      <c r="F2" s="46" t="n"/>
      <c r="G2" s="46" t="inlineStr">
        <is>
          <t>Paid social</t>
        </is>
      </c>
      <c r="H2" s="46" t="inlineStr">
        <is>
          <t>Maya Torres</t>
        </is>
      </c>
      <c r="I2" s="54" t="n">
        <v>46211</v>
      </c>
      <c r="J2" s="54" t="n">
        <v>46192</v>
      </c>
      <c r="K2" s="54" t="n">
        <v>46203</v>
      </c>
      <c r="L2" s="46" t="inlineStr">
        <is>
          <t>Completed</t>
        </is>
      </c>
      <c r="M2" s="46" t="inlineStr">
        <is>
          <t>https://example.com/assets/CMP-2026-01</t>
        </is>
      </c>
      <c r="N2" s="57" t="n">
        <v>12000</v>
      </c>
      <c r="O2" s="57" t="n">
        <v>11460</v>
      </c>
      <c r="P2" s="57" t="n">
        <v>38900</v>
      </c>
      <c r="Q2" s="57" t="n">
        <v>412300</v>
      </c>
      <c r="R2" s="46" t="inlineStr">
        <is>
          <t>Platform report attached in the asset folder; company sales = July total from finance</t>
        </is>
      </c>
      <c r="S2" s="58">
        <f>IF(AND(ISNUMBER($N2),ISNUMBER($O2)),$O2-$N2,"")</f>
        <v>-540</v>
      </c>
      <c r="T2" s="59">
        <f>IF(AND(ISNUMBER($O2),ISNUMBER($P2)),IF($O2&gt;0,$P2/$O2,""),"")</f>
        <v>3.39441535776614</v>
      </c>
      <c r="U2" s="49" t="str">
        <f>IF(COUNTA($A2:$R2)=0,"",IF($A2="","Missing: campaign ID",IF(COUNTIF($A$2:$A$101,$A2)&gt;1,"Duplicate campaign ID",IF($B2="","Missing: campaign name",IF($C2="","Missing: objective",IF($D2="","Missing: product 1",IF($G2="","Missing: channel",IF($H2="","Missing: owner",IF(NOT(ISNUMBER($I2)),"Missing: launch date",IF($L2="","Missing: approval status",IF(NOT(ISNUMBER($N2)),"Missing: planned spend",IF(OR(COUNTIF(Products!$A$2:$A$101,$D2)=0,AND($E2&lt;&gt;"",COUNTIF(Products!$A$2:$A$101,$E2)=0),AND($F2&lt;&gt;"",COUNTIF(Products!$A$2:$A$101,$F2)=0)),"Unknown SKU",IF(COUNTIF(Config!$Q$15:$Q$34,$G2)=0,"Unsupported channel",IF(COUNTIF(Config!$P$15:$P$34,$L2)=0,"Unsupported status","OK"))))))))))))))</f>
        <v>OK</v>
      </c>
    </row>
    <row r="3">
      <c r="A3" s="46" t="inlineStr">
        <is>
          <t>CMP-2026-02</t>
        </is>
      </c>
      <c r="B3" s="46" t="inlineStr">
        <is>
          <t>Back-to-Gym Creatine</t>
        </is>
      </c>
      <c r="C3" s="46" t="inlineStr">
        <is>
          <t>Win new creatine customers before autumn</t>
        </is>
      </c>
      <c r="D3" s="46" t="inlineStr">
        <is>
          <t>CRE-UNF-300G</t>
        </is>
      </c>
      <c r="E3" s="46" t="inlineStr">
        <is>
          <t>CRE-UNF-500G</t>
        </is>
      </c>
      <c r="F3" s="46" t="n"/>
      <c r="G3" s="46" t="inlineStr">
        <is>
          <t>Short-form video</t>
        </is>
      </c>
      <c r="H3" s="46" t="inlineStr">
        <is>
          <t>Hannah Becker</t>
        </is>
      </c>
      <c r="I3" s="54" t="n">
        <v>46252</v>
      </c>
      <c r="J3" s="54" t="n">
        <v>46234</v>
      </c>
      <c r="K3" s="54" t="n">
        <v>46244</v>
      </c>
      <c r="L3" s="46" t="inlineStr">
        <is>
          <t>Completed</t>
        </is>
      </c>
      <c r="M3" s="46" t="inlineStr">
        <is>
          <t>https://example.com/assets/CMP-2026-02</t>
        </is>
      </c>
      <c r="N3" s="57" t="n">
        <v>8000</v>
      </c>
      <c r="O3" s="57" t="n">
        <v>8450</v>
      </c>
      <c r="P3" s="57" t="n">
        <v>19700</v>
      </c>
      <c r="Q3" s="57" t="n"/>
      <c r="R3" s="46" t="inlineStr">
        <is>
          <t>August company sales total not yet supplied by finance (task TSK-011)</t>
        </is>
      </c>
      <c r="S3" s="58">
        <f>IF(AND(ISNUMBER($N3),ISNUMBER($O3)),$O3-$N3,"")</f>
        <v>450</v>
      </c>
      <c r="T3" s="59">
        <f>IF(AND(ISNUMBER($O3),ISNUMBER($P3)),IF($O3&gt;0,$P3/$O3,""),"")</f>
        <v>2.33136094674556</v>
      </c>
      <c r="U3" s="49" t="str">
        <f>IF(COUNTA($A3:$R3)=0,"",IF($A3="","Missing: campaign ID",IF(COUNTIF($A$2:$A$101,$A3)&gt;1,"Duplicate campaign ID",IF($B3="","Missing: campaign name",IF($C3="","Missing: objective",IF($D3="","Missing: product 1",IF($G3="","Missing: channel",IF($H3="","Missing: owner",IF(NOT(ISNUMBER($I3)),"Missing: launch date",IF($L3="","Missing: approval status",IF(NOT(ISNUMBER($N3)),"Missing: planned spend",IF(OR(COUNTIF(Products!$A$2:$A$101,$D3)=0,AND($E3&lt;&gt;"",COUNTIF(Products!$A$2:$A$101,$E3)=0),AND($F3&lt;&gt;"",COUNTIF(Products!$A$2:$A$101,$F3)=0)),"Unknown SKU",IF(COUNTIF(Config!$Q$15:$Q$34,$G3)=0,"Unsupported channel",IF(COUNTIF(Config!$P$15:$P$34,$L3)=0,"Unsupported status","OK"))))))))))))))</f>
        <v>OK</v>
      </c>
    </row>
    <row r="4">
      <c r="A4" s="46" t="inlineStr">
        <is>
          <t>CMP-2026-03</t>
        </is>
      </c>
      <c r="B4" s="46" t="inlineStr">
        <is>
          <t>Plant Protein Relaunch</t>
        </is>
      </c>
      <c r="C4" s="46" t="inlineStr">
        <is>
          <t>Relaunch plant protein with the new label</t>
        </is>
      </c>
      <c r="D4" s="46" t="inlineStr">
        <is>
          <t>PLT-CHO-2LB</t>
        </is>
      </c>
      <c r="E4" s="46" t="inlineStr">
        <is>
          <t>PLT-VAN-2LB</t>
        </is>
      </c>
      <c r="F4" s="46" t="n"/>
      <c r="G4" s="46" t="inlineStr">
        <is>
          <t>Email</t>
        </is>
      </c>
      <c r="H4" s="46" t="inlineStr">
        <is>
          <t>Maya Torres</t>
        </is>
      </c>
      <c r="I4" s="54" t="n">
        <v>46268</v>
      </c>
      <c r="J4" s="54" t="n">
        <v>46248</v>
      </c>
      <c r="K4" s="54" t="n">
        <v>46260</v>
      </c>
      <c r="L4" s="46" t="inlineStr">
        <is>
          <t>Completed</t>
        </is>
      </c>
      <c r="M4" s="46" t="inlineStr">
        <is>
          <t>https://example.com/assets/CMP-2026-03</t>
        </is>
      </c>
      <c r="N4" s="57" t="n">
        <v>3500</v>
      </c>
      <c r="O4" s="57" t="n">
        <v>3120</v>
      </c>
      <c r="P4" s="57" t="n">
        <v>9840</v>
      </c>
      <c r="Q4" s="57" t="n">
        <v>398700</v>
      </c>
      <c r="R4" s="46" t="inlineStr">
        <is>
          <t>Email platform attribution (5-day click window)</t>
        </is>
      </c>
      <c r="S4" s="58">
        <f>IF(AND(ISNUMBER($N4),ISNUMBER($O4)),$O4-$N4,"")</f>
        <v>-380</v>
      </c>
      <c r="T4" s="59">
        <f>IF(AND(ISNUMBER($O4),ISNUMBER($P4)),IF($O4&gt;0,$P4/$O4,""),"")</f>
        <v>3.15384615384615</v>
      </c>
      <c r="U4" s="49" t="str">
        <f>IF(COUNTA($A4:$R4)=0,"",IF($A4="","Missing: campaign ID",IF(COUNTIF($A$2:$A$101,$A4)&gt;1,"Duplicate campaign ID",IF($B4="","Missing: campaign name",IF($C4="","Missing: objective",IF($D4="","Missing: product 1",IF($G4="","Missing: channel",IF($H4="","Missing: owner",IF(NOT(ISNUMBER($I4)),"Missing: launch date",IF($L4="","Missing: approval status",IF(NOT(ISNUMBER($N4)),"Missing: planned spend",IF(OR(COUNTIF(Products!$A$2:$A$101,$D4)=0,AND($E4&lt;&gt;"",COUNTIF(Products!$A$2:$A$101,$E4)=0),AND($F4&lt;&gt;"",COUNTIF(Products!$A$2:$A$101,$F4)=0)),"Unknown SKU",IF(COUNTIF(Config!$Q$15:$Q$34,$G4)=0,"Unsupported channel",IF(COUNTIF(Config!$P$15:$P$34,$L4)=0,"Unsupported status","OK"))))))))))))))</f>
        <v>OK</v>
      </c>
    </row>
    <row r="5">
      <c r="A5" s="46" t="inlineStr">
        <is>
          <t>CMP-2026-04</t>
        </is>
      </c>
      <c r="B5" s="46" t="inlineStr">
        <is>
          <t>Cookie Dough Bar Creator Push</t>
        </is>
      </c>
      <c r="C5" s="46" t="inlineStr">
        <is>
          <t>Drive trial of the cookie dough bar</t>
        </is>
      </c>
      <c r="D5" s="46" t="inlineStr">
        <is>
          <t>BAR-CKD-12</t>
        </is>
      </c>
      <c r="E5" s="46" t="n"/>
      <c r="F5" s="46" t="n"/>
      <c r="G5" s="46" t="inlineStr">
        <is>
          <t>Influencer</t>
        </is>
      </c>
      <c r="H5" s="46" t="inlineStr">
        <is>
          <t>Maya Torres</t>
        </is>
      </c>
      <c r="I5" s="54" t="n">
        <v>46301</v>
      </c>
      <c r="J5" s="54" t="n">
        <v>46277</v>
      </c>
      <c r="K5" s="54" t="n">
        <v>46294</v>
      </c>
      <c r="L5" s="46" t="inlineStr">
        <is>
          <t>Live</t>
        </is>
      </c>
      <c r="M5" s="46" t="inlineStr">
        <is>
          <t>https://example.com/assets/CMP-2026-04</t>
        </is>
      </c>
      <c r="N5" s="57" t="n">
        <v>15000</v>
      </c>
      <c r="O5" s="57" t="n">
        <v>9800</v>
      </c>
      <c r="P5" s="57" t="n"/>
      <c r="Q5" s="57" t="n"/>
      <c r="R5" s="46" t="inlineStr">
        <is>
          <t>Running; creator results not reported yet</t>
        </is>
      </c>
      <c r="S5" s="58">
        <f>IF(AND(ISNUMBER($N5),ISNUMBER($O5)),$O5-$N5,"")</f>
        <v>-5200</v>
      </c>
      <c r="T5" s="59" t="str">
        <f>IF(AND(ISNUMBER($O5),ISNUMBER($P5)),IF($O5&gt;0,$P5/$O5,""),"")</f>
        <v/>
      </c>
      <c r="U5" s="49" t="str">
        <f>IF(COUNTA($A5:$R5)=0,"",IF($A5="","Missing: campaign ID",IF(COUNTIF($A$2:$A$101,$A5)&gt;1,"Duplicate campaign ID",IF($B5="","Missing: campaign name",IF($C5="","Missing: objective",IF($D5="","Missing: product 1",IF($G5="","Missing: channel",IF($H5="","Missing: owner",IF(NOT(ISNUMBER($I5)),"Missing: launch date",IF($L5="","Missing: approval status",IF(NOT(ISNUMBER($N5)),"Missing: planned spend",IF(OR(COUNTIF(Products!$A$2:$A$101,$D5)=0,AND($E5&lt;&gt;"",COUNTIF(Products!$A$2:$A$101,$E5)=0),AND($F5&lt;&gt;"",COUNTIF(Products!$A$2:$A$101,$F5)=0)),"Unknown SKU",IF(COUNTIF(Config!$Q$15:$Q$34,$G5)=0,"Unsupported channel",IF(COUNTIF(Config!$P$15:$P$34,$L5)=0,"Unsupported status","OK"))))))))))))))</f>
        <v>OK</v>
      </c>
    </row>
    <row r="6">
      <c r="A6" s="46" t="inlineStr">
        <is>
          <t>CMP-2026-05</t>
        </is>
      </c>
      <c r="B6" s="46" t="inlineStr">
        <is>
          <t>Fall Marketplace Deals</t>
        </is>
      </c>
      <c r="C6" s="46" t="inlineStr">
        <is>
          <t>Clear bar stock through marketplace deals</t>
        </is>
      </c>
      <c r="D6" s="46" t="inlineStr">
        <is>
          <t>BAR-PBC-12</t>
        </is>
      </c>
      <c r="E6" s="46" t="inlineStr">
        <is>
          <t>BAR-CKD-12</t>
        </is>
      </c>
      <c r="F6" s="46" t="n"/>
      <c r="G6" s="46" t="inlineStr">
        <is>
          <t>Marketplace ads</t>
        </is>
      </c>
      <c r="H6" s="46" t="inlineStr">
        <is>
          <t>Hannah Becker</t>
        </is>
      </c>
      <c r="I6" s="54" t="n">
        <v>46302</v>
      </c>
      <c r="J6" s="54" t="n">
        <v>46284</v>
      </c>
      <c r="K6" s="54" t="n">
        <v>46295</v>
      </c>
      <c r="L6" s="46" t="inlineStr">
        <is>
          <t>Completed</t>
        </is>
      </c>
      <c r="M6" s="46" t="inlineStr">
        <is>
          <t>https://example.com/assets/CMP-2026-05</t>
        </is>
      </c>
      <c r="N6" s="57" t="n">
        <v>6500</v>
      </c>
      <c r="O6" s="57" t="n">
        <v>6210</v>
      </c>
      <c r="P6" s="57" t="n">
        <v>24300</v>
      </c>
      <c r="Q6" s="57" t="n"/>
      <c r="R6" s="46" t="inlineStr">
        <is>
          <t>October company sales not closed yet</t>
        </is>
      </c>
      <c r="S6" s="58">
        <f>IF(AND(ISNUMBER($N6),ISNUMBER($O6)),$O6-$N6,"")</f>
        <v>-290</v>
      </c>
      <c r="T6" s="59">
        <f>IF(AND(ISNUMBER($O6),ISNUMBER($P6)),IF($O6&gt;0,$P6/$O6,""),"")</f>
        <v>3.91304347826087</v>
      </c>
      <c r="U6" s="49" t="str">
        <f>IF(COUNTA($A6:$R6)=0,"",IF($A6="","Missing: campaign ID",IF(COUNTIF($A$2:$A$101,$A6)&gt;1,"Duplicate campaign ID",IF($B6="","Missing: campaign name",IF($C6="","Missing: objective",IF($D6="","Missing: product 1",IF($G6="","Missing: channel",IF($H6="","Missing: owner",IF(NOT(ISNUMBER($I6)),"Missing: launch date",IF($L6="","Missing: approval status",IF(NOT(ISNUMBER($N6)),"Missing: planned spend",IF(OR(COUNTIF(Products!$A$2:$A$101,$D6)=0,AND($E6&lt;&gt;"",COUNTIF(Products!$A$2:$A$101,$E6)=0),AND($F6&lt;&gt;"",COUNTIF(Products!$A$2:$A$101,$F6)=0)),"Unknown SKU",IF(COUNTIF(Config!$Q$15:$Q$34,$G6)=0,"Unsupported channel",IF(COUNTIF(Config!$P$15:$P$34,$L6)=0,"Unsupported status","OK"))))))))))))))</f>
        <v>OK</v>
      </c>
    </row>
    <row r="7">
      <c r="A7" s="46" t="inlineStr">
        <is>
          <t>CMP-2026-06</t>
        </is>
      </c>
      <c r="B7" s="46" t="inlineStr">
        <is>
          <t>Watermelon Flavour Drop</t>
        </is>
      </c>
      <c r="C7" s="46" t="inlineStr">
        <is>
          <t>Launch the refreshed watermelon pre-workout</t>
        </is>
      </c>
      <c r="D7" s="46" t="inlineStr">
        <is>
          <t>PRE-WTM-30</t>
        </is>
      </c>
      <c r="E7" s="46" t="n"/>
      <c r="F7" s="46" t="n"/>
      <c r="G7" s="46" t="inlineStr">
        <is>
          <t>Short-form video</t>
        </is>
      </c>
      <c r="H7" s="46" t="inlineStr">
        <is>
          <t>Maya Torres</t>
        </is>
      </c>
      <c r="I7" s="54" t="n">
        <v>46329</v>
      </c>
      <c r="J7" s="54" t="n">
        <v>46305</v>
      </c>
      <c r="K7" s="54" t="n">
        <v>46319</v>
      </c>
      <c r="L7" s="46" t="inlineStr">
        <is>
          <t>Approved</t>
        </is>
      </c>
      <c r="M7" s="46" t="inlineStr">
        <is>
          <t>https://example.com/assets/CMP-2026-06</t>
        </is>
      </c>
      <c r="N7" s="57" t="n">
        <v>6000</v>
      </c>
      <c r="O7" s="57" t="n"/>
      <c r="P7" s="57" t="n"/>
      <c r="Q7" s="57" t="n"/>
      <c r="R7" s="46" t="n"/>
      <c r="S7" s="58" t="str">
        <f>IF(AND(ISNUMBER($N7),ISNUMBER($O7)),$O7-$N7,"")</f>
        <v/>
      </c>
      <c r="T7" s="59" t="str">
        <f>IF(AND(ISNUMBER($O7),ISNUMBER($P7)),IF($O7&gt;0,$P7/$O7,""),"")</f>
        <v/>
      </c>
      <c r="U7" s="49" t="str">
        <f>IF(COUNTA($A7:$R7)=0,"",IF($A7="","Missing: campaign ID",IF(COUNTIF($A$2:$A$101,$A7)&gt;1,"Duplicate campaign ID",IF($B7="","Missing: campaign name",IF($C7="","Missing: objective",IF($D7="","Missing: product 1",IF($G7="","Missing: channel",IF($H7="","Missing: owner",IF(NOT(ISNUMBER($I7)),"Missing: launch date",IF($L7="","Missing: approval status",IF(NOT(ISNUMBER($N7)),"Missing: planned spend",IF(OR(COUNTIF(Products!$A$2:$A$101,$D7)=0,AND($E7&lt;&gt;"",COUNTIF(Products!$A$2:$A$101,$E7)=0),AND($F7&lt;&gt;"",COUNTIF(Products!$A$2:$A$101,$F7)=0)),"Unknown SKU",IF(COUNTIF(Config!$Q$15:$Q$34,$G7)=0,"Unsupported channel",IF(COUNTIF(Config!$P$15:$P$34,$L7)=0,"Unsupported status","OK"))))))))))))))</f>
        <v>OK</v>
      </c>
    </row>
    <row r="8">
      <c r="A8" s="46" t="inlineStr">
        <is>
          <t>CMP-2026-07</t>
        </is>
      </c>
      <c r="B8" s="46" t="inlineStr">
        <is>
          <t>Holiday Gift Bundles</t>
        </is>
      </c>
      <c r="C8" s="46" t="inlineStr">
        <is>
          <t>Sell whey and bar gift bundles for the holidays</t>
        </is>
      </c>
      <c r="D8" s="46" t="inlineStr">
        <is>
          <t>WPI-CHO-2LB</t>
        </is>
      </c>
      <c r="E8" s="46" t="inlineStr">
        <is>
          <t>WPI-VAN-2LB</t>
        </is>
      </c>
      <c r="F8" s="46" t="inlineStr">
        <is>
          <t>BAR-PBC-12</t>
        </is>
      </c>
      <c r="G8" s="46" t="inlineStr">
        <is>
          <t>Paid social</t>
        </is>
      </c>
      <c r="H8" s="46" t="inlineStr">
        <is>
          <t>Maya Torres</t>
        </is>
      </c>
      <c r="I8" s="54" t="n">
        <v>46346</v>
      </c>
      <c r="J8" s="54" t="n">
        <v>46312</v>
      </c>
      <c r="K8" s="54" t="n">
        <v>46332</v>
      </c>
      <c r="L8" s="46" t="inlineStr">
        <is>
          <t>In review</t>
        </is>
      </c>
      <c r="M8" s="46" t="inlineStr">
        <is>
          <t>https://example.com/assets/CMP-2026-07</t>
        </is>
      </c>
      <c r="N8" s="57" t="n">
        <v>18000</v>
      </c>
      <c r="O8" s="57" t="n"/>
      <c r="P8" s="57" t="n"/>
      <c r="Q8" s="57" t="n"/>
      <c r="R8" s="46" t="inlineStr">
        <is>
          <t>Budget approval due 2026-10-28</t>
        </is>
      </c>
      <c r="S8" s="58" t="str">
        <f>IF(AND(ISNUMBER($N8),ISNUMBER($O8)),$O8-$N8,"")</f>
        <v/>
      </c>
      <c r="T8" s="59" t="str">
        <f>IF(AND(ISNUMBER($O8),ISNUMBER($P8)),IF($O8&gt;0,$P8/$O8,""),"")</f>
        <v/>
      </c>
      <c r="U8" s="49" t="str">
        <f>IF(COUNTA($A8:$R8)=0,"",IF($A8="","Missing: campaign ID",IF(COUNTIF($A$2:$A$101,$A8)&gt;1,"Duplicate campaign ID",IF($B8="","Missing: campaign name",IF($C8="","Missing: objective",IF($D8="","Missing: product 1",IF($G8="","Missing: channel",IF($H8="","Missing: owner",IF(NOT(ISNUMBER($I8)),"Missing: launch date",IF($L8="","Missing: approval status",IF(NOT(ISNUMBER($N8)),"Missing: planned spend",IF(OR(COUNTIF(Products!$A$2:$A$101,$D8)=0,AND($E8&lt;&gt;"",COUNTIF(Products!$A$2:$A$101,$E8)=0),AND($F8&lt;&gt;"",COUNTIF(Products!$A$2:$A$101,$F8)=0)),"Unknown SKU",IF(COUNTIF(Config!$Q$15:$Q$34,$G8)=0,"Unsupported channel",IF(COUNTIF(Config!$P$15:$P$34,$L8)=0,"Unsupported status","OK"))))))))))))))</f>
        <v>OK</v>
      </c>
    </row>
    <row r="9">
      <c r="A9" s="46" t="inlineStr">
        <is>
          <t>CMP-2026-08</t>
        </is>
      </c>
      <c r="B9" s="46" t="inlineStr">
        <is>
          <t>New Year Reset</t>
        </is>
      </c>
      <c r="C9" s="46" t="inlineStr">
        <is>
          <t>Bring back lapsed customers in January</t>
        </is>
      </c>
      <c r="D9" s="46" t="inlineStr">
        <is>
          <t>WPI-CHO-2LB</t>
        </is>
      </c>
      <c r="E9" s="46" t="inlineStr">
        <is>
          <t>PLT-CHO-2LB</t>
        </is>
      </c>
      <c r="F9" s="46" t="inlineStr">
        <is>
          <t>CRE-UNF-300G</t>
        </is>
      </c>
      <c r="G9" s="46" t="inlineStr">
        <is>
          <t>Search ads</t>
        </is>
      </c>
      <c r="H9" s="46" t="inlineStr">
        <is>
          <t>Hannah Becker</t>
        </is>
      </c>
      <c r="I9" s="54" t="n">
        <v>46389</v>
      </c>
      <c r="J9" s="54" t="n">
        <v>46371</v>
      </c>
      <c r="K9" s="54" t="n">
        <v>46378</v>
      </c>
      <c r="L9" s="46" t="inlineStr">
        <is>
          <t>Draft</t>
        </is>
      </c>
      <c r="M9" s="46" t="inlineStr">
        <is>
          <t>https://example.com/assets/CMP-2026-08</t>
        </is>
      </c>
      <c r="N9" s="57" t="n">
        <v>10000</v>
      </c>
      <c r="O9" s="57" t="n"/>
      <c r="P9" s="57" t="n"/>
      <c r="Q9" s="57" t="n"/>
      <c r="R9" s="46" t="n"/>
      <c r="S9" s="58" t="str">
        <f>IF(AND(ISNUMBER($N9),ISNUMBER($O9)),$O9-$N9,"")</f>
        <v/>
      </c>
      <c r="T9" s="59" t="str">
        <f>IF(AND(ISNUMBER($O9),ISNUMBER($P9)),IF($O9&gt;0,$P9/$O9,""),"")</f>
        <v/>
      </c>
      <c r="U9" s="49" t="str">
        <f>IF(COUNTA($A9:$R9)=0,"",IF($A9="","Missing: campaign ID",IF(COUNTIF($A$2:$A$101,$A9)&gt;1,"Duplicate campaign ID",IF($B9="","Missing: campaign name",IF($C9="","Missing: objective",IF($D9="","Missing: product 1",IF($G9="","Missing: channel",IF($H9="","Missing: owner",IF(NOT(ISNUMBER($I9)),"Missing: launch date",IF($L9="","Missing: approval status",IF(NOT(ISNUMBER($N9)),"Missing: planned spend",IF(OR(COUNTIF(Products!$A$2:$A$101,$D9)=0,AND($E9&lt;&gt;"",COUNTIF(Products!$A$2:$A$101,$E9)=0),AND($F9&lt;&gt;"",COUNTIF(Products!$A$2:$A$101,$F9)=0)),"Unknown SKU",IF(COUNTIF(Config!$Q$15:$Q$34,$G9)=0,"Unsupported channel",IF(COUNTIF(Config!$P$15:$P$34,$L9)=0,"Unsupported status","OK"))))))))))))))</f>
        <v>OK</v>
      </c>
    </row>
    <row r="10">
      <c r="A10" s="46" t="n"/>
      <c r="B10" s="46" t="n"/>
      <c r="C10" s="46" t="n"/>
      <c r="D10" s="46" t="n"/>
      <c r="E10" s="46" t="n"/>
      <c r="F10" s="46" t="n"/>
      <c r="G10" s="46" t="n"/>
      <c r="H10" s="46" t="n"/>
      <c r="I10" s="54" t="n"/>
      <c r="J10" s="54" t="n"/>
      <c r="K10" s="54" t="n"/>
      <c r="L10" s="46" t="n"/>
      <c r="M10" s="46" t="n"/>
      <c r="N10" s="57" t="n"/>
      <c r="O10" s="57" t="n"/>
      <c r="P10" s="57" t="n"/>
      <c r="Q10" s="57" t="n"/>
      <c r="R10" s="46" t="n"/>
      <c r="S10" s="58" t="str">
        <f>IF(AND(ISNUMBER($N10),ISNUMBER($O10)),$O10-$N10,"")</f>
        <v/>
      </c>
      <c r="T10" s="59" t="str">
        <f>IF(AND(ISNUMBER($O10),ISNUMBER($P10)),IF($O10&gt;0,$P10/$O10,""),"")</f>
        <v/>
      </c>
      <c r="U10" s="49" t="str">
        <f>IF(COUNTA($A10:$R10)=0,"",IF($A10="","Missing: campaign ID",IF(COUNTIF($A$2:$A$101,$A10)&gt;1,"Duplicate campaign ID",IF($B10="","Missing: campaign name",IF($C10="","Missing: objective",IF($D10="","Missing: product 1",IF($G10="","Missing: channel",IF($H10="","Missing: owner",IF(NOT(ISNUMBER($I10)),"Missing: launch date",IF($L10="","Missing: approval status",IF(NOT(ISNUMBER($N10)),"Missing: planned spend",IF(OR(COUNTIF(Products!$A$2:$A$101,$D10)=0,AND($E10&lt;&gt;"",COUNTIF(Products!$A$2:$A$101,$E10)=0),AND($F10&lt;&gt;"",COUNTIF(Products!$A$2:$A$101,$F10)=0)),"Unknown SKU",IF(COUNTIF(Config!$Q$15:$Q$34,$G10)=0,"Unsupported channel",IF(COUNTIF(Config!$P$15:$P$34,$L10)=0,"Unsupported status","OK"))))))))))))))</f>
        <v/>
      </c>
    </row>
    <row r="11">
      <c r="A11" s="46" t="n"/>
      <c r="B11" s="46" t="n"/>
      <c r="C11" s="46" t="n"/>
      <c r="D11" s="46" t="n"/>
      <c r="E11" s="46" t="n"/>
      <c r="F11" s="46" t="n"/>
      <c r="G11" s="46" t="n"/>
      <c r="H11" s="46" t="n"/>
      <c r="I11" s="54" t="n"/>
      <c r="J11" s="54" t="n"/>
      <c r="K11" s="54" t="n"/>
      <c r="L11" s="46" t="n"/>
      <c r="M11" s="46" t="n"/>
      <c r="N11" s="57" t="n"/>
      <c r="O11" s="57" t="n"/>
      <c r="P11" s="57" t="n"/>
      <c r="Q11" s="57" t="n"/>
      <c r="R11" s="46" t="n"/>
      <c r="S11" s="58" t="str">
        <f>IF(AND(ISNUMBER($N11),ISNUMBER($O11)),$O11-$N11,"")</f>
        <v/>
      </c>
      <c r="T11" s="59" t="str">
        <f>IF(AND(ISNUMBER($O11),ISNUMBER($P11)),IF($O11&gt;0,$P11/$O11,""),"")</f>
        <v/>
      </c>
      <c r="U11" s="49" t="str">
        <f>IF(COUNTA($A11:$R11)=0,"",IF($A11="","Missing: campaign ID",IF(COUNTIF($A$2:$A$101,$A11)&gt;1,"Duplicate campaign ID",IF($B11="","Missing: campaign name",IF($C11="","Missing: objective",IF($D11="","Missing: product 1",IF($G11="","Missing: channel",IF($H11="","Missing: owner",IF(NOT(ISNUMBER($I11)),"Missing: launch date",IF($L11="","Missing: approval status",IF(NOT(ISNUMBER($N11)),"Missing: planned spend",IF(OR(COUNTIF(Products!$A$2:$A$101,$D11)=0,AND($E11&lt;&gt;"",COUNTIF(Products!$A$2:$A$101,$E11)=0),AND($F11&lt;&gt;"",COUNTIF(Products!$A$2:$A$101,$F11)=0)),"Unknown SKU",IF(COUNTIF(Config!$Q$15:$Q$34,$G11)=0,"Unsupported channel",IF(COUNTIF(Config!$P$15:$P$34,$L11)=0,"Unsupported status","OK"))))))))))))))</f>
        <v/>
      </c>
    </row>
    <row r="12">
      <c r="A12" s="46" t="n"/>
      <c r="B12" s="46" t="n"/>
      <c r="C12" s="46" t="n"/>
      <c r="D12" s="46" t="n"/>
      <c r="E12" s="46" t="n"/>
      <c r="F12" s="46" t="n"/>
      <c r="G12" s="46" t="n"/>
      <c r="H12" s="46" t="n"/>
      <c r="I12" s="54" t="n"/>
      <c r="J12" s="54" t="n"/>
      <c r="K12" s="54" t="n"/>
      <c r="L12" s="46" t="n"/>
      <c r="M12" s="46" t="n"/>
      <c r="N12" s="57" t="n"/>
      <c r="O12" s="57" t="n"/>
      <c r="P12" s="57" t="n"/>
      <c r="Q12" s="57" t="n"/>
      <c r="R12" s="46" t="n"/>
      <c r="S12" s="58" t="str">
        <f>IF(AND(ISNUMBER($N12),ISNUMBER($O12)),$O12-$N12,"")</f>
        <v/>
      </c>
      <c r="T12" s="59" t="str">
        <f>IF(AND(ISNUMBER($O12),ISNUMBER($P12)),IF($O12&gt;0,$P12/$O12,""),"")</f>
        <v/>
      </c>
      <c r="U12" s="49" t="str">
        <f>IF(COUNTA($A12:$R12)=0,"",IF($A12="","Missing: campaign ID",IF(COUNTIF($A$2:$A$101,$A12)&gt;1,"Duplicate campaign ID",IF($B12="","Missing: campaign name",IF($C12="","Missing: objective",IF($D12="","Missing: product 1",IF($G12="","Missing: channel",IF($H12="","Missing: owner",IF(NOT(ISNUMBER($I12)),"Missing: launch date",IF($L12="","Missing: approval status",IF(NOT(ISNUMBER($N12)),"Missing: planned spend",IF(OR(COUNTIF(Products!$A$2:$A$101,$D12)=0,AND($E12&lt;&gt;"",COUNTIF(Products!$A$2:$A$101,$E12)=0),AND($F12&lt;&gt;"",COUNTIF(Products!$A$2:$A$101,$F12)=0)),"Unknown SKU",IF(COUNTIF(Config!$Q$15:$Q$34,$G12)=0,"Unsupported channel",IF(COUNTIF(Config!$P$15:$P$34,$L12)=0,"Unsupported status","OK"))))))))))))))</f>
        <v/>
      </c>
    </row>
    <row r="13">
      <c r="A13" s="46" t="n"/>
      <c r="B13" s="46" t="n"/>
      <c r="C13" s="46" t="n"/>
      <c r="D13" s="46" t="n"/>
      <c r="E13" s="46" t="n"/>
      <c r="F13" s="46" t="n"/>
      <c r="G13" s="46" t="n"/>
      <c r="H13" s="46" t="n"/>
      <c r="I13" s="54" t="n"/>
      <c r="J13" s="54" t="n"/>
      <c r="K13" s="54" t="n"/>
      <c r="L13" s="46" t="n"/>
      <c r="M13" s="46" t="n"/>
      <c r="N13" s="57" t="n"/>
      <c r="O13" s="57" t="n"/>
      <c r="P13" s="57" t="n"/>
      <c r="Q13" s="57" t="n"/>
      <c r="R13" s="46" t="n"/>
      <c r="S13" s="58" t="str">
        <f>IF(AND(ISNUMBER($N13),ISNUMBER($O13)),$O13-$N13,"")</f>
        <v/>
      </c>
      <c r="T13" s="59" t="str">
        <f>IF(AND(ISNUMBER($O13),ISNUMBER($P13)),IF($O13&gt;0,$P13/$O13,""),"")</f>
        <v/>
      </c>
      <c r="U13" s="49" t="str">
        <f>IF(COUNTA($A13:$R13)=0,"",IF($A13="","Missing: campaign ID",IF(COUNTIF($A$2:$A$101,$A13)&gt;1,"Duplicate campaign ID",IF($B13="","Missing: campaign name",IF($C13="","Missing: objective",IF($D13="","Missing: product 1",IF($G13="","Missing: channel",IF($H13="","Missing: owner",IF(NOT(ISNUMBER($I13)),"Missing: launch date",IF($L13="","Missing: approval status",IF(NOT(ISNUMBER($N13)),"Missing: planned spend",IF(OR(COUNTIF(Products!$A$2:$A$101,$D13)=0,AND($E13&lt;&gt;"",COUNTIF(Products!$A$2:$A$101,$E13)=0),AND($F13&lt;&gt;"",COUNTIF(Products!$A$2:$A$101,$F13)=0)),"Unknown SKU",IF(COUNTIF(Config!$Q$15:$Q$34,$G13)=0,"Unsupported channel",IF(COUNTIF(Config!$P$15:$P$34,$L13)=0,"Unsupported status","OK"))))))))))))))</f>
        <v/>
      </c>
    </row>
    <row r="14">
      <c r="A14" s="46" t="n"/>
      <c r="B14" s="46" t="n"/>
      <c r="C14" s="46" t="n"/>
      <c r="D14" s="46" t="n"/>
      <c r="E14" s="46" t="n"/>
      <c r="F14" s="46" t="n"/>
      <c r="G14" s="46" t="n"/>
      <c r="H14" s="46" t="n"/>
      <c r="I14" s="54" t="n"/>
      <c r="J14" s="54" t="n"/>
      <c r="K14" s="54" t="n"/>
      <c r="L14" s="46" t="n"/>
      <c r="M14" s="46" t="n"/>
      <c r="N14" s="57" t="n"/>
      <c r="O14" s="57" t="n"/>
      <c r="P14" s="57" t="n"/>
      <c r="Q14" s="57" t="n"/>
      <c r="R14" s="46" t="n"/>
      <c r="S14" s="58" t="str">
        <f>IF(AND(ISNUMBER($N14),ISNUMBER($O14)),$O14-$N14,"")</f>
        <v/>
      </c>
      <c r="T14" s="59" t="str">
        <f>IF(AND(ISNUMBER($O14),ISNUMBER($P14)),IF($O14&gt;0,$P14/$O14,""),"")</f>
        <v/>
      </c>
      <c r="U14" s="49" t="str">
        <f>IF(COUNTA($A14:$R14)=0,"",IF($A14="","Missing: campaign ID",IF(COUNTIF($A$2:$A$101,$A14)&gt;1,"Duplicate campaign ID",IF($B14="","Missing: campaign name",IF($C14="","Missing: objective",IF($D14="","Missing: product 1",IF($G14="","Missing: channel",IF($H14="","Missing: owner",IF(NOT(ISNUMBER($I14)),"Missing: launch date",IF($L14="","Missing: approval status",IF(NOT(ISNUMBER($N14)),"Missing: planned spend",IF(OR(COUNTIF(Products!$A$2:$A$101,$D14)=0,AND($E14&lt;&gt;"",COUNTIF(Products!$A$2:$A$101,$E14)=0),AND($F14&lt;&gt;"",COUNTIF(Products!$A$2:$A$101,$F14)=0)),"Unknown SKU",IF(COUNTIF(Config!$Q$15:$Q$34,$G14)=0,"Unsupported channel",IF(COUNTIF(Config!$P$15:$P$34,$L14)=0,"Unsupported status","OK"))))))))))))))</f>
        <v/>
      </c>
    </row>
    <row r="15">
      <c r="A15" s="46" t="n"/>
      <c r="B15" s="46" t="n"/>
      <c r="C15" s="46" t="n"/>
      <c r="D15" s="46" t="n"/>
      <c r="E15" s="46" t="n"/>
      <c r="F15" s="46" t="n"/>
      <c r="G15" s="46" t="n"/>
      <c r="H15" s="46" t="n"/>
      <c r="I15" s="54" t="n"/>
      <c r="J15" s="54" t="n"/>
      <c r="K15" s="54" t="n"/>
      <c r="L15" s="46" t="n"/>
      <c r="M15" s="46" t="n"/>
      <c r="N15" s="57" t="n"/>
      <c r="O15" s="57" t="n"/>
      <c r="P15" s="57" t="n"/>
      <c r="Q15" s="57" t="n"/>
      <c r="R15" s="46" t="n"/>
      <c r="S15" s="58" t="str">
        <f>IF(AND(ISNUMBER($N15),ISNUMBER($O15)),$O15-$N15,"")</f>
        <v/>
      </c>
      <c r="T15" s="59" t="str">
        <f>IF(AND(ISNUMBER($O15),ISNUMBER($P15)),IF($O15&gt;0,$P15/$O15,""),"")</f>
        <v/>
      </c>
      <c r="U15" s="49" t="str">
        <f>IF(COUNTA($A15:$R15)=0,"",IF($A15="","Missing: campaign ID",IF(COUNTIF($A$2:$A$101,$A15)&gt;1,"Duplicate campaign ID",IF($B15="","Missing: campaign name",IF($C15="","Missing: objective",IF($D15="","Missing: product 1",IF($G15="","Missing: channel",IF($H15="","Missing: owner",IF(NOT(ISNUMBER($I15)),"Missing: launch date",IF($L15="","Missing: approval status",IF(NOT(ISNUMBER($N15)),"Missing: planned spend",IF(OR(COUNTIF(Products!$A$2:$A$101,$D15)=0,AND($E15&lt;&gt;"",COUNTIF(Products!$A$2:$A$101,$E15)=0),AND($F15&lt;&gt;"",COUNTIF(Products!$A$2:$A$101,$F15)=0)),"Unknown SKU",IF(COUNTIF(Config!$Q$15:$Q$34,$G15)=0,"Unsupported channel",IF(COUNTIF(Config!$P$15:$P$34,$L15)=0,"Unsupported status","OK"))))))))))))))</f>
        <v/>
      </c>
    </row>
    <row r="16">
      <c r="A16" s="46" t="n"/>
      <c r="B16" s="46" t="n"/>
      <c r="C16" s="46" t="n"/>
      <c r="D16" s="46" t="n"/>
      <c r="E16" s="46" t="n"/>
      <c r="F16" s="46" t="n"/>
      <c r="G16" s="46" t="n"/>
      <c r="H16" s="46" t="n"/>
      <c r="I16" s="54" t="n"/>
      <c r="J16" s="54" t="n"/>
      <c r="K16" s="54" t="n"/>
      <c r="L16" s="46" t="n"/>
      <c r="M16" s="46" t="n"/>
      <c r="N16" s="57" t="n"/>
      <c r="O16" s="57" t="n"/>
      <c r="P16" s="57" t="n"/>
      <c r="Q16" s="57" t="n"/>
      <c r="R16" s="46" t="n"/>
      <c r="S16" s="58" t="str">
        <f>IF(AND(ISNUMBER($N16),ISNUMBER($O16)),$O16-$N16,"")</f>
        <v/>
      </c>
      <c r="T16" s="59" t="str">
        <f>IF(AND(ISNUMBER($O16),ISNUMBER($P16)),IF($O16&gt;0,$P16/$O16,""),"")</f>
        <v/>
      </c>
      <c r="U16" s="49" t="str">
        <f>IF(COUNTA($A16:$R16)=0,"",IF($A16="","Missing: campaign ID",IF(COUNTIF($A$2:$A$101,$A16)&gt;1,"Duplicate campaign ID",IF($B16="","Missing: campaign name",IF($C16="","Missing: objective",IF($D16="","Missing: product 1",IF($G16="","Missing: channel",IF($H16="","Missing: owner",IF(NOT(ISNUMBER($I16)),"Missing: launch date",IF($L16="","Missing: approval status",IF(NOT(ISNUMBER($N16)),"Missing: planned spend",IF(OR(COUNTIF(Products!$A$2:$A$101,$D16)=0,AND($E16&lt;&gt;"",COUNTIF(Products!$A$2:$A$101,$E16)=0),AND($F16&lt;&gt;"",COUNTIF(Products!$A$2:$A$101,$F16)=0)),"Unknown SKU",IF(COUNTIF(Config!$Q$15:$Q$34,$G16)=0,"Unsupported channel",IF(COUNTIF(Config!$P$15:$P$34,$L16)=0,"Unsupported status","OK"))))))))))))))</f>
        <v/>
      </c>
    </row>
    <row r="17">
      <c r="A17" s="46" t="n"/>
      <c r="B17" s="46" t="n"/>
      <c r="C17" s="46" t="n"/>
      <c r="D17" s="46" t="n"/>
      <c r="E17" s="46" t="n"/>
      <c r="F17" s="46" t="n"/>
      <c r="G17" s="46" t="n"/>
      <c r="H17" s="46" t="n"/>
      <c r="I17" s="54" t="n"/>
      <c r="J17" s="54" t="n"/>
      <c r="K17" s="54" t="n"/>
      <c r="L17" s="46" t="n"/>
      <c r="M17" s="46" t="n"/>
      <c r="N17" s="57" t="n"/>
      <c r="O17" s="57" t="n"/>
      <c r="P17" s="57" t="n"/>
      <c r="Q17" s="57" t="n"/>
      <c r="R17" s="46" t="n"/>
      <c r="S17" s="58" t="str">
        <f>IF(AND(ISNUMBER($N17),ISNUMBER($O17)),$O17-$N17,"")</f>
        <v/>
      </c>
      <c r="T17" s="59" t="str">
        <f>IF(AND(ISNUMBER($O17),ISNUMBER($P17)),IF($O17&gt;0,$P17/$O17,""),"")</f>
        <v/>
      </c>
      <c r="U17" s="49" t="str">
        <f>IF(COUNTA($A17:$R17)=0,"",IF($A17="","Missing: campaign ID",IF(COUNTIF($A$2:$A$101,$A17)&gt;1,"Duplicate campaign ID",IF($B17="","Missing: campaign name",IF($C17="","Missing: objective",IF($D17="","Missing: product 1",IF($G17="","Missing: channel",IF($H17="","Missing: owner",IF(NOT(ISNUMBER($I17)),"Missing: launch date",IF($L17="","Missing: approval status",IF(NOT(ISNUMBER($N17)),"Missing: planned spend",IF(OR(COUNTIF(Products!$A$2:$A$101,$D17)=0,AND($E17&lt;&gt;"",COUNTIF(Products!$A$2:$A$101,$E17)=0),AND($F17&lt;&gt;"",COUNTIF(Products!$A$2:$A$101,$F17)=0)),"Unknown SKU",IF(COUNTIF(Config!$Q$15:$Q$34,$G17)=0,"Unsupported channel",IF(COUNTIF(Config!$P$15:$P$34,$L17)=0,"Unsupported status","OK"))))))))))))))</f>
        <v/>
      </c>
    </row>
    <row r="18">
      <c r="A18" s="46" t="n"/>
      <c r="B18" s="46" t="n"/>
      <c r="C18" s="46" t="n"/>
      <c r="D18" s="46" t="n"/>
      <c r="E18" s="46" t="n"/>
      <c r="F18" s="46" t="n"/>
      <c r="G18" s="46" t="n"/>
      <c r="H18" s="46" t="n"/>
      <c r="I18" s="54" t="n"/>
      <c r="J18" s="54" t="n"/>
      <c r="K18" s="54" t="n"/>
      <c r="L18" s="46" t="n"/>
      <c r="M18" s="46" t="n"/>
      <c r="N18" s="57" t="n"/>
      <c r="O18" s="57" t="n"/>
      <c r="P18" s="57" t="n"/>
      <c r="Q18" s="57" t="n"/>
      <c r="R18" s="46" t="n"/>
      <c r="S18" s="58" t="str">
        <f>IF(AND(ISNUMBER($N18),ISNUMBER($O18)),$O18-$N18,"")</f>
        <v/>
      </c>
      <c r="T18" s="59" t="str">
        <f>IF(AND(ISNUMBER($O18),ISNUMBER($P18)),IF($O18&gt;0,$P18/$O18,""),"")</f>
        <v/>
      </c>
      <c r="U18" s="49" t="str">
        <f>IF(COUNTA($A18:$R18)=0,"",IF($A18="","Missing: campaign ID",IF(COUNTIF($A$2:$A$101,$A18)&gt;1,"Duplicate campaign ID",IF($B18="","Missing: campaign name",IF($C18="","Missing: objective",IF($D18="","Missing: product 1",IF($G18="","Missing: channel",IF($H18="","Missing: owner",IF(NOT(ISNUMBER($I18)),"Missing: launch date",IF($L18="","Missing: approval status",IF(NOT(ISNUMBER($N18)),"Missing: planned spend",IF(OR(COUNTIF(Products!$A$2:$A$101,$D18)=0,AND($E18&lt;&gt;"",COUNTIF(Products!$A$2:$A$101,$E18)=0),AND($F18&lt;&gt;"",COUNTIF(Products!$A$2:$A$101,$F18)=0)),"Unknown SKU",IF(COUNTIF(Config!$Q$15:$Q$34,$G18)=0,"Unsupported channel",IF(COUNTIF(Config!$P$15:$P$34,$L18)=0,"Unsupported status","OK"))))))))))))))</f>
        <v/>
      </c>
    </row>
    <row r="19">
      <c r="A19" s="46" t="n"/>
      <c r="B19" s="46" t="n"/>
      <c r="C19" s="46" t="n"/>
      <c r="D19" s="46" t="n"/>
      <c r="E19" s="46" t="n"/>
      <c r="F19" s="46" t="n"/>
      <c r="G19" s="46" t="n"/>
      <c r="H19" s="46" t="n"/>
      <c r="I19" s="54" t="n"/>
      <c r="J19" s="54" t="n"/>
      <c r="K19" s="54" t="n"/>
      <c r="L19" s="46" t="n"/>
      <c r="M19" s="46" t="n"/>
      <c r="N19" s="57" t="n"/>
      <c r="O19" s="57" t="n"/>
      <c r="P19" s="57" t="n"/>
      <c r="Q19" s="57" t="n"/>
      <c r="R19" s="46" t="n"/>
      <c r="S19" s="58" t="str">
        <f>IF(AND(ISNUMBER($N19),ISNUMBER($O19)),$O19-$N19,"")</f>
        <v/>
      </c>
      <c r="T19" s="59" t="str">
        <f>IF(AND(ISNUMBER($O19),ISNUMBER($P19)),IF($O19&gt;0,$P19/$O19,""),"")</f>
        <v/>
      </c>
      <c r="U19" s="49" t="str">
        <f>IF(COUNTA($A19:$R19)=0,"",IF($A19="","Missing: campaign ID",IF(COUNTIF($A$2:$A$101,$A19)&gt;1,"Duplicate campaign ID",IF($B19="","Missing: campaign name",IF($C19="","Missing: objective",IF($D19="","Missing: product 1",IF($G19="","Missing: channel",IF($H19="","Missing: owner",IF(NOT(ISNUMBER($I19)),"Missing: launch date",IF($L19="","Missing: approval status",IF(NOT(ISNUMBER($N19)),"Missing: planned spend",IF(OR(COUNTIF(Products!$A$2:$A$101,$D19)=0,AND($E19&lt;&gt;"",COUNTIF(Products!$A$2:$A$101,$E19)=0),AND($F19&lt;&gt;"",COUNTIF(Products!$A$2:$A$101,$F19)=0)),"Unknown SKU",IF(COUNTIF(Config!$Q$15:$Q$34,$G19)=0,"Unsupported channel",IF(COUNTIF(Config!$P$15:$P$34,$L19)=0,"Unsupported status","OK"))))))))))))))</f>
        <v/>
      </c>
    </row>
    <row r="20">
      <c r="A20" s="46" t="n"/>
      <c r="B20" s="46" t="n"/>
      <c r="C20" s="46" t="n"/>
      <c r="D20" s="46" t="n"/>
      <c r="E20" s="46" t="n"/>
      <c r="F20" s="46" t="n"/>
      <c r="G20" s="46" t="n"/>
      <c r="H20" s="46" t="n"/>
      <c r="I20" s="54" t="n"/>
      <c r="J20" s="54" t="n"/>
      <c r="K20" s="54" t="n"/>
      <c r="L20" s="46" t="n"/>
      <c r="M20" s="46" t="n"/>
      <c r="N20" s="57" t="n"/>
      <c r="O20" s="57" t="n"/>
      <c r="P20" s="57" t="n"/>
      <c r="Q20" s="57" t="n"/>
      <c r="R20" s="46" t="n"/>
      <c r="S20" s="58" t="str">
        <f>IF(AND(ISNUMBER($N20),ISNUMBER($O20)),$O20-$N20,"")</f>
        <v/>
      </c>
      <c r="T20" s="59" t="str">
        <f>IF(AND(ISNUMBER($O20),ISNUMBER($P20)),IF($O20&gt;0,$P20/$O20,""),"")</f>
        <v/>
      </c>
      <c r="U20" s="49" t="str">
        <f>IF(COUNTA($A20:$R20)=0,"",IF($A20="","Missing: campaign ID",IF(COUNTIF($A$2:$A$101,$A20)&gt;1,"Duplicate campaign ID",IF($B20="","Missing: campaign name",IF($C20="","Missing: objective",IF($D20="","Missing: product 1",IF($G20="","Missing: channel",IF($H20="","Missing: owner",IF(NOT(ISNUMBER($I20)),"Missing: launch date",IF($L20="","Missing: approval status",IF(NOT(ISNUMBER($N20)),"Missing: planned spend",IF(OR(COUNTIF(Products!$A$2:$A$101,$D20)=0,AND($E20&lt;&gt;"",COUNTIF(Products!$A$2:$A$101,$E20)=0),AND($F20&lt;&gt;"",COUNTIF(Products!$A$2:$A$101,$F20)=0)),"Unknown SKU",IF(COUNTIF(Config!$Q$15:$Q$34,$G20)=0,"Unsupported channel",IF(COUNTIF(Config!$P$15:$P$34,$L20)=0,"Unsupported status","OK"))))))))))))))</f>
        <v/>
      </c>
    </row>
    <row r="21">
      <c r="A21" s="46" t="n"/>
      <c r="B21" s="46" t="n"/>
      <c r="C21" s="46" t="n"/>
      <c r="D21" s="46" t="n"/>
      <c r="E21" s="46" t="n"/>
      <c r="F21" s="46" t="n"/>
      <c r="G21" s="46" t="n"/>
      <c r="H21" s="46" t="n"/>
      <c r="I21" s="54" t="n"/>
      <c r="J21" s="54" t="n"/>
      <c r="K21" s="54" t="n"/>
      <c r="L21" s="46" t="n"/>
      <c r="M21" s="46" t="n"/>
      <c r="N21" s="57" t="n"/>
      <c r="O21" s="57" t="n"/>
      <c r="P21" s="57" t="n"/>
      <c r="Q21" s="57" t="n"/>
      <c r="R21" s="46" t="n"/>
      <c r="S21" s="58" t="str">
        <f>IF(AND(ISNUMBER($N21),ISNUMBER($O21)),$O21-$N21,"")</f>
        <v/>
      </c>
      <c r="T21" s="59" t="str">
        <f>IF(AND(ISNUMBER($O21),ISNUMBER($P21)),IF($O21&gt;0,$P21/$O21,""),"")</f>
        <v/>
      </c>
      <c r="U21" s="49" t="str">
        <f>IF(COUNTA($A21:$R21)=0,"",IF($A21="","Missing: campaign ID",IF(COUNTIF($A$2:$A$101,$A21)&gt;1,"Duplicate campaign ID",IF($B21="","Missing: campaign name",IF($C21="","Missing: objective",IF($D21="","Missing: product 1",IF($G21="","Missing: channel",IF($H21="","Missing: owner",IF(NOT(ISNUMBER($I21)),"Missing: launch date",IF($L21="","Missing: approval status",IF(NOT(ISNUMBER($N21)),"Missing: planned spend",IF(OR(COUNTIF(Products!$A$2:$A$101,$D21)=0,AND($E21&lt;&gt;"",COUNTIF(Products!$A$2:$A$101,$E21)=0),AND($F21&lt;&gt;"",COUNTIF(Products!$A$2:$A$101,$F21)=0)),"Unknown SKU",IF(COUNTIF(Config!$Q$15:$Q$34,$G21)=0,"Unsupported channel",IF(COUNTIF(Config!$P$15:$P$34,$L21)=0,"Unsupported status","OK"))))))))))))))</f>
        <v/>
      </c>
    </row>
    <row r="22">
      <c r="A22" s="46" t="n"/>
      <c r="B22" s="46" t="n"/>
      <c r="C22" s="46" t="n"/>
      <c r="D22" s="46" t="n"/>
      <c r="E22" s="46" t="n"/>
      <c r="F22" s="46" t="n"/>
      <c r="G22" s="46" t="n"/>
      <c r="H22" s="46" t="n"/>
      <c r="I22" s="54" t="n"/>
      <c r="J22" s="54" t="n"/>
      <c r="K22" s="54" t="n"/>
      <c r="L22" s="46" t="n"/>
      <c r="M22" s="46" t="n"/>
      <c r="N22" s="57" t="n"/>
      <c r="O22" s="57" t="n"/>
      <c r="P22" s="57" t="n"/>
      <c r="Q22" s="57" t="n"/>
      <c r="R22" s="46" t="n"/>
      <c r="S22" s="58" t="str">
        <f>IF(AND(ISNUMBER($N22),ISNUMBER($O22)),$O22-$N22,"")</f>
        <v/>
      </c>
      <c r="T22" s="59" t="str">
        <f>IF(AND(ISNUMBER($O22),ISNUMBER($P22)),IF($O22&gt;0,$P22/$O22,""),"")</f>
        <v/>
      </c>
      <c r="U22" s="49" t="str">
        <f>IF(COUNTA($A22:$R22)=0,"",IF($A22="","Missing: campaign ID",IF(COUNTIF($A$2:$A$101,$A22)&gt;1,"Duplicate campaign ID",IF($B22="","Missing: campaign name",IF($C22="","Missing: objective",IF($D22="","Missing: product 1",IF($G22="","Missing: channel",IF($H22="","Missing: owner",IF(NOT(ISNUMBER($I22)),"Missing: launch date",IF($L22="","Missing: approval status",IF(NOT(ISNUMBER($N22)),"Missing: planned spend",IF(OR(COUNTIF(Products!$A$2:$A$101,$D22)=0,AND($E22&lt;&gt;"",COUNTIF(Products!$A$2:$A$101,$E22)=0),AND($F22&lt;&gt;"",COUNTIF(Products!$A$2:$A$101,$F22)=0)),"Unknown SKU",IF(COUNTIF(Config!$Q$15:$Q$34,$G22)=0,"Unsupported channel",IF(COUNTIF(Config!$P$15:$P$34,$L22)=0,"Unsupported status","OK"))))))))))))))</f>
        <v/>
      </c>
    </row>
    <row r="23">
      <c r="A23" s="46" t="n"/>
      <c r="B23" s="46" t="n"/>
      <c r="C23" s="46" t="n"/>
      <c r="D23" s="46" t="n"/>
      <c r="E23" s="46" t="n"/>
      <c r="F23" s="46" t="n"/>
      <c r="G23" s="46" t="n"/>
      <c r="H23" s="46" t="n"/>
      <c r="I23" s="54" t="n"/>
      <c r="J23" s="54" t="n"/>
      <c r="K23" s="54" t="n"/>
      <c r="L23" s="46" t="n"/>
      <c r="M23" s="46" t="n"/>
      <c r="N23" s="57" t="n"/>
      <c r="O23" s="57" t="n"/>
      <c r="P23" s="57" t="n"/>
      <c r="Q23" s="57" t="n"/>
      <c r="R23" s="46" t="n"/>
      <c r="S23" s="58" t="str">
        <f>IF(AND(ISNUMBER($N23),ISNUMBER($O23)),$O23-$N23,"")</f>
        <v/>
      </c>
      <c r="T23" s="59" t="str">
        <f>IF(AND(ISNUMBER($O23),ISNUMBER($P23)),IF($O23&gt;0,$P23/$O23,""),"")</f>
        <v/>
      </c>
      <c r="U23" s="49" t="str">
        <f>IF(COUNTA($A23:$R23)=0,"",IF($A23="","Missing: campaign ID",IF(COUNTIF($A$2:$A$101,$A23)&gt;1,"Duplicate campaign ID",IF($B23="","Missing: campaign name",IF($C23="","Missing: objective",IF($D23="","Missing: product 1",IF($G23="","Missing: channel",IF($H23="","Missing: owner",IF(NOT(ISNUMBER($I23)),"Missing: launch date",IF($L23="","Missing: approval status",IF(NOT(ISNUMBER($N23)),"Missing: planned spend",IF(OR(COUNTIF(Products!$A$2:$A$101,$D23)=0,AND($E23&lt;&gt;"",COUNTIF(Products!$A$2:$A$101,$E23)=0),AND($F23&lt;&gt;"",COUNTIF(Products!$A$2:$A$101,$F23)=0)),"Unknown SKU",IF(COUNTIF(Config!$Q$15:$Q$34,$G23)=0,"Unsupported channel",IF(COUNTIF(Config!$P$15:$P$34,$L23)=0,"Unsupported status","OK"))))))))))))))</f>
        <v/>
      </c>
    </row>
    <row r="24">
      <c r="A24" s="46" t="n"/>
      <c r="B24" s="46" t="n"/>
      <c r="C24" s="46" t="n"/>
      <c r="D24" s="46" t="n"/>
      <c r="E24" s="46" t="n"/>
      <c r="F24" s="46" t="n"/>
      <c r="G24" s="46" t="n"/>
      <c r="H24" s="46" t="n"/>
      <c r="I24" s="54" t="n"/>
      <c r="J24" s="54" t="n"/>
      <c r="K24" s="54" t="n"/>
      <c r="L24" s="46" t="n"/>
      <c r="M24" s="46" t="n"/>
      <c r="N24" s="57" t="n"/>
      <c r="O24" s="57" t="n"/>
      <c r="P24" s="57" t="n"/>
      <c r="Q24" s="57" t="n"/>
      <c r="R24" s="46" t="n"/>
      <c r="S24" s="58" t="str">
        <f>IF(AND(ISNUMBER($N24),ISNUMBER($O24)),$O24-$N24,"")</f>
        <v/>
      </c>
      <c r="T24" s="59" t="str">
        <f>IF(AND(ISNUMBER($O24),ISNUMBER($P24)),IF($O24&gt;0,$P24/$O24,""),"")</f>
        <v/>
      </c>
      <c r="U24" s="49" t="str">
        <f>IF(COUNTA($A24:$R24)=0,"",IF($A24="","Missing: campaign ID",IF(COUNTIF($A$2:$A$101,$A24)&gt;1,"Duplicate campaign ID",IF($B24="","Missing: campaign name",IF($C24="","Missing: objective",IF($D24="","Missing: product 1",IF($G24="","Missing: channel",IF($H24="","Missing: owner",IF(NOT(ISNUMBER($I24)),"Missing: launch date",IF($L24="","Missing: approval status",IF(NOT(ISNUMBER($N24)),"Missing: planned spend",IF(OR(COUNTIF(Products!$A$2:$A$101,$D24)=0,AND($E24&lt;&gt;"",COUNTIF(Products!$A$2:$A$101,$E24)=0),AND($F24&lt;&gt;"",COUNTIF(Products!$A$2:$A$101,$F24)=0)),"Unknown SKU",IF(COUNTIF(Config!$Q$15:$Q$34,$G24)=0,"Unsupported channel",IF(COUNTIF(Config!$P$15:$P$34,$L24)=0,"Unsupported status","OK"))))))))))))))</f>
        <v/>
      </c>
    </row>
    <row r="25">
      <c r="A25" s="46" t="n"/>
      <c r="B25" s="46" t="n"/>
      <c r="C25" s="46" t="n"/>
      <c r="D25" s="46" t="n"/>
      <c r="E25" s="46" t="n"/>
      <c r="F25" s="46" t="n"/>
      <c r="G25" s="46" t="n"/>
      <c r="H25" s="46" t="n"/>
      <c r="I25" s="54" t="n"/>
      <c r="J25" s="54" t="n"/>
      <c r="K25" s="54" t="n"/>
      <c r="L25" s="46" t="n"/>
      <c r="M25" s="46" t="n"/>
      <c r="N25" s="57" t="n"/>
      <c r="O25" s="57" t="n"/>
      <c r="P25" s="57" t="n"/>
      <c r="Q25" s="57" t="n"/>
      <c r="R25" s="46" t="n"/>
      <c r="S25" s="58" t="str">
        <f>IF(AND(ISNUMBER($N25),ISNUMBER($O25)),$O25-$N25,"")</f>
        <v/>
      </c>
      <c r="T25" s="59" t="str">
        <f>IF(AND(ISNUMBER($O25),ISNUMBER($P25)),IF($O25&gt;0,$P25/$O25,""),"")</f>
        <v/>
      </c>
      <c r="U25" s="49" t="str">
        <f>IF(COUNTA($A25:$R25)=0,"",IF($A25="","Missing: campaign ID",IF(COUNTIF($A$2:$A$101,$A25)&gt;1,"Duplicate campaign ID",IF($B25="","Missing: campaign name",IF($C25="","Missing: objective",IF($D25="","Missing: product 1",IF($G25="","Missing: channel",IF($H25="","Missing: owner",IF(NOT(ISNUMBER($I25)),"Missing: launch date",IF($L25="","Missing: approval status",IF(NOT(ISNUMBER($N25)),"Missing: planned spend",IF(OR(COUNTIF(Products!$A$2:$A$101,$D25)=0,AND($E25&lt;&gt;"",COUNTIF(Products!$A$2:$A$101,$E25)=0),AND($F25&lt;&gt;"",COUNTIF(Products!$A$2:$A$101,$F25)=0)),"Unknown SKU",IF(COUNTIF(Config!$Q$15:$Q$34,$G25)=0,"Unsupported channel",IF(COUNTIF(Config!$P$15:$P$34,$L25)=0,"Unsupported status","OK"))))))))))))))</f>
        <v/>
      </c>
    </row>
    <row r="26">
      <c r="A26" s="46" t="n"/>
      <c r="B26" s="46" t="n"/>
      <c r="C26" s="46" t="n"/>
      <c r="D26" s="46" t="n"/>
      <c r="E26" s="46" t="n"/>
      <c r="F26" s="46" t="n"/>
      <c r="G26" s="46" t="n"/>
      <c r="H26" s="46" t="n"/>
      <c r="I26" s="54" t="n"/>
      <c r="J26" s="54" t="n"/>
      <c r="K26" s="54" t="n"/>
      <c r="L26" s="46" t="n"/>
      <c r="M26" s="46" t="n"/>
      <c r="N26" s="57" t="n"/>
      <c r="O26" s="57" t="n"/>
      <c r="P26" s="57" t="n"/>
      <c r="Q26" s="57" t="n"/>
      <c r="R26" s="46" t="n"/>
      <c r="S26" s="58" t="str">
        <f>IF(AND(ISNUMBER($N26),ISNUMBER($O26)),$O26-$N26,"")</f>
        <v/>
      </c>
      <c r="T26" s="59" t="str">
        <f>IF(AND(ISNUMBER($O26),ISNUMBER($P26)),IF($O26&gt;0,$P26/$O26,""),"")</f>
        <v/>
      </c>
      <c r="U26" s="49" t="str">
        <f>IF(COUNTA($A26:$R26)=0,"",IF($A26="","Missing: campaign ID",IF(COUNTIF($A$2:$A$101,$A26)&gt;1,"Duplicate campaign ID",IF($B26="","Missing: campaign name",IF($C26="","Missing: objective",IF($D26="","Missing: product 1",IF($G26="","Missing: channel",IF($H26="","Missing: owner",IF(NOT(ISNUMBER($I26)),"Missing: launch date",IF($L26="","Missing: approval status",IF(NOT(ISNUMBER($N26)),"Missing: planned spend",IF(OR(COUNTIF(Products!$A$2:$A$101,$D26)=0,AND($E26&lt;&gt;"",COUNTIF(Products!$A$2:$A$101,$E26)=0),AND($F26&lt;&gt;"",COUNTIF(Products!$A$2:$A$101,$F26)=0)),"Unknown SKU",IF(COUNTIF(Config!$Q$15:$Q$34,$G26)=0,"Unsupported channel",IF(COUNTIF(Config!$P$15:$P$34,$L26)=0,"Unsupported status","OK"))))))))))))))</f>
        <v/>
      </c>
    </row>
    <row r="27">
      <c r="A27" s="46" t="n"/>
      <c r="B27" s="46" t="n"/>
      <c r="C27" s="46" t="n"/>
      <c r="D27" s="46" t="n"/>
      <c r="E27" s="46" t="n"/>
      <c r="F27" s="46" t="n"/>
      <c r="G27" s="46" t="n"/>
      <c r="H27" s="46" t="n"/>
      <c r="I27" s="54" t="n"/>
      <c r="J27" s="54" t="n"/>
      <c r="K27" s="54" t="n"/>
      <c r="L27" s="46" t="n"/>
      <c r="M27" s="46" t="n"/>
      <c r="N27" s="57" t="n"/>
      <c r="O27" s="57" t="n"/>
      <c r="P27" s="57" t="n"/>
      <c r="Q27" s="57" t="n"/>
      <c r="R27" s="46" t="n"/>
      <c r="S27" s="58" t="str">
        <f>IF(AND(ISNUMBER($N27),ISNUMBER($O27)),$O27-$N27,"")</f>
        <v/>
      </c>
      <c r="T27" s="59" t="str">
        <f>IF(AND(ISNUMBER($O27),ISNUMBER($P27)),IF($O27&gt;0,$P27/$O27,""),"")</f>
        <v/>
      </c>
      <c r="U27" s="49" t="str">
        <f>IF(COUNTA($A27:$R27)=0,"",IF($A27="","Missing: campaign ID",IF(COUNTIF($A$2:$A$101,$A27)&gt;1,"Duplicate campaign ID",IF($B27="","Missing: campaign name",IF($C27="","Missing: objective",IF($D27="","Missing: product 1",IF($G27="","Missing: channel",IF($H27="","Missing: owner",IF(NOT(ISNUMBER($I27)),"Missing: launch date",IF($L27="","Missing: approval status",IF(NOT(ISNUMBER($N27)),"Missing: planned spend",IF(OR(COUNTIF(Products!$A$2:$A$101,$D27)=0,AND($E27&lt;&gt;"",COUNTIF(Products!$A$2:$A$101,$E27)=0),AND($F27&lt;&gt;"",COUNTIF(Products!$A$2:$A$101,$F27)=0)),"Unknown SKU",IF(COUNTIF(Config!$Q$15:$Q$34,$G27)=0,"Unsupported channel",IF(COUNTIF(Config!$P$15:$P$34,$L27)=0,"Unsupported status","OK"))))))))))))))</f>
        <v/>
      </c>
    </row>
    <row r="28">
      <c r="A28" s="46" t="n"/>
      <c r="B28" s="46" t="n"/>
      <c r="C28" s="46" t="n"/>
      <c r="D28" s="46" t="n"/>
      <c r="E28" s="46" t="n"/>
      <c r="F28" s="46" t="n"/>
      <c r="G28" s="46" t="n"/>
      <c r="H28" s="46" t="n"/>
      <c r="I28" s="54" t="n"/>
      <c r="J28" s="54" t="n"/>
      <c r="K28" s="54" t="n"/>
      <c r="L28" s="46" t="n"/>
      <c r="M28" s="46" t="n"/>
      <c r="N28" s="57" t="n"/>
      <c r="O28" s="57" t="n"/>
      <c r="P28" s="57" t="n"/>
      <c r="Q28" s="57" t="n"/>
      <c r="R28" s="46" t="n"/>
      <c r="S28" s="58" t="str">
        <f>IF(AND(ISNUMBER($N28),ISNUMBER($O28)),$O28-$N28,"")</f>
        <v/>
      </c>
      <c r="T28" s="59" t="str">
        <f>IF(AND(ISNUMBER($O28),ISNUMBER($P28)),IF($O28&gt;0,$P28/$O28,""),"")</f>
        <v/>
      </c>
      <c r="U28" s="49" t="str">
        <f>IF(COUNTA($A28:$R28)=0,"",IF($A28="","Missing: campaign ID",IF(COUNTIF($A$2:$A$101,$A28)&gt;1,"Duplicate campaign ID",IF($B28="","Missing: campaign name",IF($C28="","Missing: objective",IF($D28="","Missing: product 1",IF($G28="","Missing: channel",IF($H28="","Missing: owner",IF(NOT(ISNUMBER($I28)),"Missing: launch date",IF($L28="","Missing: approval status",IF(NOT(ISNUMBER($N28)),"Missing: planned spend",IF(OR(COUNTIF(Products!$A$2:$A$101,$D28)=0,AND($E28&lt;&gt;"",COUNTIF(Products!$A$2:$A$101,$E28)=0),AND($F28&lt;&gt;"",COUNTIF(Products!$A$2:$A$101,$F28)=0)),"Unknown SKU",IF(COUNTIF(Config!$Q$15:$Q$34,$G28)=0,"Unsupported channel",IF(COUNTIF(Config!$P$15:$P$34,$L28)=0,"Unsupported status","OK"))))))))))))))</f>
        <v/>
      </c>
    </row>
    <row r="29">
      <c r="A29" s="46" t="n"/>
      <c r="B29" s="46" t="n"/>
      <c r="C29" s="46" t="n"/>
      <c r="D29" s="46" t="n"/>
      <c r="E29" s="46" t="n"/>
      <c r="F29" s="46" t="n"/>
      <c r="G29" s="46" t="n"/>
      <c r="H29" s="46" t="n"/>
      <c r="I29" s="54" t="n"/>
      <c r="J29" s="54" t="n"/>
      <c r="K29" s="54" t="n"/>
      <c r="L29" s="46" t="n"/>
      <c r="M29" s="46" t="n"/>
      <c r="N29" s="57" t="n"/>
      <c r="O29" s="57" t="n"/>
      <c r="P29" s="57" t="n"/>
      <c r="Q29" s="57" t="n"/>
      <c r="R29" s="46" t="n"/>
      <c r="S29" s="58" t="str">
        <f>IF(AND(ISNUMBER($N29),ISNUMBER($O29)),$O29-$N29,"")</f>
        <v/>
      </c>
      <c r="T29" s="59" t="str">
        <f>IF(AND(ISNUMBER($O29),ISNUMBER($P29)),IF($O29&gt;0,$P29/$O29,""),"")</f>
        <v/>
      </c>
      <c r="U29" s="49" t="str">
        <f>IF(COUNTA($A29:$R29)=0,"",IF($A29="","Missing: campaign ID",IF(COUNTIF($A$2:$A$101,$A29)&gt;1,"Duplicate campaign ID",IF($B29="","Missing: campaign name",IF($C29="","Missing: objective",IF($D29="","Missing: product 1",IF($G29="","Missing: channel",IF($H29="","Missing: owner",IF(NOT(ISNUMBER($I29)),"Missing: launch date",IF($L29="","Missing: approval status",IF(NOT(ISNUMBER($N29)),"Missing: planned spend",IF(OR(COUNTIF(Products!$A$2:$A$101,$D29)=0,AND($E29&lt;&gt;"",COUNTIF(Products!$A$2:$A$101,$E29)=0),AND($F29&lt;&gt;"",COUNTIF(Products!$A$2:$A$101,$F29)=0)),"Unknown SKU",IF(COUNTIF(Config!$Q$15:$Q$34,$G29)=0,"Unsupported channel",IF(COUNTIF(Config!$P$15:$P$34,$L29)=0,"Unsupported status","OK"))))))))))))))</f>
        <v/>
      </c>
    </row>
    <row r="30">
      <c r="A30" s="46" t="n"/>
      <c r="B30" s="46" t="n"/>
      <c r="C30" s="46" t="n"/>
      <c r="D30" s="46" t="n"/>
      <c r="E30" s="46" t="n"/>
      <c r="F30" s="46" t="n"/>
      <c r="G30" s="46" t="n"/>
      <c r="H30" s="46" t="n"/>
      <c r="I30" s="54" t="n"/>
      <c r="J30" s="54" t="n"/>
      <c r="K30" s="54" t="n"/>
      <c r="L30" s="46" t="n"/>
      <c r="M30" s="46" t="n"/>
      <c r="N30" s="57" t="n"/>
      <c r="O30" s="57" t="n"/>
      <c r="P30" s="57" t="n"/>
      <c r="Q30" s="57" t="n"/>
      <c r="R30" s="46" t="n"/>
      <c r="S30" s="58" t="str">
        <f>IF(AND(ISNUMBER($N30),ISNUMBER($O30)),$O30-$N30,"")</f>
        <v/>
      </c>
      <c r="T30" s="59" t="str">
        <f>IF(AND(ISNUMBER($O30),ISNUMBER($P30)),IF($O30&gt;0,$P30/$O30,""),"")</f>
        <v/>
      </c>
      <c r="U30" s="49" t="str">
        <f>IF(COUNTA($A30:$R30)=0,"",IF($A30="","Missing: campaign ID",IF(COUNTIF($A$2:$A$101,$A30)&gt;1,"Duplicate campaign ID",IF($B30="","Missing: campaign name",IF($C30="","Missing: objective",IF($D30="","Missing: product 1",IF($G30="","Missing: channel",IF($H30="","Missing: owner",IF(NOT(ISNUMBER($I30)),"Missing: launch date",IF($L30="","Missing: approval status",IF(NOT(ISNUMBER($N30)),"Missing: planned spend",IF(OR(COUNTIF(Products!$A$2:$A$101,$D30)=0,AND($E30&lt;&gt;"",COUNTIF(Products!$A$2:$A$101,$E30)=0),AND($F30&lt;&gt;"",COUNTIF(Products!$A$2:$A$101,$F30)=0)),"Unknown SKU",IF(COUNTIF(Config!$Q$15:$Q$34,$G30)=0,"Unsupported channel",IF(COUNTIF(Config!$P$15:$P$34,$L30)=0,"Unsupported status","OK"))))))))))))))</f>
        <v/>
      </c>
    </row>
    <row r="31">
      <c r="A31" s="46" t="n"/>
      <c r="B31" s="46" t="n"/>
      <c r="C31" s="46" t="n"/>
      <c r="D31" s="46" t="n"/>
      <c r="E31" s="46" t="n"/>
      <c r="F31" s="46" t="n"/>
      <c r="G31" s="46" t="n"/>
      <c r="H31" s="46" t="n"/>
      <c r="I31" s="54" t="n"/>
      <c r="J31" s="54" t="n"/>
      <c r="K31" s="54" t="n"/>
      <c r="L31" s="46" t="n"/>
      <c r="M31" s="46" t="n"/>
      <c r="N31" s="57" t="n"/>
      <c r="O31" s="57" t="n"/>
      <c r="P31" s="57" t="n"/>
      <c r="Q31" s="57" t="n"/>
      <c r="R31" s="46" t="n"/>
      <c r="S31" s="58" t="str">
        <f>IF(AND(ISNUMBER($N31),ISNUMBER($O31)),$O31-$N31,"")</f>
        <v/>
      </c>
      <c r="T31" s="59" t="str">
        <f>IF(AND(ISNUMBER($O31),ISNUMBER($P31)),IF($O31&gt;0,$P31/$O31,""),"")</f>
        <v/>
      </c>
      <c r="U31" s="49" t="str">
        <f>IF(COUNTA($A31:$R31)=0,"",IF($A31="","Missing: campaign ID",IF(COUNTIF($A$2:$A$101,$A31)&gt;1,"Duplicate campaign ID",IF($B31="","Missing: campaign name",IF($C31="","Missing: objective",IF($D31="","Missing: product 1",IF($G31="","Missing: channel",IF($H31="","Missing: owner",IF(NOT(ISNUMBER($I31)),"Missing: launch date",IF($L31="","Missing: approval status",IF(NOT(ISNUMBER($N31)),"Missing: planned spend",IF(OR(COUNTIF(Products!$A$2:$A$101,$D31)=0,AND($E31&lt;&gt;"",COUNTIF(Products!$A$2:$A$101,$E31)=0),AND($F31&lt;&gt;"",COUNTIF(Products!$A$2:$A$101,$F31)=0)),"Unknown SKU",IF(COUNTIF(Config!$Q$15:$Q$34,$G31)=0,"Unsupported channel",IF(COUNTIF(Config!$P$15:$P$34,$L31)=0,"Unsupported status","OK"))))))))))))))</f>
        <v/>
      </c>
    </row>
    <row r="32">
      <c r="A32" s="46" t="n"/>
      <c r="B32" s="46" t="n"/>
      <c r="C32" s="46" t="n"/>
      <c r="D32" s="46" t="n"/>
      <c r="E32" s="46" t="n"/>
      <c r="F32" s="46" t="n"/>
      <c r="G32" s="46" t="n"/>
      <c r="H32" s="46" t="n"/>
      <c r="I32" s="54" t="n"/>
      <c r="J32" s="54" t="n"/>
      <c r="K32" s="54" t="n"/>
      <c r="L32" s="46" t="n"/>
      <c r="M32" s="46" t="n"/>
      <c r="N32" s="57" t="n"/>
      <c r="O32" s="57" t="n"/>
      <c r="P32" s="57" t="n"/>
      <c r="Q32" s="57" t="n"/>
      <c r="R32" s="46" t="n"/>
      <c r="S32" s="58" t="str">
        <f>IF(AND(ISNUMBER($N32),ISNUMBER($O32)),$O32-$N32,"")</f>
        <v/>
      </c>
      <c r="T32" s="59" t="str">
        <f>IF(AND(ISNUMBER($O32),ISNUMBER($P32)),IF($O32&gt;0,$P32/$O32,""),"")</f>
        <v/>
      </c>
      <c r="U32" s="49" t="str">
        <f>IF(COUNTA($A32:$R32)=0,"",IF($A32="","Missing: campaign ID",IF(COUNTIF($A$2:$A$101,$A32)&gt;1,"Duplicate campaign ID",IF($B32="","Missing: campaign name",IF($C32="","Missing: objective",IF($D32="","Missing: product 1",IF($G32="","Missing: channel",IF($H32="","Missing: owner",IF(NOT(ISNUMBER($I32)),"Missing: launch date",IF($L32="","Missing: approval status",IF(NOT(ISNUMBER($N32)),"Missing: planned spend",IF(OR(COUNTIF(Products!$A$2:$A$101,$D32)=0,AND($E32&lt;&gt;"",COUNTIF(Products!$A$2:$A$101,$E32)=0),AND($F32&lt;&gt;"",COUNTIF(Products!$A$2:$A$101,$F32)=0)),"Unknown SKU",IF(COUNTIF(Config!$Q$15:$Q$34,$G32)=0,"Unsupported channel",IF(COUNTIF(Config!$P$15:$P$34,$L32)=0,"Unsupported status","OK"))))))))))))))</f>
        <v/>
      </c>
    </row>
    <row r="33">
      <c r="A33" s="46" t="n"/>
      <c r="B33" s="46" t="n"/>
      <c r="C33" s="46" t="n"/>
      <c r="D33" s="46" t="n"/>
      <c r="E33" s="46" t="n"/>
      <c r="F33" s="46" t="n"/>
      <c r="G33" s="46" t="n"/>
      <c r="H33" s="46" t="n"/>
      <c r="I33" s="54" t="n"/>
      <c r="J33" s="54" t="n"/>
      <c r="K33" s="54" t="n"/>
      <c r="L33" s="46" t="n"/>
      <c r="M33" s="46" t="n"/>
      <c r="N33" s="57" t="n"/>
      <c r="O33" s="57" t="n"/>
      <c r="P33" s="57" t="n"/>
      <c r="Q33" s="57" t="n"/>
      <c r="R33" s="46" t="n"/>
      <c r="S33" s="58" t="str">
        <f>IF(AND(ISNUMBER($N33),ISNUMBER($O33)),$O33-$N33,"")</f>
        <v/>
      </c>
      <c r="T33" s="59" t="str">
        <f>IF(AND(ISNUMBER($O33),ISNUMBER($P33)),IF($O33&gt;0,$P33/$O33,""),"")</f>
        <v/>
      </c>
      <c r="U33" s="49" t="str">
        <f>IF(COUNTA($A33:$R33)=0,"",IF($A33="","Missing: campaign ID",IF(COUNTIF($A$2:$A$101,$A33)&gt;1,"Duplicate campaign ID",IF($B33="","Missing: campaign name",IF($C33="","Missing: objective",IF($D33="","Missing: product 1",IF($G33="","Missing: channel",IF($H33="","Missing: owner",IF(NOT(ISNUMBER($I33)),"Missing: launch date",IF($L33="","Missing: approval status",IF(NOT(ISNUMBER($N33)),"Missing: planned spend",IF(OR(COUNTIF(Products!$A$2:$A$101,$D33)=0,AND($E33&lt;&gt;"",COUNTIF(Products!$A$2:$A$101,$E33)=0),AND($F33&lt;&gt;"",COUNTIF(Products!$A$2:$A$101,$F33)=0)),"Unknown SKU",IF(COUNTIF(Config!$Q$15:$Q$34,$G33)=0,"Unsupported channel",IF(COUNTIF(Config!$P$15:$P$34,$L33)=0,"Unsupported status","OK"))))))))))))))</f>
        <v/>
      </c>
    </row>
    <row r="34">
      <c r="A34" s="46" t="n"/>
      <c r="B34" s="46" t="n"/>
      <c r="C34" s="46" t="n"/>
      <c r="D34" s="46" t="n"/>
      <c r="E34" s="46" t="n"/>
      <c r="F34" s="46" t="n"/>
      <c r="G34" s="46" t="n"/>
      <c r="H34" s="46" t="n"/>
      <c r="I34" s="54" t="n"/>
      <c r="J34" s="54" t="n"/>
      <c r="K34" s="54" t="n"/>
      <c r="L34" s="46" t="n"/>
      <c r="M34" s="46" t="n"/>
      <c r="N34" s="57" t="n"/>
      <c r="O34" s="57" t="n"/>
      <c r="P34" s="57" t="n"/>
      <c r="Q34" s="57" t="n"/>
      <c r="R34" s="46" t="n"/>
      <c r="S34" s="58" t="str">
        <f>IF(AND(ISNUMBER($N34),ISNUMBER($O34)),$O34-$N34,"")</f>
        <v/>
      </c>
      <c r="T34" s="59" t="str">
        <f>IF(AND(ISNUMBER($O34),ISNUMBER($P34)),IF($O34&gt;0,$P34/$O34,""),"")</f>
        <v/>
      </c>
      <c r="U34" s="49" t="str">
        <f>IF(COUNTA($A34:$R34)=0,"",IF($A34="","Missing: campaign ID",IF(COUNTIF($A$2:$A$101,$A34)&gt;1,"Duplicate campaign ID",IF($B34="","Missing: campaign name",IF($C34="","Missing: objective",IF($D34="","Missing: product 1",IF($G34="","Missing: channel",IF($H34="","Missing: owner",IF(NOT(ISNUMBER($I34)),"Missing: launch date",IF($L34="","Missing: approval status",IF(NOT(ISNUMBER($N34)),"Missing: planned spend",IF(OR(COUNTIF(Products!$A$2:$A$101,$D34)=0,AND($E34&lt;&gt;"",COUNTIF(Products!$A$2:$A$101,$E34)=0),AND($F34&lt;&gt;"",COUNTIF(Products!$A$2:$A$101,$F34)=0)),"Unknown SKU",IF(COUNTIF(Config!$Q$15:$Q$34,$G34)=0,"Unsupported channel",IF(COUNTIF(Config!$P$15:$P$34,$L34)=0,"Unsupported status","OK"))))))))))))))</f>
        <v/>
      </c>
    </row>
    <row r="35">
      <c r="A35" s="46" t="n"/>
      <c r="B35" s="46" t="n"/>
      <c r="C35" s="46" t="n"/>
      <c r="D35" s="46" t="n"/>
      <c r="E35" s="46" t="n"/>
      <c r="F35" s="46" t="n"/>
      <c r="G35" s="46" t="n"/>
      <c r="H35" s="46" t="n"/>
      <c r="I35" s="54" t="n"/>
      <c r="J35" s="54" t="n"/>
      <c r="K35" s="54" t="n"/>
      <c r="L35" s="46" t="n"/>
      <c r="M35" s="46" t="n"/>
      <c r="N35" s="57" t="n"/>
      <c r="O35" s="57" t="n"/>
      <c r="P35" s="57" t="n"/>
      <c r="Q35" s="57" t="n"/>
      <c r="R35" s="46" t="n"/>
      <c r="S35" s="58" t="str">
        <f>IF(AND(ISNUMBER($N35),ISNUMBER($O35)),$O35-$N35,"")</f>
        <v/>
      </c>
      <c r="T35" s="59" t="str">
        <f>IF(AND(ISNUMBER($O35),ISNUMBER($P35)),IF($O35&gt;0,$P35/$O35,""),"")</f>
        <v/>
      </c>
      <c r="U35" s="49" t="str">
        <f>IF(COUNTA($A35:$R35)=0,"",IF($A35="","Missing: campaign ID",IF(COUNTIF($A$2:$A$101,$A35)&gt;1,"Duplicate campaign ID",IF($B35="","Missing: campaign name",IF($C35="","Missing: objective",IF($D35="","Missing: product 1",IF($G35="","Missing: channel",IF($H35="","Missing: owner",IF(NOT(ISNUMBER($I35)),"Missing: launch date",IF($L35="","Missing: approval status",IF(NOT(ISNUMBER($N35)),"Missing: planned spend",IF(OR(COUNTIF(Products!$A$2:$A$101,$D35)=0,AND($E35&lt;&gt;"",COUNTIF(Products!$A$2:$A$101,$E35)=0),AND($F35&lt;&gt;"",COUNTIF(Products!$A$2:$A$101,$F35)=0)),"Unknown SKU",IF(COUNTIF(Config!$Q$15:$Q$34,$G35)=0,"Unsupported channel",IF(COUNTIF(Config!$P$15:$P$34,$L35)=0,"Unsupported status","OK"))))))))))))))</f>
        <v/>
      </c>
    </row>
    <row r="36">
      <c r="A36" s="46" t="n"/>
      <c r="B36" s="46" t="n"/>
      <c r="C36" s="46" t="n"/>
      <c r="D36" s="46" t="n"/>
      <c r="E36" s="46" t="n"/>
      <c r="F36" s="46" t="n"/>
      <c r="G36" s="46" t="n"/>
      <c r="H36" s="46" t="n"/>
      <c r="I36" s="54" t="n"/>
      <c r="J36" s="54" t="n"/>
      <c r="K36" s="54" t="n"/>
      <c r="L36" s="46" t="n"/>
      <c r="M36" s="46" t="n"/>
      <c r="N36" s="57" t="n"/>
      <c r="O36" s="57" t="n"/>
      <c r="P36" s="57" t="n"/>
      <c r="Q36" s="57" t="n"/>
      <c r="R36" s="46" t="n"/>
      <c r="S36" s="58" t="str">
        <f>IF(AND(ISNUMBER($N36),ISNUMBER($O36)),$O36-$N36,"")</f>
        <v/>
      </c>
      <c r="T36" s="59" t="str">
        <f>IF(AND(ISNUMBER($O36),ISNUMBER($P36)),IF($O36&gt;0,$P36/$O36,""),"")</f>
        <v/>
      </c>
      <c r="U36" s="49" t="str">
        <f>IF(COUNTA($A36:$R36)=0,"",IF($A36="","Missing: campaign ID",IF(COUNTIF($A$2:$A$101,$A36)&gt;1,"Duplicate campaign ID",IF($B36="","Missing: campaign name",IF($C36="","Missing: objective",IF($D36="","Missing: product 1",IF($G36="","Missing: channel",IF($H36="","Missing: owner",IF(NOT(ISNUMBER($I36)),"Missing: launch date",IF($L36="","Missing: approval status",IF(NOT(ISNUMBER($N36)),"Missing: planned spend",IF(OR(COUNTIF(Products!$A$2:$A$101,$D36)=0,AND($E36&lt;&gt;"",COUNTIF(Products!$A$2:$A$101,$E36)=0),AND($F36&lt;&gt;"",COUNTIF(Products!$A$2:$A$101,$F36)=0)),"Unknown SKU",IF(COUNTIF(Config!$Q$15:$Q$34,$G36)=0,"Unsupported channel",IF(COUNTIF(Config!$P$15:$P$34,$L36)=0,"Unsupported status","OK"))))))))))))))</f>
        <v/>
      </c>
    </row>
    <row r="37">
      <c r="A37" s="46" t="n"/>
      <c r="B37" s="46" t="n"/>
      <c r="C37" s="46" t="n"/>
      <c r="D37" s="46" t="n"/>
      <c r="E37" s="46" t="n"/>
      <c r="F37" s="46" t="n"/>
      <c r="G37" s="46" t="n"/>
      <c r="H37" s="46" t="n"/>
      <c r="I37" s="54" t="n"/>
      <c r="J37" s="54" t="n"/>
      <c r="K37" s="54" t="n"/>
      <c r="L37" s="46" t="n"/>
      <c r="M37" s="46" t="n"/>
      <c r="N37" s="57" t="n"/>
      <c r="O37" s="57" t="n"/>
      <c r="P37" s="57" t="n"/>
      <c r="Q37" s="57" t="n"/>
      <c r="R37" s="46" t="n"/>
      <c r="S37" s="58" t="str">
        <f>IF(AND(ISNUMBER($N37),ISNUMBER($O37)),$O37-$N37,"")</f>
        <v/>
      </c>
      <c r="T37" s="59" t="str">
        <f>IF(AND(ISNUMBER($O37),ISNUMBER($P37)),IF($O37&gt;0,$P37/$O37,""),"")</f>
        <v/>
      </c>
      <c r="U37" s="49" t="str">
        <f>IF(COUNTA($A37:$R37)=0,"",IF($A37="","Missing: campaign ID",IF(COUNTIF($A$2:$A$101,$A37)&gt;1,"Duplicate campaign ID",IF($B37="","Missing: campaign name",IF($C37="","Missing: objective",IF($D37="","Missing: product 1",IF($G37="","Missing: channel",IF($H37="","Missing: owner",IF(NOT(ISNUMBER($I37)),"Missing: launch date",IF($L37="","Missing: approval status",IF(NOT(ISNUMBER($N37)),"Missing: planned spend",IF(OR(COUNTIF(Products!$A$2:$A$101,$D37)=0,AND($E37&lt;&gt;"",COUNTIF(Products!$A$2:$A$101,$E37)=0),AND($F37&lt;&gt;"",COUNTIF(Products!$A$2:$A$101,$F37)=0)),"Unknown SKU",IF(COUNTIF(Config!$Q$15:$Q$34,$G37)=0,"Unsupported channel",IF(COUNTIF(Config!$P$15:$P$34,$L37)=0,"Unsupported status","OK"))))))))))))))</f>
        <v/>
      </c>
    </row>
    <row r="38">
      <c r="A38" s="46" t="n"/>
      <c r="B38" s="46" t="n"/>
      <c r="C38" s="46" t="n"/>
      <c r="D38" s="46" t="n"/>
      <c r="E38" s="46" t="n"/>
      <c r="F38" s="46" t="n"/>
      <c r="G38" s="46" t="n"/>
      <c r="H38" s="46" t="n"/>
      <c r="I38" s="54" t="n"/>
      <c r="J38" s="54" t="n"/>
      <c r="K38" s="54" t="n"/>
      <c r="L38" s="46" t="n"/>
      <c r="M38" s="46" t="n"/>
      <c r="N38" s="57" t="n"/>
      <c r="O38" s="57" t="n"/>
      <c r="P38" s="57" t="n"/>
      <c r="Q38" s="57" t="n"/>
      <c r="R38" s="46" t="n"/>
      <c r="S38" s="58" t="str">
        <f>IF(AND(ISNUMBER($N38),ISNUMBER($O38)),$O38-$N38,"")</f>
        <v/>
      </c>
      <c r="T38" s="59" t="str">
        <f>IF(AND(ISNUMBER($O38),ISNUMBER($P38)),IF($O38&gt;0,$P38/$O38,""),"")</f>
        <v/>
      </c>
      <c r="U38" s="49" t="str">
        <f>IF(COUNTA($A38:$R38)=0,"",IF($A38="","Missing: campaign ID",IF(COUNTIF($A$2:$A$101,$A38)&gt;1,"Duplicate campaign ID",IF($B38="","Missing: campaign name",IF($C38="","Missing: objective",IF($D38="","Missing: product 1",IF($G38="","Missing: channel",IF($H38="","Missing: owner",IF(NOT(ISNUMBER($I38)),"Missing: launch date",IF($L38="","Missing: approval status",IF(NOT(ISNUMBER($N38)),"Missing: planned spend",IF(OR(COUNTIF(Products!$A$2:$A$101,$D38)=0,AND($E38&lt;&gt;"",COUNTIF(Products!$A$2:$A$101,$E38)=0),AND($F38&lt;&gt;"",COUNTIF(Products!$A$2:$A$101,$F38)=0)),"Unknown SKU",IF(COUNTIF(Config!$Q$15:$Q$34,$G38)=0,"Unsupported channel",IF(COUNTIF(Config!$P$15:$P$34,$L38)=0,"Unsupported status","OK"))))))))))))))</f>
        <v/>
      </c>
    </row>
    <row r="39">
      <c r="A39" s="46" t="n"/>
      <c r="B39" s="46" t="n"/>
      <c r="C39" s="46" t="n"/>
      <c r="D39" s="46" t="n"/>
      <c r="E39" s="46" t="n"/>
      <c r="F39" s="46" t="n"/>
      <c r="G39" s="46" t="n"/>
      <c r="H39" s="46" t="n"/>
      <c r="I39" s="54" t="n"/>
      <c r="J39" s="54" t="n"/>
      <c r="K39" s="54" t="n"/>
      <c r="L39" s="46" t="n"/>
      <c r="M39" s="46" t="n"/>
      <c r="N39" s="57" t="n"/>
      <c r="O39" s="57" t="n"/>
      <c r="P39" s="57" t="n"/>
      <c r="Q39" s="57" t="n"/>
      <c r="R39" s="46" t="n"/>
      <c r="S39" s="58" t="str">
        <f>IF(AND(ISNUMBER($N39),ISNUMBER($O39)),$O39-$N39,"")</f>
        <v/>
      </c>
      <c r="T39" s="59" t="str">
        <f>IF(AND(ISNUMBER($O39),ISNUMBER($P39)),IF($O39&gt;0,$P39/$O39,""),"")</f>
        <v/>
      </c>
      <c r="U39" s="49" t="str">
        <f>IF(COUNTA($A39:$R39)=0,"",IF($A39="","Missing: campaign ID",IF(COUNTIF($A$2:$A$101,$A39)&gt;1,"Duplicate campaign ID",IF($B39="","Missing: campaign name",IF($C39="","Missing: objective",IF($D39="","Missing: product 1",IF($G39="","Missing: channel",IF($H39="","Missing: owner",IF(NOT(ISNUMBER($I39)),"Missing: launch date",IF($L39="","Missing: approval status",IF(NOT(ISNUMBER($N39)),"Missing: planned spend",IF(OR(COUNTIF(Products!$A$2:$A$101,$D39)=0,AND($E39&lt;&gt;"",COUNTIF(Products!$A$2:$A$101,$E39)=0),AND($F39&lt;&gt;"",COUNTIF(Products!$A$2:$A$101,$F39)=0)),"Unknown SKU",IF(COUNTIF(Config!$Q$15:$Q$34,$G39)=0,"Unsupported channel",IF(COUNTIF(Config!$P$15:$P$34,$L39)=0,"Unsupported status","OK"))))))))))))))</f>
        <v/>
      </c>
    </row>
    <row r="40">
      <c r="A40" s="46" t="n"/>
      <c r="B40" s="46" t="n"/>
      <c r="C40" s="46" t="n"/>
      <c r="D40" s="46" t="n"/>
      <c r="E40" s="46" t="n"/>
      <c r="F40" s="46" t="n"/>
      <c r="G40" s="46" t="n"/>
      <c r="H40" s="46" t="n"/>
      <c r="I40" s="54" t="n"/>
      <c r="J40" s="54" t="n"/>
      <c r="K40" s="54" t="n"/>
      <c r="L40" s="46" t="n"/>
      <c r="M40" s="46" t="n"/>
      <c r="N40" s="57" t="n"/>
      <c r="O40" s="57" t="n"/>
      <c r="P40" s="57" t="n"/>
      <c r="Q40" s="57" t="n"/>
      <c r="R40" s="46" t="n"/>
      <c r="S40" s="58" t="str">
        <f>IF(AND(ISNUMBER($N40),ISNUMBER($O40)),$O40-$N40,"")</f>
        <v/>
      </c>
      <c r="T40" s="59" t="str">
        <f>IF(AND(ISNUMBER($O40),ISNUMBER($P40)),IF($O40&gt;0,$P40/$O40,""),"")</f>
        <v/>
      </c>
      <c r="U40" s="49" t="str">
        <f>IF(COUNTA($A40:$R40)=0,"",IF($A40="","Missing: campaign ID",IF(COUNTIF($A$2:$A$101,$A40)&gt;1,"Duplicate campaign ID",IF($B40="","Missing: campaign name",IF($C40="","Missing: objective",IF($D40="","Missing: product 1",IF($G40="","Missing: channel",IF($H40="","Missing: owner",IF(NOT(ISNUMBER($I40)),"Missing: launch date",IF($L40="","Missing: approval status",IF(NOT(ISNUMBER($N40)),"Missing: planned spend",IF(OR(COUNTIF(Products!$A$2:$A$101,$D40)=0,AND($E40&lt;&gt;"",COUNTIF(Products!$A$2:$A$101,$E40)=0),AND($F40&lt;&gt;"",COUNTIF(Products!$A$2:$A$101,$F40)=0)),"Unknown SKU",IF(COUNTIF(Config!$Q$15:$Q$34,$G40)=0,"Unsupported channel",IF(COUNTIF(Config!$P$15:$P$34,$L40)=0,"Unsupported status","OK"))))))))))))))</f>
        <v/>
      </c>
    </row>
    <row r="41">
      <c r="A41" s="46" t="n"/>
      <c r="B41" s="46" t="n"/>
      <c r="C41" s="46" t="n"/>
      <c r="D41" s="46" t="n"/>
      <c r="E41" s="46" t="n"/>
      <c r="F41" s="46" t="n"/>
      <c r="G41" s="46" t="n"/>
      <c r="H41" s="46" t="n"/>
      <c r="I41" s="54" t="n"/>
      <c r="J41" s="54" t="n"/>
      <c r="K41" s="54" t="n"/>
      <c r="L41" s="46" t="n"/>
      <c r="M41" s="46" t="n"/>
      <c r="N41" s="57" t="n"/>
      <c r="O41" s="57" t="n"/>
      <c r="P41" s="57" t="n"/>
      <c r="Q41" s="57" t="n"/>
      <c r="R41" s="46" t="n"/>
      <c r="S41" s="58" t="str">
        <f>IF(AND(ISNUMBER($N41),ISNUMBER($O41)),$O41-$N41,"")</f>
        <v/>
      </c>
      <c r="T41" s="59" t="str">
        <f>IF(AND(ISNUMBER($O41),ISNUMBER($P41)),IF($O41&gt;0,$P41/$O41,""),"")</f>
        <v/>
      </c>
      <c r="U41" s="49" t="str">
        <f>IF(COUNTA($A41:$R41)=0,"",IF($A41="","Missing: campaign ID",IF(COUNTIF($A$2:$A$101,$A41)&gt;1,"Duplicate campaign ID",IF($B41="","Missing: campaign name",IF($C41="","Missing: objective",IF($D41="","Missing: product 1",IF($G41="","Missing: channel",IF($H41="","Missing: owner",IF(NOT(ISNUMBER($I41)),"Missing: launch date",IF($L41="","Missing: approval status",IF(NOT(ISNUMBER($N41)),"Missing: planned spend",IF(OR(COUNTIF(Products!$A$2:$A$101,$D41)=0,AND($E41&lt;&gt;"",COUNTIF(Products!$A$2:$A$101,$E41)=0),AND($F41&lt;&gt;"",COUNTIF(Products!$A$2:$A$101,$F41)=0)),"Unknown SKU",IF(COUNTIF(Config!$Q$15:$Q$34,$G41)=0,"Unsupported channel",IF(COUNTIF(Config!$P$15:$P$34,$L41)=0,"Unsupported status","OK"))))))))))))))</f>
        <v/>
      </c>
    </row>
    <row r="42">
      <c r="A42" s="46" t="n"/>
      <c r="B42" s="46" t="n"/>
      <c r="C42" s="46" t="n"/>
      <c r="D42" s="46" t="n"/>
      <c r="E42" s="46" t="n"/>
      <c r="F42" s="46" t="n"/>
      <c r="G42" s="46" t="n"/>
      <c r="H42" s="46" t="n"/>
      <c r="I42" s="54" t="n"/>
      <c r="J42" s="54" t="n"/>
      <c r="K42" s="54" t="n"/>
      <c r="L42" s="46" t="n"/>
      <c r="M42" s="46" t="n"/>
      <c r="N42" s="57" t="n"/>
      <c r="O42" s="57" t="n"/>
      <c r="P42" s="57" t="n"/>
      <c r="Q42" s="57" t="n"/>
      <c r="R42" s="46" t="n"/>
      <c r="S42" s="58" t="str">
        <f>IF(AND(ISNUMBER($N42),ISNUMBER($O42)),$O42-$N42,"")</f>
        <v/>
      </c>
      <c r="T42" s="59" t="str">
        <f>IF(AND(ISNUMBER($O42),ISNUMBER($P42)),IF($O42&gt;0,$P42/$O42,""),"")</f>
        <v/>
      </c>
      <c r="U42" s="49" t="str">
        <f>IF(COUNTA($A42:$R42)=0,"",IF($A42="","Missing: campaign ID",IF(COUNTIF($A$2:$A$101,$A42)&gt;1,"Duplicate campaign ID",IF($B42="","Missing: campaign name",IF($C42="","Missing: objective",IF($D42="","Missing: product 1",IF($G42="","Missing: channel",IF($H42="","Missing: owner",IF(NOT(ISNUMBER($I42)),"Missing: launch date",IF($L42="","Missing: approval status",IF(NOT(ISNUMBER($N42)),"Missing: planned spend",IF(OR(COUNTIF(Products!$A$2:$A$101,$D42)=0,AND($E42&lt;&gt;"",COUNTIF(Products!$A$2:$A$101,$E42)=0),AND($F42&lt;&gt;"",COUNTIF(Products!$A$2:$A$101,$F42)=0)),"Unknown SKU",IF(COUNTIF(Config!$Q$15:$Q$34,$G42)=0,"Unsupported channel",IF(COUNTIF(Config!$P$15:$P$34,$L42)=0,"Unsupported status","OK"))))))))))))))</f>
        <v/>
      </c>
    </row>
    <row r="43">
      <c r="A43" s="46" t="n"/>
      <c r="B43" s="46" t="n"/>
      <c r="C43" s="46" t="n"/>
      <c r="D43" s="46" t="n"/>
      <c r="E43" s="46" t="n"/>
      <c r="F43" s="46" t="n"/>
      <c r="G43" s="46" t="n"/>
      <c r="H43" s="46" t="n"/>
      <c r="I43" s="54" t="n"/>
      <c r="J43" s="54" t="n"/>
      <c r="K43" s="54" t="n"/>
      <c r="L43" s="46" t="n"/>
      <c r="M43" s="46" t="n"/>
      <c r="N43" s="57" t="n"/>
      <c r="O43" s="57" t="n"/>
      <c r="P43" s="57" t="n"/>
      <c r="Q43" s="57" t="n"/>
      <c r="R43" s="46" t="n"/>
      <c r="S43" s="58" t="str">
        <f>IF(AND(ISNUMBER($N43),ISNUMBER($O43)),$O43-$N43,"")</f>
        <v/>
      </c>
      <c r="T43" s="59" t="str">
        <f>IF(AND(ISNUMBER($O43),ISNUMBER($P43)),IF($O43&gt;0,$P43/$O43,""),"")</f>
        <v/>
      </c>
      <c r="U43" s="49" t="str">
        <f>IF(COUNTA($A43:$R43)=0,"",IF($A43="","Missing: campaign ID",IF(COUNTIF($A$2:$A$101,$A43)&gt;1,"Duplicate campaign ID",IF($B43="","Missing: campaign name",IF($C43="","Missing: objective",IF($D43="","Missing: product 1",IF($G43="","Missing: channel",IF($H43="","Missing: owner",IF(NOT(ISNUMBER($I43)),"Missing: launch date",IF($L43="","Missing: approval status",IF(NOT(ISNUMBER($N43)),"Missing: planned spend",IF(OR(COUNTIF(Products!$A$2:$A$101,$D43)=0,AND($E43&lt;&gt;"",COUNTIF(Products!$A$2:$A$101,$E43)=0),AND($F43&lt;&gt;"",COUNTIF(Products!$A$2:$A$101,$F43)=0)),"Unknown SKU",IF(COUNTIF(Config!$Q$15:$Q$34,$G43)=0,"Unsupported channel",IF(COUNTIF(Config!$P$15:$P$34,$L43)=0,"Unsupported status","OK"))))))))))))))</f>
        <v/>
      </c>
    </row>
    <row r="44">
      <c r="A44" s="46" t="n"/>
      <c r="B44" s="46" t="n"/>
      <c r="C44" s="46" t="n"/>
      <c r="D44" s="46" t="n"/>
      <c r="E44" s="46" t="n"/>
      <c r="F44" s="46" t="n"/>
      <c r="G44" s="46" t="n"/>
      <c r="H44" s="46" t="n"/>
      <c r="I44" s="54" t="n"/>
      <c r="J44" s="54" t="n"/>
      <c r="K44" s="54" t="n"/>
      <c r="L44" s="46" t="n"/>
      <c r="M44" s="46" t="n"/>
      <c r="N44" s="57" t="n"/>
      <c r="O44" s="57" t="n"/>
      <c r="P44" s="57" t="n"/>
      <c r="Q44" s="57" t="n"/>
      <c r="R44" s="46" t="n"/>
      <c r="S44" s="58" t="str">
        <f>IF(AND(ISNUMBER($N44),ISNUMBER($O44)),$O44-$N44,"")</f>
        <v/>
      </c>
      <c r="T44" s="59" t="str">
        <f>IF(AND(ISNUMBER($O44),ISNUMBER($P44)),IF($O44&gt;0,$P44/$O44,""),"")</f>
        <v/>
      </c>
      <c r="U44" s="49" t="str">
        <f>IF(COUNTA($A44:$R44)=0,"",IF($A44="","Missing: campaign ID",IF(COUNTIF($A$2:$A$101,$A44)&gt;1,"Duplicate campaign ID",IF($B44="","Missing: campaign name",IF($C44="","Missing: objective",IF($D44="","Missing: product 1",IF($G44="","Missing: channel",IF($H44="","Missing: owner",IF(NOT(ISNUMBER($I44)),"Missing: launch date",IF($L44="","Missing: approval status",IF(NOT(ISNUMBER($N44)),"Missing: planned spend",IF(OR(COUNTIF(Products!$A$2:$A$101,$D44)=0,AND($E44&lt;&gt;"",COUNTIF(Products!$A$2:$A$101,$E44)=0),AND($F44&lt;&gt;"",COUNTIF(Products!$A$2:$A$101,$F44)=0)),"Unknown SKU",IF(COUNTIF(Config!$Q$15:$Q$34,$G44)=0,"Unsupported channel",IF(COUNTIF(Config!$P$15:$P$34,$L44)=0,"Unsupported status","OK"))))))))))))))</f>
        <v/>
      </c>
    </row>
    <row r="45">
      <c r="A45" s="46" t="n"/>
      <c r="B45" s="46" t="n"/>
      <c r="C45" s="46" t="n"/>
      <c r="D45" s="46" t="n"/>
      <c r="E45" s="46" t="n"/>
      <c r="F45" s="46" t="n"/>
      <c r="G45" s="46" t="n"/>
      <c r="H45" s="46" t="n"/>
      <c r="I45" s="54" t="n"/>
      <c r="J45" s="54" t="n"/>
      <c r="K45" s="54" t="n"/>
      <c r="L45" s="46" t="n"/>
      <c r="M45" s="46" t="n"/>
      <c r="N45" s="57" t="n"/>
      <c r="O45" s="57" t="n"/>
      <c r="P45" s="57" t="n"/>
      <c r="Q45" s="57" t="n"/>
      <c r="R45" s="46" t="n"/>
      <c r="S45" s="58" t="str">
        <f>IF(AND(ISNUMBER($N45),ISNUMBER($O45)),$O45-$N45,"")</f>
        <v/>
      </c>
      <c r="T45" s="59" t="str">
        <f>IF(AND(ISNUMBER($O45),ISNUMBER($P45)),IF($O45&gt;0,$P45/$O45,""),"")</f>
        <v/>
      </c>
      <c r="U45" s="49" t="str">
        <f>IF(COUNTA($A45:$R45)=0,"",IF($A45="","Missing: campaign ID",IF(COUNTIF($A$2:$A$101,$A45)&gt;1,"Duplicate campaign ID",IF($B45="","Missing: campaign name",IF($C45="","Missing: objective",IF($D45="","Missing: product 1",IF($G45="","Missing: channel",IF($H45="","Missing: owner",IF(NOT(ISNUMBER($I45)),"Missing: launch date",IF($L45="","Missing: approval status",IF(NOT(ISNUMBER($N45)),"Missing: planned spend",IF(OR(COUNTIF(Products!$A$2:$A$101,$D45)=0,AND($E45&lt;&gt;"",COUNTIF(Products!$A$2:$A$101,$E45)=0),AND($F45&lt;&gt;"",COUNTIF(Products!$A$2:$A$101,$F45)=0)),"Unknown SKU",IF(COUNTIF(Config!$Q$15:$Q$34,$G45)=0,"Unsupported channel",IF(COUNTIF(Config!$P$15:$P$34,$L45)=0,"Unsupported status","OK"))))))))))))))</f>
        <v/>
      </c>
    </row>
    <row r="46">
      <c r="A46" s="46" t="n"/>
      <c r="B46" s="46" t="n"/>
      <c r="C46" s="46" t="n"/>
      <c r="D46" s="46" t="n"/>
      <c r="E46" s="46" t="n"/>
      <c r="F46" s="46" t="n"/>
      <c r="G46" s="46" t="n"/>
      <c r="H46" s="46" t="n"/>
      <c r="I46" s="54" t="n"/>
      <c r="J46" s="54" t="n"/>
      <c r="K46" s="54" t="n"/>
      <c r="L46" s="46" t="n"/>
      <c r="M46" s="46" t="n"/>
      <c r="N46" s="57" t="n"/>
      <c r="O46" s="57" t="n"/>
      <c r="P46" s="57" t="n"/>
      <c r="Q46" s="57" t="n"/>
      <c r="R46" s="46" t="n"/>
      <c r="S46" s="58" t="str">
        <f>IF(AND(ISNUMBER($N46),ISNUMBER($O46)),$O46-$N46,"")</f>
        <v/>
      </c>
      <c r="T46" s="59" t="str">
        <f>IF(AND(ISNUMBER($O46),ISNUMBER($P46)),IF($O46&gt;0,$P46/$O46,""),"")</f>
        <v/>
      </c>
      <c r="U46" s="49" t="str">
        <f>IF(COUNTA($A46:$R46)=0,"",IF($A46="","Missing: campaign ID",IF(COUNTIF($A$2:$A$101,$A46)&gt;1,"Duplicate campaign ID",IF($B46="","Missing: campaign name",IF($C46="","Missing: objective",IF($D46="","Missing: product 1",IF($G46="","Missing: channel",IF($H46="","Missing: owner",IF(NOT(ISNUMBER($I46)),"Missing: launch date",IF($L46="","Missing: approval status",IF(NOT(ISNUMBER($N46)),"Missing: planned spend",IF(OR(COUNTIF(Products!$A$2:$A$101,$D46)=0,AND($E46&lt;&gt;"",COUNTIF(Products!$A$2:$A$101,$E46)=0),AND($F46&lt;&gt;"",COUNTIF(Products!$A$2:$A$101,$F46)=0)),"Unknown SKU",IF(COUNTIF(Config!$Q$15:$Q$34,$G46)=0,"Unsupported channel",IF(COUNTIF(Config!$P$15:$P$34,$L46)=0,"Unsupported status","OK"))))))))))))))</f>
        <v/>
      </c>
    </row>
    <row r="47">
      <c r="A47" s="46" t="n"/>
      <c r="B47" s="46" t="n"/>
      <c r="C47" s="46" t="n"/>
      <c r="D47" s="46" t="n"/>
      <c r="E47" s="46" t="n"/>
      <c r="F47" s="46" t="n"/>
      <c r="G47" s="46" t="n"/>
      <c r="H47" s="46" t="n"/>
      <c r="I47" s="54" t="n"/>
      <c r="J47" s="54" t="n"/>
      <c r="K47" s="54" t="n"/>
      <c r="L47" s="46" t="n"/>
      <c r="M47" s="46" t="n"/>
      <c r="N47" s="57" t="n"/>
      <c r="O47" s="57" t="n"/>
      <c r="P47" s="57" t="n"/>
      <c r="Q47" s="57" t="n"/>
      <c r="R47" s="46" t="n"/>
      <c r="S47" s="58" t="str">
        <f>IF(AND(ISNUMBER($N47),ISNUMBER($O47)),$O47-$N47,"")</f>
        <v/>
      </c>
      <c r="T47" s="59" t="str">
        <f>IF(AND(ISNUMBER($O47),ISNUMBER($P47)),IF($O47&gt;0,$P47/$O47,""),"")</f>
        <v/>
      </c>
      <c r="U47" s="49" t="str">
        <f>IF(COUNTA($A47:$R47)=0,"",IF($A47="","Missing: campaign ID",IF(COUNTIF($A$2:$A$101,$A47)&gt;1,"Duplicate campaign ID",IF($B47="","Missing: campaign name",IF($C47="","Missing: objective",IF($D47="","Missing: product 1",IF($G47="","Missing: channel",IF($H47="","Missing: owner",IF(NOT(ISNUMBER($I47)),"Missing: launch date",IF($L47="","Missing: approval status",IF(NOT(ISNUMBER($N47)),"Missing: planned spend",IF(OR(COUNTIF(Products!$A$2:$A$101,$D47)=0,AND($E47&lt;&gt;"",COUNTIF(Products!$A$2:$A$101,$E47)=0),AND($F47&lt;&gt;"",COUNTIF(Products!$A$2:$A$101,$F47)=0)),"Unknown SKU",IF(COUNTIF(Config!$Q$15:$Q$34,$G47)=0,"Unsupported channel",IF(COUNTIF(Config!$P$15:$P$34,$L47)=0,"Unsupported status","OK"))))))))))))))</f>
        <v/>
      </c>
    </row>
    <row r="48">
      <c r="A48" s="46" t="n"/>
      <c r="B48" s="46" t="n"/>
      <c r="C48" s="46" t="n"/>
      <c r="D48" s="46" t="n"/>
      <c r="E48" s="46" t="n"/>
      <c r="F48" s="46" t="n"/>
      <c r="G48" s="46" t="n"/>
      <c r="H48" s="46" t="n"/>
      <c r="I48" s="54" t="n"/>
      <c r="J48" s="54" t="n"/>
      <c r="K48" s="54" t="n"/>
      <c r="L48" s="46" t="n"/>
      <c r="M48" s="46" t="n"/>
      <c r="N48" s="57" t="n"/>
      <c r="O48" s="57" t="n"/>
      <c r="P48" s="57" t="n"/>
      <c r="Q48" s="57" t="n"/>
      <c r="R48" s="46" t="n"/>
      <c r="S48" s="58" t="str">
        <f>IF(AND(ISNUMBER($N48),ISNUMBER($O48)),$O48-$N48,"")</f>
        <v/>
      </c>
      <c r="T48" s="59" t="str">
        <f>IF(AND(ISNUMBER($O48),ISNUMBER($P48)),IF($O48&gt;0,$P48/$O48,""),"")</f>
        <v/>
      </c>
      <c r="U48" s="49" t="str">
        <f>IF(COUNTA($A48:$R48)=0,"",IF($A48="","Missing: campaign ID",IF(COUNTIF($A$2:$A$101,$A48)&gt;1,"Duplicate campaign ID",IF($B48="","Missing: campaign name",IF($C48="","Missing: objective",IF($D48="","Missing: product 1",IF($G48="","Missing: channel",IF($H48="","Missing: owner",IF(NOT(ISNUMBER($I48)),"Missing: launch date",IF($L48="","Missing: approval status",IF(NOT(ISNUMBER($N48)),"Missing: planned spend",IF(OR(COUNTIF(Products!$A$2:$A$101,$D48)=0,AND($E48&lt;&gt;"",COUNTIF(Products!$A$2:$A$101,$E48)=0),AND($F48&lt;&gt;"",COUNTIF(Products!$A$2:$A$101,$F48)=0)),"Unknown SKU",IF(COUNTIF(Config!$Q$15:$Q$34,$G48)=0,"Unsupported channel",IF(COUNTIF(Config!$P$15:$P$34,$L48)=0,"Unsupported status","OK"))))))))))))))</f>
        <v/>
      </c>
    </row>
    <row r="49">
      <c r="A49" s="46" t="n"/>
      <c r="B49" s="46" t="n"/>
      <c r="C49" s="46" t="n"/>
      <c r="D49" s="46" t="n"/>
      <c r="E49" s="46" t="n"/>
      <c r="F49" s="46" t="n"/>
      <c r="G49" s="46" t="n"/>
      <c r="H49" s="46" t="n"/>
      <c r="I49" s="54" t="n"/>
      <c r="J49" s="54" t="n"/>
      <c r="K49" s="54" t="n"/>
      <c r="L49" s="46" t="n"/>
      <c r="M49" s="46" t="n"/>
      <c r="N49" s="57" t="n"/>
      <c r="O49" s="57" t="n"/>
      <c r="P49" s="57" t="n"/>
      <c r="Q49" s="57" t="n"/>
      <c r="R49" s="46" t="n"/>
      <c r="S49" s="58" t="str">
        <f>IF(AND(ISNUMBER($N49),ISNUMBER($O49)),$O49-$N49,"")</f>
        <v/>
      </c>
      <c r="T49" s="59" t="str">
        <f>IF(AND(ISNUMBER($O49),ISNUMBER($P49)),IF($O49&gt;0,$P49/$O49,""),"")</f>
        <v/>
      </c>
      <c r="U49" s="49" t="str">
        <f>IF(COUNTA($A49:$R49)=0,"",IF($A49="","Missing: campaign ID",IF(COUNTIF($A$2:$A$101,$A49)&gt;1,"Duplicate campaign ID",IF($B49="","Missing: campaign name",IF($C49="","Missing: objective",IF($D49="","Missing: product 1",IF($G49="","Missing: channel",IF($H49="","Missing: owner",IF(NOT(ISNUMBER($I49)),"Missing: launch date",IF($L49="","Missing: approval status",IF(NOT(ISNUMBER($N49)),"Missing: planned spend",IF(OR(COUNTIF(Products!$A$2:$A$101,$D49)=0,AND($E49&lt;&gt;"",COUNTIF(Products!$A$2:$A$101,$E49)=0),AND($F49&lt;&gt;"",COUNTIF(Products!$A$2:$A$101,$F49)=0)),"Unknown SKU",IF(COUNTIF(Config!$Q$15:$Q$34,$G49)=0,"Unsupported channel",IF(COUNTIF(Config!$P$15:$P$34,$L49)=0,"Unsupported status","OK"))))))))))))))</f>
        <v/>
      </c>
    </row>
    <row r="50">
      <c r="A50" s="46" t="n"/>
      <c r="B50" s="46" t="n"/>
      <c r="C50" s="46" t="n"/>
      <c r="D50" s="46" t="n"/>
      <c r="E50" s="46" t="n"/>
      <c r="F50" s="46" t="n"/>
      <c r="G50" s="46" t="n"/>
      <c r="H50" s="46" t="n"/>
      <c r="I50" s="54" t="n"/>
      <c r="J50" s="54" t="n"/>
      <c r="K50" s="54" t="n"/>
      <c r="L50" s="46" t="n"/>
      <c r="M50" s="46" t="n"/>
      <c r="N50" s="57" t="n"/>
      <c r="O50" s="57" t="n"/>
      <c r="P50" s="57" t="n"/>
      <c r="Q50" s="57" t="n"/>
      <c r="R50" s="46" t="n"/>
      <c r="S50" s="58" t="str">
        <f>IF(AND(ISNUMBER($N50),ISNUMBER($O50)),$O50-$N50,"")</f>
        <v/>
      </c>
      <c r="T50" s="59" t="str">
        <f>IF(AND(ISNUMBER($O50),ISNUMBER($P50)),IF($O50&gt;0,$P50/$O50,""),"")</f>
        <v/>
      </c>
      <c r="U50" s="49" t="str">
        <f>IF(COUNTA($A50:$R50)=0,"",IF($A50="","Missing: campaign ID",IF(COUNTIF($A$2:$A$101,$A50)&gt;1,"Duplicate campaign ID",IF($B50="","Missing: campaign name",IF($C50="","Missing: objective",IF($D50="","Missing: product 1",IF($G50="","Missing: channel",IF($H50="","Missing: owner",IF(NOT(ISNUMBER($I50)),"Missing: launch date",IF($L50="","Missing: approval status",IF(NOT(ISNUMBER($N50)),"Missing: planned spend",IF(OR(COUNTIF(Products!$A$2:$A$101,$D50)=0,AND($E50&lt;&gt;"",COUNTIF(Products!$A$2:$A$101,$E50)=0),AND($F50&lt;&gt;"",COUNTIF(Products!$A$2:$A$101,$F50)=0)),"Unknown SKU",IF(COUNTIF(Config!$Q$15:$Q$34,$G50)=0,"Unsupported channel",IF(COUNTIF(Config!$P$15:$P$34,$L50)=0,"Unsupported status","OK"))))))))))))))</f>
        <v/>
      </c>
    </row>
    <row r="51">
      <c r="A51" s="46" t="n"/>
      <c r="B51" s="46" t="n"/>
      <c r="C51" s="46" t="n"/>
      <c r="D51" s="46" t="n"/>
      <c r="E51" s="46" t="n"/>
      <c r="F51" s="46" t="n"/>
      <c r="G51" s="46" t="n"/>
      <c r="H51" s="46" t="n"/>
      <c r="I51" s="54" t="n"/>
      <c r="J51" s="54" t="n"/>
      <c r="K51" s="54" t="n"/>
      <c r="L51" s="46" t="n"/>
      <c r="M51" s="46" t="n"/>
      <c r="N51" s="57" t="n"/>
      <c r="O51" s="57" t="n"/>
      <c r="P51" s="57" t="n"/>
      <c r="Q51" s="57" t="n"/>
      <c r="R51" s="46" t="n"/>
      <c r="S51" s="58" t="str">
        <f>IF(AND(ISNUMBER($N51),ISNUMBER($O51)),$O51-$N51,"")</f>
        <v/>
      </c>
      <c r="T51" s="59" t="str">
        <f>IF(AND(ISNUMBER($O51),ISNUMBER($P51)),IF($O51&gt;0,$P51/$O51,""),"")</f>
        <v/>
      </c>
      <c r="U51" s="49" t="str">
        <f>IF(COUNTA($A51:$R51)=0,"",IF($A51="","Missing: campaign ID",IF(COUNTIF($A$2:$A$101,$A51)&gt;1,"Duplicate campaign ID",IF($B51="","Missing: campaign name",IF($C51="","Missing: objective",IF($D51="","Missing: product 1",IF($G51="","Missing: channel",IF($H51="","Missing: owner",IF(NOT(ISNUMBER($I51)),"Missing: launch date",IF($L51="","Missing: approval status",IF(NOT(ISNUMBER($N51)),"Missing: planned spend",IF(OR(COUNTIF(Products!$A$2:$A$101,$D51)=0,AND($E51&lt;&gt;"",COUNTIF(Products!$A$2:$A$101,$E51)=0),AND($F51&lt;&gt;"",COUNTIF(Products!$A$2:$A$101,$F51)=0)),"Unknown SKU",IF(COUNTIF(Config!$Q$15:$Q$34,$G51)=0,"Unsupported channel",IF(COUNTIF(Config!$P$15:$P$34,$L51)=0,"Unsupported status","OK"))))))))))))))</f>
        <v/>
      </c>
    </row>
    <row r="52">
      <c r="A52" s="46" t="n"/>
      <c r="B52" s="46" t="n"/>
      <c r="C52" s="46" t="n"/>
      <c r="D52" s="46" t="n"/>
      <c r="E52" s="46" t="n"/>
      <c r="F52" s="46" t="n"/>
      <c r="G52" s="46" t="n"/>
      <c r="H52" s="46" t="n"/>
      <c r="I52" s="54" t="n"/>
      <c r="J52" s="54" t="n"/>
      <c r="K52" s="54" t="n"/>
      <c r="L52" s="46" t="n"/>
      <c r="M52" s="46" t="n"/>
      <c r="N52" s="57" t="n"/>
      <c r="O52" s="57" t="n"/>
      <c r="P52" s="57" t="n"/>
      <c r="Q52" s="57" t="n"/>
      <c r="R52" s="46" t="n"/>
      <c r="S52" s="58" t="str">
        <f>IF(AND(ISNUMBER($N52),ISNUMBER($O52)),$O52-$N52,"")</f>
        <v/>
      </c>
      <c r="T52" s="59" t="str">
        <f>IF(AND(ISNUMBER($O52),ISNUMBER($P52)),IF($O52&gt;0,$P52/$O52,""),"")</f>
        <v/>
      </c>
      <c r="U52" s="49" t="str">
        <f>IF(COUNTA($A52:$R52)=0,"",IF($A52="","Missing: campaign ID",IF(COUNTIF($A$2:$A$101,$A52)&gt;1,"Duplicate campaign ID",IF($B52="","Missing: campaign name",IF($C52="","Missing: objective",IF($D52="","Missing: product 1",IF($G52="","Missing: channel",IF($H52="","Missing: owner",IF(NOT(ISNUMBER($I52)),"Missing: launch date",IF($L52="","Missing: approval status",IF(NOT(ISNUMBER($N52)),"Missing: planned spend",IF(OR(COUNTIF(Products!$A$2:$A$101,$D52)=0,AND($E52&lt;&gt;"",COUNTIF(Products!$A$2:$A$101,$E52)=0),AND($F52&lt;&gt;"",COUNTIF(Products!$A$2:$A$101,$F52)=0)),"Unknown SKU",IF(COUNTIF(Config!$Q$15:$Q$34,$G52)=0,"Unsupported channel",IF(COUNTIF(Config!$P$15:$P$34,$L52)=0,"Unsupported status","OK"))))))))))))))</f>
        <v/>
      </c>
    </row>
    <row r="53">
      <c r="A53" s="46" t="n"/>
      <c r="B53" s="46" t="n"/>
      <c r="C53" s="46" t="n"/>
      <c r="D53" s="46" t="n"/>
      <c r="E53" s="46" t="n"/>
      <c r="F53" s="46" t="n"/>
      <c r="G53" s="46" t="n"/>
      <c r="H53" s="46" t="n"/>
      <c r="I53" s="54" t="n"/>
      <c r="J53" s="54" t="n"/>
      <c r="K53" s="54" t="n"/>
      <c r="L53" s="46" t="n"/>
      <c r="M53" s="46" t="n"/>
      <c r="N53" s="57" t="n"/>
      <c r="O53" s="57" t="n"/>
      <c r="P53" s="57" t="n"/>
      <c r="Q53" s="57" t="n"/>
      <c r="R53" s="46" t="n"/>
      <c r="S53" s="58" t="str">
        <f>IF(AND(ISNUMBER($N53),ISNUMBER($O53)),$O53-$N53,"")</f>
        <v/>
      </c>
      <c r="T53" s="59" t="str">
        <f>IF(AND(ISNUMBER($O53),ISNUMBER($P53)),IF($O53&gt;0,$P53/$O53,""),"")</f>
        <v/>
      </c>
      <c r="U53" s="49" t="str">
        <f>IF(COUNTA($A53:$R53)=0,"",IF($A53="","Missing: campaign ID",IF(COUNTIF($A$2:$A$101,$A53)&gt;1,"Duplicate campaign ID",IF($B53="","Missing: campaign name",IF($C53="","Missing: objective",IF($D53="","Missing: product 1",IF($G53="","Missing: channel",IF($H53="","Missing: owner",IF(NOT(ISNUMBER($I53)),"Missing: launch date",IF($L53="","Missing: approval status",IF(NOT(ISNUMBER($N53)),"Missing: planned spend",IF(OR(COUNTIF(Products!$A$2:$A$101,$D53)=0,AND($E53&lt;&gt;"",COUNTIF(Products!$A$2:$A$101,$E53)=0),AND($F53&lt;&gt;"",COUNTIF(Products!$A$2:$A$101,$F53)=0)),"Unknown SKU",IF(COUNTIF(Config!$Q$15:$Q$34,$G53)=0,"Unsupported channel",IF(COUNTIF(Config!$P$15:$P$34,$L53)=0,"Unsupported status","OK"))))))))))))))</f>
        <v/>
      </c>
    </row>
    <row r="54">
      <c r="A54" s="46" t="n"/>
      <c r="B54" s="46" t="n"/>
      <c r="C54" s="46" t="n"/>
      <c r="D54" s="46" t="n"/>
      <c r="E54" s="46" t="n"/>
      <c r="F54" s="46" t="n"/>
      <c r="G54" s="46" t="n"/>
      <c r="H54" s="46" t="n"/>
      <c r="I54" s="54" t="n"/>
      <c r="J54" s="54" t="n"/>
      <c r="K54" s="54" t="n"/>
      <c r="L54" s="46" t="n"/>
      <c r="M54" s="46" t="n"/>
      <c r="N54" s="57" t="n"/>
      <c r="O54" s="57" t="n"/>
      <c r="P54" s="57" t="n"/>
      <c r="Q54" s="57" t="n"/>
      <c r="R54" s="46" t="n"/>
      <c r="S54" s="58" t="str">
        <f>IF(AND(ISNUMBER($N54),ISNUMBER($O54)),$O54-$N54,"")</f>
        <v/>
      </c>
      <c r="T54" s="59" t="str">
        <f>IF(AND(ISNUMBER($O54),ISNUMBER($P54)),IF($O54&gt;0,$P54/$O54,""),"")</f>
        <v/>
      </c>
      <c r="U54" s="49" t="str">
        <f>IF(COUNTA($A54:$R54)=0,"",IF($A54="","Missing: campaign ID",IF(COUNTIF($A$2:$A$101,$A54)&gt;1,"Duplicate campaign ID",IF($B54="","Missing: campaign name",IF($C54="","Missing: objective",IF($D54="","Missing: product 1",IF($G54="","Missing: channel",IF($H54="","Missing: owner",IF(NOT(ISNUMBER($I54)),"Missing: launch date",IF($L54="","Missing: approval status",IF(NOT(ISNUMBER($N54)),"Missing: planned spend",IF(OR(COUNTIF(Products!$A$2:$A$101,$D54)=0,AND($E54&lt;&gt;"",COUNTIF(Products!$A$2:$A$101,$E54)=0),AND($F54&lt;&gt;"",COUNTIF(Products!$A$2:$A$101,$F54)=0)),"Unknown SKU",IF(COUNTIF(Config!$Q$15:$Q$34,$G54)=0,"Unsupported channel",IF(COUNTIF(Config!$P$15:$P$34,$L54)=0,"Unsupported status","OK"))))))))))))))</f>
        <v/>
      </c>
    </row>
    <row r="55">
      <c r="A55" s="46" t="n"/>
      <c r="B55" s="46" t="n"/>
      <c r="C55" s="46" t="n"/>
      <c r="D55" s="46" t="n"/>
      <c r="E55" s="46" t="n"/>
      <c r="F55" s="46" t="n"/>
      <c r="G55" s="46" t="n"/>
      <c r="H55" s="46" t="n"/>
      <c r="I55" s="54" t="n"/>
      <c r="J55" s="54" t="n"/>
      <c r="K55" s="54" t="n"/>
      <c r="L55" s="46" t="n"/>
      <c r="M55" s="46" t="n"/>
      <c r="N55" s="57" t="n"/>
      <c r="O55" s="57" t="n"/>
      <c r="P55" s="57" t="n"/>
      <c r="Q55" s="57" t="n"/>
      <c r="R55" s="46" t="n"/>
      <c r="S55" s="58" t="str">
        <f>IF(AND(ISNUMBER($N55),ISNUMBER($O55)),$O55-$N55,"")</f>
        <v/>
      </c>
      <c r="T55" s="59" t="str">
        <f>IF(AND(ISNUMBER($O55),ISNUMBER($P55)),IF($O55&gt;0,$P55/$O55,""),"")</f>
        <v/>
      </c>
      <c r="U55" s="49" t="str">
        <f>IF(COUNTA($A55:$R55)=0,"",IF($A55="","Missing: campaign ID",IF(COUNTIF($A$2:$A$101,$A55)&gt;1,"Duplicate campaign ID",IF($B55="","Missing: campaign name",IF($C55="","Missing: objective",IF($D55="","Missing: product 1",IF($G55="","Missing: channel",IF($H55="","Missing: owner",IF(NOT(ISNUMBER($I55)),"Missing: launch date",IF($L55="","Missing: approval status",IF(NOT(ISNUMBER($N55)),"Missing: planned spend",IF(OR(COUNTIF(Products!$A$2:$A$101,$D55)=0,AND($E55&lt;&gt;"",COUNTIF(Products!$A$2:$A$101,$E55)=0),AND($F55&lt;&gt;"",COUNTIF(Products!$A$2:$A$101,$F55)=0)),"Unknown SKU",IF(COUNTIF(Config!$Q$15:$Q$34,$G55)=0,"Unsupported channel",IF(COUNTIF(Config!$P$15:$P$34,$L55)=0,"Unsupported status","OK"))))))))))))))</f>
        <v/>
      </c>
    </row>
    <row r="56">
      <c r="A56" s="46" t="n"/>
      <c r="B56" s="46" t="n"/>
      <c r="C56" s="46" t="n"/>
      <c r="D56" s="46" t="n"/>
      <c r="E56" s="46" t="n"/>
      <c r="F56" s="46" t="n"/>
      <c r="G56" s="46" t="n"/>
      <c r="H56" s="46" t="n"/>
      <c r="I56" s="54" t="n"/>
      <c r="J56" s="54" t="n"/>
      <c r="K56" s="54" t="n"/>
      <c r="L56" s="46" t="n"/>
      <c r="M56" s="46" t="n"/>
      <c r="N56" s="57" t="n"/>
      <c r="O56" s="57" t="n"/>
      <c r="P56" s="57" t="n"/>
      <c r="Q56" s="57" t="n"/>
      <c r="R56" s="46" t="n"/>
      <c r="S56" s="58" t="str">
        <f>IF(AND(ISNUMBER($N56),ISNUMBER($O56)),$O56-$N56,"")</f>
        <v/>
      </c>
      <c r="T56" s="59" t="str">
        <f>IF(AND(ISNUMBER($O56),ISNUMBER($P56)),IF($O56&gt;0,$P56/$O56,""),"")</f>
        <v/>
      </c>
      <c r="U56" s="49" t="str">
        <f>IF(COUNTA($A56:$R56)=0,"",IF($A56="","Missing: campaign ID",IF(COUNTIF($A$2:$A$101,$A56)&gt;1,"Duplicate campaign ID",IF($B56="","Missing: campaign name",IF($C56="","Missing: objective",IF($D56="","Missing: product 1",IF($G56="","Missing: channel",IF($H56="","Missing: owner",IF(NOT(ISNUMBER($I56)),"Missing: launch date",IF($L56="","Missing: approval status",IF(NOT(ISNUMBER($N56)),"Missing: planned spend",IF(OR(COUNTIF(Products!$A$2:$A$101,$D56)=0,AND($E56&lt;&gt;"",COUNTIF(Products!$A$2:$A$101,$E56)=0),AND($F56&lt;&gt;"",COUNTIF(Products!$A$2:$A$101,$F56)=0)),"Unknown SKU",IF(COUNTIF(Config!$Q$15:$Q$34,$G56)=0,"Unsupported channel",IF(COUNTIF(Config!$P$15:$P$34,$L56)=0,"Unsupported status","OK"))))))))))))))</f>
        <v/>
      </c>
    </row>
    <row r="57">
      <c r="A57" s="46" t="n"/>
      <c r="B57" s="46" t="n"/>
      <c r="C57" s="46" t="n"/>
      <c r="D57" s="46" t="n"/>
      <c r="E57" s="46" t="n"/>
      <c r="F57" s="46" t="n"/>
      <c r="G57" s="46" t="n"/>
      <c r="H57" s="46" t="n"/>
      <c r="I57" s="54" t="n"/>
      <c r="J57" s="54" t="n"/>
      <c r="K57" s="54" t="n"/>
      <c r="L57" s="46" t="n"/>
      <c r="M57" s="46" t="n"/>
      <c r="N57" s="57" t="n"/>
      <c r="O57" s="57" t="n"/>
      <c r="P57" s="57" t="n"/>
      <c r="Q57" s="57" t="n"/>
      <c r="R57" s="46" t="n"/>
      <c r="S57" s="58" t="str">
        <f>IF(AND(ISNUMBER($N57),ISNUMBER($O57)),$O57-$N57,"")</f>
        <v/>
      </c>
      <c r="T57" s="59" t="str">
        <f>IF(AND(ISNUMBER($O57),ISNUMBER($P57)),IF($O57&gt;0,$P57/$O57,""),"")</f>
        <v/>
      </c>
      <c r="U57" s="49" t="str">
        <f>IF(COUNTA($A57:$R57)=0,"",IF($A57="","Missing: campaign ID",IF(COUNTIF($A$2:$A$101,$A57)&gt;1,"Duplicate campaign ID",IF($B57="","Missing: campaign name",IF($C57="","Missing: objective",IF($D57="","Missing: product 1",IF($G57="","Missing: channel",IF($H57="","Missing: owner",IF(NOT(ISNUMBER($I57)),"Missing: launch date",IF($L57="","Missing: approval status",IF(NOT(ISNUMBER($N57)),"Missing: planned spend",IF(OR(COUNTIF(Products!$A$2:$A$101,$D57)=0,AND($E57&lt;&gt;"",COUNTIF(Products!$A$2:$A$101,$E57)=0),AND($F57&lt;&gt;"",COUNTIF(Products!$A$2:$A$101,$F57)=0)),"Unknown SKU",IF(COUNTIF(Config!$Q$15:$Q$34,$G57)=0,"Unsupported channel",IF(COUNTIF(Config!$P$15:$P$34,$L57)=0,"Unsupported status","OK"))))))))))))))</f>
        <v/>
      </c>
    </row>
    <row r="58">
      <c r="A58" s="46" t="n"/>
      <c r="B58" s="46" t="n"/>
      <c r="C58" s="46" t="n"/>
      <c r="D58" s="46" t="n"/>
      <c r="E58" s="46" t="n"/>
      <c r="F58" s="46" t="n"/>
      <c r="G58" s="46" t="n"/>
      <c r="H58" s="46" t="n"/>
      <c r="I58" s="54" t="n"/>
      <c r="J58" s="54" t="n"/>
      <c r="K58" s="54" t="n"/>
      <c r="L58" s="46" t="n"/>
      <c r="M58" s="46" t="n"/>
      <c r="N58" s="57" t="n"/>
      <c r="O58" s="57" t="n"/>
      <c r="P58" s="57" t="n"/>
      <c r="Q58" s="57" t="n"/>
      <c r="R58" s="46" t="n"/>
      <c r="S58" s="58" t="str">
        <f>IF(AND(ISNUMBER($N58),ISNUMBER($O58)),$O58-$N58,"")</f>
        <v/>
      </c>
      <c r="T58" s="59" t="str">
        <f>IF(AND(ISNUMBER($O58),ISNUMBER($P58)),IF($O58&gt;0,$P58/$O58,""),"")</f>
        <v/>
      </c>
      <c r="U58" s="49" t="str">
        <f>IF(COUNTA($A58:$R58)=0,"",IF($A58="","Missing: campaign ID",IF(COUNTIF($A$2:$A$101,$A58)&gt;1,"Duplicate campaign ID",IF($B58="","Missing: campaign name",IF($C58="","Missing: objective",IF($D58="","Missing: product 1",IF($G58="","Missing: channel",IF($H58="","Missing: owner",IF(NOT(ISNUMBER($I58)),"Missing: launch date",IF($L58="","Missing: approval status",IF(NOT(ISNUMBER($N58)),"Missing: planned spend",IF(OR(COUNTIF(Products!$A$2:$A$101,$D58)=0,AND($E58&lt;&gt;"",COUNTIF(Products!$A$2:$A$101,$E58)=0),AND($F58&lt;&gt;"",COUNTIF(Products!$A$2:$A$101,$F58)=0)),"Unknown SKU",IF(COUNTIF(Config!$Q$15:$Q$34,$G58)=0,"Unsupported channel",IF(COUNTIF(Config!$P$15:$P$34,$L58)=0,"Unsupported status","OK"))))))))))))))</f>
        <v/>
      </c>
    </row>
    <row r="59">
      <c r="A59" s="46" t="n"/>
      <c r="B59" s="46" t="n"/>
      <c r="C59" s="46" t="n"/>
      <c r="D59" s="46" t="n"/>
      <c r="E59" s="46" t="n"/>
      <c r="F59" s="46" t="n"/>
      <c r="G59" s="46" t="n"/>
      <c r="H59" s="46" t="n"/>
      <c r="I59" s="54" t="n"/>
      <c r="J59" s="54" t="n"/>
      <c r="K59" s="54" t="n"/>
      <c r="L59" s="46" t="n"/>
      <c r="M59" s="46" t="n"/>
      <c r="N59" s="57" t="n"/>
      <c r="O59" s="57" t="n"/>
      <c r="P59" s="57" t="n"/>
      <c r="Q59" s="57" t="n"/>
      <c r="R59" s="46" t="n"/>
      <c r="S59" s="58" t="str">
        <f>IF(AND(ISNUMBER($N59),ISNUMBER($O59)),$O59-$N59,"")</f>
        <v/>
      </c>
      <c r="T59" s="59" t="str">
        <f>IF(AND(ISNUMBER($O59),ISNUMBER($P59)),IF($O59&gt;0,$P59/$O59,""),"")</f>
        <v/>
      </c>
      <c r="U59" s="49" t="str">
        <f>IF(COUNTA($A59:$R59)=0,"",IF($A59="","Missing: campaign ID",IF(COUNTIF($A$2:$A$101,$A59)&gt;1,"Duplicate campaign ID",IF($B59="","Missing: campaign name",IF($C59="","Missing: objective",IF($D59="","Missing: product 1",IF($G59="","Missing: channel",IF($H59="","Missing: owner",IF(NOT(ISNUMBER($I59)),"Missing: launch date",IF($L59="","Missing: approval status",IF(NOT(ISNUMBER($N59)),"Missing: planned spend",IF(OR(COUNTIF(Products!$A$2:$A$101,$D59)=0,AND($E59&lt;&gt;"",COUNTIF(Products!$A$2:$A$101,$E59)=0),AND($F59&lt;&gt;"",COUNTIF(Products!$A$2:$A$101,$F59)=0)),"Unknown SKU",IF(COUNTIF(Config!$Q$15:$Q$34,$G59)=0,"Unsupported channel",IF(COUNTIF(Config!$P$15:$P$34,$L59)=0,"Unsupported status","OK"))))))))))))))</f>
        <v/>
      </c>
    </row>
    <row r="60">
      <c r="A60" s="46" t="n"/>
      <c r="B60" s="46" t="n"/>
      <c r="C60" s="46" t="n"/>
      <c r="D60" s="46" t="n"/>
      <c r="E60" s="46" t="n"/>
      <c r="F60" s="46" t="n"/>
      <c r="G60" s="46" t="n"/>
      <c r="H60" s="46" t="n"/>
      <c r="I60" s="54" t="n"/>
      <c r="J60" s="54" t="n"/>
      <c r="K60" s="54" t="n"/>
      <c r="L60" s="46" t="n"/>
      <c r="M60" s="46" t="n"/>
      <c r="N60" s="57" t="n"/>
      <c r="O60" s="57" t="n"/>
      <c r="P60" s="57" t="n"/>
      <c r="Q60" s="57" t="n"/>
      <c r="R60" s="46" t="n"/>
      <c r="S60" s="58" t="str">
        <f>IF(AND(ISNUMBER($N60),ISNUMBER($O60)),$O60-$N60,"")</f>
        <v/>
      </c>
      <c r="T60" s="59" t="str">
        <f>IF(AND(ISNUMBER($O60),ISNUMBER($P60)),IF($O60&gt;0,$P60/$O60,""),"")</f>
        <v/>
      </c>
      <c r="U60" s="49" t="str">
        <f>IF(COUNTA($A60:$R60)=0,"",IF($A60="","Missing: campaign ID",IF(COUNTIF($A$2:$A$101,$A60)&gt;1,"Duplicate campaign ID",IF($B60="","Missing: campaign name",IF($C60="","Missing: objective",IF($D60="","Missing: product 1",IF($G60="","Missing: channel",IF($H60="","Missing: owner",IF(NOT(ISNUMBER($I60)),"Missing: launch date",IF($L60="","Missing: approval status",IF(NOT(ISNUMBER($N60)),"Missing: planned spend",IF(OR(COUNTIF(Products!$A$2:$A$101,$D60)=0,AND($E60&lt;&gt;"",COUNTIF(Products!$A$2:$A$101,$E60)=0),AND($F60&lt;&gt;"",COUNTIF(Products!$A$2:$A$101,$F60)=0)),"Unknown SKU",IF(COUNTIF(Config!$Q$15:$Q$34,$G60)=0,"Unsupported channel",IF(COUNTIF(Config!$P$15:$P$34,$L60)=0,"Unsupported status","OK"))))))))))))))</f>
        <v/>
      </c>
    </row>
    <row r="61">
      <c r="A61" s="46" t="n"/>
      <c r="B61" s="46" t="n"/>
      <c r="C61" s="46" t="n"/>
      <c r="D61" s="46" t="n"/>
      <c r="E61" s="46" t="n"/>
      <c r="F61" s="46" t="n"/>
      <c r="G61" s="46" t="n"/>
      <c r="H61" s="46" t="n"/>
      <c r="I61" s="54" t="n"/>
      <c r="J61" s="54" t="n"/>
      <c r="K61" s="54" t="n"/>
      <c r="L61" s="46" t="n"/>
      <c r="M61" s="46" t="n"/>
      <c r="N61" s="57" t="n"/>
      <c r="O61" s="57" t="n"/>
      <c r="P61" s="57" t="n"/>
      <c r="Q61" s="57" t="n"/>
      <c r="R61" s="46" t="n"/>
      <c r="S61" s="58" t="str">
        <f>IF(AND(ISNUMBER($N61),ISNUMBER($O61)),$O61-$N61,"")</f>
        <v/>
      </c>
      <c r="T61" s="59" t="str">
        <f>IF(AND(ISNUMBER($O61),ISNUMBER($P61)),IF($O61&gt;0,$P61/$O61,""),"")</f>
        <v/>
      </c>
      <c r="U61" s="49" t="str">
        <f>IF(COUNTA($A61:$R61)=0,"",IF($A61="","Missing: campaign ID",IF(COUNTIF($A$2:$A$101,$A61)&gt;1,"Duplicate campaign ID",IF($B61="","Missing: campaign name",IF($C61="","Missing: objective",IF($D61="","Missing: product 1",IF($G61="","Missing: channel",IF($H61="","Missing: owner",IF(NOT(ISNUMBER($I61)),"Missing: launch date",IF($L61="","Missing: approval status",IF(NOT(ISNUMBER($N61)),"Missing: planned spend",IF(OR(COUNTIF(Products!$A$2:$A$101,$D61)=0,AND($E61&lt;&gt;"",COUNTIF(Products!$A$2:$A$101,$E61)=0),AND($F61&lt;&gt;"",COUNTIF(Products!$A$2:$A$101,$F61)=0)),"Unknown SKU",IF(COUNTIF(Config!$Q$15:$Q$34,$G61)=0,"Unsupported channel",IF(COUNTIF(Config!$P$15:$P$34,$L61)=0,"Unsupported status","OK"))))))))))))))</f>
        <v/>
      </c>
    </row>
    <row r="62">
      <c r="A62" s="46" t="n"/>
      <c r="B62" s="46" t="n"/>
      <c r="C62" s="46" t="n"/>
      <c r="D62" s="46" t="n"/>
      <c r="E62" s="46" t="n"/>
      <c r="F62" s="46" t="n"/>
      <c r="G62" s="46" t="n"/>
      <c r="H62" s="46" t="n"/>
      <c r="I62" s="54" t="n"/>
      <c r="J62" s="54" t="n"/>
      <c r="K62" s="54" t="n"/>
      <c r="L62" s="46" t="n"/>
      <c r="M62" s="46" t="n"/>
      <c r="N62" s="57" t="n"/>
      <c r="O62" s="57" t="n"/>
      <c r="P62" s="57" t="n"/>
      <c r="Q62" s="57" t="n"/>
      <c r="R62" s="46" t="n"/>
      <c r="S62" s="58" t="str">
        <f>IF(AND(ISNUMBER($N62),ISNUMBER($O62)),$O62-$N62,"")</f>
        <v/>
      </c>
      <c r="T62" s="59" t="str">
        <f>IF(AND(ISNUMBER($O62),ISNUMBER($P62)),IF($O62&gt;0,$P62/$O62,""),"")</f>
        <v/>
      </c>
      <c r="U62" s="49" t="str">
        <f>IF(COUNTA($A62:$R62)=0,"",IF($A62="","Missing: campaign ID",IF(COUNTIF($A$2:$A$101,$A62)&gt;1,"Duplicate campaign ID",IF($B62="","Missing: campaign name",IF($C62="","Missing: objective",IF($D62="","Missing: product 1",IF($G62="","Missing: channel",IF($H62="","Missing: owner",IF(NOT(ISNUMBER($I62)),"Missing: launch date",IF($L62="","Missing: approval status",IF(NOT(ISNUMBER($N62)),"Missing: planned spend",IF(OR(COUNTIF(Products!$A$2:$A$101,$D62)=0,AND($E62&lt;&gt;"",COUNTIF(Products!$A$2:$A$101,$E62)=0),AND($F62&lt;&gt;"",COUNTIF(Products!$A$2:$A$101,$F62)=0)),"Unknown SKU",IF(COUNTIF(Config!$Q$15:$Q$34,$G62)=0,"Unsupported channel",IF(COUNTIF(Config!$P$15:$P$34,$L62)=0,"Unsupported status","OK"))))))))))))))</f>
        <v/>
      </c>
    </row>
    <row r="63">
      <c r="A63" s="46" t="n"/>
      <c r="B63" s="46" t="n"/>
      <c r="C63" s="46" t="n"/>
      <c r="D63" s="46" t="n"/>
      <c r="E63" s="46" t="n"/>
      <c r="F63" s="46" t="n"/>
      <c r="G63" s="46" t="n"/>
      <c r="H63" s="46" t="n"/>
      <c r="I63" s="54" t="n"/>
      <c r="J63" s="54" t="n"/>
      <c r="K63" s="54" t="n"/>
      <c r="L63" s="46" t="n"/>
      <c r="M63" s="46" t="n"/>
      <c r="N63" s="57" t="n"/>
      <c r="O63" s="57" t="n"/>
      <c r="P63" s="57" t="n"/>
      <c r="Q63" s="57" t="n"/>
      <c r="R63" s="46" t="n"/>
      <c r="S63" s="58" t="str">
        <f>IF(AND(ISNUMBER($N63),ISNUMBER($O63)),$O63-$N63,"")</f>
        <v/>
      </c>
      <c r="T63" s="59" t="str">
        <f>IF(AND(ISNUMBER($O63),ISNUMBER($P63)),IF($O63&gt;0,$P63/$O63,""),"")</f>
        <v/>
      </c>
      <c r="U63" s="49" t="str">
        <f>IF(COUNTA($A63:$R63)=0,"",IF($A63="","Missing: campaign ID",IF(COUNTIF($A$2:$A$101,$A63)&gt;1,"Duplicate campaign ID",IF($B63="","Missing: campaign name",IF($C63="","Missing: objective",IF($D63="","Missing: product 1",IF($G63="","Missing: channel",IF($H63="","Missing: owner",IF(NOT(ISNUMBER($I63)),"Missing: launch date",IF($L63="","Missing: approval status",IF(NOT(ISNUMBER($N63)),"Missing: planned spend",IF(OR(COUNTIF(Products!$A$2:$A$101,$D63)=0,AND($E63&lt;&gt;"",COUNTIF(Products!$A$2:$A$101,$E63)=0),AND($F63&lt;&gt;"",COUNTIF(Products!$A$2:$A$101,$F63)=0)),"Unknown SKU",IF(COUNTIF(Config!$Q$15:$Q$34,$G63)=0,"Unsupported channel",IF(COUNTIF(Config!$P$15:$P$34,$L63)=0,"Unsupported status","OK"))))))))))))))</f>
        <v/>
      </c>
    </row>
    <row r="64">
      <c r="A64" s="46" t="n"/>
      <c r="B64" s="46" t="n"/>
      <c r="C64" s="46" t="n"/>
      <c r="D64" s="46" t="n"/>
      <c r="E64" s="46" t="n"/>
      <c r="F64" s="46" t="n"/>
      <c r="G64" s="46" t="n"/>
      <c r="H64" s="46" t="n"/>
      <c r="I64" s="54" t="n"/>
      <c r="J64" s="54" t="n"/>
      <c r="K64" s="54" t="n"/>
      <c r="L64" s="46" t="n"/>
      <c r="M64" s="46" t="n"/>
      <c r="N64" s="57" t="n"/>
      <c r="O64" s="57" t="n"/>
      <c r="P64" s="57" t="n"/>
      <c r="Q64" s="57" t="n"/>
      <c r="R64" s="46" t="n"/>
      <c r="S64" s="58" t="str">
        <f>IF(AND(ISNUMBER($N64),ISNUMBER($O64)),$O64-$N64,"")</f>
        <v/>
      </c>
      <c r="T64" s="59" t="str">
        <f>IF(AND(ISNUMBER($O64),ISNUMBER($P64)),IF($O64&gt;0,$P64/$O64,""),"")</f>
        <v/>
      </c>
      <c r="U64" s="49" t="str">
        <f>IF(COUNTA($A64:$R64)=0,"",IF($A64="","Missing: campaign ID",IF(COUNTIF($A$2:$A$101,$A64)&gt;1,"Duplicate campaign ID",IF($B64="","Missing: campaign name",IF($C64="","Missing: objective",IF($D64="","Missing: product 1",IF($G64="","Missing: channel",IF($H64="","Missing: owner",IF(NOT(ISNUMBER($I64)),"Missing: launch date",IF($L64="","Missing: approval status",IF(NOT(ISNUMBER($N64)),"Missing: planned spend",IF(OR(COUNTIF(Products!$A$2:$A$101,$D64)=0,AND($E64&lt;&gt;"",COUNTIF(Products!$A$2:$A$101,$E64)=0),AND($F64&lt;&gt;"",COUNTIF(Products!$A$2:$A$101,$F64)=0)),"Unknown SKU",IF(COUNTIF(Config!$Q$15:$Q$34,$G64)=0,"Unsupported channel",IF(COUNTIF(Config!$P$15:$P$34,$L64)=0,"Unsupported status","OK"))))))))))))))</f>
        <v/>
      </c>
    </row>
    <row r="65">
      <c r="A65" s="46" t="n"/>
      <c r="B65" s="46" t="n"/>
      <c r="C65" s="46" t="n"/>
      <c r="D65" s="46" t="n"/>
      <c r="E65" s="46" t="n"/>
      <c r="F65" s="46" t="n"/>
      <c r="G65" s="46" t="n"/>
      <c r="H65" s="46" t="n"/>
      <c r="I65" s="54" t="n"/>
      <c r="J65" s="54" t="n"/>
      <c r="K65" s="54" t="n"/>
      <c r="L65" s="46" t="n"/>
      <c r="M65" s="46" t="n"/>
      <c r="N65" s="57" t="n"/>
      <c r="O65" s="57" t="n"/>
      <c r="P65" s="57" t="n"/>
      <c r="Q65" s="57" t="n"/>
      <c r="R65" s="46" t="n"/>
      <c r="S65" s="58" t="str">
        <f>IF(AND(ISNUMBER($N65),ISNUMBER($O65)),$O65-$N65,"")</f>
        <v/>
      </c>
      <c r="T65" s="59" t="str">
        <f>IF(AND(ISNUMBER($O65),ISNUMBER($P65)),IF($O65&gt;0,$P65/$O65,""),"")</f>
        <v/>
      </c>
      <c r="U65" s="49" t="str">
        <f>IF(COUNTA($A65:$R65)=0,"",IF($A65="","Missing: campaign ID",IF(COUNTIF($A$2:$A$101,$A65)&gt;1,"Duplicate campaign ID",IF($B65="","Missing: campaign name",IF($C65="","Missing: objective",IF($D65="","Missing: product 1",IF($G65="","Missing: channel",IF($H65="","Missing: owner",IF(NOT(ISNUMBER($I65)),"Missing: launch date",IF($L65="","Missing: approval status",IF(NOT(ISNUMBER($N65)),"Missing: planned spend",IF(OR(COUNTIF(Products!$A$2:$A$101,$D65)=0,AND($E65&lt;&gt;"",COUNTIF(Products!$A$2:$A$101,$E65)=0),AND($F65&lt;&gt;"",COUNTIF(Products!$A$2:$A$101,$F65)=0)),"Unknown SKU",IF(COUNTIF(Config!$Q$15:$Q$34,$G65)=0,"Unsupported channel",IF(COUNTIF(Config!$P$15:$P$34,$L65)=0,"Unsupported status","OK"))))))))))))))</f>
        <v/>
      </c>
    </row>
    <row r="66">
      <c r="A66" s="46" t="n"/>
      <c r="B66" s="46" t="n"/>
      <c r="C66" s="46" t="n"/>
      <c r="D66" s="46" t="n"/>
      <c r="E66" s="46" t="n"/>
      <c r="F66" s="46" t="n"/>
      <c r="G66" s="46" t="n"/>
      <c r="H66" s="46" t="n"/>
      <c r="I66" s="54" t="n"/>
      <c r="J66" s="54" t="n"/>
      <c r="K66" s="54" t="n"/>
      <c r="L66" s="46" t="n"/>
      <c r="M66" s="46" t="n"/>
      <c r="N66" s="57" t="n"/>
      <c r="O66" s="57" t="n"/>
      <c r="P66" s="57" t="n"/>
      <c r="Q66" s="57" t="n"/>
      <c r="R66" s="46" t="n"/>
      <c r="S66" s="58" t="str">
        <f>IF(AND(ISNUMBER($N66),ISNUMBER($O66)),$O66-$N66,"")</f>
        <v/>
      </c>
      <c r="T66" s="59" t="str">
        <f>IF(AND(ISNUMBER($O66),ISNUMBER($P66)),IF($O66&gt;0,$P66/$O66,""),"")</f>
        <v/>
      </c>
      <c r="U66" s="49" t="str">
        <f>IF(COUNTA($A66:$R66)=0,"",IF($A66="","Missing: campaign ID",IF(COUNTIF($A$2:$A$101,$A66)&gt;1,"Duplicate campaign ID",IF($B66="","Missing: campaign name",IF($C66="","Missing: objective",IF($D66="","Missing: product 1",IF($G66="","Missing: channel",IF($H66="","Missing: owner",IF(NOT(ISNUMBER($I66)),"Missing: launch date",IF($L66="","Missing: approval status",IF(NOT(ISNUMBER($N66)),"Missing: planned spend",IF(OR(COUNTIF(Products!$A$2:$A$101,$D66)=0,AND($E66&lt;&gt;"",COUNTIF(Products!$A$2:$A$101,$E66)=0),AND($F66&lt;&gt;"",COUNTIF(Products!$A$2:$A$101,$F66)=0)),"Unknown SKU",IF(COUNTIF(Config!$Q$15:$Q$34,$G66)=0,"Unsupported channel",IF(COUNTIF(Config!$P$15:$P$34,$L66)=0,"Unsupported status","OK"))))))))))))))</f>
        <v/>
      </c>
    </row>
    <row r="67">
      <c r="A67" s="46" t="n"/>
      <c r="B67" s="46" t="n"/>
      <c r="C67" s="46" t="n"/>
      <c r="D67" s="46" t="n"/>
      <c r="E67" s="46" t="n"/>
      <c r="F67" s="46" t="n"/>
      <c r="G67" s="46" t="n"/>
      <c r="H67" s="46" t="n"/>
      <c r="I67" s="54" t="n"/>
      <c r="J67" s="54" t="n"/>
      <c r="K67" s="54" t="n"/>
      <c r="L67" s="46" t="n"/>
      <c r="M67" s="46" t="n"/>
      <c r="N67" s="57" t="n"/>
      <c r="O67" s="57" t="n"/>
      <c r="P67" s="57" t="n"/>
      <c r="Q67" s="57" t="n"/>
      <c r="R67" s="46" t="n"/>
      <c r="S67" s="58" t="str">
        <f>IF(AND(ISNUMBER($N67),ISNUMBER($O67)),$O67-$N67,"")</f>
        <v/>
      </c>
      <c r="T67" s="59" t="str">
        <f>IF(AND(ISNUMBER($O67),ISNUMBER($P67)),IF($O67&gt;0,$P67/$O67,""),"")</f>
        <v/>
      </c>
      <c r="U67" s="49" t="str">
        <f>IF(COUNTA($A67:$R67)=0,"",IF($A67="","Missing: campaign ID",IF(COUNTIF($A$2:$A$101,$A67)&gt;1,"Duplicate campaign ID",IF($B67="","Missing: campaign name",IF($C67="","Missing: objective",IF($D67="","Missing: product 1",IF($G67="","Missing: channel",IF($H67="","Missing: owner",IF(NOT(ISNUMBER($I67)),"Missing: launch date",IF($L67="","Missing: approval status",IF(NOT(ISNUMBER($N67)),"Missing: planned spend",IF(OR(COUNTIF(Products!$A$2:$A$101,$D67)=0,AND($E67&lt;&gt;"",COUNTIF(Products!$A$2:$A$101,$E67)=0),AND($F67&lt;&gt;"",COUNTIF(Products!$A$2:$A$101,$F67)=0)),"Unknown SKU",IF(COUNTIF(Config!$Q$15:$Q$34,$G67)=0,"Unsupported channel",IF(COUNTIF(Config!$P$15:$P$34,$L67)=0,"Unsupported status","OK"))))))))))))))</f>
        <v/>
      </c>
    </row>
    <row r="68">
      <c r="A68" s="46" t="n"/>
      <c r="B68" s="46" t="n"/>
      <c r="C68" s="46" t="n"/>
      <c r="D68" s="46" t="n"/>
      <c r="E68" s="46" t="n"/>
      <c r="F68" s="46" t="n"/>
      <c r="G68" s="46" t="n"/>
      <c r="H68" s="46" t="n"/>
      <c r="I68" s="54" t="n"/>
      <c r="J68" s="54" t="n"/>
      <c r="K68" s="54" t="n"/>
      <c r="L68" s="46" t="n"/>
      <c r="M68" s="46" t="n"/>
      <c r="N68" s="57" t="n"/>
      <c r="O68" s="57" t="n"/>
      <c r="P68" s="57" t="n"/>
      <c r="Q68" s="57" t="n"/>
      <c r="R68" s="46" t="n"/>
      <c r="S68" s="58" t="str">
        <f>IF(AND(ISNUMBER($N68),ISNUMBER($O68)),$O68-$N68,"")</f>
        <v/>
      </c>
      <c r="T68" s="59" t="str">
        <f>IF(AND(ISNUMBER($O68),ISNUMBER($P68)),IF($O68&gt;0,$P68/$O68,""),"")</f>
        <v/>
      </c>
      <c r="U68" s="49" t="str">
        <f>IF(COUNTA($A68:$R68)=0,"",IF($A68="","Missing: campaign ID",IF(COUNTIF($A$2:$A$101,$A68)&gt;1,"Duplicate campaign ID",IF($B68="","Missing: campaign name",IF($C68="","Missing: objective",IF($D68="","Missing: product 1",IF($G68="","Missing: channel",IF($H68="","Missing: owner",IF(NOT(ISNUMBER($I68)),"Missing: launch date",IF($L68="","Missing: approval status",IF(NOT(ISNUMBER($N68)),"Missing: planned spend",IF(OR(COUNTIF(Products!$A$2:$A$101,$D68)=0,AND($E68&lt;&gt;"",COUNTIF(Products!$A$2:$A$101,$E68)=0),AND($F68&lt;&gt;"",COUNTIF(Products!$A$2:$A$101,$F68)=0)),"Unknown SKU",IF(COUNTIF(Config!$Q$15:$Q$34,$G68)=0,"Unsupported channel",IF(COUNTIF(Config!$P$15:$P$34,$L68)=0,"Unsupported status","OK"))))))))))))))</f>
        <v/>
      </c>
    </row>
    <row r="69">
      <c r="A69" s="46" t="n"/>
      <c r="B69" s="46" t="n"/>
      <c r="C69" s="46" t="n"/>
      <c r="D69" s="46" t="n"/>
      <c r="E69" s="46" t="n"/>
      <c r="F69" s="46" t="n"/>
      <c r="G69" s="46" t="n"/>
      <c r="H69" s="46" t="n"/>
      <c r="I69" s="54" t="n"/>
      <c r="J69" s="54" t="n"/>
      <c r="K69" s="54" t="n"/>
      <c r="L69" s="46" t="n"/>
      <c r="M69" s="46" t="n"/>
      <c r="N69" s="57" t="n"/>
      <c r="O69" s="57" t="n"/>
      <c r="P69" s="57" t="n"/>
      <c r="Q69" s="57" t="n"/>
      <c r="R69" s="46" t="n"/>
      <c r="S69" s="58" t="str">
        <f>IF(AND(ISNUMBER($N69),ISNUMBER($O69)),$O69-$N69,"")</f>
        <v/>
      </c>
      <c r="T69" s="59" t="str">
        <f>IF(AND(ISNUMBER($O69),ISNUMBER($P69)),IF($O69&gt;0,$P69/$O69,""),"")</f>
        <v/>
      </c>
      <c r="U69" s="49" t="str">
        <f>IF(COUNTA($A69:$R69)=0,"",IF($A69="","Missing: campaign ID",IF(COUNTIF($A$2:$A$101,$A69)&gt;1,"Duplicate campaign ID",IF($B69="","Missing: campaign name",IF($C69="","Missing: objective",IF($D69="","Missing: product 1",IF($G69="","Missing: channel",IF($H69="","Missing: owner",IF(NOT(ISNUMBER($I69)),"Missing: launch date",IF($L69="","Missing: approval status",IF(NOT(ISNUMBER($N69)),"Missing: planned spend",IF(OR(COUNTIF(Products!$A$2:$A$101,$D69)=0,AND($E69&lt;&gt;"",COUNTIF(Products!$A$2:$A$101,$E69)=0),AND($F69&lt;&gt;"",COUNTIF(Products!$A$2:$A$101,$F69)=0)),"Unknown SKU",IF(COUNTIF(Config!$Q$15:$Q$34,$G69)=0,"Unsupported channel",IF(COUNTIF(Config!$P$15:$P$34,$L69)=0,"Unsupported status","OK"))))))))))))))</f>
        <v/>
      </c>
    </row>
    <row r="70">
      <c r="A70" s="46" t="n"/>
      <c r="B70" s="46" t="n"/>
      <c r="C70" s="46" t="n"/>
      <c r="D70" s="46" t="n"/>
      <c r="E70" s="46" t="n"/>
      <c r="F70" s="46" t="n"/>
      <c r="G70" s="46" t="n"/>
      <c r="H70" s="46" t="n"/>
      <c r="I70" s="54" t="n"/>
      <c r="J70" s="54" t="n"/>
      <c r="K70" s="54" t="n"/>
      <c r="L70" s="46" t="n"/>
      <c r="M70" s="46" t="n"/>
      <c r="N70" s="57" t="n"/>
      <c r="O70" s="57" t="n"/>
      <c r="P70" s="57" t="n"/>
      <c r="Q70" s="57" t="n"/>
      <c r="R70" s="46" t="n"/>
      <c r="S70" s="58" t="str">
        <f>IF(AND(ISNUMBER($N70),ISNUMBER($O70)),$O70-$N70,"")</f>
        <v/>
      </c>
      <c r="T70" s="59" t="str">
        <f>IF(AND(ISNUMBER($O70),ISNUMBER($P70)),IF($O70&gt;0,$P70/$O70,""),"")</f>
        <v/>
      </c>
      <c r="U70" s="49" t="str">
        <f>IF(COUNTA($A70:$R70)=0,"",IF($A70="","Missing: campaign ID",IF(COUNTIF($A$2:$A$101,$A70)&gt;1,"Duplicate campaign ID",IF($B70="","Missing: campaign name",IF($C70="","Missing: objective",IF($D70="","Missing: product 1",IF($G70="","Missing: channel",IF($H70="","Missing: owner",IF(NOT(ISNUMBER($I70)),"Missing: launch date",IF($L70="","Missing: approval status",IF(NOT(ISNUMBER($N70)),"Missing: planned spend",IF(OR(COUNTIF(Products!$A$2:$A$101,$D70)=0,AND($E70&lt;&gt;"",COUNTIF(Products!$A$2:$A$101,$E70)=0),AND($F70&lt;&gt;"",COUNTIF(Products!$A$2:$A$101,$F70)=0)),"Unknown SKU",IF(COUNTIF(Config!$Q$15:$Q$34,$G70)=0,"Unsupported channel",IF(COUNTIF(Config!$P$15:$P$34,$L70)=0,"Unsupported status","OK"))))))))))))))</f>
        <v/>
      </c>
    </row>
    <row r="71">
      <c r="A71" s="46" t="n"/>
      <c r="B71" s="46" t="n"/>
      <c r="C71" s="46" t="n"/>
      <c r="D71" s="46" t="n"/>
      <c r="E71" s="46" t="n"/>
      <c r="F71" s="46" t="n"/>
      <c r="G71" s="46" t="n"/>
      <c r="H71" s="46" t="n"/>
      <c r="I71" s="54" t="n"/>
      <c r="J71" s="54" t="n"/>
      <c r="K71" s="54" t="n"/>
      <c r="L71" s="46" t="n"/>
      <c r="M71" s="46" t="n"/>
      <c r="N71" s="57" t="n"/>
      <c r="O71" s="57" t="n"/>
      <c r="P71" s="57" t="n"/>
      <c r="Q71" s="57" t="n"/>
      <c r="R71" s="46" t="n"/>
      <c r="S71" s="58" t="str">
        <f>IF(AND(ISNUMBER($N71),ISNUMBER($O71)),$O71-$N71,"")</f>
        <v/>
      </c>
      <c r="T71" s="59" t="str">
        <f>IF(AND(ISNUMBER($O71),ISNUMBER($P71)),IF($O71&gt;0,$P71/$O71,""),"")</f>
        <v/>
      </c>
      <c r="U71" s="49" t="str">
        <f>IF(COUNTA($A71:$R71)=0,"",IF($A71="","Missing: campaign ID",IF(COUNTIF($A$2:$A$101,$A71)&gt;1,"Duplicate campaign ID",IF($B71="","Missing: campaign name",IF($C71="","Missing: objective",IF($D71="","Missing: product 1",IF($G71="","Missing: channel",IF($H71="","Missing: owner",IF(NOT(ISNUMBER($I71)),"Missing: launch date",IF($L71="","Missing: approval status",IF(NOT(ISNUMBER($N71)),"Missing: planned spend",IF(OR(COUNTIF(Products!$A$2:$A$101,$D71)=0,AND($E71&lt;&gt;"",COUNTIF(Products!$A$2:$A$101,$E71)=0),AND($F71&lt;&gt;"",COUNTIF(Products!$A$2:$A$101,$F71)=0)),"Unknown SKU",IF(COUNTIF(Config!$Q$15:$Q$34,$G71)=0,"Unsupported channel",IF(COUNTIF(Config!$P$15:$P$34,$L71)=0,"Unsupported status","OK"))))))))))))))</f>
        <v/>
      </c>
    </row>
    <row r="72">
      <c r="A72" s="46" t="n"/>
      <c r="B72" s="46" t="n"/>
      <c r="C72" s="46" t="n"/>
      <c r="D72" s="46" t="n"/>
      <c r="E72" s="46" t="n"/>
      <c r="F72" s="46" t="n"/>
      <c r="G72" s="46" t="n"/>
      <c r="H72" s="46" t="n"/>
      <c r="I72" s="54" t="n"/>
      <c r="J72" s="54" t="n"/>
      <c r="K72" s="54" t="n"/>
      <c r="L72" s="46" t="n"/>
      <c r="M72" s="46" t="n"/>
      <c r="N72" s="57" t="n"/>
      <c r="O72" s="57" t="n"/>
      <c r="P72" s="57" t="n"/>
      <c r="Q72" s="57" t="n"/>
      <c r="R72" s="46" t="n"/>
      <c r="S72" s="58" t="str">
        <f>IF(AND(ISNUMBER($N72),ISNUMBER($O72)),$O72-$N72,"")</f>
        <v/>
      </c>
      <c r="T72" s="59" t="str">
        <f>IF(AND(ISNUMBER($O72),ISNUMBER($P72)),IF($O72&gt;0,$P72/$O72,""),"")</f>
        <v/>
      </c>
      <c r="U72" s="49" t="str">
        <f>IF(COUNTA($A72:$R72)=0,"",IF($A72="","Missing: campaign ID",IF(COUNTIF($A$2:$A$101,$A72)&gt;1,"Duplicate campaign ID",IF($B72="","Missing: campaign name",IF($C72="","Missing: objective",IF($D72="","Missing: product 1",IF($G72="","Missing: channel",IF($H72="","Missing: owner",IF(NOT(ISNUMBER($I72)),"Missing: launch date",IF($L72="","Missing: approval status",IF(NOT(ISNUMBER($N72)),"Missing: planned spend",IF(OR(COUNTIF(Products!$A$2:$A$101,$D72)=0,AND($E72&lt;&gt;"",COUNTIF(Products!$A$2:$A$101,$E72)=0),AND($F72&lt;&gt;"",COUNTIF(Products!$A$2:$A$101,$F72)=0)),"Unknown SKU",IF(COUNTIF(Config!$Q$15:$Q$34,$G72)=0,"Unsupported channel",IF(COUNTIF(Config!$P$15:$P$34,$L72)=0,"Unsupported status","OK"))))))))))))))</f>
        <v/>
      </c>
    </row>
    <row r="73">
      <c r="A73" s="46" t="n"/>
      <c r="B73" s="46" t="n"/>
      <c r="C73" s="46" t="n"/>
      <c r="D73" s="46" t="n"/>
      <c r="E73" s="46" t="n"/>
      <c r="F73" s="46" t="n"/>
      <c r="G73" s="46" t="n"/>
      <c r="H73" s="46" t="n"/>
      <c r="I73" s="54" t="n"/>
      <c r="J73" s="54" t="n"/>
      <c r="K73" s="54" t="n"/>
      <c r="L73" s="46" t="n"/>
      <c r="M73" s="46" t="n"/>
      <c r="N73" s="57" t="n"/>
      <c r="O73" s="57" t="n"/>
      <c r="P73" s="57" t="n"/>
      <c r="Q73" s="57" t="n"/>
      <c r="R73" s="46" t="n"/>
      <c r="S73" s="58" t="str">
        <f>IF(AND(ISNUMBER($N73),ISNUMBER($O73)),$O73-$N73,"")</f>
        <v/>
      </c>
      <c r="T73" s="59" t="str">
        <f>IF(AND(ISNUMBER($O73),ISNUMBER($P73)),IF($O73&gt;0,$P73/$O73,""),"")</f>
        <v/>
      </c>
      <c r="U73" s="49" t="str">
        <f>IF(COUNTA($A73:$R73)=0,"",IF($A73="","Missing: campaign ID",IF(COUNTIF($A$2:$A$101,$A73)&gt;1,"Duplicate campaign ID",IF($B73="","Missing: campaign name",IF($C73="","Missing: objective",IF($D73="","Missing: product 1",IF($G73="","Missing: channel",IF($H73="","Missing: owner",IF(NOT(ISNUMBER($I73)),"Missing: launch date",IF($L73="","Missing: approval status",IF(NOT(ISNUMBER($N73)),"Missing: planned spend",IF(OR(COUNTIF(Products!$A$2:$A$101,$D73)=0,AND($E73&lt;&gt;"",COUNTIF(Products!$A$2:$A$101,$E73)=0),AND($F73&lt;&gt;"",COUNTIF(Products!$A$2:$A$101,$F73)=0)),"Unknown SKU",IF(COUNTIF(Config!$Q$15:$Q$34,$G73)=0,"Unsupported channel",IF(COUNTIF(Config!$P$15:$P$34,$L73)=0,"Unsupported status","OK"))))))))))))))</f>
        <v/>
      </c>
    </row>
    <row r="74">
      <c r="A74" s="46" t="n"/>
      <c r="B74" s="46" t="n"/>
      <c r="C74" s="46" t="n"/>
      <c r="D74" s="46" t="n"/>
      <c r="E74" s="46" t="n"/>
      <c r="F74" s="46" t="n"/>
      <c r="G74" s="46" t="n"/>
      <c r="H74" s="46" t="n"/>
      <c r="I74" s="54" t="n"/>
      <c r="J74" s="54" t="n"/>
      <c r="K74" s="54" t="n"/>
      <c r="L74" s="46" t="n"/>
      <c r="M74" s="46" t="n"/>
      <c r="N74" s="57" t="n"/>
      <c r="O74" s="57" t="n"/>
      <c r="P74" s="57" t="n"/>
      <c r="Q74" s="57" t="n"/>
      <c r="R74" s="46" t="n"/>
      <c r="S74" s="58" t="str">
        <f>IF(AND(ISNUMBER($N74),ISNUMBER($O74)),$O74-$N74,"")</f>
        <v/>
      </c>
      <c r="T74" s="59" t="str">
        <f>IF(AND(ISNUMBER($O74),ISNUMBER($P74)),IF($O74&gt;0,$P74/$O74,""),"")</f>
        <v/>
      </c>
      <c r="U74" s="49" t="str">
        <f>IF(COUNTA($A74:$R74)=0,"",IF($A74="","Missing: campaign ID",IF(COUNTIF($A$2:$A$101,$A74)&gt;1,"Duplicate campaign ID",IF($B74="","Missing: campaign name",IF($C74="","Missing: objective",IF($D74="","Missing: product 1",IF($G74="","Missing: channel",IF($H74="","Missing: owner",IF(NOT(ISNUMBER($I74)),"Missing: launch date",IF($L74="","Missing: approval status",IF(NOT(ISNUMBER($N74)),"Missing: planned spend",IF(OR(COUNTIF(Products!$A$2:$A$101,$D74)=0,AND($E74&lt;&gt;"",COUNTIF(Products!$A$2:$A$101,$E74)=0),AND($F74&lt;&gt;"",COUNTIF(Products!$A$2:$A$101,$F74)=0)),"Unknown SKU",IF(COUNTIF(Config!$Q$15:$Q$34,$G74)=0,"Unsupported channel",IF(COUNTIF(Config!$P$15:$P$34,$L74)=0,"Unsupported status","OK"))))))))))))))</f>
        <v/>
      </c>
    </row>
    <row r="75">
      <c r="A75" s="46" t="n"/>
      <c r="B75" s="46" t="n"/>
      <c r="C75" s="46" t="n"/>
      <c r="D75" s="46" t="n"/>
      <c r="E75" s="46" t="n"/>
      <c r="F75" s="46" t="n"/>
      <c r="G75" s="46" t="n"/>
      <c r="H75" s="46" t="n"/>
      <c r="I75" s="54" t="n"/>
      <c r="J75" s="54" t="n"/>
      <c r="K75" s="54" t="n"/>
      <c r="L75" s="46" t="n"/>
      <c r="M75" s="46" t="n"/>
      <c r="N75" s="57" t="n"/>
      <c r="O75" s="57" t="n"/>
      <c r="P75" s="57" t="n"/>
      <c r="Q75" s="57" t="n"/>
      <c r="R75" s="46" t="n"/>
      <c r="S75" s="58" t="str">
        <f>IF(AND(ISNUMBER($N75),ISNUMBER($O75)),$O75-$N75,"")</f>
        <v/>
      </c>
      <c r="T75" s="59" t="str">
        <f>IF(AND(ISNUMBER($O75),ISNUMBER($P75)),IF($O75&gt;0,$P75/$O75,""),"")</f>
        <v/>
      </c>
      <c r="U75" s="49" t="str">
        <f>IF(COUNTA($A75:$R75)=0,"",IF($A75="","Missing: campaign ID",IF(COUNTIF($A$2:$A$101,$A75)&gt;1,"Duplicate campaign ID",IF($B75="","Missing: campaign name",IF($C75="","Missing: objective",IF($D75="","Missing: product 1",IF($G75="","Missing: channel",IF($H75="","Missing: owner",IF(NOT(ISNUMBER($I75)),"Missing: launch date",IF($L75="","Missing: approval status",IF(NOT(ISNUMBER($N75)),"Missing: planned spend",IF(OR(COUNTIF(Products!$A$2:$A$101,$D75)=0,AND($E75&lt;&gt;"",COUNTIF(Products!$A$2:$A$101,$E75)=0),AND($F75&lt;&gt;"",COUNTIF(Products!$A$2:$A$101,$F75)=0)),"Unknown SKU",IF(COUNTIF(Config!$Q$15:$Q$34,$G75)=0,"Unsupported channel",IF(COUNTIF(Config!$P$15:$P$34,$L75)=0,"Unsupported status","OK"))))))))))))))</f>
        <v/>
      </c>
    </row>
    <row r="76">
      <c r="A76" s="46" t="n"/>
      <c r="B76" s="46" t="n"/>
      <c r="C76" s="46" t="n"/>
      <c r="D76" s="46" t="n"/>
      <c r="E76" s="46" t="n"/>
      <c r="F76" s="46" t="n"/>
      <c r="G76" s="46" t="n"/>
      <c r="H76" s="46" t="n"/>
      <c r="I76" s="54" t="n"/>
      <c r="J76" s="54" t="n"/>
      <c r="K76" s="54" t="n"/>
      <c r="L76" s="46" t="n"/>
      <c r="M76" s="46" t="n"/>
      <c r="N76" s="57" t="n"/>
      <c r="O76" s="57" t="n"/>
      <c r="P76" s="57" t="n"/>
      <c r="Q76" s="57" t="n"/>
      <c r="R76" s="46" t="n"/>
      <c r="S76" s="58" t="str">
        <f>IF(AND(ISNUMBER($N76),ISNUMBER($O76)),$O76-$N76,"")</f>
        <v/>
      </c>
      <c r="T76" s="59" t="str">
        <f>IF(AND(ISNUMBER($O76),ISNUMBER($P76)),IF($O76&gt;0,$P76/$O76,""),"")</f>
        <v/>
      </c>
      <c r="U76" s="49" t="str">
        <f>IF(COUNTA($A76:$R76)=0,"",IF($A76="","Missing: campaign ID",IF(COUNTIF($A$2:$A$101,$A76)&gt;1,"Duplicate campaign ID",IF($B76="","Missing: campaign name",IF($C76="","Missing: objective",IF($D76="","Missing: product 1",IF($G76="","Missing: channel",IF($H76="","Missing: owner",IF(NOT(ISNUMBER($I76)),"Missing: launch date",IF($L76="","Missing: approval status",IF(NOT(ISNUMBER($N76)),"Missing: planned spend",IF(OR(COUNTIF(Products!$A$2:$A$101,$D76)=0,AND($E76&lt;&gt;"",COUNTIF(Products!$A$2:$A$101,$E76)=0),AND($F76&lt;&gt;"",COUNTIF(Products!$A$2:$A$101,$F76)=0)),"Unknown SKU",IF(COUNTIF(Config!$Q$15:$Q$34,$G76)=0,"Unsupported channel",IF(COUNTIF(Config!$P$15:$P$34,$L76)=0,"Unsupported status","OK"))))))))))))))</f>
        <v/>
      </c>
    </row>
    <row r="77">
      <c r="A77" s="46" t="n"/>
      <c r="B77" s="46" t="n"/>
      <c r="C77" s="46" t="n"/>
      <c r="D77" s="46" t="n"/>
      <c r="E77" s="46" t="n"/>
      <c r="F77" s="46" t="n"/>
      <c r="G77" s="46" t="n"/>
      <c r="H77" s="46" t="n"/>
      <c r="I77" s="54" t="n"/>
      <c r="J77" s="54" t="n"/>
      <c r="K77" s="54" t="n"/>
      <c r="L77" s="46" t="n"/>
      <c r="M77" s="46" t="n"/>
      <c r="N77" s="57" t="n"/>
      <c r="O77" s="57" t="n"/>
      <c r="P77" s="57" t="n"/>
      <c r="Q77" s="57" t="n"/>
      <c r="R77" s="46" t="n"/>
      <c r="S77" s="58" t="str">
        <f>IF(AND(ISNUMBER($N77),ISNUMBER($O77)),$O77-$N77,"")</f>
        <v/>
      </c>
      <c r="T77" s="59" t="str">
        <f>IF(AND(ISNUMBER($O77),ISNUMBER($P77)),IF($O77&gt;0,$P77/$O77,""),"")</f>
        <v/>
      </c>
      <c r="U77" s="49" t="str">
        <f>IF(COUNTA($A77:$R77)=0,"",IF($A77="","Missing: campaign ID",IF(COUNTIF($A$2:$A$101,$A77)&gt;1,"Duplicate campaign ID",IF($B77="","Missing: campaign name",IF($C77="","Missing: objective",IF($D77="","Missing: product 1",IF($G77="","Missing: channel",IF($H77="","Missing: owner",IF(NOT(ISNUMBER($I77)),"Missing: launch date",IF($L77="","Missing: approval status",IF(NOT(ISNUMBER($N77)),"Missing: planned spend",IF(OR(COUNTIF(Products!$A$2:$A$101,$D77)=0,AND($E77&lt;&gt;"",COUNTIF(Products!$A$2:$A$101,$E77)=0),AND($F77&lt;&gt;"",COUNTIF(Products!$A$2:$A$101,$F77)=0)),"Unknown SKU",IF(COUNTIF(Config!$Q$15:$Q$34,$G77)=0,"Unsupported channel",IF(COUNTIF(Config!$P$15:$P$34,$L77)=0,"Unsupported status","OK"))))))))))))))</f>
        <v/>
      </c>
    </row>
    <row r="78">
      <c r="A78" s="46" t="n"/>
      <c r="B78" s="46" t="n"/>
      <c r="C78" s="46" t="n"/>
      <c r="D78" s="46" t="n"/>
      <c r="E78" s="46" t="n"/>
      <c r="F78" s="46" t="n"/>
      <c r="G78" s="46" t="n"/>
      <c r="H78" s="46" t="n"/>
      <c r="I78" s="54" t="n"/>
      <c r="J78" s="54" t="n"/>
      <c r="K78" s="54" t="n"/>
      <c r="L78" s="46" t="n"/>
      <c r="M78" s="46" t="n"/>
      <c r="N78" s="57" t="n"/>
      <c r="O78" s="57" t="n"/>
      <c r="P78" s="57" t="n"/>
      <c r="Q78" s="57" t="n"/>
      <c r="R78" s="46" t="n"/>
      <c r="S78" s="58" t="str">
        <f>IF(AND(ISNUMBER($N78),ISNUMBER($O78)),$O78-$N78,"")</f>
        <v/>
      </c>
      <c r="T78" s="59" t="str">
        <f>IF(AND(ISNUMBER($O78),ISNUMBER($P78)),IF($O78&gt;0,$P78/$O78,""),"")</f>
        <v/>
      </c>
      <c r="U78" s="49" t="str">
        <f>IF(COUNTA($A78:$R78)=0,"",IF($A78="","Missing: campaign ID",IF(COUNTIF($A$2:$A$101,$A78)&gt;1,"Duplicate campaign ID",IF($B78="","Missing: campaign name",IF($C78="","Missing: objective",IF($D78="","Missing: product 1",IF($G78="","Missing: channel",IF($H78="","Missing: owner",IF(NOT(ISNUMBER($I78)),"Missing: launch date",IF($L78="","Missing: approval status",IF(NOT(ISNUMBER($N78)),"Missing: planned spend",IF(OR(COUNTIF(Products!$A$2:$A$101,$D78)=0,AND($E78&lt;&gt;"",COUNTIF(Products!$A$2:$A$101,$E78)=0),AND($F78&lt;&gt;"",COUNTIF(Products!$A$2:$A$101,$F78)=0)),"Unknown SKU",IF(COUNTIF(Config!$Q$15:$Q$34,$G78)=0,"Unsupported channel",IF(COUNTIF(Config!$P$15:$P$34,$L78)=0,"Unsupported status","OK"))))))))))))))</f>
        <v/>
      </c>
    </row>
    <row r="79">
      <c r="A79" s="46" t="n"/>
      <c r="B79" s="46" t="n"/>
      <c r="C79" s="46" t="n"/>
      <c r="D79" s="46" t="n"/>
      <c r="E79" s="46" t="n"/>
      <c r="F79" s="46" t="n"/>
      <c r="G79" s="46" t="n"/>
      <c r="H79" s="46" t="n"/>
      <c r="I79" s="54" t="n"/>
      <c r="J79" s="54" t="n"/>
      <c r="K79" s="54" t="n"/>
      <c r="L79" s="46" t="n"/>
      <c r="M79" s="46" t="n"/>
      <c r="N79" s="57" t="n"/>
      <c r="O79" s="57" t="n"/>
      <c r="P79" s="57" t="n"/>
      <c r="Q79" s="57" t="n"/>
      <c r="R79" s="46" t="n"/>
      <c r="S79" s="58" t="str">
        <f>IF(AND(ISNUMBER($N79),ISNUMBER($O79)),$O79-$N79,"")</f>
        <v/>
      </c>
      <c r="T79" s="59" t="str">
        <f>IF(AND(ISNUMBER($O79),ISNUMBER($P79)),IF($O79&gt;0,$P79/$O79,""),"")</f>
        <v/>
      </c>
      <c r="U79" s="49" t="str">
        <f>IF(COUNTA($A79:$R79)=0,"",IF($A79="","Missing: campaign ID",IF(COUNTIF($A$2:$A$101,$A79)&gt;1,"Duplicate campaign ID",IF($B79="","Missing: campaign name",IF($C79="","Missing: objective",IF($D79="","Missing: product 1",IF($G79="","Missing: channel",IF($H79="","Missing: owner",IF(NOT(ISNUMBER($I79)),"Missing: launch date",IF($L79="","Missing: approval status",IF(NOT(ISNUMBER($N79)),"Missing: planned spend",IF(OR(COUNTIF(Products!$A$2:$A$101,$D79)=0,AND($E79&lt;&gt;"",COUNTIF(Products!$A$2:$A$101,$E79)=0),AND($F79&lt;&gt;"",COUNTIF(Products!$A$2:$A$101,$F79)=0)),"Unknown SKU",IF(COUNTIF(Config!$Q$15:$Q$34,$G79)=0,"Unsupported channel",IF(COUNTIF(Config!$P$15:$P$34,$L79)=0,"Unsupported status","OK"))))))))))))))</f>
        <v/>
      </c>
    </row>
    <row r="80">
      <c r="A80" s="46" t="n"/>
      <c r="B80" s="46" t="n"/>
      <c r="C80" s="46" t="n"/>
      <c r="D80" s="46" t="n"/>
      <c r="E80" s="46" t="n"/>
      <c r="F80" s="46" t="n"/>
      <c r="G80" s="46" t="n"/>
      <c r="H80" s="46" t="n"/>
      <c r="I80" s="54" t="n"/>
      <c r="J80" s="54" t="n"/>
      <c r="K80" s="54" t="n"/>
      <c r="L80" s="46" t="n"/>
      <c r="M80" s="46" t="n"/>
      <c r="N80" s="57" t="n"/>
      <c r="O80" s="57" t="n"/>
      <c r="P80" s="57" t="n"/>
      <c r="Q80" s="57" t="n"/>
      <c r="R80" s="46" t="n"/>
      <c r="S80" s="58" t="str">
        <f>IF(AND(ISNUMBER($N80),ISNUMBER($O80)),$O80-$N80,"")</f>
        <v/>
      </c>
      <c r="T80" s="59" t="str">
        <f>IF(AND(ISNUMBER($O80),ISNUMBER($P80)),IF($O80&gt;0,$P80/$O80,""),"")</f>
        <v/>
      </c>
      <c r="U80" s="49" t="str">
        <f>IF(COUNTA($A80:$R80)=0,"",IF($A80="","Missing: campaign ID",IF(COUNTIF($A$2:$A$101,$A80)&gt;1,"Duplicate campaign ID",IF($B80="","Missing: campaign name",IF($C80="","Missing: objective",IF($D80="","Missing: product 1",IF($G80="","Missing: channel",IF($H80="","Missing: owner",IF(NOT(ISNUMBER($I80)),"Missing: launch date",IF($L80="","Missing: approval status",IF(NOT(ISNUMBER($N80)),"Missing: planned spend",IF(OR(COUNTIF(Products!$A$2:$A$101,$D80)=0,AND($E80&lt;&gt;"",COUNTIF(Products!$A$2:$A$101,$E80)=0),AND($F80&lt;&gt;"",COUNTIF(Products!$A$2:$A$101,$F80)=0)),"Unknown SKU",IF(COUNTIF(Config!$Q$15:$Q$34,$G80)=0,"Unsupported channel",IF(COUNTIF(Config!$P$15:$P$34,$L80)=0,"Unsupported status","OK"))))))))))))))</f>
        <v/>
      </c>
    </row>
    <row r="81">
      <c r="A81" s="46" t="n"/>
      <c r="B81" s="46" t="n"/>
      <c r="C81" s="46" t="n"/>
      <c r="D81" s="46" t="n"/>
      <c r="E81" s="46" t="n"/>
      <c r="F81" s="46" t="n"/>
      <c r="G81" s="46" t="n"/>
      <c r="H81" s="46" t="n"/>
      <c r="I81" s="54" t="n"/>
      <c r="J81" s="54" t="n"/>
      <c r="K81" s="54" t="n"/>
      <c r="L81" s="46" t="n"/>
      <c r="M81" s="46" t="n"/>
      <c r="N81" s="57" t="n"/>
      <c r="O81" s="57" t="n"/>
      <c r="P81" s="57" t="n"/>
      <c r="Q81" s="57" t="n"/>
      <c r="R81" s="46" t="n"/>
      <c r="S81" s="58" t="str">
        <f>IF(AND(ISNUMBER($N81),ISNUMBER($O81)),$O81-$N81,"")</f>
        <v/>
      </c>
      <c r="T81" s="59" t="str">
        <f>IF(AND(ISNUMBER($O81),ISNUMBER($P81)),IF($O81&gt;0,$P81/$O81,""),"")</f>
        <v/>
      </c>
      <c r="U81" s="49" t="str">
        <f>IF(COUNTA($A81:$R81)=0,"",IF($A81="","Missing: campaign ID",IF(COUNTIF($A$2:$A$101,$A81)&gt;1,"Duplicate campaign ID",IF($B81="","Missing: campaign name",IF($C81="","Missing: objective",IF($D81="","Missing: product 1",IF($G81="","Missing: channel",IF($H81="","Missing: owner",IF(NOT(ISNUMBER($I81)),"Missing: launch date",IF($L81="","Missing: approval status",IF(NOT(ISNUMBER($N81)),"Missing: planned spend",IF(OR(COUNTIF(Products!$A$2:$A$101,$D81)=0,AND($E81&lt;&gt;"",COUNTIF(Products!$A$2:$A$101,$E81)=0),AND($F81&lt;&gt;"",COUNTIF(Products!$A$2:$A$101,$F81)=0)),"Unknown SKU",IF(COUNTIF(Config!$Q$15:$Q$34,$G81)=0,"Unsupported channel",IF(COUNTIF(Config!$P$15:$P$34,$L81)=0,"Unsupported status","OK"))))))))))))))</f>
        <v/>
      </c>
    </row>
    <row r="82">
      <c r="A82" s="46" t="n"/>
      <c r="B82" s="46" t="n"/>
      <c r="C82" s="46" t="n"/>
      <c r="D82" s="46" t="n"/>
      <c r="E82" s="46" t="n"/>
      <c r="F82" s="46" t="n"/>
      <c r="G82" s="46" t="n"/>
      <c r="H82" s="46" t="n"/>
      <c r="I82" s="54" t="n"/>
      <c r="J82" s="54" t="n"/>
      <c r="K82" s="54" t="n"/>
      <c r="L82" s="46" t="n"/>
      <c r="M82" s="46" t="n"/>
      <c r="N82" s="57" t="n"/>
      <c r="O82" s="57" t="n"/>
      <c r="P82" s="57" t="n"/>
      <c r="Q82" s="57" t="n"/>
      <c r="R82" s="46" t="n"/>
      <c r="S82" s="58" t="str">
        <f>IF(AND(ISNUMBER($N82),ISNUMBER($O82)),$O82-$N82,"")</f>
        <v/>
      </c>
      <c r="T82" s="59" t="str">
        <f>IF(AND(ISNUMBER($O82),ISNUMBER($P82)),IF($O82&gt;0,$P82/$O82,""),"")</f>
        <v/>
      </c>
      <c r="U82" s="49" t="str">
        <f>IF(COUNTA($A82:$R82)=0,"",IF($A82="","Missing: campaign ID",IF(COUNTIF($A$2:$A$101,$A82)&gt;1,"Duplicate campaign ID",IF($B82="","Missing: campaign name",IF($C82="","Missing: objective",IF($D82="","Missing: product 1",IF($G82="","Missing: channel",IF($H82="","Missing: owner",IF(NOT(ISNUMBER($I82)),"Missing: launch date",IF($L82="","Missing: approval status",IF(NOT(ISNUMBER($N82)),"Missing: planned spend",IF(OR(COUNTIF(Products!$A$2:$A$101,$D82)=0,AND($E82&lt;&gt;"",COUNTIF(Products!$A$2:$A$101,$E82)=0),AND($F82&lt;&gt;"",COUNTIF(Products!$A$2:$A$101,$F82)=0)),"Unknown SKU",IF(COUNTIF(Config!$Q$15:$Q$34,$G82)=0,"Unsupported channel",IF(COUNTIF(Config!$P$15:$P$34,$L82)=0,"Unsupported status","OK"))))))))))))))</f>
        <v/>
      </c>
    </row>
    <row r="83">
      <c r="A83" s="46" t="n"/>
      <c r="B83" s="46" t="n"/>
      <c r="C83" s="46" t="n"/>
      <c r="D83" s="46" t="n"/>
      <c r="E83" s="46" t="n"/>
      <c r="F83" s="46" t="n"/>
      <c r="G83" s="46" t="n"/>
      <c r="H83" s="46" t="n"/>
      <c r="I83" s="54" t="n"/>
      <c r="J83" s="54" t="n"/>
      <c r="K83" s="54" t="n"/>
      <c r="L83" s="46" t="n"/>
      <c r="M83" s="46" t="n"/>
      <c r="N83" s="57" t="n"/>
      <c r="O83" s="57" t="n"/>
      <c r="P83" s="57" t="n"/>
      <c r="Q83" s="57" t="n"/>
      <c r="R83" s="46" t="n"/>
      <c r="S83" s="58" t="str">
        <f>IF(AND(ISNUMBER($N83),ISNUMBER($O83)),$O83-$N83,"")</f>
        <v/>
      </c>
      <c r="T83" s="59" t="str">
        <f>IF(AND(ISNUMBER($O83),ISNUMBER($P83)),IF($O83&gt;0,$P83/$O83,""),"")</f>
        <v/>
      </c>
      <c r="U83" s="49" t="str">
        <f>IF(COUNTA($A83:$R83)=0,"",IF($A83="","Missing: campaign ID",IF(COUNTIF($A$2:$A$101,$A83)&gt;1,"Duplicate campaign ID",IF($B83="","Missing: campaign name",IF($C83="","Missing: objective",IF($D83="","Missing: product 1",IF($G83="","Missing: channel",IF($H83="","Missing: owner",IF(NOT(ISNUMBER($I83)),"Missing: launch date",IF($L83="","Missing: approval status",IF(NOT(ISNUMBER($N83)),"Missing: planned spend",IF(OR(COUNTIF(Products!$A$2:$A$101,$D83)=0,AND($E83&lt;&gt;"",COUNTIF(Products!$A$2:$A$101,$E83)=0),AND($F83&lt;&gt;"",COUNTIF(Products!$A$2:$A$101,$F83)=0)),"Unknown SKU",IF(COUNTIF(Config!$Q$15:$Q$34,$G83)=0,"Unsupported channel",IF(COUNTIF(Config!$P$15:$P$34,$L83)=0,"Unsupported status","OK"))))))))))))))</f>
        <v/>
      </c>
    </row>
    <row r="84">
      <c r="A84" s="46" t="n"/>
      <c r="B84" s="46" t="n"/>
      <c r="C84" s="46" t="n"/>
      <c r="D84" s="46" t="n"/>
      <c r="E84" s="46" t="n"/>
      <c r="F84" s="46" t="n"/>
      <c r="G84" s="46" t="n"/>
      <c r="H84" s="46" t="n"/>
      <c r="I84" s="54" t="n"/>
      <c r="J84" s="54" t="n"/>
      <c r="K84" s="54" t="n"/>
      <c r="L84" s="46" t="n"/>
      <c r="M84" s="46" t="n"/>
      <c r="N84" s="57" t="n"/>
      <c r="O84" s="57" t="n"/>
      <c r="P84" s="57" t="n"/>
      <c r="Q84" s="57" t="n"/>
      <c r="R84" s="46" t="n"/>
      <c r="S84" s="58" t="str">
        <f>IF(AND(ISNUMBER($N84),ISNUMBER($O84)),$O84-$N84,"")</f>
        <v/>
      </c>
      <c r="T84" s="59" t="str">
        <f>IF(AND(ISNUMBER($O84),ISNUMBER($P84)),IF($O84&gt;0,$P84/$O84,""),"")</f>
        <v/>
      </c>
      <c r="U84" s="49" t="str">
        <f>IF(COUNTA($A84:$R84)=0,"",IF($A84="","Missing: campaign ID",IF(COUNTIF($A$2:$A$101,$A84)&gt;1,"Duplicate campaign ID",IF($B84="","Missing: campaign name",IF($C84="","Missing: objective",IF($D84="","Missing: product 1",IF($G84="","Missing: channel",IF($H84="","Missing: owner",IF(NOT(ISNUMBER($I84)),"Missing: launch date",IF($L84="","Missing: approval status",IF(NOT(ISNUMBER($N84)),"Missing: planned spend",IF(OR(COUNTIF(Products!$A$2:$A$101,$D84)=0,AND($E84&lt;&gt;"",COUNTIF(Products!$A$2:$A$101,$E84)=0),AND($F84&lt;&gt;"",COUNTIF(Products!$A$2:$A$101,$F84)=0)),"Unknown SKU",IF(COUNTIF(Config!$Q$15:$Q$34,$G84)=0,"Unsupported channel",IF(COUNTIF(Config!$P$15:$P$34,$L84)=0,"Unsupported status","OK"))))))))))))))</f>
        <v/>
      </c>
    </row>
    <row r="85">
      <c r="A85" s="46" t="n"/>
      <c r="B85" s="46" t="n"/>
      <c r="C85" s="46" t="n"/>
      <c r="D85" s="46" t="n"/>
      <c r="E85" s="46" t="n"/>
      <c r="F85" s="46" t="n"/>
      <c r="G85" s="46" t="n"/>
      <c r="H85" s="46" t="n"/>
      <c r="I85" s="54" t="n"/>
      <c r="J85" s="54" t="n"/>
      <c r="K85" s="54" t="n"/>
      <c r="L85" s="46" t="n"/>
      <c r="M85" s="46" t="n"/>
      <c r="N85" s="57" t="n"/>
      <c r="O85" s="57" t="n"/>
      <c r="P85" s="57" t="n"/>
      <c r="Q85" s="57" t="n"/>
      <c r="R85" s="46" t="n"/>
      <c r="S85" s="58" t="str">
        <f>IF(AND(ISNUMBER($N85),ISNUMBER($O85)),$O85-$N85,"")</f>
        <v/>
      </c>
      <c r="T85" s="59" t="str">
        <f>IF(AND(ISNUMBER($O85),ISNUMBER($P85)),IF($O85&gt;0,$P85/$O85,""),"")</f>
        <v/>
      </c>
      <c r="U85" s="49" t="str">
        <f>IF(COUNTA($A85:$R85)=0,"",IF($A85="","Missing: campaign ID",IF(COUNTIF($A$2:$A$101,$A85)&gt;1,"Duplicate campaign ID",IF($B85="","Missing: campaign name",IF($C85="","Missing: objective",IF($D85="","Missing: product 1",IF($G85="","Missing: channel",IF($H85="","Missing: owner",IF(NOT(ISNUMBER($I85)),"Missing: launch date",IF($L85="","Missing: approval status",IF(NOT(ISNUMBER($N85)),"Missing: planned spend",IF(OR(COUNTIF(Products!$A$2:$A$101,$D85)=0,AND($E85&lt;&gt;"",COUNTIF(Products!$A$2:$A$101,$E85)=0),AND($F85&lt;&gt;"",COUNTIF(Products!$A$2:$A$101,$F85)=0)),"Unknown SKU",IF(COUNTIF(Config!$Q$15:$Q$34,$G85)=0,"Unsupported channel",IF(COUNTIF(Config!$P$15:$P$34,$L85)=0,"Unsupported status","OK"))))))))))))))</f>
        <v/>
      </c>
    </row>
    <row r="86">
      <c r="A86" s="46" t="n"/>
      <c r="B86" s="46" t="n"/>
      <c r="C86" s="46" t="n"/>
      <c r="D86" s="46" t="n"/>
      <c r="E86" s="46" t="n"/>
      <c r="F86" s="46" t="n"/>
      <c r="G86" s="46" t="n"/>
      <c r="H86" s="46" t="n"/>
      <c r="I86" s="54" t="n"/>
      <c r="J86" s="54" t="n"/>
      <c r="K86" s="54" t="n"/>
      <c r="L86" s="46" t="n"/>
      <c r="M86" s="46" t="n"/>
      <c r="N86" s="57" t="n"/>
      <c r="O86" s="57" t="n"/>
      <c r="P86" s="57" t="n"/>
      <c r="Q86" s="57" t="n"/>
      <c r="R86" s="46" t="n"/>
      <c r="S86" s="58" t="str">
        <f>IF(AND(ISNUMBER($N86),ISNUMBER($O86)),$O86-$N86,"")</f>
        <v/>
      </c>
      <c r="T86" s="59" t="str">
        <f>IF(AND(ISNUMBER($O86),ISNUMBER($P86)),IF($O86&gt;0,$P86/$O86,""),"")</f>
        <v/>
      </c>
      <c r="U86" s="49" t="str">
        <f>IF(COUNTA($A86:$R86)=0,"",IF($A86="","Missing: campaign ID",IF(COUNTIF($A$2:$A$101,$A86)&gt;1,"Duplicate campaign ID",IF($B86="","Missing: campaign name",IF($C86="","Missing: objective",IF($D86="","Missing: product 1",IF($G86="","Missing: channel",IF($H86="","Missing: owner",IF(NOT(ISNUMBER($I86)),"Missing: launch date",IF($L86="","Missing: approval status",IF(NOT(ISNUMBER($N86)),"Missing: planned spend",IF(OR(COUNTIF(Products!$A$2:$A$101,$D86)=0,AND($E86&lt;&gt;"",COUNTIF(Products!$A$2:$A$101,$E86)=0),AND($F86&lt;&gt;"",COUNTIF(Products!$A$2:$A$101,$F86)=0)),"Unknown SKU",IF(COUNTIF(Config!$Q$15:$Q$34,$G86)=0,"Unsupported channel",IF(COUNTIF(Config!$P$15:$P$34,$L86)=0,"Unsupported status","OK"))))))))))))))</f>
        <v/>
      </c>
    </row>
    <row r="87">
      <c r="A87" s="46" t="n"/>
      <c r="B87" s="46" t="n"/>
      <c r="C87" s="46" t="n"/>
      <c r="D87" s="46" t="n"/>
      <c r="E87" s="46" t="n"/>
      <c r="F87" s="46" t="n"/>
      <c r="G87" s="46" t="n"/>
      <c r="H87" s="46" t="n"/>
      <c r="I87" s="54" t="n"/>
      <c r="J87" s="54" t="n"/>
      <c r="K87" s="54" t="n"/>
      <c r="L87" s="46" t="n"/>
      <c r="M87" s="46" t="n"/>
      <c r="N87" s="57" t="n"/>
      <c r="O87" s="57" t="n"/>
      <c r="P87" s="57" t="n"/>
      <c r="Q87" s="57" t="n"/>
      <c r="R87" s="46" t="n"/>
      <c r="S87" s="58" t="str">
        <f>IF(AND(ISNUMBER($N87),ISNUMBER($O87)),$O87-$N87,"")</f>
        <v/>
      </c>
      <c r="T87" s="59" t="str">
        <f>IF(AND(ISNUMBER($O87),ISNUMBER($P87)),IF($O87&gt;0,$P87/$O87,""),"")</f>
        <v/>
      </c>
      <c r="U87" s="49" t="str">
        <f>IF(COUNTA($A87:$R87)=0,"",IF($A87="","Missing: campaign ID",IF(COUNTIF($A$2:$A$101,$A87)&gt;1,"Duplicate campaign ID",IF($B87="","Missing: campaign name",IF($C87="","Missing: objective",IF($D87="","Missing: product 1",IF($G87="","Missing: channel",IF($H87="","Missing: owner",IF(NOT(ISNUMBER($I87)),"Missing: launch date",IF($L87="","Missing: approval status",IF(NOT(ISNUMBER($N87)),"Missing: planned spend",IF(OR(COUNTIF(Products!$A$2:$A$101,$D87)=0,AND($E87&lt;&gt;"",COUNTIF(Products!$A$2:$A$101,$E87)=0),AND($F87&lt;&gt;"",COUNTIF(Products!$A$2:$A$101,$F87)=0)),"Unknown SKU",IF(COUNTIF(Config!$Q$15:$Q$34,$G87)=0,"Unsupported channel",IF(COUNTIF(Config!$P$15:$P$34,$L87)=0,"Unsupported status","OK"))))))))))))))</f>
        <v/>
      </c>
    </row>
    <row r="88">
      <c r="A88" s="46" t="n"/>
      <c r="B88" s="46" t="n"/>
      <c r="C88" s="46" t="n"/>
      <c r="D88" s="46" t="n"/>
      <c r="E88" s="46" t="n"/>
      <c r="F88" s="46" t="n"/>
      <c r="G88" s="46" t="n"/>
      <c r="H88" s="46" t="n"/>
      <c r="I88" s="54" t="n"/>
      <c r="J88" s="54" t="n"/>
      <c r="K88" s="54" t="n"/>
      <c r="L88" s="46" t="n"/>
      <c r="M88" s="46" t="n"/>
      <c r="N88" s="57" t="n"/>
      <c r="O88" s="57" t="n"/>
      <c r="P88" s="57" t="n"/>
      <c r="Q88" s="57" t="n"/>
      <c r="R88" s="46" t="n"/>
      <c r="S88" s="58" t="str">
        <f>IF(AND(ISNUMBER($N88),ISNUMBER($O88)),$O88-$N88,"")</f>
        <v/>
      </c>
      <c r="T88" s="59" t="str">
        <f>IF(AND(ISNUMBER($O88),ISNUMBER($P88)),IF($O88&gt;0,$P88/$O88,""),"")</f>
        <v/>
      </c>
      <c r="U88" s="49" t="str">
        <f>IF(COUNTA($A88:$R88)=0,"",IF($A88="","Missing: campaign ID",IF(COUNTIF($A$2:$A$101,$A88)&gt;1,"Duplicate campaign ID",IF($B88="","Missing: campaign name",IF($C88="","Missing: objective",IF($D88="","Missing: product 1",IF($G88="","Missing: channel",IF($H88="","Missing: owner",IF(NOT(ISNUMBER($I88)),"Missing: launch date",IF($L88="","Missing: approval status",IF(NOT(ISNUMBER($N88)),"Missing: planned spend",IF(OR(COUNTIF(Products!$A$2:$A$101,$D88)=0,AND($E88&lt;&gt;"",COUNTIF(Products!$A$2:$A$101,$E88)=0),AND($F88&lt;&gt;"",COUNTIF(Products!$A$2:$A$101,$F88)=0)),"Unknown SKU",IF(COUNTIF(Config!$Q$15:$Q$34,$G88)=0,"Unsupported channel",IF(COUNTIF(Config!$P$15:$P$34,$L88)=0,"Unsupported status","OK"))))))))))))))</f>
        <v/>
      </c>
    </row>
    <row r="89">
      <c r="A89" s="46" t="n"/>
      <c r="B89" s="46" t="n"/>
      <c r="C89" s="46" t="n"/>
      <c r="D89" s="46" t="n"/>
      <c r="E89" s="46" t="n"/>
      <c r="F89" s="46" t="n"/>
      <c r="G89" s="46" t="n"/>
      <c r="H89" s="46" t="n"/>
      <c r="I89" s="54" t="n"/>
      <c r="J89" s="54" t="n"/>
      <c r="K89" s="54" t="n"/>
      <c r="L89" s="46" t="n"/>
      <c r="M89" s="46" t="n"/>
      <c r="N89" s="57" t="n"/>
      <c r="O89" s="57" t="n"/>
      <c r="P89" s="57" t="n"/>
      <c r="Q89" s="57" t="n"/>
      <c r="R89" s="46" t="n"/>
      <c r="S89" s="58" t="str">
        <f>IF(AND(ISNUMBER($N89),ISNUMBER($O89)),$O89-$N89,"")</f>
        <v/>
      </c>
      <c r="T89" s="59" t="str">
        <f>IF(AND(ISNUMBER($O89),ISNUMBER($P89)),IF($O89&gt;0,$P89/$O89,""),"")</f>
        <v/>
      </c>
      <c r="U89" s="49" t="str">
        <f>IF(COUNTA($A89:$R89)=0,"",IF($A89="","Missing: campaign ID",IF(COUNTIF($A$2:$A$101,$A89)&gt;1,"Duplicate campaign ID",IF($B89="","Missing: campaign name",IF($C89="","Missing: objective",IF($D89="","Missing: product 1",IF($G89="","Missing: channel",IF($H89="","Missing: owner",IF(NOT(ISNUMBER($I89)),"Missing: launch date",IF($L89="","Missing: approval status",IF(NOT(ISNUMBER($N89)),"Missing: planned spend",IF(OR(COUNTIF(Products!$A$2:$A$101,$D89)=0,AND($E89&lt;&gt;"",COUNTIF(Products!$A$2:$A$101,$E89)=0),AND($F89&lt;&gt;"",COUNTIF(Products!$A$2:$A$101,$F89)=0)),"Unknown SKU",IF(COUNTIF(Config!$Q$15:$Q$34,$G89)=0,"Unsupported channel",IF(COUNTIF(Config!$P$15:$P$34,$L89)=0,"Unsupported status","OK"))))))))))))))</f>
        <v/>
      </c>
    </row>
    <row r="90">
      <c r="A90" s="46" t="n"/>
      <c r="B90" s="46" t="n"/>
      <c r="C90" s="46" t="n"/>
      <c r="D90" s="46" t="n"/>
      <c r="E90" s="46" t="n"/>
      <c r="F90" s="46" t="n"/>
      <c r="G90" s="46" t="n"/>
      <c r="H90" s="46" t="n"/>
      <c r="I90" s="54" t="n"/>
      <c r="J90" s="54" t="n"/>
      <c r="K90" s="54" t="n"/>
      <c r="L90" s="46" t="n"/>
      <c r="M90" s="46" t="n"/>
      <c r="N90" s="57" t="n"/>
      <c r="O90" s="57" t="n"/>
      <c r="P90" s="57" t="n"/>
      <c r="Q90" s="57" t="n"/>
      <c r="R90" s="46" t="n"/>
      <c r="S90" s="58" t="str">
        <f>IF(AND(ISNUMBER($N90),ISNUMBER($O90)),$O90-$N90,"")</f>
        <v/>
      </c>
      <c r="T90" s="59" t="str">
        <f>IF(AND(ISNUMBER($O90),ISNUMBER($P90)),IF($O90&gt;0,$P90/$O90,""),"")</f>
        <v/>
      </c>
      <c r="U90" s="49" t="str">
        <f>IF(COUNTA($A90:$R90)=0,"",IF($A90="","Missing: campaign ID",IF(COUNTIF($A$2:$A$101,$A90)&gt;1,"Duplicate campaign ID",IF($B90="","Missing: campaign name",IF($C90="","Missing: objective",IF($D90="","Missing: product 1",IF($G90="","Missing: channel",IF($H90="","Missing: owner",IF(NOT(ISNUMBER($I90)),"Missing: launch date",IF($L90="","Missing: approval status",IF(NOT(ISNUMBER($N90)),"Missing: planned spend",IF(OR(COUNTIF(Products!$A$2:$A$101,$D90)=0,AND($E90&lt;&gt;"",COUNTIF(Products!$A$2:$A$101,$E90)=0),AND($F90&lt;&gt;"",COUNTIF(Products!$A$2:$A$101,$F90)=0)),"Unknown SKU",IF(COUNTIF(Config!$Q$15:$Q$34,$G90)=0,"Unsupported channel",IF(COUNTIF(Config!$P$15:$P$34,$L90)=0,"Unsupported status","OK"))))))))))))))</f>
        <v/>
      </c>
    </row>
    <row r="91">
      <c r="A91" s="46" t="n"/>
      <c r="B91" s="46" t="n"/>
      <c r="C91" s="46" t="n"/>
      <c r="D91" s="46" t="n"/>
      <c r="E91" s="46" t="n"/>
      <c r="F91" s="46" t="n"/>
      <c r="G91" s="46" t="n"/>
      <c r="H91" s="46" t="n"/>
      <c r="I91" s="54" t="n"/>
      <c r="J91" s="54" t="n"/>
      <c r="K91" s="54" t="n"/>
      <c r="L91" s="46" t="n"/>
      <c r="M91" s="46" t="n"/>
      <c r="N91" s="57" t="n"/>
      <c r="O91" s="57" t="n"/>
      <c r="P91" s="57" t="n"/>
      <c r="Q91" s="57" t="n"/>
      <c r="R91" s="46" t="n"/>
      <c r="S91" s="58" t="str">
        <f>IF(AND(ISNUMBER($N91),ISNUMBER($O91)),$O91-$N91,"")</f>
        <v/>
      </c>
      <c r="T91" s="59" t="str">
        <f>IF(AND(ISNUMBER($O91),ISNUMBER($P91)),IF($O91&gt;0,$P91/$O91,""),"")</f>
        <v/>
      </c>
      <c r="U91" s="49" t="str">
        <f>IF(COUNTA($A91:$R91)=0,"",IF($A91="","Missing: campaign ID",IF(COUNTIF($A$2:$A$101,$A91)&gt;1,"Duplicate campaign ID",IF($B91="","Missing: campaign name",IF($C91="","Missing: objective",IF($D91="","Missing: product 1",IF($G91="","Missing: channel",IF($H91="","Missing: owner",IF(NOT(ISNUMBER($I91)),"Missing: launch date",IF($L91="","Missing: approval status",IF(NOT(ISNUMBER($N91)),"Missing: planned spend",IF(OR(COUNTIF(Products!$A$2:$A$101,$D91)=0,AND($E91&lt;&gt;"",COUNTIF(Products!$A$2:$A$101,$E91)=0),AND($F91&lt;&gt;"",COUNTIF(Products!$A$2:$A$101,$F91)=0)),"Unknown SKU",IF(COUNTIF(Config!$Q$15:$Q$34,$G91)=0,"Unsupported channel",IF(COUNTIF(Config!$P$15:$P$34,$L91)=0,"Unsupported status","OK"))))))))))))))</f>
        <v/>
      </c>
    </row>
    <row r="92">
      <c r="A92" s="46" t="n"/>
      <c r="B92" s="46" t="n"/>
      <c r="C92" s="46" t="n"/>
      <c r="D92" s="46" t="n"/>
      <c r="E92" s="46" t="n"/>
      <c r="F92" s="46" t="n"/>
      <c r="G92" s="46" t="n"/>
      <c r="H92" s="46" t="n"/>
      <c r="I92" s="54" t="n"/>
      <c r="J92" s="54" t="n"/>
      <c r="K92" s="54" t="n"/>
      <c r="L92" s="46" t="n"/>
      <c r="M92" s="46" t="n"/>
      <c r="N92" s="57" t="n"/>
      <c r="O92" s="57" t="n"/>
      <c r="P92" s="57" t="n"/>
      <c r="Q92" s="57" t="n"/>
      <c r="R92" s="46" t="n"/>
      <c r="S92" s="58" t="str">
        <f>IF(AND(ISNUMBER($N92),ISNUMBER($O92)),$O92-$N92,"")</f>
        <v/>
      </c>
      <c r="T92" s="59" t="str">
        <f>IF(AND(ISNUMBER($O92),ISNUMBER($P92)),IF($O92&gt;0,$P92/$O92,""),"")</f>
        <v/>
      </c>
      <c r="U92" s="49" t="str">
        <f>IF(COUNTA($A92:$R92)=0,"",IF($A92="","Missing: campaign ID",IF(COUNTIF($A$2:$A$101,$A92)&gt;1,"Duplicate campaign ID",IF($B92="","Missing: campaign name",IF($C92="","Missing: objective",IF($D92="","Missing: product 1",IF($G92="","Missing: channel",IF($H92="","Missing: owner",IF(NOT(ISNUMBER($I92)),"Missing: launch date",IF($L92="","Missing: approval status",IF(NOT(ISNUMBER($N92)),"Missing: planned spend",IF(OR(COUNTIF(Products!$A$2:$A$101,$D92)=0,AND($E92&lt;&gt;"",COUNTIF(Products!$A$2:$A$101,$E92)=0),AND($F92&lt;&gt;"",COUNTIF(Products!$A$2:$A$101,$F92)=0)),"Unknown SKU",IF(COUNTIF(Config!$Q$15:$Q$34,$G92)=0,"Unsupported channel",IF(COUNTIF(Config!$P$15:$P$34,$L92)=0,"Unsupported status","OK"))))))))))))))</f>
        <v/>
      </c>
    </row>
    <row r="93">
      <c r="A93" s="46" t="n"/>
      <c r="B93" s="46" t="n"/>
      <c r="C93" s="46" t="n"/>
      <c r="D93" s="46" t="n"/>
      <c r="E93" s="46" t="n"/>
      <c r="F93" s="46" t="n"/>
      <c r="G93" s="46" t="n"/>
      <c r="H93" s="46" t="n"/>
      <c r="I93" s="54" t="n"/>
      <c r="J93" s="54" t="n"/>
      <c r="K93" s="54" t="n"/>
      <c r="L93" s="46" t="n"/>
      <c r="M93" s="46" t="n"/>
      <c r="N93" s="57" t="n"/>
      <c r="O93" s="57" t="n"/>
      <c r="P93" s="57" t="n"/>
      <c r="Q93" s="57" t="n"/>
      <c r="R93" s="46" t="n"/>
      <c r="S93" s="58" t="str">
        <f>IF(AND(ISNUMBER($N93),ISNUMBER($O93)),$O93-$N93,"")</f>
        <v/>
      </c>
      <c r="T93" s="59" t="str">
        <f>IF(AND(ISNUMBER($O93),ISNUMBER($P93)),IF($O93&gt;0,$P93/$O93,""),"")</f>
        <v/>
      </c>
      <c r="U93" s="49" t="str">
        <f>IF(COUNTA($A93:$R93)=0,"",IF($A93="","Missing: campaign ID",IF(COUNTIF($A$2:$A$101,$A93)&gt;1,"Duplicate campaign ID",IF($B93="","Missing: campaign name",IF($C93="","Missing: objective",IF($D93="","Missing: product 1",IF($G93="","Missing: channel",IF($H93="","Missing: owner",IF(NOT(ISNUMBER($I93)),"Missing: launch date",IF($L93="","Missing: approval status",IF(NOT(ISNUMBER($N93)),"Missing: planned spend",IF(OR(COUNTIF(Products!$A$2:$A$101,$D93)=0,AND($E93&lt;&gt;"",COUNTIF(Products!$A$2:$A$101,$E93)=0),AND($F93&lt;&gt;"",COUNTIF(Products!$A$2:$A$101,$F93)=0)),"Unknown SKU",IF(COUNTIF(Config!$Q$15:$Q$34,$G93)=0,"Unsupported channel",IF(COUNTIF(Config!$P$15:$P$34,$L93)=0,"Unsupported status","OK"))))))))))))))</f>
        <v/>
      </c>
    </row>
    <row r="94">
      <c r="A94" s="46" t="n"/>
      <c r="B94" s="46" t="n"/>
      <c r="C94" s="46" t="n"/>
      <c r="D94" s="46" t="n"/>
      <c r="E94" s="46" t="n"/>
      <c r="F94" s="46" t="n"/>
      <c r="G94" s="46" t="n"/>
      <c r="H94" s="46" t="n"/>
      <c r="I94" s="54" t="n"/>
      <c r="J94" s="54" t="n"/>
      <c r="K94" s="54" t="n"/>
      <c r="L94" s="46" t="n"/>
      <c r="M94" s="46" t="n"/>
      <c r="N94" s="57" t="n"/>
      <c r="O94" s="57" t="n"/>
      <c r="P94" s="57" t="n"/>
      <c r="Q94" s="57" t="n"/>
      <c r="R94" s="46" t="n"/>
      <c r="S94" s="58" t="str">
        <f>IF(AND(ISNUMBER($N94),ISNUMBER($O94)),$O94-$N94,"")</f>
        <v/>
      </c>
      <c r="T94" s="59" t="str">
        <f>IF(AND(ISNUMBER($O94),ISNUMBER($P94)),IF($O94&gt;0,$P94/$O94,""),"")</f>
        <v/>
      </c>
      <c r="U94" s="49" t="str">
        <f>IF(COUNTA($A94:$R94)=0,"",IF($A94="","Missing: campaign ID",IF(COUNTIF($A$2:$A$101,$A94)&gt;1,"Duplicate campaign ID",IF($B94="","Missing: campaign name",IF($C94="","Missing: objective",IF($D94="","Missing: product 1",IF($G94="","Missing: channel",IF($H94="","Missing: owner",IF(NOT(ISNUMBER($I94)),"Missing: launch date",IF($L94="","Missing: approval status",IF(NOT(ISNUMBER($N94)),"Missing: planned spend",IF(OR(COUNTIF(Products!$A$2:$A$101,$D94)=0,AND($E94&lt;&gt;"",COUNTIF(Products!$A$2:$A$101,$E94)=0),AND($F94&lt;&gt;"",COUNTIF(Products!$A$2:$A$101,$F94)=0)),"Unknown SKU",IF(COUNTIF(Config!$Q$15:$Q$34,$G94)=0,"Unsupported channel",IF(COUNTIF(Config!$P$15:$P$34,$L94)=0,"Unsupported status","OK"))))))))))))))</f>
        <v/>
      </c>
    </row>
    <row r="95">
      <c r="A95" s="46" t="n"/>
      <c r="B95" s="46" t="n"/>
      <c r="C95" s="46" t="n"/>
      <c r="D95" s="46" t="n"/>
      <c r="E95" s="46" t="n"/>
      <c r="F95" s="46" t="n"/>
      <c r="G95" s="46" t="n"/>
      <c r="H95" s="46" t="n"/>
      <c r="I95" s="54" t="n"/>
      <c r="J95" s="54" t="n"/>
      <c r="K95" s="54" t="n"/>
      <c r="L95" s="46" t="n"/>
      <c r="M95" s="46" t="n"/>
      <c r="N95" s="57" t="n"/>
      <c r="O95" s="57" t="n"/>
      <c r="P95" s="57" t="n"/>
      <c r="Q95" s="57" t="n"/>
      <c r="R95" s="46" t="n"/>
      <c r="S95" s="58" t="str">
        <f>IF(AND(ISNUMBER($N95),ISNUMBER($O95)),$O95-$N95,"")</f>
        <v/>
      </c>
      <c r="T95" s="59" t="str">
        <f>IF(AND(ISNUMBER($O95),ISNUMBER($P95)),IF($O95&gt;0,$P95/$O95,""),"")</f>
        <v/>
      </c>
      <c r="U95" s="49" t="str">
        <f>IF(COUNTA($A95:$R95)=0,"",IF($A95="","Missing: campaign ID",IF(COUNTIF($A$2:$A$101,$A95)&gt;1,"Duplicate campaign ID",IF($B95="","Missing: campaign name",IF($C95="","Missing: objective",IF($D95="","Missing: product 1",IF($G95="","Missing: channel",IF($H95="","Missing: owner",IF(NOT(ISNUMBER($I95)),"Missing: launch date",IF($L95="","Missing: approval status",IF(NOT(ISNUMBER($N95)),"Missing: planned spend",IF(OR(COUNTIF(Products!$A$2:$A$101,$D95)=0,AND($E95&lt;&gt;"",COUNTIF(Products!$A$2:$A$101,$E95)=0),AND($F95&lt;&gt;"",COUNTIF(Products!$A$2:$A$101,$F95)=0)),"Unknown SKU",IF(COUNTIF(Config!$Q$15:$Q$34,$G95)=0,"Unsupported channel",IF(COUNTIF(Config!$P$15:$P$34,$L95)=0,"Unsupported status","OK"))))))))))))))</f>
        <v/>
      </c>
    </row>
    <row r="96">
      <c r="A96" s="46" t="n"/>
      <c r="B96" s="46" t="n"/>
      <c r="C96" s="46" t="n"/>
      <c r="D96" s="46" t="n"/>
      <c r="E96" s="46" t="n"/>
      <c r="F96" s="46" t="n"/>
      <c r="G96" s="46" t="n"/>
      <c r="H96" s="46" t="n"/>
      <c r="I96" s="54" t="n"/>
      <c r="J96" s="54" t="n"/>
      <c r="K96" s="54" t="n"/>
      <c r="L96" s="46" t="n"/>
      <c r="M96" s="46" t="n"/>
      <c r="N96" s="57" t="n"/>
      <c r="O96" s="57" t="n"/>
      <c r="P96" s="57" t="n"/>
      <c r="Q96" s="57" t="n"/>
      <c r="R96" s="46" t="n"/>
      <c r="S96" s="58" t="str">
        <f>IF(AND(ISNUMBER($N96),ISNUMBER($O96)),$O96-$N96,"")</f>
        <v/>
      </c>
      <c r="T96" s="59" t="str">
        <f>IF(AND(ISNUMBER($O96),ISNUMBER($P96)),IF($O96&gt;0,$P96/$O96,""),"")</f>
        <v/>
      </c>
      <c r="U96" s="49" t="str">
        <f>IF(COUNTA($A96:$R96)=0,"",IF($A96="","Missing: campaign ID",IF(COUNTIF($A$2:$A$101,$A96)&gt;1,"Duplicate campaign ID",IF($B96="","Missing: campaign name",IF($C96="","Missing: objective",IF($D96="","Missing: product 1",IF($G96="","Missing: channel",IF($H96="","Missing: owner",IF(NOT(ISNUMBER($I96)),"Missing: launch date",IF($L96="","Missing: approval status",IF(NOT(ISNUMBER($N96)),"Missing: planned spend",IF(OR(COUNTIF(Products!$A$2:$A$101,$D96)=0,AND($E96&lt;&gt;"",COUNTIF(Products!$A$2:$A$101,$E96)=0),AND($F96&lt;&gt;"",COUNTIF(Products!$A$2:$A$101,$F96)=0)),"Unknown SKU",IF(COUNTIF(Config!$Q$15:$Q$34,$G96)=0,"Unsupported channel",IF(COUNTIF(Config!$P$15:$P$34,$L96)=0,"Unsupported status","OK"))))))))))))))</f>
        <v/>
      </c>
    </row>
    <row r="97">
      <c r="A97" s="46" t="n"/>
      <c r="B97" s="46" t="n"/>
      <c r="C97" s="46" t="n"/>
      <c r="D97" s="46" t="n"/>
      <c r="E97" s="46" t="n"/>
      <c r="F97" s="46" t="n"/>
      <c r="G97" s="46" t="n"/>
      <c r="H97" s="46" t="n"/>
      <c r="I97" s="54" t="n"/>
      <c r="J97" s="54" t="n"/>
      <c r="K97" s="54" t="n"/>
      <c r="L97" s="46" t="n"/>
      <c r="M97" s="46" t="n"/>
      <c r="N97" s="57" t="n"/>
      <c r="O97" s="57" t="n"/>
      <c r="P97" s="57" t="n"/>
      <c r="Q97" s="57" t="n"/>
      <c r="R97" s="46" t="n"/>
      <c r="S97" s="58" t="str">
        <f>IF(AND(ISNUMBER($N97),ISNUMBER($O97)),$O97-$N97,"")</f>
        <v/>
      </c>
      <c r="T97" s="59" t="str">
        <f>IF(AND(ISNUMBER($O97),ISNUMBER($P97)),IF($O97&gt;0,$P97/$O97,""),"")</f>
        <v/>
      </c>
      <c r="U97" s="49" t="str">
        <f>IF(COUNTA($A97:$R97)=0,"",IF($A97="","Missing: campaign ID",IF(COUNTIF($A$2:$A$101,$A97)&gt;1,"Duplicate campaign ID",IF($B97="","Missing: campaign name",IF($C97="","Missing: objective",IF($D97="","Missing: product 1",IF($G97="","Missing: channel",IF($H97="","Missing: owner",IF(NOT(ISNUMBER($I97)),"Missing: launch date",IF($L97="","Missing: approval status",IF(NOT(ISNUMBER($N97)),"Missing: planned spend",IF(OR(COUNTIF(Products!$A$2:$A$101,$D97)=0,AND($E97&lt;&gt;"",COUNTIF(Products!$A$2:$A$101,$E97)=0),AND($F97&lt;&gt;"",COUNTIF(Products!$A$2:$A$101,$F97)=0)),"Unknown SKU",IF(COUNTIF(Config!$Q$15:$Q$34,$G97)=0,"Unsupported channel",IF(COUNTIF(Config!$P$15:$P$34,$L97)=0,"Unsupported status","OK"))))))))))))))</f>
        <v/>
      </c>
    </row>
    <row r="98">
      <c r="A98" s="46" t="n"/>
      <c r="B98" s="46" t="n"/>
      <c r="C98" s="46" t="n"/>
      <c r="D98" s="46" t="n"/>
      <c r="E98" s="46" t="n"/>
      <c r="F98" s="46" t="n"/>
      <c r="G98" s="46" t="n"/>
      <c r="H98" s="46" t="n"/>
      <c r="I98" s="54" t="n"/>
      <c r="J98" s="54" t="n"/>
      <c r="K98" s="54" t="n"/>
      <c r="L98" s="46" t="n"/>
      <c r="M98" s="46" t="n"/>
      <c r="N98" s="57" t="n"/>
      <c r="O98" s="57" t="n"/>
      <c r="P98" s="57" t="n"/>
      <c r="Q98" s="57" t="n"/>
      <c r="R98" s="46" t="n"/>
      <c r="S98" s="58" t="str">
        <f>IF(AND(ISNUMBER($N98),ISNUMBER($O98)),$O98-$N98,"")</f>
        <v/>
      </c>
      <c r="T98" s="59" t="str">
        <f>IF(AND(ISNUMBER($O98),ISNUMBER($P98)),IF($O98&gt;0,$P98/$O98,""),"")</f>
        <v/>
      </c>
      <c r="U98" s="49" t="str">
        <f>IF(COUNTA($A98:$R98)=0,"",IF($A98="","Missing: campaign ID",IF(COUNTIF($A$2:$A$101,$A98)&gt;1,"Duplicate campaign ID",IF($B98="","Missing: campaign name",IF($C98="","Missing: objective",IF($D98="","Missing: product 1",IF($G98="","Missing: channel",IF($H98="","Missing: owner",IF(NOT(ISNUMBER($I98)),"Missing: launch date",IF($L98="","Missing: approval status",IF(NOT(ISNUMBER($N98)),"Missing: planned spend",IF(OR(COUNTIF(Products!$A$2:$A$101,$D98)=0,AND($E98&lt;&gt;"",COUNTIF(Products!$A$2:$A$101,$E98)=0),AND($F98&lt;&gt;"",COUNTIF(Products!$A$2:$A$101,$F98)=0)),"Unknown SKU",IF(COUNTIF(Config!$Q$15:$Q$34,$G98)=0,"Unsupported channel",IF(COUNTIF(Config!$P$15:$P$34,$L98)=0,"Unsupported status","OK"))))))))))))))</f>
        <v/>
      </c>
    </row>
    <row r="99">
      <c r="A99" s="46" t="n"/>
      <c r="B99" s="46" t="n"/>
      <c r="C99" s="46" t="n"/>
      <c r="D99" s="46" t="n"/>
      <c r="E99" s="46" t="n"/>
      <c r="F99" s="46" t="n"/>
      <c r="G99" s="46" t="n"/>
      <c r="H99" s="46" t="n"/>
      <c r="I99" s="54" t="n"/>
      <c r="J99" s="54" t="n"/>
      <c r="K99" s="54" t="n"/>
      <c r="L99" s="46" t="n"/>
      <c r="M99" s="46" t="n"/>
      <c r="N99" s="57" t="n"/>
      <c r="O99" s="57" t="n"/>
      <c r="P99" s="57" t="n"/>
      <c r="Q99" s="57" t="n"/>
      <c r="R99" s="46" t="n"/>
      <c r="S99" s="58" t="str">
        <f>IF(AND(ISNUMBER($N99),ISNUMBER($O99)),$O99-$N99,"")</f>
        <v/>
      </c>
      <c r="T99" s="59" t="str">
        <f>IF(AND(ISNUMBER($O99),ISNUMBER($P99)),IF($O99&gt;0,$P99/$O99,""),"")</f>
        <v/>
      </c>
      <c r="U99" s="49" t="str">
        <f>IF(COUNTA($A99:$R99)=0,"",IF($A99="","Missing: campaign ID",IF(COUNTIF($A$2:$A$101,$A99)&gt;1,"Duplicate campaign ID",IF($B99="","Missing: campaign name",IF($C99="","Missing: objective",IF($D99="","Missing: product 1",IF($G99="","Missing: channel",IF($H99="","Missing: owner",IF(NOT(ISNUMBER($I99)),"Missing: launch date",IF($L99="","Missing: approval status",IF(NOT(ISNUMBER($N99)),"Missing: planned spend",IF(OR(COUNTIF(Products!$A$2:$A$101,$D99)=0,AND($E99&lt;&gt;"",COUNTIF(Products!$A$2:$A$101,$E99)=0),AND($F99&lt;&gt;"",COUNTIF(Products!$A$2:$A$101,$F99)=0)),"Unknown SKU",IF(COUNTIF(Config!$Q$15:$Q$34,$G99)=0,"Unsupported channel",IF(COUNTIF(Config!$P$15:$P$34,$L99)=0,"Unsupported status","OK"))))))))))))))</f>
        <v/>
      </c>
    </row>
    <row r="100">
      <c r="A100" s="46" t="n"/>
      <c r="B100" s="46" t="n"/>
      <c r="C100" s="46" t="n"/>
      <c r="D100" s="46" t="n"/>
      <c r="E100" s="46" t="n"/>
      <c r="F100" s="46" t="n"/>
      <c r="G100" s="46" t="n"/>
      <c r="H100" s="46" t="n"/>
      <c r="I100" s="54" t="n"/>
      <c r="J100" s="54" t="n"/>
      <c r="K100" s="54" t="n"/>
      <c r="L100" s="46" t="n"/>
      <c r="M100" s="46" t="n"/>
      <c r="N100" s="57" t="n"/>
      <c r="O100" s="57" t="n"/>
      <c r="P100" s="57" t="n"/>
      <c r="Q100" s="57" t="n"/>
      <c r="R100" s="46" t="n"/>
      <c r="S100" s="58" t="str">
        <f>IF(AND(ISNUMBER($N100),ISNUMBER($O100)),$O100-$N100,"")</f>
        <v/>
      </c>
      <c r="T100" s="59" t="str">
        <f>IF(AND(ISNUMBER($O100),ISNUMBER($P100)),IF($O100&gt;0,$P100/$O100,""),"")</f>
        <v/>
      </c>
      <c r="U100" s="49" t="str">
        <f>IF(COUNTA($A100:$R100)=0,"",IF($A100="","Missing: campaign ID",IF(COUNTIF($A$2:$A$101,$A100)&gt;1,"Duplicate campaign ID",IF($B100="","Missing: campaign name",IF($C100="","Missing: objective",IF($D100="","Missing: product 1",IF($G100="","Missing: channel",IF($H100="","Missing: owner",IF(NOT(ISNUMBER($I100)),"Missing: launch date",IF($L100="","Missing: approval status",IF(NOT(ISNUMBER($N100)),"Missing: planned spend",IF(OR(COUNTIF(Products!$A$2:$A$101,$D100)=0,AND($E100&lt;&gt;"",COUNTIF(Products!$A$2:$A$101,$E100)=0),AND($F100&lt;&gt;"",COUNTIF(Products!$A$2:$A$101,$F100)=0)),"Unknown SKU",IF(COUNTIF(Config!$Q$15:$Q$34,$G100)=0,"Unsupported channel",IF(COUNTIF(Config!$P$15:$P$34,$L100)=0,"Unsupported status","OK"))))))))))))))</f>
        <v/>
      </c>
    </row>
    <row r="101">
      <c r="A101" s="46" t="n"/>
      <c r="B101" s="46" t="n"/>
      <c r="C101" s="46" t="n"/>
      <c r="D101" s="46" t="n"/>
      <c r="E101" s="46" t="n"/>
      <c r="F101" s="46" t="n"/>
      <c r="G101" s="46" t="n"/>
      <c r="H101" s="46" t="n"/>
      <c r="I101" s="54" t="n"/>
      <c r="J101" s="54" t="n"/>
      <c r="K101" s="54" t="n"/>
      <c r="L101" s="46" t="n"/>
      <c r="M101" s="46" t="n"/>
      <c r="N101" s="57" t="n"/>
      <c r="O101" s="57" t="n"/>
      <c r="P101" s="57" t="n"/>
      <c r="Q101" s="57" t="n"/>
      <c r="R101" s="46" t="n"/>
      <c r="S101" s="58" t="str">
        <f>IF(AND(ISNUMBER($N101),ISNUMBER($O101)),$O101-$N101,"")</f>
        <v/>
      </c>
      <c r="T101" s="59" t="str">
        <f>IF(AND(ISNUMBER($O101),ISNUMBER($P101)),IF($O101&gt;0,$P101/$O101,""),"")</f>
        <v/>
      </c>
      <c r="U101" s="49" t="str">
        <f>IF(COUNTA($A101:$R101)=0,"",IF($A101="","Missing: campaign ID",IF(COUNTIF($A$2:$A$101,$A101)&gt;1,"Duplicate campaign ID",IF($B101="","Missing: campaign name",IF($C101="","Missing: objective",IF($D101="","Missing: product 1",IF($G101="","Missing: channel",IF($H101="","Missing: owner",IF(NOT(ISNUMBER($I101)),"Missing: launch date",IF($L101="","Missing: approval status",IF(NOT(ISNUMBER($N101)),"Missing: planned spend",IF(OR(COUNTIF(Products!$A$2:$A$101,$D101)=0,AND($E101&lt;&gt;"",COUNTIF(Products!$A$2:$A$101,$E101)=0),AND($F101&lt;&gt;"",COUNTIF(Products!$A$2:$A$101,$F101)=0)),"Unknown SKU",IF(COUNTIF(Config!$Q$15:$Q$34,$G101)=0,"Unsupported channel",IF(COUNTIF(Config!$P$15:$P$34,$L101)=0,"Unsupported status","OK"))))))))))))))</f>
        <v/>
      </c>
    </row>
  </sheetData>
  <sheetProtection selectLockedCells="0" selectUnlockedCells="0" sheet="1" objects="0" insertRows="1" insertHyperlinks="1" autoFilter="0" scenarios="0" formatColumns="0" deleteColumns="1" insertColumns="1" pivotTables="1" deleteRows="1" formatCells="1" formatRows="0" sort="0"/>
  <autoFilter ref="A1:U101"/>
  <conditionalFormatting sqref="U2:U101">
    <cfRule type="expression" priority="1" dxfId="4">
      <formula>AND($U2&lt;&gt;"",$U2&lt;&gt;"OK")</formula>
    </cfRule>
  </conditionalFormatting>
  <dataValidations count="13">
    <dataValidation sqref="A2:A101" showDropDown="0" showInputMessage="1" showErrorMessage="1" allowBlank="1" errorTitle="Duplicate ID" error="This ID is already used in this sheet. IDs must be unique." promptTitle="Campaign ID" prompt="Required. Must be unique in this sheet." type="custom">
      <formula1>COUNTIF($A$2:$A$101,A2)&lt;=1</formula1>
    </dataValidation>
    <dataValidation sqref="D2:D101" showDropDown="0" showInputMessage="1" showErrorMessage="1" allowBlank="1" errorTitle="Not in the list" error="Pick a value from the dropdown list." promptTitle="Product 1" prompt="Required. Pick from the list." type="list">
      <formula1>Products!$A$2:$A$101</formula1>
    </dataValidation>
    <dataValidation sqref="E2:E101" showDropDown="0" showInputMessage="1" showErrorMessage="1" allowBlank="1" errorTitle="Not in the list" error="Pick a value from the dropdown list." promptTitle="Product 2" prompt="Optional. Pick from the list." type="list">
      <formula1>Products!$A$2:$A$101</formula1>
    </dataValidation>
    <dataValidation sqref="F2:F101" showDropDown="0" showInputMessage="1" showErrorMessage="1" allowBlank="1" errorTitle="Not in the list" error="Pick a value from the dropdown list." promptTitle="Product 3" prompt="Optional. Pick from the list." type="list">
      <formula1>Products!$A$2:$A$101</formula1>
    </dataValidation>
    <dataValidation sqref="G2:G101" showDropDown="0" showInputMessage="1" showErrorMessage="1" allowBlank="1" errorTitle="Not in the list" error="Pick a value from the dropdown list." promptTitle="Channel" prompt="Required. Pick from the list." type="list">
      <formula1>Config!$Q$15:$Q$34</formula1>
    </dataValidation>
    <dataValidation sqref="I2:I101" showDropDown="0" showInputMessage="1" showErrorMessage="1" allowBlank="1" errorTitle="Date needed" error="Enter a date (yyyy-mm-dd)." promptTitle="Launch date" prompt="Required. Date as yyyy-mm-dd." type="date" operator="greaterThan">
      <formula1>36526</formula1>
    </dataValidation>
    <dataValidation sqref="J2:J101" showDropDown="0" showInputMessage="1" showErrorMessage="1" allowBlank="1" errorTitle="Date needed" error="Enter a date (yyyy-mm-dd)." promptTitle="Brief due" prompt="Optional. Date as yyyy-mm-dd." type="date" operator="greaterThan">
      <formula1>36526</formula1>
    </dataValidation>
    <dataValidation sqref="K2:K101" showDropDown="0" showInputMessage="1" showErrorMessage="1" allowBlank="1" errorTitle="Date needed" error="Enter a date (yyyy-mm-dd)." promptTitle="Creative due" prompt="Optional. Date as yyyy-mm-dd." type="date" operator="greaterThan">
      <formula1>36526</formula1>
    </dataValidation>
    <dataValidation sqref="L2:L101" showDropDown="0" showInputMessage="1" showErrorMessage="1" allowBlank="1" errorTitle="Not in the list" error="Pick a value from the dropdown list." promptTitle="Approval status" prompt="Required. Pick from the list." type="list">
      <formula1>Config!$P$15:$P$34</formula1>
    </dataValidation>
    <dataValidation sqref="N2:N101" showDropDown="0" showInputMessage="1" showErrorMessage="1" allowBlank="1" errorTitle="Number needed" error="Enter a number of 0 or more." promptTitle="Planned spend (USD)" prompt="Required. Number, USD. Leave blank if not supplied." type="decimal" operator="greaterThanOrEqual">
      <formula1>0</formula1>
    </dataValidation>
    <dataValidation sqref="O2:O101" showDropDown="0" showInputMessage="1" showErrorMessage="1" allowBlank="1" errorTitle="Number needed" error="Enter a number of 0 or more." promptTitle="Actual spend (USD)" prompt="Optional. Number, USD. Leave blank if not supplied." type="decimal" operator="greaterThanOrEqual">
      <formula1>0</formula1>
    </dataValidation>
    <dataValidation sqref="P2:P101" showDropDown="0" showInputMessage="1" showErrorMessage="1" allowBlank="1" errorTitle="Number needed" error="Enter a number of 0 or more." promptTitle="Platform-attributed revenue (USD)" prompt="Optional. Number, USD. Leave blank if not supplied." type="decimal" operator="greaterThanOrEqual">
      <formula1>0</formula1>
    </dataValidation>
    <dataValidation sqref="Q2:Q101" showDropDown="0" showInputMessage="1" showErrorMessage="1" allowBlank="1" errorTitle="Number needed" error="Enter a number of 0 or more." promptTitle="Company sales, campaign period (USD)" prompt="Optional. Number, USD. Leave blank if not supplied."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7A8794"/>
    <outlinePr summaryBelow="1" summaryRight="1"/>
    <pageSetUpPr/>
  </sheetPr>
  <dimension ref="A1:D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80" customWidth="1" min="3" max="3"/>
    <col width="44" customWidth="1" min="4" max="4"/>
  </cols>
  <sheetData>
    <row r="1" ht="42" customHeight="1">
      <c r="A1" s="41" t="inlineStr">
        <is>
          <t>Metric *</t>
        </is>
      </c>
      <c r="B1" s="41" t="inlineStr">
        <is>
          <t>Where it appears</t>
        </is>
      </c>
      <c r="C1" s="41" t="inlineStr">
        <is>
          <t>Definition *</t>
        </is>
      </c>
      <c r="D1" s="41" t="inlineStr">
        <is>
          <t>Blank or missing values</t>
        </is>
      </c>
    </row>
    <row r="2">
      <c r="A2" s="60" t="inlineStr">
        <is>
          <t>Opening balance</t>
        </is>
      </c>
      <c r="B2" s="60" t="inlineStr">
        <is>
          <t>Products</t>
        </is>
      </c>
      <c r="C2" s="60" t="inlineStr">
        <is>
          <t>Units on hand for a SKU on the opening balance date set on Config. It equals the sum of the lot opening quantities in Batches.</t>
        </is>
      </c>
      <c r="D2" s="60" t="inlineStr">
        <is>
          <t>Required; a missing value is flagged.</t>
        </is>
      </c>
    </row>
    <row r="3">
      <c r="A3" s="60" t="inlineStr">
        <is>
          <t>Receipts</t>
        </is>
      </c>
      <c r="B3" s="60" t="inlineStr">
        <is>
          <t>Products, Dashboard</t>
        </is>
      </c>
      <c r="C3" s="60" t="inlineStr">
        <is>
          <t>Sum of Inventory_Ledger quantities with type Receipt for the SKU.</t>
        </is>
      </c>
      <c r="D3" s="60" t="inlineStr">
        <is>
          <t>0 when there are none.</t>
        </is>
      </c>
    </row>
    <row r="4">
      <c r="A4" s="60" t="inlineStr">
        <is>
          <t>Shipments</t>
        </is>
      </c>
      <c r="B4" s="60" t="inlineStr">
        <is>
          <t>Products, Dashboard</t>
        </is>
      </c>
      <c r="C4" s="60" t="inlineStr">
        <is>
          <t>Sum of Inventory_Ledger quantities with type Shipment for the SKU, entered as positive numbers.</t>
        </is>
      </c>
      <c r="D4" s="60" t="inlineStr">
        <is>
          <t>0 when there are none.</t>
        </is>
      </c>
    </row>
    <row r="5">
      <c r="A5" s="60" t="inlineStr">
        <is>
          <t>Adjustments</t>
        </is>
      </c>
      <c r="B5" s="60" t="inlineStr">
        <is>
          <t>Products, Dashboard</t>
        </is>
      </c>
      <c r="C5" s="60" t="inlineStr">
        <is>
          <t>Sum of signed Inventory_Ledger quantities with type Adjustment (counts, damage, write-offs, samples).</t>
        </is>
      </c>
      <c r="D5" s="60" t="inlineStr">
        <is>
          <t>0 when there are none.</t>
        </is>
      </c>
    </row>
    <row r="6">
      <c r="A6" s="60" t="inlineStr">
        <is>
          <t>Recorded stock</t>
        </is>
      </c>
      <c r="B6" s="60" t="inlineStr">
        <is>
          <t>Products, Dashboard</t>
        </is>
      </c>
      <c r="C6" s="60" t="inlineStr">
        <is>
          <t>Opening balance + receipts - shipments + adjustments.</t>
        </is>
      </c>
      <c r="D6" s="60" t="inlineStr">
        <is>
          <t>Never estimated.</t>
        </is>
      </c>
    </row>
    <row r="7">
      <c r="A7" s="60" t="inlineStr">
        <is>
          <t>Reserved</t>
        </is>
      </c>
      <c r="B7" s="60" t="inlineStr">
        <is>
          <t>Products, Dashboard</t>
        </is>
      </c>
      <c r="C7" s="60" t="inlineStr">
        <is>
          <t>Sum of Reservations whose status holds stock on Config, whose start date is on or before the as-of date and whose release date is empty or on or after the as-of date.</t>
        </is>
      </c>
      <c r="D7" s="60" t="inlineStr">
        <is>
          <t>0 when there are none.</t>
        </is>
      </c>
    </row>
    <row r="8">
      <c r="A8" s="60" t="inlineStr">
        <is>
          <t>Held in lots</t>
        </is>
      </c>
      <c r="B8" s="60" t="inlineStr">
        <is>
          <t>Products, Dashboard</t>
        </is>
      </c>
      <c r="C8" s="60" t="inlineStr">
        <is>
          <t>Units in lots whose status holds stock on Config (Quarantine, On hold), plus units in expired lots when Config says expired lots are held.</t>
        </is>
      </c>
      <c r="D8" s="60" t="inlineStr">
        <is>
          <t>0 when there are none.</t>
        </is>
      </c>
    </row>
    <row r="9">
      <c r="A9" s="60" t="inlineStr">
        <is>
          <t>Available</t>
        </is>
      </c>
      <c r="B9" s="60" t="inlineStr">
        <is>
          <t>Products, Dashboard</t>
        </is>
      </c>
      <c r="C9" s="60" t="inlineStr">
        <is>
          <t>Recorded stock - reserved - held in lots. It can go below zero when reservations exceed stock.</t>
        </is>
      </c>
      <c r="D9" s="60" t="inlineStr">
        <is>
          <t>Never estimated.</t>
        </is>
      </c>
    </row>
    <row r="10">
      <c r="A10" s="60" t="inlineStr">
        <is>
          <t>Below reorder</t>
        </is>
      </c>
      <c r="B10" s="60" t="inlineStr">
        <is>
          <t>Products, Dashboard</t>
        </is>
      </c>
      <c r="C10" s="60" t="inlineStr">
        <is>
          <t>Yes when the stock chosen on Config (Available or Recorded) is below the SKU's reorder point.</t>
        </is>
      </c>
      <c r="D10" s="60" t="inlineStr">
        <is>
          <t>Not tested when the reorder point is missing (the row is flagged).</t>
        </is>
      </c>
    </row>
    <row r="11">
      <c r="A11" s="60" t="inlineStr">
        <is>
          <t>On order</t>
        </is>
      </c>
      <c r="B11" s="60" t="inlineStr">
        <is>
          <t>Products, Dashboard</t>
        </is>
      </c>
      <c r="C11" s="60" t="inlineStr">
        <is>
          <t>Outstanding quantity on open purchase orders for the SKU.</t>
        </is>
      </c>
      <c r="D11" s="60" t="inlineStr">
        <is>
          <t>0 when there are none.</t>
        </is>
      </c>
    </row>
    <row r="12">
      <c r="A12" s="60" t="inlineStr">
        <is>
          <t>Open PO</t>
        </is>
      </c>
      <c r="B12" s="60" t="inlineStr">
        <is>
          <t>Purchase_Orders, Dashboard</t>
        </is>
      </c>
      <c r="C12" s="60" t="inlineStr">
        <is>
          <t>A PO whose status counts as open on Config and whose ordered quantity is not fully received in the ledger.</t>
        </is>
      </c>
      <c r="D12" s="60" t="n"/>
    </row>
    <row r="13">
      <c r="A13" s="60" t="inlineStr">
        <is>
          <t>Overdue PO</t>
        </is>
      </c>
      <c r="B13" s="60" t="inlineStr">
        <is>
          <t>Purchase_Orders, Dashboard</t>
        </is>
      </c>
      <c r="C13" s="60" t="inlineStr">
        <is>
          <t>An open PO whose expected date is before the as-of date. Days late = as-of date - expected date.</t>
        </is>
      </c>
      <c r="D13" s="60" t="n"/>
    </row>
    <row r="14">
      <c r="A14" s="60" t="inlineStr">
        <is>
          <t>Received qty (PO)</t>
        </is>
      </c>
      <c r="B14" s="60" t="inlineStr">
        <is>
          <t>Purchase_Orders</t>
        </is>
      </c>
      <c r="C14" s="60" t="inlineStr">
        <is>
          <t>Sum of ledger receipts whose reference is the PO ID and whose SKU matches the PO line.</t>
        </is>
      </c>
      <c r="D14" s="60" t="inlineStr">
        <is>
          <t>0 when nothing arrived.</t>
        </is>
      </c>
    </row>
    <row r="15">
      <c r="A15" s="60" t="inlineStr">
        <is>
          <t>Days left (lot)</t>
        </is>
      </c>
      <c r="B15" s="60" t="inlineStr">
        <is>
          <t>Batches, Dashboard</t>
        </is>
      </c>
      <c r="C15" s="60" t="inlineStr">
        <is>
          <t>Company-supplied expiry date - as-of date. The workbook tracks dates; it does not judge product safety.</t>
        </is>
      </c>
      <c r="D15" s="60" t="inlineStr">
        <is>
          <t>Blank when the expiry date is missing (the row is flagged).</t>
        </is>
      </c>
    </row>
    <row r="16">
      <c r="A16" s="60" t="inlineStr">
        <is>
          <t>Expiry window</t>
        </is>
      </c>
      <c r="B16" s="60" t="inlineStr">
        <is>
          <t>Batches, Dashboard</t>
        </is>
      </c>
      <c r="C16" s="60" t="inlineStr">
        <is>
          <t>Expired (days left below 0), then the three windows set on Config (default 0-30, 31-60, 61-90 days), then beyond.</t>
        </is>
      </c>
      <c r="D16" s="60" t="inlineStr">
        <is>
          <t>Lots with no stock on hand are not counted in the alerts.</t>
        </is>
      </c>
    </row>
    <row r="17">
      <c r="A17" s="60" t="inlineStr">
        <is>
          <t>Import exception</t>
        </is>
      </c>
      <c r="B17" s="60" t="inlineStr">
        <is>
          <t>Import_Staging, Exceptions</t>
        </is>
      </c>
      <c r="C17" s="60" t="inlineStr">
        <is>
          <t>One failed check on one staged row. A row with any exception is Rejected and must not be posted.</t>
        </is>
      </c>
      <c r="D17" s="60" t="n"/>
    </row>
    <row r="18">
      <c r="A18" s="60" t="inlineStr">
        <is>
          <t>Record issue</t>
        </is>
      </c>
      <c r="B18" s="60" t="inlineStr">
        <is>
          <t>Every record sheet, Dashboard</t>
        </is>
      </c>
      <c r="C18" s="60" t="inlineStr">
        <is>
          <t>A row whose Record check column is not OK (missing required field, duplicate ID, unknown reference or inconsistent values).</t>
        </is>
      </c>
      <c r="D18" s="60" t="n"/>
    </row>
    <row r="19">
      <c r="A19" s="60" t="inlineStr">
        <is>
          <t>Open task</t>
        </is>
      </c>
      <c r="B19" s="60" t="inlineStr">
        <is>
          <t>Tasks, Dashboard</t>
        </is>
      </c>
      <c r="C19" s="60" t="inlineStr">
        <is>
          <t>A task whose status counts as open on Config. Overdue when the due date is before the as-of date.</t>
        </is>
      </c>
      <c r="D19" s="60" t="n"/>
    </row>
    <row r="20">
      <c r="A20" s="60" t="inlineStr">
        <is>
          <t>Planned spend</t>
        </is>
      </c>
      <c r="B20" s="60" t="inlineStr">
        <is>
          <t>Marketing</t>
        </is>
      </c>
      <c r="C20" s="60" t="inlineStr">
        <is>
          <t>Budget approved for the campaign, in USD.</t>
        </is>
      </c>
      <c r="D20" s="60" t="inlineStr">
        <is>
          <t>Required.</t>
        </is>
      </c>
    </row>
    <row r="21">
      <c r="A21" s="60" t="inlineStr">
        <is>
          <t>Actual spend</t>
        </is>
      </c>
      <c r="B21" s="60" t="inlineStr">
        <is>
          <t>Marketing</t>
        </is>
      </c>
      <c r="C21" s="60" t="inlineStr">
        <is>
          <t>Spend reported by the channel or finance, in USD.</t>
        </is>
      </c>
      <c r="D21" s="60" t="inlineStr">
        <is>
          <t>Blank = not supplied yet; never estimated.</t>
        </is>
      </c>
    </row>
    <row r="22">
      <c r="A22" s="60" t="inlineStr">
        <is>
          <t>Spend variance</t>
        </is>
      </c>
      <c r="B22" s="60" t="inlineStr">
        <is>
          <t>Marketing</t>
        </is>
      </c>
      <c r="C22" s="60" t="inlineStr">
        <is>
          <t>Actual spend - planned spend.</t>
        </is>
      </c>
      <c r="D22" s="60" t="inlineStr">
        <is>
          <t>Blank when actual spend is blank.</t>
        </is>
      </c>
    </row>
    <row r="23">
      <c r="A23" s="60" t="inlineStr">
        <is>
          <t>Platform-attributed revenue</t>
        </is>
      </c>
      <c r="B23" s="60" t="inlineStr">
        <is>
          <t>Marketing</t>
        </is>
      </c>
      <c r="C23" s="60" t="inlineStr">
        <is>
          <t>Revenue the ad or email platform credits to the campaign under its own attribution rules. It is not company revenue and is never added to company sales.</t>
        </is>
      </c>
      <c r="D23" s="60" t="inlineStr">
        <is>
          <t>Blank = not supplied; never estimated.</t>
        </is>
      </c>
    </row>
    <row r="24">
      <c r="A24" s="60" t="inlineStr">
        <is>
          <t>Company sales (campaign period)</t>
        </is>
      </c>
      <c r="B24" s="60" t="inlineStr">
        <is>
          <t>Marketing</t>
        </is>
      </c>
      <c r="C24" s="60" t="inlineStr">
        <is>
          <t>Total company sales for the campaign period from finance, all channels. Shown next to platform revenue for context only, never summed across campaigns because periods can overlap.</t>
        </is>
      </c>
      <c r="D24" s="60" t="inlineStr">
        <is>
          <t>Blank = not supplied; never estimated.</t>
        </is>
      </c>
    </row>
    <row r="25">
      <c r="A25" s="60" t="inlineStr">
        <is>
          <t>Platform ROAS</t>
        </is>
      </c>
      <c r="B25" s="60" t="inlineStr">
        <is>
          <t>Marketing</t>
        </is>
      </c>
      <c r="C25" s="60" t="inlineStr">
        <is>
          <t>Platform-attributed revenue / actual spend.</t>
        </is>
      </c>
      <c r="D25" s="60" t="inlineStr">
        <is>
          <t>Blank when either value is blank or spend is 0.</t>
        </is>
      </c>
    </row>
    <row r="26">
      <c r="A26" s="60" t="n"/>
      <c r="B26" s="60" t="n"/>
      <c r="C26" s="60" t="n"/>
      <c r="D26" s="60" t="n"/>
    </row>
    <row r="27">
      <c r="A27" s="60" t="n"/>
      <c r="B27" s="60" t="n"/>
      <c r="C27" s="60" t="n"/>
      <c r="D27" s="60" t="n"/>
    </row>
    <row r="28">
      <c r="A28" s="60" t="n"/>
      <c r="B28" s="60" t="n"/>
      <c r="C28" s="60" t="n"/>
      <c r="D28" s="60" t="n"/>
    </row>
    <row r="29">
      <c r="A29" s="60" t="n"/>
      <c r="B29" s="60" t="n"/>
      <c r="C29" s="60" t="n"/>
      <c r="D29" s="60" t="n"/>
    </row>
    <row r="30">
      <c r="A30" s="60" t="n"/>
      <c r="B30" s="60" t="n"/>
      <c r="C30" s="60" t="n"/>
      <c r="D30" s="60" t="n"/>
    </row>
    <row r="31">
      <c r="A31" s="60" t="n"/>
      <c r="B31" s="60" t="n"/>
      <c r="C31" s="60" t="n"/>
      <c r="D31" s="60" t="n"/>
    </row>
    <row r="32">
      <c r="A32" s="60" t="n"/>
      <c r="B32" s="60" t="n"/>
      <c r="C32" s="60" t="n"/>
      <c r="D32" s="60" t="n"/>
    </row>
    <row r="33">
      <c r="A33" s="60" t="n"/>
      <c r="B33" s="60" t="n"/>
      <c r="C33" s="60" t="n"/>
      <c r="D33" s="60" t="n"/>
    </row>
    <row r="34">
      <c r="A34" s="60" t="n"/>
      <c r="B34" s="60" t="n"/>
      <c r="C34" s="60" t="n"/>
      <c r="D34" s="60" t="n"/>
    </row>
    <row r="35">
      <c r="A35" s="60" t="n"/>
      <c r="B35" s="60" t="n"/>
      <c r="C35" s="60" t="n"/>
      <c r="D35" s="60" t="n"/>
    </row>
    <row r="36">
      <c r="A36" s="60" t="n"/>
      <c r="B36" s="60" t="n"/>
      <c r="C36" s="60" t="n"/>
      <c r="D36" s="60" t="n"/>
    </row>
    <row r="37">
      <c r="A37" s="60" t="n"/>
      <c r="B37" s="60" t="n"/>
      <c r="C37" s="60" t="n"/>
      <c r="D37" s="60" t="n"/>
    </row>
    <row r="38">
      <c r="A38" s="60" t="n"/>
      <c r="B38" s="60" t="n"/>
      <c r="C38" s="60" t="n"/>
      <c r="D38" s="60" t="n"/>
    </row>
    <row r="39">
      <c r="A39" s="60" t="n"/>
      <c r="B39" s="60" t="n"/>
      <c r="C39" s="60" t="n"/>
      <c r="D39" s="60" t="n"/>
    </row>
    <row r="40">
      <c r="A40" s="60" t="n"/>
      <c r="B40" s="60" t="n"/>
      <c r="C40" s="60" t="n"/>
      <c r="D40" s="60" t="n"/>
    </row>
    <row r="41">
      <c r="A41" s="60" t="n"/>
      <c r="B41" s="60" t="n"/>
      <c r="C41" s="60" t="n"/>
      <c r="D41" s="60" t="n"/>
    </row>
    <row r="42">
      <c r="A42" s="60" t="n"/>
      <c r="B42" s="60" t="n"/>
      <c r="C42" s="60" t="n"/>
      <c r="D42" s="60" t="n"/>
    </row>
    <row r="43">
      <c r="A43" s="60" t="n"/>
      <c r="B43" s="60" t="n"/>
      <c r="C43" s="60" t="n"/>
      <c r="D43" s="60" t="n"/>
    </row>
    <row r="44">
      <c r="A44" s="60" t="n"/>
      <c r="B44" s="60" t="n"/>
      <c r="C44" s="60" t="n"/>
      <c r="D44" s="60" t="n"/>
    </row>
    <row r="45">
      <c r="A45" s="60" t="n"/>
      <c r="B45" s="60" t="n"/>
      <c r="C45" s="60" t="n"/>
      <c r="D45" s="60" t="n"/>
    </row>
    <row r="46">
      <c r="A46" s="60" t="n"/>
      <c r="B46" s="60" t="n"/>
      <c r="C46" s="60" t="n"/>
      <c r="D46" s="60" t="n"/>
    </row>
    <row r="47">
      <c r="A47" s="60" t="n"/>
      <c r="B47" s="60" t="n"/>
      <c r="C47" s="60" t="n"/>
      <c r="D47" s="60" t="n"/>
    </row>
    <row r="48">
      <c r="A48" s="60" t="n"/>
      <c r="B48" s="60" t="n"/>
      <c r="C48" s="60" t="n"/>
      <c r="D48" s="60" t="n"/>
    </row>
    <row r="49">
      <c r="A49" s="60" t="n"/>
      <c r="B49" s="60" t="n"/>
      <c r="C49" s="60" t="n"/>
      <c r="D49" s="60" t="n"/>
    </row>
    <row r="50">
      <c r="A50" s="60" t="n"/>
      <c r="B50" s="60" t="n"/>
      <c r="C50" s="60" t="n"/>
      <c r="D50" s="60" t="n"/>
    </row>
    <row r="51">
      <c r="A51" s="60" t="n"/>
      <c r="B51" s="60" t="n"/>
      <c r="C51" s="60" t="n"/>
      <c r="D51" s="60" t="n"/>
    </row>
    <row r="52">
      <c r="A52" s="60" t="n"/>
      <c r="B52" s="60" t="n"/>
      <c r="C52" s="60" t="n"/>
      <c r="D52" s="60" t="n"/>
    </row>
    <row r="53">
      <c r="A53" s="60" t="n"/>
      <c r="B53" s="60" t="n"/>
      <c r="C53" s="60" t="n"/>
      <c r="D53" s="60" t="n"/>
    </row>
    <row r="54">
      <c r="A54" s="60" t="n"/>
      <c r="B54" s="60" t="n"/>
      <c r="C54" s="60" t="n"/>
      <c r="D54" s="60" t="n"/>
    </row>
    <row r="55">
      <c r="A55" s="60" t="n"/>
      <c r="B55" s="60" t="n"/>
      <c r="C55" s="60" t="n"/>
      <c r="D55" s="60" t="n"/>
    </row>
    <row r="56">
      <c r="A56" s="60" t="n"/>
      <c r="B56" s="60" t="n"/>
      <c r="C56" s="60" t="n"/>
      <c r="D56" s="60" t="n"/>
    </row>
    <row r="57">
      <c r="A57" s="60" t="n"/>
      <c r="B57" s="60" t="n"/>
      <c r="C57" s="60" t="n"/>
      <c r="D57" s="60" t="n"/>
    </row>
    <row r="58">
      <c r="A58" s="60" t="n"/>
      <c r="B58" s="60" t="n"/>
      <c r="C58" s="60" t="n"/>
      <c r="D58" s="60" t="n"/>
    </row>
    <row r="59">
      <c r="A59" s="60" t="n"/>
      <c r="B59" s="60" t="n"/>
      <c r="C59" s="60" t="n"/>
      <c r="D59" s="60" t="n"/>
    </row>
    <row r="60">
      <c r="A60" s="60" t="n"/>
      <c r="B60" s="60" t="n"/>
      <c r="C60" s="60" t="n"/>
      <c r="D60" s="60" t="n"/>
    </row>
    <row r="61">
      <c r="A61" s="60" t="n"/>
      <c r="B61" s="60" t="n"/>
      <c r="C61" s="60" t="n"/>
      <c r="D61" s="60" t="n"/>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1F3A5F"/>
    <outlinePr summaryBelow="1" summaryRight="1"/>
    <pageSetUpPr/>
  </sheetPr>
  <dimension ref="A1:K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0" customWidth="1" min="3" max="3"/>
    <col width="14" customWidth="1" min="4" max="4"/>
    <col width="44" customWidth="1" min="5" max="5"/>
    <col width="15" customWidth="1" min="6" max="6"/>
    <col width="10" customWidth="1" min="7" max="7"/>
    <col width="32" customWidth="1" min="8" max="8"/>
    <col width="24" customWidth="1" min="9" max="9"/>
    <col width="34" customWidth="1" min="10" max="10"/>
    <col width="26" customWidth="1" min="11" max="11"/>
  </cols>
  <sheetData>
    <row r="1" ht="42" customHeight="1">
      <c r="A1" s="41" t="inlineStr">
        <is>
          <t>Milestone ID *</t>
        </is>
      </c>
      <c r="B1" s="41" t="inlineStr">
        <is>
          <t>Date *</t>
        </is>
      </c>
      <c r="C1" s="41" t="inlineStr">
        <is>
          <t>Kind *</t>
        </is>
      </c>
      <c r="D1" s="41" t="inlineStr">
        <is>
          <t>Product or campaign ID *</t>
        </is>
      </c>
      <c r="E1" s="41" t="inlineStr">
        <is>
          <t>Milestone *</t>
        </is>
      </c>
      <c r="F1" s="41" t="inlineStr">
        <is>
          <t>Responsible person *</t>
        </is>
      </c>
      <c r="G1" s="41" t="inlineStr">
        <is>
          <t>Status *</t>
        </is>
      </c>
      <c r="H1" s="41" t="inlineStr">
        <is>
          <t>Link</t>
        </is>
      </c>
      <c r="I1" s="41" t="inlineStr">
        <is>
          <t>Notes</t>
        </is>
      </c>
      <c r="J1" s="23" t="inlineStr">
        <is>
          <t>Product or campaign name</t>
        </is>
      </c>
      <c r="K1" s="23" t="inlineStr">
        <is>
          <t>Record check</t>
        </is>
      </c>
    </row>
    <row r="2">
      <c r="A2" s="46" t="inlineStr">
        <is>
          <t>MS-001</t>
        </is>
      </c>
      <c r="B2" s="54" t="n">
        <v>46268</v>
      </c>
      <c r="C2" s="46" t="inlineStr">
        <is>
          <t>Campaign</t>
        </is>
      </c>
      <c r="D2" s="46" t="inlineStr">
        <is>
          <t>CMP-2026-03</t>
        </is>
      </c>
      <c r="E2" s="46" t="inlineStr">
        <is>
          <t>Launch: plant protein relaunch emails</t>
        </is>
      </c>
      <c r="F2" s="46" t="inlineStr">
        <is>
          <t>Maya Torres</t>
        </is>
      </c>
      <c r="G2" s="46" t="inlineStr">
        <is>
          <t>Done</t>
        </is>
      </c>
      <c r="H2" s="46" t="inlineStr">
        <is>
          <t>https://example.com/#plan/MS-001</t>
        </is>
      </c>
      <c r="I2" s="46" t="n"/>
      <c r="J2" s="49" t="str">
        <f>IF($D2="","",IFERROR(IF($C2="Product",INDEX(Products!$B$2:$B$101,MATCH($D2,Products!$A$2:$A$101,0))&amp;"",IF($C2="Campaign",INDEX(Marketing!$B$2:$B$101,MATCH($D2,Marketing!$A$2:$A$101,0))&amp;"","")),"(not found)"))</f>
        <v>Plant Protein Relaunch</v>
      </c>
      <c r="K2" s="49" t="str">
        <f>IF(COUNTA($A2:$I2)=0,"",IF($A2="","Missing: milestone ID",IF(COUNTIF($A$2:$A$201,$A2)&gt;1,"Duplicate milestone ID",IF(NOT(ISNUMBER($B2)),"Missing: date",IF($C2="","Missing: kind",IF($D2="","Missing: product or campaign ID",IF($E2="","Missing: milestone",IF($F2="","Missing: responsible person",IF($G2="","Missing: status",IF(COUNTIF(Config!$U$15:$U$34,$C2)=0,"Unsupported kind",IF(AND($C2="Product",COUNTIF(Products!$A$2:$A$101,$D2)=0),"Unknown product ID",IF(AND($C2="Campaign",COUNTIF(Marketing!$A$2:$A$101,$D2)=0),"Unknown campaign ID",IF(COUNTIF(Config!$V$15:$V$34,$G2)=0,"Unsupported status","OK")))))))))))))</f>
        <v>OK</v>
      </c>
    </row>
    <row r="3">
      <c r="A3" s="46" t="inlineStr">
        <is>
          <t>MS-002</t>
        </is>
      </c>
      <c r="B3" s="54" t="n">
        <v>46280</v>
      </c>
      <c r="C3" s="46" t="inlineStr">
        <is>
          <t>Product</t>
        </is>
      </c>
      <c r="D3" s="46" t="inlineStr">
        <is>
          <t>PRE-BRZ-30</t>
        </is>
      </c>
      <c r="E3" s="46" t="inlineStr">
        <is>
          <t>Restock received (PO-2026-025)</t>
        </is>
      </c>
      <c r="F3" s="46" t="inlineStr">
        <is>
          <t>Luis Romero</t>
        </is>
      </c>
      <c r="G3" s="46" t="inlineStr">
        <is>
          <t>Done</t>
        </is>
      </c>
      <c r="H3" s="46" t="inlineStr">
        <is>
          <t>https://example.com/#plan/MS-002</t>
        </is>
      </c>
      <c r="I3" s="46" t="n"/>
      <c r="J3" s="49" t="str">
        <f>IF($D3="","",IFERROR(IF($C3="Product",INDEX(Products!$B$2:$B$101,MATCH($D3,Products!$A$2:$A$101,0))&amp;"",IF($C3="Campaign",INDEX(Marketing!$B$2:$B$101,MATCH($D3,Marketing!$A$2:$A$101,0))&amp;"","")),"(not found)"))</f>
        <v>Pre-Workout, Blue Raspberry, 30 servings</v>
      </c>
      <c r="K3" s="49" t="str">
        <f>IF(COUNTA($A3:$I3)=0,"",IF($A3="","Missing: milestone ID",IF(COUNTIF($A$2:$A$201,$A3)&gt;1,"Duplicate milestone ID",IF(NOT(ISNUMBER($B3)),"Missing: date",IF($C3="","Missing: kind",IF($D3="","Missing: product or campaign ID",IF($E3="","Missing: milestone",IF($F3="","Missing: responsible person",IF($G3="","Missing: status",IF(COUNTIF(Config!$U$15:$U$34,$C3)=0,"Unsupported kind",IF(AND($C3="Product",COUNTIF(Products!$A$2:$A$101,$D3)=0),"Unknown product ID",IF(AND($C3="Campaign",COUNTIF(Marketing!$A$2:$A$101,$D3)=0),"Unknown campaign ID",IF(COUNTIF(Config!$V$15:$V$34,$G3)=0,"Unsupported status","OK")))))))))))))</f>
        <v>OK</v>
      </c>
    </row>
    <row r="4">
      <c r="A4" s="46" t="inlineStr">
        <is>
          <t>MS-003</t>
        </is>
      </c>
      <c r="B4" s="54" t="n">
        <v>46287</v>
      </c>
      <c r="C4" s="46" t="inlineStr">
        <is>
          <t>Product</t>
        </is>
      </c>
      <c r="D4" s="46" t="inlineStr">
        <is>
          <t>PLT-VAN-2LB</t>
        </is>
      </c>
      <c r="E4" s="46" t="inlineStr">
        <is>
          <t>New supplement facts panel approved</t>
        </is>
      </c>
      <c r="F4" s="46" t="inlineStr">
        <is>
          <t>Priya Nair</t>
        </is>
      </c>
      <c r="G4" s="46" t="inlineStr">
        <is>
          <t>Done</t>
        </is>
      </c>
      <c r="H4" s="46" t="inlineStr">
        <is>
          <t>https://example.com/#plan/MS-003</t>
        </is>
      </c>
      <c r="I4" s="46" t="n"/>
      <c r="J4" s="49" t="str">
        <f>IF($D4="","",IFERROR(IF($C4="Product",INDEX(Products!$B$2:$B$101,MATCH($D4,Products!$A$2:$A$101,0))&amp;"",IF($C4="Campaign",INDEX(Marketing!$B$2:$B$101,MATCH($D4,Marketing!$A$2:$A$101,0))&amp;"","")),"(not found)"))</f>
        <v>Plant Protein, Vanilla, 2 lb</v>
      </c>
      <c r="K4" s="49" t="str">
        <f>IF(COUNTA($A4:$I4)=0,"",IF($A4="","Missing: milestone ID",IF(COUNTIF($A$2:$A$201,$A4)&gt;1,"Duplicate milestone ID",IF(NOT(ISNUMBER($B4)),"Missing: date",IF($C4="","Missing: kind",IF($D4="","Missing: product or campaign ID",IF($E4="","Missing: milestone",IF($F4="","Missing: responsible person",IF($G4="","Missing: status",IF(COUNTIF(Config!$U$15:$U$34,$C4)=0,"Unsupported kind",IF(AND($C4="Product",COUNTIF(Products!$A$2:$A$101,$D4)=0),"Unknown product ID",IF(AND($C4="Campaign",COUNTIF(Marketing!$A$2:$A$101,$D4)=0),"Unknown campaign ID",IF(COUNTIF(Config!$V$15:$V$34,$G4)=0,"Unsupported status","OK")))))))))))))</f>
        <v>OK</v>
      </c>
    </row>
    <row r="5">
      <c r="A5" s="46" t="inlineStr">
        <is>
          <t>MS-004</t>
        </is>
      </c>
      <c r="B5" s="54" t="n">
        <v>46295</v>
      </c>
      <c r="C5" s="46" t="inlineStr">
        <is>
          <t>Campaign</t>
        </is>
      </c>
      <c r="D5" s="46" t="inlineStr">
        <is>
          <t>CMP-2026-03</t>
        </is>
      </c>
      <c r="E5" s="46" t="inlineStr">
        <is>
          <t>Results review</t>
        </is>
      </c>
      <c r="F5" s="46" t="inlineStr">
        <is>
          <t>Hannah Becker</t>
        </is>
      </c>
      <c r="G5" s="46" t="inlineStr">
        <is>
          <t>Done</t>
        </is>
      </c>
      <c r="H5" s="46" t="inlineStr">
        <is>
          <t>https://example.com/#plan/MS-004</t>
        </is>
      </c>
      <c r="I5" s="46" t="n"/>
      <c r="J5" s="49" t="str">
        <f>IF($D5="","",IFERROR(IF($C5="Product",INDEX(Products!$B$2:$B$101,MATCH($D5,Products!$A$2:$A$101,0))&amp;"",IF($C5="Campaign",INDEX(Marketing!$B$2:$B$101,MATCH($D5,Marketing!$A$2:$A$101,0))&amp;"","")),"(not found)"))</f>
        <v>Plant Protein Relaunch</v>
      </c>
      <c r="K5" s="49" t="str">
        <f>IF(COUNTA($A5:$I5)=0,"",IF($A5="","Missing: milestone ID",IF(COUNTIF($A$2:$A$201,$A5)&gt;1,"Duplicate milestone ID",IF(NOT(ISNUMBER($B5)),"Missing: date",IF($C5="","Missing: kind",IF($D5="","Missing: product or campaign ID",IF($E5="","Missing: milestone",IF($F5="","Missing: responsible person",IF($G5="","Missing: status",IF(COUNTIF(Config!$U$15:$U$34,$C5)=0,"Unsupported kind",IF(AND($C5="Product",COUNTIF(Products!$A$2:$A$101,$D5)=0),"Unknown product ID",IF(AND($C5="Campaign",COUNTIF(Marketing!$A$2:$A$101,$D5)=0),"Unknown campaign ID",IF(COUNTIF(Config!$V$15:$V$34,$G5)=0,"Unsupported status","OK")))))))))))))</f>
        <v>OK</v>
      </c>
    </row>
    <row r="6">
      <c r="A6" s="46" t="inlineStr">
        <is>
          <t>MS-005</t>
        </is>
      </c>
      <c r="B6" s="54" t="n">
        <v>46301</v>
      </c>
      <c r="C6" s="46" t="inlineStr">
        <is>
          <t>Campaign</t>
        </is>
      </c>
      <c r="D6" s="46" t="inlineStr">
        <is>
          <t>CMP-2026-04</t>
        </is>
      </c>
      <c r="E6" s="46" t="inlineStr">
        <is>
          <t>Launch: creator push</t>
        </is>
      </c>
      <c r="F6" s="46" t="inlineStr">
        <is>
          <t>Maya Torres</t>
        </is>
      </c>
      <c r="G6" s="46" t="inlineStr">
        <is>
          <t>Done</t>
        </is>
      </c>
      <c r="H6" s="46" t="inlineStr">
        <is>
          <t>https://example.com/#plan/MS-005</t>
        </is>
      </c>
      <c r="I6" s="46" t="n"/>
      <c r="J6" s="49" t="str">
        <f>IF($D6="","",IFERROR(IF($C6="Product",INDEX(Products!$B$2:$B$101,MATCH($D6,Products!$A$2:$A$101,0))&amp;"",IF($C6="Campaign",INDEX(Marketing!$B$2:$B$101,MATCH($D6,Marketing!$A$2:$A$101,0))&amp;"","")),"(not found)"))</f>
        <v>Cookie Dough Bar Creator Push</v>
      </c>
      <c r="K6" s="49" t="str">
        <f>IF(COUNTA($A6:$I6)=0,"",IF($A6="","Missing: milestone ID",IF(COUNTIF($A$2:$A$201,$A6)&gt;1,"Duplicate milestone ID",IF(NOT(ISNUMBER($B6)),"Missing: date",IF($C6="","Missing: kind",IF($D6="","Missing: product or campaign ID",IF($E6="","Missing: milestone",IF($F6="","Missing: responsible person",IF($G6="","Missing: status",IF(COUNTIF(Config!$U$15:$U$34,$C6)=0,"Unsupported kind",IF(AND($C6="Product",COUNTIF(Products!$A$2:$A$101,$D6)=0),"Unknown product ID",IF(AND($C6="Campaign",COUNTIF(Marketing!$A$2:$A$101,$D6)=0),"Unknown campaign ID",IF(COUNTIF(Config!$V$15:$V$34,$G6)=0,"Unsupported status","OK")))))))))))))</f>
        <v>OK</v>
      </c>
    </row>
    <row r="7">
      <c r="A7" s="46" t="inlineStr">
        <is>
          <t>MS-006</t>
        </is>
      </c>
      <c r="B7" s="54" t="n">
        <v>46301</v>
      </c>
      <c r="C7" s="46" t="inlineStr">
        <is>
          <t>Product</t>
        </is>
      </c>
      <c r="D7" s="46" t="inlineStr">
        <is>
          <t>PLT-VAN-2LB</t>
        </is>
      </c>
      <c r="E7" s="46" t="inlineStr">
        <is>
          <t>Restock due (PO-2026-029)</t>
        </is>
      </c>
      <c r="F7" s="46" t="inlineStr">
        <is>
          <t>Luis Romero</t>
        </is>
      </c>
      <c r="G7" s="46" t="inlineStr">
        <is>
          <t>Late</t>
        </is>
      </c>
      <c r="H7" s="46" t="inlineStr">
        <is>
          <t>https://example.com/#plan/MS-006</t>
        </is>
      </c>
      <c r="I7" s="46" t="n"/>
      <c r="J7" s="49" t="str">
        <f>IF($D7="","",IFERROR(IF($C7="Product",INDEX(Products!$B$2:$B$101,MATCH($D7,Products!$A$2:$A$101,0))&amp;"",IF($C7="Campaign",INDEX(Marketing!$B$2:$B$101,MATCH($D7,Marketing!$A$2:$A$101,0))&amp;"","")),"(not found)"))</f>
        <v>Plant Protein, Vanilla, 2 lb</v>
      </c>
      <c r="K7" s="49" t="str">
        <f>IF(COUNTA($A7:$I7)=0,"",IF($A7="","Missing: milestone ID",IF(COUNTIF($A$2:$A$201,$A7)&gt;1,"Duplicate milestone ID",IF(NOT(ISNUMBER($B7)),"Missing: date",IF($C7="","Missing: kind",IF($D7="","Missing: product or campaign ID",IF($E7="","Missing: milestone",IF($F7="","Missing: responsible person",IF($G7="","Missing: status",IF(COUNTIF(Config!$U$15:$U$34,$C7)=0,"Unsupported kind",IF(AND($C7="Product",COUNTIF(Products!$A$2:$A$101,$D7)=0),"Unknown product ID",IF(AND($C7="Campaign",COUNTIF(Marketing!$A$2:$A$101,$D7)=0),"Unknown campaign ID",IF(COUNTIF(Config!$V$15:$V$34,$G7)=0,"Unsupported status","OK")))))))))))))</f>
        <v>OK</v>
      </c>
    </row>
    <row r="8">
      <c r="A8" s="46" t="inlineStr">
        <is>
          <t>MS-007</t>
        </is>
      </c>
      <c r="B8" s="54" t="n">
        <v>46305</v>
      </c>
      <c r="C8" s="46" t="inlineStr">
        <is>
          <t>Campaign</t>
        </is>
      </c>
      <c r="D8" s="46" t="inlineStr">
        <is>
          <t>CMP-2026-06</t>
        </is>
      </c>
      <c r="E8" s="46" t="inlineStr">
        <is>
          <t>Creative brief signed off</t>
        </is>
      </c>
      <c r="F8" s="46" t="inlineStr">
        <is>
          <t>Maya Torres</t>
        </is>
      </c>
      <c r="G8" s="46" t="inlineStr">
        <is>
          <t>Done</t>
        </is>
      </c>
      <c r="H8" s="46" t="inlineStr">
        <is>
          <t>https://example.com/#plan/MS-007</t>
        </is>
      </c>
      <c r="I8" s="46" t="n"/>
      <c r="J8" s="49" t="str">
        <f>IF($D8="","",IFERROR(IF($C8="Product",INDEX(Products!$B$2:$B$101,MATCH($D8,Products!$A$2:$A$101,0))&amp;"",IF($C8="Campaign",INDEX(Marketing!$B$2:$B$101,MATCH($D8,Marketing!$A$2:$A$101,0))&amp;"","")),"(not found)"))</f>
        <v>Watermelon Flavour Drop</v>
      </c>
      <c r="K8" s="49" t="str">
        <f>IF(COUNTA($A8:$I8)=0,"",IF($A8="","Missing: milestone ID",IF(COUNTIF($A$2:$A$201,$A8)&gt;1,"Duplicate milestone ID",IF(NOT(ISNUMBER($B8)),"Missing: date",IF($C8="","Missing: kind",IF($D8="","Missing: product or campaign ID",IF($E8="","Missing: milestone",IF($F8="","Missing: responsible person",IF($G8="","Missing: status",IF(COUNTIF(Config!$U$15:$U$34,$C8)=0,"Unsupported kind",IF(AND($C8="Product",COUNTIF(Products!$A$2:$A$101,$D8)=0),"Unknown product ID",IF(AND($C8="Campaign",COUNTIF(Marketing!$A$2:$A$101,$D8)=0),"Unknown campaign ID",IF(COUNTIF(Config!$V$15:$V$34,$G8)=0,"Unsupported status","OK")))))))))))))</f>
        <v>OK</v>
      </c>
    </row>
    <row r="9">
      <c r="A9" s="46" t="inlineStr">
        <is>
          <t>MS-008</t>
        </is>
      </c>
      <c r="B9" s="54" t="n">
        <v>46305</v>
      </c>
      <c r="C9" s="46" t="inlineStr">
        <is>
          <t>Product</t>
        </is>
      </c>
      <c r="D9" s="46" t="inlineStr">
        <is>
          <t>PRE-WTM-30</t>
        </is>
      </c>
      <c r="E9" s="46" t="inlineStr">
        <is>
          <t>Restock due (PO-2026-031)</t>
        </is>
      </c>
      <c r="F9" s="46" t="inlineStr">
        <is>
          <t>Luis Romero</t>
        </is>
      </c>
      <c r="G9" s="46" t="inlineStr">
        <is>
          <t>Late</t>
        </is>
      </c>
      <c r="H9" s="46" t="inlineStr">
        <is>
          <t>https://example.com/#plan/MS-008</t>
        </is>
      </c>
      <c r="I9" s="46" t="n"/>
      <c r="J9" s="49" t="str">
        <f>IF($D9="","",IFERROR(IF($C9="Product",INDEX(Products!$B$2:$B$101,MATCH($D9,Products!$A$2:$A$101,0))&amp;"",IF($C9="Campaign",INDEX(Marketing!$B$2:$B$101,MATCH($D9,Marketing!$A$2:$A$101,0))&amp;"","")),"(not found)"))</f>
        <v>Pre-Workout, Watermelon, 30 servings</v>
      </c>
      <c r="K9" s="49" t="str">
        <f>IF(COUNTA($A9:$I9)=0,"",IF($A9="","Missing: milestone ID",IF(COUNTIF($A$2:$A$201,$A9)&gt;1,"Duplicate milestone ID",IF(NOT(ISNUMBER($B9)),"Missing: date",IF($C9="","Missing: kind",IF($D9="","Missing: product or campaign ID",IF($E9="","Missing: milestone",IF($F9="","Missing: responsible person",IF($G9="","Missing: status",IF(COUNTIF(Config!$U$15:$U$34,$C9)=0,"Unsupported kind",IF(AND($C9="Product",COUNTIF(Products!$A$2:$A$101,$D9)=0),"Unknown product ID",IF(AND($C9="Campaign",COUNTIF(Marketing!$A$2:$A$101,$D9)=0),"Unknown campaign ID",IF(COUNTIF(Config!$V$15:$V$34,$G9)=0,"Unsupported status","OK")))))))))))))</f>
        <v>OK</v>
      </c>
    </row>
    <row r="10">
      <c r="A10" s="46" t="inlineStr">
        <is>
          <t>MS-009</t>
        </is>
      </c>
      <c r="B10" s="54" t="n">
        <v>46312</v>
      </c>
      <c r="C10" s="46" t="inlineStr">
        <is>
          <t>Product</t>
        </is>
      </c>
      <c r="D10" s="46" t="inlineStr">
        <is>
          <t>WPI-VAN-2LB</t>
        </is>
      </c>
      <c r="E10" s="46" t="inlineStr">
        <is>
          <t>Release decision for lot WVA2609A</t>
        </is>
      </c>
      <c r="F10" s="46" t="inlineStr">
        <is>
          <t>Priya Nair</t>
        </is>
      </c>
      <c r="G10" s="46" t="inlineStr">
        <is>
          <t>On track</t>
        </is>
      </c>
      <c r="H10" s="46" t="inlineStr">
        <is>
          <t>https://example.com/#plan/MS-009</t>
        </is>
      </c>
      <c r="I10" s="46" t="n"/>
      <c r="J10" s="49" t="str">
        <f>IF($D10="","",IFERROR(IF($C10="Product",INDEX(Products!$B$2:$B$101,MATCH($D10,Products!$A$2:$A$101,0))&amp;"",IF($C10="Campaign",INDEX(Marketing!$B$2:$B$101,MATCH($D10,Marketing!$A$2:$A$101,0))&amp;"","")),"(not found)"))</f>
        <v>Whey Protein Isolate, Vanilla, 2 lb</v>
      </c>
      <c r="K10" s="49" t="str">
        <f>IF(COUNTA($A10:$I10)=0,"",IF($A10="","Missing: milestone ID",IF(COUNTIF($A$2:$A$201,$A10)&gt;1,"Duplicate milestone ID",IF(NOT(ISNUMBER($B10)),"Missing: date",IF($C10="","Missing: kind",IF($D10="","Missing: product or campaign ID",IF($E10="","Missing: milestone",IF($F10="","Missing: responsible person",IF($G10="","Missing: status",IF(COUNTIF(Config!$U$15:$U$34,$C10)=0,"Unsupported kind",IF(AND($C10="Product",COUNTIF(Products!$A$2:$A$101,$D10)=0),"Unknown product ID",IF(AND($C10="Campaign",COUNTIF(Marketing!$A$2:$A$101,$D10)=0),"Unknown campaign ID",IF(COUNTIF(Config!$V$15:$V$34,$G10)=0,"Unsupported status","OK")))))))))))))</f>
        <v>OK</v>
      </c>
    </row>
    <row r="11">
      <c r="A11" s="46" t="inlineStr">
        <is>
          <t>MS-010</t>
        </is>
      </c>
      <c r="B11" s="54" t="n">
        <v>46315</v>
      </c>
      <c r="C11" s="46" t="inlineStr">
        <is>
          <t>Product</t>
        </is>
      </c>
      <c r="D11" s="46" t="inlineStr">
        <is>
          <t>WPI-CHO-2LB</t>
        </is>
      </c>
      <c r="E11" s="46" t="inlineStr">
        <is>
          <t>Restock arrives (PO-2026-030)</t>
        </is>
      </c>
      <c r="F11" s="46" t="inlineStr">
        <is>
          <t>Luis Romero</t>
        </is>
      </c>
      <c r="G11" s="46" t="inlineStr">
        <is>
          <t>On track</t>
        </is>
      </c>
      <c r="H11" s="46" t="inlineStr">
        <is>
          <t>https://example.com/#plan/MS-010</t>
        </is>
      </c>
      <c r="I11" s="46" t="n"/>
      <c r="J11" s="49" t="str">
        <f>IF($D11="","",IFERROR(IF($C11="Product",INDEX(Products!$B$2:$B$101,MATCH($D11,Products!$A$2:$A$101,0))&amp;"",IF($C11="Campaign",INDEX(Marketing!$B$2:$B$101,MATCH($D11,Marketing!$A$2:$A$101,0))&amp;"","")),"(not found)"))</f>
        <v>Whey Protein Isolate, Chocolate, 2 lb</v>
      </c>
      <c r="K11" s="49" t="str">
        <f>IF(COUNTA($A11:$I11)=0,"",IF($A11="","Missing: milestone ID",IF(COUNTIF($A$2:$A$201,$A11)&gt;1,"Duplicate milestone ID",IF(NOT(ISNUMBER($B11)),"Missing: date",IF($C11="","Missing: kind",IF($D11="","Missing: product or campaign ID",IF($E11="","Missing: milestone",IF($F11="","Missing: responsible person",IF($G11="","Missing: status",IF(COUNTIF(Config!$U$15:$U$34,$C11)=0,"Unsupported kind",IF(AND($C11="Product",COUNTIF(Products!$A$2:$A$101,$D11)=0),"Unknown product ID",IF(AND($C11="Campaign",COUNTIF(Marketing!$A$2:$A$101,$D11)=0),"Unknown campaign ID",IF(COUNTIF(Config!$V$15:$V$34,$G11)=0,"Unsupported status","OK")))))))))))))</f>
        <v>OK</v>
      </c>
    </row>
    <row r="12">
      <c r="A12" s="46" t="inlineStr">
        <is>
          <t>MS-011</t>
        </is>
      </c>
      <c r="B12" s="54" t="n">
        <v>46319</v>
      </c>
      <c r="C12" s="46" t="inlineStr">
        <is>
          <t>Campaign</t>
        </is>
      </c>
      <c r="D12" s="46" t="inlineStr">
        <is>
          <t>CMP-2026-06</t>
        </is>
      </c>
      <c r="E12" s="46" t="inlineStr">
        <is>
          <t>Creative due</t>
        </is>
      </c>
      <c r="F12" s="46" t="inlineStr">
        <is>
          <t>Maya Torres</t>
        </is>
      </c>
      <c r="G12" s="46" t="inlineStr">
        <is>
          <t>On track</t>
        </is>
      </c>
      <c r="H12" s="46" t="inlineStr">
        <is>
          <t>https://example.com/#plan/MS-011</t>
        </is>
      </c>
      <c r="I12" s="46" t="n"/>
      <c r="J12" s="49" t="str">
        <f>IF($D12="","",IFERROR(IF($C12="Product",INDEX(Products!$B$2:$B$101,MATCH($D12,Products!$A$2:$A$101,0))&amp;"",IF($C12="Campaign",INDEX(Marketing!$B$2:$B$101,MATCH($D12,Marketing!$A$2:$A$101,0))&amp;"","")),"(not found)"))</f>
        <v>Watermelon Flavour Drop</v>
      </c>
      <c r="K12" s="49" t="str">
        <f>IF(COUNTA($A12:$I12)=0,"",IF($A12="","Missing: milestone ID",IF(COUNTIF($A$2:$A$201,$A12)&gt;1,"Duplicate milestone ID",IF(NOT(ISNUMBER($B12)),"Missing: date",IF($C12="","Missing: kind",IF($D12="","Missing: product or campaign ID",IF($E12="","Missing: milestone",IF($F12="","Missing: responsible person",IF($G12="","Missing: status",IF(COUNTIF(Config!$U$15:$U$34,$C12)=0,"Unsupported kind",IF(AND($C12="Product",COUNTIF(Products!$A$2:$A$101,$D12)=0),"Unknown product ID",IF(AND($C12="Campaign",COUNTIF(Marketing!$A$2:$A$101,$D12)=0),"Unknown campaign ID",IF(COUNTIF(Config!$V$15:$V$34,$G12)=0,"Unsupported status","OK")))))))))))))</f>
        <v>OK</v>
      </c>
    </row>
    <row r="13">
      <c r="A13" s="46" t="inlineStr">
        <is>
          <t>MS-012</t>
        </is>
      </c>
      <c r="B13" s="54" t="n">
        <v>46323</v>
      </c>
      <c r="C13" s="46" t="inlineStr">
        <is>
          <t>Campaign</t>
        </is>
      </c>
      <c r="D13" s="46" t="inlineStr">
        <is>
          <t>CMP-2026-07</t>
        </is>
      </c>
      <c r="E13" s="46" t="inlineStr">
        <is>
          <t>Budget approval</t>
        </is>
      </c>
      <c r="F13" s="46" t="inlineStr">
        <is>
          <t>Sam Whitfield</t>
        </is>
      </c>
      <c r="G13" s="46" t="inlineStr">
        <is>
          <t>At risk</t>
        </is>
      </c>
      <c r="H13" s="46" t="inlineStr">
        <is>
          <t>https://example.com/#plan/MS-012</t>
        </is>
      </c>
      <c r="I13" s="46" t="n"/>
      <c r="J13" s="49" t="str">
        <f>IF($D13="","",IFERROR(IF($C13="Product",INDEX(Products!$B$2:$B$101,MATCH($D13,Products!$A$2:$A$101,0))&amp;"",IF($C13="Campaign",INDEX(Marketing!$B$2:$B$101,MATCH($D13,Marketing!$A$2:$A$101,0))&amp;"","")),"(not found)"))</f>
        <v>Holiday Gift Bundles</v>
      </c>
      <c r="K13" s="49" t="str">
        <f>IF(COUNTA($A13:$I13)=0,"",IF($A13="","Missing: milestone ID",IF(COUNTIF($A$2:$A$201,$A13)&gt;1,"Duplicate milestone ID",IF(NOT(ISNUMBER($B13)),"Missing: date",IF($C13="","Missing: kind",IF($D13="","Missing: product or campaign ID",IF($E13="","Missing: milestone",IF($F13="","Missing: responsible person",IF($G13="","Missing: status",IF(COUNTIF(Config!$U$15:$U$34,$C13)=0,"Unsupported kind",IF(AND($C13="Product",COUNTIF(Products!$A$2:$A$101,$D13)=0),"Unknown product ID",IF(AND($C13="Campaign",COUNTIF(Marketing!$A$2:$A$101,$D13)=0),"Unknown campaign ID",IF(COUNTIF(Config!$V$15:$V$34,$G13)=0,"Unsupported status","OK")))))))))))))</f>
        <v>OK</v>
      </c>
    </row>
    <row r="14">
      <c r="A14" s="46" t="inlineStr">
        <is>
          <t>MS-013</t>
        </is>
      </c>
      <c r="B14" s="54" t="n">
        <v>46326</v>
      </c>
      <c r="C14" s="46" t="inlineStr">
        <is>
          <t>Product</t>
        </is>
      </c>
      <c r="D14" s="46" t="inlineStr">
        <is>
          <t>BAR-PBC-12</t>
        </is>
      </c>
      <c r="E14" s="46" t="inlineStr">
        <is>
          <t>Lot PBC2511A expires (clearance deadline)</t>
        </is>
      </c>
      <c r="F14" s="46" t="inlineStr">
        <is>
          <t>Maya Torres</t>
        </is>
      </c>
      <c r="G14" s="46" t="inlineStr">
        <is>
          <t>At risk</t>
        </is>
      </c>
      <c r="H14" s="46" t="inlineStr">
        <is>
          <t>https://example.com/#plan/MS-013</t>
        </is>
      </c>
      <c r="I14" s="46" t="n"/>
      <c r="J14" s="49" t="str">
        <f>IF($D14="","",IFERROR(IF($C14="Product",INDEX(Products!$B$2:$B$101,MATCH($D14,Products!$A$2:$A$101,0))&amp;"",IF($C14="Campaign",INDEX(Marketing!$B$2:$B$101,MATCH($D14,Marketing!$A$2:$A$101,0))&amp;"","")),"(not found)"))</f>
        <v>Protein Bar, Peanut Butter Chocolate, 12-pack</v>
      </c>
      <c r="K14" s="49" t="str">
        <f>IF(COUNTA($A14:$I14)=0,"",IF($A14="","Missing: milestone ID",IF(COUNTIF($A$2:$A$201,$A14)&gt;1,"Duplicate milestone ID",IF(NOT(ISNUMBER($B14)),"Missing: date",IF($C14="","Missing: kind",IF($D14="","Missing: product or campaign ID",IF($E14="","Missing: milestone",IF($F14="","Missing: responsible person",IF($G14="","Missing: status",IF(COUNTIF(Config!$U$15:$U$34,$C14)=0,"Unsupported kind",IF(AND($C14="Product",COUNTIF(Products!$A$2:$A$101,$D14)=0),"Unknown product ID",IF(AND($C14="Campaign",COUNTIF(Marketing!$A$2:$A$101,$D14)=0),"Unknown campaign ID",IF(COUNTIF(Config!$V$15:$V$34,$G14)=0,"Unsupported status","OK")))))))))))))</f>
        <v>OK</v>
      </c>
    </row>
    <row r="15">
      <c r="A15" s="46" t="inlineStr">
        <is>
          <t>MS-014</t>
        </is>
      </c>
      <c r="B15" s="54" t="n">
        <v>46329</v>
      </c>
      <c r="C15" s="46" t="inlineStr">
        <is>
          <t>Campaign</t>
        </is>
      </c>
      <c r="D15" s="46" t="inlineStr">
        <is>
          <t>CMP-2026-06</t>
        </is>
      </c>
      <c r="E15" s="46" t="inlineStr">
        <is>
          <t>Launch: watermelon flavour drop</t>
        </is>
      </c>
      <c r="F15" s="46" t="inlineStr">
        <is>
          <t>Maya Torres</t>
        </is>
      </c>
      <c r="G15" s="46" t="inlineStr">
        <is>
          <t>Planned</t>
        </is>
      </c>
      <c r="H15" s="46" t="inlineStr">
        <is>
          <t>https://example.com/#plan/MS-014</t>
        </is>
      </c>
      <c r="I15" s="46" t="n"/>
      <c r="J15" s="49" t="str">
        <f>IF($D15="","",IFERROR(IF($C15="Product",INDEX(Products!$B$2:$B$101,MATCH($D15,Products!$A$2:$A$101,0))&amp;"",IF($C15="Campaign",INDEX(Marketing!$B$2:$B$101,MATCH($D15,Marketing!$A$2:$A$101,0))&amp;"","")),"(not found)"))</f>
        <v>Watermelon Flavour Drop</v>
      </c>
      <c r="K15" s="49" t="str">
        <f>IF(COUNTA($A15:$I15)=0,"",IF($A15="","Missing: milestone ID",IF(COUNTIF($A$2:$A$201,$A15)&gt;1,"Duplicate milestone ID",IF(NOT(ISNUMBER($B15)),"Missing: date",IF($C15="","Missing: kind",IF($D15="","Missing: product or campaign ID",IF($E15="","Missing: milestone",IF($F15="","Missing: responsible person",IF($G15="","Missing: status",IF(COUNTIF(Config!$U$15:$U$34,$C15)=0,"Unsupported kind",IF(AND($C15="Product",COUNTIF(Products!$A$2:$A$101,$D15)=0),"Unknown product ID",IF(AND($C15="Campaign",COUNTIF(Marketing!$A$2:$A$101,$D15)=0),"Unknown campaign ID",IF(COUNTIF(Config!$V$15:$V$34,$G15)=0,"Unsupported status","OK")))))))))))))</f>
        <v>OK</v>
      </c>
    </row>
    <row r="16">
      <c r="A16" s="46" t="inlineStr">
        <is>
          <t>MS-015</t>
        </is>
      </c>
      <c r="B16" s="54" t="n">
        <v>46332</v>
      </c>
      <c r="C16" s="46" t="inlineStr">
        <is>
          <t>Campaign</t>
        </is>
      </c>
      <c r="D16" s="46" t="inlineStr">
        <is>
          <t>CMP-2026-04</t>
        </is>
      </c>
      <c r="E16" s="46" t="inlineStr">
        <is>
          <t>Final creator results report</t>
        </is>
      </c>
      <c r="F16" s="46" t="inlineStr">
        <is>
          <t>Hannah Becker</t>
        </is>
      </c>
      <c r="G16" s="46" t="inlineStr">
        <is>
          <t>Planned</t>
        </is>
      </c>
      <c r="H16" s="46" t="inlineStr">
        <is>
          <t>https://example.com/#plan/MS-015</t>
        </is>
      </c>
      <c r="I16" s="46" t="n"/>
      <c r="J16" s="49" t="str">
        <f>IF($D16="","",IFERROR(IF($C16="Product",INDEX(Products!$B$2:$B$101,MATCH($D16,Products!$A$2:$A$101,0))&amp;"",IF($C16="Campaign",INDEX(Marketing!$B$2:$B$101,MATCH($D16,Marketing!$A$2:$A$101,0))&amp;"","")),"(not found)"))</f>
        <v>Cookie Dough Bar Creator Push</v>
      </c>
      <c r="K16" s="49" t="str">
        <f>IF(COUNTA($A16:$I16)=0,"",IF($A16="","Missing: milestone ID",IF(COUNTIF($A$2:$A$201,$A16)&gt;1,"Duplicate milestone ID",IF(NOT(ISNUMBER($B16)),"Missing: date",IF($C16="","Missing: kind",IF($D16="","Missing: product or campaign ID",IF($E16="","Missing: milestone",IF($F16="","Missing: responsible person",IF($G16="","Missing: status",IF(COUNTIF(Config!$U$15:$U$34,$C16)=0,"Unsupported kind",IF(AND($C16="Product",COUNTIF(Products!$A$2:$A$101,$D16)=0),"Unknown product ID",IF(AND($C16="Campaign",COUNTIF(Marketing!$A$2:$A$101,$D16)=0),"Unknown campaign ID",IF(COUNTIF(Config!$V$15:$V$34,$G16)=0,"Unsupported status","OK")))))))))))))</f>
        <v>OK</v>
      </c>
    </row>
    <row r="17">
      <c r="A17" s="46" t="inlineStr">
        <is>
          <t>MS-016</t>
        </is>
      </c>
      <c r="B17" s="54" t="n">
        <v>46345</v>
      </c>
      <c r="C17" s="46" t="inlineStr">
        <is>
          <t>Product</t>
        </is>
      </c>
      <c r="D17" s="46" t="inlineStr">
        <is>
          <t>CAS-CHO-2LB</t>
        </is>
      </c>
      <c r="E17" s="46" t="inlineStr">
        <is>
          <t>Restock due (PO-2026-032)</t>
        </is>
      </c>
      <c r="F17" s="46" t="inlineStr">
        <is>
          <t>Luis Romero</t>
        </is>
      </c>
      <c r="G17" s="46" t="inlineStr">
        <is>
          <t>Planned</t>
        </is>
      </c>
      <c r="H17" s="46" t="inlineStr">
        <is>
          <t>https://example.com/#plan/MS-016</t>
        </is>
      </c>
      <c r="I17" s="46" t="n"/>
      <c r="J17" s="49" t="str">
        <f>IF($D17="","",IFERROR(IF($C17="Product",INDEX(Products!$B$2:$B$101,MATCH($D17,Products!$A$2:$A$101,0))&amp;"",IF($C17="Campaign",INDEX(Marketing!$B$2:$B$101,MATCH($D17,Marketing!$A$2:$A$101,0))&amp;"","")),"(not found)"))</f>
        <v>Micellar Casein, Chocolate, 2 lb</v>
      </c>
      <c r="K17" s="49" t="str">
        <f>IF(COUNTA($A17:$I17)=0,"",IF($A17="","Missing: milestone ID",IF(COUNTIF($A$2:$A$201,$A17)&gt;1,"Duplicate milestone ID",IF(NOT(ISNUMBER($B17)),"Missing: date",IF($C17="","Missing: kind",IF($D17="","Missing: product or campaign ID",IF($E17="","Missing: milestone",IF($F17="","Missing: responsible person",IF($G17="","Missing: status",IF(COUNTIF(Config!$U$15:$U$34,$C17)=0,"Unsupported kind",IF(AND($C17="Product",COUNTIF(Products!$A$2:$A$101,$D17)=0),"Unknown product ID",IF(AND($C17="Campaign",COUNTIF(Marketing!$A$2:$A$101,$D17)=0),"Unknown campaign ID",IF(COUNTIF(Config!$V$15:$V$34,$G17)=0,"Unsupported status","OK")))))))))))))</f>
        <v>OK</v>
      </c>
    </row>
    <row r="18">
      <c r="A18" s="46" t="inlineStr">
        <is>
          <t>MS-017</t>
        </is>
      </c>
      <c r="B18" s="54" t="n">
        <v>46346</v>
      </c>
      <c r="C18" s="46" t="inlineStr">
        <is>
          <t>Campaign</t>
        </is>
      </c>
      <c r="D18" s="46" t="inlineStr">
        <is>
          <t>CMP-2026-07</t>
        </is>
      </c>
      <c r="E18" s="46" t="inlineStr">
        <is>
          <t>Launch: holiday gift bundles</t>
        </is>
      </c>
      <c r="F18" s="46" t="inlineStr">
        <is>
          <t>Maya Torres</t>
        </is>
      </c>
      <c r="G18" s="46" t="inlineStr">
        <is>
          <t>Planned</t>
        </is>
      </c>
      <c r="H18" s="46" t="inlineStr">
        <is>
          <t>https://example.com/#plan/MS-017</t>
        </is>
      </c>
      <c r="I18" s="46" t="n"/>
      <c r="J18" s="49" t="str">
        <f>IF($D18="","",IFERROR(IF($C18="Product",INDEX(Products!$B$2:$B$101,MATCH($D18,Products!$A$2:$A$101,0))&amp;"",IF($C18="Campaign",INDEX(Marketing!$B$2:$B$101,MATCH($D18,Marketing!$A$2:$A$101,0))&amp;"","")),"(not found)"))</f>
        <v>Holiday Gift Bundles</v>
      </c>
      <c r="K18" s="49" t="str">
        <f>IF(COUNTA($A18:$I18)=0,"",IF($A18="","Missing: milestone ID",IF(COUNTIF($A$2:$A$201,$A18)&gt;1,"Duplicate milestone ID",IF(NOT(ISNUMBER($B18)),"Missing: date",IF($C18="","Missing: kind",IF($D18="","Missing: product or campaign ID",IF($E18="","Missing: milestone",IF($F18="","Missing: responsible person",IF($G18="","Missing: status",IF(COUNTIF(Config!$U$15:$U$34,$C18)=0,"Unsupported kind",IF(AND($C18="Product",COUNTIF(Products!$A$2:$A$101,$D18)=0),"Unknown product ID",IF(AND($C18="Campaign",COUNTIF(Marketing!$A$2:$A$101,$D18)=0),"Unknown campaign ID",IF(COUNTIF(Config!$V$15:$V$34,$G18)=0,"Unsupported status","OK")))))))))))))</f>
        <v>OK</v>
      </c>
    </row>
    <row r="19">
      <c r="A19" s="46" t="inlineStr">
        <is>
          <t>MS-018</t>
        </is>
      </c>
      <c r="B19" s="54" t="n">
        <v>46357</v>
      </c>
      <c r="C19" s="46" t="inlineStr">
        <is>
          <t>Product</t>
        </is>
      </c>
      <c r="D19" s="46" t="inlineStr">
        <is>
          <t>PRE-WTM-30</t>
        </is>
      </c>
      <c r="E19" s="46" t="inlineStr">
        <is>
          <t>New label design reaches stock</t>
        </is>
      </c>
      <c r="F19" s="46" t="inlineStr">
        <is>
          <t>Priya Nair</t>
        </is>
      </c>
      <c r="G19" s="46" t="inlineStr">
        <is>
          <t>Planned</t>
        </is>
      </c>
      <c r="H19" s="46" t="inlineStr">
        <is>
          <t>https://example.com/#plan/MS-018</t>
        </is>
      </c>
      <c r="I19" s="46" t="n"/>
      <c r="J19" s="49" t="str">
        <f>IF($D19="","",IFERROR(IF($C19="Product",INDEX(Products!$B$2:$B$101,MATCH($D19,Products!$A$2:$A$101,0))&amp;"",IF($C19="Campaign",INDEX(Marketing!$B$2:$B$101,MATCH($D19,Marketing!$A$2:$A$101,0))&amp;"","")),"(not found)"))</f>
        <v>Pre-Workout, Watermelon, 30 servings</v>
      </c>
      <c r="K19" s="49" t="str">
        <f>IF(COUNTA($A19:$I19)=0,"",IF($A19="","Missing: milestone ID",IF(COUNTIF($A$2:$A$201,$A19)&gt;1,"Duplicate milestone ID",IF(NOT(ISNUMBER($B19)),"Missing: date",IF($C19="","Missing: kind",IF($D19="","Missing: product or campaign ID",IF($E19="","Missing: milestone",IF($F19="","Missing: responsible person",IF($G19="","Missing: status",IF(COUNTIF(Config!$U$15:$U$34,$C19)=0,"Unsupported kind",IF(AND($C19="Product",COUNTIF(Products!$A$2:$A$101,$D19)=0),"Unknown product ID",IF(AND($C19="Campaign",COUNTIF(Marketing!$A$2:$A$101,$D19)=0),"Unknown campaign ID",IF(COUNTIF(Config!$V$15:$V$34,$G19)=0,"Unsupported status","OK")))))))))))))</f>
        <v>OK</v>
      </c>
    </row>
    <row r="20">
      <c r="A20" s="46" t="inlineStr">
        <is>
          <t>MS-019</t>
        </is>
      </c>
      <c r="B20" s="54" t="n">
        <v>46371</v>
      </c>
      <c r="C20" s="46" t="inlineStr">
        <is>
          <t>Campaign</t>
        </is>
      </c>
      <c r="D20" s="46" t="inlineStr">
        <is>
          <t>CMP-2026-08</t>
        </is>
      </c>
      <c r="E20" s="46" t="inlineStr">
        <is>
          <t>Brief due: New Year Reset</t>
        </is>
      </c>
      <c r="F20" s="46" t="inlineStr">
        <is>
          <t>Hannah Becker</t>
        </is>
      </c>
      <c r="G20" s="46" t="inlineStr">
        <is>
          <t>Planned</t>
        </is>
      </c>
      <c r="H20" s="46" t="inlineStr">
        <is>
          <t>https://example.com/#plan/MS-019</t>
        </is>
      </c>
      <c r="I20" s="46" t="n"/>
      <c r="J20" s="49" t="str">
        <f>IF($D20="","",IFERROR(IF($C20="Product",INDEX(Products!$B$2:$B$101,MATCH($D20,Products!$A$2:$A$101,0))&amp;"",IF($C20="Campaign",INDEX(Marketing!$B$2:$B$101,MATCH($D20,Marketing!$A$2:$A$101,0))&amp;"","")),"(not found)"))</f>
        <v>New Year Reset</v>
      </c>
      <c r="K20" s="49" t="str">
        <f>IF(COUNTA($A20:$I20)=0,"",IF($A20="","Missing: milestone ID",IF(COUNTIF($A$2:$A$201,$A20)&gt;1,"Duplicate milestone ID",IF(NOT(ISNUMBER($B20)),"Missing: date",IF($C20="","Missing: kind",IF($D20="","Missing: product or campaign ID",IF($E20="","Missing: milestone",IF($F20="","Missing: responsible person",IF($G20="","Missing: status",IF(COUNTIF(Config!$U$15:$U$34,$C20)=0,"Unsupported kind",IF(AND($C20="Product",COUNTIF(Products!$A$2:$A$101,$D20)=0),"Unknown product ID",IF(AND($C20="Campaign",COUNTIF(Marketing!$A$2:$A$101,$D20)=0),"Unknown campaign ID",IF(COUNTIF(Config!$V$15:$V$34,$G20)=0,"Unsupported status","OK")))))))))))))</f>
        <v>OK</v>
      </c>
    </row>
    <row r="21">
      <c r="A21" s="46" t="inlineStr">
        <is>
          <t>MS-020</t>
        </is>
      </c>
      <c r="B21" s="54" t="n">
        <v>46389</v>
      </c>
      <c r="C21" s="46" t="inlineStr">
        <is>
          <t>Campaign</t>
        </is>
      </c>
      <c r="D21" s="46" t="inlineStr">
        <is>
          <t>CMP-2026-08</t>
        </is>
      </c>
      <c r="E21" s="46" t="inlineStr">
        <is>
          <t>Launch: New Year Reset</t>
        </is>
      </c>
      <c r="F21" s="46" t="inlineStr">
        <is>
          <t>Hannah Becker</t>
        </is>
      </c>
      <c r="G21" s="46" t="inlineStr">
        <is>
          <t>Planned</t>
        </is>
      </c>
      <c r="H21" s="46" t="inlineStr">
        <is>
          <t>https://example.com/#plan/MS-020</t>
        </is>
      </c>
      <c r="I21" s="46" t="n"/>
      <c r="J21" s="49" t="str">
        <f>IF($D21="","",IFERROR(IF($C21="Product",INDEX(Products!$B$2:$B$101,MATCH($D21,Products!$A$2:$A$101,0))&amp;"",IF($C21="Campaign",INDEX(Marketing!$B$2:$B$101,MATCH($D21,Marketing!$A$2:$A$101,0))&amp;"","")),"(not found)"))</f>
        <v>New Year Reset</v>
      </c>
      <c r="K21" s="49" t="str">
        <f>IF(COUNTA($A21:$I21)=0,"",IF($A21="","Missing: milestone ID",IF(COUNTIF($A$2:$A$201,$A21)&gt;1,"Duplicate milestone ID",IF(NOT(ISNUMBER($B21)),"Missing: date",IF($C21="","Missing: kind",IF($D21="","Missing: product or campaign ID",IF($E21="","Missing: milestone",IF($F21="","Missing: responsible person",IF($G21="","Missing: status",IF(COUNTIF(Config!$U$15:$U$34,$C21)=0,"Unsupported kind",IF(AND($C21="Product",COUNTIF(Products!$A$2:$A$101,$D21)=0),"Unknown product ID",IF(AND($C21="Campaign",COUNTIF(Marketing!$A$2:$A$101,$D21)=0),"Unknown campaign ID",IF(COUNTIF(Config!$V$15:$V$34,$G21)=0,"Unsupported status","OK")))))))))))))</f>
        <v>OK</v>
      </c>
    </row>
    <row r="22">
      <c r="A22" s="46" t="n"/>
      <c r="B22" s="54" t="n"/>
      <c r="C22" s="46" t="n"/>
      <c r="D22" s="46" t="n"/>
      <c r="E22" s="46" t="n"/>
      <c r="F22" s="46" t="n"/>
      <c r="G22" s="46" t="n"/>
      <c r="H22" s="46" t="n"/>
      <c r="I22" s="46" t="n"/>
      <c r="J22" s="49" t="str">
        <f>IF($D22="","",IFERROR(IF($C22="Product",INDEX(Products!$B$2:$B$101,MATCH($D22,Products!$A$2:$A$101,0))&amp;"",IF($C22="Campaign",INDEX(Marketing!$B$2:$B$101,MATCH($D22,Marketing!$A$2:$A$101,0))&amp;"","")),"(not found)"))</f>
        <v/>
      </c>
      <c r="K22" s="49" t="str">
        <f>IF(COUNTA($A22:$I22)=0,"",IF($A22="","Missing: milestone ID",IF(COUNTIF($A$2:$A$201,$A22)&gt;1,"Duplicate milestone ID",IF(NOT(ISNUMBER($B22)),"Missing: date",IF($C22="","Missing: kind",IF($D22="","Missing: product or campaign ID",IF($E22="","Missing: milestone",IF($F22="","Missing: responsible person",IF($G22="","Missing: status",IF(COUNTIF(Config!$U$15:$U$34,$C22)=0,"Unsupported kind",IF(AND($C22="Product",COUNTIF(Products!$A$2:$A$101,$D22)=0),"Unknown product ID",IF(AND($C22="Campaign",COUNTIF(Marketing!$A$2:$A$101,$D22)=0),"Unknown campaign ID",IF(COUNTIF(Config!$V$15:$V$34,$G22)=0,"Unsupported status","OK")))))))))))))</f>
        <v/>
      </c>
    </row>
    <row r="23">
      <c r="A23" s="46" t="n"/>
      <c r="B23" s="54" t="n"/>
      <c r="C23" s="46" t="n"/>
      <c r="D23" s="46" t="n"/>
      <c r="E23" s="46" t="n"/>
      <c r="F23" s="46" t="n"/>
      <c r="G23" s="46" t="n"/>
      <c r="H23" s="46" t="n"/>
      <c r="I23" s="46" t="n"/>
      <c r="J23" s="49" t="str">
        <f>IF($D23="","",IFERROR(IF($C23="Product",INDEX(Products!$B$2:$B$101,MATCH($D23,Products!$A$2:$A$101,0))&amp;"",IF($C23="Campaign",INDEX(Marketing!$B$2:$B$101,MATCH($D23,Marketing!$A$2:$A$101,0))&amp;"","")),"(not found)"))</f>
        <v/>
      </c>
      <c r="K23" s="49" t="str">
        <f>IF(COUNTA($A23:$I23)=0,"",IF($A23="","Missing: milestone ID",IF(COUNTIF($A$2:$A$201,$A23)&gt;1,"Duplicate milestone ID",IF(NOT(ISNUMBER($B23)),"Missing: date",IF($C23="","Missing: kind",IF($D23="","Missing: product or campaign ID",IF($E23="","Missing: milestone",IF($F23="","Missing: responsible person",IF($G23="","Missing: status",IF(COUNTIF(Config!$U$15:$U$34,$C23)=0,"Unsupported kind",IF(AND($C23="Product",COUNTIF(Products!$A$2:$A$101,$D23)=0),"Unknown product ID",IF(AND($C23="Campaign",COUNTIF(Marketing!$A$2:$A$101,$D23)=0),"Unknown campaign ID",IF(COUNTIF(Config!$V$15:$V$34,$G23)=0,"Unsupported status","OK")))))))))))))</f>
        <v/>
      </c>
    </row>
    <row r="24">
      <c r="A24" s="46" t="n"/>
      <c r="B24" s="54" t="n"/>
      <c r="C24" s="46" t="n"/>
      <c r="D24" s="46" t="n"/>
      <c r="E24" s="46" t="n"/>
      <c r="F24" s="46" t="n"/>
      <c r="G24" s="46" t="n"/>
      <c r="H24" s="46" t="n"/>
      <c r="I24" s="46" t="n"/>
      <c r="J24" s="49" t="str">
        <f>IF($D24="","",IFERROR(IF($C24="Product",INDEX(Products!$B$2:$B$101,MATCH($D24,Products!$A$2:$A$101,0))&amp;"",IF($C24="Campaign",INDEX(Marketing!$B$2:$B$101,MATCH($D24,Marketing!$A$2:$A$101,0))&amp;"","")),"(not found)"))</f>
        <v/>
      </c>
      <c r="K24" s="49" t="str">
        <f>IF(COUNTA($A24:$I24)=0,"",IF($A24="","Missing: milestone ID",IF(COUNTIF($A$2:$A$201,$A24)&gt;1,"Duplicate milestone ID",IF(NOT(ISNUMBER($B24)),"Missing: date",IF($C24="","Missing: kind",IF($D24="","Missing: product or campaign ID",IF($E24="","Missing: milestone",IF($F24="","Missing: responsible person",IF($G24="","Missing: status",IF(COUNTIF(Config!$U$15:$U$34,$C24)=0,"Unsupported kind",IF(AND($C24="Product",COUNTIF(Products!$A$2:$A$101,$D24)=0),"Unknown product ID",IF(AND($C24="Campaign",COUNTIF(Marketing!$A$2:$A$101,$D24)=0),"Unknown campaign ID",IF(COUNTIF(Config!$V$15:$V$34,$G24)=0,"Unsupported status","OK")))))))))))))</f>
        <v/>
      </c>
    </row>
    <row r="25">
      <c r="A25" s="46" t="n"/>
      <c r="B25" s="54" t="n"/>
      <c r="C25" s="46" t="n"/>
      <c r="D25" s="46" t="n"/>
      <c r="E25" s="46" t="n"/>
      <c r="F25" s="46" t="n"/>
      <c r="G25" s="46" t="n"/>
      <c r="H25" s="46" t="n"/>
      <c r="I25" s="46" t="n"/>
      <c r="J25" s="49" t="str">
        <f>IF($D25="","",IFERROR(IF($C25="Product",INDEX(Products!$B$2:$B$101,MATCH($D25,Products!$A$2:$A$101,0))&amp;"",IF($C25="Campaign",INDEX(Marketing!$B$2:$B$101,MATCH($D25,Marketing!$A$2:$A$101,0))&amp;"","")),"(not found)"))</f>
        <v/>
      </c>
      <c r="K25" s="49" t="str">
        <f>IF(COUNTA($A25:$I25)=0,"",IF($A25="","Missing: milestone ID",IF(COUNTIF($A$2:$A$201,$A25)&gt;1,"Duplicate milestone ID",IF(NOT(ISNUMBER($B25)),"Missing: date",IF($C25="","Missing: kind",IF($D25="","Missing: product or campaign ID",IF($E25="","Missing: milestone",IF($F25="","Missing: responsible person",IF($G25="","Missing: status",IF(COUNTIF(Config!$U$15:$U$34,$C25)=0,"Unsupported kind",IF(AND($C25="Product",COUNTIF(Products!$A$2:$A$101,$D25)=0),"Unknown product ID",IF(AND($C25="Campaign",COUNTIF(Marketing!$A$2:$A$101,$D25)=0),"Unknown campaign ID",IF(COUNTIF(Config!$V$15:$V$34,$G25)=0,"Unsupported status","OK")))))))))))))</f>
        <v/>
      </c>
    </row>
    <row r="26">
      <c r="A26" s="46" t="n"/>
      <c r="B26" s="54" t="n"/>
      <c r="C26" s="46" t="n"/>
      <c r="D26" s="46" t="n"/>
      <c r="E26" s="46" t="n"/>
      <c r="F26" s="46" t="n"/>
      <c r="G26" s="46" t="n"/>
      <c r="H26" s="46" t="n"/>
      <c r="I26" s="46" t="n"/>
      <c r="J26" s="49" t="str">
        <f>IF($D26="","",IFERROR(IF($C26="Product",INDEX(Products!$B$2:$B$101,MATCH($D26,Products!$A$2:$A$101,0))&amp;"",IF($C26="Campaign",INDEX(Marketing!$B$2:$B$101,MATCH($D26,Marketing!$A$2:$A$101,0))&amp;"","")),"(not found)"))</f>
        <v/>
      </c>
      <c r="K26" s="49" t="str">
        <f>IF(COUNTA($A26:$I26)=0,"",IF($A26="","Missing: milestone ID",IF(COUNTIF($A$2:$A$201,$A26)&gt;1,"Duplicate milestone ID",IF(NOT(ISNUMBER($B26)),"Missing: date",IF($C26="","Missing: kind",IF($D26="","Missing: product or campaign ID",IF($E26="","Missing: milestone",IF($F26="","Missing: responsible person",IF($G26="","Missing: status",IF(COUNTIF(Config!$U$15:$U$34,$C26)=0,"Unsupported kind",IF(AND($C26="Product",COUNTIF(Products!$A$2:$A$101,$D26)=0),"Unknown product ID",IF(AND($C26="Campaign",COUNTIF(Marketing!$A$2:$A$101,$D26)=0),"Unknown campaign ID",IF(COUNTIF(Config!$V$15:$V$34,$G26)=0,"Unsupported status","OK")))))))))))))</f>
        <v/>
      </c>
    </row>
    <row r="27">
      <c r="A27" s="46" t="n"/>
      <c r="B27" s="54" t="n"/>
      <c r="C27" s="46" t="n"/>
      <c r="D27" s="46" t="n"/>
      <c r="E27" s="46" t="n"/>
      <c r="F27" s="46" t="n"/>
      <c r="G27" s="46" t="n"/>
      <c r="H27" s="46" t="n"/>
      <c r="I27" s="46" t="n"/>
      <c r="J27" s="49" t="str">
        <f>IF($D27="","",IFERROR(IF($C27="Product",INDEX(Products!$B$2:$B$101,MATCH($D27,Products!$A$2:$A$101,0))&amp;"",IF($C27="Campaign",INDEX(Marketing!$B$2:$B$101,MATCH($D27,Marketing!$A$2:$A$101,0))&amp;"","")),"(not found)"))</f>
        <v/>
      </c>
      <c r="K27" s="49" t="str">
        <f>IF(COUNTA($A27:$I27)=0,"",IF($A27="","Missing: milestone ID",IF(COUNTIF($A$2:$A$201,$A27)&gt;1,"Duplicate milestone ID",IF(NOT(ISNUMBER($B27)),"Missing: date",IF($C27="","Missing: kind",IF($D27="","Missing: product or campaign ID",IF($E27="","Missing: milestone",IF($F27="","Missing: responsible person",IF($G27="","Missing: status",IF(COUNTIF(Config!$U$15:$U$34,$C27)=0,"Unsupported kind",IF(AND($C27="Product",COUNTIF(Products!$A$2:$A$101,$D27)=0),"Unknown product ID",IF(AND($C27="Campaign",COUNTIF(Marketing!$A$2:$A$101,$D27)=0),"Unknown campaign ID",IF(COUNTIF(Config!$V$15:$V$34,$G27)=0,"Unsupported status","OK")))))))))))))</f>
        <v/>
      </c>
    </row>
    <row r="28">
      <c r="A28" s="46" t="n"/>
      <c r="B28" s="54" t="n"/>
      <c r="C28" s="46" t="n"/>
      <c r="D28" s="46" t="n"/>
      <c r="E28" s="46" t="n"/>
      <c r="F28" s="46" t="n"/>
      <c r="G28" s="46" t="n"/>
      <c r="H28" s="46" t="n"/>
      <c r="I28" s="46" t="n"/>
      <c r="J28" s="49" t="str">
        <f>IF($D28="","",IFERROR(IF($C28="Product",INDEX(Products!$B$2:$B$101,MATCH($D28,Products!$A$2:$A$101,0))&amp;"",IF($C28="Campaign",INDEX(Marketing!$B$2:$B$101,MATCH($D28,Marketing!$A$2:$A$101,0))&amp;"","")),"(not found)"))</f>
        <v/>
      </c>
      <c r="K28" s="49" t="str">
        <f>IF(COUNTA($A28:$I28)=0,"",IF($A28="","Missing: milestone ID",IF(COUNTIF($A$2:$A$201,$A28)&gt;1,"Duplicate milestone ID",IF(NOT(ISNUMBER($B28)),"Missing: date",IF($C28="","Missing: kind",IF($D28="","Missing: product or campaign ID",IF($E28="","Missing: milestone",IF($F28="","Missing: responsible person",IF($G28="","Missing: status",IF(COUNTIF(Config!$U$15:$U$34,$C28)=0,"Unsupported kind",IF(AND($C28="Product",COUNTIF(Products!$A$2:$A$101,$D28)=0),"Unknown product ID",IF(AND($C28="Campaign",COUNTIF(Marketing!$A$2:$A$101,$D28)=0),"Unknown campaign ID",IF(COUNTIF(Config!$V$15:$V$34,$G28)=0,"Unsupported status","OK")))))))))))))</f>
        <v/>
      </c>
    </row>
    <row r="29">
      <c r="A29" s="46" t="n"/>
      <c r="B29" s="54" t="n"/>
      <c r="C29" s="46" t="n"/>
      <c r="D29" s="46" t="n"/>
      <c r="E29" s="46" t="n"/>
      <c r="F29" s="46" t="n"/>
      <c r="G29" s="46" t="n"/>
      <c r="H29" s="46" t="n"/>
      <c r="I29" s="46" t="n"/>
      <c r="J29" s="49" t="str">
        <f>IF($D29="","",IFERROR(IF($C29="Product",INDEX(Products!$B$2:$B$101,MATCH($D29,Products!$A$2:$A$101,0))&amp;"",IF($C29="Campaign",INDEX(Marketing!$B$2:$B$101,MATCH($D29,Marketing!$A$2:$A$101,0))&amp;"","")),"(not found)"))</f>
        <v/>
      </c>
      <c r="K29" s="49" t="str">
        <f>IF(COUNTA($A29:$I29)=0,"",IF($A29="","Missing: milestone ID",IF(COUNTIF($A$2:$A$201,$A29)&gt;1,"Duplicate milestone ID",IF(NOT(ISNUMBER($B29)),"Missing: date",IF($C29="","Missing: kind",IF($D29="","Missing: product or campaign ID",IF($E29="","Missing: milestone",IF($F29="","Missing: responsible person",IF($G29="","Missing: status",IF(COUNTIF(Config!$U$15:$U$34,$C29)=0,"Unsupported kind",IF(AND($C29="Product",COUNTIF(Products!$A$2:$A$101,$D29)=0),"Unknown product ID",IF(AND($C29="Campaign",COUNTIF(Marketing!$A$2:$A$101,$D29)=0),"Unknown campaign ID",IF(COUNTIF(Config!$V$15:$V$34,$G29)=0,"Unsupported status","OK")))))))))))))</f>
        <v/>
      </c>
    </row>
    <row r="30">
      <c r="A30" s="46" t="n"/>
      <c r="B30" s="54" t="n"/>
      <c r="C30" s="46" t="n"/>
      <c r="D30" s="46" t="n"/>
      <c r="E30" s="46" t="n"/>
      <c r="F30" s="46" t="n"/>
      <c r="G30" s="46" t="n"/>
      <c r="H30" s="46" t="n"/>
      <c r="I30" s="46" t="n"/>
      <c r="J30" s="49" t="str">
        <f>IF($D30="","",IFERROR(IF($C30="Product",INDEX(Products!$B$2:$B$101,MATCH($D30,Products!$A$2:$A$101,0))&amp;"",IF($C30="Campaign",INDEX(Marketing!$B$2:$B$101,MATCH($D30,Marketing!$A$2:$A$101,0))&amp;"","")),"(not found)"))</f>
        <v/>
      </c>
      <c r="K30" s="49" t="str">
        <f>IF(COUNTA($A30:$I30)=0,"",IF($A30="","Missing: milestone ID",IF(COUNTIF($A$2:$A$201,$A30)&gt;1,"Duplicate milestone ID",IF(NOT(ISNUMBER($B30)),"Missing: date",IF($C30="","Missing: kind",IF($D30="","Missing: product or campaign ID",IF($E30="","Missing: milestone",IF($F30="","Missing: responsible person",IF($G30="","Missing: status",IF(COUNTIF(Config!$U$15:$U$34,$C30)=0,"Unsupported kind",IF(AND($C30="Product",COUNTIF(Products!$A$2:$A$101,$D30)=0),"Unknown product ID",IF(AND($C30="Campaign",COUNTIF(Marketing!$A$2:$A$101,$D30)=0),"Unknown campaign ID",IF(COUNTIF(Config!$V$15:$V$34,$G30)=0,"Unsupported status","OK")))))))))))))</f>
        <v/>
      </c>
    </row>
    <row r="31">
      <c r="A31" s="46" t="n"/>
      <c r="B31" s="54" t="n"/>
      <c r="C31" s="46" t="n"/>
      <c r="D31" s="46" t="n"/>
      <c r="E31" s="46" t="n"/>
      <c r="F31" s="46" t="n"/>
      <c r="G31" s="46" t="n"/>
      <c r="H31" s="46" t="n"/>
      <c r="I31" s="46" t="n"/>
      <c r="J31" s="49" t="str">
        <f>IF($D31="","",IFERROR(IF($C31="Product",INDEX(Products!$B$2:$B$101,MATCH($D31,Products!$A$2:$A$101,0))&amp;"",IF($C31="Campaign",INDEX(Marketing!$B$2:$B$101,MATCH($D31,Marketing!$A$2:$A$101,0))&amp;"","")),"(not found)"))</f>
        <v/>
      </c>
      <c r="K31" s="49" t="str">
        <f>IF(COUNTA($A31:$I31)=0,"",IF($A31="","Missing: milestone ID",IF(COUNTIF($A$2:$A$201,$A31)&gt;1,"Duplicate milestone ID",IF(NOT(ISNUMBER($B31)),"Missing: date",IF($C31="","Missing: kind",IF($D31="","Missing: product or campaign ID",IF($E31="","Missing: milestone",IF($F31="","Missing: responsible person",IF($G31="","Missing: status",IF(COUNTIF(Config!$U$15:$U$34,$C31)=0,"Unsupported kind",IF(AND($C31="Product",COUNTIF(Products!$A$2:$A$101,$D31)=0),"Unknown product ID",IF(AND($C31="Campaign",COUNTIF(Marketing!$A$2:$A$101,$D31)=0),"Unknown campaign ID",IF(COUNTIF(Config!$V$15:$V$34,$G31)=0,"Unsupported status","OK")))))))))))))</f>
        <v/>
      </c>
    </row>
    <row r="32">
      <c r="A32" s="46" t="n"/>
      <c r="B32" s="54" t="n"/>
      <c r="C32" s="46" t="n"/>
      <c r="D32" s="46" t="n"/>
      <c r="E32" s="46" t="n"/>
      <c r="F32" s="46" t="n"/>
      <c r="G32" s="46" t="n"/>
      <c r="H32" s="46" t="n"/>
      <c r="I32" s="46" t="n"/>
      <c r="J32" s="49" t="str">
        <f>IF($D32="","",IFERROR(IF($C32="Product",INDEX(Products!$B$2:$B$101,MATCH($D32,Products!$A$2:$A$101,0))&amp;"",IF($C32="Campaign",INDEX(Marketing!$B$2:$B$101,MATCH($D32,Marketing!$A$2:$A$101,0))&amp;"","")),"(not found)"))</f>
        <v/>
      </c>
      <c r="K32" s="49" t="str">
        <f>IF(COUNTA($A32:$I32)=0,"",IF($A32="","Missing: milestone ID",IF(COUNTIF($A$2:$A$201,$A32)&gt;1,"Duplicate milestone ID",IF(NOT(ISNUMBER($B32)),"Missing: date",IF($C32="","Missing: kind",IF($D32="","Missing: product or campaign ID",IF($E32="","Missing: milestone",IF($F32="","Missing: responsible person",IF($G32="","Missing: status",IF(COUNTIF(Config!$U$15:$U$34,$C32)=0,"Unsupported kind",IF(AND($C32="Product",COUNTIF(Products!$A$2:$A$101,$D32)=0),"Unknown product ID",IF(AND($C32="Campaign",COUNTIF(Marketing!$A$2:$A$101,$D32)=0),"Unknown campaign ID",IF(COUNTIF(Config!$V$15:$V$34,$G32)=0,"Unsupported status","OK")))))))))))))</f>
        <v/>
      </c>
    </row>
    <row r="33">
      <c r="A33" s="46" t="n"/>
      <c r="B33" s="54" t="n"/>
      <c r="C33" s="46" t="n"/>
      <c r="D33" s="46" t="n"/>
      <c r="E33" s="46" t="n"/>
      <c r="F33" s="46" t="n"/>
      <c r="G33" s="46" t="n"/>
      <c r="H33" s="46" t="n"/>
      <c r="I33" s="46" t="n"/>
      <c r="J33" s="49" t="str">
        <f>IF($D33="","",IFERROR(IF($C33="Product",INDEX(Products!$B$2:$B$101,MATCH($D33,Products!$A$2:$A$101,0))&amp;"",IF($C33="Campaign",INDEX(Marketing!$B$2:$B$101,MATCH($D33,Marketing!$A$2:$A$101,0))&amp;"","")),"(not found)"))</f>
        <v/>
      </c>
      <c r="K33" s="49" t="str">
        <f>IF(COUNTA($A33:$I33)=0,"",IF($A33="","Missing: milestone ID",IF(COUNTIF($A$2:$A$201,$A33)&gt;1,"Duplicate milestone ID",IF(NOT(ISNUMBER($B33)),"Missing: date",IF($C33="","Missing: kind",IF($D33="","Missing: product or campaign ID",IF($E33="","Missing: milestone",IF($F33="","Missing: responsible person",IF($G33="","Missing: status",IF(COUNTIF(Config!$U$15:$U$34,$C33)=0,"Unsupported kind",IF(AND($C33="Product",COUNTIF(Products!$A$2:$A$101,$D33)=0),"Unknown product ID",IF(AND($C33="Campaign",COUNTIF(Marketing!$A$2:$A$101,$D33)=0),"Unknown campaign ID",IF(COUNTIF(Config!$V$15:$V$34,$G33)=0,"Unsupported status","OK")))))))))))))</f>
        <v/>
      </c>
    </row>
    <row r="34">
      <c r="A34" s="46" t="n"/>
      <c r="B34" s="54" t="n"/>
      <c r="C34" s="46" t="n"/>
      <c r="D34" s="46" t="n"/>
      <c r="E34" s="46" t="n"/>
      <c r="F34" s="46" t="n"/>
      <c r="G34" s="46" t="n"/>
      <c r="H34" s="46" t="n"/>
      <c r="I34" s="46" t="n"/>
      <c r="J34" s="49" t="str">
        <f>IF($D34="","",IFERROR(IF($C34="Product",INDEX(Products!$B$2:$B$101,MATCH($D34,Products!$A$2:$A$101,0))&amp;"",IF($C34="Campaign",INDEX(Marketing!$B$2:$B$101,MATCH($D34,Marketing!$A$2:$A$101,0))&amp;"","")),"(not found)"))</f>
        <v/>
      </c>
      <c r="K34" s="49" t="str">
        <f>IF(COUNTA($A34:$I34)=0,"",IF($A34="","Missing: milestone ID",IF(COUNTIF($A$2:$A$201,$A34)&gt;1,"Duplicate milestone ID",IF(NOT(ISNUMBER($B34)),"Missing: date",IF($C34="","Missing: kind",IF($D34="","Missing: product or campaign ID",IF($E34="","Missing: milestone",IF($F34="","Missing: responsible person",IF($G34="","Missing: status",IF(COUNTIF(Config!$U$15:$U$34,$C34)=0,"Unsupported kind",IF(AND($C34="Product",COUNTIF(Products!$A$2:$A$101,$D34)=0),"Unknown product ID",IF(AND($C34="Campaign",COUNTIF(Marketing!$A$2:$A$101,$D34)=0),"Unknown campaign ID",IF(COUNTIF(Config!$V$15:$V$34,$G34)=0,"Unsupported status","OK")))))))))))))</f>
        <v/>
      </c>
    </row>
    <row r="35">
      <c r="A35" s="46" t="n"/>
      <c r="B35" s="54" t="n"/>
      <c r="C35" s="46" t="n"/>
      <c r="D35" s="46" t="n"/>
      <c r="E35" s="46" t="n"/>
      <c r="F35" s="46" t="n"/>
      <c r="G35" s="46" t="n"/>
      <c r="H35" s="46" t="n"/>
      <c r="I35" s="46" t="n"/>
      <c r="J35" s="49" t="str">
        <f>IF($D35="","",IFERROR(IF($C35="Product",INDEX(Products!$B$2:$B$101,MATCH($D35,Products!$A$2:$A$101,0))&amp;"",IF($C35="Campaign",INDEX(Marketing!$B$2:$B$101,MATCH($D35,Marketing!$A$2:$A$101,0))&amp;"","")),"(not found)"))</f>
        <v/>
      </c>
      <c r="K35" s="49" t="str">
        <f>IF(COUNTA($A35:$I35)=0,"",IF($A35="","Missing: milestone ID",IF(COUNTIF($A$2:$A$201,$A35)&gt;1,"Duplicate milestone ID",IF(NOT(ISNUMBER($B35)),"Missing: date",IF($C35="","Missing: kind",IF($D35="","Missing: product or campaign ID",IF($E35="","Missing: milestone",IF($F35="","Missing: responsible person",IF($G35="","Missing: status",IF(COUNTIF(Config!$U$15:$U$34,$C35)=0,"Unsupported kind",IF(AND($C35="Product",COUNTIF(Products!$A$2:$A$101,$D35)=0),"Unknown product ID",IF(AND($C35="Campaign",COUNTIF(Marketing!$A$2:$A$101,$D35)=0),"Unknown campaign ID",IF(COUNTIF(Config!$V$15:$V$34,$G35)=0,"Unsupported status","OK")))))))))))))</f>
        <v/>
      </c>
    </row>
    <row r="36">
      <c r="A36" s="46" t="n"/>
      <c r="B36" s="54" t="n"/>
      <c r="C36" s="46" t="n"/>
      <c r="D36" s="46" t="n"/>
      <c r="E36" s="46" t="n"/>
      <c r="F36" s="46" t="n"/>
      <c r="G36" s="46" t="n"/>
      <c r="H36" s="46" t="n"/>
      <c r="I36" s="46" t="n"/>
      <c r="J36" s="49" t="str">
        <f>IF($D36="","",IFERROR(IF($C36="Product",INDEX(Products!$B$2:$B$101,MATCH($D36,Products!$A$2:$A$101,0))&amp;"",IF($C36="Campaign",INDEX(Marketing!$B$2:$B$101,MATCH($D36,Marketing!$A$2:$A$101,0))&amp;"","")),"(not found)"))</f>
        <v/>
      </c>
      <c r="K36" s="49" t="str">
        <f>IF(COUNTA($A36:$I36)=0,"",IF($A36="","Missing: milestone ID",IF(COUNTIF($A$2:$A$201,$A36)&gt;1,"Duplicate milestone ID",IF(NOT(ISNUMBER($B36)),"Missing: date",IF($C36="","Missing: kind",IF($D36="","Missing: product or campaign ID",IF($E36="","Missing: milestone",IF($F36="","Missing: responsible person",IF($G36="","Missing: status",IF(COUNTIF(Config!$U$15:$U$34,$C36)=0,"Unsupported kind",IF(AND($C36="Product",COUNTIF(Products!$A$2:$A$101,$D36)=0),"Unknown product ID",IF(AND($C36="Campaign",COUNTIF(Marketing!$A$2:$A$101,$D36)=0),"Unknown campaign ID",IF(COUNTIF(Config!$V$15:$V$34,$G36)=0,"Unsupported status","OK")))))))))))))</f>
        <v/>
      </c>
    </row>
    <row r="37">
      <c r="A37" s="46" t="n"/>
      <c r="B37" s="54" t="n"/>
      <c r="C37" s="46" t="n"/>
      <c r="D37" s="46" t="n"/>
      <c r="E37" s="46" t="n"/>
      <c r="F37" s="46" t="n"/>
      <c r="G37" s="46" t="n"/>
      <c r="H37" s="46" t="n"/>
      <c r="I37" s="46" t="n"/>
      <c r="J37" s="49" t="str">
        <f>IF($D37="","",IFERROR(IF($C37="Product",INDEX(Products!$B$2:$B$101,MATCH($D37,Products!$A$2:$A$101,0))&amp;"",IF($C37="Campaign",INDEX(Marketing!$B$2:$B$101,MATCH($D37,Marketing!$A$2:$A$101,0))&amp;"","")),"(not found)"))</f>
        <v/>
      </c>
      <c r="K37" s="49" t="str">
        <f>IF(COUNTA($A37:$I37)=0,"",IF($A37="","Missing: milestone ID",IF(COUNTIF($A$2:$A$201,$A37)&gt;1,"Duplicate milestone ID",IF(NOT(ISNUMBER($B37)),"Missing: date",IF($C37="","Missing: kind",IF($D37="","Missing: product or campaign ID",IF($E37="","Missing: milestone",IF($F37="","Missing: responsible person",IF($G37="","Missing: status",IF(COUNTIF(Config!$U$15:$U$34,$C37)=0,"Unsupported kind",IF(AND($C37="Product",COUNTIF(Products!$A$2:$A$101,$D37)=0),"Unknown product ID",IF(AND($C37="Campaign",COUNTIF(Marketing!$A$2:$A$101,$D37)=0),"Unknown campaign ID",IF(COUNTIF(Config!$V$15:$V$34,$G37)=0,"Unsupported status","OK")))))))))))))</f>
        <v/>
      </c>
    </row>
    <row r="38">
      <c r="A38" s="46" t="n"/>
      <c r="B38" s="54" t="n"/>
      <c r="C38" s="46" t="n"/>
      <c r="D38" s="46" t="n"/>
      <c r="E38" s="46" t="n"/>
      <c r="F38" s="46" t="n"/>
      <c r="G38" s="46" t="n"/>
      <c r="H38" s="46" t="n"/>
      <c r="I38" s="46" t="n"/>
      <c r="J38" s="49" t="str">
        <f>IF($D38="","",IFERROR(IF($C38="Product",INDEX(Products!$B$2:$B$101,MATCH($D38,Products!$A$2:$A$101,0))&amp;"",IF($C38="Campaign",INDEX(Marketing!$B$2:$B$101,MATCH($D38,Marketing!$A$2:$A$101,0))&amp;"","")),"(not found)"))</f>
        <v/>
      </c>
      <c r="K38" s="49" t="str">
        <f>IF(COUNTA($A38:$I38)=0,"",IF($A38="","Missing: milestone ID",IF(COUNTIF($A$2:$A$201,$A38)&gt;1,"Duplicate milestone ID",IF(NOT(ISNUMBER($B38)),"Missing: date",IF($C38="","Missing: kind",IF($D38="","Missing: product or campaign ID",IF($E38="","Missing: milestone",IF($F38="","Missing: responsible person",IF($G38="","Missing: status",IF(COUNTIF(Config!$U$15:$U$34,$C38)=0,"Unsupported kind",IF(AND($C38="Product",COUNTIF(Products!$A$2:$A$101,$D38)=0),"Unknown product ID",IF(AND($C38="Campaign",COUNTIF(Marketing!$A$2:$A$101,$D38)=0),"Unknown campaign ID",IF(COUNTIF(Config!$V$15:$V$34,$G38)=0,"Unsupported status","OK")))))))))))))</f>
        <v/>
      </c>
    </row>
    <row r="39">
      <c r="A39" s="46" t="n"/>
      <c r="B39" s="54" t="n"/>
      <c r="C39" s="46" t="n"/>
      <c r="D39" s="46" t="n"/>
      <c r="E39" s="46" t="n"/>
      <c r="F39" s="46" t="n"/>
      <c r="G39" s="46" t="n"/>
      <c r="H39" s="46" t="n"/>
      <c r="I39" s="46" t="n"/>
      <c r="J39" s="49" t="str">
        <f>IF($D39="","",IFERROR(IF($C39="Product",INDEX(Products!$B$2:$B$101,MATCH($D39,Products!$A$2:$A$101,0))&amp;"",IF($C39="Campaign",INDEX(Marketing!$B$2:$B$101,MATCH($D39,Marketing!$A$2:$A$101,0))&amp;"","")),"(not found)"))</f>
        <v/>
      </c>
      <c r="K39" s="49" t="str">
        <f>IF(COUNTA($A39:$I39)=0,"",IF($A39="","Missing: milestone ID",IF(COUNTIF($A$2:$A$201,$A39)&gt;1,"Duplicate milestone ID",IF(NOT(ISNUMBER($B39)),"Missing: date",IF($C39="","Missing: kind",IF($D39="","Missing: product or campaign ID",IF($E39="","Missing: milestone",IF($F39="","Missing: responsible person",IF($G39="","Missing: status",IF(COUNTIF(Config!$U$15:$U$34,$C39)=0,"Unsupported kind",IF(AND($C39="Product",COUNTIF(Products!$A$2:$A$101,$D39)=0),"Unknown product ID",IF(AND($C39="Campaign",COUNTIF(Marketing!$A$2:$A$101,$D39)=0),"Unknown campaign ID",IF(COUNTIF(Config!$V$15:$V$34,$G39)=0,"Unsupported status","OK")))))))))))))</f>
        <v/>
      </c>
    </row>
    <row r="40">
      <c r="A40" s="46" t="n"/>
      <c r="B40" s="54" t="n"/>
      <c r="C40" s="46" t="n"/>
      <c r="D40" s="46" t="n"/>
      <c r="E40" s="46" t="n"/>
      <c r="F40" s="46" t="n"/>
      <c r="G40" s="46" t="n"/>
      <c r="H40" s="46" t="n"/>
      <c r="I40" s="46" t="n"/>
      <c r="J40" s="49" t="str">
        <f>IF($D40="","",IFERROR(IF($C40="Product",INDEX(Products!$B$2:$B$101,MATCH($D40,Products!$A$2:$A$101,0))&amp;"",IF($C40="Campaign",INDEX(Marketing!$B$2:$B$101,MATCH($D40,Marketing!$A$2:$A$101,0))&amp;"","")),"(not found)"))</f>
        <v/>
      </c>
      <c r="K40" s="49" t="str">
        <f>IF(COUNTA($A40:$I40)=0,"",IF($A40="","Missing: milestone ID",IF(COUNTIF($A$2:$A$201,$A40)&gt;1,"Duplicate milestone ID",IF(NOT(ISNUMBER($B40)),"Missing: date",IF($C40="","Missing: kind",IF($D40="","Missing: product or campaign ID",IF($E40="","Missing: milestone",IF($F40="","Missing: responsible person",IF($G40="","Missing: status",IF(COUNTIF(Config!$U$15:$U$34,$C40)=0,"Unsupported kind",IF(AND($C40="Product",COUNTIF(Products!$A$2:$A$101,$D40)=0),"Unknown product ID",IF(AND($C40="Campaign",COUNTIF(Marketing!$A$2:$A$101,$D40)=0),"Unknown campaign ID",IF(COUNTIF(Config!$V$15:$V$34,$G40)=0,"Unsupported status","OK")))))))))))))</f>
        <v/>
      </c>
    </row>
    <row r="41">
      <c r="A41" s="46" t="n"/>
      <c r="B41" s="54" t="n"/>
      <c r="C41" s="46" t="n"/>
      <c r="D41" s="46" t="n"/>
      <c r="E41" s="46" t="n"/>
      <c r="F41" s="46" t="n"/>
      <c r="G41" s="46" t="n"/>
      <c r="H41" s="46" t="n"/>
      <c r="I41" s="46" t="n"/>
      <c r="J41" s="49" t="str">
        <f>IF($D41="","",IFERROR(IF($C41="Product",INDEX(Products!$B$2:$B$101,MATCH($D41,Products!$A$2:$A$101,0))&amp;"",IF($C41="Campaign",INDEX(Marketing!$B$2:$B$101,MATCH($D41,Marketing!$A$2:$A$101,0))&amp;"","")),"(not found)"))</f>
        <v/>
      </c>
      <c r="K41" s="49" t="str">
        <f>IF(COUNTA($A41:$I41)=0,"",IF($A41="","Missing: milestone ID",IF(COUNTIF($A$2:$A$201,$A41)&gt;1,"Duplicate milestone ID",IF(NOT(ISNUMBER($B41)),"Missing: date",IF($C41="","Missing: kind",IF($D41="","Missing: product or campaign ID",IF($E41="","Missing: milestone",IF($F41="","Missing: responsible person",IF($G41="","Missing: status",IF(COUNTIF(Config!$U$15:$U$34,$C41)=0,"Unsupported kind",IF(AND($C41="Product",COUNTIF(Products!$A$2:$A$101,$D41)=0),"Unknown product ID",IF(AND($C41="Campaign",COUNTIF(Marketing!$A$2:$A$101,$D41)=0),"Unknown campaign ID",IF(COUNTIF(Config!$V$15:$V$34,$G41)=0,"Unsupported status","OK")))))))))))))</f>
        <v/>
      </c>
    </row>
    <row r="42">
      <c r="A42" s="46" t="n"/>
      <c r="B42" s="54" t="n"/>
      <c r="C42" s="46" t="n"/>
      <c r="D42" s="46" t="n"/>
      <c r="E42" s="46" t="n"/>
      <c r="F42" s="46" t="n"/>
      <c r="G42" s="46" t="n"/>
      <c r="H42" s="46" t="n"/>
      <c r="I42" s="46" t="n"/>
      <c r="J42" s="49" t="str">
        <f>IF($D42="","",IFERROR(IF($C42="Product",INDEX(Products!$B$2:$B$101,MATCH($D42,Products!$A$2:$A$101,0))&amp;"",IF($C42="Campaign",INDEX(Marketing!$B$2:$B$101,MATCH($D42,Marketing!$A$2:$A$101,0))&amp;"","")),"(not found)"))</f>
        <v/>
      </c>
      <c r="K42" s="49" t="str">
        <f>IF(COUNTA($A42:$I42)=0,"",IF($A42="","Missing: milestone ID",IF(COUNTIF($A$2:$A$201,$A42)&gt;1,"Duplicate milestone ID",IF(NOT(ISNUMBER($B42)),"Missing: date",IF($C42="","Missing: kind",IF($D42="","Missing: product or campaign ID",IF($E42="","Missing: milestone",IF($F42="","Missing: responsible person",IF($G42="","Missing: status",IF(COUNTIF(Config!$U$15:$U$34,$C42)=0,"Unsupported kind",IF(AND($C42="Product",COUNTIF(Products!$A$2:$A$101,$D42)=0),"Unknown product ID",IF(AND($C42="Campaign",COUNTIF(Marketing!$A$2:$A$101,$D42)=0),"Unknown campaign ID",IF(COUNTIF(Config!$V$15:$V$34,$G42)=0,"Unsupported status","OK")))))))))))))</f>
        <v/>
      </c>
    </row>
    <row r="43">
      <c r="A43" s="46" t="n"/>
      <c r="B43" s="54" t="n"/>
      <c r="C43" s="46" t="n"/>
      <c r="D43" s="46" t="n"/>
      <c r="E43" s="46" t="n"/>
      <c r="F43" s="46" t="n"/>
      <c r="G43" s="46" t="n"/>
      <c r="H43" s="46" t="n"/>
      <c r="I43" s="46" t="n"/>
      <c r="J43" s="49" t="str">
        <f>IF($D43="","",IFERROR(IF($C43="Product",INDEX(Products!$B$2:$B$101,MATCH($D43,Products!$A$2:$A$101,0))&amp;"",IF($C43="Campaign",INDEX(Marketing!$B$2:$B$101,MATCH($D43,Marketing!$A$2:$A$101,0))&amp;"","")),"(not found)"))</f>
        <v/>
      </c>
      <c r="K43" s="49" t="str">
        <f>IF(COUNTA($A43:$I43)=0,"",IF($A43="","Missing: milestone ID",IF(COUNTIF($A$2:$A$201,$A43)&gt;1,"Duplicate milestone ID",IF(NOT(ISNUMBER($B43)),"Missing: date",IF($C43="","Missing: kind",IF($D43="","Missing: product or campaign ID",IF($E43="","Missing: milestone",IF($F43="","Missing: responsible person",IF($G43="","Missing: status",IF(COUNTIF(Config!$U$15:$U$34,$C43)=0,"Unsupported kind",IF(AND($C43="Product",COUNTIF(Products!$A$2:$A$101,$D43)=0),"Unknown product ID",IF(AND($C43="Campaign",COUNTIF(Marketing!$A$2:$A$101,$D43)=0),"Unknown campaign ID",IF(COUNTIF(Config!$V$15:$V$34,$G43)=0,"Unsupported status","OK")))))))))))))</f>
        <v/>
      </c>
    </row>
    <row r="44">
      <c r="A44" s="46" t="n"/>
      <c r="B44" s="54" t="n"/>
      <c r="C44" s="46" t="n"/>
      <c r="D44" s="46" t="n"/>
      <c r="E44" s="46" t="n"/>
      <c r="F44" s="46" t="n"/>
      <c r="G44" s="46" t="n"/>
      <c r="H44" s="46" t="n"/>
      <c r="I44" s="46" t="n"/>
      <c r="J44" s="49" t="str">
        <f>IF($D44="","",IFERROR(IF($C44="Product",INDEX(Products!$B$2:$B$101,MATCH($D44,Products!$A$2:$A$101,0))&amp;"",IF($C44="Campaign",INDEX(Marketing!$B$2:$B$101,MATCH($D44,Marketing!$A$2:$A$101,0))&amp;"","")),"(not found)"))</f>
        <v/>
      </c>
      <c r="K44" s="49" t="str">
        <f>IF(COUNTA($A44:$I44)=0,"",IF($A44="","Missing: milestone ID",IF(COUNTIF($A$2:$A$201,$A44)&gt;1,"Duplicate milestone ID",IF(NOT(ISNUMBER($B44)),"Missing: date",IF($C44="","Missing: kind",IF($D44="","Missing: product or campaign ID",IF($E44="","Missing: milestone",IF($F44="","Missing: responsible person",IF($G44="","Missing: status",IF(COUNTIF(Config!$U$15:$U$34,$C44)=0,"Unsupported kind",IF(AND($C44="Product",COUNTIF(Products!$A$2:$A$101,$D44)=0),"Unknown product ID",IF(AND($C44="Campaign",COUNTIF(Marketing!$A$2:$A$101,$D44)=0),"Unknown campaign ID",IF(COUNTIF(Config!$V$15:$V$34,$G44)=0,"Unsupported status","OK")))))))))))))</f>
        <v/>
      </c>
    </row>
    <row r="45">
      <c r="A45" s="46" t="n"/>
      <c r="B45" s="54" t="n"/>
      <c r="C45" s="46" t="n"/>
      <c r="D45" s="46" t="n"/>
      <c r="E45" s="46" t="n"/>
      <c r="F45" s="46" t="n"/>
      <c r="G45" s="46" t="n"/>
      <c r="H45" s="46" t="n"/>
      <c r="I45" s="46" t="n"/>
      <c r="J45" s="49" t="str">
        <f>IF($D45="","",IFERROR(IF($C45="Product",INDEX(Products!$B$2:$B$101,MATCH($D45,Products!$A$2:$A$101,0))&amp;"",IF($C45="Campaign",INDEX(Marketing!$B$2:$B$101,MATCH($D45,Marketing!$A$2:$A$101,0))&amp;"","")),"(not found)"))</f>
        <v/>
      </c>
      <c r="K45" s="49" t="str">
        <f>IF(COUNTA($A45:$I45)=0,"",IF($A45="","Missing: milestone ID",IF(COUNTIF($A$2:$A$201,$A45)&gt;1,"Duplicate milestone ID",IF(NOT(ISNUMBER($B45)),"Missing: date",IF($C45="","Missing: kind",IF($D45="","Missing: product or campaign ID",IF($E45="","Missing: milestone",IF($F45="","Missing: responsible person",IF($G45="","Missing: status",IF(COUNTIF(Config!$U$15:$U$34,$C45)=0,"Unsupported kind",IF(AND($C45="Product",COUNTIF(Products!$A$2:$A$101,$D45)=0),"Unknown product ID",IF(AND($C45="Campaign",COUNTIF(Marketing!$A$2:$A$101,$D45)=0),"Unknown campaign ID",IF(COUNTIF(Config!$V$15:$V$34,$G45)=0,"Unsupported status","OK")))))))))))))</f>
        <v/>
      </c>
    </row>
    <row r="46">
      <c r="A46" s="46" t="n"/>
      <c r="B46" s="54" t="n"/>
      <c r="C46" s="46" t="n"/>
      <c r="D46" s="46" t="n"/>
      <c r="E46" s="46" t="n"/>
      <c r="F46" s="46" t="n"/>
      <c r="G46" s="46" t="n"/>
      <c r="H46" s="46" t="n"/>
      <c r="I46" s="46" t="n"/>
      <c r="J46" s="49" t="str">
        <f>IF($D46="","",IFERROR(IF($C46="Product",INDEX(Products!$B$2:$B$101,MATCH($D46,Products!$A$2:$A$101,0))&amp;"",IF($C46="Campaign",INDEX(Marketing!$B$2:$B$101,MATCH($D46,Marketing!$A$2:$A$101,0))&amp;"","")),"(not found)"))</f>
        <v/>
      </c>
      <c r="K46" s="49" t="str">
        <f>IF(COUNTA($A46:$I46)=0,"",IF($A46="","Missing: milestone ID",IF(COUNTIF($A$2:$A$201,$A46)&gt;1,"Duplicate milestone ID",IF(NOT(ISNUMBER($B46)),"Missing: date",IF($C46="","Missing: kind",IF($D46="","Missing: product or campaign ID",IF($E46="","Missing: milestone",IF($F46="","Missing: responsible person",IF($G46="","Missing: status",IF(COUNTIF(Config!$U$15:$U$34,$C46)=0,"Unsupported kind",IF(AND($C46="Product",COUNTIF(Products!$A$2:$A$101,$D46)=0),"Unknown product ID",IF(AND($C46="Campaign",COUNTIF(Marketing!$A$2:$A$101,$D46)=0),"Unknown campaign ID",IF(COUNTIF(Config!$V$15:$V$34,$G46)=0,"Unsupported status","OK")))))))))))))</f>
        <v/>
      </c>
    </row>
    <row r="47">
      <c r="A47" s="46" t="n"/>
      <c r="B47" s="54" t="n"/>
      <c r="C47" s="46" t="n"/>
      <c r="D47" s="46" t="n"/>
      <c r="E47" s="46" t="n"/>
      <c r="F47" s="46" t="n"/>
      <c r="G47" s="46" t="n"/>
      <c r="H47" s="46" t="n"/>
      <c r="I47" s="46" t="n"/>
      <c r="J47" s="49" t="str">
        <f>IF($D47="","",IFERROR(IF($C47="Product",INDEX(Products!$B$2:$B$101,MATCH($D47,Products!$A$2:$A$101,0))&amp;"",IF($C47="Campaign",INDEX(Marketing!$B$2:$B$101,MATCH($D47,Marketing!$A$2:$A$101,0))&amp;"","")),"(not found)"))</f>
        <v/>
      </c>
      <c r="K47" s="49" t="str">
        <f>IF(COUNTA($A47:$I47)=0,"",IF($A47="","Missing: milestone ID",IF(COUNTIF($A$2:$A$201,$A47)&gt;1,"Duplicate milestone ID",IF(NOT(ISNUMBER($B47)),"Missing: date",IF($C47="","Missing: kind",IF($D47="","Missing: product or campaign ID",IF($E47="","Missing: milestone",IF($F47="","Missing: responsible person",IF($G47="","Missing: status",IF(COUNTIF(Config!$U$15:$U$34,$C47)=0,"Unsupported kind",IF(AND($C47="Product",COUNTIF(Products!$A$2:$A$101,$D47)=0),"Unknown product ID",IF(AND($C47="Campaign",COUNTIF(Marketing!$A$2:$A$101,$D47)=0),"Unknown campaign ID",IF(COUNTIF(Config!$V$15:$V$34,$G47)=0,"Unsupported status","OK")))))))))))))</f>
        <v/>
      </c>
    </row>
    <row r="48">
      <c r="A48" s="46" t="n"/>
      <c r="B48" s="54" t="n"/>
      <c r="C48" s="46" t="n"/>
      <c r="D48" s="46" t="n"/>
      <c r="E48" s="46" t="n"/>
      <c r="F48" s="46" t="n"/>
      <c r="G48" s="46" t="n"/>
      <c r="H48" s="46" t="n"/>
      <c r="I48" s="46" t="n"/>
      <c r="J48" s="49" t="str">
        <f>IF($D48="","",IFERROR(IF($C48="Product",INDEX(Products!$B$2:$B$101,MATCH($D48,Products!$A$2:$A$101,0))&amp;"",IF($C48="Campaign",INDEX(Marketing!$B$2:$B$101,MATCH($D48,Marketing!$A$2:$A$101,0))&amp;"","")),"(not found)"))</f>
        <v/>
      </c>
      <c r="K48" s="49" t="str">
        <f>IF(COUNTA($A48:$I48)=0,"",IF($A48="","Missing: milestone ID",IF(COUNTIF($A$2:$A$201,$A48)&gt;1,"Duplicate milestone ID",IF(NOT(ISNUMBER($B48)),"Missing: date",IF($C48="","Missing: kind",IF($D48="","Missing: product or campaign ID",IF($E48="","Missing: milestone",IF($F48="","Missing: responsible person",IF($G48="","Missing: status",IF(COUNTIF(Config!$U$15:$U$34,$C48)=0,"Unsupported kind",IF(AND($C48="Product",COUNTIF(Products!$A$2:$A$101,$D48)=0),"Unknown product ID",IF(AND($C48="Campaign",COUNTIF(Marketing!$A$2:$A$101,$D48)=0),"Unknown campaign ID",IF(COUNTIF(Config!$V$15:$V$34,$G48)=0,"Unsupported status","OK")))))))))))))</f>
        <v/>
      </c>
    </row>
    <row r="49">
      <c r="A49" s="46" t="n"/>
      <c r="B49" s="54" t="n"/>
      <c r="C49" s="46" t="n"/>
      <c r="D49" s="46" t="n"/>
      <c r="E49" s="46" t="n"/>
      <c r="F49" s="46" t="n"/>
      <c r="G49" s="46" t="n"/>
      <c r="H49" s="46" t="n"/>
      <c r="I49" s="46" t="n"/>
      <c r="J49" s="49" t="str">
        <f>IF($D49="","",IFERROR(IF($C49="Product",INDEX(Products!$B$2:$B$101,MATCH($D49,Products!$A$2:$A$101,0))&amp;"",IF($C49="Campaign",INDEX(Marketing!$B$2:$B$101,MATCH($D49,Marketing!$A$2:$A$101,0))&amp;"","")),"(not found)"))</f>
        <v/>
      </c>
      <c r="K49" s="49" t="str">
        <f>IF(COUNTA($A49:$I49)=0,"",IF($A49="","Missing: milestone ID",IF(COUNTIF($A$2:$A$201,$A49)&gt;1,"Duplicate milestone ID",IF(NOT(ISNUMBER($B49)),"Missing: date",IF($C49="","Missing: kind",IF($D49="","Missing: product or campaign ID",IF($E49="","Missing: milestone",IF($F49="","Missing: responsible person",IF($G49="","Missing: status",IF(COUNTIF(Config!$U$15:$U$34,$C49)=0,"Unsupported kind",IF(AND($C49="Product",COUNTIF(Products!$A$2:$A$101,$D49)=0),"Unknown product ID",IF(AND($C49="Campaign",COUNTIF(Marketing!$A$2:$A$101,$D49)=0),"Unknown campaign ID",IF(COUNTIF(Config!$V$15:$V$34,$G49)=0,"Unsupported status","OK")))))))))))))</f>
        <v/>
      </c>
    </row>
    <row r="50">
      <c r="A50" s="46" t="n"/>
      <c r="B50" s="54" t="n"/>
      <c r="C50" s="46" t="n"/>
      <c r="D50" s="46" t="n"/>
      <c r="E50" s="46" t="n"/>
      <c r="F50" s="46" t="n"/>
      <c r="G50" s="46" t="n"/>
      <c r="H50" s="46" t="n"/>
      <c r="I50" s="46" t="n"/>
      <c r="J50" s="49" t="str">
        <f>IF($D50="","",IFERROR(IF($C50="Product",INDEX(Products!$B$2:$B$101,MATCH($D50,Products!$A$2:$A$101,0))&amp;"",IF($C50="Campaign",INDEX(Marketing!$B$2:$B$101,MATCH($D50,Marketing!$A$2:$A$101,0))&amp;"","")),"(not found)"))</f>
        <v/>
      </c>
      <c r="K50" s="49" t="str">
        <f>IF(COUNTA($A50:$I50)=0,"",IF($A50="","Missing: milestone ID",IF(COUNTIF($A$2:$A$201,$A50)&gt;1,"Duplicate milestone ID",IF(NOT(ISNUMBER($B50)),"Missing: date",IF($C50="","Missing: kind",IF($D50="","Missing: product or campaign ID",IF($E50="","Missing: milestone",IF($F50="","Missing: responsible person",IF($G50="","Missing: status",IF(COUNTIF(Config!$U$15:$U$34,$C50)=0,"Unsupported kind",IF(AND($C50="Product",COUNTIF(Products!$A$2:$A$101,$D50)=0),"Unknown product ID",IF(AND($C50="Campaign",COUNTIF(Marketing!$A$2:$A$101,$D50)=0),"Unknown campaign ID",IF(COUNTIF(Config!$V$15:$V$34,$G50)=0,"Unsupported status","OK")))))))))))))</f>
        <v/>
      </c>
    </row>
    <row r="51">
      <c r="A51" s="46" t="n"/>
      <c r="B51" s="54" t="n"/>
      <c r="C51" s="46" t="n"/>
      <c r="D51" s="46" t="n"/>
      <c r="E51" s="46" t="n"/>
      <c r="F51" s="46" t="n"/>
      <c r="G51" s="46" t="n"/>
      <c r="H51" s="46" t="n"/>
      <c r="I51" s="46" t="n"/>
      <c r="J51" s="49" t="str">
        <f>IF($D51="","",IFERROR(IF($C51="Product",INDEX(Products!$B$2:$B$101,MATCH($D51,Products!$A$2:$A$101,0))&amp;"",IF($C51="Campaign",INDEX(Marketing!$B$2:$B$101,MATCH($D51,Marketing!$A$2:$A$101,0))&amp;"","")),"(not found)"))</f>
        <v/>
      </c>
      <c r="K51" s="49" t="str">
        <f>IF(COUNTA($A51:$I51)=0,"",IF($A51="","Missing: milestone ID",IF(COUNTIF($A$2:$A$201,$A51)&gt;1,"Duplicate milestone ID",IF(NOT(ISNUMBER($B51)),"Missing: date",IF($C51="","Missing: kind",IF($D51="","Missing: product or campaign ID",IF($E51="","Missing: milestone",IF($F51="","Missing: responsible person",IF($G51="","Missing: status",IF(COUNTIF(Config!$U$15:$U$34,$C51)=0,"Unsupported kind",IF(AND($C51="Product",COUNTIF(Products!$A$2:$A$101,$D51)=0),"Unknown product ID",IF(AND($C51="Campaign",COUNTIF(Marketing!$A$2:$A$101,$D51)=0),"Unknown campaign ID",IF(COUNTIF(Config!$V$15:$V$34,$G51)=0,"Unsupported status","OK")))))))))))))</f>
        <v/>
      </c>
    </row>
    <row r="52">
      <c r="A52" s="46" t="n"/>
      <c r="B52" s="54" t="n"/>
      <c r="C52" s="46" t="n"/>
      <c r="D52" s="46" t="n"/>
      <c r="E52" s="46" t="n"/>
      <c r="F52" s="46" t="n"/>
      <c r="G52" s="46" t="n"/>
      <c r="H52" s="46" t="n"/>
      <c r="I52" s="46" t="n"/>
      <c r="J52" s="49" t="str">
        <f>IF($D52="","",IFERROR(IF($C52="Product",INDEX(Products!$B$2:$B$101,MATCH($D52,Products!$A$2:$A$101,0))&amp;"",IF($C52="Campaign",INDEX(Marketing!$B$2:$B$101,MATCH($D52,Marketing!$A$2:$A$101,0))&amp;"","")),"(not found)"))</f>
        <v/>
      </c>
      <c r="K52" s="49" t="str">
        <f>IF(COUNTA($A52:$I52)=0,"",IF($A52="","Missing: milestone ID",IF(COUNTIF($A$2:$A$201,$A52)&gt;1,"Duplicate milestone ID",IF(NOT(ISNUMBER($B52)),"Missing: date",IF($C52="","Missing: kind",IF($D52="","Missing: product or campaign ID",IF($E52="","Missing: milestone",IF($F52="","Missing: responsible person",IF($G52="","Missing: status",IF(COUNTIF(Config!$U$15:$U$34,$C52)=0,"Unsupported kind",IF(AND($C52="Product",COUNTIF(Products!$A$2:$A$101,$D52)=0),"Unknown product ID",IF(AND($C52="Campaign",COUNTIF(Marketing!$A$2:$A$101,$D52)=0),"Unknown campaign ID",IF(COUNTIF(Config!$V$15:$V$34,$G52)=0,"Unsupported status","OK")))))))))))))</f>
        <v/>
      </c>
    </row>
    <row r="53">
      <c r="A53" s="46" t="n"/>
      <c r="B53" s="54" t="n"/>
      <c r="C53" s="46" t="n"/>
      <c r="D53" s="46" t="n"/>
      <c r="E53" s="46" t="n"/>
      <c r="F53" s="46" t="n"/>
      <c r="G53" s="46" t="n"/>
      <c r="H53" s="46" t="n"/>
      <c r="I53" s="46" t="n"/>
      <c r="J53" s="49" t="str">
        <f>IF($D53="","",IFERROR(IF($C53="Product",INDEX(Products!$B$2:$B$101,MATCH($D53,Products!$A$2:$A$101,0))&amp;"",IF($C53="Campaign",INDEX(Marketing!$B$2:$B$101,MATCH($D53,Marketing!$A$2:$A$101,0))&amp;"","")),"(not found)"))</f>
        <v/>
      </c>
      <c r="K53" s="49" t="str">
        <f>IF(COUNTA($A53:$I53)=0,"",IF($A53="","Missing: milestone ID",IF(COUNTIF($A$2:$A$201,$A53)&gt;1,"Duplicate milestone ID",IF(NOT(ISNUMBER($B53)),"Missing: date",IF($C53="","Missing: kind",IF($D53="","Missing: product or campaign ID",IF($E53="","Missing: milestone",IF($F53="","Missing: responsible person",IF($G53="","Missing: status",IF(COUNTIF(Config!$U$15:$U$34,$C53)=0,"Unsupported kind",IF(AND($C53="Product",COUNTIF(Products!$A$2:$A$101,$D53)=0),"Unknown product ID",IF(AND($C53="Campaign",COUNTIF(Marketing!$A$2:$A$101,$D53)=0),"Unknown campaign ID",IF(COUNTIF(Config!$V$15:$V$34,$G53)=0,"Unsupported status","OK")))))))))))))</f>
        <v/>
      </c>
    </row>
    <row r="54">
      <c r="A54" s="46" t="n"/>
      <c r="B54" s="54" t="n"/>
      <c r="C54" s="46" t="n"/>
      <c r="D54" s="46" t="n"/>
      <c r="E54" s="46" t="n"/>
      <c r="F54" s="46" t="n"/>
      <c r="G54" s="46" t="n"/>
      <c r="H54" s="46" t="n"/>
      <c r="I54" s="46" t="n"/>
      <c r="J54" s="49" t="str">
        <f>IF($D54="","",IFERROR(IF($C54="Product",INDEX(Products!$B$2:$B$101,MATCH($D54,Products!$A$2:$A$101,0))&amp;"",IF($C54="Campaign",INDEX(Marketing!$B$2:$B$101,MATCH($D54,Marketing!$A$2:$A$101,0))&amp;"","")),"(not found)"))</f>
        <v/>
      </c>
      <c r="K54" s="49" t="str">
        <f>IF(COUNTA($A54:$I54)=0,"",IF($A54="","Missing: milestone ID",IF(COUNTIF($A$2:$A$201,$A54)&gt;1,"Duplicate milestone ID",IF(NOT(ISNUMBER($B54)),"Missing: date",IF($C54="","Missing: kind",IF($D54="","Missing: product or campaign ID",IF($E54="","Missing: milestone",IF($F54="","Missing: responsible person",IF($G54="","Missing: status",IF(COUNTIF(Config!$U$15:$U$34,$C54)=0,"Unsupported kind",IF(AND($C54="Product",COUNTIF(Products!$A$2:$A$101,$D54)=0),"Unknown product ID",IF(AND($C54="Campaign",COUNTIF(Marketing!$A$2:$A$101,$D54)=0),"Unknown campaign ID",IF(COUNTIF(Config!$V$15:$V$34,$G54)=0,"Unsupported status","OK")))))))))))))</f>
        <v/>
      </c>
    </row>
    <row r="55">
      <c r="A55" s="46" t="n"/>
      <c r="B55" s="54" t="n"/>
      <c r="C55" s="46" t="n"/>
      <c r="D55" s="46" t="n"/>
      <c r="E55" s="46" t="n"/>
      <c r="F55" s="46" t="n"/>
      <c r="G55" s="46" t="n"/>
      <c r="H55" s="46" t="n"/>
      <c r="I55" s="46" t="n"/>
      <c r="J55" s="49" t="str">
        <f>IF($D55="","",IFERROR(IF($C55="Product",INDEX(Products!$B$2:$B$101,MATCH($D55,Products!$A$2:$A$101,0))&amp;"",IF($C55="Campaign",INDEX(Marketing!$B$2:$B$101,MATCH($D55,Marketing!$A$2:$A$101,0))&amp;"","")),"(not found)"))</f>
        <v/>
      </c>
      <c r="K55" s="49" t="str">
        <f>IF(COUNTA($A55:$I55)=0,"",IF($A55="","Missing: milestone ID",IF(COUNTIF($A$2:$A$201,$A55)&gt;1,"Duplicate milestone ID",IF(NOT(ISNUMBER($B55)),"Missing: date",IF($C55="","Missing: kind",IF($D55="","Missing: product or campaign ID",IF($E55="","Missing: milestone",IF($F55="","Missing: responsible person",IF($G55="","Missing: status",IF(COUNTIF(Config!$U$15:$U$34,$C55)=0,"Unsupported kind",IF(AND($C55="Product",COUNTIF(Products!$A$2:$A$101,$D55)=0),"Unknown product ID",IF(AND($C55="Campaign",COUNTIF(Marketing!$A$2:$A$101,$D55)=0),"Unknown campaign ID",IF(COUNTIF(Config!$V$15:$V$34,$G55)=0,"Unsupported status","OK")))))))))))))</f>
        <v/>
      </c>
    </row>
    <row r="56">
      <c r="A56" s="46" t="n"/>
      <c r="B56" s="54" t="n"/>
      <c r="C56" s="46" t="n"/>
      <c r="D56" s="46" t="n"/>
      <c r="E56" s="46" t="n"/>
      <c r="F56" s="46" t="n"/>
      <c r="G56" s="46" t="n"/>
      <c r="H56" s="46" t="n"/>
      <c r="I56" s="46" t="n"/>
      <c r="J56" s="49" t="str">
        <f>IF($D56="","",IFERROR(IF($C56="Product",INDEX(Products!$B$2:$B$101,MATCH($D56,Products!$A$2:$A$101,0))&amp;"",IF($C56="Campaign",INDEX(Marketing!$B$2:$B$101,MATCH($D56,Marketing!$A$2:$A$101,0))&amp;"","")),"(not found)"))</f>
        <v/>
      </c>
      <c r="K56" s="49" t="str">
        <f>IF(COUNTA($A56:$I56)=0,"",IF($A56="","Missing: milestone ID",IF(COUNTIF($A$2:$A$201,$A56)&gt;1,"Duplicate milestone ID",IF(NOT(ISNUMBER($B56)),"Missing: date",IF($C56="","Missing: kind",IF($D56="","Missing: product or campaign ID",IF($E56="","Missing: milestone",IF($F56="","Missing: responsible person",IF($G56="","Missing: status",IF(COUNTIF(Config!$U$15:$U$34,$C56)=0,"Unsupported kind",IF(AND($C56="Product",COUNTIF(Products!$A$2:$A$101,$D56)=0),"Unknown product ID",IF(AND($C56="Campaign",COUNTIF(Marketing!$A$2:$A$101,$D56)=0),"Unknown campaign ID",IF(COUNTIF(Config!$V$15:$V$34,$G56)=0,"Unsupported status","OK")))))))))))))</f>
        <v/>
      </c>
    </row>
    <row r="57">
      <c r="A57" s="46" t="n"/>
      <c r="B57" s="54" t="n"/>
      <c r="C57" s="46" t="n"/>
      <c r="D57" s="46" t="n"/>
      <c r="E57" s="46" t="n"/>
      <c r="F57" s="46" t="n"/>
      <c r="G57" s="46" t="n"/>
      <c r="H57" s="46" t="n"/>
      <c r="I57" s="46" t="n"/>
      <c r="J57" s="49" t="str">
        <f>IF($D57="","",IFERROR(IF($C57="Product",INDEX(Products!$B$2:$B$101,MATCH($D57,Products!$A$2:$A$101,0))&amp;"",IF($C57="Campaign",INDEX(Marketing!$B$2:$B$101,MATCH($D57,Marketing!$A$2:$A$101,0))&amp;"","")),"(not found)"))</f>
        <v/>
      </c>
      <c r="K57" s="49" t="str">
        <f>IF(COUNTA($A57:$I57)=0,"",IF($A57="","Missing: milestone ID",IF(COUNTIF($A$2:$A$201,$A57)&gt;1,"Duplicate milestone ID",IF(NOT(ISNUMBER($B57)),"Missing: date",IF($C57="","Missing: kind",IF($D57="","Missing: product or campaign ID",IF($E57="","Missing: milestone",IF($F57="","Missing: responsible person",IF($G57="","Missing: status",IF(COUNTIF(Config!$U$15:$U$34,$C57)=0,"Unsupported kind",IF(AND($C57="Product",COUNTIF(Products!$A$2:$A$101,$D57)=0),"Unknown product ID",IF(AND($C57="Campaign",COUNTIF(Marketing!$A$2:$A$101,$D57)=0),"Unknown campaign ID",IF(COUNTIF(Config!$V$15:$V$34,$G57)=0,"Unsupported status","OK")))))))))))))</f>
        <v/>
      </c>
    </row>
    <row r="58">
      <c r="A58" s="46" t="n"/>
      <c r="B58" s="54" t="n"/>
      <c r="C58" s="46" t="n"/>
      <c r="D58" s="46" t="n"/>
      <c r="E58" s="46" t="n"/>
      <c r="F58" s="46" t="n"/>
      <c r="G58" s="46" t="n"/>
      <c r="H58" s="46" t="n"/>
      <c r="I58" s="46" t="n"/>
      <c r="J58" s="49" t="str">
        <f>IF($D58="","",IFERROR(IF($C58="Product",INDEX(Products!$B$2:$B$101,MATCH($D58,Products!$A$2:$A$101,0))&amp;"",IF($C58="Campaign",INDEX(Marketing!$B$2:$B$101,MATCH($D58,Marketing!$A$2:$A$101,0))&amp;"","")),"(not found)"))</f>
        <v/>
      </c>
      <c r="K58" s="49" t="str">
        <f>IF(COUNTA($A58:$I58)=0,"",IF($A58="","Missing: milestone ID",IF(COUNTIF($A$2:$A$201,$A58)&gt;1,"Duplicate milestone ID",IF(NOT(ISNUMBER($B58)),"Missing: date",IF($C58="","Missing: kind",IF($D58="","Missing: product or campaign ID",IF($E58="","Missing: milestone",IF($F58="","Missing: responsible person",IF($G58="","Missing: status",IF(COUNTIF(Config!$U$15:$U$34,$C58)=0,"Unsupported kind",IF(AND($C58="Product",COUNTIF(Products!$A$2:$A$101,$D58)=0),"Unknown product ID",IF(AND($C58="Campaign",COUNTIF(Marketing!$A$2:$A$101,$D58)=0),"Unknown campaign ID",IF(COUNTIF(Config!$V$15:$V$34,$G58)=0,"Unsupported status","OK")))))))))))))</f>
        <v/>
      </c>
    </row>
    <row r="59">
      <c r="A59" s="46" t="n"/>
      <c r="B59" s="54" t="n"/>
      <c r="C59" s="46" t="n"/>
      <c r="D59" s="46" t="n"/>
      <c r="E59" s="46" t="n"/>
      <c r="F59" s="46" t="n"/>
      <c r="G59" s="46" t="n"/>
      <c r="H59" s="46" t="n"/>
      <c r="I59" s="46" t="n"/>
      <c r="J59" s="49" t="str">
        <f>IF($D59="","",IFERROR(IF($C59="Product",INDEX(Products!$B$2:$B$101,MATCH($D59,Products!$A$2:$A$101,0))&amp;"",IF($C59="Campaign",INDEX(Marketing!$B$2:$B$101,MATCH($D59,Marketing!$A$2:$A$101,0))&amp;"","")),"(not found)"))</f>
        <v/>
      </c>
      <c r="K59" s="49" t="str">
        <f>IF(COUNTA($A59:$I59)=0,"",IF($A59="","Missing: milestone ID",IF(COUNTIF($A$2:$A$201,$A59)&gt;1,"Duplicate milestone ID",IF(NOT(ISNUMBER($B59)),"Missing: date",IF($C59="","Missing: kind",IF($D59="","Missing: product or campaign ID",IF($E59="","Missing: milestone",IF($F59="","Missing: responsible person",IF($G59="","Missing: status",IF(COUNTIF(Config!$U$15:$U$34,$C59)=0,"Unsupported kind",IF(AND($C59="Product",COUNTIF(Products!$A$2:$A$101,$D59)=0),"Unknown product ID",IF(AND($C59="Campaign",COUNTIF(Marketing!$A$2:$A$101,$D59)=0),"Unknown campaign ID",IF(COUNTIF(Config!$V$15:$V$34,$G59)=0,"Unsupported status","OK")))))))))))))</f>
        <v/>
      </c>
    </row>
    <row r="60">
      <c r="A60" s="46" t="n"/>
      <c r="B60" s="54" t="n"/>
      <c r="C60" s="46" t="n"/>
      <c r="D60" s="46" t="n"/>
      <c r="E60" s="46" t="n"/>
      <c r="F60" s="46" t="n"/>
      <c r="G60" s="46" t="n"/>
      <c r="H60" s="46" t="n"/>
      <c r="I60" s="46" t="n"/>
      <c r="J60" s="49" t="str">
        <f>IF($D60="","",IFERROR(IF($C60="Product",INDEX(Products!$B$2:$B$101,MATCH($D60,Products!$A$2:$A$101,0))&amp;"",IF($C60="Campaign",INDEX(Marketing!$B$2:$B$101,MATCH($D60,Marketing!$A$2:$A$101,0))&amp;"","")),"(not found)"))</f>
        <v/>
      </c>
      <c r="K60" s="49" t="str">
        <f>IF(COUNTA($A60:$I60)=0,"",IF($A60="","Missing: milestone ID",IF(COUNTIF($A$2:$A$201,$A60)&gt;1,"Duplicate milestone ID",IF(NOT(ISNUMBER($B60)),"Missing: date",IF($C60="","Missing: kind",IF($D60="","Missing: product or campaign ID",IF($E60="","Missing: milestone",IF($F60="","Missing: responsible person",IF($G60="","Missing: status",IF(COUNTIF(Config!$U$15:$U$34,$C60)=0,"Unsupported kind",IF(AND($C60="Product",COUNTIF(Products!$A$2:$A$101,$D60)=0),"Unknown product ID",IF(AND($C60="Campaign",COUNTIF(Marketing!$A$2:$A$101,$D60)=0),"Unknown campaign ID",IF(COUNTIF(Config!$V$15:$V$34,$G60)=0,"Unsupported status","OK")))))))))))))</f>
        <v/>
      </c>
    </row>
    <row r="61">
      <c r="A61" s="46" t="n"/>
      <c r="B61" s="54" t="n"/>
      <c r="C61" s="46" t="n"/>
      <c r="D61" s="46" t="n"/>
      <c r="E61" s="46" t="n"/>
      <c r="F61" s="46" t="n"/>
      <c r="G61" s="46" t="n"/>
      <c r="H61" s="46" t="n"/>
      <c r="I61" s="46" t="n"/>
      <c r="J61" s="49" t="str">
        <f>IF($D61="","",IFERROR(IF($C61="Product",INDEX(Products!$B$2:$B$101,MATCH($D61,Products!$A$2:$A$101,0))&amp;"",IF($C61="Campaign",INDEX(Marketing!$B$2:$B$101,MATCH($D61,Marketing!$A$2:$A$101,0))&amp;"","")),"(not found)"))</f>
        <v/>
      </c>
      <c r="K61" s="49" t="str">
        <f>IF(COUNTA($A61:$I61)=0,"",IF($A61="","Missing: milestone ID",IF(COUNTIF($A$2:$A$201,$A61)&gt;1,"Duplicate milestone ID",IF(NOT(ISNUMBER($B61)),"Missing: date",IF($C61="","Missing: kind",IF($D61="","Missing: product or campaign ID",IF($E61="","Missing: milestone",IF($F61="","Missing: responsible person",IF($G61="","Missing: status",IF(COUNTIF(Config!$U$15:$U$34,$C61)=0,"Unsupported kind",IF(AND($C61="Product",COUNTIF(Products!$A$2:$A$101,$D61)=0),"Unknown product ID",IF(AND($C61="Campaign",COUNTIF(Marketing!$A$2:$A$101,$D61)=0),"Unknown campaign ID",IF(COUNTIF(Config!$V$15:$V$34,$G61)=0,"Unsupported status","OK")))))))))))))</f>
        <v/>
      </c>
    </row>
    <row r="62">
      <c r="A62" s="46" t="n"/>
      <c r="B62" s="54" t="n"/>
      <c r="C62" s="46" t="n"/>
      <c r="D62" s="46" t="n"/>
      <c r="E62" s="46" t="n"/>
      <c r="F62" s="46" t="n"/>
      <c r="G62" s="46" t="n"/>
      <c r="H62" s="46" t="n"/>
      <c r="I62" s="46" t="n"/>
      <c r="J62" s="49" t="str">
        <f>IF($D62="","",IFERROR(IF($C62="Product",INDEX(Products!$B$2:$B$101,MATCH($D62,Products!$A$2:$A$101,0))&amp;"",IF($C62="Campaign",INDEX(Marketing!$B$2:$B$101,MATCH($D62,Marketing!$A$2:$A$101,0))&amp;"","")),"(not found)"))</f>
        <v/>
      </c>
      <c r="K62" s="49" t="str">
        <f>IF(COUNTA($A62:$I62)=0,"",IF($A62="","Missing: milestone ID",IF(COUNTIF($A$2:$A$201,$A62)&gt;1,"Duplicate milestone ID",IF(NOT(ISNUMBER($B62)),"Missing: date",IF($C62="","Missing: kind",IF($D62="","Missing: product or campaign ID",IF($E62="","Missing: milestone",IF($F62="","Missing: responsible person",IF($G62="","Missing: status",IF(COUNTIF(Config!$U$15:$U$34,$C62)=0,"Unsupported kind",IF(AND($C62="Product",COUNTIF(Products!$A$2:$A$101,$D62)=0),"Unknown product ID",IF(AND($C62="Campaign",COUNTIF(Marketing!$A$2:$A$101,$D62)=0),"Unknown campaign ID",IF(COUNTIF(Config!$V$15:$V$34,$G62)=0,"Unsupported status","OK")))))))))))))</f>
        <v/>
      </c>
    </row>
    <row r="63">
      <c r="A63" s="46" t="n"/>
      <c r="B63" s="54" t="n"/>
      <c r="C63" s="46" t="n"/>
      <c r="D63" s="46" t="n"/>
      <c r="E63" s="46" t="n"/>
      <c r="F63" s="46" t="n"/>
      <c r="G63" s="46" t="n"/>
      <c r="H63" s="46" t="n"/>
      <c r="I63" s="46" t="n"/>
      <c r="J63" s="49" t="str">
        <f>IF($D63="","",IFERROR(IF($C63="Product",INDEX(Products!$B$2:$B$101,MATCH($D63,Products!$A$2:$A$101,0))&amp;"",IF($C63="Campaign",INDEX(Marketing!$B$2:$B$101,MATCH($D63,Marketing!$A$2:$A$101,0))&amp;"","")),"(not found)"))</f>
        <v/>
      </c>
      <c r="K63" s="49" t="str">
        <f>IF(COUNTA($A63:$I63)=0,"",IF($A63="","Missing: milestone ID",IF(COUNTIF($A$2:$A$201,$A63)&gt;1,"Duplicate milestone ID",IF(NOT(ISNUMBER($B63)),"Missing: date",IF($C63="","Missing: kind",IF($D63="","Missing: product or campaign ID",IF($E63="","Missing: milestone",IF($F63="","Missing: responsible person",IF($G63="","Missing: status",IF(COUNTIF(Config!$U$15:$U$34,$C63)=0,"Unsupported kind",IF(AND($C63="Product",COUNTIF(Products!$A$2:$A$101,$D63)=0),"Unknown product ID",IF(AND($C63="Campaign",COUNTIF(Marketing!$A$2:$A$101,$D63)=0),"Unknown campaign ID",IF(COUNTIF(Config!$V$15:$V$34,$G63)=0,"Unsupported status","OK")))))))))))))</f>
        <v/>
      </c>
    </row>
    <row r="64">
      <c r="A64" s="46" t="n"/>
      <c r="B64" s="54" t="n"/>
      <c r="C64" s="46" t="n"/>
      <c r="D64" s="46" t="n"/>
      <c r="E64" s="46" t="n"/>
      <c r="F64" s="46" t="n"/>
      <c r="G64" s="46" t="n"/>
      <c r="H64" s="46" t="n"/>
      <c r="I64" s="46" t="n"/>
      <c r="J64" s="49" t="str">
        <f>IF($D64="","",IFERROR(IF($C64="Product",INDEX(Products!$B$2:$B$101,MATCH($D64,Products!$A$2:$A$101,0))&amp;"",IF($C64="Campaign",INDEX(Marketing!$B$2:$B$101,MATCH($D64,Marketing!$A$2:$A$101,0))&amp;"","")),"(not found)"))</f>
        <v/>
      </c>
      <c r="K64" s="49" t="str">
        <f>IF(COUNTA($A64:$I64)=0,"",IF($A64="","Missing: milestone ID",IF(COUNTIF($A$2:$A$201,$A64)&gt;1,"Duplicate milestone ID",IF(NOT(ISNUMBER($B64)),"Missing: date",IF($C64="","Missing: kind",IF($D64="","Missing: product or campaign ID",IF($E64="","Missing: milestone",IF($F64="","Missing: responsible person",IF($G64="","Missing: status",IF(COUNTIF(Config!$U$15:$U$34,$C64)=0,"Unsupported kind",IF(AND($C64="Product",COUNTIF(Products!$A$2:$A$101,$D64)=0),"Unknown product ID",IF(AND($C64="Campaign",COUNTIF(Marketing!$A$2:$A$101,$D64)=0),"Unknown campaign ID",IF(COUNTIF(Config!$V$15:$V$34,$G64)=0,"Unsupported status","OK")))))))))))))</f>
        <v/>
      </c>
    </row>
    <row r="65">
      <c r="A65" s="46" t="n"/>
      <c r="B65" s="54" t="n"/>
      <c r="C65" s="46" t="n"/>
      <c r="D65" s="46" t="n"/>
      <c r="E65" s="46" t="n"/>
      <c r="F65" s="46" t="n"/>
      <c r="G65" s="46" t="n"/>
      <c r="H65" s="46" t="n"/>
      <c r="I65" s="46" t="n"/>
      <c r="J65" s="49" t="str">
        <f>IF($D65="","",IFERROR(IF($C65="Product",INDEX(Products!$B$2:$B$101,MATCH($D65,Products!$A$2:$A$101,0))&amp;"",IF($C65="Campaign",INDEX(Marketing!$B$2:$B$101,MATCH($D65,Marketing!$A$2:$A$101,0))&amp;"","")),"(not found)"))</f>
        <v/>
      </c>
      <c r="K65" s="49" t="str">
        <f>IF(COUNTA($A65:$I65)=0,"",IF($A65="","Missing: milestone ID",IF(COUNTIF($A$2:$A$201,$A65)&gt;1,"Duplicate milestone ID",IF(NOT(ISNUMBER($B65)),"Missing: date",IF($C65="","Missing: kind",IF($D65="","Missing: product or campaign ID",IF($E65="","Missing: milestone",IF($F65="","Missing: responsible person",IF($G65="","Missing: status",IF(COUNTIF(Config!$U$15:$U$34,$C65)=0,"Unsupported kind",IF(AND($C65="Product",COUNTIF(Products!$A$2:$A$101,$D65)=0),"Unknown product ID",IF(AND($C65="Campaign",COUNTIF(Marketing!$A$2:$A$101,$D65)=0),"Unknown campaign ID",IF(COUNTIF(Config!$V$15:$V$34,$G65)=0,"Unsupported status","OK")))))))))))))</f>
        <v/>
      </c>
    </row>
    <row r="66">
      <c r="A66" s="46" t="n"/>
      <c r="B66" s="54" t="n"/>
      <c r="C66" s="46" t="n"/>
      <c r="D66" s="46" t="n"/>
      <c r="E66" s="46" t="n"/>
      <c r="F66" s="46" t="n"/>
      <c r="G66" s="46" t="n"/>
      <c r="H66" s="46" t="n"/>
      <c r="I66" s="46" t="n"/>
      <c r="J66" s="49" t="str">
        <f>IF($D66="","",IFERROR(IF($C66="Product",INDEX(Products!$B$2:$B$101,MATCH($D66,Products!$A$2:$A$101,0))&amp;"",IF($C66="Campaign",INDEX(Marketing!$B$2:$B$101,MATCH($D66,Marketing!$A$2:$A$101,0))&amp;"","")),"(not found)"))</f>
        <v/>
      </c>
      <c r="K66" s="49" t="str">
        <f>IF(COUNTA($A66:$I66)=0,"",IF($A66="","Missing: milestone ID",IF(COUNTIF($A$2:$A$201,$A66)&gt;1,"Duplicate milestone ID",IF(NOT(ISNUMBER($B66)),"Missing: date",IF($C66="","Missing: kind",IF($D66="","Missing: product or campaign ID",IF($E66="","Missing: milestone",IF($F66="","Missing: responsible person",IF($G66="","Missing: status",IF(COUNTIF(Config!$U$15:$U$34,$C66)=0,"Unsupported kind",IF(AND($C66="Product",COUNTIF(Products!$A$2:$A$101,$D66)=0),"Unknown product ID",IF(AND($C66="Campaign",COUNTIF(Marketing!$A$2:$A$101,$D66)=0),"Unknown campaign ID",IF(COUNTIF(Config!$V$15:$V$34,$G66)=0,"Unsupported status","OK")))))))))))))</f>
        <v/>
      </c>
    </row>
    <row r="67">
      <c r="A67" s="46" t="n"/>
      <c r="B67" s="54" t="n"/>
      <c r="C67" s="46" t="n"/>
      <c r="D67" s="46" t="n"/>
      <c r="E67" s="46" t="n"/>
      <c r="F67" s="46" t="n"/>
      <c r="G67" s="46" t="n"/>
      <c r="H67" s="46" t="n"/>
      <c r="I67" s="46" t="n"/>
      <c r="J67" s="49" t="str">
        <f>IF($D67="","",IFERROR(IF($C67="Product",INDEX(Products!$B$2:$B$101,MATCH($D67,Products!$A$2:$A$101,0))&amp;"",IF($C67="Campaign",INDEX(Marketing!$B$2:$B$101,MATCH($D67,Marketing!$A$2:$A$101,0))&amp;"","")),"(not found)"))</f>
        <v/>
      </c>
      <c r="K67" s="49" t="str">
        <f>IF(COUNTA($A67:$I67)=0,"",IF($A67="","Missing: milestone ID",IF(COUNTIF($A$2:$A$201,$A67)&gt;1,"Duplicate milestone ID",IF(NOT(ISNUMBER($B67)),"Missing: date",IF($C67="","Missing: kind",IF($D67="","Missing: product or campaign ID",IF($E67="","Missing: milestone",IF($F67="","Missing: responsible person",IF($G67="","Missing: status",IF(COUNTIF(Config!$U$15:$U$34,$C67)=0,"Unsupported kind",IF(AND($C67="Product",COUNTIF(Products!$A$2:$A$101,$D67)=0),"Unknown product ID",IF(AND($C67="Campaign",COUNTIF(Marketing!$A$2:$A$101,$D67)=0),"Unknown campaign ID",IF(COUNTIF(Config!$V$15:$V$34,$G67)=0,"Unsupported status","OK")))))))))))))</f>
        <v/>
      </c>
    </row>
    <row r="68">
      <c r="A68" s="46" t="n"/>
      <c r="B68" s="54" t="n"/>
      <c r="C68" s="46" t="n"/>
      <c r="D68" s="46" t="n"/>
      <c r="E68" s="46" t="n"/>
      <c r="F68" s="46" t="n"/>
      <c r="G68" s="46" t="n"/>
      <c r="H68" s="46" t="n"/>
      <c r="I68" s="46" t="n"/>
      <c r="J68" s="49" t="str">
        <f>IF($D68="","",IFERROR(IF($C68="Product",INDEX(Products!$B$2:$B$101,MATCH($D68,Products!$A$2:$A$101,0))&amp;"",IF($C68="Campaign",INDEX(Marketing!$B$2:$B$101,MATCH($D68,Marketing!$A$2:$A$101,0))&amp;"","")),"(not found)"))</f>
        <v/>
      </c>
      <c r="K68" s="49" t="str">
        <f>IF(COUNTA($A68:$I68)=0,"",IF($A68="","Missing: milestone ID",IF(COUNTIF($A$2:$A$201,$A68)&gt;1,"Duplicate milestone ID",IF(NOT(ISNUMBER($B68)),"Missing: date",IF($C68="","Missing: kind",IF($D68="","Missing: product or campaign ID",IF($E68="","Missing: milestone",IF($F68="","Missing: responsible person",IF($G68="","Missing: status",IF(COUNTIF(Config!$U$15:$U$34,$C68)=0,"Unsupported kind",IF(AND($C68="Product",COUNTIF(Products!$A$2:$A$101,$D68)=0),"Unknown product ID",IF(AND($C68="Campaign",COUNTIF(Marketing!$A$2:$A$101,$D68)=0),"Unknown campaign ID",IF(COUNTIF(Config!$V$15:$V$34,$G68)=0,"Unsupported status","OK")))))))))))))</f>
        <v/>
      </c>
    </row>
    <row r="69">
      <c r="A69" s="46" t="n"/>
      <c r="B69" s="54" t="n"/>
      <c r="C69" s="46" t="n"/>
      <c r="D69" s="46" t="n"/>
      <c r="E69" s="46" t="n"/>
      <c r="F69" s="46" t="n"/>
      <c r="G69" s="46" t="n"/>
      <c r="H69" s="46" t="n"/>
      <c r="I69" s="46" t="n"/>
      <c r="J69" s="49" t="str">
        <f>IF($D69="","",IFERROR(IF($C69="Product",INDEX(Products!$B$2:$B$101,MATCH($D69,Products!$A$2:$A$101,0))&amp;"",IF($C69="Campaign",INDEX(Marketing!$B$2:$B$101,MATCH($D69,Marketing!$A$2:$A$101,0))&amp;"","")),"(not found)"))</f>
        <v/>
      </c>
      <c r="K69" s="49" t="str">
        <f>IF(COUNTA($A69:$I69)=0,"",IF($A69="","Missing: milestone ID",IF(COUNTIF($A$2:$A$201,$A69)&gt;1,"Duplicate milestone ID",IF(NOT(ISNUMBER($B69)),"Missing: date",IF($C69="","Missing: kind",IF($D69="","Missing: product or campaign ID",IF($E69="","Missing: milestone",IF($F69="","Missing: responsible person",IF($G69="","Missing: status",IF(COUNTIF(Config!$U$15:$U$34,$C69)=0,"Unsupported kind",IF(AND($C69="Product",COUNTIF(Products!$A$2:$A$101,$D69)=0),"Unknown product ID",IF(AND($C69="Campaign",COUNTIF(Marketing!$A$2:$A$101,$D69)=0),"Unknown campaign ID",IF(COUNTIF(Config!$V$15:$V$34,$G69)=0,"Unsupported status","OK")))))))))))))</f>
        <v/>
      </c>
    </row>
    <row r="70">
      <c r="A70" s="46" t="n"/>
      <c r="B70" s="54" t="n"/>
      <c r="C70" s="46" t="n"/>
      <c r="D70" s="46" t="n"/>
      <c r="E70" s="46" t="n"/>
      <c r="F70" s="46" t="n"/>
      <c r="G70" s="46" t="n"/>
      <c r="H70" s="46" t="n"/>
      <c r="I70" s="46" t="n"/>
      <c r="J70" s="49" t="str">
        <f>IF($D70="","",IFERROR(IF($C70="Product",INDEX(Products!$B$2:$B$101,MATCH($D70,Products!$A$2:$A$101,0))&amp;"",IF($C70="Campaign",INDEX(Marketing!$B$2:$B$101,MATCH($D70,Marketing!$A$2:$A$101,0))&amp;"","")),"(not found)"))</f>
        <v/>
      </c>
      <c r="K70" s="49" t="str">
        <f>IF(COUNTA($A70:$I70)=0,"",IF($A70="","Missing: milestone ID",IF(COUNTIF($A$2:$A$201,$A70)&gt;1,"Duplicate milestone ID",IF(NOT(ISNUMBER($B70)),"Missing: date",IF($C70="","Missing: kind",IF($D70="","Missing: product or campaign ID",IF($E70="","Missing: milestone",IF($F70="","Missing: responsible person",IF($G70="","Missing: status",IF(COUNTIF(Config!$U$15:$U$34,$C70)=0,"Unsupported kind",IF(AND($C70="Product",COUNTIF(Products!$A$2:$A$101,$D70)=0),"Unknown product ID",IF(AND($C70="Campaign",COUNTIF(Marketing!$A$2:$A$101,$D70)=0),"Unknown campaign ID",IF(COUNTIF(Config!$V$15:$V$34,$G70)=0,"Unsupported status","OK")))))))))))))</f>
        <v/>
      </c>
    </row>
    <row r="71">
      <c r="A71" s="46" t="n"/>
      <c r="B71" s="54" t="n"/>
      <c r="C71" s="46" t="n"/>
      <c r="D71" s="46" t="n"/>
      <c r="E71" s="46" t="n"/>
      <c r="F71" s="46" t="n"/>
      <c r="G71" s="46" t="n"/>
      <c r="H71" s="46" t="n"/>
      <c r="I71" s="46" t="n"/>
      <c r="J71" s="49" t="str">
        <f>IF($D71="","",IFERROR(IF($C71="Product",INDEX(Products!$B$2:$B$101,MATCH($D71,Products!$A$2:$A$101,0))&amp;"",IF($C71="Campaign",INDEX(Marketing!$B$2:$B$101,MATCH($D71,Marketing!$A$2:$A$101,0))&amp;"","")),"(not found)"))</f>
        <v/>
      </c>
      <c r="K71" s="49" t="str">
        <f>IF(COUNTA($A71:$I71)=0,"",IF($A71="","Missing: milestone ID",IF(COUNTIF($A$2:$A$201,$A71)&gt;1,"Duplicate milestone ID",IF(NOT(ISNUMBER($B71)),"Missing: date",IF($C71="","Missing: kind",IF($D71="","Missing: product or campaign ID",IF($E71="","Missing: milestone",IF($F71="","Missing: responsible person",IF($G71="","Missing: status",IF(COUNTIF(Config!$U$15:$U$34,$C71)=0,"Unsupported kind",IF(AND($C71="Product",COUNTIF(Products!$A$2:$A$101,$D71)=0),"Unknown product ID",IF(AND($C71="Campaign",COUNTIF(Marketing!$A$2:$A$101,$D71)=0),"Unknown campaign ID",IF(COUNTIF(Config!$V$15:$V$34,$G71)=0,"Unsupported status","OK")))))))))))))</f>
        <v/>
      </c>
    </row>
    <row r="72">
      <c r="A72" s="46" t="n"/>
      <c r="B72" s="54" t="n"/>
      <c r="C72" s="46" t="n"/>
      <c r="D72" s="46" t="n"/>
      <c r="E72" s="46" t="n"/>
      <c r="F72" s="46" t="n"/>
      <c r="G72" s="46" t="n"/>
      <c r="H72" s="46" t="n"/>
      <c r="I72" s="46" t="n"/>
      <c r="J72" s="49" t="str">
        <f>IF($D72="","",IFERROR(IF($C72="Product",INDEX(Products!$B$2:$B$101,MATCH($D72,Products!$A$2:$A$101,0))&amp;"",IF($C72="Campaign",INDEX(Marketing!$B$2:$B$101,MATCH($D72,Marketing!$A$2:$A$101,0))&amp;"","")),"(not found)"))</f>
        <v/>
      </c>
      <c r="K72" s="49" t="str">
        <f>IF(COUNTA($A72:$I72)=0,"",IF($A72="","Missing: milestone ID",IF(COUNTIF($A$2:$A$201,$A72)&gt;1,"Duplicate milestone ID",IF(NOT(ISNUMBER($B72)),"Missing: date",IF($C72="","Missing: kind",IF($D72="","Missing: product or campaign ID",IF($E72="","Missing: milestone",IF($F72="","Missing: responsible person",IF($G72="","Missing: status",IF(COUNTIF(Config!$U$15:$U$34,$C72)=0,"Unsupported kind",IF(AND($C72="Product",COUNTIF(Products!$A$2:$A$101,$D72)=0),"Unknown product ID",IF(AND($C72="Campaign",COUNTIF(Marketing!$A$2:$A$101,$D72)=0),"Unknown campaign ID",IF(COUNTIF(Config!$V$15:$V$34,$G72)=0,"Unsupported status","OK")))))))))))))</f>
        <v/>
      </c>
    </row>
    <row r="73">
      <c r="A73" s="46" t="n"/>
      <c r="B73" s="54" t="n"/>
      <c r="C73" s="46" t="n"/>
      <c r="D73" s="46" t="n"/>
      <c r="E73" s="46" t="n"/>
      <c r="F73" s="46" t="n"/>
      <c r="G73" s="46" t="n"/>
      <c r="H73" s="46" t="n"/>
      <c r="I73" s="46" t="n"/>
      <c r="J73" s="49" t="str">
        <f>IF($D73="","",IFERROR(IF($C73="Product",INDEX(Products!$B$2:$B$101,MATCH($D73,Products!$A$2:$A$101,0))&amp;"",IF($C73="Campaign",INDEX(Marketing!$B$2:$B$101,MATCH($D73,Marketing!$A$2:$A$101,0))&amp;"","")),"(not found)"))</f>
        <v/>
      </c>
      <c r="K73" s="49" t="str">
        <f>IF(COUNTA($A73:$I73)=0,"",IF($A73="","Missing: milestone ID",IF(COUNTIF($A$2:$A$201,$A73)&gt;1,"Duplicate milestone ID",IF(NOT(ISNUMBER($B73)),"Missing: date",IF($C73="","Missing: kind",IF($D73="","Missing: product or campaign ID",IF($E73="","Missing: milestone",IF($F73="","Missing: responsible person",IF($G73="","Missing: status",IF(COUNTIF(Config!$U$15:$U$34,$C73)=0,"Unsupported kind",IF(AND($C73="Product",COUNTIF(Products!$A$2:$A$101,$D73)=0),"Unknown product ID",IF(AND($C73="Campaign",COUNTIF(Marketing!$A$2:$A$101,$D73)=0),"Unknown campaign ID",IF(COUNTIF(Config!$V$15:$V$34,$G73)=0,"Unsupported status","OK")))))))))))))</f>
        <v/>
      </c>
    </row>
    <row r="74">
      <c r="A74" s="46" t="n"/>
      <c r="B74" s="54" t="n"/>
      <c r="C74" s="46" t="n"/>
      <c r="D74" s="46" t="n"/>
      <c r="E74" s="46" t="n"/>
      <c r="F74" s="46" t="n"/>
      <c r="G74" s="46" t="n"/>
      <c r="H74" s="46" t="n"/>
      <c r="I74" s="46" t="n"/>
      <c r="J74" s="49" t="str">
        <f>IF($D74="","",IFERROR(IF($C74="Product",INDEX(Products!$B$2:$B$101,MATCH($D74,Products!$A$2:$A$101,0))&amp;"",IF($C74="Campaign",INDEX(Marketing!$B$2:$B$101,MATCH($D74,Marketing!$A$2:$A$101,0))&amp;"","")),"(not found)"))</f>
        <v/>
      </c>
      <c r="K74" s="49" t="str">
        <f>IF(COUNTA($A74:$I74)=0,"",IF($A74="","Missing: milestone ID",IF(COUNTIF($A$2:$A$201,$A74)&gt;1,"Duplicate milestone ID",IF(NOT(ISNUMBER($B74)),"Missing: date",IF($C74="","Missing: kind",IF($D74="","Missing: product or campaign ID",IF($E74="","Missing: milestone",IF($F74="","Missing: responsible person",IF($G74="","Missing: status",IF(COUNTIF(Config!$U$15:$U$34,$C74)=0,"Unsupported kind",IF(AND($C74="Product",COUNTIF(Products!$A$2:$A$101,$D74)=0),"Unknown product ID",IF(AND($C74="Campaign",COUNTIF(Marketing!$A$2:$A$101,$D74)=0),"Unknown campaign ID",IF(COUNTIF(Config!$V$15:$V$34,$G74)=0,"Unsupported status","OK")))))))))))))</f>
        <v/>
      </c>
    </row>
    <row r="75">
      <c r="A75" s="46" t="n"/>
      <c r="B75" s="54" t="n"/>
      <c r="C75" s="46" t="n"/>
      <c r="D75" s="46" t="n"/>
      <c r="E75" s="46" t="n"/>
      <c r="F75" s="46" t="n"/>
      <c r="G75" s="46" t="n"/>
      <c r="H75" s="46" t="n"/>
      <c r="I75" s="46" t="n"/>
      <c r="J75" s="49" t="str">
        <f>IF($D75="","",IFERROR(IF($C75="Product",INDEX(Products!$B$2:$B$101,MATCH($D75,Products!$A$2:$A$101,0))&amp;"",IF($C75="Campaign",INDEX(Marketing!$B$2:$B$101,MATCH($D75,Marketing!$A$2:$A$101,0))&amp;"","")),"(not found)"))</f>
        <v/>
      </c>
      <c r="K75" s="49" t="str">
        <f>IF(COUNTA($A75:$I75)=0,"",IF($A75="","Missing: milestone ID",IF(COUNTIF($A$2:$A$201,$A75)&gt;1,"Duplicate milestone ID",IF(NOT(ISNUMBER($B75)),"Missing: date",IF($C75="","Missing: kind",IF($D75="","Missing: product or campaign ID",IF($E75="","Missing: milestone",IF($F75="","Missing: responsible person",IF($G75="","Missing: status",IF(COUNTIF(Config!$U$15:$U$34,$C75)=0,"Unsupported kind",IF(AND($C75="Product",COUNTIF(Products!$A$2:$A$101,$D75)=0),"Unknown product ID",IF(AND($C75="Campaign",COUNTIF(Marketing!$A$2:$A$101,$D75)=0),"Unknown campaign ID",IF(COUNTIF(Config!$V$15:$V$34,$G75)=0,"Unsupported status","OK")))))))))))))</f>
        <v/>
      </c>
    </row>
    <row r="76">
      <c r="A76" s="46" t="n"/>
      <c r="B76" s="54" t="n"/>
      <c r="C76" s="46" t="n"/>
      <c r="D76" s="46" t="n"/>
      <c r="E76" s="46" t="n"/>
      <c r="F76" s="46" t="n"/>
      <c r="G76" s="46" t="n"/>
      <c r="H76" s="46" t="n"/>
      <c r="I76" s="46" t="n"/>
      <c r="J76" s="49" t="str">
        <f>IF($D76="","",IFERROR(IF($C76="Product",INDEX(Products!$B$2:$B$101,MATCH($D76,Products!$A$2:$A$101,0))&amp;"",IF($C76="Campaign",INDEX(Marketing!$B$2:$B$101,MATCH($D76,Marketing!$A$2:$A$101,0))&amp;"","")),"(not found)"))</f>
        <v/>
      </c>
      <c r="K76" s="49" t="str">
        <f>IF(COUNTA($A76:$I76)=0,"",IF($A76="","Missing: milestone ID",IF(COUNTIF($A$2:$A$201,$A76)&gt;1,"Duplicate milestone ID",IF(NOT(ISNUMBER($B76)),"Missing: date",IF($C76="","Missing: kind",IF($D76="","Missing: product or campaign ID",IF($E76="","Missing: milestone",IF($F76="","Missing: responsible person",IF($G76="","Missing: status",IF(COUNTIF(Config!$U$15:$U$34,$C76)=0,"Unsupported kind",IF(AND($C76="Product",COUNTIF(Products!$A$2:$A$101,$D76)=0),"Unknown product ID",IF(AND($C76="Campaign",COUNTIF(Marketing!$A$2:$A$101,$D76)=0),"Unknown campaign ID",IF(COUNTIF(Config!$V$15:$V$34,$G76)=0,"Unsupported status","OK")))))))))))))</f>
        <v/>
      </c>
    </row>
    <row r="77">
      <c r="A77" s="46" t="n"/>
      <c r="B77" s="54" t="n"/>
      <c r="C77" s="46" t="n"/>
      <c r="D77" s="46" t="n"/>
      <c r="E77" s="46" t="n"/>
      <c r="F77" s="46" t="n"/>
      <c r="G77" s="46" t="n"/>
      <c r="H77" s="46" t="n"/>
      <c r="I77" s="46" t="n"/>
      <c r="J77" s="49" t="str">
        <f>IF($D77="","",IFERROR(IF($C77="Product",INDEX(Products!$B$2:$B$101,MATCH($D77,Products!$A$2:$A$101,0))&amp;"",IF($C77="Campaign",INDEX(Marketing!$B$2:$B$101,MATCH($D77,Marketing!$A$2:$A$101,0))&amp;"","")),"(not found)"))</f>
        <v/>
      </c>
      <c r="K77" s="49" t="str">
        <f>IF(COUNTA($A77:$I77)=0,"",IF($A77="","Missing: milestone ID",IF(COUNTIF($A$2:$A$201,$A77)&gt;1,"Duplicate milestone ID",IF(NOT(ISNUMBER($B77)),"Missing: date",IF($C77="","Missing: kind",IF($D77="","Missing: product or campaign ID",IF($E77="","Missing: milestone",IF($F77="","Missing: responsible person",IF($G77="","Missing: status",IF(COUNTIF(Config!$U$15:$U$34,$C77)=0,"Unsupported kind",IF(AND($C77="Product",COUNTIF(Products!$A$2:$A$101,$D77)=0),"Unknown product ID",IF(AND($C77="Campaign",COUNTIF(Marketing!$A$2:$A$101,$D77)=0),"Unknown campaign ID",IF(COUNTIF(Config!$V$15:$V$34,$G77)=0,"Unsupported status","OK")))))))))))))</f>
        <v/>
      </c>
    </row>
    <row r="78">
      <c r="A78" s="46" t="n"/>
      <c r="B78" s="54" t="n"/>
      <c r="C78" s="46" t="n"/>
      <c r="D78" s="46" t="n"/>
      <c r="E78" s="46" t="n"/>
      <c r="F78" s="46" t="n"/>
      <c r="G78" s="46" t="n"/>
      <c r="H78" s="46" t="n"/>
      <c r="I78" s="46" t="n"/>
      <c r="J78" s="49" t="str">
        <f>IF($D78="","",IFERROR(IF($C78="Product",INDEX(Products!$B$2:$B$101,MATCH($D78,Products!$A$2:$A$101,0))&amp;"",IF($C78="Campaign",INDEX(Marketing!$B$2:$B$101,MATCH($D78,Marketing!$A$2:$A$101,0))&amp;"","")),"(not found)"))</f>
        <v/>
      </c>
      <c r="K78" s="49" t="str">
        <f>IF(COUNTA($A78:$I78)=0,"",IF($A78="","Missing: milestone ID",IF(COUNTIF($A$2:$A$201,$A78)&gt;1,"Duplicate milestone ID",IF(NOT(ISNUMBER($B78)),"Missing: date",IF($C78="","Missing: kind",IF($D78="","Missing: product or campaign ID",IF($E78="","Missing: milestone",IF($F78="","Missing: responsible person",IF($G78="","Missing: status",IF(COUNTIF(Config!$U$15:$U$34,$C78)=0,"Unsupported kind",IF(AND($C78="Product",COUNTIF(Products!$A$2:$A$101,$D78)=0),"Unknown product ID",IF(AND($C78="Campaign",COUNTIF(Marketing!$A$2:$A$101,$D78)=0),"Unknown campaign ID",IF(COUNTIF(Config!$V$15:$V$34,$G78)=0,"Unsupported status","OK")))))))))))))</f>
        <v/>
      </c>
    </row>
    <row r="79">
      <c r="A79" s="46" t="n"/>
      <c r="B79" s="54" t="n"/>
      <c r="C79" s="46" t="n"/>
      <c r="D79" s="46" t="n"/>
      <c r="E79" s="46" t="n"/>
      <c r="F79" s="46" t="n"/>
      <c r="G79" s="46" t="n"/>
      <c r="H79" s="46" t="n"/>
      <c r="I79" s="46" t="n"/>
      <c r="J79" s="49" t="str">
        <f>IF($D79="","",IFERROR(IF($C79="Product",INDEX(Products!$B$2:$B$101,MATCH($D79,Products!$A$2:$A$101,0))&amp;"",IF($C79="Campaign",INDEX(Marketing!$B$2:$B$101,MATCH($D79,Marketing!$A$2:$A$101,0))&amp;"","")),"(not found)"))</f>
        <v/>
      </c>
      <c r="K79" s="49" t="str">
        <f>IF(COUNTA($A79:$I79)=0,"",IF($A79="","Missing: milestone ID",IF(COUNTIF($A$2:$A$201,$A79)&gt;1,"Duplicate milestone ID",IF(NOT(ISNUMBER($B79)),"Missing: date",IF($C79="","Missing: kind",IF($D79="","Missing: product or campaign ID",IF($E79="","Missing: milestone",IF($F79="","Missing: responsible person",IF($G79="","Missing: status",IF(COUNTIF(Config!$U$15:$U$34,$C79)=0,"Unsupported kind",IF(AND($C79="Product",COUNTIF(Products!$A$2:$A$101,$D79)=0),"Unknown product ID",IF(AND($C79="Campaign",COUNTIF(Marketing!$A$2:$A$101,$D79)=0),"Unknown campaign ID",IF(COUNTIF(Config!$V$15:$V$34,$G79)=0,"Unsupported status","OK")))))))))))))</f>
        <v/>
      </c>
    </row>
    <row r="80">
      <c r="A80" s="46" t="n"/>
      <c r="B80" s="54" t="n"/>
      <c r="C80" s="46" t="n"/>
      <c r="D80" s="46" t="n"/>
      <c r="E80" s="46" t="n"/>
      <c r="F80" s="46" t="n"/>
      <c r="G80" s="46" t="n"/>
      <c r="H80" s="46" t="n"/>
      <c r="I80" s="46" t="n"/>
      <c r="J80" s="49" t="str">
        <f>IF($D80="","",IFERROR(IF($C80="Product",INDEX(Products!$B$2:$B$101,MATCH($D80,Products!$A$2:$A$101,0))&amp;"",IF($C80="Campaign",INDEX(Marketing!$B$2:$B$101,MATCH($D80,Marketing!$A$2:$A$101,0))&amp;"","")),"(not found)"))</f>
        <v/>
      </c>
      <c r="K80" s="49" t="str">
        <f>IF(COUNTA($A80:$I80)=0,"",IF($A80="","Missing: milestone ID",IF(COUNTIF($A$2:$A$201,$A80)&gt;1,"Duplicate milestone ID",IF(NOT(ISNUMBER($B80)),"Missing: date",IF($C80="","Missing: kind",IF($D80="","Missing: product or campaign ID",IF($E80="","Missing: milestone",IF($F80="","Missing: responsible person",IF($G80="","Missing: status",IF(COUNTIF(Config!$U$15:$U$34,$C80)=0,"Unsupported kind",IF(AND($C80="Product",COUNTIF(Products!$A$2:$A$101,$D80)=0),"Unknown product ID",IF(AND($C80="Campaign",COUNTIF(Marketing!$A$2:$A$101,$D80)=0),"Unknown campaign ID",IF(COUNTIF(Config!$V$15:$V$34,$G80)=0,"Unsupported status","OK")))))))))))))</f>
        <v/>
      </c>
    </row>
    <row r="81">
      <c r="A81" s="46" t="n"/>
      <c r="B81" s="54" t="n"/>
      <c r="C81" s="46" t="n"/>
      <c r="D81" s="46" t="n"/>
      <c r="E81" s="46" t="n"/>
      <c r="F81" s="46" t="n"/>
      <c r="G81" s="46" t="n"/>
      <c r="H81" s="46" t="n"/>
      <c r="I81" s="46" t="n"/>
      <c r="J81" s="49" t="str">
        <f>IF($D81="","",IFERROR(IF($C81="Product",INDEX(Products!$B$2:$B$101,MATCH($D81,Products!$A$2:$A$101,0))&amp;"",IF($C81="Campaign",INDEX(Marketing!$B$2:$B$101,MATCH($D81,Marketing!$A$2:$A$101,0))&amp;"","")),"(not found)"))</f>
        <v/>
      </c>
      <c r="K81" s="49" t="str">
        <f>IF(COUNTA($A81:$I81)=0,"",IF($A81="","Missing: milestone ID",IF(COUNTIF($A$2:$A$201,$A81)&gt;1,"Duplicate milestone ID",IF(NOT(ISNUMBER($B81)),"Missing: date",IF($C81="","Missing: kind",IF($D81="","Missing: product or campaign ID",IF($E81="","Missing: milestone",IF($F81="","Missing: responsible person",IF($G81="","Missing: status",IF(COUNTIF(Config!$U$15:$U$34,$C81)=0,"Unsupported kind",IF(AND($C81="Product",COUNTIF(Products!$A$2:$A$101,$D81)=0),"Unknown product ID",IF(AND($C81="Campaign",COUNTIF(Marketing!$A$2:$A$101,$D81)=0),"Unknown campaign ID",IF(COUNTIF(Config!$V$15:$V$34,$G81)=0,"Unsupported status","OK")))))))))))))</f>
        <v/>
      </c>
    </row>
    <row r="82">
      <c r="A82" s="46" t="n"/>
      <c r="B82" s="54" t="n"/>
      <c r="C82" s="46" t="n"/>
      <c r="D82" s="46" t="n"/>
      <c r="E82" s="46" t="n"/>
      <c r="F82" s="46" t="n"/>
      <c r="G82" s="46" t="n"/>
      <c r="H82" s="46" t="n"/>
      <c r="I82" s="46" t="n"/>
      <c r="J82" s="49" t="str">
        <f>IF($D82="","",IFERROR(IF($C82="Product",INDEX(Products!$B$2:$B$101,MATCH($D82,Products!$A$2:$A$101,0))&amp;"",IF($C82="Campaign",INDEX(Marketing!$B$2:$B$101,MATCH($D82,Marketing!$A$2:$A$101,0))&amp;"","")),"(not found)"))</f>
        <v/>
      </c>
      <c r="K82" s="49" t="str">
        <f>IF(COUNTA($A82:$I82)=0,"",IF($A82="","Missing: milestone ID",IF(COUNTIF($A$2:$A$201,$A82)&gt;1,"Duplicate milestone ID",IF(NOT(ISNUMBER($B82)),"Missing: date",IF($C82="","Missing: kind",IF($D82="","Missing: product or campaign ID",IF($E82="","Missing: milestone",IF($F82="","Missing: responsible person",IF($G82="","Missing: status",IF(COUNTIF(Config!$U$15:$U$34,$C82)=0,"Unsupported kind",IF(AND($C82="Product",COUNTIF(Products!$A$2:$A$101,$D82)=0),"Unknown product ID",IF(AND($C82="Campaign",COUNTIF(Marketing!$A$2:$A$101,$D82)=0),"Unknown campaign ID",IF(COUNTIF(Config!$V$15:$V$34,$G82)=0,"Unsupported status","OK")))))))))))))</f>
        <v/>
      </c>
    </row>
    <row r="83">
      <c r="A83" s="46" t="n"/>
      <c r="B83" s="54" t="n"/>
      <c r="C83" s="46" t="n"/>
      <c r="D83" s="46" t="n"/>
      <c r="E83" s="46" t="n"/>
      <c r="F83" s="46" t="n"/>
      <c r="G83" s="46" t="n"/>
      <c r="H83" s="46" t="n"/>
      <c r="I83" s="46" t="n"/>
      <c r="J83" s="49" t="str">
        <f>IF($D83="","",IFERROR(IF($C83="Product",INDEX(Products!$B$2:$B$101,MATCH($D83,Products!$A$2:$A$101,0))&amp;"",IF($C83="Campaign",INDEX(Marketing!$B$2:$B$101,MATCH($D83,Marketing!$A$2:$A$101,0))&amp;"","")),"(not found)"))</f>
        <v/>
      </c>
      <c r="K83" s="49" t="str">
        <f>IF(COUNTA($A83:$I83)=0,"",IF($A83="","Missing: milestone ID",IF(COUNTIF($A$2:$A$201,$A83)&gt;1,"Duplicate milestone ID",IF(NOT(ISNUMBER($B83)),"Missing: date",IF($C83="","Missing: kind",IF($D83="","Missing: product or campaign ID",IF($E83="","Missing: milestone",IF($F83="","Missing: responsible person",IF($G83="","Missing: status",IF(COUNTIF(Config!$U$15:$U$34,$C83)=0,"Unsupported kind",IF(AND($C83="Product",COUNTIF(Products!$A$2:$A$101,$D83)=0),"Unknown product ID",IF(AND($C83="Campaign",COUNTIF(Marketing!$A$2:$A$101,$D83)=0),"Unknown campaign ID",IF(COUNTIF(Config!$V$15:$V$34,$G83)=0,"Unsupported status","OK")))))))))))))</f>
        <v/>
      </c>
    </row>
    <row r="84">
      <c r="A84" s="46" t="n"/>
      <c r="B84" s="54" t="n"/>
      <c r="C84" s="46" t="n"/>
      <c r="D84" s="46" t="n"/>
      <c r="E84" s="46" t="n"/>
      <c r="F84" s="46" t="n"/>
      <c r="G84" s="46" t="n"/>
      <c r="H84" s="46" t="n"/>
      <c r="I84" s="46" t="n"/>
      <c r="J84" s="49" t="str">
        <f>IF($D84="","",IFERROR(IF($C84="Product",INDEX(Products!$B$2:$B$101,MATCH($D84,Products!$A$2:$A$101,0))&amp;"",IF($C84="Campaign",INDEX(Marketing!$B$2:$B$101,MATCH($D84,Marketing!$A$2:$A$101,0))&amp;"","")),"(not found)"))</f>
        <v/>
      </c>
      <c r="K84" s="49" t="str">
        <f>IF(COUNTA($A84:$I84)=0,"",IF($A84="","Missing: milestone ID",IF(COUNTIF($A$2:$A$201,$A84)&gt;1,"Duplicate milestone ID",IF(NOT(ISNUMBER($B84)),"Missing: date",IF($C84="","Missing: kind",IF($D84="","Missing: product or campaign ID",IF($E84="","Missing: milestone",IF($F84="","Missing: responsible person",IF($G84="","Missing: status",IF(COUNTIF(Config!$U$15:$U$34,$C84)=0,"Unsupported kind",IF(AND($C84="Product",COUNTIF(Products!$A$2:$A$101,$D84)=0),"Unknown product ID",IF(AND($C84="Campaign",COUNTIF(Marketing!$A$2:$A$101,$D84)=0),"Unknown campaign ID",IF(COUNTIF(Config!$V$15:$V$34,$G84)=0,"Unsupported status","OK")))))))))))))</f>
        <v/>
      </c>
    </row>
    <row r="85">
      <c r="A85" s="46" t="n"/>
      <c r="B85" s="54" t="n"/>
      <c r="C85" s="46" t="n"/>
      <c r="D85" s="46" t="n"/>
      <c r="E85" s="46" t="n"/>
      <c r="F85" s="46" t="n"/>
      <c r="G85" s="46" t="n"/>
      <c r="H85" s="46" t="n"/>
      <c r="I85" s="46" t="n"/>
      <c r="J85" s="49" t="str">
        <f>IF($D85="","",IFERROR(IF($C85="Product",INDEX(Products!$B$2:$B$101,MATCH($D85,Products!$A$2:$A$101,0))&amp;"",IF($C85="Campaign",INDEX(Marketing!$B$2:$B$101,MATCH($D85,Marketing!$A$2:$A$101,0))&amp;"","")),"(not found)"))</f>
        <v/>
      </c>
      <c r="K85" s="49" t="str">
        <f>IF(COUNTA($A85:$I85)=0,"",IF($A85="","Missing: milestone ID",IF(COUNTIF($A$2:$A$201,$A85)&gt;1,"Duplicate milestone ID",IF(NOT(ISNUMBER($B85)),"Missing: date",IF($C85="","Missing: kind",IF($D85="","Missing: product or campaign ID",IF($E85="","Missing: milestone",IF($F85="","Missing: responsible person",IF($G85="","Missing: status",IF(COUNTIF(Config!$U$15:$U$34,$C85)=0,"Unsupported kind",IF(AND($C85="Product",COUNTIF(Products!$A$2:$A$101,$D85)=0),"Unknown product ID",IF(AND($C85="Campaign",COUNTIF(Marketing!$A$2:$A$101,$D85)=0),"Unknown campaign ID",IF(COUNTIF(Config!$V$15:$V$34,$G85)=0,"Unsupported status","OK")))))))))))))</f>
        <v/>
      </c>
    </row>
    <row r="86">
      <c r="A86" s="46" t="n"/>
      <c r="B86" s="54" t="n"/>
      <c r="C86" s="46" t="n"/>
      <c r="D86" s="46" t="n"/>
      <c r="E86" s="46" t="n"/>
      <c r="F86" s="46" t="n"/>
      <c r="G86" s="46" t="n"/>
      <c r="H86" s="46" t="n"/>
      <c r="I86" s="46" t="n"/>
      <c r="J86" s="49" t="str">
        <f>IF($D86="","",IFERROR(IF($C86="Product",INDEX(Products!$B$2:$B$101,MATCH($D86,Products!$A$2:$A$101,0))&amp;"",IF($C86="Campaign",INDEX(Marketing!$B$2:$B$101,MATCH($D86,Marketing!$A$2:$A$101,0))&amp;"","")),"(not found)"))</f>
        <v/>
      </c>
      <c r="K86" s="49" t="str">
        <f>IF(COUNTA($A86:$I86)=0,"",IF($A86="","Missing: milestone ID",IF(COUNTIF($A$2:$A$201,$A86)&gt;1,"Duplicate milestone ID",IF(NOT(ISNUMBER($B86)),"Missing: date",IF($C86="","Missing: kind",IF($D86="","Missing: product or campaign ID",IF($E86="","Missing: milestone",IF($F86="","Missing: responsible person",IF($G86="","Missing: status",IF(COUNTIF(Config!$U$15:$U$34,$C86)=0,"Unsupported kind",IF(AND($C86="Product",COUNTIF(Products!$A$2:$A$101,$D86)=0),"Unknown product ID",IF(AND($C86="Campaign",COUNTIF(Marketing!$A$2:$A$101,$D86)=0),"Unknown campaign ID",IF(COUNTIF(Config!$V$15:$V$34,$G86)=0,"Unsupported status","OK")))))))))))))</f>
        <v/>
      </c>
    </row>
    <row r="87">
      <c r="A87" s="46" t="n"/>
      <c r="B87" s="54" t="n"/>
      <c r="C87" s="46" t="n"/>
      <c r="D87" s="46" t="n"/>
      <c r="E87" s="46" t="n"/>
      <c r="F87" s="46" t="n"/>
      <c r="G87" s="46" t="n"/>
      <c r="H87" s="46" t="n"/>
      <c r="I87" s="46" t="n"/>
      <c r="J87" s="49" t="str">
        <f>IF($D87="","",IFERROR(IF($C87="Product",INDEX(Products!$B$2:$B$101,MATCH($D87,Products!$A$2:$A$101,0))&amp;"",IF($C87="Campaign",INDEX(Marketing!$B$2:$B$101,MATCH($D87,Marketing!$A$2:$A$101,0))&amp;"","")),"(not found)"))</f>
        <v/>
      </c>
      <c r="K87" s="49" t="str">
        <f>IF(COUNTA($A87:$I87)=0,"",IF($A87="","Missing: milestone ID",IF(COUNTIF($A$2:$A$201,$A87)&gt;1,"Duplicate milestone ID",IF(NOT(ISNUMBER($B87)),"Missing: date",IF($C87="","Missing: kind",IF($D87="","Missing: product or campaign ID",IF($E87="","Missing: milestone",IF($F87="","Missing: responsible person",IF($G87="","Missing: status",IF(COUNTIF(Config!$U$15:$U$34,$C87)=0,"Unsupported kind",IF(AND($C87="Product",COUNTIF(Products!$A$2:$A$101,$D87)=0),"Unknown product ID",IF(AND($C87="Campaign",COUNTIF(Marketing!$A$2:$A$101,$D87)=0),"Unknown campaign ID",IF(COUNTIF(Config!$V$15:$V$34,$G87)=0,"Unsupported status","OK")))))))))))))</f>
        <v/>
      </c>
    </row>
    <row r="88">
      <c r="A88" s="46" t="n"/>
      <c r="B88" s="54" t="n"/>
      <c r="C88" s="46" t="n"/>
      <c r="D88" s="46" t="n"/>
      <c r="E88" s="46" t="n"/>
      <c r="F88" s="46" t="n"/>
      <c r="G88" s="46" t="n"/>
      <c r="H88" s="46" t="n"/>
      <c r="I88" s="46" t="n"/>
      <c r="J88" s="49" t="str">
        <f>IF($D88="","",IFERROR(IF($C88="Product",INDEX(Products!$B$2:$B$101,MATCH($D88,Products!$A$2:$A$101,0))&amp;"",IF($C88="Campaign",INDEX(Marketing!$B$2:$B$101,MATCH($D88,Marketing!$A$2:$A$101,0))&amp;"","")),"(not found)"))</f>
        <v/>
      </c>
      <c r="K88" s="49" t="str">
        <f>IF(COUNTA($A88:$I88)=0,"",IF($A88="","Missing: milestone ID",IF(COUNTIF($A$2:$A$201,$A88)&gt;1,"Duplicate milestone ID",IF(NOT(ISNUMBER($B88)),"Missing: date",IF($C88="","Missing: kind",IF($D88="","Missing: product or campaign ID",IF($E88="","Missing: milestone",IF($F88="","Missing: responsible person",IF($G88="","Missing: status",IF(COUNTIF(Config!$U$15:$U$34,$C88)=0,"Unsupported kind",IF(AND($C88="Product",COUNTIF(Products!$A$2:$A$101,$D88)=0),"Unknown product ID",IF(AND($C88="Campaign",COUNTIF(Marketing!$A$2:$A$101,$D88)=0),"Unknown campaign ID",IF(COUNTIF(Config!$V$15:$V$34,$G88)=0,"Unsupported status","OK")))))))))))))</f>
        <v/>
      </c>
    </row>
    <row r="89">
      <c r="A89" s="46" t="n"/>
      <c r="B89" s="54" t="n"/>
      <c r="C89" s="46" t="n"/>
      <c r="D89" s="46" t="n"/>
      <c r="E89" s="46" t="n"/>
      <c r="F89" s="46" t="n"/>
      <c r="G89" s="46" t="n"/>
      <c r="H89" s="46" t="n"/>
      <c r="I89" s="46" t="n"/>
      <c r="J89" s="49" t="str">
        <f>IF($D89="","",IFERROR(IF($C89="Product",INDEX(Products!$B$2:$B$101,MATCH($D89,Products!$A$2:$A$101,0))&amp;"",IF($C89="Campaign",INDEX(Marketing!$B$2:$B$101,MATCH($D89,Marketing!$A$2:$A$101,0))&amp;"","")),"(not found)"))</f>
        <v/>
      </c>
      <c r="K89" s="49" t="str">
        <f>IF(COUNTA($A89:$I89)=0,"",IF($A89="","Missing: milestone ID",IF(COUNTIF($A$2:$A$201,$A89)&gt;1,"Duplicate milestone ID",IF(NOT(ISNUMBER($B89)),"Missing: date",IF($C89="","Missing: kind",IF($D89="","Missing: product or campaign ID",IF($E89="","Missing: milestone",IF($F89="","Missing: responsible person",IF($G89="","Missing: status",IF(COUNTIF(Config!$U$15:$U$34,$C89)=0,"Unsupported kind",IF(AND($C89="Product",COUNTIF(Products!$A$2:$A$101,$D89)=0),"Unknown product ID",IF(AND($C89="Campaign",COUNTIF(Marketing!$A$2:$A$101,$D89)=0),"Unknown campaign ID",IF(COUNTIF(Config!$V$15:$V$34,$G89)=0,"Unsupported status","OK")))))))))))))</f>
        <v/>
      </c>
    </row>
    <row r="90">
      <c r="A90" s="46" t="n"/>
      <c r="B90" s="54" t="n"/>
      <c r="C90" s="46" t="n"/>
      <c r="D90" s="46" t="n"/>
      <c r="E90" s="46" t="n"/>
      <c r="F90" s="46" t="n"/>
      <c r="G90" s="46" t="n"/>
      <c r="H90" s="46" t="n"/>
      <c r="I90" s="46" t="n"/>
      <c r="J90" s="49" t="str">
        <f>IF($D90="","",IFERROR(IF($C90="Product",INDEX(Products!$B$2:$B$101,MATCH($D90,Products!$A$2:$A$101,0))&amp;"",IF($C90="Campaign",INDEX(Marketing!$B$2:$B$101,MATCH($D90,Marketing!$A$2:$A$101,0))&amp;"","")),"(not found)"))</f>
        <v/>
      </c>
      <c r="K90" s="49" t="str">
        <f>IF(COUNTA($A90:$I90)=0,"",IF($A90="","Missing: milestone ID",IF(COUNTIF($A$2:$A$201,$A90)&gt;1,"Duplicate milestone ID",IF(NOT(ISNUMBER($B90)),"Missing: date",IF($C90="","Missing: kind",IF($D90="","Missing: product or campaign ID",IF($E90="","Missing: milestone",IF($F90="","Missing: responsible person",IF($G90="","Missing: status",IF(COUNTIF(Config!$U$15:$U$34,$C90)=0,"Unsupported kind",IF(AND($C90="Product",COUNTIF(Products!$A$2:$A$101,$D90)=0),"Unknown product ID",IF(AND($C90="Campaign",COUNTIF(Marketing!$A$2:$A$101,$D90)=0),"Unknown campaign ID",IF(COUNTIF(Config!$V$15:$V$34,$G90)=0,"Unsupported status","OK")))))))))))))</f>
        <v/>
      </c>
    </row>
    <row r="91">
      <c r="A91" s="46" t="n"/>
      <c r="B91" s="54" t="n"/>
      <c r="C91" s="46" t="n"/>
      <c r="D91" s="46" t="n"/>
      <c r="E91" s="46" t="n"/>
      <c r="F91" s="46" t="n"/>
      <c r="G91" s="46" t="n"/>
      <c r="H91" s="46" t="n"/>
      <c r="I91" s="46" t="n"/>
      <c r="J91" s="49" t="str">
        <f>IF($D91="","",IFERROR(IF($C91="Product",INDEX(Products!$B$2:$B$101,MATCH($D91,Products!$A$2:$A$101,0))&amp;"",IF($C91="Campaign",INDEX(Marketing!$B$2:$B$101,MATCH($D91,Marketing!$A$2:$A$101,0))&amp;"","")),"(not found)"))</f>
        <v/>
      </c>
      <c r="K91" s="49" t="str">
        <f>IF(COUNTA($A91:$I91)=0,"",IF($A91="","Missing: milestone ID",IF(COUNTIF($A$2:$A$201,$A91)&gt;1,"Duplicate milestone ID",IF(NOT(ISNUMBER($B91)),"Missing: date",IF($C91="","Missing: kind",IF($D91="","Missing: product or campaign ID",IF($E91="","Missing: milestone",IF($F91="","Missing: responsible person",IF($G91="","Missing: status",IF(COUNTIF(Config!$U$15:$U$34,$C91)=0,"Unsupported kind",IF(AND($C91="Product",COUNTIF(Products!$A$2:$A$101,$D91)=0),"Unknown product ID",IF(AND($C91="Campaign",COUNTIF(Marketing!$A$2:$A$101,$D91)=0),"Unknown campaign ID",IF(COUNTIF(Config!$V$15:$V$34,$G91)=0,"Unsupported status","OK")))))))))))))</f>
        <v/>
      </c>
    </row>
    <row r="92">
      <c r="A92" s="46" t="n"/>
      <c r="B92" s="54" t="n"/>
      <c r="C92" s="46" t="n"/>
      <c r="D92" s="46" t="n"/>
      <c r="E92" s="46" t="n"/>
      <c r="F92" s="46" t="n"/>
      <c r="G92" s="46" t="n"/>
      <c r="H92" s="46" t="n"/>
      <c r="I92" s="46" t="n"/>
      <c r="J92" s="49" t="str">
        <f>IF($D92="","",IFERROR(IF($C92="Product",INDEX(Products!$B$2:$B$101,MATCH($D92,Products!$A$2:$A$101,0))&amp;"",IF($C92="Campaign",INDEX(Marketing!$B$2:$B$101,MATCH($D92,Marketing!$A$2:$A$101,0))&amp;"","")),"(not found)"))</f>
        <v/>
      </c>
      <c r="K92" s="49" t="str">
        <f>IF(COUNTA($A92:$I92)=0,"",IF($A92="","Missing: milestone ID",IF(COUNTIF($A$2:$A$201,$A92)&gt;1,"Duplicate milestone ID",IF(NOT(ISNUMBER($B92)),"Missing: date",IF($C92="","Missing: kind",IF($D92="","Missing: product or campaign ID",IF($E92="","Missing: milestone",IF($F92="","Missing: responsible person",IF($G92="","Missing: status",IF(COUNTIF(Config!$U$15:$U$34,$C92)=0,"Unsupported kind",IF(AND($C92="Product",COUNTIF(Products!$A$2:$A$101,$D92)=0),"Unknown product ID",IF(AND($C92="Campaign",COUNTIF(Marketing!$A$2:$A$101,$D92)=0),"Unknown campaign ID",IF(COUNTIF(Config!$V$15:$V$34,$G92)=0,"Unsupported status","OK")))))))))))))</f>
        <v/>
      </c>
    </row>
    <row r="93">
      <c r="A93" s="46" t="n"/>
      <c r="B93" s="54" t="n"/>
      <c r="C93" s="46" t="n"/>
      <c r="D93" s="46" t="n"/>
      <c r="E93" s="46" t="n"/>
      <c r="F93" s="46" t="n"/>
      <c r="G93" s="46" t="n"/>
      <c r="H93" s="46" t="n"/>
      <c r="I93" s="46" t="n"/>
      <c r="J93" s="49" t="str">
        <f>IF($D93="","",IFERROR(IF($C93="Product",INDEX(Products!$B$2:$B$101,MATCH($D93,Products!$A$2:$A$101,0))&amp;"",IF($C93="Campaign",INDEX(Marketing!$B$2:$B$101,MATCH($D93,Marketing!$A$2:$A$101,0))&amp;"","")),"(not found)"))</f>
        <v/>
      </c>
      <c r="K93" s="49" t="str">
        <f>IF(COUNTA($A93:$I93)=0,"",IF($A93="","Missing: milestone ID",IF(COUNTIF($A$2:$A$201,$A93)&gt;1,"Duplicate milestone ID",IF(NOT(ISNUMBER($B93)),"Missing: date",IF($C93="","Missing: kind",IF($D93="","Missing: product or campaign ID",IF($E93="","Missing: milestone",IF($F93="","Missing: responsible person",IF($G93="","Missing: status",IF(COUNTIF(Config!$U$15:$U$34,$C93)=0,"Unsupported kind",IF(AND($C93="Product",COUNTIF(Products!$A$2:$A$101,$D93)=0),"Unknown product ID",IF(AND($C93="Campaign",COUNTIF(Marketing!$A$2:$A$101,$D93)=0),"Unknown campaign ID",IF(COUNTIF(Config!$V$15:$V$34,$G93)=0,"Unsupported status","OK")))))))))))))</f>
        <v/>
      </c>
    </row>
    <row r="94">
      <c r="A94" s="46" t="n"/>
      <c r="B94" s="54" t="n"/>
      <c r="C94" s="46" t="n"/>
      <c r="D94" s="46" t="n"/>
      <c r="E94" s="46" t="n"/>
      <c r="F94" s="46" t="n"/>
      <c r="G94" s="46" t="n"/>
      <c r="H94" s="46" t="n"/>
      <c r="I94" s="46" t="n"/>
      <c r="J94" s="49" t="str">
        <f>IF($D94="","",IFERROR(IF($C94="Product",INDEX(Products!$B$2:$B$101,MATCH($D94,Products!$A$2:$A$101,0))&amp;"",IF($C94="Campaign",INDEX(Marketing!$B$2:$B$101,MATCH($D94,Marketing!$A$2:$A$101,0))&amp;"","")),"(not found)"))</f>
        <v/>
      </c>
      <c r="K94" s="49" t="str">
        <f>IF(COUNTA($A94:$I94)=0,"",IF($A94="","Missing: milestone ID",IF(COUNTIF($A$2:$A$201,$A94)&gt;1,"Duplicate milestone ID",IF(NOT(ISNUMBER($B94)),"Missing: date",IF($C94="","Missing: kind",IF($D94="","Missing: product or campaign ID",IF($E94="","Missing: milestone",IF($F94="","Missing: responsible person",IF($G94="","Missing: status",IF(COUNTIF(Config!$U$15:$U$34,$C94)=0,"Unsupported kind",IF(AND($C94="Product",COUNTIF(Products!$A$2:$A$101,$D94)=0),"Unknown product ID",IF(AND($C94="Campaign",COUNTIF(Marketing!$A$2:$A$101,$D94)=0),"Unknown campaign ID",IF(COUNTIF(Config!$V$15:$V$34,$G94)=0,"Unsupported status","OK")))))))))))))</f>
        <v/>
      </c>
    </row>
    <row r="95">
      <c r="A95" s="46" t="n"/>
      <c r="B95" s="54" t="n"/>
      <c r="C95" s="46" t="n"/>
      <c r="D95" s="46" t="n"/>
      <c r="E95" s="46" t="n"/>
      <c r="F95" s="46" t="n"/>
      <c r="G95" s="46" t="n"/>
      <c r="H95" s="46" t="n"/>
      <c r="I95" s="46" t="n"/>
      <c r="J95" s="49" t="str">
        <f>IF($D95="","",IFERROR(IF($C95="Product",INDEX(Products!$B$2:$B$101,MATCH($D95,Products!$A$2:$A$101,0))&amp;"",IF($C95="Campaign",INDEX(Marketing!$B$2:$B$101,MATCH($D95,Marketing!$A$2:$A$101,0))&amp;"","")),"(not found)"))</f>
        <v/>
      </c>
      <c r="K95" s="49" t="str">
        <f>IF(COUNTA($A95:$I95)=0,"",IF($A95="","Missing: milestone ID",IF(COUNTIF($A$2:$A$201,$A95)&gt;1,"Duplicate milestone ID",IF(NOT(ISNUMBER($B95)),"Missing: date",IF($C95="","Missing: kind",IF($D95="","Missing: product or campaign ID",IF($E95="","Missing: milestone",IF($F95="","Missing: responsible person",IF($G95="","Missing: status",IF(COUNTIF(Config!$U$15:$U$34,$C95)=0,"Unsupported kind",IF(AND($C95="Product",COUNTIF(Products!$A$2:$A$101,$D95)=0),"Unknown product ID",IF(AND($C95="Campaign",COUNTIF(Marketing!$A$2:$A$101,$D95)=0),"Unknown campaign ID",IF(COUNTIF(Config!$V$15:$V$34,$G95)=0,"Unsupported status","OK")))))))))))))</f>
        <v/>
      </c>
    </row>
    <row r="96">
      <c r="A96" s="46" t="n"/>
      <c r="B96" s="54" t="n"/>
      <c r="C96" s="46" t="n"/>
      <c r="D96" s="46" t="n"/>
      <c r="E96" s="46" t="n"/>
      <c r="F96" s="46" t="n"/>
      <c r="G96" s="46" t="n"/>
      <c r="H96" s="46" t="n"/>
      <c r="I96" s="46" t="n"/>
      <c r="J96" s="49" t="str">
        <f>IF($D96="","",IFERROR(IF($C96="Product",INDEX(Products!$B$2:$B$101,MATCH($D96,Products!$A$2:$A$101,0))&amp;"",IF($C96="Campaign",INDEX(Marketing!$B$2:$B$101,MATCH($D96,Marketing!$A$2:$A$101,0))&amp;"","")),"(not found)"))</f>
        <v/>
      </c>
      <c r="K96" s="49" t="str">
        <f>IF(COUNTA($A96:$I96)=0,"",IF($A96="","Missing: milestone ID",IF(COUNTIF($A$2:$A$201,$A96)&gt;1,"Duplicate milestone ID",IF(NOT(ISNUMBER($B96)),"Missing: date",IF($C96="","Missing: kind",IF($D96="","Missing: product or campaign ID",IF($E96="","Missing: milestone",IF($F96="","Missing: responsible person",IF($G96="","Missing: status",IF(COUNTIF(Config!$U$15:$U$34,$C96)=0,"Unsupported kind",IF(AND($C96="Product",COUNTIF(Products!$A$2:$A$101,$D96)=0),"Unknown product ID",IF(AND($C96="Campaign",COUNTIF(Marketing!$A$2:$A$101,$D96)=0),"Unknown campaign ID",IF(COUNTIF(Config!$V$15:$V$34,$G96)=0,"Unsupported status","OK")))))))))))))</f>
        <v/>
      </c>
    </row>
    <row r="97">
      <c r="A97" s="46" t="n"/>
      <c r="B97" s="54" t="n"/>
      <c r="C97" s="46" t="n"/>
      <c r="D97" s="46" t="n"/>
      <c r="E97" s="46" t="n"/>
      <c r="F97" s="46" t="n"/>
      <c r="G97" s="46" t="n"/>
      <c r="H97" s="46" t="n"/>
      <c r="I97" s="46" t="n"/>
      <c r="J97" s="49" t="str">
        <f>IF($D97="","",IFERROR(IF($C97="Product",INDEX(Products!$B$2:$B$101,MATCH($D97,Products!$A$2:$A$101,0))&amp;"",IF($C97="Campaign",INDEX(Marketing!$B$2:$B$101,MATCH($D97,Marketing!$A$2:$A$101,0))&amp;"","")),"(not found)"))</f>
        <v/>
      </c>
      <c r="K97" s="49" t="str">
        <f>IF(COUNTA($A97:$I97)=0,"",IF($A97="","Missing: milestone ID",IF(COUNTIF($A$2:$A$201,$A97)&gt;1,"Duplicate milestone ID",IF(NOT(ISNUMBER($B97)),"Missing: date",IF($C97="","Missing: kind",IF($D97="","Missing: product or campaign ID",IF($E97="","Missing: milestone",IF($F97="","Missing: responsible person",IF($G97="","Missing: status",IF(COUNTIF(Config!$U$15:$U$34,$C97)=0,"Unsupported kind",IF(AND($C97="Product",COUNTIF(Products!$A$2:$A$101,$D97)=0),"Unknown product ID",IF(AND($C97="Campaign",COUNTIF(Marketing!$A$2:$A$101,$D97)=0),"Unknown campaign ID",IF(COUNTIF(Config!$V$15:$V$34,$G97)=0,"Unsupported status","OK")))))))))))))</f>
        <v/>
      </c>
    </row>
    <row r="98">
      <c r="A98" s="46" t="n"/>
      <c r="B98" s="54" t="n"/>
      <c r="C98" s="46" t="n"/>
      <c r="D98" s="46" t="n"/>
      <c r="E98" s="46" t="n"/>
      <c r="F98" s="46" t="n"/>
      <c r="G98" s="46" t="n"/>
      <c r="H98" s="46" t="n"/>
      <c r="I98" s="46" t="n"/>
      <c r="J98" s="49" t="str">
        <f>IF($D98="","",IFERROR(IF($C98="Product",INDEX(Products!$B$2:$B$101,MATCH($D98,Products!$A$2:$A$101,0))&amp;"",IF($C98="Campaign",INDEX(Marketing!$B$2:$B$101,MATCH($D98,Marketing!$A$2:$A$101,0))&amp;"","")),"(not found)"))</f>
        <v/>
      </c>
      <c r="K98" s="49" t="str">
        <f>IF(COUNTA($A98:$I98)=0,"",IF($A98="","Missing: milestone ID",IF(COUNTIF($A$2:$A$201,$A98)&gt;1,"Duplicate milestone ID",IF(NOT(ISNUMBER($B98)),"Missing: date",IF($C98="","Missing: kind",IF($D98="","Missing: product or campaign ID",IF($E98="","Missing: milestone",IF($F98="","Missing: responsible person",IF($G98="","Missing: status",IF(COUNTIF(Config!$U$15:$U$34,$C98)=0,"Unsupported kind",IF(AND($C98="Product",COUNTIF(Products!$A$2:$A$101,$D98)=0),"Unknown product ID",IF(AND($C98="Campaign",COUNTIF(Marketing!$A$2:$A$101,$D98)=0),"Unknown campaign ID",IF(COUNTIF(Config!$V$15:$V$34,$G98)=0,"Unsupported status","OK")))))))))))))</f>
        <v/>
      </c>
    </row>
    <row r="99">
      <c r="A99" s="46" t="n"/>
      <c r="B99" s="54" t="n"/>
      <c r="C99" s="46" t="n"/>
      <c r="D99" s="46" t="n"/>
      <c r="E99" s="46" t="n"/>
      <c r="F99" s="46" t="n"/>
      <c r="G99" s="46" t="n"/>
      <c r="H99" s="46" t="n"/>
      <c r="I99" s="46" t="n"/>
      <c r="J99" s="49" t="str">
        <f>IF($D99="","",IFERROR(IF($C99="Product",INDEX(Products!$B$2:$B$101,MATCH($D99,Products!$A$2:$A$101,0))&amp;"",IF($C99="Campaign",INDEX(Marketing!$B$2:$B$101,MATCH($D99,Marketing!$A$2:$A$101,0))&amp;"","")),"(not found)"))</f>
        <v/>
      </c>
      <c r="K99" s="49" t="str">
        <f>IF(COUNTA($A99:$I99)=0,"",IF($A99="","Missing: milestone ID",IF(COUNTIF($A$2:$A$201,$A99)&gt;1,"Duplicate milestone ID",IF(NOT(ISNUMBER($B99)),"Missing: date",IF($C99="","Missing: kind",IF($D99="","Missing: product or campaign ID",IF($E99="","Missing: milestone",IF($F99="","Missing: responsible person",IF($G99="","Missing: status",IF(COUNTIF(Config!$U$15:$U$34,$C99)=0,"Unsupported kind",IF(AND($C99="Product",COUNTIF(Products!$A$2:$A$101,$D99)=0),"Unknown product ID",IF(AND($C99="Campaign",COUNTIF(Marketing!$A$2:$A$101,$D99)=0),"Unknown campaign ID",IF(COUNTIF(Config!$V$15:$V$34,$G99)=0,"Unsupported status","OK")))))))))))))</f>
        <v/>
      </c>
    </row>
    <row r="100">
      <c r="A100" s="46" t="n"/>
      <c r="B100" s="54" t="n"/>
      <c r="C100" s="46" t="n"/>
      <c r="D100" s="46" t="n"/>
      <c r="E100" s="46" t="n"/>
      <c r="F100" s="46" t="n"/>
      <c r="G100" s="46" t="n"/>
      <c r="H100" s="46" t="n"/>
      <c r="I100" s="46" t="n"/>
      <c r="J100" s="49" t="str">
        <f>IF($D100="","",IFERROR(IF($C100="Product",INDEX(Products!$B$2:$B$101,MATCH($D100,Products!$A$2:$A$101,0))&amp;"",IF($C100="Campaign",INDEX(Marketing!$B$2:$B$101,MATCH($D100,Marketing!$A$2:$A$101,0))&amp;"","")),"(not found)"))</f>
        <v/>
      </c>
      <c r="K100" s="49" t="str">
        <f>IF(COUNTA($A100:$I100)=0,"",IF($A100="","Missing: milestone ID",IF(COUNTIF($A$2:$A$201,$A100)&gt;1,"Duplicate milestone ID",IF(NOT(ISNUMBER($B100)),"Missing: date",IF($C100="","Missing: kind",IF($D100="","Missing: product or campaign ID",IF($E100="","Missing: milestone",IF($F100="","Missing: responsible person",IF($G100="","Missing: status",IF(COUNTIF(Config!$U$15:$U$34,$C100)=0,"Unsupported kind",IF(AND($C100="Product",COUNTIF(Products!$A$2:$A$101,$D100)=0),"Unknown product ID",IF(AND($C100="Campaign",COUNTIF(Marketing!$A$2:$A$101,$D100)=0),"Unknown campaign ID",IF(COUNTIF(Config!$V$15:$V$34,$G100)=0,"Unsupported status","OK")))))))))))))</f>
        <v/>
      </c>
    </row>
    <row r="101">
      <c r="A101" s="46" t="n"/>
      <c r="B101" s="54" t="n"/>
      <c r="C101" s="46" t="n"/>
      <c r="D101" s="46" t="n"/>
      <c r="E101" s="46" t="n"/>
      <c r="F101" s="46" t="n"/>
      <c r="G101" s="46" t="n"/>
      <c r="H101" s="46" t="n"/>
      <c r="I101" s="46" t="n"/>
      <c r="J101" s="49" t="str">
        <f>IF($D101="","",IFERROR(IF($C101="Product",INDEX(Products!$B$2:$B$101,MATCH($D101,Products!$A$2:$A$101,0))&amp;"",IF($C101="Campaign",INDEX(Marketing!$B$2:$B$101,MATCH($D101,Marketing!$A$2:$A$101,0))&amp;"","")),"(not found)"))</f>
        <v/>
      </c>
      <c r="K101" s="49" t="str">
        <f>IF(COUNTA($A101:$I101)=0,"",IF($A101="","Missing: milestone ID",IF(COUNTIF($A$2:$A$201,$A101)&gt;1,"Duplicate milestone ID",IF(NOT(ISNUMBER($B101)),"Missing: date",IF($C101="","Missing: kind",IF($D101="","Missing: product or campaign ID",IF($E101="","Missing: milestone",IF($F101="","Missing: responsible person",IF($G101="","Missing: status",IF(COUNTIF(Config!$U$15:$U$34,$C101)=0,"Unsupported kind",IF(AND($C101="Product",COUNTIF(Products!$A$2:$A$101,$D101)=0),"Unknown product ID",IF(AND($C101="Campaign",COUNTIF(Marketing!$A$2:$A$101,$D101)=0),"Unknown campaign ID",IF(COUNTIF(Config!$V$15:$V$34,$G101)=0,"Unsupported status","OK")))))))))))))</f>
        <v/>
      </c>
    </row>
    <row r="102">
      <c r="A102" s="46" t="n"/>
      <c r="B102" s="54" t="n"/>
      <c r="C102" s="46" t="n"/>
      <c r="D102" s="46" t="n"/>
      <c r="E102" s="46" t="n"/>
      <c r="F102" s="46" t="n"/>
      <c r="G102" s="46" t="n"/>
      <c r="H102" s="46" t="n"/>
      <c r="I102" s="46" t="n"/>
      <c r="J102" s="49" t="str">
        <f>IF($D102="","",IFERROR(IF($C102="Product",INDEX(Products!$B$2:$B$101,MATCH($D102,Products!$A$2:$A$101,0))&amp;"",IF($C102="Campaign",INDEX(Marketing!$B$2:$B$101,MATCH($D102,Marketing!$A$2:$A$101,0))&amp;"","")),"(not found)"))</f>
        <v/>
      </c>
      <c r="K102" s="49" t="str">
        <f>IF(COUNTA($A102:$I102)=0,"",IF($A102="","Missing: milestone ID",IF(COUNTIF($A$2:$A$201,$A102)&gt;1,"Duplicate milestone ID",IF(NOT(ISNUMBER($B102)),"Missing: date",IF($C102="","Missing: kind",IF($D102="","Missing: product or campaign ID",IF($E102="","Missing: milestone",IF($F102="","Missing: responsible person",IF($G102="","Missing: status",IF(COUNTIF(Config!$U$15:$U$34,$C102)=0,"Unsupported kind",IF(AND($C102="Product",COUNTIF(Products!$A$2:$A$101,$D102)=0),"Unknown product ID",IF(AND($C102="Campaign",COUNTIF(Marketing!$A$2:$A$101,$D102)=0),"Unknown campaign ID",IF(COUNTIF(Config!$V$15:$V$34,$G102)=0,"Unsupported status","OK")))))))))))))</f>
        <v/>
      </c>
    </row>
    <row r="103">
      <c r="A103" s="46" t="n"/>
      <c r="B103" s="54" t="n"/>
      <c r="C103" s="46" t="n"/>
      <c r="D103" s="46" t="n"/>
      <c r="E103" s="46" t="n"/>
      <c r="F103" s="46" t="n"/>
      <c r="G103" s="46" t="n"/>
      <c r="H103" s="46" t="n"/>
      <c r="I103" s="46" t="n"/>
      <c r="J103" s="49" t="str">
        <f>IF($D103="","",IFERROR(IF($C103="Product",INDEX(Products!$B$2:$B$101,MATCH($D103,Products!$A$2:$A$101,0))&amp;"",IF($C103="Campaign",INDEX(Marketing!$B$2:$B$101,MATCH($D103,Marketing!$A$2:$A$101,0))&amp;"","")),"(not found)"))</f>
        <v/>
      </c>
      <c r="K103" s="49" t="str">
        <f>IF(COUNTA($A103:$I103)=0,"",IF($A103="","Missing: milestone ID",IF(COUNTIF($A$2:$A$201,$A103)&gt;1,"Duplicate milestone ID",IF(NOT(ISNUMBER($B103)),"Missing: date",IF($C103="","Missing: kind",IF($D103="","Missing: product or campaign ID",IF($E103="","Missing: milestone",IF($F103="","Missing: responsible person",IF($G103="","Missing: status",IF(COUNTIF(Config!$U$15:$U$34,$C103)=0,"Unsupported kind",IF(AND($C103="Product",COUNTIF(Products!$A$2:$A$101,$D103)=0),"Unknown product ID",IF(AND($C103="Campaign",COUNTIF(Marketing!$A$2:$A$101,$D103)=0),"Unknown campaign ID",IF(COUNTIF(Config!$V$15:$V$34,$G103)=0,"Unsupported status","OK")))))))))))))</f>
        <v/>
      </c>
    </row>
    <row r="104">
      <c r="A104" s="46" t="n"/>
      <c r="B104" s="54" t="n"/>
      <c r="C104" s="46" t="n"/>
      <c r="D104" s="46" t="n"/>
      <c r="E104" s="46" t="n"/>
      <c r="F104" s="46" t="n"/>
      <c r="G104" s="46" t="n"/>
      <c r="H104" s="46" t="n"/>
      <c r="I104" s="46" t="n"/>
      <c r="J104" s="49" t="str">
        <f>IF($D104="","",IFERROR(IF($C104="Product",INDEX(Products!$B$2:$B$101,MATCH($D104,Products!$A$2:$A$101,0))&amp;"",IF($C104="Campaign",INDEX(Marketing!$B$2:$B$101,MATCH($D104,Marketing!$A$2:$A$101,0))&amp;"","")),"(not found)"))</f>
        <v/>
      </c>
      <c r="K104" s="49" t="str">
        <f>IF(COUNTA($A104:$I104)=0,"",IF($A104="","Missing: milestone ID",IF(COUNTIF($A$2:$A$201,$A104)&gt;1,"Duplicate milestone ID",IF(NOT(ISNUMBER($B104)),"Missing: date",IF($C104="","Missing: kind",IF($D104="","Missing: product or campaign ID",IF($E104="","Missing: milestone",IF($F104="","Missing: responsible person",IF($G104="","Missing: status",IF(COUNTIF(Config!$U$15:$U$34,$C104)=0,"Unsupported kind",IF(AND($C104="Product",COUNTIF(Products!$A$2:$A$101,$D104)=0),"Unknown product ID",IF(AND($C104="Campaign",COUNTIF(Marketing!$A$2:$A$101,$D104)=0),"Unknown campaign ID",IF(COUNTIF(Config!$V$15:$V$34,$G104)=0,"Unsupported status","OK")))))))))))))</f>
        <v/>
      </c>
    </row>
    <row r="105">
      <c r="A105" s="46" t="n"/>
      <c r="B105" s="54" t="n"/>
      <c r="C105" s="46" t="n"/>
      <c r="D105" s="46" t="n"/>
      <c r="E105" s="46" t="n"/>
      <c r="F105" s="46" t="n"/>
      <c r="G105" s="46" t="n"/>
      <c r="H105" s="46" t="n"/>
      <c r="I105" s="46" t="n"/>
      <c r="J105" s="49" t="str">
        <f>IF($D105="","",IFERROR(IF($C105="Product",INDEX(Products!$B$2:$B$101,MATCH($D105,Products!$A$2:$A$101,0))&amp;"",IF($C105="Campaign",INDEX(Marketing!$B$2:$B$101,MATCH($D105,Marketing!$A$2:$A$101,0))&amp;"","")),"(not found)"))</f>
        <v/>
      </c>
      <c r="K105" s="49" t="str">
        <f>IF(COUNTA($A105:$I105)=0,"",IF($A105="","Missing: milestone ID",IF(COUNTIF($A$2:$A$201,$A105)&gt;1,"Duplicate milestone ID",IF(NOT(ISNUMBER($B105)),"Missing: date",IF($C105="","Missing: kind",IF($D105="","Missing: product or campaign ID",IF($E105="","Missing: milestone",IF($F105="","Missing: responsible person",IF($G105="","Missing: status",IF(COUNTIF(Config!$U$15:$U$34,$C105)=0,"Unsupported kind",IF(AND($C105="Product",COUNTIF(Products!$A$2:$A$101,$D105)=0),"Unknown product ID",IF(AND($C105="Campaign",COUNTIF(Marketing!$A$2:$A$101,$D105)=0),"Unknown campaign ID",IF(COUNTIF(Config!$V$15:$V$34,$G105)=0,"Unsupported status","OK")))))))))))))</f>
        <v/>
      </c>
    </row>
    <row r="106">
      <c r="A106" s="46" t="n"/>
      <c r="B106" s="54" t="n"/>
      <c r="C106" s="46" t="n"/>
      <c r="D106" s="46" t="n"/>
      <c r="E106" s="46" t="n"/>
      <c r="F106" s="46" t="n"/>
      <c r="G106" s="46" t="n"/>
      <c r="H106" s="46" t="n"/>
      <c r="I106" s="46" t="n"/>
      <c r="J106" s="49" t="str">
        <f>IF($D106="","",IFERROR(IF($C106="Product",INDEX(Products!$B$2:$B$101,MATCH($D106,Products!$A$2:$A$101,0))&amp;"",IF($C106="Campaign",INDEX(Marketing!$B$2:$B$101,MATCH($D106,Marketing!$A$2:$A$101,0))&amp;"","")),"(not found)"))</f>
        <v/>
      </c>
      <c r="K106" s="49" t="str">
        <f>IF(COUNTA($A106:$I106)=0,"",IF($A106="","Missing: milestone ID",IF(COUNTIF($A$2:$A$201,$A106)&gt;1,"Duplicate milestone ID",IF(NOT(ISNUMBER($B106)),"Missing: date",IF($C106="","Missing: kind",IF($D106="","Missing: product or campaign ID",IF($E106="","Missing: milestone",IF($F106="","Missing: responsible person",IF($G106="","Missing: status",IF(COUNTIF(Config!$U$15:$U$34,$C106)=0,"Unsupported kind",IF(AND($C106="Product",COUNTIF(Products!$A$2:$A$101,$D106)=0),"Unknown product ID",IF(AND($C106="Campaign",COUNTIF(Marketing!$A$2:$A$101,$D106)=0),"Unknown campaign ID",IF(COUNTIF(Config!$V$15:$V$34,$G106)=0,"Unsupported status","OK")))))))))))))</f>
        <v/>
      </c>
    </row>
    <row r="107">
      <c r="A107" s="46" t="n"/>
      <c r="B107" s="54" t="n"/>
      <c r="C107" s="46" t="n"/>
      <c r="D107" s="46" t="n"/>
      <c r="E107" s="46" t="n"/>
      <c r="F107" s="46" t="n"/>
      <c r="G107" s="46" t="n"/>
      <c r="H107" s="46" t="n"/>
      <c r="I107" s="46" t="n"/>
      <c r="J107" s="49" t="str">
        <f>IF($D107="","",IFERROR(IF($C107="Product",INDEX(Products!$B$2:$B$101,MATCH($D107,Products!$A$2:$A$101,0))&amp;"",IF($C107="Campaign",INDEX(Marketing!$B$2:$B$101,MATCH($D107,Marketing!$A$2:$A$101,0))&amp;"","")),"(not found)"))</f>
        <v/>
      </c>
      <c r="K107" s="49" t="str">
        <f>IF(COUNTA($A107:$I107)=0,"",IF($A107="","Missing: milestone ID",IF(COUNTIF($A$2:$A$201,$A107)&gt;1,"Duplicate milestone ID",IF(NOT(ISNUMBER($B107)),"Missing: date",IF($C107="","Missing: kind",IF($D107="","Missing: product or campaign ID",IF($E107="","Missing: milestone",IF($F107="","Missing: responsible person",IF($G107="","Missing: status",IF(COUNTIF(Config!$U$15:$U$34,$C107)=0,"Unsupported kind",IF(AND($C107="Product",COUNTIF(Products!$A$2:$A$101,$D107)=0),"Unknown product ID",IF(AND($C107="Campaign",COUNTIF(Marketing!$A$2:$A$101,$D107)=0),"Unknown campaign ID",IF(COUNTIF(Config!$V$15:$V$34,$G107)=0,"Unsupported status","OK")))))))))))))</f>
        <v/>
      </c>
    </row>
    <row r="108">
      <c r="A108" s="46" t="n"/>
      <c r="B108" s="54" t="n"/>
      <c r="C108" s="46" t="n"/>
      <c r="D108" s="46" t="n"/>
      <c r="E108" s="46" t="n"/>
      <c r="F108" s="46" t="n"/>
      <c r="G108" s="46" t="n"/>
      <c r="H108" s="46" t="n"/>
      <c r="I108" s="46" t="n"/>
      <c r="J108" s="49" t="str">
        <f>IF($D108="","",IFERROR(IF($C108="Product",INDEX(Products!$B$2:$B$101,MATCH($D108,Products!$A$2:$A$101,0))&amp;"",IF($C108="Campaign",INDEX(Marketing!$B$2:$B$101,MATCH($D108,Marketing!$A$2:$A$101,0))&amp;"","")),"(not found)"))</f>
        <v/>
      </c>
      <c r="K108" s="49" t="str">
        <f>IF(COUNTA($A108:$I108)=0,"",IF($A108="","Missing: milestone ID",IF(COUNTIF($A$2:$A$201,$A108)&gt;1,"Duplicate milestone ID",IF(NOT(ISNUMBER($B108)),"Missing: date",IF($C108="","Missing: kind",IF($D108="","Missing: product or campaign ID",IF($E108="","Missing: milestone",IF($F108="","Missing: responsible person",IF($G108="","Missing: status",IF(COUNTIF(Config!$U$15:$U$34,$C108)=0,"Unsupported kind",IF(AND($C108="Product",COUNTIF(Products!$A$2:$A$101,$D108)=0),"Unknown product ID",IF(AND($C108="Campaign",COUNTIF(Marketing!$A$2:$A$101,$D108)=0),"Unknown campaign ID",IF(COUNTIF(Config!$V$15:$V$34,$G108)=0,"Unsupported status","OK")))))))))))))</f>
        <v/>
      </c>
    </row>
    <row r="109">
      <c r="A109" s="46" t="n"/>
      <c r="B109" s="54" t="n"/>
      <c r="C109" s="46" t="n"/>
      <c r="D109" s="46" t="n"/>
      <c r="E109" s="46" t="n"/>
      <c r="F109" s="46" t="n"/>
      <c r="G109" s="46" t="n"/>
      <c r="H109" s="46" t="n"/>
      <c r="I109" s="46" t="n"/>
      <c r="J109" s="49" t="str">
        <f>IF($D109="","",IFERROR(IF($C109="Product",INDEX(Products!$B$2:$B$101,MATCH($D109,Products!$A$2:$A$101,0))&amp;"",IF($C109="Campaign",INDEX(Marketing!$B$2:$B$101,MATCH($D109,Marketing!$A$2:$A$101,0))&amp;"","")),"(not found)"))</f>
        <v/>
      </c>
      <c r="K109" s="49" t="str">
        <f>IF(COUNTA($A109:$I109)=0,"",IF($A109="","Missing: milestone ID",IF(COUNTIF($A$2:$A$201,$A109)&gt;1,"Duplicate milestone ID",IF(NOT(ISNUMBER($B109)),"Missing: date",IF($C109="","Missing: kind",IF($D109="","Missing: product or campaign ID",IF($E109="","Missing: milestone",IF($F109="","Missing: responsible person",IF($G109="","Missing: status",IF(COUNTIF(Config!$U$15:$U$34,$C109)=0,"Unsupported kind",IF(AND($C109="Product",COUNTIF(Products!$A$2:$A$101,$D109)=0),"Unknown product ID",IF(AND($C109="Campaign",COUNTIF(Marketing!$A$2:$A$101,$D109)=0),"Unknown campaign ID",IF(COUNTIF(Config!$V$15:$V$34,$G109)=0,"Unsupported status","OK")))))))))))))</f>
        <v/>
      </c>
    </row>
    <row r="110">
      <c r="A110" s="46" t="n"/>
      <c r="B110" s="54" t="n"/>
      <c r="C110" s="46" t="n"/>
      <c r="D110" s="46" t="n"/>
      <c r="E110" s="46" t="n"/>
      <c r="F110" s="46" t="n"/>
      <c r="G110" s="46" t="n"/>
      <c r="H110" s="46" t="n"/>
      <c r="I110" s="46" t="n"/>
      <c r="J110" s="49" t="str">
        <f>IF($D110="","",IFERROR(IF($C110="Product",INDEX(Products!$B$2:$B$101,MATCH($D110,Products!$A$2:$A$101,0))&amp;"",IF($C110="Campaign",INDEX(Marketing!$B$2:$B$101,MATCH($D110,Marketing!$A$2:$A$101,0))&amp;"","")),"(not found)"))</f>
        <v/>
      </c>
      <c r="K110" s="49" t="str">
        <f>IF(COUNTA($A110:$I110)=0,"",IF($A110="","Missing: milestone ID",IF(COUNTIF($A$2:$A$201,$A110)&gt;1,"Duplicate milestone ID",IF(NOT(ISNUMBER($B110)),"Missing: date",IF($C110="","Missing: kind",IF($D110="","Missing: product or campaign ID",IF($E110="","Missing: milestone",IF($F110="","Missing: responsible person",IF($G110="","Missing: status",IF(COUNTIF(Config!$U$15:$U$34,$C110)=0,"Unsupported kind",IF(AND($C110="Product",COUNTIF(Products!$A$2:$A$101,$D110)=0),"Unknown product ID",IF(AND($C110="Campaign",COUNTIF(Marketing!$A$2:$A$101,$D110)=0),"Unknown campaign ID",IF(COUNTIF(Config!$V$15:$V$34,$G110)=0,"Unsupported status","OK")))))))))))))</f>
        <v/>
      </c>
    </row>
    <row r="111">
      <c r="A111" s="46" t="n"/>
      <c r="B111" s="54" t="n"/>
      <c r="C111" s="46" t="n"/>
      <c r="D111" s="46" t="n"/>
      <c r="E111" s="46" t="n"/>
      <c r="F111" s="46" t="n"/>
      <c r="G111" s="46" t="n"/>
      <c r="H111" s="46" t="n"/>
      <c r="I111" s="46" t="n"/>
      <c r="J111" s="49" t="str">
        <f>IF($D111="","",IFERROR(IF($C111="Product",INDEX(Products!$B$2:$B$101,MATCH($D111,Products!$A$2:$A$101,0))&amp;"",IF($C111="Campaign",INDEX(Marketing!$B$2:$B$101,MATCH($D111,Marketing!$A$2:$A$101,0))&amp;"","")),"(not found)"))</f>
        <v/>
      </c>
      <c r="K111" s="49" t="str">
        <f>IF(COUNTA($A111:$I111)=0,"",IF($A111="","Missing: milestone ID",IF(COUNTIF($A$2:$A$201,$A111)&gt;1,"Duplicate milestone ID",IF(NOT(ISNUMBER($B111)),"Missing: date",IF($C111="","Missing: kind",IF($D111="","Missing: product or campaign ID",IF($E111="","Missing: milestone",IF($F111="","Missing: responsible person",IF($G111="","Missing: status",IF(COUNTIF(Config!$U$15:$U$34,$C111)=0,"Unsupported kind",IF(AND($C111="Product",COUNTIF(Products!$A$2:$A$101,$D111)=0),"Unknown product ID",IF(AND($C111="Campaign",COUNTIF(Marketing!$A$2:$A$101,$D111)=0),"Unknown campaign ID",IF(COUNTIF(Config!$V$15:$V$34,$G111)=0,"Unsupported status","OK")))))))))))))</f>
        <v/>
      </c>
    </row>
    <row r="112">
      <c r="A112" s="46" t="n"/>
      <c r="B112" s="54" t="n"/>
      <c r="C112" s="46" t="n"/>
      <c r="D112" s="46" t="n"/>
      <c r="E112" s="46" t="n"/>
      <c r="F112" s="46" t="n"/>
      <c r="G112" s="46" t="n"/>
      <c r="H112" s="46" t="n"/>
      <c r="I112" s="46" t="n"/>
      <c r="J112" s="49" t="str">
        <f>IF($D112="","",IFERROR(IF($C112="Product",INDEX(Products!$B$2:$B$101,MATCH($D112,Products!$A$2:$A$101,0))&amp;"",IF($C112="Campaign",INDEX(Marketing!$B$2:$B$101,MATCH($D112,Marketing!$A$2:$A$101,0))&amp;"","")),"(not found)"))</f>
        <v/>
      </c>
      <c r="K112" s="49" t="str">
        <f>IF(COUNTA($A112:$I112)=0,"",IF($A112="","Missing: milestone ID",IF(COUNTIF($A$2:$A$201,$A112)&gt;1,"Duplicate milestone ID",IF(NOT(ISNUMBER($B112)),"Missing: date",IF($C112="","Missing: kind",IF($D112="","Missing: product or campaign ID",IF($E112="","Missing: milestone",IF($F112="","Missing: responsible person",IF($G112="","Missing: status",IF(COUNTIF(Config!$U$15:$U$34,$C112)=0,"Unsupported kind",IF(AND($C112="Product",COUNTIF(Products!$A$2:$A$101,$D112)=0),"Unknown product ID",IF(AND($C112="Campaign",COUNTIF(Marketing!$A$2:$A$101,$D112)=0),"Unknown campaign ID",IF(COUNTIF(Config!$V$15:$V$34,$G112)=0,"Unsupported status","OK")))))))))))))</f>
        <v/>
      </c>
    </row>
    <row r="113">
      <c r="A113" s="46" t="n"/>
      <c r="B113" s="54" t="n"/>
      <c r="C113" s="46" t="n"/>
      <c r="D113" s="46" t="n"/>
      <c r="E113" s="46" t="n"/>
      <c r="F113" s="46" t="n"/>
      <c r="G113" s="46" t="n"/>
      <c r="H113" s="46" t="n"/>
      <c r="I113" s="46" t="n"/>
      <c r="J113" s="49" t="str">
        <f>IF($D113="","",IFERROR(IF($C113="Product",INDEX(Products!$B$2:$B$101,MATCH($D113,Products!$A$2:$A$101,0))&amp;"",IF($C113="Campaign",INDEX(Marketing!$B$2:$B$101,MATCH($D113,Marketing!$A$2:$A$101,0))&amp;"","")),"(not found)"))</f>
        <v/>
      </c>
      <c r="K113" s="49" t="str">
        <f>IF(COUNTA($A113:$I113)=0,"",IF($A113="","Missing: milestone ID",IF(COUNTIF($A$2:$A$201,$A113)&gt;1,"Duplicate milestone ID",IF(NOT(ISNUMBER($B113)),"Missing: date",IF($C113="","Missing: kind",IF($D113="","Missing: product or campaign ID",IF($E113="","Missing: milestone",IF($F113="","Missing: responsible person",IF($G113="","Missing: status",IF(COUNTIF(Config!$U$15:$U$34,$C113)=0,"Unsupported kind",IF(AND($C113="Product",COUNTIF(Products!$A$2:$A$101,$D113)=0),"Unknown product ID",IF(AND($C113="Campaign",COUNTIF(Marketing!$A$2:$A$101,$D113)=0),"Unknown campaign ID",IF(COUNTIF(Config!$V$15:$V$34,$G113)=0,"Unsupported status","OK")))))))))))))</f>
        <v/>
      </c>
    </row>
    <row r="114">
      <c r="A114" s="46" t="n"/>
      <c r="B114" s="54" t="n"/>
      <c r="C114" s="46" t="n"/>
      <c r="D114" s="46" t="n"/>
      <c r="E114" s="46" t="n"/>
      <c r="F114" s="46" t="n"/>
      <c r="G114" s="46" t="n"/>
      <c r="H114" s="46" t="n"/>
      <c r="I114" s="46" t="n"/>
      <c r="J114" s="49" t="str">
        <f>IF($D114="","",IFERROR(IF($C114="Product",INDEX(Products!$B$2:$B$101,MATCH($D114,Products!$A$2:$A$101,0))&amp;"",IF($C114="Campaign",INDEX(Marketing!$B$2:$B$101,MATCH($D114,Marketing!$A$2:$A$101,0))&amp;"","")),"(not found)"))</f>
        <v/>
      </c>
      <c r="K114" s="49" t="str">
        <f>IF(COUNTA($A114:$I114)=0,"",IF($A114="","Missing: milestone ID",IF(COUNTIF($A$2:$A$201,$A114)&gt;1,"Duplicate milestone ID",IF(NOT(ISNUMBER($B114)),"Missing: date",IF($C114="","Missing: kind",IF($D114="","Missing: product or campaign ID",IF($E114="","Missing: milestone",IF($F114="","Missing: responsible person",IF($G114="","Missing: status",IF(COUNTIF(Config!$U$15:$U$34,$C114)=0,"Unsupported kind",IF(AND($C114="Product",COUNTIF(Products!$A$2:$A$101,$D114)=0),"Unknown product ID",IF(AND($C114="Campaign",COUNTIF(Marketing!$A$2:$A$101,$D114)=0),"Unknown campaign ID",IF(COUNTIF(Config!$V$15:$V$34,$G114)=0,"Unsupported status","OK")))))))))))))</f>
        <v/>
      </c>
    </row>
    <row r="115">
      <c r="A115" s="46" t="n"/>
      <c r="B115" s="54" t="n"/>
      <c r="C115" s="46" t="n"/>
      <c r="D115" s="46" t="n"/>
      <c r="E115" s="46" t="n"/>
      <c r="F115" s="46" t="n"/>
      <c r="G115" s="46" t="n"/>
      <c r="H115" s="46" t="n"/>
      <c r="I115" s="46" t="n"/>
      <c r="J115" s="49" t="str">
        <f>IF($D115="","",IFERROR(IF($C115="Product",INDEX(Products!$B$2:$B$101,MATCH($D115,Products!$A$2:$A$101,0))&amp;"",IF($C115="Campaign",INDEX(Marketing!$B$2:$B$101,MATCH($D115,Marketing!$A$2:$A$101,0))&amp;"","")),"(not found)"))</f>
        <v/>
      </c>
      <c r="K115" s="49" t="str">
        <f>IF(COUNTA($A115:$I115)=0,"",IF($A115="","Missing: milestone ID",IF(COUNTIF($A$2:$A$201,$A115)&gt;1,"Duplicate milestone ID",IF(NOT(ISNUMBER($B115)),"Missing: date",IF($C115="","Missing: kind",IF($D115="","Missing: product or campaign ID",IF($E115="","Missing: milestone",IF($F115="","Missing: responsible person",IF($G115="","Missing: status",IF(COUNTIF(Config!$U$15:$U$34,$C115)=0,"Unsupported kind",IF(AND($C115="Product",COUNTIF(Products!$A$2:$A$101,$D115)=0),"Unknown product ID",IF(AND($C115="Campaign",COUNTIF(Marketing!$A$2:$A$101,$D115)=0),"Unknown campaign ID",IF(COUNTIF(Config!$V$15:$V$34,$G115)=0,"Unsupported status","OK")))))))))))))</f>
        <v/>
      </c>
    </row>
    <row r="116">
      <c r="A116" s="46" t="n"/>
      <c r="B116" s="54" t="n"/>
      <c r="C116" s="46" t="n"/>
      <c r="D116" s="46" t="n"/>
      <c r="E116" s="46" t="n"/>
      <c r="F116" s="46" t="n"/>
      <c r="G116" s="46" t="n"/>
      <c r="H116" s="46" t="n"/>
      <c r="I116" s="46" t="n"/>
      <c r="J116" s="49" t="str">
        <f>IF($D116="","",IFERROR(IF($C116="Product",INDEX(Products!$B$2:$B$101,MATCH($D116,Products!$A$2:$A$101,0))&amp;"",IF($C116="Campaign",INDEX(Marketing!$B$2:$B$101,MATCH($D116,Marketing!$A$2:$A$101,0))&amp;"","")),"(not found)"))</f>
        <v/>
      </c>
      <c r="K116" s="49" t="str">
        <f>IF(COUNTA($A116:$I116)=0,"",IF($A116="","Missing: milestone ID",IF(COUNTIF($A$2:$A$201,$A116)&gt;1,"Duplicate milestone ID",IF(NOT(ISNUMBER($B116)),"Missing: date",IF($C116="","Missing: kind",IF($D116="","Missing: product or campaign ID",IF($E116="","Missing: milestone",IF($F116="","Missing: responsible person",IF($G116="","Missing: status",IF(COUNTIF(Config!$U$15:$U$34,$C116)=0,"Unsupported kind",IF(AND($C116="Product",COUNTIF(Products!$A$2:$A$101,$D116)=0),"Unknown product ID",IF(AND($C116="Campaign",COUNTIF(Marketing!$A$2:$A$101,$D116)=0),"Unknown campaign ID",IF(COUNTIF(Config!$V$15:$V$34,$G116)=0,"Unsupported status","OK")))))))))))))</f>
        <v/>
      </c>
    </row>
    <row r="117">
      <c r="A117" s="46" t="n"/>
      <c r="B117" s="54" t="n"/>
      <c r="C117" s="46" t="n"/>
      <c r="D117" s="46" t="n"/>
      <c r="E117" s="46" t="n"/>
      <c r="F117" s="46" t="n"/>
      <c r="G117" s="46" t="n"/>
      <c r="H117" s="46" t="n"/>
      <c r="I117" s="46" t="n"/>
      <c r="J117" s="49" t="str">
        <f>IF($D117="","",IFERROR(IF($C117="Product",INDEX(Products!$B$2:$B$101,MATCH($D117,Products!$A$2:$A$101,0))&amp;"",IF($C117="Campaign",INDEX(Marketing!$B$2:$B$101,MATCH($D117,Marketing!$A$2:$A$101,0))&amp;"","")),"(not found)"))</f>
        <v/>
      </c>
      <c r="K117" s="49" t="str">
        <f>IF(COUNTA($A117:$I117)=0,"",IF($A117="","Missing: milestone ID",IF(COUNTIF($A$2:$A$201,$A117)&gt;1,"Duplicate milestone ID",IF(NOT(ISNUMBER($B117)),"Missing: date",IF($C117="","Missing: kind",IF($D117="","Missing: product or campaign ID",IF($E117="","Missing: milestone",IF($F117="","Missing: responsible person",IF($G117="","Missing: status",IF(COUNTIF(Config!$U$15:$U$34,$C117)=0,"Unsupported kind",IF(AND($C117="Product",COUNTIF(Products!$A$2:$A$101,$D117)=0),"Unknown product ID",IF(AND($C117="Campaign",COUNTIF(Marketing!$A$2:$A$101,$D117)=0),"Unknown campaign ID",IF(COUNTIF(Config!$V$15:$V$34,$G117)=0,"Unsupported status","OK")))))))))))))</f>
        <v/>
      </c>
    </row>
    <row r="118">
      <c r="A118" s="46" t="n"/>
      <c r="B118" s="54" t="n"/>
      <c r="C118" s="46" t="n"/>
      <c r="D118" s="46" t="n"/>
      <c r="E118" s="46" t="n"/>
      <c r="F118" s="46" t="n"/>
      <c r="G118" s="46" t="n"/>
      <c r="H118" s="46" t="n"/>
      <c r="I118" s="46" t="n"/>
      <c r="J118" s="49" t="str">
        <f>IF($D118="","",IFERROR(IF($C118="Product",INDEX(Products!$B$2:$B$101,MATCH($D118,Products!$A$2:$A$101,0))&amp;"",IF($C118="Campaign",INDEX(Marketing!$B$2:$B$101,MATCH($D118,Marketing!$A$2:$A$101,0))&amp;"","")),"(not found)"))</f>
        <v/>
      </c>
      <c r="K118" s="49" t="str">
        <f>IF(COUNTA($A118:$I118)=0,"",IF($A118="","Missing: milestone ID",IF(COUNTIF($A$2:$A$201,$A118)&gt;1,"Duplicate milestone ID",IF(NOT(ISNUMBER($B118)),"Missing: date",IF($C118="","Missing: kind",IF($D118="","Missing: product or campaign ID",IF($E118="","Missing: milestone",IF($F118="","Missing: responsible person",IF($G118="","Missing: status",IF(COUNTIF(Config!$U$15:$U$34,$C118)=0,"Unsupported kind",IF(AND($C118="Product",COUNTIF(Products!$A$2:$A$101,$D118)=0),"Unknown product ID",IF(AND($C118="Campaign",COUNTIF(Marketing!$A$2:$A$101,$D118)=0),"Unknown campaign ID",IF(COUNTIF(Config!$V$15:$V$34,$G118)=0,"Unsupported status","OK")))))))))))))</f>
        <v/>
      </c>
    </row>
    <row r="119">
      <c r="A119" s="46" t="n"/>
      <c r="B119" s="54" t="n"/>
      <c r="C119" s="46" t="n"/>
      <c r="D119" s="46" t="n"/>
      <c r="E119" s="46" t="n"/>
      <c r="F119" s="46" t="n"/>
      <c r="G119" s="46" t="n"/>
      <c r="H119" s="46" t="n"/>
      <c r="I119" s="46" t="n"/>
      <c r="J119" s="49" t="str">
        <f>IF($D119="","",IFERROR(IF($C119="Product",INDEX(Products!$B$2:$B$101,MATCH($D119,Products!$A$2:$A$101,0))&amp;"",IF($C119="Campaign",INDEX(Marketing!$B$2:$B$101,MATCH($D119,Marketing!$A$2:$A$101,0))&amp;"","")),"(not found)"))</f>
        <v/>
      </c>
      <c r="K119" s="49" t="str">
        <f>IF(COUNTA($A119:$I119)=0,"",IF($A119="","Missing: milestone ID",IF(COUNTIF($A$2:$A$201,$A119)&gt;1,"Duplicate milestone ID",IF(NOT(ISNUMBER($B119)),"Missing: date",IF($C119="","Missing: kind",IF($D119="","Missing: product or campaign ID",IF($E119="","Missing: milestone",IF($F119="","Missing: responsible person",IF($G119="","Missing: status",IF(COUNTIF(Config!$U$15:$U$34,$C119)=0,"Unsupported kind",IF(AND($C119="Product",COUNTIF(Products!$A$2:$A$101,$D119)=0),"Unknown product ID",IF(AND($C119="Campaign",COUNTIF(Marketing!$A$2:$A$101,$D119)=0),"Unknown campaign ID",IF(COUNTIF(Config!$V$15:$V$34,$G119)=0,"Unsupported status","OK")))))))))))))</f>
        <v/>
      </c>
    </row>
    <row r="120">
      <c r="A120" s="46" t="n"/>
      <c r="B120" s="54" t="n"/>
      <c r="C120" s="46" t="n"/>
      <c r="D120" s="46" t="n"/>
      <c r="E120" s="46" t="n"/>
      <c r="F120" s="46" t="n"/>
      <c r="G120" s="46" t="n"/>
      <c r="H120" s="46" t="n"/>
      <c r="I120" s="46" t="n"/>
      <c r="J120" s="49" t="str">
        <f>IF($D120="","",IFERROR(IF($C120="Product",INDEX(Products!$B$2:$B$101,MATCH($D120,Products!$A$2:$A$101,0))&amp;"",IF($C120="Campaign",INDEX(Marketing!$B$2:$B$101,MATCH($D120,Marketing!$A$2:$A$101,0))&amp;"","")),"(not found)"))</f>
        <v/>
      </c>
      <c r="K120" s="49" t="str">
        <f>IF(COUNTA($A120:$I120)=0,"",IF($A120="","Missing: milestone ID",IF(COUNTIF($A$2:$A$201,$A120)&gt;1,"Duplicate milestone ID",IF(NOT(ISNUMBER($B120)),"Missing: date",IF($C120="","Missing: kind",IF($D120="","Missing: product or campaign ID",IF($E120="","Missing: milestone",IF($F120="","Missing: responsible person",IF($G120="","Missing: status",IF(COUNTIF(Config!$U$15:$U$34,$C120)=0,"Unsupported kind",IF(AND($C120="Product",COUNTIF(Products!$A$2:$A$101,$D120)=0),"Unknown product ID",IF(AND($C120="Campaign",COUNTIF(Marketing!$A$2:$A$101,$D120)=0),"Unknown campaign ID",IF(COUNTIF(Config!$V$15:$V$34,$G120)=0,"Unsupported status","OK")))))))))))))</f>
        <v/>
      </c>
    </row>
    <row r="121">
      <c r="A121" s="46" t="n"/>
      <c r="B121" s="54" t="n"/>
      <c r="C121" s="46" t="n"/>
      <c r="D121" s="46" t="n"/>
      <c r="E121" s="46" t="n"/>
      <c r="F121" s="46" t="n"/>
      <c r="G121" s="46" t="n"/>
      <c r="H121" s="46" t="n"/>
      <c r="I121" s="46" t="n"/>
      <c r="J121" s="49" t="str">
        <f>IF($D121="","",IFERROR(IF($C121="Product",INDEX(Products!$B$2:$B$101,MATCH($D121,Products!$A$2:$A$101,0))&amp;"",IF($C121="Campaign",INDEX(Marketing!$B$2:$B$101,MATCH($D121,Marketing!$A$2:$A$101,0))&amp;"","")),"(not found)"))</f>
        <v/>
      </c>
      <c r="K121" s="49" t="str">
        <f>IF(COUNTA($A121:$I121)=0,"",IF($A121="","Missing: milestone ID",IF(COUNTIF($A$2:$A$201,$A121)&gt;1,"Duplicate milestone ID",IF(NOT(ISNUMBER($B121)),"Missing: date",IF($C121="","Missing: kind",IF($D121="","Missing: product or campaign ID",IF($E121="","Missing: milestone",IF($F121="","Missing: responsible person",IF($G121="","Missing: status",IF(COUNTIF(Config!$U$15:$U$34,$C121)=0,"Unsupported kind",IF(AND($C121="Product",COUNTIF(Products!$A$2:$A$101,$D121)=0),"Unknown product ID",IF(AND($C121="Campaign",COUNTIF(Marketing!$A$2:$A$101,$D121)=0),"Unknown campaign ID",IF(COUNTIF(Config!$V$15:$V$34,$G121)=0,"Unsupported status","OK")))))))))))))</f>
        <v/>
      </c>
    </row>
    <row r="122">
      <c r="A122" s="46" t="n"/>
      <c r="B122" s="54" t="n"/>
      <c r="C122" s="46" t="n"/>
      <c r="D122" s="46" t="n"/>
      <c r="E122" s="46" t="n"/>
      <c r="F122" s="46" t="n"/>
      <c r="G122" s="46" t="n"/>
      <c r="H122" s="46" t="n"/>
      <c r="I122" s="46" t="n"/>
      <c r="J122" s="49" t="str">
        <f>IF($D122="","",IFERROR(IF($C122="Product",INDEX(Products!$B$2:$B$101,MATCH($D122,Products!$A$2:$A$101,0))&amp;"",IF($C122="Campaign",INDEX(Marketing!$B$2:$B$101,MATCH($D122,Marketing!$A$2:$A$101,0))&amp;"","")),"(not found)"))</f>
        <v/>
      </c>
      <c r="K122" s="49" t="str">
        <f>IF(COUNTA($A122:$I122)=0,"",IF($A122="","Missing: milestone ID",IF(COUNTIF($A$2:$A$201,$A122)&gt;1,"Duplicate milestone ID",IF(NOT(ISNUMBER($B122)),"Missing: date",IF($C122="","Missing: kind",IF($D122="","Missing: product or campaign ID",IF($E122="","Missing: milestone",IF($F122="","Missing: responsible person",IF($G122="","Missing: status",IF(COUNTIF(Config!$U$15:$U$34,$C122)=0,"Unsupported kind",IF(AND($C122="Product",COUNTIF(Products!$A$2:$A$101,$D122)=0),"Unknown product ID",IF(AND($C122="Campaign",COUNTIF(Marketing!$A$2:$A$101,$D122)=0),"Unknown campaign ID",IF(COUNTIF(Config!$V$15:$V$34,$G122)=0,"Unsupported status","OK")))))))))))))</f>
        <v/>
      </c>
    </row>
    <row r="123">
      <c r="A123" s="46" t="n"/>
      <c r="B123" s="54" t="n"/>
      <c r="C123" s="46" t="n"/>
      <c r="D123" s="46" t="n"/>
      <c r="E123" s="46" t="n"/>
      <c r="F123" s="46" t="n"/>
      <c r="G123" s="46" t="n"/>
      <c r="H123" s="46" t="n"/>
      <c r="I123" s="46" t="n"/>
      <c r="J123" s="49" t="str">
        <f>IF($D123="","",IFERROR(IF($C123="Product",INDEX(Products!$B$2:$B$101,MATCH($D123,Products!$A$2:$A$101,0))&amp;"",IF($C123="Campaign",INDEX(Marketing!$B$2:$B$101,MATCH($D123,Marketing!$A$2:$A$101,0))&amp;"","")),"(not found)"))</f>
        <v/>
      </c>
      <c r="K123" s="49" t="str">
        <f>IF(COUNTA($A123:$I123)=0,"",IF($A123="","Missing: milestone ID",IF(COUNTIF($A$2:$A$201,$A123)&gt;1,"Duplicate milestone ID",IF(NOT(ISNUMBER($B123)),"Missing: date",IF($C123="","Missing: kind",IF($D123="","Missing: product or campaign ID",IF($E123="","Missing: milestone",IF($F123="","Missing: responsible person",IF($G123="","Missing: status",IF(COUNTIF(Config!$U$15:$U$34,$C123)=0,"Unsupported kind",IF(AND($C123="Product",COUNTIF(Products!$A$2:$A$101,$D123)=0),"Unknown product ID",IF(AND($C123="Campaign",COUNTIF(Marketing!$A$2:$A$101,$D123)=0),"Unknown campaign ID",IF(COUNTIF(Config!$V$15:$V$34,$G123)=0,"Unsupported status","OK")))))))))))))</f>
        <v/>
      </c>
    </row>
    <row r="124">
      <c r="A124" s="46" t="n"/>
      <c r="B124" s="54" t="n"/>
      <c r="C124" s="46" t="n"/>
      <c r="D124" s="46" t="n"/>
      <c r="E124" s="46" t="n"/>
      <c r="F124" s="46" t="n"/>
      <c r="G124" s="46" t="n"/>
      <c r="H124" s="46" t="n"/>
      <c r="I124" s="46" t="n"/>
      <c r="J124" s="49" t="str">
        <f>IF($D124="","",IFERROR(IF($C124="Product",INDEX(Products!$B$2:$B$101,MATCH($D124,Products!$A$2:$A$101,0))&amp;"",IF($C124="Campaign",INDEX(Marketing!$B$2:$B$101,MATCH($D124,Marketing!$A$2:$A$101,0))&amp;"","")),"(not found)"))</f>
        <v/>
      </c>
      <c r="K124" s="49" t="str">
        <f>IF(COUNTA($A124:$I124)=0,"",IF($A124="","Missing: milestone ID",IF(COUNTIF($A$2:$A$201,$A124)&gt;1,"Duplicate milestone ID",IF(NOT(ISNUMBER($B124)),"Missing: date",IF($C124="","Missing: kind",IF($D124="","Missing: product or campaign ID",IF($E124="","Missing: milestone",IF($F124="","Missing: responsible person",IF($G124="","Missing: status",IF(COUNTIF(Config!$U$15:$U$34,$C124)=0,"Unsupported kind",IF(AND($C124="Product",COUNTIF(Products!$A$2:$A$101,$D124)=0),"Unknown product ID",IF(AND($C124="Campaign",COUNTIF(Marketing!$A$2:$A$101,$D124)=0),"Unknown campaign ID",IF(COUNTIF(Config!$V$15:$V$34,$G124)=0,"Unsupported status","OK")))))))))))))</f>
        <v/>
      </c>
    </row>
    <row r="125">
      <c r="A125" s="46" t="n"/>
      <c r="B125" s="54" t="n"/>
      <c r="C125" s="46" t="n"/>
      <c r="D125" s="46" t="n"/>
      <c r="E125" s="46" t="n"/>
      <c r="F125" s="46" t="n"/>
      <c r="G125" s="46" t="n"/>
      <c r="H125" s="46" t="n"/>
      <c r="I125" s="46" t="n"/>
      <c r="J125" s="49" t="str">
        <f>IF($D125="","",IFERROR(IF($C125="Product",INDEX(Products!$B$2:$B$101,MATCH($D125,Products!$A$2:$A$101,0))&amp;"",IF($C125="Campaign",INDEX(Marketing!$B$2:$B$101,MATCH($D125,Marketing!$A$2:$A$101,0))&amp;"","")),"(not found)"))</f>
        <v/>
      </c>
      <c r="K125" s="49" t="str">
        <f>IF(COUNTA($A125:$I125)=0,"",IF($A125="","Missing: milestone ID",IF(COUNTIF($A$2:$A$201,$A125)&gt;1,"Duplicate milestone ID",IF(NOT(ISNUMBER($B125)),"Missing: date",IF($C125="","Missing: kind",IF($D125="","Missing: product or campaign ID",IF($E125="","Missing: milestone",IF($F125="","Missing: responsible person",IF($G125="","Missing: status",IF(COUNTIF(Config!$U$15:$U$34,$C125)=0,"Unsupported kind",IF(AND($C125="Product",COUNTIF(Products!$A$2:$A$101,$D125)=0),"Unknown product ID",IF(AND($C125="Campaign",COUNTIF(Marketing!$A$2:$A$101,$D125)=0),"Unknown campaign ID",IF(COUNTIF(Config!$V$15:$V$34,$G125)=0,"Unsupported status","OK")))))))))))))</f>
        <v/>
      </c>
    </row>
    <row r="126">
      <c r="A126" s="46" t="n"/>
      <c r="B126" s="54" t="n"/>
      <c r="C126" s="46" t="n"/>
      <c r="D126" s="46" t="n"/>
      <c r="E126" s="46" t="n"/>
      <c r="F126" s="46" t="n"/>
      <c r="G126" s="46" t="n"/>
      <c r="H126" s="46" t="n"/>
      <c r="I126" s="46" t="n"/>
      <c r="J126" s="49" t="str">
        <f>IF($D126="","",IFERROR(IF($C126="Product",INDEX(Products!$B$2:$B$101,MATCH($D126,Products!$A$2:$A$101,0))&amp;"",IF($C126="Campaign",INDEX(Marketing!$B$2:$B$101,MATCH($D126,Marketing!$A$2:$A$101,0))&amp;"","")),"(not found)"))</f>
        <v/>
      </c>
      <c r="K126" s="49" t="str">
        <f>IF(COUNTA($A126:$I126)=0,"",IF($A126="","Missing: milestone ID",IF(COUNTIF($A$2:$A$201,$A126)&gt;1,"Duplicate milestone ID",IF(NOT(ISNUMBER($B126)),"Missing: date",IF($C126="","Missing: kind",IF($D126="","Missing: product or campaign ID",IF($E126="","Missing: milestone",IF($F126="","Missing: responsible person",IF($G126="","Missing: status",IF(COUNTIF(Config!$U$15:$U$34,$C126)=0,"Unsupported kind",IF(AND($C126="Product",COUNTIF(Products!$A$2:$A$101,$D126)=0),"Unknown product ID",IF(AND($C126="Campaign",COUNTIF(Marketing!$A$2:$A$101,$D126)=0),"Unknown campaign ID",IF(COUNTIF(Config!$V$15:$V$34,$G126)=0,"Unsupported status","OK")))))))))))))</f>
        <v/>
      </c>
    </row>
    <row r="127">
      <c r="A127" s="46" t="n"/>
      <c r="B127" s="54" t="n"/>
      <c r="C127" s="46" t="n"/>
      <c r="D127" s="46" t="n"/>
      <c r="E127" s="46" t="n"/>
      <c r="F127" s="46" t="n"/>
      <c r="G127" s="46" t="n"/>
      <c r="H127" s="46" t="n"/>
      <c r="I127" s="46" t="n"/>
      <c r="J127" s="49" t="str">
        <f>IF($D127="","",IFERROR(IF($C127="Product",INDEX(Products!$B$2:$B$101,MATCH($D127,Products!$A$2:$A$101,0))&amp;"",IF($C127="Campaign",INDEX(Marketing!$B$2:$B$101,MATCH($D127,Marketing!$A$2:$A$101,0))&amp;"","")),"(not found)"))</f>
        <v/>
      </c>
      <c r="K127" s="49" t="str">
        <f>IF(COUNTA($A127:$I127)=0,"",IF($A127="","Missing: milestone ID",IF(COUNTIF($A$2:$A$201,$A127)&gt;1,"Duplicate milestone ID",IF(NOT(ISNUMBER($B127)),"Missing: date",IF($C127="","Missing: kind",IF($D127="","Missing: product or campaign ID",IF($E127="","Missing: milestone",IF($F127="","Missing: responsible person",IF($G127="","Missing: status",IF(COUNTIF(Config!$U$15:$U$34,$C127)=0,"Unsupported kind",IF(AND($C127="Product",COUNTIF(Products!$A$2:$A$101,$D127)=0),"Unknown product ID",IF(AND($C127="Campaign",COUNTIF(Marketing!$A$2:$A$101,$D127)=0),"Unknown campaign ID",IF(COUNTIF(Config!$V$15:$V$34,$G127)=0,"Unsupported status","OK")))))))))))))</f>
        <v/>
      </c>
    </row>
    <row r="128">
      <c r="A128" s="46" t="n"/>
      <c r="B128" s="54" t="n"/>
      <c r="C128" s="46" t="n"/>
      <c r="D128" s="46" t="n"/>
      <c r="E128" s="46" t="n"/>
      <c r="F128" s="46" t="n"/>
      <c r="G128" s="46" t="n"/>
      <c r="H128" s="46" t="n"/>
      <c r="I128" s="46" t="n"/>
      <c r="J128" s="49" t="str">
        <f>IF($D128="","",IFERROR(IF($C128="Product",INDEX(Products!$B$2:$B$101,MATCH($D128,Products!$A$2:$A$101,0))&amp;"",IF($C128="Campaign",INDEX(Marketing!$B$2:$B$101,MATCH($D128,Marketing!$A$2:$A$101,0))&amp;"","")),"(not found)"))</f>
        <v/>
      </c>
      <c r="K128" s="49" t="str">
        <f>IF(COUNTA($A128:$I128)=0,"",IF($A128="","Missing: milestone ID",IF(COUNTIF($A$2:$A$201,$A128)&gt;1,"Duplicate milestone ID",IF(NOT(ISNUMBER($B128)),"Missing: date",IF($C128="","Missing: kind",IF($D128="","Missing: product or campaign ID",IF($E128="","Missing: milestone",IF($F128="","Missing: responsible person",IF($G128="","Missing: status",IF(COUNTIF(Config!$U$15:$U$34,$C128)=0,"Unsupported kind",IF(AND($C128="Product",COUNTIF(Products!$A$2:$A$101,$D128)=0),"Unknown product ID",IF(AND($C128="Campaign",COUNTIF(Marketing!$A$2:$A$101,$D128)=0),"Unknown campaign ID",IF(COUNTIF(Config!$V$15:$V$34,$G128)=0,"Unsupported status","OK")))))))))))))</f>
        <v/>
      </c>
    </row>
    <row r="129">
      <c r="A129" s="46" t="n"/>
      <c r="B129" s="54" t="n"/>
      <c r="C129" s="46" t="n"/>
      <c r="D129" s="46" t="n"/>
      <c r="E129" s="46" t="n"/>
      <c r="F129" s="46" t="n"/>
      <c r="G129" s="46" t="n"/>
      <c r="H129" s="46" t="n"/>
      <c r="I129" s="46" t="n"/>
      <c r="J129" s="49" t="str">
        <f>IF($D129="","",IFERROR(IF($C129="Product",INDEX(Products!$B$2:$B$101,MATCH($D129,Products!$A$2:$A$101,0))&amp;"",IF($C129="Campaign",INDEX(Marketing!$B$2:$B$101,MATCH($D129,Marketing!$A$2:$A$101,0))&amp;"","")),"(not found)"))</f>
        <v/>
      </c>
      <c r="K129" s="49" t="str">
        <f>IF(COUNTA($A129:$I129)=0,"",IF($A129="","Missing: milestone ID",IF(COUNTIF($A$2:$A$201,$A129)&gt;1,"Duplicate milestone ID",IF(NOT(ISNUMBER($B129)),"Missing: date",IF($C129="","Missing: kind",IF($D129="","Missing: product or campaign ID",IF($E129="","Missing: milestone",IF($F129="","Missing: responsible person",IF($G129="","Missing: status",IF(COUNTIF(Config!$U$15:$U$34,$C129)=0,"Unsupported kind",IF(AND($C129="Product",COUNTIF(Products!$A$2:$A$101,$D129)=0),"Unknown product ID",IF(AND($C129="Campaign",COUNTIF(Marketing!$A$2:$A$101,$D129)=0),"Unknown campaign ID",IF(COUNTIF(Config!$V$15:$V$34,$G129)=0,"Unsupported status","OK")))))))))))))</f>
        <v/>
      </c>
    </row>
    <row r="130">
      <c r="A130" s="46" t="n"/>
      <c r="B130" s="54" t="n"/>
      <c r="C130" s="46" t="n"/>
      <c r="D130" s="46" t="n"/>
      <c r="E130" s="46" t="n"/>
      <c r="F130" s="46" t="n"/>
      <c r="G130" s="46" t="n"/>
      <c r="H130" s="46" t="n"/>
      <c r="I130" s="46" t="n"/>
      <c r="J130" s="49" t="str">
        <f>IF($D130="","",IFERROR(IF($C130="Product",INDEX(Products!$B$2:$B$101,MATCH($D130,Products!$A$2:$A$101,0))&amp;"",IF($C130="Campaign",INDEX(Marketing!$B$2:$B$101,MATCH($D130,Marketing!$A$2:$A$101,0))&amp;"","")),"(not found)"))</f>
        <v/>
      </c>
      <c r="K130" s="49" t="str">
        <f>IF(COUNTA($A130:$I130)=0,"",IF($A130="","Missing: milestone ID",IF(COUNTIF($A$2:$A$201,$A130)&gt;1,"Duplicate milestone ID",IF(NOT(ISNUMBER($B130)),"Missing: date",IF($C130="","Missing: kind",IF($D130="","Missing: product or campaign ID",IF($E130="","Missing: milestone",IF($F130="","Missing: responsible person",IF($G130="","Missing: status",IF(COUNTIF(Config!$U$15:$U$34,$C130)=0,"Unsupported kind",IF(AND($C130="Product",COUNTIF(Products!$A$2:$A$101,$D130)=0),"Unknown product ID",IF(AND($C130="Campaign",COUNTIF(Marketing!$A$2:$A$101,$D130)=0),"Unknown campaign ID",IF(COUNTIF(Config!$V$15:$V$34,$G130)=0,"Unsupported status","OK")))))))))))))</f>
        <v/>
      </c>
    </row>
    <row r="131">
      <c r="A131" s="46" t="n"/>
      <c r="B131" s="54" t="n"/>
      <c r="C131" s="46" t="n"/>
      <c r="D131" s="46" t="n"/>
      <c r="E131" s="46" t="n"/>
      <c r="F131" s="46" t="n"/>
      <c r="G131" s="46" t="n"/>
      <c r="H131" s="46" t="n"/>
      <c r="I131" s="46" t="n"/>
      <c r="J131" s="49" t="str">
        <f>IF($D131="","",IFERROR(IF($C131="Product",INDEX(Products!$B$2:$B$101,MATCH($D131,Products!$A$2:$A$101,0))&amp;"",IF($C131="Campaign",INDEX(Marketing!$B$2:$B$101,MATCH($D131,Marketing!$A$2:$A$101,0))&amp;"","")),"(not found)"))</f>
        <v/>
      </c>
      <c r="K131" s="49" t="str">
        <f>IF(COUNTA($A131:$I131)=0,"",IF($A131="","Missing: milestone ID",IF(COUNTIF($A$2:$A$201,$A131)&gt;1,"Duplicate milestone ID",IF(NOT(ISNUMBER($B131)),"Missing: date",IF($C131="","Missing: kind",IF($D131="","Missing: product or campaign ID",IF($E131="","Missing: milestone",IF($F131="","Missing: responsible person",IF($G131="","Missing: status",IF(COUNTIF(Config!$U$15:$U$34,$C131)=0,"Unsupported kind",IF(AND($C131="Product",COUNTIF(Products!$A$2:$A$101,$D131)=0),"Unknown product ID",IF(AND($C131="Campaign",COUNTIF(Marketing!$A$2:$A$101,$D131)=0),"Unknown campaign ID",IF(COUNTIF(Config!$V$15:$V$34,$G131)=0,"Unsupported status","OK")))))))))))))</f>
        <v/>
      </c>
    </row>
    <row r="132">
      <c r="A132" s="46" t="n"/>
      <c r="B132" s="54" t="n"/>
      <c r="C132" s="46" t="n"/>
      <c r="D132" s="46" t="n"/>
      <c r="E132" s="46" t="n"/>
      <c r="F132" s="46" t="n"/>
      <c r="G132" s="46" t="n"/>
      <c r="H132" s="46" t="n"/>
      <c r="I132" s="46" t="n"/>
      <c r="J132" s="49" t="str">
        <f>IF($D132="","",IFERROR(IF($C132="Product",INDEX(Products!$B$2:$B$101,MATCH($D132,Products!$A$2:$A$101,0))&amp;"",IF($C132="Campaign",INDEX(Marketing!$B$2:$B$101,MATCH($D132,Marketing!$A$2:$A$101,0))&amp;"","")),"(not found)"))</f>
        <v/>
      </c>
      <c r="K132" s="49" t="str">
        <f>IF(COUNTA($A132:$I132)=0,"",IF($A132="","Missing: milestone ID",IF(COUNTIF($A$2:$A$201,$A132)&gt;1,"Duplicate milestone ID",IF(NOT(ISNUMBER($B132)),"Missing: date",IF($C132="","Missing: kind",IF($D132="","Missing: product or campaign ID",IF($E132="","Missing: milestone",IF($F132="","Missing: responsible person",IF($G132="","Missing: status",IF(COUNTIF(Config!$U$15:$U$34,$C132)=0,"Unsupported kind",IF(AND($C132="Product",COUNTIF(Products!$A$2:$A$101,$D132)=0),"Unknown product ID",IF(AND($C132="Campaign",COUNTIF(Marketing!$A$2:$A$101,$D132)=0),"Unknown campaign ID",IF(COUNTIF(Config!$V$15:$V$34,$G132)=0,"Unsupported status","OK")))))))))))))</f>
        <v/>
      </c>
    </row>
    <row r="133">
      <c r="A133" s="46" t="n"/>
      <c r="B133" s="54" t="n"/>
      <c r="C133" s="46" t="n"/>
      <c r="D133" s="46" t="n"/>
      <c r="E133" s="46" t="n"/>
      <c r="F133" s="46" t="n"/>
      <c r="G133" s="46" t="n"/>
      <c r="H133" s="46" t="n"/>
      <c r="I133" s="46" t="n"/>
      <c r="J133" s="49" t="str">
        <f>IF($D133="","",IFERROR(IF($C133="Product",INDEX(Products!$B$2:$B$101,MATCH($D133,Products!$A$2:$A$101,0))&amp;"",IF($C133="Campaign",INDEX(Marketing!$B$2:$B$101,MATCH($D133,Marketing!$A$2:$A$101,0))&amp;"","")),"(not found)"))</f>
        <v/>
      </c>
      <c r="K133" s="49" t="str">
        <f>IF(COUNTA($A133:$I133)=0,"",IF($A133="","Missing: milestone ID",IF(COUNTIF($A$2:$A$201,$A133)&gt;1,"Duplicate milestone ID",IF(NOT(ISNUMBER($B133)),"Missing: date",IF($C133="","Missing: kind",IF($D133="","Missing: product or campaign ID",IF($E133="","Missing: milestone",IF($F133="","Missing: responsible person",IF($G133="","Missing: status",IF(COUNTIF(Config!$U$15:$U$34,$C133)=0,"Unsupported kind",IF(AND($C133="Product",COUNTIF(Products!$A$2:$A$101,$D133)=0),"Unknown product ID",IF(AND($C133="Campaign",COUNTIF(Marketing!$A$2:$A$101,$D133)=0),"Unknown campaign ID",IF(COUNTIF(Config!$V$15:$V$34,$G133)=0,"Unsupported status","OK")))))))))))))</f>
        <v/>
      </c>
    </row>
    <row r="134">
      <c r="A134" s="46" t="n"/>
      <c r="B134" s="54" t="n"/>
      <c r="C134" s="46" t="n"/>
      <c r="D134" s="46" t="n"/>
      <c r="E134" s="46" t="n"/>
      <c r="F134" s="46" t="n"/>
      <c r="G134" s="46" t="n"/>
      <c r="H134" s="46" t="n"/>
      <c r="I134" s="46" t="n"/>
      <c r="J134" s="49" t="str">
        <f>IF($D134="","",IFERROR(IF($C134="Product",INDEX(Products!$B$2:$B$101,MATCH($D134,Products!$A$2:$A$101,0))&amp;"",IF($C134="Campaign",INDEX(Marketing!$B$2:$B$101,MATCH($D134,Marketing!$A$2:$A$101,0))&amp;"","")),"(not found)"))</f>
        <v/>
      </c>
      <c r="K134" s="49" t="str">
        <f>IF(COUNTA($A134:$I134)=0,"",IF($A134="","Missing: milestone ID",IF(COUNTIF($A$2:$A$201,$A134)&gt;1,"Duplicate milestone ID",IF(NOT(ISNUMBER($B134)),"Missing: date",IF($C134="","Missing: kind",IF($D134="","Missing: product or campaign ID",IF($E134="","Missing: milestone",IF($F134="","Missing: responsible person",IF($G134="","Missing: status",IF(COUNTIF(Config!$U$15:$U$34,$C134)=0,"Unsupported kind",IF(AND($C134="Product",COUNTIF(Products!$A$2:$A$101,$D134)=0),"Unknown product ID",IF(AND($C134="Campaign",COUNTIF(Marketing!$A$2:$A$101,$D134)=0),"Unknown campaign ID",IF(COUNTIF(Config!$V$15:$V$34,$G134)=0,"Unsupported status","OK")))))))))))))</f>
        <v/>
      </c>
    </row>
    <row r="135">
      <c r="A135" s="46" t="n"/>
      <c r="B135" s="54" t="n"/>
      <c r="C135" s="46" t="n"/>
      <c r="D135" s="46" t="n"/>
      <c r="E135" s="46" t="n"/>
      <c r="F135" s="46" t="n"/>
      <c r="G135" s="46" t="n"/>
      <c r="H135" s="46" t="n"/>
      <c r="I135" s="46" t="n"/>
      <c r="J135" s="49" t="str">
        <f>IF($D135="","",IFERROR(IF($C135="Product",INDEX(Products!$B$2:$B$101,MATCH($D135,Products!$A$2:$A$101,0))&amp;"",IF($C135="Campaign",INDEX(Marketing!$B$2:$B$101,MATCH($D135,Marketing!$A$2:$A$101,0))&amp;"","")),"(not found)"))</f>
        <v/>
      </c>
      <c r="K135" s="49" t="str">
        <f>IF(COUNTA($A135:$I135)=0,"",IF($A135="","Missing: milestone ID",IF(COUNTIF($A$2:$A$201,$A135)&gt;1,"Duplicate milestone ID",IF(NOT(ISNUMBER($B135)),"Missing: date",IF($C135="","Missing: kind",IF($D135="","Missing: product or campaign ID",IF($E135="","Missing: milestone",IF($F135="","Missing: responsible person",IF($G135="","Missing: status",IF(COUNTIF(Config!$U$15:$U$34,$C135)=0,"Unsupported kind",IF(AND($C135="Product",COUNTIF(Products!$A$2:$A$101,$D135)=0),"Unknown product ID",IF(AND($C135="Campaign",COUNTIF(Marketing!$A$2:$A$101,$D135)=0),"Unknown campaign ID",IF(COUNTIF(Config!$V$15:$V$34,$G135)=0,"Unsupported status","OK")))))))))))))</f>
        <v/>
      </c>
    </row>
    <row r="136">
      <c r="A136" s="46" t="n"/>
      <c r="B136" s="54" t="n"/>
      <c r="C136" s="46" t="n"/>
      <c r="D136" s="46" t="n"/>
      <c r="E136" s="46" t="n"/>
      <c r="F136" s="46" t="n"/>
      <c r="G136" s="46" t="n"/>
      <c r="H136" s="46" t="n"/>
      <c r="I136" s="46" t="n"/>
      <c r="J136" s="49" t="str">
        <f>IF($D136="","",IFERROR(IF($C136="Product",INDEX(Products!$B$2:$B$101,MATCH($D136,Products!$A$2:$A$101,0))&amp;"",IF($C136="Campaign",INDEX(Marketing!$B$2:$B$101,MATCH($D136,Marketing!$A$2:$A$101,0))&amp;"","")),"(not found)"))</f>
        <v/>
      </c>
      <c r="K136" s="49" t="str">
        <f>IF(COUNTA($A136:$I136)=0,"",IF($A136="","Missing: milestone ID",IF(COUNTIF($A$2:$A$201,$A136)&gt;1,"Duplicate milestone ID",IF(NOT(ISNUMBER($B136)),"Missing: date",IF($C136="","Missing: kind",IF($D136="","Missing: product or campaign ID",IF($E136="","Missing: milestone",IF($F136="","Missing: responsible person",IF($G136="","Missing: status",IF(COUNTIF(Config!$U$15:$U$34,$C136)=0,"Unsupported kind",IF(AND($C136="Product",COUNTIF(Products!$A$2:$A$101,$D136)=0),"Unknown product ID",IF(AND($C136="Campaign",COUNTIF(Marketing!$A$2:$A$101,$D136)=0),"Unknown campaign ID",IF(COUNTIF(Config!$V$15:$V$34,$G136)=0,"Unsupported status","OK")))))))))))))</f>
        <v/>
      </c>
    </row>
    <row r="137">
      <c r="A137" s="46" t="n"/>
      <c r="B137" s="54" t="n"/>
      <c r="C137" s="46" t="n"/>
      <c r="D137" s="46" t="n"/>
      <c r="E137" s="46" t="n"/>
      <c r="F137" s="46" t="n"/>
      <c r="G137" s="46" t="n"/>
      <c r="H137" s="46" t="n"/>
      <c r="I137" s="46" t="n"/>
      <c r="J137" s="49" t="str">
        <f>IF($D137="","",IFERROR(IF($C137="Product",INDEX(Products!$B$2:$B$101,MATCH($D137,Products!$A$2:$A$101,0))&amp;"",IF($C137="Campaign",INDEX(Marketing!$B$2:$B$101,MATCH($D137,Marketing!$A$2:$A$101,0))&amp;"","")),"(not found)"))</f>
        <v/>
      </c>
      <c r="K137" s="49" t="str">
        <f>IF(COUNTA($A137:$I137)=0,"",IF($A137="","Missing: milestone ID",IF(COUNTIF($A$2:$A$201,$A137)&gt;1,"Duplicate milestone ID",IF(NOT(ISNUMBER($B137)),"Missing: date",IF($C137="","Missing: kind",IF($D137="","Missing: product or campaign ID",IF($E137="","Missing: milestone",IF($F137="","Missing: responsible person",IF($G137="","Missing: status",IF(COUNTIF(Config!$U$15:$U$34,$C137)=0,"Unsupported kind",IF(AND($C137="Product",COUNTIF(Products!$A$2:$A$101,$D137)=0),"Unknown product ID",IF(AND($C137="Campaign",COUNTIF(Marketing!$A$2:$A$101,$D137)=0),"Unknown campaign ID",IF(COUNTIF(Config!$V$15:$V$34,$G137)=0,"Unsupported status","OK")))))))))))))</f>
        <v/>
      </c>
    </row>
    <row r="138">
      <c r="A138" s="46" t="n"/>
      <c r="B138" s="54" t="n"/>
      <c r="C138" s="46" t="n"/>
      <c r="D138" s="46" t="n"/>
      <c r="E138" s="46" t="n"/>
      <c r="F138" s="46" t="n"/>
      <c r="G138" s="46" t="n"/>
      <c r="H138" s="46" t="n"/>
      <c r="I138" s="46" t="n"/>
      <c r="J138" s="49" t="str">
        <f>IF($D138="","",IFERROR(IF($C138="Product",INDEX(Products!$B$2:$B$101,MATCH($D138,Products!$A$2:$A$101,0))&amp;"",IF($C138="Campaign",INDEX(Marketing!$B$2:$B$101,MATCH($D138,Marketing!$A$2:$A$101,0))&amp;"","")),"(not found)"))</f>
        <v/>
      </c>
      <c r="K138" s="49" t="str">
        <f>IF(COUNTA($A138:$I138)=0,"",IF($A138="","Missing: milestone ID",IF(COUNTIF($A$2:$A$201,$A138)&gt;1,"Duplicate milestone ID",IF(NOT(ISNUMBER($B138)),"Missing: date",IF($C138="","Missing: kind",IF($D138="","Missing: product or campaign ID",IF($E138="","Missing: milestone",IF($F138="","Missing: responsible person",IF($G138="","Missing: status",IF(COUNTIF(Config!$U$15:$U$34,$C138)=0,"Unsupported kind",IF(AND($C138="Product",COUNTIF(Products!$A$2:$A$101,$D138)=0),"Unknown product ID",IF(AND($C138="Campaign",COUNTIF(Marketing!$A$2:$A$101,$D138)=0),"Unknown campaign ID",IF(COUNTIF(Config!$V$15:$V$34,$G138)=0,"Unsupported status","OK")))))))))))))</f>
        <v/>
      </c>
    </row>
    <row r="139">
      <c r="A139" s="46" t="n"/>
      <c r="B139" s="54" t="n"/>
      <c r="C139" s="46" t="n"/>
      <c r="D139" s="46" t="n"/>
      <c r="E139" s="46" t="n"/>
      <c r="F139" s="46" t="n"/>
      <c r="G139" s="46" t="n"/>
      <c r="H139" s="46" t="n"/>
      <c r="I139" s="46" t="n"/>
      <c r="J139" s="49" t="str">
        <f>IF($D139="","",IFERROR(IF($C139="Product",INDEX(Products!$B$2:$B$101,MATCH($D139,Products!$A$2:$A$101,0))&amp;"",IF($C139="Campaign",INDEX(Marketing!$B$2:$B$101,MATCH($D139,Marketing!$A$2:$A$101,0))&amp;"","")),"(not found)"))</f>
        <v/>
      </c>
      <c r="K139" s="49" t="str">
        <f>IF(COUNTA($A139:$I139)=0,"",IF($A139="","Missing: milestone ID",IF(COUNTIF($A$2:$A$201,$A139)&gt;1,"Duplicate milestone ID",IF(NOT(ISNUMBER($B139)),"Missing: date",IF($C139="","Missing: kind",IF($D139="","Missing: product or campaign ID",IF($E139="","Missing: milestone",IF($F139="","Missing: responsible person",IF($G139="","Missing: status",IF(COUNTIF(Config!$U$15:$U$34,$C139)=0,"Unsupported kind",IF(AND($C139="Product",COUNTIF(Products!$A$2:$A$101,$D139)=0),"Unknown product ID",IF(AND($C139="Campaign",COUNTIF(Marketing!$A$2:$A$101,$D139)=0),"Unknown campaign ID",IF(COUNTIF(Config!$V$15:$V$34,$G139)=0,"Unsupported status","OK")))))))))))))</f>
        <v/>
      </c>
    </row>
    <row r="140">
      <c r="A140" s="46" t="n"/>
      <c r="B140" s="54" t="n"/>
      <c r="C140" s="46" t="n"/>
      <c r="D140" s="46" t="n"/>
      <c r="E140" s="46" t="n"/>
      <c r="F140" s="46" t="n"/>
      <c r="G140" s="46" t="n"/>
      <c r="H140" s="46" t="n"/>
      <c r="I140" s="46" t="n"/>
      <c r="J140" s="49" t="str">
        <f>IF($D140="","",IFERROR(IF($C140="Product",INDEX(Products!$B$2:$B$101,MATCH($D140,Products!$A$2:$A$101,0))&amp;"",IF($C140="Campaign",INDEX(Marketing!$B$2:$B$101,MATCH($D140,Marketing!$A$2:$A$101,0))&amp;"","")),"(not found)"))</f>
        <v/>
      </c>
      <c r="K140" s="49" t="str">
        <f>IF(COUNTA($A140:$I140)=0,"",IF($A140="","Missing: milestone ID",IF(COUNTIF($A$2:$A$201,$A140)&gt;1,"Duplicate milestone ID",IF(NOT(ISNUMBER($B140)),"Missing: date",IF($C140="","Missing: kind",IF($D140="","Missing: product or campaign ID",IF($E140="","Missing: milestone",IF($F140="","Missing: responsible person",IF($G140="","Missing: status",IF(COUNTIF(Config!$U$15:$U$34,$C140)=0,"Unsupported kind",IF(AND($C140="Product",COUNTIF(Products!$A$2:$A$101,$D140)=0),"Unknown product ID",IF(AND($C140="Campaign",COUNTIF(Marketing!$A$2:$A$101,$D140)=0),"Unknown campaign ID",IF(COUNTIF(Config!$V$15:$V$34,$G140)=0,"Unsupported status","OK")))))))))))))</f>
        <v/>
      </c>
    </row>
    <row r="141">
      <c r="A141" s="46" t="n"/>
      <c r="B141" s="54" t="n"/>
      <c r="C141" s="46" t="n"/>
      <c r="D141" s="46" t="n"/>
      <c r="E141" s="46" t="n"/>
      <c r="F141" s="46" t="n"/>
      <c r="G141" s="46" t="n"/>
      <c r="H141" s="46" t="n"/>
      <c r="I141" s="46" t="n"/>
      <c r="J141" s="49" t="str">
        <f>IF($D141="","",IFERROR(IF($C141="Product",INDEX(Products!$B$2:$B$101,MATCH($D141,Products!$A$2:$A$101,0))&amp;"",IF($C141="Campaign",INDEX(Marketing!$B$2:$B$101,MATCH($D141,Marketing!$A$2:$A$101,0))&amp;"","")),"(not found)"))</f>
        <v/>
      </c>
      <c r="K141" s="49" t="str">
        <f>IF(COUNTA($A141:$I141)=0,"",IF($A141="","Missing: milestone ID",IF(COUNTIF($A$2:$A$201,$A141)&gt;1,"Duplicate milestone ID",IF(NOT(ISNUMBER($B141)),"Missing: date",IF($C141="","Missing: kind",IF($D141="","Missing: product or campaign ID",IF($E141="","Missing: milestone",IF($F141="","Missing: responsible person",IF($G141="","Missing: status",IF(COUNTIF(Config!$U$15:$U$34,$C141)=0,"Unsupported kind",IF(AND($C141="Product",COUNTIF(Products!$A$2:$A$101,$D141)=0),"Unknown product ID",IF(AND($C141="Campaign",COUNTIF(Marketing!$A$2:$A$101,$D141)=0),"Unknown campaign ID",IF(COUNTIF(Config!$V$15:$V$34,$G141)=0,"Unsupported status","OK")))))))))))))</f>
        <v/>
      </c>
    </row>
    <row r="142">
      <c r="A142" s="46" t="n"/>
      <c r="B142" s="54" t="n"/>
      <c r="C142" s="46" t="n"/>
      <c r="D142" s="46" t="n"/>
      <c r="E142" s="46" t="n"/>
      <c r="F142" s="46" t="n"/>
      <c r="G142" s="46" t="n"/>
      <c r="H142" s="46" t="n"/>
      <c r="I142" s="46" t="n"/>
      <c r="J142" s="49" t="str">
        <f>IF($D142="","",IFERROR(IF($C142="Product",INDEX(Products!$B$2:$B$101,MATCH($D142,Products!$A$2:$A$101,0))&amp;"",IF($C142="Campaign",INDEX(Marketing!$B$2:$B$101,MATCH($D142,Marketing!$A$2:$A$101,0))&amp;"","")),"(not found)"))</f>
        <v/>
      </c>
      <c r="K142" s="49" t="str">
        <f>IF(COUNTA($A142:$I142)=0,"",IF($A142="","Missing: milestone ID",IF(COUNTIF($A$2:$A$201,$A142)&gt;1,"Duplicate milestone ID",IF(NOT(ISNUMBER($B142)),"Missing: date",IF($C142="","Missing: kind",IF($D142="","Missing: product or campaign ID",IF($E142="","Missing: milestone",IF($F142="","Missing: responsible person",IF($G142="","Missing: status",IF(COUNTIF(Config!$U$15:$U$34,$C142)=0,"Unsupported kind",IF(AND($C142="Product",COUNTIF(Products!$A$2:$A$101,$D142)=0),"Unknown product ID",IF(AND($C142="Campaign",COUNTIF(Marketing!$A$2:$A$101,$D142)=0),"Unknown campaign ID",IF(COUNTIF(Config!$V$15:$V$34,$G142)=0,"Unsupported status","OK")))))))))))))</f>
        <v/>
      </c>
    </row>
    <row r="143">
      <c r="A143" s="46" t="n"/>
      <c r="B143" s="54" t="n"/>
      <c r="C143" s="46" t="n"/>
      <c r="D143" s="46" t="n"/>
      <c r="E143" s="46" t="n"/>
      <c r="F143" s="46" t="n"/>
      <c r="G143" s="46" t="n"/>
      <c r="H143" s="46" t="n"/>
      <c r="I143" s="46" t="n"/>
      <c r="J143" s="49" t="str">
        <f>IF($D143="","",IFERROR(IF($C143="Product",INDEX(Products!$B$2:$B$101,MATCH($D143,Products!$A$2:$A$101,0))&amp;"",IF($C143="Campaign",INDEX(Marketing!$B$2:$B$101,MATCH($D143,Marketing!$A$2:$A$101,0))&amp;"","")),"(not found)"))</f>
        <v/>
      </c>
      <c r="K143" s="49" t="str">
        <f>IF(COUNTA($A143:$I143)=0,"",IF($A143="","Missing: milestone ID",IF(COUNTIF($A$2:$A$201,$A143)&gt;1,"Duplicate milestone ID",IF(NOT(ISNUMBER($B143)),"Missing: date",IF($C143="","Missing: kind",IF($D143="","Missing: product or campaign ID",IF($E143="","Missing: milestone",IF($F143="","Missing: responsible person",IF($G143="","Missing: status",IF(COUNTIF(Config!$U$15:$U$34,$C143)=0,"Unsupported kind",IF(AND($C143="Product",COUNTIF(Products!$A$2:$A$101,$D143)=0),"Unknown product ID",IF(AND($C143="Campaign",COUNTIF(Marketing!$A$2:$A$101,$D143)=0),"Unknown campaign ID",IF(COUNTIF(Config!$V$15:$V$34,$G143)=0,"Unsupported status","OK")))))))))))))</f>
        <v/>
      </c>
    </row>
    <row r="144">
      <c r="A144" s="46" t="n"/>
      <c r="B144" s="54" t="n"/>
      <c r="C144" s="46" t="n"/>
      <c r="D144" s="46" t="n"/>
      <c r="E144" s="46" t="n"/>
      <c r="F144" s="46" t="n"/>
      <c r="G144" s="46" t="n"/>
      <c r="H144" s="46" t="n"/>
      <c r="I144" s="46" t="n"/>
      <c r="J144" s="49" t="str">
        <f>IF($D144="","",IFERROR(IF($C144="Product",INDEX(Products!$B$2:$B$101,MATCH($D144,Products!$A$2:$A$101,0))&amp;"",IF($C144="Campaign",INDEX(Marketing!$B$2:$B$101,MATCH($D144,Marketing!$A$2:$A$101,0))&amp;"","")),"(not found)"))</f>
        <v/>
      </c>
      <c r="K144" s="49" t="str">
        <f>IF(COUNTA($A144:$I144)=0,"",IF($A144="","Missing: milestone ID",IF(COUNTIF($A$2:$A$201,$A144)&gt;1,"Duplicate milestone ID",IF(NOT(ISNUMBER($B144)),"Missing: date",IF($C144="","Missing: kind",IF($D144="","Missing: product or campaign ID",IF($E144="","Missing: milestone",IF($F144="","Missing: responsible person",IF($G144="","Missing: status",IF(COUNTIF(Config!$U$15:$U$34,$C144)=0,"Unsupported kind",IF(AND($C144="Product",COUNTIF(Products!$A$2:$A$101,$D144)=0),"Unknown product ID",IF(AND($C144="Campaign",COUNTIF(Marketing!$A$2:$A$101,$D144)=0),"Unknown campaign ID",IF(COUNTIF(Config!$V$15:$V$34,$G144)=0,"Unsupported status","OK")))))))))))))</f>
        <v/>
      </c>
    </row>
    <row r="145">
      <c r="A145" s="46" t="n"/>
      <c r="B145" s="54" t="n"/>
      <c r="C145" s="46" t="n"/>
      <c r="D145" s="46" t="n"/>
      <c r="E145" s="46" t="n"/>
      <c r="F145" s="46" t="n"/>
      <c r="G145" s="46" t="n"/>
      <c r="H145" s="46" t="n"/>
      <c r="I145" s="46" t="n"/>
      <c r="J145" s="49" t="str">
        <f>IF($D145="","",IFERROR(IF($C145="Product",INDEX(Products!$B$2:$B$101,MATCH($D145,Products!$A$2:$A$101,0))&amp;"",IF($C145="Campaign",INDEX(Marketing!$B$2:$B$101,MATCH($D145,Marketing!$A$2:$A$101,0))&amp;"","")),"(not found)"))</f>
        <v/>
      </c>
      <c r="K145" s="49" t="str">
        <f>IF(COUNTA($A145:$I145)=0,"",IF($A145="","Missing: milestone ID",IF(COUNTIF($A$2:$A$201,$A145)&gt;1,"Duplicate milestone ID",IF(NOT(ISNUMBER($B145)),"Missing: date",IF($C145="","Missing: kind",IF($D145="","Missing: product or campaign ID",IF($E145="","Missing: milestone",IF($F145="","Missing: responsible person",IF($G145="","Missing: status",IF(COUNTIF(Config!$U$15:$U$34,$C145)=0,"Unsupported kind",IF(AND($C145="Product",COUNTIF(Products!$A$2:$A$101,$D145)=0),"Unknown product ID",IF(AND($C145="Campaign",COUNTIF(Marketing!$A$2:$A$101,$D145)=0),"Unknown campaign ID",IF(COUNTIF(Config!$V$15:$V$34,$G145)=0,"Unsupported status","OK")))))))))))))</f>
        <v/>
      </c>
    </row>
    <row r="146">
      <c r="A146" s="46" t="n"/>
      <c r="B146" s="54" t="n"/>
      <c r="C146" s="46" t="n"/>
      <c r="D146" s="46" t="n"/>
      <c r="E146" s="46" t="n"/>
      <c r="F146" s="46" t="n"/>
      <c r="G146" s="46" t="n"/>
      <c r="H146" s="46" t="n"/>
      <c r="I146" s="46" t="n"/>
      <c r="J146" s="49" t="str">
        <f>IF($D146="","",IFERROR(IF($C146="Product",INDEX(Products!$B$2:$B$101,MATCH($D146,Products!$A$2:$A$101,0))&amp;"",IF($C146="Campaign",INDEX(Marketing!$B$2:$B$101,MATCH($D146,Marketing!$A$2:$A$101,0))&amp;"","")),"(not found)"))</f>
        <v/>
      </c>
      <c r="K146" s="49" t="str">
        <f>IF(COUNTA($A146:$I146)=0,"",IF($A146="","Missing: milestone ID",IF(COUNTIF($A$2:$A$201,$A146)&gt;1,"Duplicate milestone ID",IF(NOT(ISNUMBER($B146)),"Missing: date",IF($C146="","Missing: kind",IF($D146="","Missing: product or campaign ID",IF($E146="","Missing: milestone",IF($F146="","Missing: responsible person",IF($G146="","Missing: status",IF(COUNTIF(Config!$U$15:$U$34,$C146)=0,"Unsupported kind",IF(AND($C146="Product",COUNTIF(Products!$A$2:$A$101,$D146)=0),"Unknown product ID",IF(AND($C146="Campaign",COUNTIF(Marketing!$A$2:$A$101,$D146)=0),"Unknown campaign ID",IF(COUNTIF(Config!$V$15:$V$34,$G146)=0,"Unsupported status","OK")))))))))))))</f>
        <v/>
      </c>
    </row>
    <row r="147">
      <c r="A147" s="46" t="n"/>
      <c r="B147" s="54" t="n"/>
      <c r="C147" s="46" t="n"/>
      <c r="D147" s="46" t="n"/>
      <c r="E147" s="46" t="n"/>
      <c r="F147" s="46" t="n"/>
      <c r="G147" s="46" t="n"/>
      <c r="H147" s="46" t="n"/>
      <c r="I147" s="46" t="n"/>
      <c r="J147" s="49" t="str">
        <f>IF($D147="","",IFERROR(IF($C147="Product",INDEX(Products!$B$2:$B$101,MATCH($D147,Products!$A$2:$A$101,0))&amp;"",IF($C147="Campaign",INDEX(Marketing!$B$2:$B$101,MATCH($D147,Marketing!$A$2:$A$101,0))&amp;"","")),"(not found)"))</f>
        <v/>
      </c>
      <c r="K147" s="49" t="str">
        <f>IF(COUNTA($A147:$I147)=0,"",IF($A147="","Missing: milestone ID",IF(COUNTIF($A$2:$A$201,$A147)&gt;1,"Duplicate milestone ID",IF(NOT(ISNUMBER($B147)),"Missing: date",IF($C147="","Missing: kind",IF($D147="","Missing: product or campaign ID",IF($E147="","Missing: milestone",IF($F147="","Missing: responsible person",IF($G147="","Missing: status",IF(COUNTIF(Config!$U$15:$U$34,$C147)=0,"Unsupported kind",IF(AND($C147="Product",COUNTIF(Products!$A$2:$A$101,$D147)=0),"Unknown product ID",IF(AND($C147="Campaign",COUNTIF(Marketing!$A$2:$A$101,$D147)=0),"Unknown campaign ID",IF(COUNTIF(Config!$V$15:$V$34,$G147)=0,"Unsupported status","OK")))))))))))))</f>
        <v/>
      </c>
    </row>
    <row r="148">
      <c r="A148" s="46" t="n"/>
      <c r="B148" s="54" t="n"/>
      <c r="C148" s="46" t="n"/>
      <c r="D148" s="46" t="n"/>
      <c r="E148" s="46" t="n"/>
      <c r="F148" s="46" t="n"/>
      <c r="G148" s="46" t="n"/>
      <c r="H148" s="46" t="n"/>
      <c r="I148" s="46" t="n"/>
      <c r="J148" s="49" t="str">
        <f>IF($D148="","",IFERROR(IF($C148="Product",INDEX(Products!$B$2:$B$101,MATCH($D148,Products!$A$2:$A$101,0))&amp;"",IF($C148="Campaign",INDEX(Marketing!$B$2:$B$101,MATCH($D148,Marketing!$A$2:$A$101,0))&amp;"","")),"(not found)"))</f>
        <v/>
      </c>
      <c r="K148" s="49" t="str">
        <f>IF(COUNTA($A148:$I148)=0,"",IF($A148="","Missing: milestone ID",IF(COUNTIF($A$2:$A$201,$A148)&gt;1,"Duplicate milestone ID",IF(NOT(ISNUMBER($B148)),"Missing: date",IF($C148="","Missing: kind",IF($D148="","Missing: product or campaign ID",IF($E148="","Missing: milestone",IF($F148="","Missing: responsible person",IF($G148="","Missing: status",IF(COUNTIF(Config!$U$15:$U$34,$C148)=0,"Unsupported kind",IF(AND($C148="Product",COUNTIF(Products!$A$2:$A$101,$D148)=0),"Unknown product ID",IF(AND($C148="Campaign",COUNTIF(Marketing!$A$2:$A$101,$D148)=0),"Unknown campaign ID",IF(COUNTIF(Config!$V$15:$V$34,$G148)=0,"Unsupported status","OK")))))))))))))</f>
        <v/>
      </c>
    </row>
    <row r="149">
      <c r="A149" s="46" t="n"/>
      <c r="B149" s="54" t="n"/>
      <c r="C149" s="46" t="n"/>
      <c r="D149" s="46" t="n"/>
      <c r="E149" s="46" t="n"/>
      <c r="F149" s="46" t="n"/>
      <c r="G149" s="46" t="n"/>
      <c r="H149" s="46" t="n"/>
      <c r="I149" s="46" t="n"/>
      <c r="J149" s="49" t="str">
        <f>IF($D149="","",IFERROR(IF($C149="Product",INDEX(Products!$B$2:$B$101,MATCH($D149,Products!$A$2:$A$101,0))&amp;"",IF($C149="Campaign",INDEX(Marketing!$B$2:$B$101,MATCH($D149,Marketing!$A$2:$A$101,0))&amp;"","")),"(not found)"))</f>
        <v/>
      </c>
      <c r="K149" s="49" t="str">
        <f>IF(COUNTA($A149:$I149)=0,"",IF($A149="","Missing: milestone ID",IF(COUNTIF($A$2:$A$201,$A149)&gt;1,"Duplicate milestone ID",IF(NOT(ISNUMBER($B149)),"Missing: date",IF($C149="","Missing: kind",IF($D149="","Missing: product or campaign ID",IF($E149="","Missing: milestone",IF($F149="","Missing: responsible person",IF($G149="","Missing: status",IF(COUNTIF(Config!$U$15:$U$34,$C149)=0,"Unsupported kind",IF(AND($C149="Product",COUNTIF(Products!$A$2:$A$101,$D149)=0),"Unknown product ID",IF(AND($C149="Campaign",COUNTIF(Marketing!$A$2:$A$101,$D149)=0),"Unknown campaign ID",IF(COUNTIF(Config!$V$15:$V$34,$G149)=0,"Unsupported status","OK")))))))))))))</f>
        <v/>
      </c>
    </row>
    <row r="150">
      <c r="A150" s="46" t="n"/>
      <c r="B150" s="54" t="n"/>
      <c r="C150" s="46" t="n"/>
      <c r="D150" s="46" t="n"/>
      <c r="E150" s="46" t="n"/>
      <c r="F150" s="46" t="n"/>
      <c r="G150" s="46" t="n"/>
      <c r="H150" s="46" t="n"/>
      <c r="I150" s="46" t="n"/>
      <c r="J150" s="49" t="str">
        <f>IF($D150="","",IFERROR(IF($C150="Product",INDEX(Products!$B$2:$B$101,MATCH($D150,Products!$A$2:$A$101,0))&amp;"",IF($C150="Campaign",INDEX(Marketing!$B$2:$B$101,MATCH($D150,Marketing!$A$2:$A$101,0))&amp;"","")),"(not found)"))</f>
        <v/>
      </c>
      <c r="K150" s="49" t="str">
        <f>IF(COUNTA($A150:$I150)=0,"",IF($A150="","Missing: milestone ID",IF(COUNTIF($A$2:$A$201,$A150)&gt;1,"Duplicate milestone ID",IF(NOT(ISNUMBER($B150)),"Missing: date",IF($C150="","Missing: kind",IF($D150="","Missing: product or campaign ID",IF($E150="","Missing: milestone",IF($F150="","Missing: responsible person",IF($G150="","Missing: status",IF(COUNTIF(Config!$U$15:$U$34,$C150)=0,"Unsupported kind",IF(AND($C150="Product",COUNTIF(Products!$A$2:$A$101,$D150)=0),"Unknown product ID",IF(AND($C150="Campaign",COUNTIF(Marketing!$A$2:$A$101,$D150)=0),"Unknown campaign ID",IF(COUNTIF(Config!$V$15:$V$34,$G150)=0,"Unsupported status","OK")))))))))))))</f>
        <v/>
      </c>
    </row>
    <row r="151">
      <c r="A151" s="46" t="n"/>
      <c r="B151" s="54" t="n"/>
      <c r="C151" s="46" t="n"/>
      <c r="D151" s="46" t="n"/>
      <c r="E151" s="46" t="n"/>
      <c r="F151" s="46" t="n"/>
      <c r="G151" s="46" t="n"/>
      <c r="H151" s="46" t="n"/>
      <c r="I151" s="46" t="n"/>
      <c r="J151" s="49" t="str">
        <f>IF($D151="","",IFERROR(IF($C151="Product",INDEX(Products!$B$2:$B$101,MATCH($D151,Products!$A$2:$A$101,0))&amp;"",IF($C151="Campaign",INDEX(Marketing!$B$2:$B$101,MATCH($D151,Marketing!$A$2:$A$101,0))&amp;"","")),"(not found)"))</f>
        <v/>
      </c>
      <c r="K151" s="49" t="str">
        <f>IF(COUNTA($A151:$I151)=0,"",IF($A151="","Missing: milestone ID",IF(COUNTIF($A$2:$A$201,$A151)&gt;1,"Duplicate milestone ID",IF(NOT(ISNUMBER($B151)),"Missing: date",IF($C151="","Missing: kind",IF($D151="","Missing: product or campaign ID",IF($E151="","Missing: milestone",IF($F151="","Missing: responsible person",IF($G151="","Missing: status",IF(COUNTIF(Config!$U$15:$U$34,$C151)=0,"Unsupported kind",IF(AND($C151="Product",COUNTIF(Products!$A$2:$A$101,$D151)=0),"Unknown product ID",IF(AND($C151="Campaign",COUNTIF(Marketing!$A$2:$A$101,$D151)=0),"Unknown campaign ID",IF(COUNTIF(Config!$V$15:$V$34,$G151)=0,"Unsupported status","OK")))))))))))))</f>
        <v/>
      </c>
    </row>
    <row r="152">
      <c r="A152" s="46" t="n"/>
      <c r="B152" s="54" t="n"/>
      <c r="C152" s="46" t="n"/>
      <c r="D152" s="46" t="n"/>
      <c r="E152" s="46" t="n"/>
      <c r="F152" s="46" t="n"/>
      <c r="G152" s="46" t="n"/>
      <c r="H152" s="46" t="n"/>
      <c r="I152" s="46" t="n"/>
      <c r="J152" s="49" t="str">
        <f>IF($D152="","",IFERROR(IF($C152="Product",INDEX(Products!$B$2:$B$101,MATCH($D152,Products!$A$2:$A$101,0))&amp;"",IF($C152="Campaign",INDEX(Marketing!$B$2:$B$101,MATCH($D152,Marketing!$A$2:$A$101,0))&amp;"","")),"(not found)"))</f>
        <v/>
      </c>
      <c r="K152" s="49" t="str">
        <f>IF(COUNTA($A152:$I152)=0,"",IF($A152="","Missing: milestone ID",IF(COUNTIF($A$2:$A$201,$A152)&gt;1,"Duplicate milestone ID",IF(NOT(ISNUMBER($B152)),"Missing: date",IF($C152="","Missing: kind",IF($D152="","Missing: product or campaign ID",IF($E152="","Missing: milestone",IF($F152="","Missing: responsible person",IF($G152="","Missing: status",IF(COUNTIF(Config!$U$15:$U$34,$C152)=0,"Unsupported kind",IF(AND($C152="Product",COUNTIF(Products!$A$2:$A$101,$D152)=0),"Unknown product ID",IF(AND($C152="Campaign",COUNTIF(Marketing!$A$2:$A$101,$D152)=0),"Unknown campaign ID",IF(COUNTIF(Config!$V$15:$V$34,$G152)=0,"Unsupported status","OK")))))))))))))</f>
        <v/>
      </c>
    </row>
    <row r="153">
      <c r="A153" s="46" t="n"/>
      <c r="B153" s="54" t="n"/>
      <c r="C153" s="46" t="n"/>
      <c r="D153" s="46" t="n"/>
      <c r="E153" s="46" t="n"/>
      <c r="F153" s="46" t="n"/>
      <c r="G153" s="46" t="n"/>
      <c r="H153" s="46" t="n"/>
      <c r="I153" s="46" t="n"/>
      <c r="J153" s="49" t="str">
        <f>IF($D153="","",IFERROR(IF($C153="Product",INDEX(Products!$B$2:$B$101,MATCH($D153,Products!$A$2:$A$101,0))&amp;"",IF($C153="Campaign",INDEX(Marketing!$B$2:$B$101,MATCH($D153,Marketing!$A$2:$A$101,0))&amp;"","")),"(not found)"))</f>
        <v/>
      </c>
      <c r="K153" s="49" t="str">
        <f>IF(COUNTA($A153:$I153)=0,"",IF($A153="","Missing: milestone ID",IF(COUNTIF($A$2:$A$201,$A153)&gt;1,"Duplicate milestone ID",IF(NOT(ISNUMBER($B153)),"Missing: date",IF($C153="","Missing: kind",IF($D153="","Missing: product or campaign ID",IF($E153="","Missing: milestone",IF($F153="","Missing: responsible person",IF($G153="","Missing: status",IF(COUNTIF(Config!$U$15:$U$34,$C153)=0,"Unsupported kind",IF(AND($C153="Product",COUNTIF(Products!$A$2:$A$101,$D153)=0),"Unknown product ID",IF(AND($C153="Campaign",COUNTIF(Marketing!$A$2:$A$101,$D153)=0),"Unknown campaign ID",IF(COUNTIF(Config!$V$15:$V$34,$G153)=0,"Unsupported status","OK")))))))))))))</f>
        <v/>
      </c>
    </row>
    <row r="154">
      <c r="A154" s="46" t="n"/>
      <c r="B154" s="54" t="n"/>
      <c r="C154" s="46" t="n"/>
      <c r="D154" s="46" t="n"/>
      <c r="E154" s="46" t="n"/>
      <c r="F154" s="46" t="n"/>
      <c r="G154" s="46" t="n"/>
      <c r="H154" s="46" t="n"/>
      <c r="I154" s="46" t="n"/>
      <c r="J154" s="49" t="str">
        <f>IF($D154="","",IFERROR(IF($C154="Product",INDEX(Products!$B$2:$B$101,MATCH($D154,Products!$A$2:$A$101,0))&amp;"",IF($C154="Campaign",INDEX(Marketing!$B$2:$B$101,MATCH($D154,Marketing!$A$2:$A$101,0))&amp;"","")),"(not found)"))</f>
        <v/>
      </c>
      <c r="K154" s="49" t="str">
        <f>IF(COUNTA($A154:$I154)=0,"",IF($A154="","Missing: milestone ID",IF(COUNTIF($A$2:$A$201,$A154)&gt;1,"Duplicate milestone ID",IF(NOT(ISNUMBER($B154)),"Missing: date",IF($C154="","Missing: kind",IF($D154="","Missing: product or campaign ID",IF($E154="","Missing: milestone",IF($F154="","Missing: responsible person",IF($G154="","Missing: status",IF(COUNTIF(Config!$U$15:$U$34,$C154)=0,"Unsupported kind",IF(AND($C154="Product",COUNTIF(Products!$A$2:$A$101,$D154)=0),"Unknown product ID",IF(AND($C154="Campaign",COUNTIF(Marketing!$A$2:$A$101,$D154)=0),"Unknown campaign ID",IF(COUNTIF(Config!$V$15:$V$34,$G154)=0,"Unsupported status","OK")))))))))))))</f>
        <v/>
      </c>
    </row>
    <row r="155">
      <c r="A155" s="46" t="n"/>
      <c r="B155" s="54" t="n"/>
      <c r="C155" s="46" t="n"/>
      <c r="D155" s="46" t="n"/>
      <c r="E155" s="46" t="n"/>
      <c r="F155" s="46" t="n"/>
      <c r="G155" s="46" t="n"/>
      <c r="H155" s="46" t="n"/>
      <c r="I155" s="46" t="n"/>
      <c r="J155" s="49" t="str">
        <f>IF($D155="","",IFERROR(IF($C155="Product",INDEX(Products!$B$2:$B$101,MATCH($D155,Products!$A$2:$A$101,0))&amp;"",IF($C155="Campaign",INDEX(Marketing!$B$2:$B$101,MATCH($D155,Marketing!$A$2:$A$101,0))&amp;"","")),"(not found)"))</f>
        <v/>
      </c>
      <c r="K155" s="49" t="str">
        <f>IF(COUNTA($A155:$I155)=0,"",IF($A155="","Missing: milestone ID",IF(COUNTIF($A$2:$A$201,$A155)&gt;1,"Duplicate milestone ID",IF(NOT(ISNUMBER($B155)),"Missing: date",IF($C155="","Missing: kind",IF($D155="","Missing: product or campaign ID",IF($E155="","Missing: milestone",IF($F155="","Missing: responsible person",IF($G155="","Missing: status",IF(COUNTIF(Config!$U$15:$U$34,$C155)=0,"Unsupported kind",IF(AND($C155="Product",COUNTIF(Products!$A$2:$A$101,$D155)=0),"Unknown product ID",IF(AND($C155="Campaign",COUNTIF(Marketing!$A$2:$A$101,$D155)=0),"Unknown campaign ID",IF(COUNTIF(Config!$V$15:$V$34,$G155)=0,"Unsupported status","OK")))))))))))))</f>
        <v/>
      </c>
    </row>
    <row r="156">
      <c r="A156" s="46" t="n"/>
      <c r="B156" s="54" t="n"/>
      <c r="C156" s="46" t="n"/>
      <c r="D156" s="46" t="n"/>
      <c r="E156" s="46" t="n"/>
      <c r="F156" s="46" t="n"/>
      <c r="G156" s="46" t="n"/>
      <c r="H156" s="46" t="n"/>
      <c r="I156" s="46" t="n"/>
      <c r="J156" s="49" t="str">
        <f>IF($D156="","",IFERROR(IF($C156="Product",INDEX(Products!$B$2:$B$101,MATCH($D156,Products!$A$2:$A$101,0))&amp;"",IF($C156="Campaign",INDEX(Marketing!$B$2:$B$101,MATCH($D156,Marketing!$A$2:$A$101,0))&amp;"","")),"(not found)"))</f>
        <v/>
      </c>
      <c r="K156" s="49" t="str">
        <f>IF(COUNTA($A156:$I156)=0,"",IF($A156="","Missing: milestone ID",IF(COUNTIF($A$2:$A$201,$A156)&gt;1,"Duplicate milestone ID",IF(NOT(ISNUMBER($B156)),"Missing: date",IF($C156="","Missing: kind",IF($D156="","Missing: product or campaign ID",IF($E156="","Missing: milestone",IF($F156="","Missing: responsible person",IF($G156="","Missing: status",IF(COUNTIF(Config!$U$15:$U$34,$C156)=0,"Unsupported kind",IF(AND($C156="Product",COUNTIF(Products!$A$2:$A$101,$D156)=0),"Unknown product ID",IF(AND($C156="Campaign",COUNTIF(Marketing!$A$2:$A$101,$D156)=0),"Unknown campaign ID",IF(COUNTIF(Config!$V$15:$V$34,$G156)=0,"Unsupported status","OK")))))))))))))</f>
        <v/>
      </c>
    </row>
    <row r="157">
      <c r="A157" s="46" t="n"/>
      <c r="B157" s="54" t="n"/>
      <c r="C157" s="46" t="n"/>
      <c r="D157" s="46" t="n"/>
      <c r="E157" s="46" t="n"/>
      <c r="F157" s="46" t="n"/>
      <c r="G157" s="46" t="n"/>
      <c r="H157" s="46" t="n"/>
      <c r="I157" s="46" t="n"/>
      <c r="J157" s="49" t="str">
        <f>IF($D157="","",IFERROR(IF($C157="Product",INDEX(Products!$B$2:$B$101,MATCH($D157,Products!$A$2:$A$101,0))&amp;"",IF($C157="Campaign",INDEX(Marketing!$B$2:$B$101,MATCH($D157,Marketing!$A$2:$A$101,0))&amp;"","")),"(not found)"))</f>
        <v/>
      </c>
      <c r="K157" s="49" t="str">
        <f>IF(COUNTA($A157:$I157)=0,"",IF($A157="","Missing: milestone ID",IF(COUNTIF($A$2:$A$201,$A157)&gt;1,"Duplicate milestone ID",IF(NOT(ISNUMBER($B157)),"Missing: date",IF($C157="","Missing: kind",IF($D157="","Missing: product or campaign ID",IF($E157="","Missing: milestone",IF($F157="","Missing: responsible person",IF($G157="","Missing: status",IF(COUNTIF(Config!$U$15:$U$34,$C157)=0,"Unsupported kind",IF(AND($C157="Product",COUNTIF(Products!$A$2:$A$101,$D157)=0),"Unknown product ID",IF(AND($C157="Campaign",COUNTIF(Marketing!$A$2:$A$101,$D157)=0),"Unknown campaign ID",IF(COUNTIF(Config!$V$15:$V$34,$G157)=0,"Unsupported status","OK")))))))))))))</f>
        <v/>
      </c>
    </row>
    <row r="158">
      <c r="A158" s="46" t="n"/>
      <c r="B158" s="54" t="n"/>
      <c r="C158" s="46" t="n"/>
      <c r="D158" s="46" t="n"/>
      <c r="E158" s="46" t="n"/>
      <c r="F158" s="46" t="n"/>
      <c r="G158" s="46" t="n"/>
      <c r="H158" s="46" t="n"/>
      <c r="I158" s="46" t="n"/>
      <c r="J158" s="49" t="str">
        <f>IF($D158="","",IFERROR(IF($C158="Product",INDEX(Products!$B$2:$B$101,MATCH($D158,Products!$A$2:$A$101,0))&amp;"",IF($C158="Campaign",INDEX(Marketing!$B$2:$B$101,MATCH($D158,Marketing!$A$2:$A$101,0))&amp;"","")),"(not found)"))</f>
        <v/>
      </c>
      <c r="K158" s="49" t="str">
        <f>IF(COUNTA($A158:$I158)=0,"",IF($A158="","Missing: milestone ID",IF(COUNTIF($A$2:$A$201,$A158)&gt;1,"Duplicate milestone ID",IF(NOT(ISNUMBER($B158)),"Missing: date",IF($C158="","Missing: kind",IF($D158="","Missing: product or campaign ID",IF($E158="","Missing: milestone",IF($F158="","Missing: responsible person",IF($G158="","Missing: status",IF(COUNTIF(Config!$U$15:$U$34,$C158)=0,"Unsupported kind",IF(AND($C158="Product",COUNTIF(Products!$A$2:$A$101,$D158)=0),"Unknown product ID",IF(AND($C158="Campaign",COUNTIF(Marketing!$A$2:$A$101,$D158)=0),"Unknown campaign ID",IF(COUNTIF(Config!$V$15:$V$34,$G158)=0,"Unsupported status","OK")))))))))))))</f>
        <v/>
      </c>
    </row>
    <row r="159">
      <c r="A159" s="46" t="n"/>
      <c r="B159" s="54" t="n"/>
      <c r="C159" s="46" t="n"/>
      <c r="D159" s="46" t="n"/>
      <c r="E159" s="46" t="n"/>
      <c r="F159" s="46" t="n"/>
      <c r="G159" s="46" t="n"/>
      <c r="H159" s="46" t="n"/>
      <c r="I159" s="46" t="n"/>
      <c r="J159" s="49" t="str">
        <f>IF($D159="","",IFERROR(IF($C159="Product",INDEX(Products!$B$2:$B$101,MATCH($D159,Products!$A$2:$A$101,0))&amp;"",IF($C159="Campaign",INDEX(Marketing!$B$2:$B$101,MATCH($D159,Marketing!$A$2:$A$101,0))&amp;"","")),"(not found)"))</f>
        <v/>
      </c>
      <c r="K159" s="49" t="str">
        <f>IF(COUNTA($A159:$I159)=0,"",IF($A159="","Missing: milestone ID",IF(COUNTIF($A$2:$A$201,$A159)&gt;1,"Duplicate milestone ID",IF(NOT(ISNUMBER($B159)),"Missing: date",IF($C159="","Missing: kind",IF($D159="","Missing: product or campaign ID",IF($E159="","Missing: milestone",IF($F159="","Missing: responsible person",IF($G159="","Missing: status",IF(COUNTIF(Config!$U$15:$U$34,$C159)=0,"Unsupported kind",IF(AND($C159="Product",COUNTIF(Products!$A$2:$A$101,$D159)=0),"Unknown product ID",IF(AND($C159="Campaign",COUNTIF(Marketing!$A$2:$A$101,$D159)=0),"Unknown campaign ID",IF(COUNTIF(Config!$V$15:$V$34,$G159)=0,"Unsupported status","OK")))))))))))))</f>
        <v/>
      </c>
    </row>
    <row r="160">
      <c r="A160" s="46" t="n"/>
      <c r="B160" s="54" t="n"/>
      <c r="C160" s="46" t="n"/>
      <c r="D160" s="46" t="n"/>
      <c r="E160" s="46" t="n"/>
      <c r="F160" s="46" t="n"/>
      <c r="G160" s="46" t="n"/>
      <c r="H160" s="46" t="n"/>
      <c r="I160" s="46" t="n"/>
      <c r="J160" s="49" t="str">
        <f>IF($D160="","",IFERROR(IF($C160="Product",INDEX(Products!$B$2:$B$101,MATCH($D160,Products!$A$2:$A$101,0))&amp;"",IF($C160="Campaign",INDEX(Marketing!$B$2:$B$101,MATCH($D160,Marketing!$A$2:$A$101,0))&amp;"","")),"(not found)"))</f>
        <v/>
      </c>
      <c r="K160" s="49" t="str">
        <f>IF(COUNTA($A160:$I160)=0,"",IF($A160="","Missing: milestone ID",IF(COUNTIF($A$2:$A$201,$A160)&gt;1,"Duplicate milestone ID",IF(NOT(ISNUMBER($B160)),"Missing: date",IF($C160="","Missing: kind",IF($D160="","Missing: product or campaign ID",IF($E160="","Missing: milestone",IF($F160="","Missing: responsible person",IF($G160="","Missing: status",IF(COUNTIF(Config!$U$15:$U$34,$C160)=0,"Unsupported kind",IF(AND($C160="Product",COUNTIF(Products!$A$2:$A$101,$D160)=0),"Unknown product ID",IF(AND($C160="Campaign",COUNTIF(Marketing!$A$2:$A$101,$D160)=0),"Unknown campaign ID",IF(COUNTIF(Config!$V$15:$V$34,$G160)=0,"Unsupported status","OK")))))))))))))</f>
        <v/>
      </c>
    </row>
    <row r="161">
      <c r="A161" s="46" t="n"/>
      <c r="B161" s="54" t="n"/>
      <c r="C161" s="46" t="n"/>
      <c r="D161" s="46" t="n"/>
      <c r="E161" s="46" t="n"/>
      <c r="F161" s="46" t="n"/>
      <c r="G161" s="46" t="n"/>
      <c r="H161" s="46" t="n"/>
      <c r="I161" s="46" t="n"/>
      <c r="J161" s="49" t="str">
        <f>IF($D161="","",IFERROR(IF($C161="Product",INDEX(Products!$B$2:$B$101,MATCH($D161,Products!$A$2:$A$101,0))&amp;"",IF($C161="Campaign",INDEX(Marketing!$B$2:$B$101,MATCH($D161,Marketing!$A$2:$A$101,0))&amp;"","")),"(not found)"))</f>
        <v/>
      </c>
      <c r="K161" s="49" t="str">
        <f>IF(COUNTA($A161:$I161)=0,"",IF($A161="","Missing: milestone ID",IF(COUNTIF($A$2:$A$201,$A161)&gt;1,"Duplicate milestone ID",IF(NOT(ISNUMBER($B161)),"Missing: date",IF($C161="","Missing: kind",IF($D161="","Missing: product or campaign ID",IF($E161="","Missing: milestone",IF($F161="","Missing: responsible person",IF($G161="","Missing: status",IF(COUNTIF(Config!$U$15:$U$34,$C161)=0,"Unsupported kind",IF(AND($C161="Product",COUNTIF(Products!$A$2:$A$101,$D161)=0),"Unknown product ID",IF(AND($C161="Campaign",COUNTIF(Marketing!$A$2:$A$101,$D161)=0),"Unknown campaign ID",IF(COUNTIF(Config!$V$15:$V$34,$G161)=0,"Unsupported status","OK")))))))))))))</f>
        <v/>
      </c>
    </row>
    <row r="162">
      <c r="A162" s="46" t="n"/>
      <c r="B162" s="54" t="n"/>
      <c r="C162" s="46" t="n"/>
      <c r="D162" s="46" t="n"/>
      <c r="E162" s="46" t="n"/>
      <c r="F162" s="46" t="n"/>
      <c r="G162" s="46" t="n"/>
      <c r="H162" s="46" t="n"/>
      <c r="I162" s="46" t="n"/>
      <c r="J162" s="49" t="str">
        <f>IF($D162="","",IFERROR(IF($C162="Product",INDEX(Products!$B$2:$B$101,MATCH($D162,Products!$A$2:$A$101,0))&amp;"",IF($C162="Campaign",INDEX(Marketing!$B$2:$B$101,MATCH($D162,Marketing!$A$2:$A$101,0))&amp;"","")),"(not found)"))</f>
        <v/>
      </c>
      <c r="K162" s="49" t="str">
        <f>IF(COUNTA($A162:$I162)=0,"",IF($A162="","Missing: milestone ID",IF(COUNTIF($A$2:$A$201,$A162)&gt;1,"Duplicate milestone ID",IF(NOT(ISNUMBER($B162)),"Missing: date",IF($C162="","Missing: kind",IF($D162="","Missing: product or campaign ID",IF($E162="","Missing: milestone",IF($F162="","Missing: responsible person",IF($G162="","Missing: status",IF(COUNTIF(Config!$U$15:$U$34,$C162)=0,"Unsupported kind",IF(AND($C162="Product",COUNTIF(Products!$A$2:$A$101,$D162)=0),"Unknown product ID",IF(AND($C162="Campaign",COUNTIF(Marketing!$A$2:$A$101,$D162)=0),"Unknown campaign ID",IF(COUNTIF(Config!$V$15:$V$34,$G162)=0,"Unsupported status","OK")))))))))))))</f>
        <v/>
      </c>
    </row>
    <row r="163">
      <c r="A163" s="46" t="n"/>
      <c r="B163" s="54" t="n"/>
      <c r="C163" s="46" t="n"/>
      <c r="D163" s="46" t="n"/>
      <c r="E163" s="46" t="n"/>
      <c r="F163" s="46" t="n"/>
      <c r="G163" s="46" t="n"/>
      <c r="H163" s="46" t="n"/>
      <c r="I163" s="46" t="n"/>
      <c r="J163" s="49" t="str">
        <f>IF($D163="","",IFERROR(IF($C163="Product",INDEX(Products!$B$2:$B$101,MATCH($D163,Products!$A$2:$A$101,0))&amp;"",IF($C163="Campaign",INDEX(Marketing!$B$2:$B$101,MATCH($D163,Marketing!$A$2:$A$101,0))&amp;"","")),"(not found)"))</f>
        <v/>
      </c>
      <c r="K163" s="49" t="str">
        <f>IF(COUNTA($A163:$I163)=0,"",IF($A163="","Missing: milestone ID",IF(COUNTIF($A$2:$A$201,$A163)&gt;1,"Duplicate milestone ID",IF(NOT(ISNUMBER($B163)),"Missing: date",IF($C163="","Missing: kind",IF($D163="","Missing: product or campaign ID",IF($E163="","Missing: milestone",IF($F163="","Missing: responsible person",IF($G163="","Missing: status",IF(COUNTIF(Config!$U$15:$U$34,$C163)=0,"Unsupported kind",IF(AND($C163="Product",COUNTIF(Products!$A$2:$A$101,$D163)=0),"Unknown product ID",IF(AND($C163="Campaign",COUNTIF(Marketing!$A$2:$A$101,$D163)=0),"Unknown campaign ID",IF(COUNTIF(Config!$V$15:$V$34,$G163)=0,"Unsupported status","OK")))))))))))))</f>
        <v/>
      </c>
    </row>
    <row r="164">
      <c r="A164" s="46" t="n"/>
      <c r="B164" s="54" t="n"/>
      <c r="C164" s="46" t="n"/>
      <c r="D164" s="46" t="n"/>
      <c r="E164" s="46" t="n"/>
      <c r="F164" s="46" t="n"/>
      <c r="G164" s="46" t="n"/>
      <c r="H164" s="46" t="n"/>
      <c r="I164" s="46" t="n"/>
      <c r="J164" s="49" t="str">
        <f>IF($D164="","",IFERROR(IF($C164="Product",INDEX(Products!$B$2:$B$101,MATCH($D164,Products!$A$2:$A$101,0))&amp;"",IF($C164="Campaign",INDEX(Marketing!$B$2:$B$101,MATCH($D164,Marketing!$A$2:$A$101,0))&amp;"","")),"(not found)"))</f>
        <v/>
      </c>
      <c r="K164" s="49" t="str">
        <f>IF(COUNTA($A164:$I164)=0,"",IF($A164="","Missing: milestone ID",IF(COUNTIF($A$2:$A$201,$A164)&gt;1,"Duplicate milestone ID",IF(NOT(ISNUMBER($B164)),"Missing: date",IF($C164="","Missing: kind",IF($D164="","Missing: product or campaign ID",IF($E164="","Missing: milestone",IF($F164="","Missing: responsible person",IF($G164="","Missing: status",IF(COUNTIF(Config!$U$15:$U$34,$C164)=0,"Unsupported kind",IF(AND($C164="Product",COUNTIF(Products!$A$2:$A$101,$D164)=0),"Unknown product ID",IF(AND($C164="Campaign",COUNTIF(Marketing!$A$2:$A$101,$D164)=0),"Unknown campaign ID",IF(COUNTIF(Config!$V$15:$V$34,$G164)=0,"Unsupported status","OK")))))))))))))</f>
        <v/>
      </c>
    </row>
    <row r="165">
      <c r="A165" s="46" t="n"/>
      <c r="B165" s="54" t="n"/>
      <c r="C165" s="46" t="n"/>
      <c r="D165" s="46" t="n"/>
      <c r="E165" s="46" t="n"/>
      <c r="F165" s="46" t="n"/>
      <c r="G165" s="46" t="n"/>
      <c r="H165" s="46" t="n"/>
      <c r="I165" s="46" t="n"/>
      <c r="J165" s="49" t="str">
        <f>IF($D165="","",IFERROR(IF($C165="Product",INDEX(Products!$B$2:$B$101,MATCH($D165,Products!$A$2:$A$101,0))&amp;"",IF($C165="Campaign",INDEX(Marketing!$B$2:$B$101,MATCH($D165,Marketing!$A$2:$A$101,0))&amp;"","")),"(not found)"))</f>
        <v/>
      </c>
      <c r="K165" s="49" t="str">
        <f>IF(COUNTA($A165:$I165)=0,"",IF($A165="","Missing: milestone ID",IF(COUNTIF($A$2:$A$201,$A165)&gt;1,"Duplicate milestone ID",IF(NOT(ISNUMBER($B165)),"Missing: date",IF($C165="","Missing: kind",IF($D165="","Missing: product or campaign ID",IF($E165="","Missing: milestone",IF($F165="","Missing: responsible person",IF($G165="","Missing: status",IF(COUNTIF(Config!$U$15:$U$34,$C165)=0,"Unsupported kind",IF(AND($C165="Product",COUNTIF(Products!$A$2:$A$101,$D165)=0),"Unknown product ID",IF(AND($C165="Campaign",COUNTIF(Marketing!$A$2:$A$101,$D165)=0),"Unknown campaign ID",IF(COUNTIF(Config!$V$15:$V$34,$G165)=0,"Unsupported status","OK")))))))))))))</f>
        <v/>
      </c>
    </row>
    <row r="166">
      <c r="A166" s="46" t="n"/>
      <c r="B166" s="54" t="n"/>
      <c r="C166" s="46" t="n"/>
      <c r="D166" s="46" t="n"/>
      <c r="E166" s="46" t="n"/>
      <c r="F166" s="46" t="n"/>
      <c r="G166" s="46" t="n"/>
      <c r="H166" s="46" t="n"/>
      <c r="I166" s="46" t="n"/>
      <c r="J166" s="49" t="str">
        <f>IF($D166="","",IFERROR(IF($C166="Product",INDEX(Products!$B$2:$B$101,MATCH($D166,Products!$A$2:$A$101,0))&amp;"",IF($C166="Campaign",INDEX(Marketing!$B$2:$B$101,MATCH($D166,Marketing!$A$2:$A$101,0))&amp;"","")),"(not found)"))</f>
        <v/>
      </c>
      <c r="K166" s="49" t="str">
        <f>IF(COUNTA($A166:$I166)=0,"",IF($A166="","Missing: milestone ID",IF(COUNTIF($A$2:$A$201,$A166)&gt;1,"Duplicate milestone ID",IF(NOT(ISNUMBER($B166)),"Missing: date",IF($C166="","Missing: kind",IF($D166="","Missing: product or campaign ID",IF($E166="","Missing: milestone",IF($F166="","Missing: responsible person",IF($G166="","Missing: status",IF(COUNTIF(Config!$U$15:$U$34,$C166)=0,"Unsupported kind",IF(AND($C166="Product",COUNTIF(Products!$A$2:$A$101,$D166)=0),"Unknown product ID",IF(AND($C166="Campaign",COUNTIF(Marketing!$A$2:$A$101,$D166)=0),"Unknown campaign ID",IF(COUNTIF(Config!$V$15:$V$34,$G166)=0,"Unsupported status","OK")))))))))))))</f>
        <v/>
      </c>
    </row>
    <row r="167">
      <c r="A167" s="46" t="n"/>
      <c r="B167" s="54" t="n"/>
      <c r="C167" s="46" t="n"/>
      <c r="D167" s="46" t="n"/>
      <c r="E167" s="46" t="n"/>
      <c r="F167" s="46" t="n"/>
      <c r="G167" s="46" t="n"/>
      <c r="H167" s="46" t="n"/>
      <c r="I167" s="46" t="n"/>
      <c r="J167" s="49" t="str">
        <f>IF($D167="","",IFERROR(IF($C167="Product",INDEX(Products!$B$2:$B$101,MATCH($D167,Products!$A$2:$A$101,0))&amp;"",IF($C167="Campaign",INDEX(Marketing!$B$2:$B$101,MATCH($D167,Marketing!$A$2:$A$101,0))&amp;"","")),"(not found)"))</f>
        <v/>
      </c>
      <c r="K167" s="49" t="str">
        <f>IF(COUNTA($A167:$I167)=0,"",IF($A167="","Missing: milestone ID",IF(COUNTIF($A$2:$A$201,$A167)&gt;1,"Duplicate milestone ID",IF(NOT(ISNUMBER($B167)),"Missing: date",IF($C167="","Missing: kind",IF($D167="","Missing: product or campaign ID",IF($E167="","Missing: milestone",IF($F167="","Missing: responsible person",IF($G167="","Missing: status",IF(COUNTIF(Config!$U$15:$U$34,$C167)=0,"Unsupported kind",IF(AND($C167="Product",COUNTIF(Products!$A$2:$A$101,$D167)=0),"Unknown product ID",IF(AND($C167="Campaign",COUNTIF(Marketing!$A$2:$A$101,$D167)=0),"Unknown campaign ID",IF(COUNTIF(Config!$V$15:$V$34,$G167)=0,"Unsupported status","OK")))))))))))))</f>
        <v/>
      </c>
    </row>
    <row r="168">
      <c r="A168" s="46" t="n"/>
      <c r="B168" s="54" t="n"/>
      <c r="C168" s="46" t="n"/>
      <c r="D168" s="46" t="n"/>
      <c r="E168" s="46" t="n"/>
      <c r="F168" s="46" t="n"/>
      <c r="G168" s="46" t="n"/>
      <c r="H168" s="46" t="n"/>
      <c r="I168" s="46" t="n"/>
      <c r="J168" s="49" t="str">
        <f>IF($D168="","",IFERROR(IF($C168="Product",INDEX(Products!$B$2:$B$101,MATCH($D168,Products!$A$2:$A$101,0))&amp;"",IF($C168="Campaign",INDEX(Marketing!$B$2:$B$101,MATCH($D168,Marketing!$A$2:$A$101,0))&amp;"","")),"(not found)"))</f>
        <v/>
      </c>
      <c r="K168" s="49" t="str">
        <f>IF(COUNTA($A168:$I168)=0,"",IF($A168="","Missing: milestone ID",IF(COUNTIF($A$2:$A$201,$A168)&gt;1,"Duplicate milestone ID",IF(NOT(ISNUMBER($B168)),"Missing: date",IF($C168="","Missing: kind",IF($D168="","Missing: product or campaign ID",IF($E168="","Missing: milestone",IF($F168="","Missing: responsible person",IF($G168="","Missing: status",IF(COUNTIF(Config!$U$15:$U$34,$C168)=0,"Unsupported kind",IF(AND($C168="Product",COUNTIF(Products!$A$2:$A$101,$D168)=0),"Unknown product ID",IF(AND($C168="Campaign",COUNTIF(Marketing!$A$2:$A$101,$D168)=0),"Unknown campaign ID",IF(COUNTIF(Config!$V$15:$V$34,$G168)=0,"Unsupported status","OK")))))))))))))</f>
        <v/>
      </c>
    </row>
    <row r="169">
      <c r="A169" s="46" t="n"/>
      <c r="B169" s="54" t="n"/>
      <c r="C169" s="46" t="n"/>
      <c r="D169" s="46" t="n"/>
      <c r="E169" s="46" t="n"/>
      <c r="F169" s="46" t="n"/>
      <c r="G169" s="46" t="n"/>
      <c r="H169" s="46" t="n"/>
      <c r="I169" s="46" t="n"/>
      <c r="J169" s="49" t="str">
        <f>IF($D169="","",IFERROR(IF($C169="Product",INDEX(Products!$B$2:$B$101,MATCH($D169,Products!$A$2:$A$101,0))&amp;"",IF($C169="Campaign",INDEX(Marketing!$B$2:$B$101,MATCH($D169,Marketing!$A$2:$A$101,0))&amp;"","")),"(not found)"))</f>
        <v/>
      </c>
      <c r="K169" s="49" t="str">
        <f>IF(COUNTA($A169:$I169)=0,"",IF($A169="","Missing: milestone ID",IF(COUNTIF($A$2:$A$201,$A169)&gt;1,"Duplicate milestone ID",IF(NOT(ISNUMBER($B169)),"Missing: date",IF($C169="","Missing: kind",IF($D169="","Missing: product or campaign ID",IF($E169="","Missing: milestone",IF($F169="","Missing: responsible person",IF($G169="","Missing: status",IF(COUNTIF(Config!$U$15:$U$34,$C169)=0,"Unsupported kind",IF(AND($C169="Product",COUNTIF(Products!$A$2:$A$101,$D169)=0),"Unknown product ID",IF(AND($C169="Campaign",COUNTIF(Marketing!$A$2:$A$101,$D169)=0),"Unknown campaign ID",IF(COUNTIF(Config!$V$15:$V$34,$G169)=0,"Unsupported status","OK")))))))))))))</f>
        <v/>
      </c>
    </row>
    <row r="170">
      <c r="A170" s="46" t="n"/>
      <c r="B170" s="54" t="n"/>
      <c r="C170" s="46" t="n"/>
      <c r="D170" s="46" t="n"/>
      <c r="E170" s="46" t="n"/>
      <c r="F170" s="46" t="n"/>
      <c r="G170" s="46" t="n"/>
      <c r="H170" s="46" t="n"/>
      <c r="I170" s="46" t="n"/>
      <c r="J170" s="49" t="str">
        <f>IF($D170="","",IFERROR(IF($C170="Product",INDEX(Products!$B$2:$B$101,MATCH($D170,Products!$A$2:$A$101,0))&amp;"",IF($C170="Campaign",INDEX(Marketing!$B$2:$B$101,MATCH($D170,Marketing!$A$2:$A$101,0))&amp;"","")),"(not found)"))</f>
        <v/>
      </c>
      <c r="K170" s="49" t="str">
        <f>IF(COUNTA($A170:$I170)=0,"",IF($A170="","Missing: milestone ID",IF(COUNTIF($A$2:$A$201,$A170)&gt;1,"Duplicate milestone ID",IF(NOT(ISNUMBER($B170)),"Missing: date",IF($C170="","Missing: kind",IF($D170="","Missing: product or campaign ID",IF($E170="","Missing: milestone",IF($F170="","Missing: responsible person",IF($G170="","Missing: status",IF(COUNTIF(Config!$U$15:$U$34,$C170)=0,"Unsupported kind",IF(AND($C170="Product",COUNTIF(Products!$A$2:$A$101,$D170)=0),"Unknown product ID",IF(AND($C170="Campaign",COUNTIF(Marketing!$A$2:$A$101,$D170)=0),"Unknown campaign ID",IF(COUNTIF(Config!$V$15:$V$34,$G170)=0,"Unsupported status","OK")))))))))))))</f>
        <v/>
      </c>
    </row>
    <row r="171">
      <c r="A171" s="46" t="n"/>
      <c r="B171" s="54" t="n"/>
      <c r="C171" s="46" t="n"/>
      <c r="D171" s="46" t="n"/>
      <c r="E171" s="46" t="n"/>
      <c r="F171" s="46" t="n"/>
      <c r="G171" s="46" t="n"/>
      <c r="H171" s="46" t="n"/>
      <c r="I171" s="46" t="n"/>
      <c r="J171" s="49" t="str">
        <f>IF($D171="","",IFERROR(IF($C171="Product",INDEX(Products!$B$2:$B$101,MATCH($D171,Products!$A$2:$A$101,0))&amp;"",IF($C171="Campaign",INDEX(Marketing!$B$2:$B$101,MATCH($D171,Marketing!$A$2:$A$101,0))&amp;"","")),"(not found)"))</f>
        <v/>
      </c>
      <c r="K171" s="49" t="str">
        <f>IF(COUNTA($A171:$I171)=0,"",IF($A171="","Missing: milestone ID",IF(COUNTIF($A$2:$A$201,$A171)&gt;1,"Duplicate milestone ID",IF(NOT(ISNUMBER($B171)),"Missing: date",IF($C171="","Missing: kind",IF($D171="","Missing: product or campaign ID",IF($E171="","Missing: milestone",IF($F171="","Missing: responsible person",IF($G171="","Missing: status",IF(COUNTIF(Config!$U$15:$U$34,$C171)=0,"Unsupported kind",IF(AND($C171="Product",COUNTIF(Products!$A$2:$A$101,$D171)=0),"Unknown product ID",IF(AND($C171="Campaign",COUNTIF(Marketing!$A$2:$A$101,$D171)=0),"Unknown campaign ID",IF(COUNTIF(Config!$V$15:$V$34,$G171)=0,"Unsupported status","OK")))))))))))))</f>
        <v/>
      </c>
    </row>
    <row r="172">
      <c r="A172" s="46" t="n"/>
      <c r="B172" s="54" t="n"/>
      <c r="C172" s="46" t="n"/>
      <c r="D172" s="46" t="n"/>
      <c r="E172" s="46" t="n"/>
      <c r="F172" s="46" t="n"/>
      <c r="G172" s="46" t="n"/>
      <c r="H172" s="46" t="n"/>
      <c r="I172" s="46" t="n"/>
      <c r="J172" s="49" t="str">
        <f>IF($D172="","",IFERROR(IF($C172="Product",INDEX(Products!$B$2:$B$101,MATCH($D172,Products!$A$2:$A$101,0))&amp;"",IF($C172="Campaign",INDEX(Marketing!$B$2:$B$101,MATCH($D172,Marketing!$A$2:$A$101,0))&amp;"","")),"(not found)"))</f>
        <v/>
      </c>
      <c r="K172" s="49" t="str">
        <f>IF(COUNTA($A172:$I172)=0,"",IF($A172="","Missing: milestone ID",IF(COUNTIF($A$2:$A$201,$A172)&gt;1,"Duplicate milestone ID",IF(NOT(ISNUMBER($B172)),"Missing: date",IF($C172="","Missing: kind",IF($D172="","Missing: product or campaign ID",IF($E172="","Missing: milestone",IF($F172="","Missing: responsible person",IF($G172="","Missing: status",IF(COUNTIF(Config!$U$15:$U$34,$C172)=0,"Unsupported kind",IF(AND($C172="Product",COUNTIF(Products!$A$2:$A$101,$D172)=0),"Unknown product ID",IF(AND($C172="Campaign",COUNTIF(Marketing!$A$2:$A$101,$D172)=0),"Unknown campaign ID",IF(COUNTIF(Config!$V$15:$V$34,$G172)=0,"Unsupported status","OK")))))))))))))</f>
        <v/>
      </c>
    </row>
    <row r="173">
      <c r="A173" s="46" t="n"/>
      <c r="B173" s="54" t="n"/>
      <c r="C173" s="46" t="n"/>
      <c r="D173" s="46" t="n"/>
      <c r="E173" s="46" t="n"/>
      <c r="F173" s="46" t="n"/>
      <c r="G173" s="46" t="n"/>
      <c r="H173" s="46" t="n"/>
      <c r="I173" s="46" t="n"/>
      <c r="J173" s="49" t="str">
        <f>IF($D173="","",IFERROR(IF($C173="Product",INDEX(Products!$B$2:$B$101,MATCH($D173,Products!$A$2:$A$101,0))&amp;"",IF($C173="Campaign",INDEX(Marketing!$B$2:$B$101,MATCH($D173,Marketing!$A$2:$A$101,0))&amp;"","")),"(not found)"))</f>
        <v/>
      </c>
      <c r="K173" s="49" t="str">
        <f>IF(COUNTA($A173:$I173)=0,"",IF($A173="","Missing: milestone ID",IF(COUNTIF($A$2:$A$201,$A173)&gt;1,"Duplicate milestone ID",IF(NOT(ISNUMBER($B173)),"Missing: date",IF($C173="","Missing: kind",IF($D173="","Missing: product or campaign ID",IF($E173="","Missing: milestone",IF($F173="","Missing: responsible person",IF($G173="","Missing: status",IF(COUNTIF(Config!$U$15:$U$34,$C173)=0,"Unsupported kind",IF(AND($C173="Product",COUNTIF(Products!$A$2:$A$101,$D173)=0),"Unknown product ID",IF(AND($C173="Campaign",COUNTIF(Marketing!$A$2:$A$101,$D173)=0),"Unknown campaign ID",IF(COUNTIF(Config!$V$15:$V$34,$G173)=0,"Unsupported status","OK")))))))))))))</f>
        <v/>
      </c>
    </row>
    <row r="174">
      <c r="A174" s="46" t="n"/>
      <c r="B174" s="54" t="n"/>
      <c r="C174" s="46" t="n"/>
      <c r="D174" s="46" t="n"/>
      <c r="E174" s="46" t="n"/>
      <c r="F174" s="46" t="n"/>
      <c r="G174" s="46" t="n"/>
      <c r="H174" s="46" t="n"/>
      <c r="I174" s="46" t="n"/>
      <c r="J174" s="49" t="str">
        <f>IF($D174="","",IFERROR(IF($C174="Product",INDEX(Products!$B$2:$B$101,MATCH($D174,Products!$A$2:$A$101,0))&amp;"",IF($C174="Campaign",INDEX(Marketing!$B$2:$B$101,MATCH($D174,Marketing!$A$2:$A$101,0))&amp;"","")),"(not found)"))</f>
        <v/>
      </c>
      <c r="K174" s="49" t="str">
        <f>IF(COUNTA($A174:$I174)=0,"",IF($A174="","Missing: milestone ID",IF(COUNTIF($A$2:$A$201,$A174)&gt;1,"Duplicate milestone ID",IF(NOT(ISNUMBER($B174)),"Missing: date",IF($C174="","Missing: kind",IF($D174="","Missing: product or campaign ID",IF($E174="","Missing: milestone",IF($F174="","Missing: responsible person",IF($G174="","Missing: status",IF(COUNTIF(Config!$U$15:$U$34,$C174)=0,"Unsupported kind",IF(AND($C174="Product",COUNTIF(Products!$A$2:$A$101,$D174)=0),"Unknown product ID",IF(AND($C174="Campaign",COUNTIF(Marketing!$A$2:$A$101,$D174)=0),"Unknown campaign ID",IF(COUNTIF(Config!$V$15:$V$34,$G174)=0,"Unsupported status","OK")))))))))))))</f>
        <v/>
      </c>
    </row>
    <row r="175">
      <c r="A175" s="46" t="n"/>
      <c r="B175" s="54" t="n"/>
      <c r="C175" s="46" t="n"/>
      <c r="D175" s="46" t="n"/>
      <c r="E175" s="46" t="n"/>
      <c r="F175" s="46" t="n"/>
      <c r="G175" s="46" t="n"/>
      <c r="H175" s="46" t="n"/>
      <c r="I175" s="46" t="n"/>
      <c r="J175" s="49" t="str">
        <f>IF($D175="","",IFERROR(IF($C175="Product",INDEX(Products!$B$2:$B$101,MATCH($D175,Products!$A$2:$A$101,0))&amp;"",IF($C175="Campaign",INDEX(Marketing!$B$2:$B$101,MATCH($D175,Marketing!$A$2:$A$101,0))&amp;"","")),"(not found)"))</f>
        <v/>
      </c>
      <c r="K175" s="49" t="str">
        <f>IF(COUNTA($A175:$I175)=0,"",IF($A175="","Missing: milestone ID",IF(COUNTIF($A$2:$A$201,$A175)&gt;1,"Duplicate milestone ID",IF(NOT(ISNUMBER($B175)),"Missing: date",IF($C175="","Missing: kind",IF($D175="","Missing: product or campaign ID",IF($E175="","Missing: milestone",IF($F175="","Missing: responsible person",IF($G175="","Missing: status",IF(COUNTIF(Config!$U$15:$U$34,$C175)=0,"Unsupported kind",IF(AND($C175="Product",COUNTIF(Products!$A$2:$A$101,$D175)=0),"Unknown product ID",IF(AND($C175="Campaign",COUNTIF(Marketing!$A$2:$A$101,$D175)=0),"Unknown campaign ID",IF(COUNTIF(Config!$V$15:$V$34,$G175)=0,"Unsupported status","OK")))))))))))))</f>
        <v/>
      </c>
    </row>
    <row r="176">
      <c r="A176" s="46" t="n"/>
      <c r="B176" s="54" t="n"/>
      <c r="C176" s="46" t="n"/>
      <c r="D176" s="46" t="n"/>
      <c r="E176" s="46" t="n"/>
      <c r="F176" s="46" t="n"/>
      <c r="G176" s="46" t="n"/>
      <c r="H176" s="46" t="n"/>
      <c r="I176" s="46" t="n"/>
      <c r="J176" s="49" t="str">
        <f>IF($D176="","",IFERROR(IF($C176="Product",INDEX(Products!$B$2:$B$101,MATCH($D176,Products!$A$2:$A$101,0))&amp;"",IF($C176="Campaign",INDEX(Marketing!$B$2:$B$101,MATCH($D176,Marketing!$A$2:$A$101,0))&amp;"","")),"(not found)"))</f>
        <v/>
      </c>
      <c r="K176" s="49" t="str">
        <f>IF(COUNTA($A176:$I176)=0,"",IF($A176="","Missing: milestone ID",IF(COUNTIF($A$2:$A$201,$A176)&gt;1,"Duplicate milestone ID",IF(NOT(ISNUMBER($B176)),"Missing: date",IF($C176="","Missing: kind",IF($D176="","Missing: product or campaign ID",IF($E176="","Missing: milestone",IF($F176="","Missing: responsible person",IF($G176="","Missing: status",IF(COUNTIF(Config!$U$15:$U$34,$C176)=0,"Unsupported kind",IF(AND($C176="Product",COUNTIF(Products!$A$2:$A$101,$D176)=0),"Unknown product ID",IF(AND($C176="Campaign",COUNTIF(Marketing!$A$2:$A$101,$D176)=0),"Unknown campaign ID",IF(COUNTIF(Config!$V$15:$V$34,$G176)=0,"Unsupported status","OK")))))))))))))</f>
        <v/>
      </c>
    </row>
    <row r="177">
      <c r="A177" s="46" t="n"/>
      <c r="B177" s="54" t="n"/>
      <c r="C177" s="46" t="n"/>
      <c r="D177" s="46" t="n"/>
      <c r="E177" s="46" t="n"/>
      <c r="F177" s="46" t="n"/>
      <c r="G177" s="46" t="n"/>
      <c r="H177" s="46" t="n"/>
      <c r="I177" s="46" t="n"/>
      <c r="J177" s="49" t="str">
        <f>IF($D177="","",IFERROR(IF($C177="Product",INDEX(Products!$B$2:$B$101,MATCH($D177,Products!$A$2:$A$101,0))&amp;"",IF($C177="Campaign",INDEX(Marketing!$B$2:$B$101,MATCH($D177,Marketing!$A$2:$A$101,0))&amp;"","")),"(not found)"))</f>
        <v/>
      </c>
      <c r="K177" s="49" t="str">
        <f>IF(COUNTA($A177:$I177)=0,"",IF($A177="","Missing: milestone ID",IF(COUNTIF($A$2:$A$201,$A177)&gt;1,"Duplicate milestone ID",IF(NOT(ISNUMBER($B177)),"Missing: date",IF($C177="","Missing: kind",IF($D177="","Missing: product or campaign ID",IF($E177="","Missing: milestone",IF($F177="","Missing: responsible person",IF($G177="","Missing: status",IF(COUNTIF(Config!$U$15:$U$34,$C177)=0,"Unsupported kind",IF(AND($C177="Product",COUNTIF(Products!$A$2:$A$101,$D177)=0),"Unknown product ID",IF(AND($C177="Campaign",COUNTIF(Marketing!$A$2:$A$101,$D177)=0),"Unknown campaign ID",IF(COUNTIF(Config!$V$15:$V$34,$G177)=0,"Unsupported status","OK")))))))))))))</f>
        <v/>
      </c>
    </row>
    <row r="178">
      <c r="A178" s="46" t="n"/>
      <c r="B178" s="54" t="n"/>
      <c r="C178" s="46" t="n"/>
      <c r="D178" s="46" t="n"/>
      <c r="E178" s="46" t="n"/>
      <c r="F178" s="46" t="n"/>
      <c r="G178" s="46" t="n"/>
      <c r="H178" s="46" t="n"/>
      <c r="I178" s="46" t="n"/>
      <c r="J178" s="49" t="str">
        <f>IF($D178="","",IFERROR(IF($C178="Product",INDEX(Products!$B$2:$B$101,MATCH($D178,Products!$A$2:$A$101,0))&amp;"",IF($C178="Campaign",INDEX(Marketing!$B$2:$B$101,MATCH($D178,Marketing!$A$2:$A$101,0))&amp;"","")),"(not found)"))</f>
        <v/>
      </c>
      <c r="K178" s="49" t="str">
        <f>IF(COUNTA($A178:$I178)=0,"",IF($A178="","Missing: milestone ID",IF(COUNTIF($A$2:$A$201,$A178)&gt;1,"Duplicate milestone ID",IF(NOT(ISNUMBER($B178)),"Missing: date",IF($C178="","Missing: kind",IF($D178="","Missing: product or campaign ID",IF($E178="","Missing: milestone",IF($F178="","Missing: responsible person",IF($G178="","Missing: status",IF(COUNTIF(Config!$U$15:$U$34,$C178)=0,"Unsupported kind",IF(AND($C178="Product",COUNTIF(Products!$A$2:$A$101,$D178)=0),"Unknown product ID",IF(AND($C178="Campaign",COUNTIF(Marketing!$A$2:$A$101,$D178)=0),"Unknown campaign ID",IF(COUNTIF(Config!$V$15:$V$34,$G178)=0,"Unsupported status","OK")))))))))))))</f>
        <v/>
      </c>
    </row>
    <row r="179">
      <c r="A179" s="46" t="n"/>
      <c r="B179" s="54" t="n"/>
      <c r="C179" s="46" t="n"/>
      <c r="D179" s="46" t="n"/>
      <c r="E179" s="46" t="n"/>
      <c r="F179" s="46" t="n"/>
      <c r="G179" s="46" t="n"/>
      <c r="H179" s="46" t="n"/>
      <c r="I179" s="46" t="n"/>
      <c r="J179" s="49" t="str">
        <f>IF($D179="","",IFERROR(IF($C179="Product",INDEX(Products!$B$2:$B$101,MATCH($D179,Products!$A$2:$A$101,0))&amp;"",IF($C179="Campaign",INDEX(Marketing!$B$2:$B$101,MATCH($D179,Marketing!$A$2:$A$101,0))&amp;"","")),"(not found)"))</f>
        <v/>
      </c>
      <c r="K179" s="49" t="str">
        <f>IF(COUNTA($A179:$I179)=0,"",IF($A179="","Missing: milestone ID",IF(COUNTIF($A$2:$A$201,$A179)&gt;1,"Duplicate milestone ID",IF(NOT(ISNUMBER($B179)),"Missing: date",IF($C179="","Missing: kind",IF($D179="","Missing: product or campaign ID",IF($E179="","Missing: milestone",IF($F179="","Missing: responsible person",IF($G179="","Missing: status",IF(COUNTIF(Config!$U$15:$U$34,$C179)=0,"Unsupported kind",IF(AND($C179="Product",COUNTIF(Products!$A$2:$A$101,$D179)=0),"Unknown product ID",IF(AND($C179="Campaign",COUNTIF(Marketing!$A$2:$A$101,$D179)=0),"Unknown campaign ID",IF(COUNTIF(Config!$V$15:$V$34,$G179)=0,"Unsupported status","OK")))))))))))))</f>
        <v/>
      </c>
    </row>
    <row r="180">
      <c r="A180" s="46" t="n"/>
      <c r="B180" s="54" t="n"/>
      <c r="C180" s="46" t="n"/>
      <c r="D180" s="46" t="n"/>
      <c r="E180" s="46" t="n"/>
      <c r="F180" s="46" t="n"/>
      <c r="G180" s="46" t="n"/>
      <c r="H180" s="46" t="n"/>
      <c r="I180" s="46" t="n"/>
      <c r="J180" s="49" t="str">
        <f>IF($D180="","",IFERROR(IF($C180="Product",INDEX(Products!$B$2:$B$101,MATCH($D180,Products!$A$2:$A$101,0))&amp;"",IF($C180="Campaign",INDEX(Marketing!$B$2:$B$101,MATCH($D180,Marketing!$A$2:$A$101,0))&amp;"","")),"(not found)"))</f>
        <v/>
      </c>
      <c r="K180" s="49" t="str">
        <f>IF(COUNTA($A180:$I180)=0,"",IF($A180="","Missing: milestone ID",IF(COUNTIF($A$2:$A$201,$A180)&gt;1,"Duplicate milestone ID",IF(NOT(ISNUMBER($B180)),"Missing: date",IF($C180="","Missing: kind",IF($D180="","Missing: product or campaign ID",IF($E180="","Missing: milestone",IF($F180="","Missing: responsible person",IF($G180="","Missing: status",IF(COUNTIF(Config!$U$15:$U$34,$C180)=0,"Unsupported kind",IF(AND($C180="Product",COUNTIF(Products!$A$2:$A$101,$D180)=0),"Unknown product ID",IF(AND($C180="Campaign",COUNTIF(Marketing!$A$2:$A$101,$D180)=0),"Unknown campaign ID",IF(COUNTIF(Config!$V$15:$V$34,$G180)=0,"Unsupported status","OK")))))))))))))</f>
        <v/>
      </c>
    </row>
    <row r="181">
      <c r="A181" s="46" t="n"/>
      <c r="B181" s="54" t="n"/>
      <c r="C181" s="46" t="n"/>
      <c r="D181" s="46" t="n"/>
      <c r="E181" s="46" t="n"/>
      <c r="F181" s="46" t="n"/>
      <c r="G181" s="46" t="n"/>
      <c r="H181" s="46" t="n"/>
      <c r="I181" s="46" t="n"/>
      <c r="J181" s="49" t="str">
        <f>IF($D181="","",IFERROR(IF($C181="Product",INDEX(Products!$B$2:$B$101,MATCH($D181,Products!$A$2:$A$101,0))&amp;"",IF($C181="Campaign",INDEX(Marketing!$B$2:$B$101,MATCH($D181,Marketing!$A$2:$A$101,0))&amp;"","")),"(not found)"))</f>
        <v/>
      </c>
      <c r="K181" s="49" t="str">
        <f>IF(COUNTA($A181:$I181)=0,"",IF($A181="","Missing: milestone ID",IF(COUNTIF($A$2:$A$201,$A181)&gt;1,"Duplicate milestone ID",IF(NOT(ISNUMBER($B181)),"Missing: date",IF($C181="","Missing: kind",IF($D181="","Missing: product or campaign ID",IF($E181="","Missing: milestone",IF($F181="","Missing: responsible person",IF($G181="","Missing: status",IF(COUNTIF(Config!$U$15:$U$34,$C181)=0,"Unsupported kind",IF(AND($C181="Product",COUNTIF(Products!$A$2:$A$101,$D181)=0),"Unknown product ID",IF(AND($C181="Campaign",COUNTIF(Marketing!$A$2:$A$101,$D181)=0),"Unknown campaign ID",IF(COUNTIF(Config!$V$15:$V$34,$G181)=0,"Unsupported status","OK")))))))))))))</f>
        <v/>
      </c>
    </row>
    <row r="182">
      <c r="A182" s="46" t="n"/>
      <c r="B182" s="54" t="n"/>
      <c r="C182" s="46" t="n"/>
      <c r="D182" s="46" t="n"/>
      <c r="E182" s="46" t="n"/>
      <c r="F182" s="46" t="n"/>
      <c r="G182" s="46" t="n"/>
      <c r="H182" s="46" t="n"/>
      <c r="I182" s="46" t="n"/>
      <c r="J182" s="49" t="str">
        <f>IF($D182="","",IFERROR(IF($C182="Product",INDEX(Products!$B$2:$B$101,MATCH($D182,Products!$A$2:$A$101,0))&amp;"",IF($C182="Campaign",INDEX(Marketing!$B$2:$B$101,MATCH($D182,Marketing!$A$2:$A$101,0))&amp;"","")),"(not found)"))</f>
        <v/>
      </c>
      <c r="K182" s="49" t="str">
        <f>IF(COUNTA($A182:$I182)=0,"",IF($A182="","Missing: milestone ID",IF(COUNTIF($A$2:$A$201,$A182)&gt;1,"Duplicate milestone ID",IF(NOT(ISNUMBER($B182)),"Missing: date",IF($C182="","Missing: kind",IF($D182="","Missing: product or campaign ID",IF($E182="","Missing: milestone",IF($F182="","Missing: responsible person",IF($G182="","Missing: status",IF(COUNTIF(Config!$U$15:$U$34,$C182)=0,"Unsupported kind",IF(AND($C182="Product",COUNTIF(Products!$A$2:$A$101,$D182)=0),"Unknown product ID",IF(AND($C182="Campaign",COUNTIF(Marketing!$A$2:$A$101,$D182)=0),"Unknown campaign ID",IF(COUNTIF(Config!$V$15:$V$34,$G182)=0,"Unsupported status","OK")))))))))))))</f>
        <v/>
      </c>
    </row>
    <row r="183">
      <c r="A183" s="46" t="n"/>
      <c r="B183" s="54" t="n"/>
      <c r="C183" s="46" t="n"/>
      <c r="D183" s="46" t="n"/>
      <c r="E183" s="46" t="n"/>
      <c r="F183" s="46" t="n"/>
      <c r="G183" s="46" t="n"/>
      <c r="H183" s="46" t="n"/>
      <c r="I183" s="46" t="n"/>
      <c r="J183" s="49" t="str">
        <f>IF($D183="","",IFERROR(IF($C183="Product",INDEX(Products!$B$2:$B$101,MATCH($D183,Products!$A$2:$A$101,0))&amp;"",IF($C183="Campaign",INDEX(Marketing!$B$2:$B$101,MATCH($D183,Marketing!$A$2:$A$101,0))&amp;"","")),"(not found)"))</f>
        <v/>
      </c>
      <c r="K183" s="49" t="str">
        <f>IF(COUNTA($A183:$I183)=0,"",IF($A183="","Missing: milestone ID",IF(COUNTIF($A$2:$A$201,$A183)&gt;1,"Duplicate milestone ID",IF(NOT(ISNUMBER($B183)),"Missing: date",IF($C183="","Missing: kind",IF($D183="","Missing: product or campaign ID",IF($E183="","Missing: milestone",IF($F183="","Missing: responsible person",IF($G183="","Missing: status",IF(COUNTIF(Config!$U$15:$U$34,$C183)=0,"Unsupported kind",IF(AND($C183="Product",COUNTIF(Products!$A$2:$A$101,$D183)=0),"Unknown product ID",IF(AND($C183="Campaign",COUNTIF(Marketing!$A$2:$A$101,$D183)=0),"Unknown campaign ID",IF(COUNTIF(Config!$V$15:$V$34,$G183)=0,"Unsupported status","OK")))))))))))))</f>
        <v/>
      </c>
    </row>
    <row r="184">
      <c r="A184" s="46" t="n"/>
      <c r="B184" s="54" t="n"/>
      <c r="C184" s="46" t="n"/>
      <c r="D184" s="46" t="n"/>
      <c r="E184" s="46" t="n"/>
      <c r="F184" s="46" t="n"/>
      <c r="G184" s="46" t="n"/>
      <c r="H184" s="46" t="n"/>
      <c r="I184" s="46" t="n"/>
      <c r="J184" s="49" t="str">
        <f>IF($D184="","",IFERROR(IF($C184="Product",INDEX(Products!$B$2:$B$101,MATCH($D184,Products!$A$2:$A$101,0))&amp;"",IF($C184="Campaign",INDEX(Marketing!$B$2:$B$101,MATCH($D184,Marketing!$A$2:$A$101,0))&amp;"","")),"(not found)"))</f>
        <v/>
      </c>
      <c r="K184" s="49" t="str">
        <f>IF(COUNTA($A184:$I184)=0,"",IF($A184="","Missing: milestone ID",IF(COUNTIF($A$2:$A$201,$A184)&gt;1,"Duplicate milestone ID",IF(NOT(ISNUMBER($B184)),"Missing: date",IF($C184="","Missing: kind",IF($D184="","Missing: product or campaign ID",IF($E184="","Missing: milestone",IF($F184="","Missing: responsible person",IF($G184="","Missing: status",IF(COUNTIF(Config!$U$15:$U$34,$C184)=0,"Unsupported kind",IF(AND($C184="Product",COUNTIF(Products!$A$2:$A$101,$D184)=0),"Unknown product ID",IF(AND($C184="Campaign",COUNTIF(Marketing!$A$2:$A$101,$D184)=0),"Unknown campaign ID",IF(COUNTIF(Config!$V$15:$V$34,$G184)=0,"Unsupported status","OK")))))))))))))</f>
        <v/>
      </c>
    </row>
    <row r="185">
      <c r="A185" s="46" t="n"/>
      <c r="B185" s="54" t="n"/>
      <c r="C185" s="46" t="n"/>
      <c r="D185" s="46" t="n"/>
      <c r="E185" s="46" t="n"/>
      <c r="F185" s="46" t="n"/>
      <c r="G185" s="46" t="n"/>
      <c r="H185" s="46" t="n"/>
      <c r="I185" s="46" t="n"/>
      <c r="J185" s="49" t="str">
        <f>IF($D185="","",IFERROR(IF($C185="Product",INDEX(Products!$B$2:$B$101,MATCH($D185,Products!$A$2:$A$101,0))&amp;"",IF($C185="Campaign",INDEX(Marketing!$B$2:$B$101,MATCH($D185,Marketing!$A$2:$A$101,0))&amp;"","")),"(not found)"))</f>
        <v/>
      </c>
      <c r="K185" s="49" t="str">
        <f>IF(COUNTA($A185:$I185)=0,"",IF($A185="","Missing: milestone ID",IF(COUNTIF($A$2:$A$201,$A185)&gt;1,"Duplicate milestone ID",IF(NOT(ISNUMBER($B185)),"Missing: date",IF($C185="","Missing: kind",IF($D185="","Missing: product or campaign ID",IF($E185="","Missing: milestone",IF($F185="","Missing: responsible person",IF($G185="","Missing: status",IF(COUNTIF(Config!$U$15:$U$34,$C185)=0,"Unsupported kind",IF(AND($C185="Product",COUNTIF(Products!$A$2:$A$101,$D185)=0),"Unknown product ID",IF(AND($C185="Campaign",COUNTIF(Marketing!$A$2:$A$101,$D185)=0),"Unknown campaign ID",IF(COUNTIF(Config!$V$15:$V$34,$G185)=0,"Unsupported status","OK")))))))))))))</f>
        <v/>
      </c>
    </row>
    <row r="186">
      <c r="A186" s="46" t="n"/>
      <c r="B186" s="54" t="n"/>
      <c r="C186" s="46" t="n"/>
      <c r="D186" s="46" t="n"/>
      <c r="E186" s="46" t="n"/>
      <c r="F186" s="46" t="n"/>
      <c r="G186" s="46" t="n"/>
      <c r="H186" s="46" t="n"/>
      <c r="I186" s="46" t="n"/>
      <c r="J186" s="49" t="str">
        <f>IF($D186="","",IFERROR(IF($C186="Product",INDEX(Products!$B$2:$B$101,MATCH($D186,Products!$A$2:$A$101,0))&amp;"",IF($C186="Campaign",INDEX(Marketing!$B$2:$B$101,MATCH($D186,Marketing!$A$2:$A$101,0))&amp;"","")),"(not found)"))</f>
        <v/>
      </c>
      <c r="K186" s="49" t="str">
        <f>IF(COUNTA($A186:$I186)=0,"",IF($A186="","Missing: milestone ID",IF(COUNTIF($A$2:$A$201,$A186)&gt;1,"Duplicate milestone ID",IF(NOT(ISNUMBER($B186)),"Missing: date",IF($C186="","Missing: kind",IF($D186="","Missing: product or campaign ID",IF($E186="","Missing: milestone",IF($F186="","Missing: responsible person",IF($G186="","Missing: status",IF(COUNTIF(Config!$U$15:$U$34,$C186)=0,"Unsupported kind",IF(AND($C186="Product",COUNTIF(Products!$A$2:$A$101,$D186)=0),"Unknown product ID",IF(AND($C186="Campaign",COUNTIF(Marketing!$A$2:$A$101,$D186)=0),"Unknown campaign ID",IF(COUNTIF(Config!$V$15:$V$34,$G186)=0,"Unsupported status","OK")))))))))))))</f>
        <v/>
      </c>
    </row>
    <row r="187">
      <c r="A187" s="46" t="n"/>
      <c r="B187" s="54" t="n"/>
      <c r="C187" s="46" t="n"/>
      <c r="D187" s="46" t="n"/>
      <c r="E187" s="46" t="n"/>
      <c r="F187" s="46" t="n"/>
      <c r="G187" s="46" t="n"/>
      <c r="H187" s="46" t="n"/>
      <c r="I187" s="46" t="n"/>
      <c r="J187" s="49" t="str">
        <f>IF($D187="","",IFERROR(IF($C187="Product",INDEX(Products!$B$2:$B$101,MATCH($D187,Products!$A$2:$A$101,0))&amp;"",IF($C187="Campaign",INDEX(Marketing!$B$2:$B$101,MATCH($D187,Marketing!$A$2:$A$101,0))&amp;"","")),"(not found)"))</f>
        <v/>
      </c>
      <c r="K187" s="49" t="str">
        <f>IF(COUNTA($A187:$I187)=0,"",IF($A187="","Missing: milestone ID",IF(COUNTIF($A$2:$A$201,$A187)&gt;1,"Duplicate milestone ID",IF(NOT(ISNUMBER($B187)),"Missing: date",IF($C187="","Missing: kind",IF($D187="","Missing: product or campaign ID",IF($E187="","Missing: milestone",IF($F187="","Missing: responsible person",IF($G187="","Missing: status",IF(COUNTIF(Config!$U$15:$U$34,$C187)=0,"Unsupported kind",IF(AND($C187="Product",COUNTIF(Products!$A$2:$A$101,$D187)=0),"Unknown product ID",IF(AND($C187="Campaign",COUNTIF(Marketing!$A$2:$A$101,$D187)=0),"Unknown campaign ID",IF(COUNTIF(Config!$V$15:$V$34,$G187)=0,"Unsupported status","OK")))))))))))))</f>
        <v/>
      </c>
    </row>
    <row r="188">
      <c r="A188" s="46" t="n"/>
      <c r="B188" s="54" t="n"/>
      <c r="C188" s="46" t="n"/>
      <c r="D188" s="46" t="n"/>
      <c r="E188" s="46" t="n"/>
      <c r="F188" s="46" t="n"/>
      <c r="G188" s="46" t="n"/>
      <c r="H188" s="46" t="n"/>
      <c r="I188" s="46" t="n"/>
      <c r="J188" s="49" t="str">
        <f>IF($D188="","",IFERROR(IF($C188="Product",INDEX(Products!$B$2:$B$101,MATCH($D188,Products!$A$2:$A$101,0))&amp;"",IF($C188="Campaign",INDEX(Marketing!$B$2:$B$101,MATCH($D188,Marketing!$A$2:$A$101,0))&amp;"","")),"(not found)"))</f>
        <v/>
      </c>
      <c r="K188" s="49" t="str">
        <f>IF(COUNTA($A188:$I188)=0,"",IF($A188="","Missing: milestone ID",IF(COUNTIF($A$2:$A$201,$A188)&gt;1,"Duplicate milestone ID",IF(NOT(ISNUMBER($B188)),"Missing: date",IF($C188="","Missing: kind",IF($D188="","Missing: product or campaign ID",IF($E188="","Missing: milestone",IF($F188="","Missing: responsible person",IF($G188="","Missing: status",IF(COUNTIF(Config!$U$15:$U$34,$C188)=0,"Unsupported kind",IF(AND($C188="Product",COUNTIF(Products!$A$2:$A$101,$D188)=0),"Unknown product ID",IF(AND($C188="Campaign",COUNTIF(Marketing!$A$2:$A$101,$D188)=0),"Unknown campaign ID",IF(COUNTIF(Config!$V$15:$V$34,$G188)=0,"Unsupported status","OK")))))))))))))</f>
        <v/>
      </c>
    </row>
    <row r="189">
      <c r="A189" s="46" t="n"/>
      <c r="B189" s="54" t="n"/>
      <c r="C189" s="46" t="n"/>
      <c r="D189" s="46" t="n"/>
      <c r="E189" s="46" t="n"/>
      <c r="F189" s="46" t="n"/>
      <c r="G189" s="46" t="n"/>
      <c r="H189" s="46" t="n"/>
      <c r="I189" s="46" t="n"/>
      <c r="J189" s="49" t="str">
        <f>IF($D189="","",IFERROR(IF($C189="Product",INDEX(Products!$B$2:$B$101,MATCH($D189,Products!$A$2:$A$101,0))&amp;"",IF($C189="Campaign",INDEX(Marketing!$B$2:$B$101,MATCH($D189,Marketing!$A$2:$A$101,0))&amp;"","")),"(not found)"))</f>
        <v/>
      </c>
      <c r="K189" s="49" t="str">
        <f>IF(COUNTA($A189:$I189)=0,"",IF($A189="","Missing: milestone ID",IF(COUNTIF($A$2:$A$201,$A189)&gt;1,"Duplicate milestone ID",IF(NOT(ISNUMBER($B189)),"Missing: date",IF($C189="","Missing: kind",IF($D189="","Missing: product or campaign ID",IF($E189="","Missing: milestone",IF($F189="","Missing: responsible person",IF($G189="","Missing: status",IF(COUNTIF(Config!$U$15:$U$34,$C189)=0,"Unsupported kind",IF(AND($C189="Product",COUNTIF(Products!$A$2:$A$101,$D189)=0),"Unknown product ID",IF(AND($C189="Campaign",COUNTIF(Marketing!$A$2:$A$101,$D189)=0),"Unknown campaign ID",IF(COUNTIF(Config!$V$15:$V$34,$G189)=0,"Unsupported status","OK")))))))))))))</f>
        <v/>
      </c>
    </row>
    <row r="190">
      <c r="A190" s="46" t="n"/>
      <c r="B190" s="54" t="n"/>
      <c r="C190" s="46" t="n"/>
      <c r="D190" s="46" t="n"/>
      <c r="E190" s="46" t="n"/>
      <c r="F190" s="46" t="n"/>
      <c r="G190" s="46" t="n"/>
      <c r="H190" s="46" t="n"/>
      <c r="I190" s="46" t="n"/>
      <c r="J190" s="49" t="str">
        <f>IF($D190="","",IFERROR(IF($C190="Product",INDEX(Products!$B$2:$B$101,MATCH($D190,Products!$A$2:$A$101,0))&amp;"",IF($C190="Campaign",INDEX(Marketing!$B$2:$B$101,MATCH($D190,Marketing!$A$2:$A$101,0))&amp;"","")),"(not found)"))</f>
        <v/>
      </c>
      <c r="K190" s="49" t="str">
        <f>IF(COUNTA($A190:$I190)=0,"",IF($A190="","Missing: milestone ID",IF(COUNTIF($A$2:$A$201,$A190)&gt;1,"Duplicate milestone ID",IF(NOT(ISNUMBER($B190)),"Missing: date",IF($C190="","Missing: kind",IF($D190="","Missing: product or campaign ID",IF($E190="","Missing: milestone",IF($F190="","Missing: responsible person",IF($G190="","Missing: status",IF(COUNTIF(Config!$U$15:$U$34,$C190)=0,"Unsupported kind",IF(AND($C190="Product",COUNTIF(Products!$A$2:$A$101,$D190)=0),"Unknown product ID",IF(AND($C190="Campaign",COUNTIF(Marketing!$A$2:$A$101,$D190)=0),"Unknown campaign ID",IF(COUNTIF(Config!$V$15:$V$34,$G190)=0,"Unsupported status","OK")))))))))))))</f>
        <v/>
      </c>
    </row>
    <row r="191">
      <c r="A191" s="46" t="n"/>
      <c r="B191" s="54" t="n"/>
      <c r="C191" s="46" t="n"/>
      <c r="D191" s="46" t="n"/>
      <c r="E191" s="46" t="n"/>
      <c r="F191" s="46" t="n"/>
      <c r="G191" s="46" t="n"/>
      <c r="H191" s="46" t="n"/>
      <c r="I191" s="46" t="n"/>
      <c r="J191" s="49" t="str">
        <f>IF($D191="","",IFERROR(IF($C191="Product",INDEX(Products!$B$2:$B$101,MATCH($D191,Products!$A$2:$A$101,0))&amp;"",IF($C191="Campaign",INDEX(Marketing!$B$2:$B$101,MATCH($D191,Marketing!$A$2:$A$101,0))&amp;"","")),"(not found)"))</f>
        <v/>
      </c>
      <c r="K191" s="49" t="str">
        <f>IF(COUNTA($A191:$I191)=0,"",IF($A191="","Missing: milestone ID",IF(COUNTIF($A$2:$A$201,$A191)&gt;1,"Duplicate milestone ID",IF(NOT(ISNUMBER($B191)),"Missing: date",IF($C191="","Missing: kind",IF($D191="","Missing: product or campaign ID",IF($E191="","Missing: milestone",IF($F191="","Missing: responsible person",IF($G191="","Missing: status",IF(COUNTIF(Config!$U$15:$U$34,$C191)=0,"Unsupported kind",IF(AND($C191="Product",COUNTIF(Products!$A$2:$A$101,$D191)=0),"Unknown product ID",IF(AND($C191="Campaign",COUNTIF(Marketing!$A$2:$A$101,$D191)=0),"Unknown campaign ID",IF(COUNTIF(Config!$V$15:$V$34,$G191)=0,"Unsupported status","OK")))))))))))))</f>
        <v/>
      </c>
    </row>
    <row r="192">
      <c r="A192" s="46" t="n"/>
      <c r="B192" s="54" t="n"/>
      <c r="C192" s="46" t="n"/>
      <c r="D192" s="46" t="n"/>
      <c r="E192" s="46" t="n"/>
      <c r="F192" s="46" t="n"/>
      <c r="G192" s="46" t="n"/>
      <c r="H192" s="46" t="n"/>
      <c r="I192" s="46" t="n"/>
      <c r="J192" s="49" t="str">
        <f>IF($D192="","",IFERROR(IF($C192="Product",INDEX(Products!$B$2:$B$101,MATCH($D192,Products!$A$2:$A$101,0))&amp;"",IF($C192="Campaign",INDEX(Marketing!$B$2:$B$101,MATCH($D192,Marketing!$A$2:$A$101,0))&amp;"","")),"(not found)"))</f>
        <v/>
      </c>
      <c r="K192" s="49" t="str">
        <f>IF(COUNTA($A192:$I192)=0,"",IF($A192="","Missing: milestone ID",IF(COUNTIF($A$2:$A$201,$A192)&gt;1,"Duplicate milestone ID",IF(NOT(ISNUMBER($B192)),"Missing: date",IF($C192="","Missing: kind",IF($D192="","Missing: product or campaign ID",IF($E192="","Missing: milestone",IF($F192="","Missing: responsible person",IF($G192="","Missing: status",IF(COUNTIF(Config!$U$15:$U$34,$C192)=0,"Unsupported kind",IF(AND($C192="Product",COUNTIF(Products!$A$2:$A$101,$D192)=0),"Unknown product ID",IF(AND($C192="Campaign",COUNTIF(Marketing!$A$2:$A$101,$D192)=0),"Unknown campaign ID",IF(COUNTIF(Config!$V$15:$V$34,$G192)=0,"Unsupported status","OK")))))))))))))</f>
        <v/>
      </c>
    </row>
    <row r="193">
      <c r="A193" s="46" t="n"/>
      <c r="B193" s="54" t="n"/>
      <c r="C193" s="46" t="n"/>
      <c r="D193" s="46" t="n"/>
      <c r="E193" s="46" t="n"/>
      <c r="F193" s="46" t="n"/>
      <c r="G193" s="46" t="n"/>
      <c r="H193" s="46" t="n"/>
      <c r="I193" s="46" t="n"/>
      <c r="J193" s="49" t="str">
        <f>IF($D193="","",IFERROR(IF($C193="Product",INDEX(Products!$B$2:$B$101,MATCH($D193,Products!$A$2:$A$101,0))&amp;"",IF($C193="Campaign",INDEX(Marketing!$B$2:$B$101,MATCH($D193,Marketing!$A$2:$A$101,0))&amp;"","")),"(not found)"))</f>
        <v/>
      </c>
      <c r="K193" s="49" t="str">
        <f>IF(COUNTA($A193:$I193)=0,"",IF($A193="","Missing: milestone ID",IF(COUNTIF($A$2:$A$201,$A193)&gt;1,"Duplicate milestone ID",IF(NOT(ISNUMBER($B193)),"Missing: date",IF($C193="","Missing: kind",IF($D193="","Missing: product or campaign ID",IF($E193="","Missing: milestone",IF($F193="","Missing: responsible person",IF($G193="","Missing: status",IF(COUNTIF(Config!$U$15:$U$34,$C193)=0,"Unsupported kind",IF(AND($C193="Product",COUNTIF(Products!$A$2:$A$101,$D193)=0),"Unknown product ID",IF(AND($C193="Campaign",COUNTIF(Marketing!$A$2:$A$101,$D193)=0),"Unknown campaign ID",IF(COUNTIF(Config!$V$15:$V$34,$G193)=0,"Unsupported status","OK")))))))))))))</f>
        <v/>
      </c>
    </row>
    <row r="194">
      <c r="A194" s="46" t="n"/>
      <c r="B194" s="54" t="n"/>
      <c r="C194" s="46" t="n"/>
      <c r="D194" s="46" t="n"/>
      <c r="E194" s="46" t="n"/>
      <c r="F194" s="46" t="n"/>
      <c r="G194" s="46" t="n"/>
      <c r="H194" s="46" t="n"/>
      <c r="I194" s="46" t="n"/>
      <c r="J194" s="49" t="str">
        <f>IF($D194="","",IFERROR(IF($C194="Product",INDEX(Products!$B$2:$B$101,MATCH($D194,Products!$A$2:$A$101,0))&amp;"",IF($C194="Campaign",INDEX(Marketing!$B$2:$B$101,MATCH($D194,Marketing!$A$2:$A$101,0))&amp;"","")),"(not found)"))</f>
        <v/>
      </c>
      <c r="K194" s="49" t="str">
        <f>IF(COUNTA($A194:$I194)=0,"",IF($A194="","Missing: milestone ID",IF(COUNTIF($A$2:$A$201,$A194)&gt;1,"Duplicate milestone ID",IF(NOT(ISNUMBER($B194)),"Missing: date",IF($C194="","Missing: kind",IF($D194="","Missing: product or campaign ID",IF($E194="","Missing: milestone",IF($F194="","Missing: responsible person",IF($G194="","Missing: status",IF(COUNTIF(Config!$U$15:$U$34,$C194)=0,"Unsupported kind",IF(AND($C194="Product",COUNTIF(Products!$A$2:$A$101,$D194)=0),"Unknown product ID",IF(AND($C194="Campaign",COUNTIF(Marketing!$A$2:$A$101,$D194)=0),"Unknown campaign ID",IF(COUNTIF(Config!$V$15:$V$34,$G194)=0,"Unsupported status","OK")))))))))))))</f>
        <v/>
      </c>
    </row>
    <row r="195">
      <c r="A195" s="46" t="n"/>
      <c r="B195" s="54" t="n"/>
      <c r="C195" s="46" t="n"/>
      <c r="D195" s="46" t="n"/>
      <c r="E195" s="46" t="n"/>
      <c r="F195" s="46" t="n"/>
      <c r="G195" s="46" t="n"/>
      <c r="H195" s="46" t="n"/>
      <c r="I195" s="46" t="n"/>
      <c r="J195" s="49" t="str">
        <f>IF($D195="","",IFERROR(IF($C195="Product",INDEX(Products!$B$2:$B$101,MATCH($D195,Products!$A$2:$A$101,0))&amp;"",IF($C195="Campaign",INDEX(Marketing!$B$2:$B$101,MATCH($D195,Marketing!$A$2:$A$101,0))&amp;"","")),"(not found)"))</f>
        <v/>
      </c>
      <c r="K195" s="49" t="str">
        <f>IF(COUNTA($A195:$I195)=0,"",IF($A195="","Missing: milestone ID",IF(COUNTIF($A$2:$A$201,$A195)&gt;1,"Duplicate milestone ID",IF(NOT(ISNUMBER($B195)),"Missing: date",IF($C195="","Missing: kind",IF($D195="","Missing: product or campaign ID",IF($E195="","Missing: milestone",IF($F195="","Missing: responsible person",IF($G195="","Missing: status",IF(COUNTIF(Config!$U$15:$U$34,$C195)=0,"Unsupported kind",IF(AND($C195="Product",COUNTIF(Products!$A$2:$A$101,$D195)=0),"Unknown product ID",IF(AND($C195="Campaign",COUNTIF(Marketing!$A$2:$A$101,$D195)=0),"Unknown campaign ID",IF(COUNTIF(Config!$V$15:$V$34,$G195)=0,"Unsupported status","OK")))))))))))))</f>
        <v/>
      </c>
    </row>
    <row r="196">
      <c r="A196" s="46" t="n"/>
      <c r="B196" s="54" t="n"/>
      <c r="C196" s="46" t="n"/>
      <c r="D196" s="46" t="n"/>
      <c r="E196" s="46" t="n"/>
      <c r="F196" s="46" t="n"/>
      <c r="G196" s="46" t="n"/>
      <c r="H196" s="46" t="n"/>
      <c r="I196" s="46" t="n"/>
      <c r="J196" s="49" t="str">
        <f>IF($D196="","",IFERROR(IF($C196="Product",INDEX(Products!$B$2:$B$101,MATCH($D196,Products!$A$2:$A$101,0))&amp;"",IF($C196="Campaign",INDEX(Marketing!$B$2:$B$101,MATCH($D196,Marketing!$A$2:$A$101,0))&amp;"","")),"(not found)"))</f>
        <v/>
      </c>
      <c r="K196" s="49" t="str">
        <f>IF(COUNTA($A196:$I196)=0,"",IF($A196="","Missing: milestone ID",IF(COUNTIF($A$2:$A$201,$A196)&gt;1,"Duplicate milestone ID",IF(NOT(ISNUMBER($B196)),"Missing: date",IF($C196="","Missing: kind",IF($D196="","Missing: product or campaign ID",IF($E196="","Missing: milestone",IF($F196="","Missing: responsible person",IF($G196="","Missing: status",IF(COUNTIF(Config!$U$15:$U$34,$C196)=0,"Unsupported kind",IF(AND($C196="Product",COUNTIF(Products!$A$2:$A$101,$D196)=0),"Unknown product ID",IF(AND($C196="Campaign",COUNTIF(Marketing!$A$2:$A$101,$D196)=0),"Unknown campaign ID",IF(COUNTIF(Config!$V$15:$V$34,$G196)=0,"Unsupported status","OK")))))))))))))</f>
        <v/>
      </c>
    </row>
    <row r="197">
      <c r="A197" s="46" t="n"/>
      <c r="B197" s="54" t="n"/>
      <c r="C197" s="46" t="n"/>
      <c r="D197" s="46" t="n"/>
      <c r="E197" s="46" t="n"/>
      <c r="F197" s="46" t="n"/>
      <c r="G197" s="46" t="n"/>
      <c r="H197" s="46" t="n"/>
      <c r="I197" s="46" t="n"/>
      <c r="J197" s="49" t="str">
        <f>IF($D197="","",IFERROR(IF($C197="Product",INDEX(Products!$B$2:$B$101,MATCH($D197,Products!$A$2:$A$101,0))&amp;"",IF($C197="Campaign",INDEX(Marketing!$B$2:$B$101,MATCH($D197,Marketing!$A$2:$A$101,0))&amp;"","")),"(not found)"))</f>
        <v/>
      </c>
      <c r="K197" s="49" t="str">
        <f>IF(COUNTA($A197:$I197)=0,"",IF($A197="","Missing: milestone ID",IF(COUNTIF($A$2:$A$201,$A197)&gt;1,"Duplicate milestone ID",IF(NOT(ISNUMBER($B197)),"Missing: date",IF($C197="","Missing: kind",IF($D197="","Missing: product or campaign ID",IF($E197="","Missing: milestone",IF($F197="","Missing: responsible person",IF($G197="","Missing: status",IF(COUNTIF(Config!$U$15:$U$34,$C197)=0,"Unsupported kind",IF(AND($C197="Product",COUNTIF(Products!$A$2:$A$101,$D197)=0),"Unknown product ID",IF(AND($C197="Campaign",COUNTIF(Marketing!$A$2:$A$101,$D197)=0),"Unknown campaign ID",IF(COUNTIF(Config!$V$15:$V$34,$G197)=0,"Unsupported status","OK")))))))))))))</f>
        <v/>
      </c>
    </row>
    <row r="198">
      <c r="A198" s="46" t="n"/>
      <c r="B198" s="54" t="n"/>
      <c r="C198" s="46" t="n"/>
      <c r="D198" s="46" t="n"/>
      <c r="E198" s="46" t="n"/>
      <c r="F198" s="46" t="n"/>
      <c r="G198" s="46" t="n"/>
      <c r="H198" s="46" t="n"/>
      <c r="I198" s="46" t="n"/>
      <c r="J198" s="49" t="str">
        <f>IF($D198="","",IFERROR(IF($C198="Product",INDEX(Products!$B$2:$B$101,MATCH($D198,Products!$A$2:$A$101,0))&amp;"",IF($C198="Campaign",INDEX(Marketing!$B$2:$B$101,MATCH($D198,Marketing!$A$2:$A$101,0))&amp;"","")),"(not found)"))</f>
        <v/>
      </c>
      <c r="K198" s="49" t="str">
        <f>IF(COUNTA($A198:$I198)=0,"",IF($A198="","Missing: milestone ID",IF(COUNTIF($A$2:$A$201,$A198)&gt;1,"Duplicate milestone ID",IF(NOT(ISNUMBER($B198)),"Missing: date",IF($C198="","Missing: kind",IF($D198="","Missing: product or campaign ID",IF($E198="","Missing: milestone",IF($F198="","Missing: responsible person",IF($G198="","Missing: status",IF(COUNTIF(Config!$U$15:$U$34,$C198)=0,"Unsupported kind",IF(AND($C198="Product",COUNTIF(Products!$A$2:$A$101,$D198)=0),"Unknown product ID",IF(AND($C198="Campaign",COUNTIF(Marketing!$A$2:$A$101,$D198)=0),"Unknown campaign ID",IF(COUNTIF(Config!$V$15:$V$34,$G198)=0,"Unsupported status","OK")))))))))))))</f>
        <v/>
      </c>
    </row>
    <row r="199">
      <c r="A199" s="46" t="n"/>
      <c r="B199" s="54" t="n"/>
      <c r="C199" s="46" t="n"/>
      <c r="D199" s="46" t="n"/>
      <c r="E199" s="46" t="n"/>
      <c r="F199" s="46" t="n"/>
      <c r="G199" s="46" t="n"/>
      <c r="H199" s="46" t="n"/>
      <c r="I199" s="46" t="n"/>
      <c r="J199" s="49" t="str">
        <f>IF($D199="","",IFERROR(IF($C199="Product",INDEX(Products!$B$2:$B$101,MATCH($D199,Products!$A$2:$A$101,0))&amp;"",IF($C199="Campaign",INDEX(Marketing!$B$2:$B$101,MATCH($D199,Marketing!$A$2:$A$101,0))&amp;"","")),"(not found)"))</f>
        <v/>
      </c>
      <c r="K199" s="49" t="str">
        <f>IF(COUNTA($A199:$I199)=0,"",IF($A199="","Missing: milestone ID",IF(COUNTIF($A$2:$A$201,$A199)&gt;1,"Duplicate milestone ID",IF(NOT(ISNUMBER($B199)),"Missing: date",IF($C199="","Missing: kind",IF($D199="","Missing: product or campaign ID",IF($E199="","Missing: milestone",IF($F199="","Missing: responsible person",IF($G199="","Missing: status",IF(COUNTIF(Config!$U$15:$U$34,$C199)=0,"Unsupported kind",IF(AND($C199="Product",COUNTIF(Products!$A$2:$A$101,$D199)=0),"Unknown product ID",IF(AND($C199="Campaign",COUNTIF(Marketing!$A$2:$A$101,$D199)=0),"Unknown campaign ID",IF(COUNTIF(Config!$V$15:$V$34,$G199)=0,"Unsupported status","OK")))))))))))))</f>
        <v/>
      </c>
    </row>
    <row r="200">
      <c r="A200" s="46" t="n"/>
      <c r="B200" s="54" t="n"/>
      <c r="C200" s="46" t="n"/>
      <c r="D200" s="46" t="n"/>
      <c r="E200" s="46" t="n"/>
      <c r="F200" s="46" t="n"/>
      <c r="G200" s="46" t="n"/>
      <c r="H200" s="46" t="n"/>
      <c r="I200" s="46" t="n"/>
      <c r="J200" s="49" t="str">
        <f>IF($D200="","",IFERROR(IF($C200="Product",INDEX(Products!$B$2:$B$101,MATCH($D200,Products!$A$2:$A$101,0))&amp;"",IF($C200="Campaign",INDEX(Marketing!$B$2:$B$101,MATCH($D200,Marketing!$A$2:$A$101,0))&amp;"","")),"(not found)"))</f>
        <v/>
      </c>
      <c r="K200" s="49" t="str">
        <f>IF(COUNTA($A200:$I200)=0,"",IF($A200="","Missing: milestone ID",IF(COUNTIF($A$2:$A$201,$A200)&gt;1,"Duplicate milestone ID",IF(NOT(ISNUMBER($B200)),"Missing: date",IF($C200="","Missing: kind",IF($D200="","Missing: product or campaign ID",IF($E200="","Missing: milestone",IF($F200="","Missing: responsible person",IF($G200="","Missing: status",IF(COUNTIF(Config!$U$15:$U$34,$C200)=0,"Unsupported kind",IF(AND($C200="Product",COUNTIF(Products!$A$2:$A$101,$D200)=0),"Unknown product ID",IF(AND($C200="Campaign",COUNTIF(Marketing!$A$2:$A$101,$D200)=0),"Unknown campaign ID",IF(COUNTIF(Config!$V$15:$V$34,$G200)=0,"Unsupported status","OK")))))))))))))</f>
        <v/>
      </c>
    </row>
    <row r="201">
      <c r="A201" s="46" t="n"/>
      <c r="B201" s="54" t="n"/>
      <c r="C201" s="46" t="n"/>
      <c r="D201" s="46" t="n"/>
      <c r="E201" s="46" t="n"/>
      <c r="F201" s="46" t="n"/>
      <c r="G201" s="46" t="n"/>
      <c r="H201" s="46" t="n"/>
      <c r="I201" s="46" t="n"/>
      <c r="J201" s="49" t="str">
        <f>IF($D201="","",IFERROR(IF($C201="Product",INDEX(Products!$B$2:$B$101,MATCH($D201,Products!$A$2:$A$101,0))&amp;"",IF($C201="Campaign",INDEX(Marketing!$B$2:$B$101,MATCH($D201,Marketing!$A$2:$A$101,0))&amp;"","")),"(not found)"))</f>
        <v/>
      </c>
      <c r="K201" s="49" t="str">
        <f>IF(COUNTA($A201:$I201)=0,"",IF($A201="","Missing: milestone ID",IF(COUNTIF($A$2:$A$201,$A201)&gt;1,"Duplicate milestone ID",IF(NOT(ISNUMBER($B201)),"Missing: date",IF($C201="","Missing: kind",IF($D201="","Missing: product or campaign ID",IF($E201="","Missing: milestone",IF($F201="","Missing: responsible person",IF($G201="","Missing: status",IF(COUNTIF(Config!$U$15:$U$34,$C201)=0,"Unsupported kind",IF(AND($C201="Product",COUNTIF(Products!$A$2:$A$101,$D201)=0),"Unknown product ID",IF(AND($C201="Campaign",COUNTIF(Marketing!$A$2:$A$101,$D201)=0),"Unknown campaign ID",IF(COUNTIF(Config!$V$15:$V$34,$G201)=0,"Unsupported status","OK")))))))))))))</f>
        <v/>
      </c>
    </row>
  </sheetData>
  <sheetProtection selectLockedCells="0" selectUnlockedCells="0" sheet="1" objects="0" insertRows="1" insertHyperlinks="1" autoFilter="0" scenarios="0" formatColumns="0" deleteColumns="1" insertColumns="1" pivotTables="1" deleteRows="1" formatCells="1" formatRows="0" sort="0"/>
  <autoFilter ref="A1:K201"/>
  <conditionalFormatting sqref="K2:K201">
    <cfRule type="expression" priority="1" dxfId="4">
      <formula>AND($K2&lt;&gt;"",$K2&lt;&gt;"OK")</formula>
    </cfRule>
  </conditionalFormatting>
  <dataValidations count="4">
    <dataValidation sqref="A2:A201" showDropDown="0" showInputMessage="1" showErrorMessage="1" allowBlank="1" errorTitle="Duplicate ID" error="This ID is already used in this sheet. IDs must be unique." promptTitle="Milestone ID" prompt="Required. Must be unique in this sheet." type="custom">
      <formula1>COUNTIF($A$2:$A$201,A2)&lt;=1</formula1>
    </dataValidation>
    <dataValidation sqref="B2:B201" showDropDown="0" showInputMessage="1" showErrorMessage="1" allowBlank="1" errorTitle="Date needed" error="Enter a date (yyyy-mm-dd)." promptTitle="Date" prompt="Required. Date as yyyy-mm-dd." type="date" operator="greaterThan">
      <formula1>36526</formula1>
    </dataValidation>
    <dataValidation sqref="C2:C201" showDropDown="0" showInputMessage="1" showErrorMessage="1" allowBlank="1" errorTitle="Not in the list" error="Pick a value from the dropdown list." promptTitle="Kind" prompt="Required. Pick from the list." type="list">
      <formula1>Config!$U$15:$U$34</formula1>
    </dataValidation>
    <dataValidation sqref="G2:G201" showDropDown="0" showInputMessage="1" showErrorMessage="1" allowBlank="1" errorTitle="Not in the list" error="Pick a value from the dropdown list." promptTitle="Status" prompt="Required. Pick from the list." type="list">
      <formula1>Config!$V$15:$V$34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1F3A5F"/>
    <outlinePr summaryBelow="1" summaryRight="1"/>
    <pageSetUpPr/>
  </sheetPr>
  <dimension ref="A1:M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13" customWidth="1" min="3" max="3"/>
    <col width="14" customWidth="1" min="4" max="4"/>
    <col width="11" customWidth="1" min="5" max="5"/>
    <col width="11" customWidth="1" min="6" max="6"/>
    <col width="8" customWidth="1" min="7" max="7"/>
    <col width="26" customWidth="1" min="8" max="8"/>
    <col width="7" customWidth="1" min="9" max="9"/>
    <col width="8" customWidth="1" min="10" max="10"/>
    <col width="8" customWidth="1" min="11" max="11"/>
    <col width="7" customWidth="1" min="12" max="12"/>
    <col width="26" customWidth="1" min="13" max="13"/>
  </cols>
  <sheetData>
    <row r="1" ht="42" customHeight="1">
      <c r="A1" s="41" t="inlineStr">
        <is>
          <t>Task ID *</t>
        </is>
      </c>
      <c r="B1" s="41" t="inlineStr">
        <is>
          <t>Task *</t>
        </is>
      </c>
      <c r="C1" s="41" t="inlineStr">
        <is>
          <t>Related to</t>
        </is>
      </c>
      <c r="D1" s="41" t="inlineStr">
        <is>
          <t>Owner *</t>
        </is>
      </c>
      <c r="E1" s="41" t="inlineStr">
        <is>
          <t>Due date *</t>
        </is>
      </c>
      <c r="F1" s="41" t="inlineStr">
        <is>
          <t>Status *</t>
        </is>
      </c>
      <c r="G1" s="41" t="inlineStr">
        <is>
          <t>Priority</t>
        </is>
      </c>
      <c r="H1" s="41" t="inlineStr">
        <is>
          <t>Notes</t>
        </is>
      </c>
      <c r="I1" s="23" t="inlineStr">
        <is>
          <t>Open (1 = yes)</t>
        </is>
      </c>
      <c r="J1" s="23" t="inlineStr">
        <is>
          <t>Overdue (1 = yes)</t>
        </is>
      </c>
      <c r="K1" s="23" t="inlineStr">
        <is>
          <t>Days overdue</t>
        </is>
      </c>
      <c r="L1" s="45" t="inlineStr">
        <is>
          <t>List order</t>
        </is>
      </c>
      <c r="M1" s="23" t="inlineStr">
        <is>
          <t>Record check</t>
        </is>
      </c>
    </row>
    <row r="2">
      <c r="A2" s="46" t="inlineStr">
        <is>
          <t>TSK-001</t>
        </is>
      </c>
      <c r="B2" s="46" t="inlineStr">
        <is>
          <t>Chase Corliss Plant Proteins for the PO-2026-029 delivery date</t>
        </is>
      </c>
      <c r="C2" s="46" t="inlineStr">
        <is>
          <t>PO-2026-029</t>
        </is>
      </c>
      <c r="D2" s="46" t="inlineStr">
        <is>
          <t>Luis Romero</t>
        </is>
      </c>
      <c r="E2" s="54" t="n">
        <v>46311</v>
      </c>
      <c r="F2" s="46" t="inlineStr">
        <is>
          <t>In progress</t>
        </is>
      </c>
      <c r="G2" s="46" t="inlineStr">
        <is>
          <t>High</t>
        </is>
      </c>
      <c r="H2" s="46" t="n"/>
      <c r="I2" s="52">
        <f>IF($A2="","",IF(IFERROR(INDEX(Config!$K$15:$K$34,MATCH($F2,Config!$J$15:$J$34,0)),"Yes")="Yes",1,0))</f>
        <v>1</v>
      </c>
      <c r="J2" s="52">
        <f>IF($A2="","",IF(AND($I2=1,ISNUMBER($E2)),IF($E2&lt;Config!$B$4,1,0),0))</f>
        <v>0</v>
      </c>
      <c r="K2" s="52">
        <f>IF($A2="","",IF($J2=1,Config!$B$4-$E2,0))</f>
        <v>0</v>
      </c>
      <c r="L2" s="52">
        <f>IF($I2=1,IFERROR(COUNTIFS($I$2:$I$301,1,$E$2:$E$301,"&lt;"&amp;$E2)+COUNTIFS($I$2:$I2,1,$E$2:$E2,$E2),""),"")</f>
        <v>3</v>
      </c>
      <c r="M2" s="49" t="str">
        <f>IF(COUNTA($A2:$H2)=0,"",IF($A2="","Missing: task ID",IF(COUNTIF($A$2:$A$301,$A2)&gt;1,"Duplicate task ID",IF($B2="","Missing: task",IF($D2="","Missing: owner",IF(NOT(ISNUMBER($E2)),"Missing: due date",IF($F2="","Missing: status",IF(COUNTIF(Config!$J$15:$J$34,$F2)=0,"Unsupported status",IF(AND($G2&lt;&gt;"",COUNTIF(Config!$R$15:$R$34,$G2)=0),"Unsupported priority","OK")))))))))</f>
        <v>OK</v>
      </c>
    </row>
    <row r="3">
      <c r="A3" s="46" t="inlineStr">
        <is>
          <t>TSK-002</t>
        </is>
      </c>
      <c r="B3" s="46" t="inlineStr">
        <is>
          <t>Review the certificate of analysis and release lot WVA2609A</t>
        </is>
      </c>
      <c r="C3" s="46" t="inlineStr">
        <is>
          <t>WVA2609A</t>
        </is>
      </c>
      <c r="D3" s="46" t="inlineStr">
        <is>
          <t>Priya Nair</t>
        </is>
      </c>
      <c r="E3" s="54" t="n">
        <v>46312</v>
      </c>
      <c r="F3" s="46" t="inlineStr">
        <is>
          <t>Not started</t>
        </is>
      </c>
      <c r="G3" s="46" t="inlineStr">
        <is>
          <t>High</t>
        </is>
      </c>
      <c r="H3" s="46" t="n"/>
      <c r="I3" s="52">
        <f>IF($A3="","",IF(IFERROR(INDEX(Config!$K$15:$K$34,MATCH($F3,Config!$J$15:$J$34,0)),"Yes")="Yes",1,0))</f>
        <v>1</v>
      </c>
      <c r="J3" s="52">
        <f>IF($A3="","",IF(AND($I3=1,ISNUMBER($E3)),IF($E3&lt;Config!$B$4,1,0),0))</f>
        <v>0</v>
      </c>
      <c r="K3" s="52">
        <f>IF($A3="","",IF($J3=1,Config!$B$4-$E3,0))</f>
        <v>0</v>
      </c>
      <c r="L3" s="52">
        <f>IF($I3=1,IFERROR(COUNTIFS($I$2:$I$301,1,$E$2:$E$301,"&lt;"&amp;$E3)+COUNTIFS($I$2:$I3,1,$E$2:$E3,$E3),""),"")</f>
        <v>5</v>
      </c>
      <c r="M3" s="49" t="str">
        <f>IF(COUNTA($A3:$H3)=0,"",IF($A3="","Missing: task ID",IF(COUNTIF($A$2:$A$301,$A3)&gt;1,"Duplicate task ID",IF($B3="","Missing: task",IF($D3="","Missing: owner",IF(NOT(ISNUMBER($E3)),"Missing: due date",IF($F3="","Missing: status",IF(COUNTIF(Config!$J$15:$J$34,$F3)=0,"Unsupported status",IF(AND($G3&lt;&gt;"",COUNTIF(Config!$R$15:$R$34,$G3)=0),"Unsupported priority","OK")))))))))</f>
        <v>OK</v>
      </c>
    </row>
    <row r="4">
      <c r="A4" s="46" t="inlineStr">
        <is>
          <t>TSK-003</t>
        </is>
      </c>
      <c r="B4" s="46" t="inlineStr">
        <is>
          <t>Approve destruction of expired lot CKD2510A and post the write-off</t>
        </is>
      </c>
      <c r="C4" s="46" t="inlineStr">
        <is>
          <t>CKD2510A</t>
        </is>
      </c>
      <c r="D4" s="46" t="inlineStr">
        <is>
          <t>Ben Okafor</t>
        </is>
      </c>
      <c r="E4" s="54" t="n">
        <v>46315</v>
      </c>
      <c r="F4" s="46" t="inlineStr">
        <is>
          <t>Not started</t>
        </is>
      </c>
      <c r="G4" s="46" t="inlineStr">
        <is>
          <t>Medium</t>
        </is>
      </c>
      <c r="H4" s="46" t="n"/>
      <c r="I4" s="52">
        <f>IF($A4="","",IF(IFERROR(INDEX(Config!$K$15:$K$34,MATCH($F4,Config!$J$15:$J$34,0)),"Yes")="Yes",1,0))</f>
        <v>1</v>
      </c>
      <c r="J4" s="52">
        <f>IF($A4="","",IF(AND($I4=1,ISNUMBER($E4)),IF($E4&lt;Config!$B$4,1,0),0))</f>
        <v>0</v>
      </c>
      <c r="K4" s="52">
        <f>IF($A4="","",IF($J4=1,Config!$B$4-$E4,0))</f>
        <v>0</v>
      </c>
      <c r="L4" s="52">
        <f>IF($I4=1,IFERROR(COUNTIFS($I$2:$I$301,1,$E$2:$E$301,"&lt;"&amp;$E4)+COUNTIFS($I$2:$I4,1,$E$2:$E4,$E4),""),"")</f>
        <v>7</v>
      </c>
      <c r="M4" s="49" t="str">
        <f>IF(COUNTA($A4:$H4)=0,"",IF($A4="","Missing: task ID",IF(COUNTIF($A$2:$A$301,$A4)&gt;1,"Duplicate task ID",IF($B4="","Missing: task",IF($D4="","Missing: owner",IF(NOT(ISNUMBER($E4)),"Missing: due date",IF($F4="","Missing: status",IF(COUNTIF(Config!$J$15:$J$34,$F4)=0,"Unsupported status",IF(AND($G4&lt;&gt;"",COUNTIF(Config!$R$15:$R$34,$G4)=0),"Unsupported priority","OK")))))))))</f>
        <v>OK</v>
      </c>
    </row>
    <row r="5">
      <c r="A5" s="46" t="inlineStr">
        <is>
          <t>TSK-004</t>
        </is>
      </c>
      <c r="B5" s="46" t="inlineStr">
        <is>
          <t>Plan a clearance offer for lot PBC2511A before it expires</t>
        </is>
      </c>
      <c r="C5" s="46" t="inlineStr">
        <is>
          <t>PBC2511A</t>
        </is>
      </c>
      <c r="D5" s="46" t="inlineStr">
        <is>
          <t>Maya Torres</t>
        </is>
      </c>
      <c r="E5" s="54" t="n">
        <v>46312</v>
      </c>
      <c r="F5" s="46" t="inlineStr">
        <is>
          <t>In progress</t>
        </is>
      </c>
      <c r="G5" s="46" t="inlineStr">
        <is>
          <t>High</t>
        </is>
      </c>
      <c r="H5" s="46" t="n"/>
      <c r="I5" s="52">
        <f>IF($A5="","",IF(IFERROR(INDEX(Config!$K$15:$K$34,MATCH($F5,Config!$J$15:$J$34,0)),"Yes")="Yes",1,0))</f>
        <v>1</v>
      </c>
      <c r="J5" s="52">
        <f>IF($A5="","",IF(AND($I5=1,ISNUMBER($E5)),IF($E5&lt;Config!$B$4,1,0),0))</f>
        <v>0</v>
      </c>
      <c r="K5" s="52">
        <f>IF($A5="","",IF($J5=1,Config!$B$4-$E5,0))</f>
        <v>0</v>
      </c>
      <c r="L5" s="52">
        <f>IF($I5=1,IFERROR(COUNTIFS($I$2:$I$301,1,$E$2:$E$301,"&lt;"&amp;$E5)+COUNTIFS($I$2:$I5,1,$E$2:$E5,$E5),""),"")</f>
        <v>6</v>
      </c>
      <c r="M5" s="49" t="str">
        <f>IF(COUNTA($A5:$H5)=0,"",IF($A5="","Missing: task ID",IF(COUNTIF($A$2:$A$301,$A5)&gt;1,"Duplicate task ID",IF($B5="","Missing: task",IF($D5="","Missing: owner",IF(NOT(ISNUMBER($E5)),"Missing: due date",IF($F5="","Missing: status",IF(COUNTIF(Config!$J$15:$J$34,$F5)=0,"Unsupported status",IF(AND($G5&lt;&gt;"",COUNTIF(Config!$R$15:$R$34,$G5)=0),"Unsupported priority","OK")))))))))</f>
        <v>OK</v>
      </c>
    </row>
    <row r="6">
      <c r="A6" s="46" t="inlineStr">
        <is>
          <t>TSK-005</t>
        </is>
      </c>
      <c r="B6" s="46" t="inlineStr">
        <is>
          <t>Sign off and send PO-2026-034 (creatine 500 g)</t>
        </is>
      </c>
      <c r="C6" s="46" t="inlineStr">
        <is>
          <t>PO-2026-034</t>
        </is>
      </c>
      <c r="D6" s="46" t="inlineStr">
        <is>
          <t>Sam Whitfield</t>
        </is>
      </c>
      <c r="E6" s="54" t="n">
        <v>46311</v>
      </c>
      <c r="F6" s="46" t="inlineStr">
        <is>
          <t>Not started</t>
        </is>
      </c>
      <c r="G6" s="46" t="inlineStr">
        <is>
          <t>High</t>
        </is>
      </c>
      <c r="H6" s="46" t="n"/>
      <c r="I6" s="52">
        <f>IF($A6="","",IF(IFERROR(INDEX(Config!$K$15:$K$34,MATCH($F6,Config!$J$15:$J$34,0)),"Yes")="Yes",1,0))</f>
        <v>1</v>
      </c>
      <c r="J6" s="52">
        <f>IF($A6="","",IF(AND($I6=1,ISNUMBER($E6)),IF($E6&lt;Config!$B$4,1,0),0))</f>
        <v>0</v>
      </c>
      <c r="K6" s="52">
        <f>IF($A6="","",IF($J6=1,Config!$B$4-$E6,0))</f>
        <v>0</v>
      </c>
      <c r="L6" s="52">
        <f>IF($I6=1,IFERROR(COUNTIFS($I$2:$I$301,1,$E$2:$E$301,"&lt;"&amp;$E6)+COUNTIFS($I$2:$I6,1,$E$2:$E6,$E6),""),"")</f>
        <v>4</v>
      </c>
      <c r="M6" s="49" t="str">
        <f>IF(COUNTA($A6:$H6)=0,"",IF($A6="","Missing: task ID",IF(COUNTIF($A$2:$A$301,$A6)&gt;1,"Duplicate task ID",IF($B6="","Missing: task",IF($D6="","Missing: owner",IF(NOT(ISNUMBER($E6)),"Missing: due date",IF($F6="","Missing: status",IF(COUNTIF(Config!$J$15:$J$34,$F6)=0,"Unsupported status",IF(AND($G6&lt;&gt;"",COUNTIF(Config!$R$15:$R$34,$G6)=0),"Unsupported priority","OK")))))))))</f>
        <v>OK</v>
      </c>
    </row>
    <row r="7">
      <c r="A7" s="46" t="inlineStr">
        <is>
          <t>TSK-006</t>
        </is>
      </c>
      <c r="B7" s="46" t="inlineStr">
        <is>
          <t>Get a new arrival date for PO-2026-031 from the carrier</t>
        </is>
      </c>
      <c r="C7" s="46" t="inlineStr">
        <is>
          <t>PO-2026-031</t>
        </is>
      </c>
      <c r="D7" s="46" t="inlineStr">
        <is>
          <t>Luis Romero</t>
        </is>
      </c>
      <c r="E7" s="54" t="n">
        <v>46308</v>
      </c>
      <c r="F7" s="46" t="inlineStr">
        <is>
          <t>Blocked</t>
        </is>
      </c>
      <c r="G7" s="46" t="inlineStr">
        <is>
          <t>Medium</t>
        </is>
      </c>
      <c r="H7" s="46" t="inlineStr">
        <is>
          <t>Carrier has not replied</t>
        </is>
      </c>
      <c r="I7" s="52">
        <f>IF($A7="","",IF(IFERROR(INDEX(Config!$K$15:$K$34,MATCH($F7,Config!$J$15:$J$34,0)),"Yes")="Yes",1,0))</f>
        <v>1</v>
      </c>
      <c r="J7" s="52">
        <f>IF($A7="","",IF(AND($I7=1,ISNUMBER($E7)),IF($E7&lt;Config!$B$4,1,0),0))</f>
        <v>1</v>
      </c>
      <c r="K7" s="52">
        <f>IF($A7="","",IF($J7=1,Config!$B$4-$E7,0))</f>
        <v>2</v>
      </c>
      <c r="L7" s="52">
        <f>IF($I7=1,IFERROR(COUNTIFS($I$2:$I$301,1,$E$2:$E$301,"&lt;"&amp;$E7)+COUNTIFS($I$2:$I7,1,$E$2:$E7,$E7),""),"")</f>
        <v>1</v>
      </c>
      <c r="M7" s="49" t="str">
        <f>IF(COUNTA($A7:$H7)=0,"",IF($A7="","Missing: task ID",IF(COUNTIF($A$2:$A$301,$A7)&gt;1,"Duplicate task ID",IF($B7="","Missing: task",IF($D7="","Missing: owner",IF(NOT(ISNUMBER($E7)),"Missing: due date",IF($F7="","Missing: status",IF(COUNTIF(Config!$J$15:$J$34,$F7)=0,"Unsupported status",IF(AND($G7&lt;&gt;"",COUNTIF(Config!$R$15:$R$34,$G7)=0),"Unsupported priority","OK")))))))))</f>
        <v>OK</v>
      </c>
    </row>
    <row r="8">
      <c r="A8" s="46" t="inlineStr">
        <is>
          <t>TSK-007</t>
        </is>
      </c>
      <c r="B8" s="46" t="inlineStr">
        <is>
          <t>Write the creative brief for CMP-2026-06</t>
        </is>
      </c>
      <c r="C8" s="46" t="inlineStr">
        <is>
          <t>CMP-2026-06</t>
        </is>
      </c>
      <c r="D8" s="46" t="inlineStr">
        <is>
          <t>Maya Torres</t>
        </is>
      </c>
      <c r="E8" s="54" t="n">
        <v>46305</v>
      </c>
      <c r="F8" s="46" t="inlineStr">
        <is>
          <t>Done</t>
        </is>
      </c>
      <c r="G8" s="46" t="inlineStr">
        <is>
          <t>Medium</t>
        </is>
      </c>
      <c r="H8" s="46" t="n"/>
      <c r="I8" s="52">
        <f>IF($A8="","",IF(IFERROR(INDEX(Config!$K$15:$K$34,MATCH($F8,Config!$J$15:$J$34,0)),"Yes")="Yes",1,0))</f>
        <v>0</v>
      </c>
      <c r="J8" s="52">
        <f>IF($A8="","",IF(AND($I8=1,ISNUMBER($E8)),IF($E8&lt;Config!$B$4,1,0),0))</f>
        <v>0</v>
      </c>
      <c r="K8" s="52">
        <f>IF($A8="","",IF($J8=1,Config!$B$4-$E8,0))</f>
        <v>0</v>
      </c>
      <c r="L8" s="52" t="str">
        <f>IF($I8=1,IFERROR(COUNTIFS($I$2:$I$301,1,$E$2:$E$301,"&lt;"&amp;$E8)+COUNTIFS($I$2:$I8,1,$E$2:$E8,$E8),""),"")</f>
        <v/>
      </c>
      <c r="M8" s="49" t="str">
        <f>IF(COUNTA($A8:$H8)=0,"",IF($A8="","Missing: task ID",IF(COUNTIF($A$2:$A$301,$A8)&gt;1,"Duplicate task ID",IF($B8="","Missing: task",IF($D8="","Missing: owner",IF(NOT(ISNUMBER($E8)),"Missing: due date",IF($F8="","Missing: status",IF(COUNTIF(Config!$J$15:$J$34,$F8)=0,"Unsupported status",IF(AND($G8&lt;&gt;"",COUNTIF(Config!$R$15:$R$34,$G8)=0),"Unsupported priority","OK")))))))))</f>
        <v>OK</v>
      </c>
    </row>
    <row r="9">
      <c r="A9" s="46" t="inlineStr">
        <is>
          <t>TSK-008</t>
        </is>
      </c>
      <c r="B9" s="46" t="inlineStr">
        <is>
          <t>Upload the new supplement facts panel for PLT-VAN-2LB</t>
        </is>
      </c>
      <c r="C9" s="46" t="inlineStr">
        <is>
          <t>PLT-VAN-2LB</t>
        </is>
      </c>
      <c r="D9" s="46" t="inlineStr">
        <is>
          <t>Priya Nair</t>
        </is>
      </c>
      <c r="E9" s="54" t="n">
        <v>46295</v>
      </c>
      <c r="F9" s="46" t="inlineStr">
        <is>
          <t>Done</t>
        </is>
      </c>
      <c r="G9" s="46" t="inlineStr">
        <is>
          <t>Medium</t>
        </is>
      </c>
      <c r="H9" s="46" t="n"/>
      <c r="I9" s="52">
        <f>IF($A9="","",IF(IFERROR(INDEX(Config!$K$15:$K$34,MATCH($F9,Config!$J$15:$J$34,0)),"Yes")="Yes",1,0))</f>
        <v>0</v>
      </c>
      <c r="J9" s="52">
        <f>IF($A9="","",IF(AND($I9=1,ISNUMBER($E9)),IF($E9&lt;Config!$B$4,1,0),0))</f>
        <v>0</v>
      </c>
      <c r="K9" s="52">
        <f>IF($A9="","",IF($J9=1,Config!$B$4-$E9,0))</f>
        <v>0</v>
      </c>
      <c r="L9" s="52" t="str">
        <f>IF($I9=1,IFERROR(COUNTIFS($I$2:$I$301,1,$E$2:$E$301,"&lt;"&amp;$E9)+COUNTIFS($I$2:$I9,1,$E$2:$E9,$E9),""),"")</f>
        <v/>
      </c>
      <c r="M9" s="49" t="str">
        <f>IF(COUNTA($A9:$H9)=0,"",IF($A9="","Missing: task ID",IF(COUNTIF($A$2:$A$301,$A9)&gt;1,"Duplicate task ID",IF($B9="","Missing: task",IF($D9="","Missing: owner",IF(NOT(ISNUMBER($E9)),"Missing: due date",IF($F9="","Missing: status",IF(COUNTIF(Config!$J$15:$J$34,$F9)=0,"Unsupported status",IF(AND($G9&lt;&gt;"",COUNTIF(Config!$R$15:$R$34,$G9)=0),"Unsupported priority","OK")))))))))</f>
        <v>OK</v>
      </c>
    </row>
    <row r="10">
      <c r="A10" s="46" t="inlineStr">
        <is>
          <t>TSK-009</t>
        </is>
      </c>
      <c r="B10" s="46" t="inlineStr">
        <is>
          <t>Approve the budget for CMP-2026-07</t>
        </is>
      </c>
      <c r="C10" s="46" t="inlineStr">
        <is>
          <t>CMP-2026-07</t>
        </is>
      </c>
      <c r="D10" s="46" t="inlineStr">
        <is>
          <t>Sam Whitfield</t>
        </is>
      </c>
      <c r="E10" s="54" t="n">
        <v>46316</v>
      </c>
      <c r="F10" s="46" t="inlineStr">
        <is>
          <t>Not started</t>
        </is>
      </c>
      <c r="G10" s="46" t="inlineStr">
        <is>
          <t>Medium</t>
        </is>
      </c>
      <c r="H10" s="46" t="n"/>
      <c r="I10" s="52">
        <f>IF($A10="","",IF(IFERROR(INDEX(Config!$K$15:$K$34,MATCH($F10,Config!$J$15:$J$34,0)),"Yes")="Yes",1,0))</f>
        <v>1</v>
      </c>
      <c r="J10" s="52">
        <f>IF($A10="","",IF(AND($I10=1,ISNUMBER($E10)),IF($E10&lt;Config!$B$4,1,0),0))</f>
        <v>0</v>
      </c>
      <c r="K10" s="52">
        <f>IF($A10="","",IF($J10=1,Config!$B$4-$E10,0))</f>
        <v>0</v>
      </c>
      <c r="L10" s="52">
        <f>IF($I10=1,IFERROR(COUNTIFS($I$2:$I$301,1,$E$2:$E$301,"&lt;"&amp;$E10)+COUNTIFS($I$2:$I10,1,$E$2:$E10,$E10),""),"")</f>
        <v>8</v>
      </c>
      <c r="M10" s="49" t="str">
        <f>IF(COUNTA($A10:$H10)=0,"",IF($A10="","Missing: task ID",IF(COUNTIF($A$2:$A$301,$A10)&gt;1,"Duplicate task ID",IF($B10="","Missing: task",IF($D10="","Missing: owner",IF(NOT(ISNUMBER($E10)),"Missing: due date",IF($F10="","Missing: status",IF(COUNTIF(Config!$J$15:$J$34,$F10)=0,"Unsupported status",IF(AND($G10&lt;&gt;"",COUNTIF(Config!$R$15:$R$34,$G10)=0),"Unsupported priority","OK")))))))))</f>
        <v>OK</v>
      </c>
    </row>
    <row r="11">
      <c r="A11" s="46" t="inlineStr">
        <is>
          <t>TSK-010</t>
        </is>
      </c>
      <c r="B11" s="46" t="inlineStr">
        <is>
          <t>Collect creator results for CMP-2026-04</t>
        </is>
      </c>
      <c r="C11" s="46" t="inlineStr">
        <is>
          <t>CMP-2026-04</t>
        </is>
      </c>
      <c r="D11" s="46" t="inlineStr">
        <is>
          <t>Hannah Becker</t>
        </is>
      </c>
      <c r="E11" s="54" t="n">
        <v>46319</v>
      </c>
      <c r="F11" s="46" t="inlineStr">
        <is>
          <t>Not started</t>
        </is>
      </c>
      <c r="G11" s="46" t="inlineStr">
        <is>
          <t>Low</t>
        </is>
      </c>
      <c r="H11" s="46" t="n"/>
      <c r="I11" s="52">
        <f>IF($A11="","",IF(IFERROR(INDEX(Config!$K$15:$K$34,MATCH($F11,Config!$J$15:$J$34,0)),"Yes")="Yes",1,0))</f>
        <v>1</v>
      </c>
      <c r="J11" s="52">
        <f>IF($A11="","",IF(AND($I11=1,ISNUMBER($E11)),IF($E11&lt;Config!$B$4,1,0),0))</f>
        <v>0</v>
      </c>
      <c r="K11" s="52">
        <f>IF($A11="","",IF($J11=1,Config!$B$4-$E11,0))</f>
        <v>0</v>
      </c>
      <c r="L11" s="52">
        <f>IF($I11=1,IFERROR(COUNTIFS($I$2:$I$301,1,$E$2:$E$301,"&lt;"&amp;$E11)+COUNTIFS($I$2:$I11,1,$E$2:$E11,$E11),""),"")</f>
        <v>9</v>
      </c>
      <c r="M11" s="49" t="str">
        <f>IF(COUNTA($A11:$H11)=0,"",IF($A11="","Missing: task ID",IF(COUNTIF($A$2:$A$301,$A11)&gt;1,"Duplicate task ID",IF($B11="","Missing: task",IF($D11="","Missing: owner",IF(NOT(ISNUMBER($E11)),"Missing: due date",IF($F11="","Missing: status",IF(COUNTIF(Config!$J$15:$J$34,$F11)=0,"Unsupported status",IF(AND($G11&lt;&gt;"",COUNTIF(Config!$R$15:$R$34,$G11)=0),"Unsupported priority","OK")))))))))</f>
        <v>OK</v>
      </c>
    </row>
    <row r="12">
      <c r="A12" s="46" t="inlineStr">
        <is>
          <t>TSK-011</t>
        </is>
      </c>
      <c r="B12" s="46" t="inlineStr">
        <is>
          <t>Ask finance for the August company sales total</t>
        </is>
      </c>
      <c r="C12" s="46" t="inlineStr">
        <is>
          <t>CMP-2026-02</t>
        </is>
      </c>
      <c r="D12" s="46" t="inlineStr">
        <is>
          <t>Hannah Becker</t>
        </is>
      </c>
      <c r="E12" s="54" t="n">
        <v>46309</v>
      </c>
      <c r="F12" s="46" t="inlineStr">
        <is>
          <t>In progress</t>
        </is>
      </c>
      <c r="G12" s="46" t="inlineStr">
        <is>
          <t>Low</t>
        </is>
      </c>
      <c r="H12" s="46" t="n"/>
      <c r="I12" s="52">
        <f>IF($A12="","",IF(IFERROR(INDEX(Config!$K$15:$K$34,MATCH($F12,Config!$J$15:$J$34,0)),"Yes")="Yes",1,0))</f>
        <v>1</v>
      </c>
      <c r="J12" s="52">
        <f>IF($A12="","",IF(AND($I12=1,ISNUMBER($E12)),IF($E12&lt;Config!$B$4,1,0),0))</f>
        <v>1</v>
      </c>
      <c r="K12" s="52">
        <f>IF($A12="","",IF($J12=1,Config!$B$4-$E12,0))</f>
        <v>1</v>
      </c>
      <c r="L12" s="52">
        <f>IF($I12=1,IFERROR(COUNTIFS($I$2:$I$301,1,$E$2:$E$301,"&lt;"&amp;$E12)+COUNTIFS($I$2:$I12,1,$E$2:$E12,$E12),""),"")</f>
        <v>2</v>
      </c>
      <c r="M12" s="49" t="str">
        <f>IF(COUNTA($A12:$H12)=0,"",IF($A12="","Missing: task ID",IF(COUNTIF($A$2:$A$301,$A12)&gt;1,"Duplicate task ID",IF($B12="","Missing: task",IF($D12="","Missing: owner",IF(NOT(ISNUMBER($E12)),"Missing: due date",IF($F12="","Missing: status",IF(COUNTIF(Config!$J$15:$J$34,$F12)=0,"Unsupported status",IF(AND($G12&lt;&gt;"",COUNTIF(Config!$R$15:$R$34,$G12)=0),"Unsupported priority","OK")))))))))</f>
        <v>OK</v>
      </c>
    </row>
    <row r="13">
      <c r="A13" s="46" t="inlineStr">
        <is>
          <t>TSK-012</t>
        </is>
      </c>
      <c r="B13" s="46" t="inlineStr">
        <is>
          <t>Quarterly cycle count, bars aisle</t>
        </is>
      </c>
      <c r="C13" s="46" t="inlineStr">
        <is>
          <t>BAR-PBC-12</t>
        </is>
      </c>
      <c r="D13" s="46" t="inlineStr">
        <is>
          <t>Ben Okafor</t>
        </is>
      </c>
      <c r="E13" s="54" t="n">
        <v>46302</v>
      </c>
      <c r="F13" s="46" t="inlineStr">
        <is>
          <t>Done</t>
        </is>
      </c>
      <c r="G13" s="46" t="inlineStr">
        <is>
          <t>Low</t>
        </is>
      </c>
      <c r="H13" s="46" t="n"/>
      <c r="I13" s="52">
        <f>IF($A13="","",IF(IFERROR(INDEX(Config!$K$15:$K$34,MATCH($F13,Config!$J$15:$J$34,0)),"Yes")="Yes",1,0))</f>
        <v>0</v>
      </c>
      <c r="J13" s="52">
        <f>IF($A13="","",IF(AND($I13=1,ISNUMBER($E13)),IF($E13&lt;Config!$B$4,1,0),0))</f>
        <v>0</v>
      </c>
      <c r="K13" s="52">
        <f>IF($A13="","",IF($J13=1,Config!$B$4-$E13,0))</f>
        <v>0</v>
      </c>
      <c r="L13" s="52" t="str">
        <f>IF($I13=1,IFERROR(COUNTIFS($I$2:$I$301,1,$E$2:$E$301,"&lt;"&amp;$E13)+COUNTIFS($I$2:$I13,1,$E$2:$E13,$E13),""),"")</f>
        <v/>
      </c>
      <c r="M13" s="49" t="str">
        <f>IF(COUNTA($A13:$H13)=0,"",IF($A13="","Missing: task ID",IF(COUNTIF($A$2:$A$301,$A13)&gt;1,"Duplicate task ID",IF($B13="","Missing: task",IF($D13="","Missing: owner",IF(NOT(ISNUMBER($E13)),"Missing: due date",IF($F13="","Missing: status",IF(COUNTIF(Config!$J$15:$J$34,$F13)=0,"Unsupported status",IF(AND($G13&lt;&gt;"",COUNTIF(Config!$R$15:$R$34,$G13)=0),"Unsupported priority","OK")))))))))</f>
        <v>OK</v>
      </c>
    </row>
    <row r="14">
      <c r="A14" s="46" t="n"/>
      <c r="B14" s="46" t="n"/>
      <c r="C14" s="46" t="n"/>
      <c r="D14" s="46" t="n"/>
      <c r="E14" s="54" t="n"/>
      <c r="F14" s="46" t="n"/>
      <c r="G14" s="46" t="n"/>
      <c r="H14" s="46" t="n"/>
      <c r="I14" s="52" t="str">
        <f>IF($A14="","",IF(IFERROR(INDEX(Config!$K$15:$K$34,MATCH($F14,Config!$J$15:$J$34,0)),"Yes")="Yes",1,0))</f>
        <v/>
      </c>
      <c r="J14" s="52" t="str">
        <f>IF($A14="","",IF(AND($I14=1,ISNUMBER($E14)),IF($E14&lt;Config!$B$4,1,0),0))</f>
        <v/>
      </c>
      <c r="K14" s="52" t="str">
        <f>IF($A14="","",IF($J14=1,Config!$B$4-$E14,0))</f>
        <v/>
      </c>
      <c r="L14" s="52" t="str">
        <f>IF($I14=1,IFERROR(COUNTIFS($I$2:$I$301,1,$E$2:$E$301,"&lt;"&amp;$E14)+COUNTIFS($I$2:$I14,1,$E$2:$E14,$E14),""),"")</f>
        <v/>
      </c>
      <c r="M14" s="49" t="str">
        <f>IF(COUNTA($A14:$H14)=0,"",IF($A14="","Missing: task ID",IF(COUNTIF($A$2:$A$301,$A14)&gt;1,"Duplicate task ID",IF($B14="","Missing: task",IF($D14="","Missing: owner",IF(NOT(ISNUMBER($E14)),"Missing: due date",IF($F14="","Missing: status",IF(COUNTIF(Config!$J$15:$J$34,$F14)=0,"Unsupported status",IF(AND($G14&lt;&gt;"",COUNTIF(Config!$R$15:$R$34,$G14)=0),"Unsupported priority","OK")))))))))</f>
        <v/>
      </c>
    </row>
    <row r="15">
      <c r="A15" s="46" t="n"/>
      <c r="B15" s="46" t="n"/>
      <c r="C15" s="46" t="n"/>
      <c r="D15" s="46" t="n"/>
      <c r="E15" s="54" t="n"/>
      <c r="F15" s="46" t="n"/>
      <c r="G15" s="46" t="n"/>
      <c r="H15" s="46" t="n"/>
      <c r="I15" s="52" t="str">
        <f>IF($A15="","",IF(IFERROR(INDEX(Config!$K$15:$K$34,MATCH($F15,Config!$J$15:$J$34,0)),"Yes")="Yes",1,0))</f>
        <v/>
      </c>
      <c r="J15" s="52" t="str">
        <f>IF($A15="","",IF(AND($I15=1,ISNUMBER($E15)),IF($E15&lt;Config!$B$4,1,0),0))</f>
        <v/>
      </c>
      <c r="K15" s="52" t="str">
        <f>IF($A15="","",IF($J15=1,Config!$B$4-$E15,0))</f>
        <v/>
      </c>
      <c r="L15" s="52" t="str">
        <f>IF($I15=1,IFERROR(COUNTIFS($I$2:$I$301,1,$E$2:$E$301,"&lt;"&amp;$E15)+COUNTIFS($I$2:$I15,1,$E$2:$E15,$E15),""),"")</f>
        <v/>
      </c>
      <c r="M15" s="49" t="str">
        <f>IF(COUNTA($A15:$H15)=0,"",IF($A15="","Missing: task ID",IF(COUNTIF($A$2:$A$301,$A15)&gt;1,"Duplicate task ID",IF($B15="","Missing: task",IF($D15="","Missing: owner",IF(NOT(ISNUMBER($E15)),"Missing: due date",IF($F15="","Missing: status",IF(COUNTIF(Config!$J$15:$J$34,$F15)=0,"Unsupported status",IF(AND($G15&lt;&gt;"",COUNTIF(Config!$R$15:$R$34,$G15)=0),"Unsupported priority","OK")))))))))</f>
        <v/>
      </c>
    </row>
    <row r="16">
      <c r="A16" s="46" t="n"/>
      <c r="B16" s="46" t="n"/>
      <c r="C16" s="46" t="n"/>
      <c r="D16" s="46" t="n"/>
      <c r="E16" s="54" t="n"/>
      <c r="F16" s="46" t="n"/>
      <c r="G16" s="46" t="n"/>
      <c r="H16" s="46" t="n"/>
      <c r="I16" s="52" t="str">
        <f>IF($A16="","",IF(IFERROR(INDEX(Config!$K$15:$K$34,MATCH($F16,Config!$J$15:$J$34,0)),"Yes")="Yes",1,0))</f>
        <v/>
      </c>
      <c r="J16" s="52" t="str">
        <f>IF($A16="","",IF(AND($I16=1,ISNUMBER($E16)),IF($E16&lt;Config!$B$4,1,0),0))</f>
        <v/>
      </c>
      <c r="K16" s="52" t="str">
        <f>IF($A16="","",IF($J16=1,Config!$B$4-$E16,0))</f>
        <v/>
      </c>
      <c r="L16" s="52" t="str">
        <f>IF($I16=1,IFERROR(COUNTIFS($I$2:$I$301,1,$E$2:$E$301,"&lt;"&amp;$E16)+COUNTIFS($I$2:$I16,1,$E$2:$E16,$E16),""),"")</f>
        <v/>
      </c>
      <c r="M16" s="49" t="str">
        <f>IF(COUNTA($A16:$H16)=0,"",IF($A16="","Missing: task ID",IF(COUNTIF($A$2:$A$301,$A16)&gt;1,"Duplicate task ID",IF($B16="","Missing: task",IF($D16="","Missing: owner",IF(NOT(ISNUMBER($E16)),"Missing: due date",IF($F16="","Missing: status",IF(COUNTIF(Config!$J$15:$J$34,$F16)=0,"Unsupported status",IF(AND($G16&lt;&gt;"",COUNTIF(Config!$R$15:$R$34,$G16)=0),"Unsupported priority","OK")))))))))</f>
        <v/>
      </c>
    </row>
    <row r="17">
      <c r="A17" s="46" t="n"/>
      <c r="B17" s="46" t="n"/>
      <c r="C17" s="46" t="n"/>
      <c r="D17" s="46" t="n"/>
      <c r="E17" s="54" t="n"/>
      <c r="F17" s="46" t="n"/>
      <c r="G17" s="46" t="n"/>
      <c r="H17" s="46" t="n"/>
      <c r="I17" s="52" t="str">
        <f>IF($A17="","",IF(IFERROR(INDEX(Config!$K$15:$K$34,MATCH($F17,Config!$J$15:$J$34,0)),"Yes")="Yes",1,0))</f>
        <v/>
      </c>
      <c r="J17" s="52" t="str">
        <f>IF($A17="","",IF(AND($I17=1,ISNUMBER($E17)),IF($E17&lt;Config!$B$4,1,0),0))</f>
        <v/>
      </c>
      <c r="K17" s="52" t="str">
        <f>IF($A17="","",IF($J17=1,Config!$B$4-$E17,0))</f>
        <v/>
      </c>
      <c r="L17" s="52" t="str">
        <f>IF($I17=1,IFERROR(COUNTIFS($I$2:$I$301,1,$E$2:$E$301,"&lt;"&amp;$E17)+COUNTIFS($I$2:$I17,1,$E$2:$E17,$E17),""),"")</f>
        <v/>
      </c>
      <c r="M17" s="49" t="str">
        <f>IF(COUNTA($A17:$H17)=0,"",IF($A17="","Missing: task ID",IF(COUNTIF($A$2:$A$301,$A17)&gt;1,"Duplicate task ID",IF($B17="","Missing: task",IF($D17="","Missing: owner",IF(NOT(ISNUMBER($E17)),"Missing: due date",IF($F17="","Missing: status",IF(COUNTIF(Config!$J$15:$J$34,$F17)=0,"Unsupported status",IF(AND($G17&lt;&gt;"",COUNTIF(Config!$R$15:$R$34,$G17)=0),"Unsupported priority","OK")))))))))</f>
        <v/>
      </c>
    </row>
    <row r="18">
      <c r="A18" s="46" t="n"/>
      <c r="B18" s="46" t="n"/>
      <c r="C18" s="46" t="n"/>
      <c r="D18" s="46" t="n"/>
      <c r="E18" s="54" t="n"/>
      <c r="F18" s="46" t="n"/>
      <c r="G18" s="46" t="n"/>
      <c r="H18" s="46" t="n"/>
      <c r="I18" s="52" t="str">
        <f>IF($A18="","",IF(IFERROR(INDEX(Config!$K$15:$K$34,MATCH($F18,Config!$J$15:$J$34,0)),"Yes")="Yes",1,0))</f>
        <v/>
      </c>
      <c r="J18" s="52" t="str">
        <f>IF($A18="","",IF(AND($I18=1,ISNUMBER($E18)),IF($E18&lt;Config!$B$4,1,0),0))</f>
        <v/>
      </c>
      <c r="K18" s="52" t="str">
        <f>IF($A18="","",IF($J18=1,Config!$B$4-$E18,0))</f>
        <v/>
      </c>
      <c r="L18" s="52" t="str">
        <f>IF($I18=1,IFERROR(COUNTIFS($I$2:$I$301,1,$E$2:$E$301,"&lt;"&amp;$E18)+COUNTIFS($I$2:$I18,1,$E$2:$E18,$E18),""),"")</f>
        <v/>
      </c>
      <c r="M18" s="49" t="str">
        <f>IF(COUNTA($A18:$H18)=0,"",IF($A18="","Missing: task ID",IF(COUNTIF($A$2:$A$301,$A18)&gt;1,"Duplicate task ID",IF($B18="","Missing: task",IF($D18="","Missing: owner",IF(NOT(ISNUMBER($E18)),"Missing: due date",IF($F18="","Missing: status",IF(COUNTIF(Config!$J$15:$J$34,$F18)=0,"Unsupported status",IF(AND($G18&lt;&gt;"",COUNTIF(Config!$R$15:$R$34,$G18)=0),"Unsupported priority","OK")))))))))</f>
        <v/>
      </c>
    </row>
    <row r="19">
      <c r="A19" s="46" t="n"/>
      <c r="B19" s="46" t="n"/>
      <c r="C19" s="46" t="n"/>
      <c r="D19" s="46" t="n"/>
      <c r="E19" s="54" t="n"/>
      <c r="F19" s="46" t="n"/>
      <c r="G19" s="46" t="n"/>
      <c r="H19" s="46" t="n"/>
      <c r="I19" s="52" t="str">
        <f>IF($A19="","",IF(IFERROR(INDEX(Config!$K$15:$K$34,MATCH($F19,Config!$J$15:$J$34,0)),"Yes")="Yes",1,0))</f>
        <v/>
      </c>
      <c r="J19" s="52" t="str">
        <f>IF($A19="","",IF(AND($I19=1,ISNUMBER($E19)),IF($E19&lt;Config!$B$4,1,0),0))</f>
        <v/>
      </c>
      <c r="K19" s="52" t="str">
        <f>IF($A19="","",IF($J19=1,Config!$B$4-$E19,0))</f>
        <v/>
      </c>
      <c r="L19" s="52" t="str">
        <f>IF($I19=1,IFERROR(COUNTIFS($I$2:$I$301,1,$E$2:$E$301,"&lt;"&amp;$E19)+COUNTIFS($I$2:$I19,1,$E$2:$E19,$E19),""),"")</f>
        <v/>
      </c>
      <c r="M19" s="49" t="str">
        <f>IF(COUNTA($A19:$H19)=0,"",IF($A19="","Missing: task ID",IF(COUNTIF($A$2:$A$301,$A19)&gt;1,"Duplicate task ID",IF($B19="","Missing: task",IF($D19="","Missing: owner",IF(NOT(ISNUMBER($E19)),"Missing: due date",IF($F19="","Missing: status",IF(COUNTIF(Config!$J$15:$J$34,$F19)=0,"Unsupported status",IF(AND($G19&lt;&gt;"",COUNTIF(Config!$R$15:$R$34,$G19)=0),"Unsupported priority","OK")))))))))</f>
        <v/>
      </c>
    </row>
    <row r="20">
      <c r="A20" s="46" t="n"/>
      <c r="B20" s="46" t="n"/>
      <c r="C20" s="46" t="n"/>
      <c r="D20" s="46" t="n"/>
      <c r="E20" s="54" t="n"/>
      <c r="F20" s="46" t="n"/>
      <c r="G20" s="46" t="n"/>
      <c r="H20" s="46" t="n"/>
      <c r="I20" s="52" t="str">
        <f>IF($A20="","",IF(IFERROR(INDEX(Config!$K$15:$K$34,MATCH($F20,Config!$J$15:$J$34,0)),"Yes")="Yes",1,0))</f>
        <v/>
      </c>
      <c r="J20" s="52" t="str">
        <f>IF($A20="","",IF(AND($I20=1,ISNUMBER($E20)),IF($E20&lt;Config!$B$4,1,0),0))</f>
        <v/>
      </c>
      <c r="K20" s="52" t="str">
        <f>IF($A20="","",IF($J20=1,Config!$B$4-$E20,0))</f>
        <v/>
      </c>
      <c r="L20" s="52" t="str">
        <f>IF($I20=1,IFERROR(COUNTIFS($I$2:$I$301,1,$E$2:$E$301,"&lt;"&amp;$E20)+COUNTIFS($I$2:$I20,1,$E$2:$E20,$E20),""),"")</f>
        <v/>
      </c>
      <c r="M20" s="49" t="str">
        <f>IF(COUNTA($A20:$H20)=0,"",IF($A20="","Missing: task ID",IF(COUNTIF($A$2:$A$301,$A20)&gt;1,"Duplicate task ID",IF($B20="","Missing: task",IF($D20="","Missing: owner",IF(NOT(ISNUMBER($E20)),"Missing: due date",IF($F20="","Missing: status",IF(COUNTIF(Config!$J$15:$J$34,$F20)=0,"Unsupported status",IF(AND($G20&lt;&gt;"",COUNTIF(Config!$R$15:$R$34,$G20)=0),"Unsupported priority","OK")))))))))</f>
        <v/>
      </c>
    </row>
    <row r="21">
      <c r="A21" s="46" t="n"/>
      <c r="B21" s="46" t="n"/>
      <c r="C21" s="46" t="n"/>
      <c r="D21" s="46" t="n"/>
      <c r="E21" s="54" t="n"/>
      <c r="F21" s="46" t="n"/>
      <c r="G21" s="46" t="n"/>
      <c r="H21" s="46" t="n"/>
      <c r="I21" s="52" t="str">
        <f>IF($A21="","",IF(IFERROR(INDEX(Config!$K$15:$K$34,MATCH($F21,Config!$J$15:$J$34,0)),"Yes")="Yes",1,0))</f>
        <v/>
      </c>
      <c r="J21" s="52" t="str">
        <f>IF($A21="","",IF(AND($I21=1,ISNUMBER($E21)),IF($E21&lt;Config!$B$4,1,0),0))</f>
        <v/>
      </c>
      <c r="K21" s="52" t="str">
        <f>IF($A21="","",IF($J21=1,Config!$B$4-$E21,0))</f>
        <v/>
      </c>
      <c r="L21" s="52" t="str">
        <f>IF($I21=1,IFERROR(COUNTIFS($I$2:$I$301,1,$E$2:$E$301,"&lt;"&amp;$E21)+COUNTIFS($I$2:$I21,1,$E$2:$E21,$E21),""),"")</f>
        <v/>
      </c>
      <c r="M21" s="49" t="str">
        <f>IF(COUNTA($A21:$H21)=0,"",IF($A21="","Missing: task ID",IF(COUNTIF($A$2:$A$301,$A21)&gt;1,"Duplicate task ID",IF($B21="","Missing: task",IF($D21="","Missing: owner",IF(NOT(ISNUMBER($E21)),"Missing: due date",IF($F21="","Missing: status",IF(COUNTIF(Config!$J$15:$J$34,$F21)=0,"Unsupported status",IF(AND($G21&lt;&gt;"",COUNTIF(Config!$R$15:$R$34,$G21)=0),"Unsupported priority","OK")))))))))</f>
        <v/>
      </c>
    </row>
    <row r="22">
      <c r="A22" s="46" t="n"/>
      <c r="B22" s="46" t="n"/>
      <c r="C22" s="46" t="n"/>
      <c r="D22" s="46" t="n"/>
      <c r="E22" s="54" t="n"/>
      <c r="F22" s="46" t="n"/>
      <c r="G22" s="46" t="n"/>
      <c r="H22" s="46" t="n"/>
      <c r="I22" s="52" t="str">
        <f>IF($A22="","",IF(IFERROR(INDEX(Config!$K$15:$K$34,MATCH($F22,Config!$J$15:$J$34,0)),"Yes")="Yes",1,0))</f>
        <v/>
      </c>
      <c r="J22" s="52" t="str">
        <f>IF($A22="","",IF(AND($I22=1,ISNUMBER($E22)),IF($E22&lt;Config!$B$4,1,0),0))</f>
        <v/>
      </c>
      <c r="K22" s="52" t="str">
        <f>IF($A22="","",IF($J22=1,Config!$B$4-$E22,0))</f>
        <v/>
      </c>
      <c r="L22" s="52" t="str">
        <f>IF($I22=1,IFERROR(COUNTIFS($I$2:$I$301,1,$E$2:$E$301,"&lt;"&amp;$E22)+COUNTIFS($I$2:$I22,1,$E$2:$E22,$E22),""),"")</f>
        <v/>
      </c>
      <c r="M22" s="49" t="str">
        <f>IF(COUNTA($A22:$H22)=0,"",IF($A22="","Missing: task ID",IF(COUNTIF($A$2:$A$301,$A22)&gt;1,"Duplicate task ID",IF($B22="","Missing: task",IF($D22="","Missing: owner",IF(NOT(ISNUMBER($E22)),"Missing: due date",IF($F22="","Missing: status",IF(COUNTIF(Config!$J$15:$J$34,$F22)=0,"Unsupported status",IF(AND($G22&lt;&gt;"",COUNTIF(Config!$R$15:$R$34,$G22)=0),"Unsupported priority","OK")))))))))</f>
        <v/>
      </c>
    </row>
    <row r="23">
      <c r="A23" s="46" t="n"/>
      <c r="B23" s="46" t="n"/>
      <c r="C23" s="46" t="n"/>
      <c r="D23" s="46" t="n"/>
      <c r="E23" s="54" t="n"/>
      <c r="F23" s="46" t="n"/>
      <c r="G23" s="46" t="n"/>
      <c r="H23" s="46" t="n"/>
      <c r="I23" s="52" t="str">
        <f>IF($A23="","",IF(IFERROR(INDEX(Config!$K$15:$K$34,MATCH($F23,Config!$J$15:$J$34,0)),"Yes")="Yes",1,0))</f>
        <v/>
      </c>
      <c r="J23" s="52" t="str">
        <f>IF($A23="","",IF(AND($I23=1,ISNUMBER($E23)),IF($E23&lt;Config!$B$4,1,0),0))</f>
        <v/>
      </c>
      <c r="K23" s="52" t="str">
        <f>IF($A23="","",IF($J23=1,Config!$B$4-$E23,0))</f>
        <v/>
      </c>
      <c r="L23" s="52" t="str">
        <f>IF($I23=1,IFERROR(COUNTIFS($I$2:$I$301,1,$E$2:$E$301,"&lt;"&amp;$E23)+COUNTIFS($I$2:$I23,1,$E$2:$E23,$E23),""),"")</f>
        <v/>
      </c>
      <c r="M23" s="49" t="str">
        <f>IF(COUNTA($A23:$H23)=0,"",IF($A23="","Missing: task ID",IF(COUNTIF($A$2:$A$301,$A23)&gt;1,"Duplicate task ID",IF($B23="","Missing: task",IF($D23="","Missing: owner",IF(NOT(ISNUMBER($E23)),"Missing: due date",IF($F23="","Missing: status",IF(COUNTIF(Config!$J$15:$J$34,$F23)=0,"Unsupported status",IF(AND($G23&lt;&gt;"",COUNTIF(Config!$R$15:$R$34,$G23)=0),"Unsupported priority","OK")))))))))</f>
        <v/>
      </c>
    </row>
    <row r="24">
      <c r="A24" s="46" t="n"/>
      <c r="B24" s="46" t="n"/>
      <c r="C24" s="46" t="n"/>
      <c r="D24" s="46" t="n"/>
      <c r="E24" s="54" t="n"/>
      <c r="F24" s="46" t="n"/>
      <c r="G24" s="46" t="n"/>
      <c r="H24" s="46" t="n"/>
      <c r="I24" s="52" t="str">
        <f>IF($A24="","",IF(IFERROR(INDEX(Config!$K$15:$K$34,MATCH($F24,Config!$J$15:$J$34,0)),"Yes")="Yes",1,0))</f>
        <v/>
      </c>
      <c r="J24" s="52" t="str">
        <f>IF($A24="","",IF(AND($I24=1,ISNUMBER($E24)),IF($E24&lt;Config!$B$4,1,0),0))</f>
        <v/>
      </c>
      <c r="K24" s="52" t="str">
        <f>IF($A24="","",IF($J24=1,Config!$B$4-$E24,0))</f>
        <v/>
      </c>
      <c r="L24" s="52" t="str">
        <f>IF($I24=1,IFERROR(COUNTIFS($I$2:$I$301,1,$E$2:$E$301,"&lt;"&amp;$E24)+COUNTIFS($I$2:$I24,1,$E$2:$E24,$E24),""),"")</f>
        <v/>
      </c>
      <c r="M24" s="49" t="str">
        <f>IF(COUNTA($A24:$H24)=0,"",IF($A24="","Missing: task ID",IF(COUNTIF($A$2:$A$301,$A24)&gt;1,"Duplicate task ID",IF($B24="","Missing: task",IF($D24="","Missing: owner",IF(NOT(ISNUMBER($E24)),"Missing: due date",IF($F24="","Missing: status",IF(COUNTIF(Config!$J$15:$J$34,$F24)=0,"Unsupported status",IF(AND($G24&lt;&gt;"",COUNTIF(Config!$R$15:$R$34,$G24)=0),"Unsupported priority","OK")))))))))</f>
        <v/>
      </c>
    </row>
    <row r="25">
      <c r="A25" s="46" t="n"/>
      <c r="B25" s="46" t="n"/>
      <c r="C25" s="46" t="n"/>
      <c r="D25" s="46" t="n"/>
      <c r="E25" s="54" t="n"/>
      <c r="F25" s="46" t="n"/>
      <c r="G25" s="46" t="n"/>
      <c r="H25" s="46" t="n"/>
      <c r="I25" s="52" t="str">
        <f>IF($A25="","",IF(IFERROR(INDEX(Config!$K$15:$K$34,MATCH($F25,Config!$J$15:$J$34,0)),"Yes")="Yes",1,0))</f>
        <v/>
      </c>
      <c r="J25" s="52" t="str">
        <f>IF($A25="","",IF(AND($I25=1,ISNUMBER($E25)),IF($E25&lt;Config!$B$4,1,0),0))</f>
        <v/>
      </c>
      <c r="K25" s="52" t="str">
        <f>IF($A25="","",IF($J25=1,Config!$B$4-$E25,0))</f>
        <v/>
      </c>
      <c r="L25" s="52" t="str">
        <f>IF($I25=1,IFERROR(COUNTIFS($I$2:$I$301,1,$E$2:$E$301,"&lt;"&amp;$E25)+COUNTIFS($I$2:$I25,1,$E$2:$E25,$E25),""),"")</f>
        <v/>
      </c>
      <c r="M25" s="49" t="str">
        <f>IF(COUNTA($A25:$H25)=0,"",IF($A25="","Missing: task ID",IF(COUNTIF($A$2:$A$301,$A25)&gt;1,"Duplicate task ID",IF($B25="","Missing: task",IF($D25="","Missing: owner",IF(NOT(ISNUMBER($E25)),"Missing: due date",IF($F25="","Missing: status",IF(COUNTIF(Config!$J$15:$J$34,$F25)=0,"Unsupported status",IF(AND($G25&lt;&gt;"",COUNTIF(Config!$R$15:$R$34,$G25)=0),"Unsupported priority","OK")))))))))</f>
        <v/>
      </c>
    </row>
    <row r="26">
      <c r="A26" s="46" t="n"/>
      <c r="B26" s="46" t="n"/>
      <c r="C26" s="46" t="n"/>
      <c r="D26" s="46" t="n"/>
      <c r="E26" s="54" t="n"/>
      <c r="F26" s="46" t="n"/>
      <c r="G26" s="46" t="n"/>
      <c r="H26" s="46" t="n"/>
      <c r="I26" s="52" t="str">
        <f>IF($A26="","",IF(IFERROR(INDEX(Config!$K$15:$K$34,MATCH($F26,Config!$J$15:$J$34,0)),"Yes")="Yes",1,0))</f>
        <v/>
      </c>
      <c r="J26" s="52" t="str">
        <f>IF($A26="","",IF(AND($I26=1,ISNUMBER($E26)),IF($E26&lt;Config!$B$4,1,0),0))</f>
        <v/>
      </c>
      <c r="K26" s="52" t="str">
        <f>IF($A26="","",IF($J26=1,Config!$B$4-$E26,0))</f>
        <v/>
      </c>
      <c r="L26" s="52" t="str">
        <f>IF($I26=1,IFERROR(COUNTIFS($I$2:$I$301,1,$E$2:$E$301,"&lt;"&amp;$E26)+COUNTIFS($I$2:$I26,1,$E$2:$E26,$E26),""),"")</f>
        <v/>
      </c>
      <c r="M26" s="49" t="str">
        <f>IF(COUNTA($A26:$H26)=0,"",IF($A26="","Missing: task ID",IF(COUNTIF($A$2:$A$301,$A26)&gt;1,"Duplicate task ID",IF($B26="","Missing: task",IF($D26="","Missing: owner",IF(NOT(ISNUMBER($E26)),"Missing: due date",IF($F26="","Missing: status",IF(COUNTIF(Config!$J$15:$J$34,$F26)=0,"Unsupported status",IF(AND($G26&lt;&gt;"",COUNTIF(Config!$R$15:$R$34,$G26)=0),"Unsupported priority","OK")))))))))</f>
        <v/>
      </c>
    </row>
    <row r="27">
      <c r="A27" s="46" t="n"/>
      <c r="B27" s="46" t="n"/>
      <c r="C27" s="46" t="n"/>
      <c r="D27" s="46" t="n"/>
      <c r="E27" s="54" t="n"/>
      <c r="F27" s="46" t="n"/>
      <c r="G27" s="46" t="n"/>
      <c r="H27" s="46" t="n"/>
      <c r="I27" s="52" t="str">
        <f>IF($A27="","",IF(IFERROR(INDEX(Config!$K$15:$K$34,MATCH($F27,Config!$J$15:$J$34,0)),"Yes")="Yes",1,0))</f>
        <v/>
      </c>
      <c r="J27" s="52" t="str">
        <f>IF($A27="","",IF(AND($I27=1,ISNUMBER($E27)),IF($E27&lt;Config!$B$4,1,0),0))</f>
        <v/>
      </c>
      <c r="K27" s="52" t="str">
        <f>IF($A27="","",IF($J27=1,Config!$B$4-$E27,0))</f>
        <v/>
      </c>
      <c r="L27" s="52" t="str">
        <f>IF($I27=1,IFERROR(COUNTIFS($I$2:$I$301,1,$E$2:$E$301,"&lt;"&amp;$E27)+COUNTIFS($I$2:$I27,1,$E$2:$E27,$E27),""),"")</f>
        <v/>
      </c>
      <c r="M27" s="49" t="str">
        <f>IF(COUNTA($A27:$H27)=0,"",IF($A27="","Missing: task ID",IF(COUNTIF($A$2:$A$301,$A27)&gt;1,"Duplicate task ID",IF($B27="","Missing: task",IF($D27="","Missing: owner",IF(NOT(ISNUMBER($E27)),"Missing: due date",IF($F27="","Missing: status",IF(COUNTIF(Config!$J$15:$J$34,$F27)=0,"Unsupported status",IF(AND($G27&lt;&gt;"",COUNTIF(Config!$R$15:$R$34,$G27)=0),"Unsupported priority","OK")))))))))</f>
        <v/>
      </c>
    </row>
    <row r="28">
      <c r="A28" s="46" t="n"/>
      <c r="B28" s="46" t="n"/>
      <c r="C28" s="46" t="n"/>
      <c r="D28" s="46" t="n"/>
      <c r="E28" s="54" t="n"/>
      <c r="F28" s="46" t="n"/>
      <c r="G28" s="46" t="n"/>
      <c r="H28" s="46" t="n"/>
      <c r="I28" s="52" t="str">
        <f>IF($A28="","",IF(IFERROR(INDEX(Config!$K$15:$K$34,MATCH($F28,Config!$J$15:$J$34,0)),"Yes")="Yes",1,0))</f>
        <v/>
      </c>
      <c r="J28" s="52" t="str">
        <f>IF($A28="","",IF(AND($I28=1,ISNUMBER($E28)),IF($E28&lt;Config!$B$4,1,0),0))</f>
        <v/>
      </c>
      <c r="K28" s="52" t="str">
        <f>IF($A28="","",IF($J28=1,Config!$B$4-$E28,0))</f>
        <v/>
      </c>
      <c r="L28" s="52" t="str">
        <f>IF($I28=1,IFERROR(COUNTIFS($I$2:$I$301,1,$E$2:$E$301,"&lt;"&amp;$E28)+COUNTIFS($I$2:$I28,1,$E$2:$E28,$E28),""),"")</f>
        <v/>
      </c>
      <c r="M28" s="49" t="str">
        <f>IF(COUNTA($A28:$H28)=0,"",IF($A28="","Missing: task ID",IF(COUNTIF($A$2:$A$301,$A28)&gt;1,"Duplicate task ID",IF($B28="","Missing: task",IF($D28="","Missing: owner",IF(NOT(ISNUMBER($E28)),"Missing: due date",IF($F28="","Missing: status",IF(COUNTIF(Config!$J$15:$J$34,$F28)=0,"Unsupported status",IF(AND($G28&lt;&gt;"",COUNTIF(Config!$R$15:$R$34,$G28)=0),"Unsupported priority","OK")))))))))</f>
        <v/>
      </c>
    </row>
    <row r="29">
      <c r="A29" s="46" t="n"/>
      <c r="B29" s="46" t="n"/>
      <c r="C29" s="46" t="n"/>
      <c r="D29" s="46" t="n"/>
      <c r="E29" s="54" t="n"/>
      <c r="F29" s="46" t="n"/>
      <c r="G29" s="46" t="n"/>
      <c r="H29" s="46" t="n"/>
      <c r="I29" s="52" t="str">
        <f>IF($A29="","",IF(IFERROR(INDEX(Config!$K$15:$K$34,MATCH($F29,Config!$J$15:$J$34,0)),"Yes")="Yes",1,0))</f>
        <v/>
      </c>
      <c r="J29" s="52" t="str">
        <f>IF($A29="","",IF(AND($I29=1,ISNUMBER($E29)),IF($E29&lt;Config!$B$4,1,0),0))</f>
        <v/>
      </c>
      <c r="K29" s="52" t="str">
        <f>IF($A29="","",IF($J29=1,Config!$B$4-$E29,0))</f>
        <v/>
      </c>
      <c r="L29" s="52" t="str">
        <f>IF($I29=1,IFERROR(COUNTIFS($I$2:$I$301,1,$E$2:$E$301,"&lt;"&amp;$E29)+COUNTIFS($I$2:$I29,1,$E$2:$E29,$E29),""),"")</f>
        <v/>
      </c>
      <c r="M29" s="49" t="str">
        <f>IF(COUNTA($A29:$H29)=0,"",IF($A29="","Missing: task ID",IF(COUNTIF($A$2:$A$301,$A29)&gt;1,"Duplicate task ID",IF($B29="","Missing: task",IF($D29="","Missing: owner",IF(NOT(ISNUMBER($E29)),"Missing: due date",IF($F29="","Missing: status",IF(COUNTIF(Config!$J$15:$J$34,$F29)=0,"Unsupported status",IF(AND($G29&lt;&gt;"",COUNTIF(Config!$R$15:$R$34,$G29)=0),"Unsupported priority","OK")))))))))</f>
        <v/>
      </c>
    </row>
    <row r="30">
      <c r="A30" s="46" t="n"/>
      <c r="B30" s="46" t="n"/>
      <c r="C30" s="46" t="n"/>
      <c r="D30" s="46" t="n"/>
      <c r="E30" s="54" t="n"/>
      <c r="F30" s="46" t="n"/>
      <c r="G30" s="46" t="n"/>
      <c r="H30" s="46" t="n"/>
      <c r="I30" s="52" t="str">
        <f>IF($A30="","",IF(IFERROR(INDEX(Config!$K$15:$K$34,MATCH($F30,Config!$J$15:$J$34,0)),"Yes")="Yes",1,0))</f>
        <v/>
      </c>
      <c r="J30" s="52" t="str">
        <f>IF($A30="","",IF(AND($I30=1,ISNUMBER($E30)),IF($E30&lt;Config!$B$4,1,0),0))</f>
        <v/>
      </c>
      <c r="K30" s="52" t="str">
        <f>IF($A30="","",IF($J30=1,Config!$B$4-$E30,0))</f>
        <v/>
      </c>
      <c r="L30" s="52" t="str">
        <f>IF($I30=1,IFERROR(COUNTIFS($I$2:$I$301,1,$E$2:$E$301,"&lt;"&amp;$E30)+COUNTIFS($I$2:$I30,1,$E$2:$E30,$E30),""),"")</f>
        <v/>
      </c>
      <c r="M30" s="49" t="str">
        <f>IF(COUNTA($A30:$H30)=0,"",IF($A30="","Missing: task ID",IF(COUNTIF($A$2:$A$301,$A30)&gt;1,"Duplicate task ID",IF($B30="","Missing: task",IF($D30="","Missing: owner",IF(NOT(ISNUMBER($E30)),"Missing: due date",IF($F30="","Missing: status",IF(COUNTIF(Config!$J$15:$J$34,$F30)=0,"Unsupported status",IF(AND($G30&lt;&gt;"",COUNTIF(Config!$R$15:$R$34,$G30)=0),"Unsupported priority","OK")))))))))</f>
        <v/>
      </c>
    </row>
    <row r="31">
      <c r="A31" s="46" t="n"/>
      <c r="B31" s="46" t="n"/>
      <c r="C31" s="46" t="n"/>
      <c r="D31" s="46" t="n"/>
      <c r="E31" s="54" t="n"/>
      <c r="F31" s="46" t="n"/>
      <c r="G31" s="46" t="n"/>
      <c r="H31" s="46" t="n"/>
      <c r="I31" s="52" t="str">
        <f>IF($A31="","",IF(IFERROR(INDEX(Config!$K$15:$K$34,MATCH($F31,Config!$J$15:$J$34,0)),"Yes")="Yes",1,0))</f>
        <v/>
      </c>
      <c r="J31" s="52" t="str">
        <f>IF($A31="","",IF(AND($I31=1,ISNUMBER($E31)),IF($E31&lt;Config!$B$4,1,0),0))</f>
        <v/>
      </c>
      <c r="K31" s="52" t="str">
        <f>IF($A31="","",IF($J31=1,Config!$B$4-$E31,0))</f>
        <v/>
      </c>
      <c r="L31" s="52" t="str">
        <f>IF($I31=1,IFERROR(COUNTIFS($I$2:$I$301,1,$E$2:$E$301,"&lt;"&amp;$E31)+COUNTIFS($I$2:$I31,1,$E$2:$E31,$E31),""),"")</f>
        <v/>
      </c>
      <c r="M31" s="49" t="str">
        <f>IF(COUNTA($A31:$H31)=0,"",IF($A31="","Missing: task ID",IF(COUNTIF($A$2:$A$301,$A31)&gt;1,"Duplicate task ID",IF($B31="","Missing: task",IF($D31="","Missing: owner",IF(NOT(ISNUMBER($E31)),"Missing: due date",IF($F31="","Missing: status",IF(COUNTIF(Config!$J$15:$J$34,$F31)=0,"Unsupported status",IF(AND($G31&lt;&gt;"",COUNTIF(Config!$R$15:$R$34,$G31)=0),"Unsupported priority","OK")))))))))</f>
        <v/>
      </c>
    </row>
    <row r="32">
      <c r="A32" s="46" t="n"/>
      <c r="B32" s="46" t="n"/>
      <c r="C32" s="46" t="n"/>
      <c r="D32" s="46" t="n"/>
      <c r="E32" s="54" t="n"/>
      <c r="F32" s="46" t="n"/>
      <c r="G32" s="46" t="n"/>
      <c r="H32" s="46" t="n"/>
      <c r="I32" s="52" t="str">
        <f>IF($A32="","",IF(IFERROR(INDEX(Config!$K$15:$K$34,MATCH($F32,Config!$J$15:$J$34,0)),"Yes")="Yes",1,0))</f>
        <v/>
      </c>
      <c r="J32" s="52" t="str">
        <f>IF($A32="","",IF(AND($I32=1,ISNUMBER($E32)),IF($E32&lt;Config!$B$4,1,0),0))</f>
        <v/>
      </c>
      <c r="K32" s="52" t="str">
        <f>IF($A32="","",IF($J32=1,Config!$B$4-$E32,0))</f>
        <v/>
      </c>
      <c r="L32" s="52" t="str">
        <f>IF($I32=1,IFERROR(COUNTIFS($I$2:$I$301,1,$E$2:$E$301,"&lt;"&amp;$E32)+COUNTIFS($I$2:$I32,1,$E$2:$E32,$E32),""),"")</f>
        <v/>
      </c>
      <c r="M32" s="49" t="str">
        <f>IF(COUNTA($A32:$H32)=0,"",IF($A32="","Missing: task ID",IF(COUNTIF($A$2:$A$301,$A32)&gt;1,"Duplicate task ID",IF($B32="","Missing: task",IF($D32="","Missing: owner",IF(NOT(ISNUMBER($E32)),"Missing: due date",IF($F32="","Missing: status",IF(COUNTIF(Config!$J$15:$J$34,$F32)=0,"Unsupported status",IF(AND($G32&lt;&gt;"",COUNTIF(Config!$R$15:$R$34,$G32)=0),"Unsupported priority","OK")))))))))</f>
        <v/>
      </c>
    </row>
    <row r="33">
      <c r="A33" s="46" t="n"/>
      <c r="B33" s="46" t="n"/>
      <c r="C33" s="46" t="n"/>
      <c r="D33" s="46" t="n"/>
      <c r="E33" s="54" t="n"/>
      <c r="F33" s="46" t="n"/>
      <c r="G33" s="46" t="n"/>
      <c r="H33" s="46" t="n"/>
      <c r="I33" s="52" t="str">
        <f>IF($A33="","",IF(IFERROR(INDEX(Config!$K$15:$K$34,MATCH($F33,Config!$J$15:$J$34,0)),"Yes")="Yes",1,0))</f>
        <v/>
      </c>
      <c r="J33" s="52" t="str">
        <f>IF($A33="","",IF(AND($I33=1,ISNUMBER($E33)),IF($E33&lt;Config!$B$4,1,0),0))</f>
        <v/>
      </c>
      <c r="K33" s="52" t="str">
        <f>IF($A33="","",IF($J33=1,Config!$B$4-$E33,0))</f>
        <v/>
      </c>
      <c r="L33" s="52" t="str">
        <f>IF($I33=1,IFERROR(COUNTIFS($I$2:$I$301,1,$E$2:$E$301,"&lt;"&amp;$E33)+COUNTIFS($I$2:$I33,1,$E$2:$E33,$E33),""),"")</f>
        <v/>
      </c>
      <c r="M33" s="49" t="str">
        <f>IF(COUNTA($A33:$H33)=0,"",IF($A33="","Missing: task ID",IF(COUNTIF($A$2:$A$301,$A33)&gt;1,"Duplicate task ID",IF($B33="","Missing: task",IF($D33="","Missing: owner",IF(NOT(ISNUMBER($E33)),"Missing: due date",IF($F33="","Missing: status",IF(COUNTIF(Config!$J$15:$J$34,$F33)=0,"Unsupported status",IF(AND($G33&lt;&gt;"",COUNTIF(Config!$R$15:$R$34,$G33)=0),"Unsupported priority","OK")))))))))</f>
        <v/>
      </c>
    </row>
    <row r="34">
      <c r="A34" s="46" t="n"/>
      <c r="B34" s="46" t="n"/>
      <c r="C34" s="46" t="n"/>
      <c r="D34" s="46" t="n"/>
      <c r="E34" s="54" t="n"/>
      <c r="F34" s="46" t="n"/>
      <c r="G34" s="46" t="n"/>
      <c r="H34" s="46" t="n"/>
      <c r="I34" s="52" t="str">
        <f>IF($A34="","",IF(IFERROR(INDEX(Config!$K$15:$K$34,MATCH($F34,Config!$J$15:$J$34,0)),"Yes")="Yes",1,0))</f>
        <v/>
      </c>
      <c r="J34" s="52" t="str">
        <f>IF($A34="","",IF(AND($I34=1,ISNUMBER($E34)),IF($E34&lt;Config!$B$4,1,0),0))</f>
        <v/>
      </c>
      <c r="K34" s="52" t="str">
        <f>IF($A34="","",IF($J34=1,Config!$B$4-$E34,0))</f>
        <v/>
      </c>
      <c r="L34" s="52" t="str">
        <f>IF($I34=1,IFERROR(COUNTIFS($I$2:$I$301,1,$E$2:$E$301,"&lt;"&amp;$E34)+COUNTIFS($I$2:$I34,1,$E$2:$E34,$E34),""),"")</f>
        <v/>
      </c>
      <c r="M34" s="49" t="str">
        <f>IF(COUNTA($A34:$H34)=0,"",IF($A34="","Missing: task ID",IF(COUNTIF($A$2:$A$301,$A34)&gt;1,"Duplicate task ID",IF($B34="","Missing: task",IF($D34="","Missing: owner",IF(NOT(ISNUMBER($E34)),"Missing: due date",IF($F34="","Missing: status",IF(COUNTIF(Config!$J$15:$J$34,$F34)=0,"Unsupported status",IF(AND($G34&lt;&gt;"",COUNTIF(Config!$R$15:$R$34,$G34)=0),"Unsupported priority","OK")))))))))</f>
        <v/>
      </c>
    </row>
    <row r="35">
      <c r="A35" s="46" t="n"/>
      <c r="B35" s="46" t="n"/>
      <c r="C35" s="46" t="n"/>
      <c r="D35" s="46" t="n"/>
      <c r="E35" s="54" t="n"/>
      <c r="F35" s="46" t="n"/>
      <c r="G35" s="46" t="n"/>
      <c r="H35" s="46" t="n"/>
      <c r="I35" s="52" t="str">
        <f>IF($A35="","",IF(IFERROR(INDEX(Config!$K$15:$K$34,MATCH($F35,Config!$J$15:$J$34,0)),"Yes")="Yes",1,0))</f>
        <v/>
      </c>
      <c r="J35" s="52" t="str">
        <f>IF($A35="","",IF(AND($I35=1,ISNUMBER($E35)),IF($E35&lt;Config!$B$4,1,0),0))</f>
        <v/>
      </c>
      <c r="K35" s="52" t="str">
        <f>IF($A35="","",IF($J35=1,Config!$B$4-$E35,0))</f>
        <v/>
      </c>
      <c r="L35" s="52" t="str">
        <f>IF($I35=1,IFERROR(COUNTIFS($I$2:$I$301,1,$E$2:$E$301,"&lt;"&amp;$E35)+COUNTIFS($I$2:$I35,1,$E$2:$E35,$E35),""),"")</f>
        <v/>
      </c>
      <c r="M35" s="49" t="str">
        <f>IF(COUNTA($A35:$H35)=0,"",IF($A35="","Missing: task ID",IF(COUNTIF($A$2:$A$301,$A35)&gt;1,"Duplicate task ID",IF($B35="","Missing: task",IF($D35="","Missing: owner",IF(NOT(ISNUMBER($E35)),"Missing: due date",IF($F35="","Missing: status",IF(COUNTIF(Config!$J$15:$J$34,$F35)=0,"Unsupported status",IF(AND($G35&lt;&gt;"",COUNTIF(Config!$R$15:$R$34,$G35)=0),"Unsupported priority","OK")))))))))</f>
        <v/>
      </c>
    </row>
    <row r="36">
      <c r="A36" s="46" t="n"/>
      <c r="B36" s="46" t="n"/>
      <c r="C36" s="46" t="n"/>
      <c r="D36" s="46" t="n"/>
      <c r="E36" s="54" t="n"/>
      <c r="F36" s="46" t="n"/>
      <c r="G36" s="46" t="n"/>
      <c r="H36" s="46" t="n"/>
      <c r="I36" s="52" t="str">
        <f>IF($A36="","",IF(IFERROR(INDEX(Config!$K$15:$K$34,MATCH($F36,Config!$J$15:$J$34,0)),"Yes")="Yes",1,0))</f>
        <v/>
      </c>
      <c r="J36" s="52" t="str">
        <f>IF($A36="","",IF(AND($I36=1,ISNUMBER($E36)),IF($E36&lt;Config!$B$4,1,0),0))</f>
        <v/>
      </c>
      <c r="K36" s="52" t="str">
        <f>IF($A36="","",IF($J36=1,Config!$B$4-$E36,0))</f>
        <v/>
      </c>
      <c r="L36" s="52" t="str">
        <f>IF($I36=1,IFERROR(COUNTIFS($I$2:$I$301,1,$E$2:$E$301,"&lt;"&amp;$E36)+COUNTIFS($I$2:$I36,1,$E$2:$E36,$E36),""),"")</f>
        <v/>
      </c>
      <c r="M36" s="49" t="str">
        <f>IF(COUNTA($A36:$H36)=0,"",IF($A36="","Missing: task ID",IF(COUNTIF($A$2:$A$301,$A36)&gt;1,"Duplicate task ID",IF($B36="","Missing: task",IF($D36="","Missing: owner",IF(NOT(ISNUMBER($E36)),"Missing: due date",IF($F36="","Missing: status",IF(COUNTIF(Config!$J$15:$J$34,$F36)=0,"Unsupported status",IF(AND($G36&lt;&gt;"",COUNTIF(Config!$R$15:$R$34,$G36)=0),"Unsupported priority","OK")))))))))</f>
        <v/>
      </c>
    </row>
    <row r="37">
      <c r="A37" s="46" t="n"/>
      <c r="B37" s="46" t="n"/>
      <c r="C37" s="46" t="n"/>
      <c r="D37" s="46" t="n"/>
      <c r="E37" s="54" t="n"/>
      <c r="F37" s="46" t="n"/>
      <c r="G37" s="46" t="n"/>
      <c r="H37" s="46" t="n"/>
      <c r="I37" s="52" t="str">
        <f>IF($A37="","",IF(IFERROR(INDEX(Config!$K$15:$K$34,MATCH($F37,Config!$J$15:$J$34,0)),"Yes")="Yes",1,0))</f>
        <v/>
      </c>
      <c r="J37" s="52" t="str">
        <f>IF($A37="","",IF(AND($I37=1,ISNUMBER($E37)),IF($E37&lt;Config!$B$4,1,0),0))</f>
        <v/>
      </c>
      <c r="K37" s="52" t="str">
        <f>IF($A37="","",IF($J37=1,Config!$B$4-$E37,0))</f>
        <v/>
      </c>
      <c r="L37" s="52" t="str">
        <f>IF($I37=1,IFERROR(COUNTIFS($I$2:$I$301,1,$E$2:$E$301,"&lt;"&amp;$E37)+COUNTIFS($I$2:$I37,1,$E$2:$E37,$E37),""),"")</f>
        <v/>
      </c>
      <c r="M37" s="49" t="str">
        <f>IF(COUNTA($A37:$H37)=0,"",IF($A37="","Missing: task ID",IF(COUNTIF($A$2:$A$301,$A37)&gt;1,"Duplicate task ID",IF($B37="","Missing: task",IF($D37="","Missing: owner",IF(NOT(ISNUMBER($E37)),"Missing: due date",IF($F37="","Missing: status",IF(COUNTIF(Config!$J$15:$J$34,$F37)=0,"Unsupported status",IF(AND($G37&lt;&gt;"",COUNTIF(Config!$R$15:$R$34,$G37)=0),"Unsupported priority","OK")))))))))</f>
        <v/>
      </c>
    </row>
    <row r="38">
      <c r="A38" s="46" t="n"/>
      <c r="B38" s="46" t="n"/>
      <c r="C38" s="46" t="n"/>
      <c r="D38" s="46" t="n"/>
      <c r="E38" s="54" t="n"/>
      <c r="F38" s="46" t="n"/>
      <c r="G38" s="46" t="n"/>
      <c r="H38" s="46" t="n"/>
      <c r="I38" s="52" t="str">
        <f>IF($A38="","",IF(IFERROR(INDEX(Config!$K$15:$K$34,MATCH($F38,Config!$J$15:$J$34,0)),"Yes")="Yes",1,0))</f>
        <v/>
      </c>
      <c r="J38" s="52" t="str">
        <f>IF($A38="","",IF(AND($I38=1,ISNUMBER($E38)),IF($E38&lt;Config!$B$4,1,0),0))</f>
        <v/>
      </c>
      <c r="K38" s="52" t="str">
        <f>IF($A38="","",IF($J38=1,Config!$B$4-$E38,0))</f>
        <v/>
      </c>
      <c r="L38" s="52" t="str">
        <f>IF($I38=1,IFERROR(COUNTIFS($I$2:$I$301,1,$E$2:$E$301,"&lt;"&amp;$E38)+COUNTIFS($I$2:$I38,1,$E$2:$E38,$E38),""),"")</f>
        <v/>
      </c>
      <c r="M38" s="49" t="str">
        <f>IF(COUNTA($A38:$H38)=0,"",IF($A38="","Missing: task ID",IF(COUNTIF($A$2:$A$301,$A38)&gt;1,"Duplicate task ID",IF($B38="","Missing: task",IF($D38="","Missing: owner",IF(NOT(ISNUMBER($E38)),"Missing: due date",IF($F38="","Missing: status",IF(COUNTIF(Config!$J$15:$J$34,$F38)=0,"Unsupported status",IF(AND($G38&lt;&gt;"",COUNTIF(Config!$R$15:$R$34,$G38)=0),"Unsupported priority","OK")))))))))</f>
        <v/>
      </c>
    </row>
    <row r="39">
      <c r="A39" s="46" t="n"/>
      <c r="B39" s="46" t="n"/>
      <c r="C39" s="46" t="n"/>
      <c r="D39" s="46" t="n"/>
      <c r="E39" s="54" t="n"/>
      <c r="F39" s="46" t="n"/>
      <c r="G39" s="46" t="n"/>
      <c r="H39" s="46" t="n"/>
      <c r="I39" s="52" t="str">
        <f>IF($A39="","",IF(IFERROR(INDEX(Config!$K$15:$K$34,MATCH($F39,Config!$J$15:$J$34,0)),"Yes")="Yes",1,0))</f>
        <v/>
      </c>
      <c r="J39" s="52" t="str">
        <f>IF($A39="","",IF(AND($I39=1,ISNUMBER($E39)),IF($E39&lt;Config!$B$4,1,0),0))</f>
        <v/>
      </c>
      <c r="K39" s="52" t="str">
        <f>IF($A39="","",IF($J39=1,Config!$B$4-$E39,0))</f>
        <v/>
      </c>
      <c r="L39" s="52" t="str">
        <f>IF($I39=1,IFERROR(COUNTIFS($I$2:$I$301,1,$E$2:$E$301,"&lt;"&amp;$E39)+COUNTIFS($I$2:$I39,1,$E$2:$E39,$E39),""),"")</f>
        <v/>
      </c>
      <c r="M39" s="49" t="str">
        <f>IF(COUNTA($A39:$H39)=0,"",IF($A39="","Missing: task ID",IF(COUNTIF($A$2:$A$301,$A39)&gt;1,"Duplicate task ID",IF($B39="","Missing: task",IF($D39="","Missing: owner",IF(NOT(ISNUMBER($E39)),"Missing: due date",IF($F39="","Missing: status",IF(COUNTIF(Config!$J$15:$J$34,$F39)=0,"Unsupported status",IF(AND($G39&lt;&gt;"",COUNTIF(Config!$R$15:$R$34,$G39)=0),"Unsupported priority","OK")))))))))</f>
        <v/>
      </c>
    </row>
    <row r="40">
      <c r="A40" s="46" t="n"/>
      <c r="B40" s="46" t="n"/>
      <c r="C40" s="46" t="n"/>
      <c r="D40" s="46" t="n"/>
      <c r="E40" s="54" t="n"/>
      <c r="F40" s="46" t="n"/>
      <c r="G40" s="46" t="n"/>
      <c r="H40" s="46" t="n"/>
      <c r="I40" s="52" t="str">
        <f>IF($A40="","",IF(IFERROR(INDEX(Config!$K$15:$K$34,MATCH($F40,Config!$J$15:$J$34,0)),"Yes")="Yes",1,0))</f>
        <v/>
      </c>
      <c r="J40" s="52" t="str">
        <f>IF($A40="","",IF(AND($I40=1,ISNUMBER($E40)),IF($E40&lt;Config!$B$4,1,0),0))</f>
        <v/>
      </c>
      <c r="K40" s="52" t="str">
        <f>IF($A40="","",IF($J40=1,Config!$B$4-$E40,0))</f>
        <v/>
      </c>
      <c r="L40" s="52" t="str">
        <f>IF($I40=1,IFERROR(COUNTIFS($I$2:$I$301,1,$E$2:$E$301,"&lt;"&amp;$E40)+COUNTIFS($I$2:$I40,1,$E$2:$E40,$E40),""),"")</f>
        <v/>
      </c>
      <c r="M40" s="49" t="str">
        <f>IF(COUNTA($A40:$H40)=0,"",IF($A40="","Missing: task ID",IF(COUNTIF($A$2:$A$301,$A40)&gt;1,"Duplicate task ID",IF($B40="","Missing: task",IF($D40="","Missing: owner",IF(NOT(ISNUMBER($E40)),"Missing: due date",IF($F40="","Missing: status",IF(COUNTIF(Config!$J$15:$J$34,$F40)=0,"Unsupported status",IF(AND($G40&lt;&gt;"",COUNTIF(Config!$R$15:$R$34,$G40)=0),"Unsupported priority","OK")))))))))</f>
        <v/>
      </c>
    </row>
    <row r="41">
      <c r="A41" s="46" t="n"/>
      <c r="B41" s="46" t="n"/>
      <c r="C41" s="46" t="n"/>
      <c r="D41" s="46" t="n"/>
      <c r="E41" s="54" t="n"/>
      <c r="F41" s="46" t="n"/>
      <c r="G41" s="46" t="n"/>
      <c r="H41" s="46" t="n"/>
      <c r="I41" s="52" t="str">
        <f>IF($A41="","",IF(IFERROR(INDEX(Config!$K$15:$K$34,MATCH($F41,Config!$J$15:$J$34,0)),"Yes")="Yes",1,0))</f>
        <v/>
      </c>
      <c r="J41" s="52" t="str">
        <f>IF($A41="","",IF(AND($I41=1,ISNUMBER($E41)),IF($E41&lt;Config!$B$4,1,0),0))</f>
        <v/>
      </c>
      <c r="K41" s="52" t="str">
        <f>IF($A41="","",IF($J41=1,Config!$B$4-$E41,0))</f>
        <v/>
      </c>
      <c r="L41" s="52" t="str">
        <f>IF($I41=1,IFERROR(COUNTIFS($I$2:$I$301,1,$E$2:$E$301,"&lt;"&amp;$E41)+COUNTIFS($I$2:$I41,1,$E$2:$E41,$E41),""),"")</f>
        <v/>
      </c>
      <c r="M41" s="49" t="str">
        <f>IF(COUNTA($A41:$H41)=0,"",IF($A41="","Missing: task ID",IF(COUNTIF($A$2:$A$301,$A41)&gt;1,"Duplicate task ID",IF($B41="","Missing: task",IF($D41="","Missing: owner",IF(NOT(ISNUMBER($E41)),"Missing: due date",IF($F41="","Missing: status",IF(COUNTIF(Config!$J$15:$J$34,$F41)=0,"Unsupported status",IF(AND($G41&lt;&gt;"",COUNTIF(Config!$R$15:$R$34,$G41)=0),"Unsupported priority","OK")))))))))</f>
        <v/>
      </c>
    </row>
    <row r="42">
      <c r="A42" s="46" t="n"/>
      <c r="B42" s="46" t="n"/>
      <c r="C42" s="46" t="n"/>
      <c r="D42" s="46" t="n"/>
      <c r="E42" s="54" t="n"/>
      <c r="F42" s="46" t="n"/>
      <c r="G42" s="46" t="n"/>
      <c r="H42" s="46" t="n"/>
      <c r="I42" s="52" t="str">
        <f>IF($A42="","",IF(IFERROR(INDEX(Config!$K$15:$K$34,MATCH($F42,Config!$J$15:$J$34,0)),"Yes")="Yes",1,0))</f>
        <v/>
      </c>
      <c r="J42" s="52" t="str">
        <f>IF($A42="","",IF(AND($I42=1,ISNUMBER($E42)),IF($E42&lt;Config!$B$4,1,0),0))</f>
        <v/>
      </c>
      <c r="K42" s="52" t="str">
        <f>IF($A42="","",IF($J42=1,Config!$B$4-$E42,0))</f>
        <v/>
      </c>
      <c r="L42" s="52" t="str">
        <f>IF($I42=1,IFERROR(COUNTIFS($I$2:$I$301,1,$E$2:$E$301,"&lt;"&amp;$E42)+COUNTIFS($I$2:$I42,1,$E$2:$E42,$E42),""),"")</f>
        <v/>
      </c>
      <c r="M42" s="49" t="str">
        <f>IF(COUNTA($A42:$H42)=0,"",IF($A42="","Missing: task ID",IF(COUNTIF($A$2:$A$301,$A42)&gt;1,"Duplicate task ID",IF($B42="","Missing: task",IF($D42="","Missing: owner",IF(NOT(ISNUMBER($E42)),"Missing: due date",IF($F42="","Missing: status",IF(COUNTIF(Config!$J$15:$J$34,$F42)=0,"Unsupported status",IF(AND($G42&lt;&gt;"",COUNTIF(Config!$R$15:$R$34,$G42)=0),"Unsupported priority","OK")))))))))</f>
        <v/>
      </c>
    </row>
    <row r="43">
      <c r="A43" s="46" t="n"/>
      <c r="B43" s="46" t="n"/>
      <c r="C43" s="46" t="n"/>
      <c r="D43" s="46" t="n"/>
      <c r="E43" s="54" t="n"/>
      <c r="F43" s="46" t="n"/>
      <c r="G43" s="46" t="n"/>
      <c r="H43" s="46" t="n"/>
      <c r="I43" s="52" t="str">
        <f>IF($A43="","",IF(IFERROR(INDEX(Config!$K$15:$K$34,MATCH($F43,Config!$J$15:$J$34,0)),"Yes")="Yes",1,0))</f>
        <v/>
      </c>
      <c r="J43" s="52" t="str">
        <f>IF($A43="","",IF(AND($I43=1,ISNUMBER($E43)),IF($E43&lt;Config!$B$4,1,0),0))</f>
        <v/>
      </c>
      <c r="K43" s="52" t="str">
        <f>IF($A43="","",IF($J43=1,Config!$B$4-$E43,0))</f>
        <v/>
      </c>
      <c r="L43" s="52" t="str">
        <f>IF($I43=1,IFERROR(COUNTIFS($I$2:$I$301,1,$E$2:$E$301,"&lt;"&amp;$E43)+COUNTIFS($I$2:$I43,1,$E$2:$E43,$E43),""),"")</f>
        <v/>
      </c>
      <c r="M43" s="49" t="str">
        <f>IF(COUNTA($A43:$H43)=0,"",IF($A43="","Missing: task ID",IF(COUNTIF($A$2:$A$301,$A43)&gt;1,"Duplicate task ID",IF($B43="","Missing: task",IF($D43="","Missing: owner",IF(NOT(ISNUMBER($E43)),"Missing: due date",IF($F43="","Missing: status",IF(COUNTIF(Config!$J$15:$J$34,$F43)=0,"Unsupported status",IF(AND($G43&lt;&gt;"",COUNTIF(Config!$R$15:$R$34,$G43)=0),"Unsupported priority","OK")))))))))</f>
        <v/>
      </c>
    </row>
    <row r="44">
      <c r="A44" s="46" t="n"/>
      <c r="B44" s="46" t="n"/>
      <c r="C44" s="46" t="n"/>
      <c r="D44" s="46" t="n"/>
      <c r="E44" s="54" t="n"/>
      <c r="F44" s="46" t="n"/>
      <c r="G44" s="46" t="n"/>
      <c r="H44" s="46" t="n"/>
      <c r="I44" s="52" t="str">
        <f>IF($A44="","",IF(IFERROR(INDEX(Config!$K$15:$K$34,MATCH($F44,Config!$J$15:$J$34,0)),"Yes")="Yes",1,0))</f>
        <v/>
      </c>
      <c r="J44" s="52" t="str">
        <f>IF($A44="","",IF(AND($I44=1,ISNUMBER($E44)),IF($E44&lt;Config!$B$4,1,0),0))</f>
        <v/>
      </c>
      <c r="K44" s="52" t="str">
        <f>IF($A44="","",IF($J44=1,Config!$B$4-$E44,0))</f>
        <v/>
      </c>
      <c r="L44" s="52" t="str">
        <f>IF($I44=1,IFERROR(COUNTIFS($I$2:$I$301,1,$E$2:$E$301,"&lt;"&amp;$E44)+COUNTIFS($I$2:$I44,1,$E$2:$E44,$E44),""),"")</f>
        <v/>
      </c>
      <c r="M44" s="49" t="str">
        <f>IF(COUNTA($A44:$H44)=0,"",IF($A44="","Missing: task ID",IF(COUNTIF($A$2:$A$301,$A44)&gt;1,"Duplicate task ID",IF($B44="","Missing: task",IF($D44="","Missing: owner",IF(NOT(ISNUMBER($E44)),"Missing: due date",IF($F44="","Missing: status",IF(COUNTIF(Config!$J$15:$J$34,$F44)=0,"Unsupported status",IF(AND($G44&lt;&gt;"",COUNTIF(Config!$R$15:$R$34,$G44)=0),"Unsupported priority","OK")))))))))</f>
        <v/>
      </c>
    </row>
    <row r="45">
      <c r="A45" s="46" t="n"/>
      <c r="B45" s="46" t="n"/>
      <c r="C45" s="46" t="n"/>
      <c r="D45" s="46" t="n"/>
      <c r="E45" s="54" t="n"/>
      <c r="F45" s="46" t="n"/>
      <c r="G45" s="46" t="n"/>
      <c r="H45" s="46" t="n"/>
      <c r="I45" s="52" t="str">
        <f>IF($A45="","",IF(IFERROR(INDEX(Config!$K$15:$K$34,MATCH($F45,Config!$J$15:$J$34,0)),"Yes")="Yes",1,0))</f>
        <v/>
      </c>
      <c r="J45" s="52" t="str">
        <f>IF($A45="","",IF(AND($I45=1,ISNUMBER($E45)),IF($E45&lt;Config!$B$4,1,0),0))</f>
        <v/>
      </c>
      <c r="K45" s="52" t="str">
        <f>IF($A45="","",IF($J45=1,Config!$B$4-$E45,0))</f>
        <v/>
      </c>
      <c r="L45" s="52" t="str">
        <f>IF($I45=1,IFERROR(COUNTIFS($I$2:$I$301,1,$E$2:$E$301,"&lt;"&amp;$E45)+COUNTIFS($I$2:$I45,1,$E$2:$E45,$E45),""),"")</f>
        <v/>
      </c>
      <c r="M45" s="49" t="str">
        <f>IF(COUNTA($A45:$H45)=0,"",IF($A45="","Missing: task ID",IF(COUNTIF($A$2:$A$301,$A45)&gt;1,"Duplicate task ID",IF($B45="","Missing: task",IF($D45="","Missing: owner",IF(NOT(ISNUMBER($E45)),"Missing: due date",IF($F45="","Missing: status",IF(COUNTIF(Config!$J$15:$J$34,$F45)=0,"Unsupported status",IF(AND($G45&lt;&gt;"",COUNTIF(Config!$R$15:$R$34,$G45)=0),"Unsupported priority","OK")))))))))</f>
        <v/>
      </c>
    </row>
    <row r="46">
      <c r="A46" s="46" t="n"/>
      <c r="B46" s="46" t="n"/>
      <c r="C46" s="46" t="n"/>
      <c r="D46" s="46" t="n"/>
      <c r="E46" s="54" t="n"/>
      <c r="F46" s="46" t="n"/>
      <c r="G46" s="46" t="n"/>
      <c r="H46" s="46" t="n"/>
      <c r="I46" s="52" t="str">
        <f>IF($A46="","",IF(IFERROR(INDEX(Config!$K$15:$K$34,MATCH($F46,Config!$J$15:$J$34,0)),"Yes")="Yes",1,0))</f>
        <v/>
      </c>
      <c r="J46" s="52" t="str">
        <f>IF($A46="","",IF(AND($I46=1,ISNUMBER($E46)),IF($E46&lt;Config!$B$4,1,0),0))</f>
        <v/>
      </c>
      <c r="K46" s="52" t="str">
        <f>IF($A46="","",IF($J46=1,Config!$B$4-$E46,0))</f>
        <v/>
      </c>
      <c r="L46" s="52" t="str">
        <f>IF($I46=1,IFERROR(COUNTIFS($I$2:$I$301,1,$E$2:$E$301,"&lt;"&amp;$E46)+COUNTIFS($I$2:$I46,1,$E$2:$E46,$E46),""),"")</f>
        <v/>
      </c>
      <c r="M46" s="49" t="str">
        <f>IF(COUNTA($A46:$H46)=0,"",IF($A46="","Missing: task ID",IF(COUNTIF($A$2:$A$301,$A46)&gt;1,"Duplicate task ID",IF($B46="","Missing: task",IF($D46="","Missing: owner",IF(NOT(ISNUMBER($E46)),"Missing: due date",IF($F46="","Missing: status",IF(COUNTIF(Config!$J$15:$J$34,$F46)=0,"Unsupported status",IF(AND($G46&lt;&gt;"",COUNTIF(Config!$R$15:$R$34,$G46)=0),"Unsupported priority","OK")))))))))</f>
        <v/>
      </c>
    </row>
    <row r="47">
      <c r="A47" s="46" t="n"/>
      <c r="B47" s="46" t="n"/>
      <c r="C47" s="46" t="n"/>
      <c r="D47" s="46" t="n"/>
      <c r="E47" s="54" t="n"/>
      <c r="F47" s="46" t="n"/>
      <c r="G47" s="46" t="n"/>
      <c r="H47" s="46" t="n"/>
      <c r="I47" s="52" t="str">
        <f>IF($A47="","",IF(IFERROR(INDEX(Config!$K$15:$K$34,MATCH($F47,Config!$J$15:$J$34,0)),"Yes")="Yes",1,0))</f>
        <v/>
      </c>
      <c r="J47" s="52" t="str">
        <f>IF($A47="","",IF(AND($I47=1,ISNUMBER($E47)),IF($E47&lt;Config!$B$4,1,0),0))</f>
        <v/>
      </c>
      <c r="K47" s="52" t="str">
        <f>IF($A47="","",IF($J47=1,Config!$B$4-$E47,0))</f>
        <v/>
      </c>
      <c r="L47" s="52" t="str">
        <f>IF($I47=1,IFERROR(COUNTIFS($I$2:$I$301,1,$E$2:$E$301,"&lt;"&amp;$E47)+COUNTIFS($I$2:$I47,1,$E$2:$E47,$E47),""),"")</f>
        <v/>
      </c>
      <c r="M47" s="49" t="str">
        <f>IF(COUNTA($A47:$H47)=0,"",IF($A47="","Missing: task ID",IF(COUNTIF($A$2:$A$301,$A47)&gt;1,"Duplicate task ID",IF($B47="","Missing: task",IF($D47="","Missing: owner",IF(NOT(ISNUMBER($E47)),"Missing: due date",IF($F47="","Missing: status",IF(COUNTIF(Config!$J$15:$J$34,$F47)=0,"Unsupported status",IF(AND($G47&lt;&gt;"",COUNTIF(Config!$R$15:$R$34,$G47)=0),"Unsupported priority","OK")))))))))</f>
        <v/>
      </c>
    </row>
    <row r="48">
      <c r="A48" s="46" t="n"/>
      <c r="B48" s="46" t="n"/>
      <c r="C48" s="46" t="n"/>
      <c r="D48" s="46" t="n"/>
      <c r="E48" s="54" t="n"/>
      <c r="F48" s="46" t="n"/>
      <c r="G48" s="46" t="n"/>
      <c r="H48" s="46" t="n"/>
      <c r="I48" s="52" t="str">
        <f>IF($A48="","",IF(IFERROR(INDEX(Config!$K$15:$K$34,MATCH($F48,Config!$J$15:$J$34,0)),"Yes")="Yes",1,0))</f>
        <v/>
      </c>
      <c r="J48" s="52" t="str">
        <f>IF($A48="","",IF(AND($I48=1,ISNUMBER($E48)),IF($E48&lt;Config!$B$4,1,0),0))</f>
        <v/>
      </c>
      <c r="K48" s="52" t="str">
        <f>IF($A48="","",IF($J48=1,Config!$B$4-$E48,0))</f>
        <v/>
      </c>
      <c r="L48" s="52" t="str">
        <f>IF($I48=1,IFERROR(COUNTIFS($I$2:$I$301,1,$E$2:$E$301,"&lt;"&amp;$E48)+COUNTIFS($I$2:$I48,1,$E$2:$E48,$E48),""),"")</f>
        <v/>
      </c>
      <c r="M48" s="49" t="str">
        <f>IF(COUNTA($A48:$H48)=0,"",IF($A48="","Missing: task ID",IF(COUNTIF($A$2:$A$301,$A48)&gt;1,"Duplicate task ID",IF($B48="","Missing: task",IF($D48="","Missing: owner",IF(NOT(ISNUMBER($E48)),"Missing: due date",IF($F48="","Missing: status",IF(COUNTIF(Config!$J$15:$J$34,$F48)=0,"Unsupported status",IF(AND($G48&lt;&gt;"",COUNTIF(Config!$R$15:$R$34,$G48)=0),"Unsupported priority","OK")))))))))</f>
        <v/>
      </c>
    </row>
    <row r="49">
      <c r="A49" s="46" t="n"/>
      <c r="B49" s="46" t="n"/>
      <c r="C49" s="46" t="n"/>
      <c r="D49" s="46" t="n"/>
      <c r="E49" s="54" t="n"/>
      <c r="F49" s="46" t="n"/>
      <c r="G49" s="46" t="n"/>
      <c r="H49" s="46" t="n"/>
      <c r="I49" s="52" t="str">
        <f>IF($A49="","",IF(IFERROR(INDEX(Config!$K$15:$K$34,MATCH($F49,Config!$J$15:$J$34,0)),"Yes")="Yes",1,0))</f>
        <v/>
      </c>
      <c r="J49" s="52" t="str">
        <f>IF($A49="","",IF(AND($I49=1,ISNUMBER($E49)),IF($E49&lt;Config!$B$4,1,0),0))</f>
        <v/>
      </c>
      <c r="K49" s="52" t="str">
        <f>IF($A49="","",IF($J49=1,Config!$B$4-$E49,0))</f>
        <v/>
      </c>
      <c r="L49" s="52" t="str">
        <f>IF($I49=1,IFERROR(COUNTIFS($I$2:$I$301,1,$E$2:$E$301,"&lt;"&amp;$E49)+COUNTIFS($I$2:$I49,1,$E$2:$E49,$E49),""),"")</f>
        <v/>
      </c>
      <c r="M49" s="49" t="str">
        <f>IF(COUNTA($A49:$H49)=0,"",IF($A49="","Missing: task ID",IF(COUNTIF($A$2:$A$301,$A49)&gt;1,"Duplicate task ID",IF($B49="","Missing: task",IF($D49="","Missing: owner",IF(NOT(ISNUMBER($E49)),"Missing: due date",IF($F49="","Missing: status",IF(COUNTIF(Config!$J$15:$J$34,$F49)=0,"Unsupported status",IF(AND($G49&lt;&gt;"",COUNTIF(Config!$R$15:$R$34,$G49)=0),"Unsupported priority","OK")))))))))</f>
        <v/>
      </c>
    </row>
    <row r="50">
      <c r="A50" s="46" t="n"/>
      <c r="B50" s="46" t="n"/>
      <c r="C50" s="46" t="n"/>
      <c r="D50" s="46" t="n"/>
      <c r="E50" s="54" t="n"/>
      <c r="F50" s="46" t="n"/>
      <c r="G50" s="46" t="n"/>
      <c r="H50" s="46" t="n"/>
      <c r="I50" s="52" t="str">
        <f>IF($A50="","",IF(IFERROR(INDEX(Config!$K$15:$K$34,MATCH($F50,Config!$J$15:$J$34,0)),"Yes")="Yes",1,0))</f>
        <v/>
      </c>
      <c r="J50" s="52" t="str">
        <f>IF($A50="","",IF(AND($I50=1,ISNUMBER($E50)),IF($E50&lt;Config!$B$4,1,0),0))</f>
        <v/>
      </c>
      <c r="K50" s="52" t="str">
        <f>IF($A50="","",IF($J50=1,Config!$B$4-$E50,0))</f>
        <v/>
      </c>
      <c r="L50" s="52" t="str">
        <f>IF($I50=1,IFERROR(COUNTIFS($I$2:$I$301,1,$E$2:$E$301,"&lt;"&amp;$E50)+COUNTIFS($I$2:$I50,1,$E$2:$E50,$E50),""),"")</f>
        <v/>
      </c>
      <c r="M50" s="49" t="str">
        <f>IF(COUNTA($A50:$H50)=0,"",IF($A50="","Missing: task ID",IF(COUNTIF($A$2:$A$301,$A50)&gt;1,"Duplicate task ID",IF($B50="","Missing: task",IF($D50="","Missing: owner",IF(NOT(ISNUMBER($E50)),"Missing: due date",IF($F50="","Missing: status",IF(COUNTIF(Config!$J$15:$J$34,$F50)=0,"Unsupported status",IF(AND($G50&lt;&gt;"",COUNTIF(Config!$R$15:$R$34,$G50)=0),"Unsupported priority","OK")))))))))</f>
        <v/>
      </c>
    </row>
    <row r="51">
      <c r="A51" s="46" t="n"/>
      <c r="B51" s="46" t="n"/>
      <c r="C51" s="46" t="n"/>
      <c r="D51" s="46" t="n"/>
      <c r="E51" s="54" t="n"/>
      <c r="F51" s="46" t="n"/>
      <c r="G51" s="46" t="n"/>
      <c r="H51" s="46" t="n"/>
      <c r="I51" s="52" t="str">
        <f>IF($A51="","",IF(IFERROR(INDEX(Config!$K$15:$K$34,MATCH($F51,Config!$J$15:$J$34,0)),"Yes")="Yes",1,0))</f>
        <v/>
      </c>
      <c r="J51" s="52" t="str">
        <f>IF($A51="","",IF(AND($I51=1,ISNUMBER($E51)),IF($E51&lt;Config!$B$4,1,0),0))</f>
        <v/>
      </c>
      <c r="K51" s="52" t="str">
        <f>IF($A51="","",IF($J51=1,Config!$B$4-$E51,0))</f>
        <v/>
      </c>
      <c r="L51" s="52" t="str">
        <f>IF($I51=1,IFERROR(COUNTIFS($I$2:$I$301,1,$E$2:$E$301,"&lt;"&amp;$E51)+COUNTIFS($I$2:$I51,1,$E$2:$E51,$E51),""),"")</f>
        <v/>
      </c>
      <c r="M51" s="49" t="str">
        <f>IF(COUNTA($A51:$H51)=0,"",IF($A51="","Missing: task ID",IF(COUNTIF($A$2:$A$301,$A51)&gt;1,"Duplicate task ID",IF($B51="","Missing: task",IF($D51="","Missing: owner",IF(NOT(ISNUMBER($E51)),"Missing: due date",IF($F51="","Missing: status",IF(COUNTIF(Config!$J$15:$J$34,$F51)=0,"Unsupported status",IF(AND($G51&lt;&gt;"",COUNTIF(Config!$R$15:$R$34,$G51)=0),"Unsupported priority","OK")))))))))</f>
        <v/>
      </c>
    </row>
    <row r="52">
      <c r="A52" s="46" t="n"/>
      <c r="B52" s="46" t="n"/>
      <c r="C52" s="46" t="n"/>
      <c r="D52" s="46" t="n"/>
      <c r="E52" s="54" t="n"/>
      <c r="F52" s="46" t="n"/>
      <c r="G52" s="46" t="n"/>
      <c r="H52" s="46" t="n"/>
      <c r="I52" s="52" t="str">
        <f>IF($A52="","",IF(IFERROR(INDEX(Config!$K$15:$K$34,MATCH($F52,Config!$J$15:$J$34,0)),"Yes")="Yes",1,0))</f>
        <v/>
      </c>
      <c r="J52" s="52" t="str">
        <f>IF($A52="","",IF(AND($I52=1,ISNUMBER($E52)),IF($E52&lt;Config!$B$4,1,0),0))</f>
        <v/>
      </c>
      <c r="K52" s="52" t="str">
        <f>IF($A52="","",IF($J52=1,Config!$B$4-$E52,0))</f>
        <v/>
      </c>
      <c r="L52" s="52" t="str">
        <f>IF($I52=1,IFERROR(COUNTIFS($I$2:$I$301,1,$E$2:$E$301,"&lt;"&amp;$E52)+COUNTIFS($I$2:$I52,1,$E$2:$E52,$E52),""),"")</f>
        <v/>
      </c>
      <c r="M52" s="49" t="str">
        <f>IF(COUNTA($A52:$H52)=0,"",IF($A52="","Missing: task ID",IF(COUNTIF($A$2:$A$301,$A52)&gt;1,"Duplicate task ID",IF($B52="","Missing: task",IF($D52="","Missing: owner",IF(NOT(ISNUMBER($E52)),"Missing: due date",IF($F52="","Missing: status",IF(COUNTIF(Config!$J$15:$J$34,$F52)=0,"Unsupported status",IF(AND($G52&lt;&gt;"",COUNTIF(Config!$R$15:$R$34,$G52)=0),"Unsupported priority","OK")))))))))</f>
        <v/>
      </c>
    </row>
    <row r="53">
      <c r="A53" s="46" t="n"/>
      <c r="B53" s="46" t="n"/>
      <c r="C53" s="46" t="n"/>
      <c r="D53" s="46" t="n"/>
      <c r="E53" s="54" t="n"/>
      <c r="F53" s="46" t="n"/>
      <c r="G53" s="46" t="n"/>
      <c r="H53" s="46" t="n"/>
      <c r="I53" s="52" t="str">
        <f>IF($A53="","",IF(IFERROR(INDEX(Config!$K$15:$K$34,MATCH($F53,Config!$J$15:$J$34,0)),"Yes")="Yes",1,0))</f>
        <v/>
      </c>
      <c r="J53" s="52" t="str">
        <f>IF($A53="","",IF(AND($I53=1,ISNUMBER($E53)),IF($E53&lt;Config!$B$4,1,0),0))</f>
        <v/>
      </c>
      <c r="K53" s="52" t="str">
        <f>IF($A53="","",IF($J53=1,Config!$B$4-$E53,0))</f>
        <v/>
      </c>
      <c r="L53" s="52" t="str">
        <f>IF($I53=1,IFERROR(COUNTIFS($I$2:$I$301,1,$E$2:$E$301,"&lt;"&amp;$E53)+COUNTIFS($I$2:$I53,1,$E$2:$E53,$E53),""),"")</f>
        <v/>
      </c>
      <c r="M53" s="49" t="str">
        <f>IF(COUNTA($A53:$H53)=0,"",IF($A53="","Missing: task ID",IF(COUNTIF($A$2:$A$301,$A53)&gt;1,"Duplicate task ID",IF($B53="","Missing: task",IF($D53="","Missing: owner",IF(NOT(ISNUMBER($E53)),"Missing: due date",IF($F53="","Missing: status",IF(COUNTIF(Config!$J$15:$J$34,$F53)=0,"Unsupported status",IF(AND($G53&lt;&gt;"",COUNTIF(Config!$R$15:$R$34,$G53)=0),"Unsupported priority","OK")))))))))</f>
        <v/>
      </c>
    </row>
    <row r="54">
      <c r="A54" s="46" t="n"/>
      <c r="B54" s="46" t="n"/>
      <c r="C54" s="46" t="n"/>
      <c r="D54" s="46" t="n"/>
      <c r="E54" s="54" t="n"/>
      <c r="F54" s="46" t="n"/>
      <c r="G54" s="46" t="n"/>
      <c r="H54" s="46" t="n"/>
      <c r="I54" s="52" t="str">
        <f>IF($A54="","",IF(IFERROR(INDEX(Config!$K$15:$K$34,MATCH($F54,Config!$J$15:$J$34,0)),"Yes")="Yes",1,0))</f>
        <v/>
      </c>
      <c r="J54" s="52" t="str">
        <f>IF($A54="","",IF(AND($I54=1,ISNUMBER($E54)),IF($E54&lt;Config!$B$4,1,0),0))</f>
        <v/>
      </c>
      <c r="K54" s="52" t="str">
        <f>IF($A54="","",IF($J54=1,Config!$B$4-$E54,0))</f>
        <v/>
      </c>
      <c r="L54" s="52" t="str">
        <f>IF($I54=1,IFERROR(COUNTIFS($I$2:$I$301,1,$E$2:$E$301,"&lt;"&amp;$E54)+COUNTIFS($I$2:$I54,1,$E$2:$E54,$E54),""),"")</f>
        <v/>
      </c>
      <c r="M54" s="49" t="str">
        <f>IF(COUNTA($A54:$H54)=0,"",IF($A54="","Missing: task ID",IF(COUNTIF($A$2:$A$301,$A54)&gt;1,"Duplicate task ID",IF($B54="","Missing: task",IF($D54="","Missing: owner",IF(NOT(ISNUMBER($E54)),"Missing: due date",IF($F54="","Missing: status",IF(COUNTIF(Config!$J$15:$J$34,$F54)=0,"Unsupported status",IF(AND($G54&lt;&gt;"",COUNTIF(Config!$R$15:$R$34,$G54)=0),"Unsupported priority","OK")))))))))</f>
        <v/>
      </c>
    </row>
    <row r="55">
      <c r="A55" s="46" t="n"/>
      <c r="B55" s="46" t="n"/>
      <c r="C55" s="46" t="n"/>
      <c r="D55" s="46" t="n"/>
      <c r="E55" s="54" t="n"/>
      <c r="F55" s="46" t="n"/>
      <c r="G55" s="46" t="n"/>
      <c r="H55" s="46" t="n"/>
      <c r="I55" s="52" t="str">
        <f>IF($A55="","",IF(IFERROR(INDEX(Config!$K$15:$K$34,MATCH($F55,Config!$J$15:$J$34,0)),"Yes")="Yes",1,0))</f>
        <v/>
      </c>
      <c r="J55" s="52" t="str">
        <f>IF($A55="","",IF(AND($I55=1,ISNUMBER($E55)),IF($E55&lt;Config!$B$4,1,0),0))</f>
        <v/>
      </c>
      <c r="K55" s="52" t="str">
        <f>IF($A55="","",IF($J55=1,Config!$B$4-$E55,0))</f>
        <v/>
      </c>
      <c r="L55" s="52" t="str">
        <f>IF($I55=1,IFERROR(COUNTIFS($I$2:$I$301,1,$E$2:$E$301,"&lt;"&amp;$E55)+COUNTIFS($I$2:$I55,1,$E$2:$E55,$E55),""),"")</f>
        <v/>
      </c>
      <c r="M55" s="49" t="str">
        <f>IF(COUNTA($A55:$H55)=0,"",IF($A55="","Missing: task ID",IF(COUNTIF($A$2:$A$301,$A55)&gt;1,"Duplicate task ID",IF($B55="","Missing: task",IF($D55="","Missing: owner",IF(NOT(ISNUMBER($E55)),"Missing: due date",IF($F55="","Missing: status",IF(COUNTIF(Config!$J$15:$J$34,$F55)=0,"Unsupported status",IF(AND($G55&lt;&gt;"",COUNTIF(Config!$R$15:$R$34,$G55)=0),"Unsupported priority","OK")))))))))</f>
        <v/>
      </c>
    </row>
    <row r="56">
      <c r="A56" s="46" t="n"/>
      <c r="B56" s="46" t="n"/>
      <c r="C56" s="46" t="n"/>
      <c r="D56" s="46" t="n"/>
      <c r="E56" s="54" t="n"/>
      <c r="F56" s="46" t="n"/>
      <c r="G56" s="46" t="n"/>
      <c r="H56" s="46" t="n"/>
      <c r="I56" s="52" t="str">
        <f>IF($A56="","",IF(IFERROR(INDEX(Config!$K$15:$K$34,MATCH($F56,Config!$J$15:$J$34,0)),"Yes")="Yes",1,0))</f>
        <v/>
      </c>
      <c r="J56" s="52" t="str">
        <f>IF($A56="","",IF(AND($I56=1,ISNUMBER($E56)),IF($E56&lt;Config!$B$4,1,0),0))</f>
        <v/>
      </c>
      <c r="K56" s="52" t="str">
        <f>IF($A56="","",IF($J56=1,Config!$B$4-$E56,0))</f>
        <v/>
      </c>
      <c r="L56" s="52" t="str">
        <f>IF($I56=1,IFERROR(COUNTIFS($I$2:$I$301,1,$E$2:$E$301,"&lt;"&amp;$E56)+COUNTIFS($I$2:$I56,1,$E$2:$E56,$E56),""),"")</f>
        <v/>
      </c>
      <c r="M56" s="49" t="str">
        <f>IF(COUNTA($A56:$H56)=0,"",IF($A56="","Missing: task ID",IF(COUNTIF($A$2:$A$301,$A56)&gt;1,"Duplicate task ID",IF($B56="","Missing: task",IF($D56="","Missing: owner",IF(NOT(ISNUMBER($E56)),"Missing: due date",IF($F56="","Missing: status",IF(COUNTIF(Config!$J$15:$J$34,$F56)=0,"Unsupported status",IF(AND($G56&lt;&gt;"",COUNTIF(Config!$R$15:$R$34,$G56)=0),"Unsupported priority","OK")))))))))</f>
        <v/>
      </c>
    </row>
    <row r="57">
      <c r="A57" s="46" t="n"/>
      <c r="B57" s="46" t="n"/>
      <c r="C57" s="46" t="n"/>
      <c r="D57" s="46" t="n"/>
      <c r="E57" s="54" t="n"/>
      <c r="F57" s="46" t="n"/>
      <c r="G57" s="46" t="n"/>
      <c r="H57" s="46" t="n"/>
      <c r="I57" s="52" t="str">
        <f>IF($A57="","",IF(IFERROR(INDEX(Config!$K$15:$K$34,MATCH($F57,Config!$J$15:$J$34,0)),"Yes")="Yes",1,0))</f>
        <v/>
      </c>
      <c r="J57" s="52" t="str">
        <f>IF($A57="","",IF(AND($I57=1,ISNUMBER($E57)),IF($E57&lt;Config!$B$4,1,0),0))</f>
        <v/>
      </c>
      <c r="K57" s="52" t="str">
        <f>IF($A57="","",IF($J57=1,Config!$B$4-$E57,0))</f>
        <v/>
      </c>
      <c r="L57" s="52" t="str">
        <f>IF($I57=1,IFERROR(COUNTIFS($I$2:$I$301,1,$E$2:$E$301,"&lt;"&amp;$E57)+COUNTIFS($I$2:$I57,1,$E$2:$E57,$E57),""),"")</f>
        <v/>
      </c>
      <c r="M57" s="49" t="str">
        <f>IF(COUNTA($A57:$H57)=0,"",IF($A57="","Missing: task ID",IF(COUNTIF($A$2:$A$301,$A57)&gt;1,"Duplicate task ID",IF($B57="","Missing: task",IF($D57="","Missing: owner",IF(NOT(ISNUMBER($E57)),"Missing: due date",IF($F57="","Missing: status",IF(COUNTIF(Config!$J$15:$J$34,$F57)=0,"Unsupported status",IF(AND($G57&lt;&gt;"",COUNTIF(Config!$R$15:$R$34,$G57)=0),"Unsupported priority","OK")))))))))</f>
        <v/>
      </c>
    </row>
    <row r="58">
      <c r="A58" s="46" t="n"/>
      <c r="B58" s="46" t="n"/>
      <c r="C58" s="46" t="n"/>
      <c r="D58" s="46" t="n"/>
      <c r="E58" s="54" t="n"/>
      <c r="F58" s="46" t="n"/>
      <c r="G58" s="46" t="n"/>
      <c r="H58" s="46" t="n"/>
      <c r="I58" s="52" t="str">
        <f>IF($A58="","",IF(IFERROR(INDEX(Config!$K$15:$K$34,MATCH($F58,Config!$J$15:$J$34,0)),"Yes")="Yes",1,0))</f>
        <v/>
      </c>
      <c r="J58" s="52" t="str">
        <f>IF($A58="","",IF(AND($I58=1,ISNUMBER($E58)),IF($E58&lt;Config!$B$4,1,0),0))</f>
        <v/>
      </c>
      <c r="K58" s="52" t="str">
        <f>IF($A58="","",IF($J58=1,Config!$B$4-$E58,0))</f>
        <v/>
      </c>
      <c r="L58" s="52" t="str">
        <f>IF($I58=1,IFERROR(COUNTIFS($I$2:$I$301,1,$E$2:$E$301,"&lt;"&amp;$E58)+COUNTIFS($I$2:$I58,1,$E$2:$E58,$E58),""),"")</f>
        <v/>
      </c>
      <c r="M58" s="49" t="str">
        <f>IF(COUNTA($A58:$H58)=0,"",IF($A58="","Missing: task ID",IF(COUNTIF($A$2:$A$301,$A58)&gt;1,"Duplicate task ID",IF($B58="","Missing: task",IF($D58="","Missing: owner",IF(NOT(ISNUMBER($E58)),"Missing: due date",IF($F58="","Missing: status",IF(COUNTIF(Config!$J$15:$J$34,$F58)=0,"Unsupported status",IF(AND($G58&lt;&gt;"",COUNTIF(Config!$R$15:$R$34,$G58)=0),"Unsupported priority","OK")))))))))</f>
        <v/>
      </c>
    </row>
    <row r="59">
      <c r="A59" s="46" t="n"/>
      <c r="B59" s="46" t="n"/>
      <c r="C59" s="46" t="n"/>
      <c r="D59" s="46" t="n"/>
      <c r="E59" s="54" t="n"/>
      <c r="F59" s="46" t="n"/>
      <c r="G59" s="46" t="n"/>
      <c r="H59" s="46" t="n"/>
      <c r="I59" s="52" t="str">
        <f>IF($A59="","",IF(IFERROR(INDEX(Config!$K$15:$K$34,MATCH($F59,Config!$J$15:$J$34,0)),"Yes")="Yes",1,0))</f>
        <v/>
      </c>
      <c r="J59" s="52" t="str">
        <f>IF($A59="","",IF(AND($I59=1,ISNUMBER($E59)),IF($E59&lt;Config!$B$4,1,0),0))</f>
        <v/>
      </c>
      <c r="K59" s="52" t="str">
        <f>IF($A59="","",IF($J59=1,Config!$B$4-$E59,0))</f>
        <v/>
      </c>
      <c r="L59" s="52" t="str">
        <f>IF($I59=1,IFERROR(COUNTIFS($I$2:$I$301,1,$E$2:$E$301,"&lt;"&amp;$E59)+COUNTIFS($I$2:$I59,1,$E$2:$E59,$E59),""),"")</f>
        <v/>
      </c>
      <c r="M59" s="49" t="str">
        <f>IF(COUNTA($A59:$H59)=0,"",IF($A59="","Missing: task ID",IF(COUNTIF($A$2:$A$301,$A59)&gt;1,"Duplicate task ID",IF($B59="","Missing: task",IF($D59="","Missing: owner",IF(NOT(ISNUMBER($E59)),"Missing: due date",IF($F59="","Missing: status",IF(COUNTIF(Config!$J$15:$J$34,$F59)=0,"Unsupported status",IF(AND($G59&lt;&gt;"",COUNTIF(Config!$R$15:$R$34,$G59)=0),"Unsupported priority","OK")))))))))</f>
        <v/>
      </c>
    </row>
    <row r="60">
      <c r="A60" s="46" t="n"/>
      <c r="B60" s="46" t="n"/>
      <c r="C60" s="46" t="n"/>
      <c r="D60" s="46" t="n"/>
      <c r="E60" s="54" t="n"/>
      <c r="F60" s="46" t="n"/>
      <c r="G60" s="46" t="n"/>
      <c r="H60" s="46" t="n"/>
      <c r="I60" s="52" t="str">
        <f>IF($A60="","",IF(IFERROR(INDEX(Config!$K$15:$K$34,MATCH($F60,Config!$J$15:$J$34,0)),"Yes")="Yes",1,0))</f>
        <v/>
      </c>
      <c r="J60" s="52" t="str">
        <f>IF($A60="","",IF(AND($I60=1,ISNUMBER($E60)),IF($E60&lt;Config!$B$4,1,0),0))</f>
        <v/>
      </c>
      <c r="K60" s="52" t="str">
        <f>IF($A60="","",IF($J60=1,Config!$B$4-$E60,0))</f>
        <v/>
      </c>
      <c r="L60" s="52" t="str">
        <f>IF($I60=1,IFERROR(COUNTIFS($I$2:$I$301,1,$E$2:$E$301,"&lt;"&amp;$E60)+COUNTIFS($I$2:$I60,1,$E$2:$E60,$E60),""),"")</f>
        <v/>
      </c>
      <c r="M60" s="49" t="str">
        <f>IF(COUNTA($A60:$H60)=0,"",IF($A60="","Missing: task ID",IF(COUNTIF($A$2:$A$301,$A60)&gt;1,"Duplicate task ID",IF($B60="","Missing: task",IF($D60="","Missing: owner",IF(NOT(ISNUMBER($E60)),"Missing: due date",IF($F60="","Missing: status",IF(COUNTIF(Config!$J$15:$J$34,$F60)=0,"Unsupported status",IF(AND($G60&lt;&gt;"",COUNTIF(Config!$R$15:$R$34,$G60)=0),"Unsupported priority","OK")))))))))</f>
        <v/>
      </c>
    </row>
    <row r="61">
      <c r="A61" s="46" t="n"/>
      <c r="B61" s="46" t="n"/>
      <c r="C61" s="46" t="n"/>
      <c r="D61" s="46" t="n"/>
      <c r="E61" s="54" t="n"/>
      <c r="F61" s="46" t="n"/>
      <c r="G61" s="46" t="n"/>
      <c r="H61" s="46" t="n"/>
      <c r="I61" s="52" t="str">
        <f>IF($A61="","",IF(IFERROR(INDEX(Config!$K$15:$K$34,MATCH($F61,Config!$J$15:$J$34,0)),"Yes")="Yes",1,0))</f>
        <v/>
      </c>
      <c r="J61" s="52" t="str">
        <f>IF($A61="","",IF(AND($I61=1,ISNUMBER($E61)),IF($E61&lt;Config!$B$4,1,0),0))</f>
        <v/>
      </c>
      <c r="K61" s="52" t="str">
        <f>IF($A61="","",IF($J61=1,Config!$B$4-$E61,0))</f>
        <v/>
      </c>
      <c r="L61" s="52" t="str">
        <f>IF($I61=1,IFERROR(COUNTIFS($I$2:$I$301,1,$E$2:$E$301,"&lt;"&amp;$E61)+COUNTIFS($I$2:$I61,1,$E$2:$E61,$E61),""),"")</f>
        <v/>
      </c>
      <c r="M61" s="49" t="str">
        <f>IF(COUNTA($A61:$H61)=0,"",IF($A61="","Missing: task ID",IF(COUNTIF($A$2:$A$301,$A61)&gt;1,"Duplicate task ID",IF($B61="","Missing: task",IF($D61="","Missing: owner",IF(NOT(ISNUMBER($E61)),"Missing: due date",IF($F61="","Missing: status",IF(COUNTIF(Config!$J$15:$J$34,$F61)=0,"Unsupported status",IF(AND($G61&lt;&gt;"",COUNTIF(Config!$R$15:$R$34,$G61)=0),"Unsupported priority","OK")))))))))</f>
        <v/>
      </c>
    </row>
    <row r="62">
      <c r="A62" s="46" t="n"/>
      <c r="B62" s="46" t="n"/>
      <c r="C62" s="46" t="n"/>
      <c r="D62" s="46" t="n"/>
      <c r="E62" s="54" t="n"/>
      <c r="F62" s="46" t="n"/>
      <c r="G62" s="46" t="n"/>
      <c r="H62" s="46" t="n"/>
      <c r="I62" s="52" t="str">
        <f>IF($A62="","",IF(IFERROR(INDEX(Config!$K$15:$K$34,MATCH($F62,Config!$J$15:$J$34,0)),"Yes")="Yes",1,0))</f>
        <v/>
      </c>
      <c r="J62" s="52" t="str">
        <f>IF($A62="","",IF(AND($I62=1,ISNUMBER($E62)),IF($E62&lt;Config!$B$4,1,0),0))</f>
        <v/>
      </c>
      <c r="K62" s="52" t="str">
        <f>IF($A62="","",IF($J62=1,Config!$B$4-$E62,0))</f>
        <v/>
      </c>
      <c r="L62" s="52" t="str">
        <f>IF($I62=1,IFERROR(COUNTIFS($I$2:$I$301,1,$E$2:$E$301,"&lt;"&amp;$E62)+COUNTIFS($I$2:$I62,1,$E$2:$E62,$E62),""),"")</f>
        <v/>
      </c>
      <c r="M62" s="49" t="str">
        <f>IF(COUNTA($A62:$H62)=0,"",IF($A62="","Missing: task ID",IF(COUNTIF($A$2:$A$301,$A62)&gt;1,"Duplicate task ID",IF($B62="","Missing: task",IF($D62="","Missing: owner",IF(NOT(ISNUMBER($E62)),"Missing: due date",IF($F62="","Missing: status",IF(COUNTIF(Config!$J$15:$J$34,$F62)=0,"Unsupported status",IF(AND($G62&lt;&gt;"",COUNTIF(Config!$R$15:$R$34,$G62)=0),"Unsupported priority","OK")))))))))</f>
        <v/>
      </c>
    </row>
    <row r="63">
      <c r="A63" s="46" t="n"/>
      <c r="B63" s="46" t="n"/>
      <c r="C63" s="46" t="n"/>
      <c r="D63" s="46" t="n"/>
      <c r="E63" s="54" t="n"/>
      <c r="F63" s="46" t="n"/>
      <c r="G63" s="46" t="n"/>
      <c r="H63" s="46" t="n"/>
      <c r="I63" s="52" t="str">
        <f>IF($A63="","",IF(IFERROR(INDEX(Config!$K$15:$K$34,MATCH($F63,Config!$J$15:$J$34,0)),"Yes")="Yes",1,0))</f>
        <v/>
      </c>
      <c r="J63" s="52" t="str">
        <f>IF($A63="","",IF(AND($I63=1,ISNUMBER($E63)),IF($E63&lt;Config!$B$4,1,0),0))</f>
        <v/>
      </c>
      <c r="K63" s="52" t="str">
        <f>IF($A63="","",IF($J63=1,Config!$B$4-$E63,0))</f>
        <v/>
      </c>
      <c r="L63" s="52" t="str">
        <f>IF($I63=1,IFERROR(COUNTIFS($I$2:$I$301,1,$E$2:$E$301,"&lt;"&amp;$E63)+COUNTIFS($I$2:$I63,1,$E$2:$E63,$E63),""),"")</f>
        <v/>
      </c>
      <c r="M63" s="49" t="str">
        <f>IF(COUNTA($A63:$H63)=0,"",IF($A63="","Missing: task ID",IF(COUNTIF($A$2:$A$301,$A63)&gt;1,"Duplicate task ID",IF($B63="","Missing: task",IF($D63="","Missing: owner",IF(NOT(ISNUMBER($E63)),"Missing: due date",IF($F63="","Missing: status",IF(COUNTIF(Config!$J$15:$J$34,$F63)=0,"Unsupported status",IF(AND($G63&lt;&gt;"",COUNTIF(Config!$R$15:$R$34,$G63)=0),"Unsupported priority","OK")))))))))</f>
        <v/>
      </c>
    </row>
    <row r="64">
      <c r="A64" s="46" t="n"/>
      <c r="B64" s="46" t="n"/>
      <c r="C64" s="46" t="n"/>
      <c r="D64" s="46" t="n"/>
      <c r="E64" s="54" t="n"/>
      <c r="F64" s="46" t="n"/>
      <c r="G64" s="46" t="n"/>
      <c r="H64" s="46" t="n"/>
      <c r="I64" s="52" t="str">
        <f>IF($A64="","",IF(IFERROR(INDEX(Config!$K$15:$K$34,MATCH($F64,Config!$J$15:$J$34,0)),"Yes")="Yes",1,0))</f>
        <v/>
      </c>
      <c r="J64" s="52" t="str">
        <f>IF($A64="","",IF(AND($I64=1,ISNUMBER($E64)),IF($E64&lt;Config!$B$4,1,0),0))</f>
        <v/>
      </c>
      <c r="K64" s="52" t="str">
        <f>IF($A64="","",IF($J64=1,Config!$B$4-$E64,0))</f>
        <v/>
      </c>
      <c r="L64" s="52" t="str">
        <f>IF($I64=1,IFERROR(COUNTIFS($I$2:$I$301,1,$E$2:$E$301,"&lt;"&amp;$E64)+COUNTIFS($I$2:$I64,1,$E$2:$E64,$E64),""),"")</f>
        <v/>
      </c>
      <c r="M64" s="49" t="str">
        <f>IF(COUNTA($A64:$H64)=0,"",IF($A64="","Missing: task ID",IF(COUNTIF($A$2:$A$301,$A64)&gt;1,"Duplicate task ID",IF($B64="","Missing: task",IF($D64="","Missing: owner",IF(NOT(ISNUMBER($E64)),"Missing: due date",IF($F64="","Missing: status",IF(COUNTIF(Config!$J$15:$J$34,$F64)=0,"Unsupported status",IF(AND($G64&lt;&gt;"",COUNTIF(Config!$R$15:$R$34,$G64)=0),"Unsupported priority","OK")))))))))</f>
        <v/>
      </c>
    </row>
    <row r="65">
      <c r="A65" s="46" t="n"/>
      <c r="B65" s="46" t="n"/>
      <c r="C65" s="46" t="n"/>
      <c r="D65" s="46" t="n"/>
      <c r="E65" s="54" t="n"/>
      <c r="F65" s="46" t="n"/>
      <c r="G65" s="46" t="n"/>
      <c r="H65" s="46" t="n"/>
      <c r="I65" s="52" t="str">
        <f>IF($A65="","",IF(IFERROR(INDEX(Config!$K$15:$K$34,MATCH($F65,Config!$J$15:$J$34,0)),"Yes")="Yes",1,0))</f>
        <v/>
      </c>
      <c r="J65" s="52" t="str">
        <f>IF($A65="","",IF(AND($I65=1,ISNUMBER($E65)),IF($E65&lt;Config!$B$4,1,0),0))</f>
        <v/>
      </c>
      <c r="K65" s="52" t="str">
        <f>IF($A65="","",IF($J65=1,Config!$B$4-$E65,0))</f>
        <v/>
      </c>
      <c r="L65" s="52" t="str">
        <f>IF($I65=1,IFERROR(COUNTIFS($I$2:$I$301,1,$E$2:$E$301,"&lt;"&amp;$E65)+COUNTIFS($I$2:$I65,1,$E$2:$E65,$E65),""),"")</f>
        <v/>
      </c>
      <c r="M65" s="49" t="str">
        <f>IF(COUNTA($A65:$H65)=0,"",IF($A65="","Missing: task ID",IF(COUNTIF($A$2:$A$301,$A65)&gt;1,"Duplicate task ID",IF($B65="","Missing: task",IF($D65="","Missing: owner",IF(NOT(ISNUMBER($E65)),"Missing: due date",IF($F65="","Missing: status",IF(COUNTIF(Config!$J$15:$J$34,$F65)=0,"Unsupported status",IF(AND($G65&lt;&gt;"",COUNTIF(Config!$R$15:$R$34,$G65)=0),"Unsupported priority","OK")))))))))</f>
        <v/>
      </c>
    </row>
    <row r="66">
      <c r="A66" s="46" t="n"/>
      <c r="B66" s="46" t="n"/>
      <c r="C66" s="46" t="n"/>
      <c r="D66" s="46" t="n"/>
      <c r="E66" s="54" t="n"/>
      <c r="F66" s="46" t="n"/>
      <c r="G66" s="46" t="n"/>
      <c r="H66" s="46" t="n"/>
      <c r="I66" s="52" t="str">
        <f>IF($A66="","",IF(IFERROR(INDEX(Config!$K$15:$K$34,MATCH($F66,Config!$J$15:$J$34,0)),"Yes")="Yes",1,0))</f>
        <v/>
      </c>
      <c r="J66" s="52" t="str">
        <f>IF($A66="","",IF(AND($I66=1,ISNUMBER($E66)),IF($E66&lt;Config!$B$4,1,0),0))</f>
        <v/>
      </c>
      <c r="K66" s="52" t="str">
        <f>IF($A66="","",IF($J66=1,Config!$B$4-$E66,0))</f>
        <v/>
      </c>
      <c r="L66" s="52" t="str">
        <f>IF($I66=1,IFERROR(COUNTIFS($I$2:$I$301,1,$E$2:$E$301,"&lt;"&amp;$E66)+COUNTIFS($I$2:$I66,1,$E$2:$E66,$E66),""),"")</f>
        <v/>
      </c>
      <c r="M66" s="49" t="str">
        <f>IF(COUNTA($A66:$H66)=0,"",IF($A66="","Missing: task ID",IF(COUNTIF($A$2:$A$301,$A66)&gt;1,"Duplicate task ID",IF($B66="","Missing: task",IF($D66="","Missing: owner",IF(NOT(ISNUMBER($E66)),"Missing: due date",IF($F66="","Missing: status",IF(COUNTIF(Config!$J$15:$J$34,$F66)=0,"Unsupported status",IF(AND($G66&lt;&gt;"",COUNTIF(Config!$R$15:$R$34,$G66)=0),"Unsupported priority","OK")))))))))</f>
        <v/>
      </c>
    </row>
    <row r="67">
      <c r="A67" s="46" t="n"/>
      <c r="B67" s="46" t="n"/>
      <c r="C67" s="46" t="n"/>
      <c r="D67" s="46" t="n"/>
      <c r="E67" s="54" t="n"/>
      <c r="F67" s="46" t="n"/>
      <c r="G67" s="46" t="n"/>
      <c r="H67" s="46" t="n"/>
      <c r="I67" s="52" t="str">
        <f>IF($A67="","",IF(IFERROR(INDEX(Config!$K$15:$K$34,MATCH($F67,Config!$J$15:$J$34,0)),"Yes")="Yes",1,0))</f>
        <v/>
      </c>
      <c r="J67" s="52" t="str">
        <f>IF($A67="","",IF(AND($I67=1,ISNUMBER($E67)),IF($E67&lt;Config!$B$4,1,0),0))</f>
        <v/>
      </c>
      <c r="K67" s="52" t="str">
        <f>IF($A67="","",IF($J67=1,Config!$B$4-$E67,0))</f>
        <v/>
      </c>
      <c r="L67" s="52" t="str">
        <f>IF($I67=1,IFERROR(COUNTIFS($I$2:$I$301,1,$E$2:$E$301,"&lt;"&amp;$E67)+COUNTIFS($I$2:$I67,1,$E$2:$E67,$E67),""),"")</f>
        <v/>
      </c>
      <c r="M67" s="49" t="str">
        <f>IF(COUNTA($A67:$H67)=0,"",IF($A67="","Missing: task ID",IF(COUNTIF($A$2:$A$301,$A67)&gt;1,"Duplicate task ID",IF($B67="","Missing: task",IF($D67="","Missing: owner",IF(NOT(ISNUMBER($E67)),"Missing: due date",IF($F67="","Missing: status",IF(COUNTIF(Config!$J$15:$J$34,$F67)=0,"Unsupported status",IF(AND($G67&lt;&gt;"",COUNTIF(Config!$R$15:$R$34,$G67)=0),"Unsupported priority","OK")))))))))</f>
        <v/>
      </c>
    </row>
    <row r="68">
      <c r="A68" s="46" t="n"/>
      <c r="B68" s="46" t="n"/>
      <c r="C68" s="46" t="n"/>
      <c r="D68" s="46" t="n"/>
      <c r="E68" s="54" t="n"/>
      <c r="F68" s="46" t="n"/>
      <c r="G68" s="46" t="n"/>
      <c r="H68" s="46" t="n"/>
      <c r="I68" s="52" t="str">
        <f>IF($A68="","",IF(IFERROR(INDEX(Config!$K$15:$K$34,MATCH($F68,Config!$J$15:$J$34,0)),"Yes")="Yes",1,0))</f>
        <v/>
      </c>
      <c r="J68" s="52" t="str">
        <f>IF($A68="","",IF(AND($I68=1,ISNUMBER($E68)),IF($E68&lt;Config!$B$4,1,0),0))</f>
        <v/>
      </c>
      <c r="K68" s="52" t="str">
        <f>IF($A68="","",IF($J68=1,Config!$B$4-$E68,0))</f>
        <v/>
      </c>
      <c r="L68" s="52" t="str">
        <f>IF($I68=1,IFERROR(COUNTIFS($I$2:$I$301,1,$E$2:$E$301,"&lt;"&amp;$E68)+COUNTIFS($I$2:$I68,1,$E$2:$E68,$E68),""),"")</f>
        <v/>
      </c>
      <c r="M68" s="49" t="str">
        <f>IF(COUNTA($A68:$H68)=0,"",IF($A68="","Missing: task ID",IF(COUNTIF($A$2:$A$301,$A68)&gt;1,"Duplicate task ID",IF($B68="","Missing: task",IF($D68="","Missing: owner",IF(NOT(ISNUMBER($E68)),"Missing: due date",IF($F68="","Missing: status",IF(COUNTIF(Config!$J$15:$J$34,$F68)=0,"Unsupported status",IF(AND($G68&lt;&gt;"",COUNTIF(Config!$R$15:$R$34,$G68)=0),"Unsupported priority","OK")))))))))</f>
        <v/>
      </c>
    </row>
    <row r="69">
      <c r="A69" s="46" t="n"/>
      <c r="B69" s="46" t="n"/>
      <c r="C69" s="46" t="n"/>
      <c r="D69" s="46" t="n"/>
      <c r="E69" s="54" t="n"/>
      <c r="F69" s="46" t="n"/>
      <c r="G69" s="46" t="n"/>
      <c r="H69" s="46" t="n"/>
      <c r="I69" s="52" t="str">
        <f>IF($A69="","",IF(IFERROR(INDEX(Config!$K$15:$K$34,MATCH($F69,Config!$J$15:$J$34,0)),"Yes")="Yes",1,0))</f>
        <v/>
      </c>
      <c r="J69" s="52" t="str">
        <f>IF($A69="","",IF(AND($I69=1,ISNUMBER($E69)),IF($E69&lt;Config!$B$4,1,0),0))</f>
        <v/>
      </c>
      <c r="K69" s="52" t="str">
        <f>IF($A69="","",IF($J69=1,Config!$B$4-$E69,0))</f>
        <v/>
      </c>
      <c r="L69" s="52" t="str">
        <f>IF($I69=1,IFERROR(COUNTIFS($I$2:$I$301,1,$E$2:$E$301,"&lt;"&amp;$E69)+COUNTIFS($I$2:$I69,1,$E$2:$E69,$E69),""),"")</f>
        <v/>
      </c>
      <c r="M69" s="49" t="str">
        <f>IF(COUNTA($A69:$H69)=0,"",IF($A69="","Missing: task ID",IF(COUNTIF($A$2:$A$301,$A69)&gt;1,"Duplicate task ID",IF($B69="","Missing: task",IF($D69="","Missing: owner",IF(NOT(ISNUMBER($E69)),"Missing: due date",IF($F69="","Missing: status",IF(COUNTIF(Config!$J$15:$J$34,$F69)=0,"Unsupported status",IF(AND($G69&lt;&gt;"",COUNTIF(Config!$R$15:$R$34,$G69)=0),"Unsupported priority","OK")))))))))</f>
        <v/>
      </c>
    </row>
    <row r="70">
      <c r="A70" s="46" t="n"/>
      <c r="B70" s="46" t="n"/>
      <c r="C70" s="46" t="n"/>
      <c r="D70" s="46" t="n"/>
      <c r="E70" s="54" t="n"/>
      <c r="F70" s="46" t="n"/>
      <c r="G70" s="46" t="n"/>
      <c r="H70" s="46" t="n"/>
      <c r="I70" s="52" t="str">
        <f>IF($A70="","",IF(IFERROR(INDEX(Config!$K$15:$K$34,MATCH($F70,Config!$J$15:$J$34,0)),"Yes")="Yes",1,0))</f>
        <v/>
      </c>
      <c r="J70" s="52" t="str">
        <f>IF($A70="","",IF(AND($I70=1,ISNUMBER($E70)),IF($E70&lt;Config!$B$4,1,0),0))</f>
        <v/>
      </c>
      <c r="K70" s="52" t="str">
        <f>IF($A70="","",IF($J70=1,Config!$B$4-$E70,0))</f>
        <v/>
      </c>
      <c r="L70" s="52" t="str">
        <f>IF($I70=1,IFERROR(COUNTIFS($I$2:$I$301,1,$E$2:$E$301,"&lt;"&amp;$E70)+COUNTIFS($I$2:$I70,1,$E$2:$E70,$E70),""),"")</f>
        <v/>
      </c>
      <c r="M70" s="49" t="str">
        <f>IF(COUNTA($A70:$H70)=0,"",IF($A70="","Missing: task ID",IF(COUNTIF($A$2:$A$301,$A70)&gt;1,"Duplicate task ID",IF($B70="","Missing: task",IF($D70="","Missing: owner",IF(NOT(ISNUMBER($E70)),"Missing: due date",IF($F70="","Missing: status",IF(COUNTIF(Config!$J$15:$J$34,$F70)=0,"Unsupported status",IF(AND($G70&lt;&gt;"",COUNTIF(Config!$R$15:$R$34,$G70)=0),"Unsupported priority","OK")))))))))</f>
        <v/>
      </c>
    </row>
    <row r="71">
      <c r="A71" s="46" t="n"/>
      <c r="B71" s="46" t="n"/>
      <c r="C71" s="46" t="n"/>
      <c r="D71" s="46" t="n"/>
      <c r="E71" s="54" t="n"/>
      <c r="F71" s="46" t="n"/>
      <c r="G71" s="46" t="n"/>
      <c r="H71" s="46" t="n"/>
      <c r="I71" s="52" t="str">
        <f>IF($A71="","",IF(IFERROR(INDEX(Config!$K$15:$K$34,MATCH($F71,Config!$J$15:$J$34,0)),"Yes")="Yes",1,0))</f>
        <v/>
      </c>
      <c r="J71" s="52" t="str">
        <f>IF($A71="","",IF(AND($I71=1,ISNUMBER($E71)),IF($E71&lt;Config!$B$4,1,0),0))</f>
        <v/>
      </c>
      <c r="K71" s="52" t="str">
        <f>IF($A71="","",IF($J71=1,Config!$B$4-$E71,0))</f>
        <v/>
      </c>
      <c r="L71" s="52" t="str">
        <f>IF($I71=1,IFERROR(COUNTIFS($I$2:$I$301,1,$E$2:$E$301,"&lt;"&amp;$E71)+COUNTIFS($I$2:$I71,1,$E$2:$E71,$E71),""),"")</f>
        <v/>
      </c>
      <c r="M71" s="49" t="str">
        <f>IF(COUNTA($A71:$H71)=0,"",IF($A71="","Missing: task ID",IF(COUNTIF($A$2:$A$301,$A71)&gt;1,"Duplicate task ID",IF($B71="","Missing: task",IF($D71="","Missing: owner",IF(NOT(ISNUMBER($E71)),"Missing: due date",IF($F71="","Missing: status",IF(COUNTIF(Config!$J$15:$J$34,$F71)=0,"Unsupported status",IF(AND($G71&lt;&gt;"",COUNTIF(Config!$R$15:$R$34,$G71)=0),"Unsupported priority","OK")))))))))</f>
        <v/>
      </c>
    </row>
    <row r="72">
      <c r="A72" s="46" t="n"/>
      <c r="B72" s="46" t="n"/>
      <c r="C72" s="46" t="n"/>
      <c r="D72" s="46" t="n"/>
      <c r="E72" s="54" t="n"/>
      <c r="F72" s="46" t="n"/>
      <c r="G72" s="46" t="n"/>
      <c r="H72" s="46" t="n"/>
      <c r="I72" s="52" t="str">
        <f>IF($A72="","",IF(IFERROR(INDEX(Config!$K$15:$K$34,MATCH($F72,Config!$J$15:$J$34,0)),"Yes")="Yes",1,0))</f>
        <v/>
      </c>
      <c r="J72" s="52" t="str">
        <f>IF($A72="","",IF(AND($I72=1,ISNUMBER($E72)),IF($E72&lt;Config!$B$4,1,0),0))</f>
        <v/>
      </c>
      <c r="K72" s="52" t="str">
        <f>IF($A72="","",IF($J72=1,Config!$B$4-$E72,0))</f>
        <v/>
      </c>
      <c r="L72" s="52" t="str">
        <f>IF($I72=1,IFERROR(COUNTIFS($I$2:$I$301,1,$E$2:$E$301,"&lt;"&amp;$E72)+COUNTIFS($I$2:$I72,1,$E$2:$E72,$E72),""),"")</f>
        <v/>
      </c>
      <c r="M72" s="49" t="str">
        <f>IF(COUNTA($A72:$H72)=0,"",IF($A72="","Missing: task ID",IF(COUNTIF($A$2:$A$301,$A72)&gt;1,"Duplicate task ID",IF($B72="","Missing: task",IF($D72="","Missing: owner",IF(NOT(ISNUMBER($E72)),"Missing: due date",IF($F72="","Missing: status",IF(COUNTIF(Config!$J$15:$J$34,$F72)=0,"Unsupported status",IF(AND($G72&lt;&gt;"",COUNTIF(Config!$R$15:$R$34,$G72)=0),"Unsupported priority","OK")))))))))</f>
        <v/>
      </c>
    </row>
    <row r="73">
      <c r="A73" s="46" t="n"/>
      <c r="B73" s="46" t="n"/>
      <c r="C73" s="46" t="n"/>
      <c r="D73" s="46" t="n"/>
      <c r="E73" s="54" t="n"/>
      <c r="F73" s="46" t="n"/>
      <c r="G73" s="46" t="n"/>
      <c r="H73" s="46" t="n"/>
      <c r="I73" s="52" t="str">
        <f>IF($A73="","",IF(IFERROR(INDEX(Config!$K$15:$K$34,MATCH($F73,Config!$J$15:$J$34,0)),"Yes")="Yes",1,0))</f>
        <v/>
      </c>
      <c r="J73" s="52" t="str">
        <f>IF($A73="","",IF(AND($I73=1,ISNUMBER($E73)),IF($E73&lt;Config!$B$4,1,0),0))</f>
        <v/>
      </c>
      <c r="K73" s="52" t="str">
        <f>IF($A73="","",IF($J73=1,Config!$B$4-$E73,0))</f>
        <v/>
      </c>
      <c r="L73" s="52" t="str">
        <f>IF($I73=1,IFERROR(COUNTIFS($I$2:$I$301,1,$E$2:$E$301,"&lt;"&amp;$E73)+COUNTIFS($I$2:$I73,1,$E$2:$E73,$E73),""),"")</f>
        <v/>
      </c>
      <c r="M73" s="49" t="str">
        <f>IF(COUNTA($A73:$H73)=0,"",IF($A73="","Missing: task ID",IF(COUNTIF($A$2:$A$301,$A73)&gt;1,"Duplicate task ID",IF($B73="","Missing: task",IF($D73="","Missing: owner",IF(NOT(ISNUMBER($E73)),"Missing: due date",IF($F73="","Missing: status",IF(COUNTIF(Config!$J$15:$J$34,$F73)=0,"Unsupported status",IF(AND($G73&lt;&gt;"",COUNTIF(Config!$R$15:$R$34,$G73)=0),"Unsupported priority","OK")))))))))</f>
        <v/>
      </c>
    </row>
    <row r="74">
      <c r="A74" s="46" t="n"/>
      <c r="B74" s="46" t="n"/>
      <c r="C74" s="46" t="n"/>
      <c r="D74" s="46" t="n"/>
      <c r="E74" s="54" t="n"/>
      <c r="F74" s="46" t="n"/>
      <c r="G74" s="46" t="n"/>
      <c r="H74" s="46" t="n"/>
      <c r="I74" s="52" t="str">
        <f>IF($A74="","",IF(IFERROR(INDEX(Config!$K$15:$K$34,MATCH($F74,Config!$J$15:$J$34,0)),"Yes")="Yes",1,0))</f>
        <v/>
      </c>
      <c r="J74" s="52" t="str">
        <f>IF($A74="","",IF(AND($I74=1,ISNUMBER($E74)),IF($E74&lt;Config!$B$4,1,0),0))</f>
        <v/>
      </c>
      <c r="K74" s="52" t="str">
        <f>IF($A74="","",IF($J74=1,Config!$B$4-$E74,0))</f>
        <v/>
      </c>
      <c r="L74" s="52" t="str">
        <f>IF($I74=1,IFERROR(COUNTIFS($I$2:$I$301,1,$E$2:$E$301,"&lt;"&amp;$E74)+COUNTIFS($I$2:$I74,1,$E$2:$E74,$E74),""),"")</f>
        <v/>
      </c>
      <c r="M74" s="49" t="str">
        <f>IF(COUNTA($A74:$H74)=0,"",IF($A74="","Missing: task ID",IF(COUNTIF($A$2:$A$301,$A74)&gt;1,"Duplicate task ID",IF($B74="","Missing: task",IF($D74="","Missing: owner",IF(NOT(ISNUMBER($E74)),"Missing: due date",IF($F74="","Missing: status",IF(COUNTIF(Config!$J$15:$J$34,$F74)=0,"Unsupported status",IF(AND($G74&lt;&gt;"",COUNTIF(Config!$R$15:$R$34,$G74)=0),"Unsupported priority","OK")))))))))</f>
        <v/>
      </c>
    </row>
    <row r="75">
      <c r="A75" s="46" t="n"/>
      <c r="B75" s="46" t="n"/>
      <c r="C75" s="46" t="n"/>
      <c r="D75" s="46" t="n"/>
      <c r="E75" s="54" t="n"/>
      <c r="F75" s="46" t="n"/>
      <c r="G75" s="46" t="n"/>
      <c r="H75" s="46" t="n"/>
      <c r="I75" s="52" t="str">
        <f>IF($A75="","",IF(IFERROR(INDEX(Config!$K$15:$K$34,MATCH($F75,Config!$J$15:$J$34,0)),"Yes")="Yes",1,0))</f>
        <v/>
      </c>
      <c r="J75" s="52" t="str">
        <f>IF($A75="","",IF(AND($I75=1,ISNUMBER($E75)),IF($E75&lt;Config!$B$4,1,0),0))</f>
        <v/>
      </c>
      <c r="K75" s="52" t="str">
        <f>IF($A75="","",IF($J75=1,Config!$B$4-$E75,0))</f>
        <v/>
      </c>
      <c r="L75" s="52" t="str">
        <f>IF($I75=1,IFERROR(COUNTIFS($I$2:$I$301,1,$E$2:$E$301,"&lt;"&amp;$E75)+COUNTIFS($I$2:$I75,1,$E$2:$E75,$E75),""),"")</f>
        <v/>
      </c>
      <c r="M75" s="49" t="str">
        <f>IF(COUNTA($A75:$H75)=0,"",IF($A75="","Missing: task ID",IF(COUNTIF($A$2:$A$301,$A75)&gt;1,"Duplicate task ID",IF($B75="","Missing: task",IF($D75="","Missing: owner",IF(NOT(ISNUMBER($E75)),"Missing: due date",IF($F75="","Missing: status",IF(COUNTIF(Config!$J$15:$J$34,$F75)=0,"Unsupported status",IF(AND($G75&lt;&gt;"",COUNTIF(Config!$R$15:$R$34,$G75)=0),"Unsupported priority","OK")))))))))</f>
        <v/>
      </c>
    </row>
    <row r="76">
      <c r="A76" s="46" t="n"/>
      <c r="B76" s="46" t="n"/>
      <c r="C76" s="46" t="n"/>
      <c r="D76" s="46" t="n"/>
      <c r="E76" s="54" t="n"/>
      <c r="F76" s="46" t="n"/>
      <c r="G76" s="46" t="n"/>
      <c r="H76" s="46" t="n"/>
      <c r="I76" s="52" t="str">
        <f>IF($A76="","",IF(IFERROR(INDEX(Config!$K$15:$K$34,MATCH($F76,Config!$J$15:$J$34,0)),"Yes")="Yes",1,0))</f>
        <v/>
      </c>
      <c r="J76" s="52" t="str">
        <f>IF($A76="","",IF(AND($I76=1,ISNUMBER($E76)),IF($E76&lt;Config!$B$4,1,0),0))</f>
        <v/>
      </c>
      <c r="K76" s="52" t="str">
        <f>IF($A76="","",IF($J76=1,Config!$B$4-$E76,0))</f>
        <v/>
      </c>
      <c r="L76" s="52" t="str">
        <f>IF($I76=1,IFERROR(COUNTIFS($I$2:$I$301,1,$E$2:$E$301,"&lt;"&amp;$E76)+COUNTIFS($I$2:$I76,1,$E$2:$E76,$E76),""),"")</f>
        <v/>
      </c>
      <c r="M76" s="49" t="str">
        <f>IF(COUNTA($A76:$H76)=0,"",IF($A76="","Missing: task ID",IF(COUNTIF($A$2:$A$301,$A76)&gt;1,"Duplicate task ID",IF($B76="","Missing: task",IF($D76="","Missing: owner",IF(NOT(ISNUMBER($E76)),"Missing: due date",IF($F76="","Missing: status",IF(COUNTIF(Config!$J$15:$J$34,$F76)=0,"Unsupported status",IF(AND($G76&lt;&gt;"",COUNTIF(Config!$R$15:$R$34,$G76)=0),"Unsupported priority","OK")))))))))</f>
        <v/>
      </c>
    </row>
    <row r="77">
      <c r="A77" s="46" t="n"/>
      <c r="B77" s="46" t="n"/>
      <c r="C77" s="46" t="n"/>
      <c r="D77" s="46" t="n"/>
      <c r="E77" s="54" t="n"/>
      <c r="F77" s="46" t="n"/>
      <c r="G77" s="46" t="n"/>
      <c r="H77" s="46" t="n"/>
      <c r="I77" s="52" t="str">
        <f>IF($A77="","",IF(IFERROR(INDEX(Config!$K$15:$K$34,MATCH($F77,Config!$J$15:$J$34,0)),"Yes")="Yes",1,0))</f>
        <v/>
      </c>
      <c r="J77" s="52" t="str">
        <f>IF($A77="","",IF(AND($I77=1,ISNUMBER($E77)),IF($E77&lt;Config!$B$4,1,0),0))</f>
        <v/>
      </c>
      <c r="K77" s="52" t="str">
        <f>IF($A77="","",IF($J77=1,Config!$B$4-$E77,0))</f>
        <v/>
      </c>
      <c r="L77" s="52" t="str">
        <f>IF($I77=1,IFERROR(COUNTIFS($I$2:$I$301,1,$E$2:$E$301,"&lt;"&amp;$E77)+COUNTIFS($I$2:$I77,1,$E$2:$E77,$E77),""),"")</f>
        <v/>
      </c>
      <c r="M77" s="49" t="str">
        <f>IF(COUNTA($A77:$H77)=0,"",IF($A77="","Missing: task ID",IF(COUNTIF($A$2:$A$301,$A77)&gt;1,"Duplicate task ID",IF($B77="","Missing: task",IF($D77="","Missing: owner",IF(NOT(ISNUMBER($E77)),"Missing: due date",IF($F77="","Missing: status",IF(COUNTIF(Config!$J$15:$J$34,$F77)=0,"Unsupported status",IF(AND($G77&lt;&gt;"",COUNTIF(Config!$R$15:$R$34,$G77)=0),"Unsupported priority","OK")))))))))</f>
        <v/>
      </c>
    </row>
    <row r="78">
      <c r="A78" s="46" t="n"/>
      <c r="B78" s="46" t="n"/>
      <c r="C78" s="46" t="n"/>
      <c r="D78" s="46" t="n"/>
      <c r="E78" s="54" t="n"/>
      <c r="F78" s="46" t="n"/>
      <c r="G78" s="46" t="n"/>
      <c r="H78" s="46" t="n"/>
      <c r="I78" s="52" t="str">
        <f>IF($A78="","",IF(IFERROR(INDEX(Config!$K$15:$K$34,MATCH($F78,Config!$J$15:$J$34,0)),"Yes")="Yes",1,0))</f>
        <v/>
      </c>
      <c r="J78" s="52" t="str">
        <f>IF($A78="","",IF(AND($I78=1,ISNUMBER($E78)),IF($E78&lt;Config!$B$4,1,0),0))</f>
        <v/>
      </c>
      <c r="K78" s="52" t="str">
        <f>IF($A78="","",IF($J78=1,Config!$B$4-$E78,0))</f>
        <v/>
      </c>
      <c r="L78" s="52" t="str">
        <f>IF($I78=1,IFERROR(COUNTIFS($I$2:$I$301,1,$E$2:$E$301,"&lt;"&amp;$E78)+COUNTIFS($I$2:$I78,1,$E$2:$E78,$E78),""),"")</f>
        <v/>
      </c>
      <c r="M78" s="49" t="str">
        <f>IF(COUNTA($A78:$H78)=0,"",IF($A78="","Missing: task ID",IF(COUNTIF($A$2:$A$301,$A78)&gt;1,"Duplicate task ID",IF($B78="","Missing: task",IF($D78="","Missing: owner",IF(NOT(ISNUMBER($E78)),"Missing: due date",IF($F78="","Missing: status",IF(COUNTIF(Config!$J$15:$J$34,$F78)=0,"Unsupported status",IF(AND($G78&lt;&gt;"",COUNTIF(Config!$R$15:$R$34,$G78)=0),"Unsupported priority","OK")))))))))</f>
        <v/>
      </c>
    </row>
    <row r="79">
      <c r="A79" s="46" t="n"/>
      <c r="B79" s="46" t="n"/>
      <c r="C79" s="46" t="n"/>
      <c r="D79" s="46" t="n"/>
      <c r="E79" s="54" t="n"/>
      <c r="F79" s="46" t="n"/>
      <c r="G79" s="46" t="n"/>
      <c r="H79" s="46" t="n"/>
      <c r="I79" s="52" t="str">
        <f>IF($A79="","",IF(IFERROR(INDEX(Config!$K$15:$K$34,MATCH($F79,Config!$J$15:$J$34,0)),"Yes")="Yes",1,0))</f>
        <v/>
      </c>
      <c r="J79" s="52" t="str">
        <f>IF($A79="","",IF(AND($I79=1,ISNUMBER($E79)),IF($E79&lt;Config!$B$4,1,0),0))</f>
        <v/>
      </c>
      <c r="K79" s="52" t="str">
        <f>IF($A79="","",IF($J79=1,Config!$B$4-$E79,0))</f>
        <v/>
      </c>
      <c r="L79" s="52" t="str">
        <f>IF($I79=1,IFERROR(COUNTIFS($I$2:$I$301,1,$E$2:$E$301,"&lt;"&amp;$E79)+COUNTIFS($I$2:$I79,1,$E$2:$E79,$E79),""),"")</f>
        <v/>
      </c>
      <c r="M79" s="49" t="str">
        <f>IF(COUNTA($A79:$H79)=0,"",IF($A79="","Missing: task ID",IF(COUNTIF($A$2:$A$301,$A79)&gt;1,"Duplicate task ID",IF($B79="","Missing: task",IF($D79="","Missing: owner",IF(NOT(ISNUMBER($E79)),"Missing: due date",IF($F79="","Missing: status",IF(COUNTIF(Config!$J$15:$J$34,$F79)=0,"Unsupported status",IF(AND($G79&lt;&gt;"",COUNTIF(Config!$R$15:$R$34,$G79)=0),"Unsupported priority","OK")))))))))</f>
        <v/>
      </c>
    </row>
    <row r="80">
      <c r="A80" s="46" t="n"/>
      <c r="B80" s="46" t="n"/>
      <c r="C80" s="46" t="n"/>
      <c r="D80" s="46" t="n"/>
      <c r="E80" s="54" t="n"/>
      <c r="F80" s="46" t="n"/>
      <c r="G80" s="46" t="n"/>
      <c r="H80" s="46" t="n"/>
      <c r="I80" s="52" t="str">
        <f>IF($A80="","",IF(IFERROR(INDEX(Config!$K$15:$K$34,MATCH($F80,Config!$J$15:$J$34,0)),"Yes")="Yes",1,0))</f>
        <v/>
      </c>
      <c r="J80" s="52" t="str">
        <f>IF($A80="","",IF(AND($I80=1,ISNUMBER($E80)),IF($E80&lt;Config!$B$4,1,0),0))</f>
        <v/>
      </c>
      <c r="K80" s="52" t="str">
        <f>IF($A80="","",IF($J80=1,Config!$B$4-$E80,0))</f>
        <v/>
      </c>
      <c r="L80" s="52" t="str">
        <f>IF($I80=1,IFERROR(COUNTIFS($I$2:$I$301,1,$E$2:$E$301,"&lt;"&amp;$E80)+COUNTIFS($I$2:$I80,1,$E$2:$E80,$E80),""),"")</f>
        <v/>
      </c>
      <c r="M80" s="49" t="str">
        <f>IF(COUNTA($A80:$H80)=0,"",IF($A80="","Missing: task ID",IF(COUNTIF($A$2:$A$301,$A80)&gt;1,"Duplicate task ID",IF($B80="","Missing: task",IF($D80="","Missing: owner",IF(NOT(ISNUMBER($E80)),"Missing: due date",IF($F80="","Missing: status",IF(COUNTIF(Config!$J$15:$J$34,$F80)=0,"Unsupported status",IF(AND($G80&lt;&gt;"",COUNTIF(Config!$R$15:$R$34,$G80)=0),"Unsupported priority","OK")))))))))</f>
        <v/>
      </c>
    </row>
    <row r="81">
      <c r="A81" s="46" t="n"/>
      <c r="B81" s="46" t="n"/>
      <c r="C81" s="46" t="n"/>
      <c r="D81" s="46" t="n"/>
      <c r="E81" s="54" t="n"/>
      <c r="F81" s="46" t="n"/>
      <c r="G81" s="46" t="n"/>
      <c r="H81" s="46" t="n"/>
      <c r="I81" s="52" t="str">
        <f>IF($A81="","",IF(IFERROR(INDEX(Config!$K$15:$K$34,MATCH($F81,Config!$J$15:$J$34,0)),"Yes")="Yes",1,0))</f>
        <v/>
      </c>
      <c r="J81" s="52" t="str">
        <f>IF($A81="","",IF(AND($I81=1,ISNUMBER($E81)),IF($E81&lt;Config!$B$4,1,0),0))</f>
        <v/>
      </c>
      <c r="K81" s="52" t="str">
        <f>IF($A81="","",IF($J81=1,Config!$B$4-$E81,0))</f>
        <v/>
      </c>
      <c r="L81" s="52" t="str">
        <f>IF($I81=1,IFERROR(COUNTIFS($I$2:$I$301,1,$E$2:$E$301,"&lt;"&amp;$E81)+COUNTIFS($I$2:$I81,1,$E$2:$E81,$E81),""),"")</f>
        <v/>
      </c>
      <c r="M81" s="49" t="str">
        <f>IF(COUNTA($A81:$H81)=0,"",IF($A81="","Missing: task ID",IF(COUNTIF($A$2:$A$301,$A81)&gt;1,"Duplicate task ID",IF($B81="","Missing: task",IF($D81="","Missing: owner",IF(NOT(ISNUMBER($E81)),"Missing: due date",IF($F81="","Missing: status",IF(COUNTIF(Config!$J$15:$J$34,$F81)=0,"Unsupported status",IF(AND($G81&lt;&gt;"",COUNTIF(Config!$R$15:$R$34,$G81)=0),"Unsupported priority","OK")))))))))</f>
        <v/>
      </c>
    </row>
    <row r="82">
      <c r="A82" s="46" t="n"/>
      <c r="B82" s="46" t="n"/>
      <c r="C82" s="46" t="n"/>
      <c r="D82" s="46" t="n"/>
      <c r="E82" s="54" t="n"/>
      <c r="F82" s="46" t="n"/>
      <c r="G82" s="46" t="n"/>
      <c r="H82" s="46" t="n"/>
      <c r="I82" s="52" t="str">
        <f>IF($A82="","",IF(IFERROR(INDEX(Config!$K$15:$K$34,MATCH($F82,Config!$J$15:$J$34,0)),"Yes")="Yes",1,0))</f>
        <v/>
      </c>
      <c r="J82" s="52" t="str">
        <f>IF($A82="","",IF(AND($I82=1,ISNUMBER($E82)),IF($E82&lt;Config!$B$4,1,0),0))</f>
        <v/>
      </c>
      <c r="K82" s="52" t="str">
        <f>IF($A82="","",IF($J82=1,Config!$B$4-$E82,0))</f>
        <v/>
      </c>
      <c r="L82" s="52" t="str">
        <f>IF($I82=1,IFERROR(COUNTIFS($I$2:$I$301,1,$E$2:$E$301,"&lt;"&amp;$E82)+COUNTIFS($I$2:$I82,1,$E$2:$E82,$E82),""),"")</f>
        <v/>
      </c>
      <c r="M82" s="49" t="str">
        <f>IF(COUNTA($A82:$H82)=0,"",IF($A82="","Missing: task ID",IF(COUNTIF($A$2:$A$301,$A82)&gt;1,"Duplicate task ID",IF($B82="","Missing: task",IF($D82="","Missing: owner",IF(NOT(ISNUMBER($E82)),"Missing: due date",IF($F82="","Missing: status",IF(COUNTIF(Config!$J$15:$J$34,$F82)=0,"Unsupported status",IF(AND($G82&lt;&gt;"",COUNTIF(Config!$R$15:$R$34,$G82)=0),"Unsupported priority","OK")))))))))</f>
        <v/>
      </c>
    </row>
    <row r="83">
      <c r="A83" s="46" t="n"/>
      <c r="B83" s="46" t="n"/>
      <c r="C83" s="46" t="n"/>
      <c r="D83" s="46" t="n"/>
      <c r="E83" s="54" t="n"/>
      <c r="F83" s="46" t="n"/>
      <c r="G83" s="46" t="n"/>
      <c r="H83" s="46" t="n"/>
      <c r="I83" s="52" t="str">
        <f>IF($A83="","",IF(IFERROR(INDEX(Config!$K$15:$K$34,MATCH($F83,Config!$J$15:$J$34,0)),"Yes")="Yes",1,0))</f>
        <v/>
      </c>
      <c r="J83" s="52" t="str">
        <f>IF($A83="","",IF(AND($I83=1,ISNUMBER($E83)),IF($E83&lt;Config!$B$4,1,0),0))</f>
        <v/>
      </c>
      <c r="K83" s="52" t="str">
        <f>IF($A83="","",IF($J83=1,Config!$B$4-$E83,0))</f>
        <v/>
      </c>
      <c r="L83" s="52" t="str">
        <f>IF($I83=1,IFERROR(COUNTIFS($I$2:$I$301,1,$E$2:$E$301,"&lt;"&amp;$E83)+COUNTIFS($I$2:$I83,1,$E$2:$E83,$E83),""),"")</f>
        <v/>
      </c>
      <c r="M83" s="49" t="str">
        <f>IF(COUNTA($A83:$H83)=0,"",IF($A83="","Missing: task ID",IF(COUNTIF($A$2:$A$301,$A83)&gt;1,"Duplicate task ID",IF($B83="","Missing: task",IF($D83="","Missing: owner",IF(NOT(ISNUMBER($E83)),"Missing: due date",IF($F83="","Missing: status",IF(COUNTIF(Config!$J$15:$J$34,$F83)=0,"Unsupported status",IF(AND($G83&lt;&gt;"",COUNTIF(Config!$R$15:$R$34,$G83)=0),"Unsupported priority","OK")))))))))</f>
        <v/>
      </c>
    </row>
    <row r="84">
      <c r="A84" s="46" t="n"/>
      <c r="B84" s="46" t="n"/>
      <c r="C84" s="46" t="n"/>
      <c r="D84" s="46" t="n"/>
      <c r="E84" s="54" t="n"/>
      <c r="F84" s="46" t="n"/>
      <c r="G84" s="46" t="n"/>
      <c r="H84" s="46" t="n"/>
      <c r="I84" s="52" t="str">
        <f>IF($A84="","",IF(IFERROR(INDEX(Config!$K$15:$K$34,MATCH($F84,Config!$J$15:$J$34,0)),"Yes")="Yes",1,0))</f>
        <v/>
      </c>
      <c r="J84" s="52" t="str">
        <f>IF($A84="","",IF(AND($I84=1,ISNUMBER($E84)),IF($E84&lt;Config!$B$4,1,0),0))</f>
        <v/>
      </c>
      <c r="K84" s="52" t="str">
        <f>IF($A84="","",IF($J84=1,Config!$B$4-$E84,0))</f>
        <v/>
      </c>
      <c r="L84" s="52" t="str">
        <f>IF($I84=1,IFERROR(COUNTIFS($I$2:$I$301,1,$E$2:$E$301,"&lt;"&amp;$E84)+COUNTIFS($I$2:$I84,1,$E$2:$E84,$E84),""),"")</f>
        <v/>
      </c>
      <c r="M84" s="49" t="str">
        <f>IF(COUNTA($A84:$H84)=0,"",IF($A84="","Missing: task ID",IF(COUNTIF($A$2:$A$301,$A84)&gt;1,"Duplicate task ID",IF($B84="","Missing: task",IF($D84="","Missing: owner",IF(NOT(ISNUMBER($E84)),"Missing: due date",IF($F84="","Missing: status",IF(COUNTIF(Config!$J$15:$J$34,$F84)=0,"Unsupported status",IF(AND($G84&lt;&gt;"",COUNTIF(Config!$R$15:$R$34,$G84)=0),"Unsupported priority","OK")))))))))</f>
        <v/>
      </c>
    </row>
    <row r="85">
      <c r="A85" s="46" t="n"/>
      <c r="B85" s="46" t="n"/>
      <c r="C85" s="46" t="n"/>
      <c r="D85" s="46" t="n"/>
      <c r="E85" s="54" t="n"/>
      <c r="F85" s="46" t="n"/>
      <c r="G85" s="46" t="n"/>
      <c r="H85" s="46" t="n"/>
      <c r="I85" s="52" t="str">
        <f>IF($A85="","",IF(IFERROR(INDEX(Config!$K$15:$K$34,MATCH($F85,Config!$J$15:$J$34,0)),"Yes")="Yes",1,0))</f>
        <v/>
      </c>
      <c r="J85" s="52" t="str">
        <f>IF($A85="","",IF(AND($I85=1,ISNUMBER($E85)),IF($E85&lt;Config!$B$4,1,0),0))</f>
        <v/>
      </c>
      <c r="K85" s="52" t="str">
        <f>IF($A85="","",IF($J85=1,Config!$B$4-$E85,0))</f>
        <v/>
      </c>
      <c r="L85" s="52" t="str">
        <f>IF($I85=1,IFERROR(COUNTIFS($I$2:$I$301,1,$E$2:$E$301,"&lt;"&amp;$E85)+COUNTIFS($I$2:$I85,1,$E$2:$E85,$E85),""),"")</f>
        <v/>
      </c>
      <c r="M85" s="49" t="str">
        <f>IF(COUNTA($A85:$H85)=0,"",IF($A85="","Missing: task ID",IF(COUNTIF($A$2:$A$301,$A85)&gt;1,"Duplicate task ID",IF($B85="","Missing: task",IF($D85="","Missing: owner",IF(NOT(ISNUMBER($E85)),"Missing: due date",IF($F85="","Missing: status",IF(COUNTIF(Config!$J$15:$J$34,$F85)=0,"Unsupported status",IF(AND($G85&lt;&gt;"",COUNTIF(Config!$R$15:$R$34,$G85)=0),"Unsupported priority","OK")))))))))</f>
        <v/>
      </c>
    </row>
    <row r="86">
      <c r="A86" s="46" t="n"/>
      <c r="B86" s="46" t="n"/>
      <c r="C86" s="46" t="n"/>
      <c r="D86" s="46" t="n"/>
      <c r="E86" s="54" t="n"/>
      <c r="F86" s="46" t="n"/>
      <c r="G86" s="46" t="n"/>
      <c r="H86" s="46" t="n"/>
      <c r="I86" s="52" t="str">
        <f>IF($A86="","",IF(IFERROR(INDEX(Config!$K$15:$K$34,MATCH($F86,Config!$J$15:$J$34,0)),"Yes")="Yes",1,0))</f>
        <v/>
      </c>
      <c r="J86" s="52" t="str">
        <f>IF($A86="","",IF(AND($I86=1,ISNUMBER($E86)),IF($E86&lt;Config!$B$4,1,0),0))</f>
        <v/>
      </c>
      <c r="K86" s="52" t="str">
        <f>IF($A86="","",IF($J86=1,Config!$B$4-$E86,0))</f>
        <v/>
      </c>
      <c r="L86" s="52" t="str">
        <f>IF($I86=1,IFERROR(COUNTIFS($I$2:$I$301,1,$E$2:$E$301,"&lt;"&amp;$E86)+COUNTIFS($I$2:$I86,1,$E$2:$E86,$E86),""),"")</f>
        <v/>
      </c>
      <c r="M86" s="49" t="str">
        <f>IF(COUNTA($A86:$H86)=0,"",IF($A86="","Missing: task ID",IF(COUNTIF($A$2:$A$301,$A86)&gt;1,"Duplicate task ID",IF($B86="","Missing: task",IF($D86="","Missing: owner",IF(NOT(ISNUMBER($E86)),"Missing: due date",IF($F86="","Missing: status",IF(COUNTIF(Config!$J$15:$J$34,$F86)=0,"Unsupported status",IF(AND($G86&lt;&gt;"",COUNTIF(Config!$R$15:$R$34,$G86)=0),"Unsupported priority","OK")))))))))</f>
        <v/>
      </c>
    </row>
    <row r="87">
      <c r="A87" s="46" t="n"/>
      <c r="B87" s="46" t="n"/>
      <c r="C87" s="46" t="n"/>
      <c r="D87" s="46" t="n"/>
      <c r="E87" s="54" t="n"/>
      <c r="F87" s="46" t="n"/>
      <c r="G87" s="46" t="n"/>
      <c r="H87" s="46" t="n"/>
      <c r="I87" s="52" t="str">
        <f>IF($A87="","",IF(IFERROR(INDEX(Config!$K$15:$K$34,MATCH($F87,Config!$J$15:$J$34,0)),"Yes")="Yes",1,0))</f>
        <v/>
      </c>
      <c r="J87" s="52" t="str">
        <f>IF($A87="","",IF(AND($I87=1,ISNUMBER($E87)),IF($E87&lt;Config!$B$4,1,0),0))</f>
        <v/>
      </c>
      <c r="K87" s="52" t="str">
        <f>IF($A87="","",IF($J87=1,Config!$B$4-$E87,0))</f>
        <v/>
      </c>
      <c r="L87" s="52" t="str">
        <f>IF($I87=1,IFERROR(COUNTIFS($I$2:$I$301,1,$E$2:$E$301,"&lt;"&amp;$E87)+COUNTIFS($I$2:$I87,1,$E$2:$E87,$E87),""),"")</f>
        <v/>
      </c>
      <c r="M87" s="49" t="str">
        <f>IF(COUNTA($A87:$H87)=0,"",IF($A87="","Missing: task ID",IF(COUNTIF($A$2:$A$301,$A87)&gt;1,"Duplicate task ID",IF($B87="","Missing: task",IF($D87="","Missing: owner",IF(NOT(ISNUMBER($E87)),"Missing: due date",IF($F87="","Missing: status",IF(COUNTIF(Config!$J$15:$J$34,$F87)=0,"Unsupported status",IF(AND($G87&lt;&gt;"",COUNTIF(Config!$R$15:$R$34,$G87)=0),"Unsupported priority","OK")))))))))</f>
        <v/>
      </c>
    </row>
    <row r="88">
      <c r="A88" s="46" t="n"/>
      <c r="B88" s="46" t="n"/>
      <c r="C88" s="46" t="n"/>
      <c r="D88" s="46" t="n"/>
      <c r="E88" s="54" t="n"/>
      <c r="F88" s="46" t="n"/>
      <c r="G88" s="46" t="n"/>
      <c r="H88" s="46" t="n"/>
      <c r="I88" s="52" t="str">
        <f>IF($A88="","",IF(IFERROR(INDEX(Config!$K$15:$K$34,MATCH($F88,Config!$J$15:$J$34,0)),"Yes")="Yes",1,0))</f>
        <v/>
      </c>
      <c r="J88" s="52" t="str">
        <f>IF($A88="","",IF(AND($I88=1,ISNUMBER($E88)),IF($E88&lt;Config!$B$4,1,0),0))</f>
        <v/>
      </c>
      <c r="K88" s="52" t="str">
        <f>IF($A88="","",IF($J88=1,Config!$B$4-$E88,0))</f>
        <v/>
      </c>
      <c r="L88" s="52" t="str">
        <f>IF($I88=1,IFERROR(COUNTIFS($I$2:$I$301,1,$E$2:$E$301,"&lt;"&amp;$E88)+COUNTIFS($I$2:$I88,1,$E$2:$E88,$E88),""),"")</f>
        <v/>
      </c>
      <c r="M88" s="49" t="str">
        <f>IF(COUNTA($A88:$H88)=0,"",IF($A88="","Missing: task ID",IF(COUNTIF($A$2:$A$301,$A88)&gt;1,"Duplicate task ID",IF($B88="","Missing: task",IF($D88="","Missing: owner",IF(NOT(ISNUMBER($E88)),"Missing: due date",IF($F88="","Missing: status",IF(COUNTIF(Config!$J$15:$J$34,$F88)=0,"Unsupported status",IF(AND($G88&lt;&gt;"",COUNTIF(Config!$R$15:$R$34,$G88)=0),"Unsupported priority","OK")))))))))</f>
        <v/>
      </c>
    </row>
    <row r="89">
      <c r="A89" s="46" t="n"/>
      <c r="B89" s="46" t="n"/>
      <c r="C89" s="46" t="n"/>
      <c r="D89" s="46" t="n"/>
      <c r="E89" s="54" t="n"/>
      <c r="F89" s="46" t="n"/>
      <c r="G89" s="46" t="n"/>
      <c r="H89" s="46" t="n"/>
      <c r="I89" s="52" t="str">
        <f>IF($A89="","",IF(IFERROR(INDEX(Config!$K$15:$K$34,MATCH($F89,Config!$J$15:$J$34,0)),"Yes")="Yes",1,0))</f>
        <v/>
      </c>
      <c r="J89" s="52" t="str">
        <f>IF($A89="","",IF(AND($I89=1,ISNUMBER($E89)),IF($E89&lt;Config!$B$4,1,0),0))</f>
        <v/>
      </c>
      <c r="K89" s="52" t="str">
        <f>IF($A89="","",IF($J89=1,Config!$B$4-$E89,0))</f>
        <v/>
      </c>
      <c r="L89" s="52" t="str">
        <f>IF($I89=1,IFERROR(COUNTIFS($I$2:$I$301,1,$E$2:$E$301,"&lt;"&amp;$E89)+COUNTIFS($I$2:$I89,1,$E$2:$E89,$E89),""),"")</f>
        <v/>
      </c>
      <c r="M89" s="49" t="str">
        <f>IF(COUNTA($A89:$H89)=0,"",IF($A89="","Missing: task ID",IF(COUNTIF($A$2:$A$301,$A89)&gt;1,"Duplicate task ID",IF($B89="","Missing: task",IF($D89="","Missing: owner",IF(NOT(ISNUMBER($E89)),"Missing: due date",IF($F89="","Missing: status",IF(COUNTIF(Config!$J$15:$J$34,$F89)=0,"Unsupported status",IF(AND($G89&lt;&gt;"",COUNTIF(Config!$R$15:$R$34,$G89)=0),"Unsupported priority","OK")))))))))</f>
        <v/>
      </c>
    </row>
    <row r="90">
      <c r="A90" s="46" t="n"/>
      <c r="B90" s="46" t="n"/>
      <c r="C90" s="46" t="n"/>
      <c r="D90" s="46" t="n"/>
      <c r="E90" s="54" t="n"/>
      <c r="F90" s="46" t="n"/>
      <c r="G90" s="46" t="n"/>
      <c r="H90" s="46" t="n"/>
      <c r="I90" s="52" t="str">
        <f>IF($A90="","",IF(IFERROR(INDEX(Config!$K$15:$K$34,MATCH($F90,Config!$J$15:$J$34,0)),"Yes")="Yes",1,0))</f>
        <v/>
      </c>
      <c r="J90" s="52" t="str">
        <f>IF($A90="","",IF(AND($I90=1,ISNUMBER($E90)),IF($E90&lt;Config!$B$4,1,0),0))</f>
        <v/>
      </c>
      <c r="K90" s="52" t="str">
        <f>IF($A90="","",IF($J90=1,Config!$B$4-$E90,0))</f>
        <v/>
      </c>
      <c r="L90" s="52" t="str">
        <f>IF($I90=1,IFERROR(COUNTIFS($I$2:$I$301,1,$E$2:$E$301,"&lt;"&amp;$E90)+COUNTIFS($I$2:$I90,1,$E$2:$E90,$E90),""),"")</f>
        <v/>
      </c>
      <c r="M90" s="49" t="str">
        <f>IF(COUNTA($A90:$H90)=0,"",IF($A90="","Missing: task ID",IF(COUNTIF($A$2:$A$301,$A90)&gt;1,"Duplicate task ID",IF($B90="","Missing: task",IF($D90="","Missing: owner",IF(NOT(ISNUMBER($E90)),"Missing: due date",IF($F90="","Missing: status",IF(COUNTIF(Config!$J$15:$J$34,$F90)=0,"Unsupported status",IF(AND($G90&lt;&gt;"",COUNTIF(Config!$R$15:$R$34,$G90)=0),"Unsupported priority","OK")))))))))</f>
        <v/>
      </c>
    </row>
    <row r="91">
      <c r="A91" s="46" t="n"/>
      <c r="B91" s="46" t="n"/>
      <c r="C91" s="46" t="n"/>
      <c r="D91" s="46" t="n"/>
      <c r="E91" s="54" t="n"/>
      <c r="F91" s="46" t="n"/>
      <c r="G91" s="46" t="n"/>
      <c r="H91" s="46" t="n"/>
      <c r="I91" s="52" t="str">
        <f>IF($A91="","",IF(IFERROR(INDEX(Config!$K$15:$K$34,MATCH($F91,Config!$J$15:$J$34,0)),"Yes")="Yes",1,0))</f>
        <v/>
      </c>
      <c r="J91" s="52" t="str">
        <f>IF($A91="","",IF(AND($I91=1,ISNUMBER($E91)),IF($E91&lt;Config!$B$4,1,0),0))</f>
        <v/>
      </c>
      <c r="K91" s="52" t="str">
        <f>IF($A91="","",IF($J91=1,Config!$B$4-$E91,0))</f>
        <v/>
      </c>
      <c r="L91" s="52" t="str">
        <f>IF($I91=1,IFERROR(COUNTIFS($I$2:$I$301,1,$E$2:$E$301,"&lt;"&amp;$E91)+COUNTIFS($I$2:$I91,1,$E$2:$E91,$E91),""),"")</f>
        <v/>
      </c>
      <c r="M91" s="49" t="str">
        <f>IF(COUNTA($A91:$H91)=0,"",IF($A91="","Missing: task ID",IF(COUNTIF($A$2:$A$301,$A91)&gt;1,"Duplicate task ID",IF($B91="","Missing: task",IF($D91="","Missing: owner",IF(NOT(ISNUMBER($E91)),"Missing: due date",IF($F91="","Missing: status",IF(COUNTIF(Config!$J$15:$J$34,$F91)=0,"Unsupported status",IF(AND($G91&lt;&gt;"",COUNTIF(Config!$R$15:$R$34,$G91)=0),"Unsupported priority","OK")))))))))</f>
        <v/>
      </c>
    </row>
    <row r="92">
      <c r="A92" s="46" t="n"/>
      <c r="B92" s="46" t="n"/>
      <c r="C92" s="46" t="n"/>
      <c r="D92" s="46" t="n"/>
      <c r="E92" s="54" t="n"/>
      <c r="F92" s="46" t="n"/>
      <c r="G92" s="46" t="n"/>
      <c r="H92" s="46" t="n"/>
      <c r="I92" s="52" t="str">
        <f>IF($A92="","",IF(IFERROR(INDEX(Config!$K$15:$K$34,MATCH($F92,Config!$J$15:$J$34,0)),"Yes")="Yes",1,0))</f>
        <v/>
      </c>
      <c r="J92" s="52" t="str">
        <f>IF($A92="","",IF(AND($I92=1,ISNUMBER($E92)),IF($E92&lt;Config!$B$4,1,0),0))</f>
        <v/>
      </c>
      <c r="K92" s="52" t="str">
        <f>IF($A92="","",IF($J92=1,Config!$B$4-$E92,0))</f>
        <v/>
      </c>
      <c r="L92" s="52" t="str">
        <f>IF($I92=1,IFERROR(COUNTIFS($I$2:$I$301,1,$E$2:$E$301,"&lt;"&amp;$E92)+COUNTIFS($I$2:$I92,1,$E$2:$E92,$E92),""),"")</f>
        <v/>
      </c>
      <c r="M92" s="49" t="str">
        <f>IF(COUNTA($A92:$H92)=0,"",IF($A92="","Missing: task ID",IF(COUNTIF($A$2:$A$301,$A92)&gt;1,"Duplicate task ID",IF($B92="","Missing: task",IF($D92="","Missing: owner",IF(NOT(ISNUMBER($E92)),"Missing: due date",IF($F92="","Missing: status",IF(COUNTIF(Config!$J$15:$J$34,$F92)=0,"Unsupported status",IF(AND($G92&lt;&gt;"",COUNTIF(Config!$R$15:$R$34,$G92)=0),"Unsupported priority","OK")))))))))</f>
        <v/>
      </c>
    </row>
    <row r="93">
      <c r="A93" s="46" t="n"/>
      <c r="B93" s="46" t="n"/>
      <c r="C93" s="46" t="n"/>
      <c r="D93" s="46" t="n"/>
      <c r="E93" s="54" t="n"/>
      <c r="F93" s="46" t="n"/>
      <c r="G93" s="46" t="n"/>
      <c r="H93" s="46" t="n"/>
      <c r="I93" s="52" t="str">
        <f>IF($A93="","",IF(IFERROR(INDEX(Config!$K$15:$K$34,MATCH($F93,Config!$J$15:$J$34,0)),"Yes")="Yes",1,0))</f>
        <v/>
      </c>
      <c r="J93" s="52" t="str">
        <f>IF($A93="","",IF(AND($I93=1,ISNUMBER($E93)),IF($E93&lt;Config!$B$4,1,0),0))</f>
        <v/>
      </c>
      <c r="K93" s="52" t="str">
        <f>IF($A93="","",IF($J93=1,Config!$B$4-$E93,0))</f>
        <v/>
      </c>
      <c r="L93" s="52" t="str">
        <f>IF($I93=1,IFERROR(COUNTIFS($I$2:$I$301,1,$E$2:$E$301,"&lt;"&amp;$E93)+COUNTIFS($I$2:$I93,1,$E$2:$E93,$E93),""),"")</f>
        <v/>
      </c>
      <c r="M93" s="49" t="str">
        <f>IF(COUNTA($A93:$H93)=0,"",IF($A93="","Missing: task ID",IF(COUNTIF($A$2:$A$301,$A93)&gt;1,"Duplicate task ID",IF($B93="","Missing: task",IF($D93="","Missing: owner",IF(NOT(ISNUMBER($E93)),"Missing: due date",IF($F93="","Missing: status",IF(COUNTIF(Config!$J$15:$J$34,$F93)=0,"Unsupported status",IF(AND($G93&lt;&gt;"",COUNTIF(Config!$R$15:$R$34,$G93)=0),"Unsupported priority","OK")))))))))</f>
        <v/>
      </c>
    </row>
    <row r="94">
      <c r="A94" s="46" t="n"/>
      <c r="B94" s="46" t="n"/>
      <c r="C94" s="46" t="n"/>
      <c r="D94" s="46" t="n"/>
      <c r="E94" s="54" t="n"/>
      <c r="F94" s="46" t="n"/>
      <c r="G94" s="46" t="n"/>
      <c r="H94" s="46" t="n"/>
      <c r="I94" s="52" t="str">
        <f>IF($A94="","",IF(IFERROR(INDEX(Config!$K$15:$K$34,MATCH($F94,Config!$J$15:$J$34,0)),"Yes")="Yes",1,0))</f>
        <v/>
      </c>
      <c r="J94" s="52" t="str">
        <f>IF($A94="","",IF(AND($I94=1,ISNUMBER($E94)),IF($E94&lt;Config!$B$4,1,0),0))</f>
        <v/>
      </c>
      <c r="K94" s="52" t="str">
        <f>IF($A94="","",IF($J94=1,Config!$B$4-$E94,0))</f>
        <v/>
      </c>
      <c r="L94" s="52" t="str">
        <f>IF($I94=1,IFERROR(COUNTIFS($I$2:$I$301,1,$E$2:$E$301,"&lt;"&amp;$E94)+COUNTIFS($I$2:$I94,1,$E$2:$E94,$E94),""),"")</f>
        <v/>
      </c>
      <c r="M94" s="49" t="str">
        <f>IF(COUNTA($A94:$H94)=0,"",IF($A94="","Missing: task ID",IF(COUNTIF($A$2:$A$301,$A94)&gt;1,"Duplicate task ID",IF($B94="","Missing: task",IF($D94="","Missing: owner",IF(NOT(ISNUMBER($E94)),"Missing: due date",IF($F94="","Missing: status",IF(COUNTIF(Config!$J$15:$J$34,$F94)=0,"Unsupported status",IF(AND($G94&lt;&gt;"",COUNTIF(Config!$R$15:$R$34,$G94)=0),"Unsupported priority","OK")))))))))</f>
        <v/>
      </c>
    </row>
    <row r="95">
      <c r="A95" s="46" t="n"/>
      <c r="B95" s="46" t="n"/>
      <c r="C95" s="46" t="n"/>
      <c r="D95" s="46" t="n"/>
      <c r="E95" s="54" t="n"/>
      <c r="F95" s="46" t="n"/>
      <c r="G95" s="46" t="n"/>
      <c r="H95" s="46" t="n"/>
      <c r="I95" s="52" t="str">
        <f>IF($A95="","",IF(IFERROR(INDEX(Config!$K$15:$K$34,MATCH($F95,Config!$J$15:$J$34,0)),"Yes")="Yes",1,0))</f>
        <v/>
      </c>
      <c r="J95" s="52" t="str">
        <f>IF($A95="","",IF(AND($I95=1,ISNUMBER($E95)),IF($E95&lt;Config!$B$4,1,0),0))</f>
        <v/>
      </c>
      <c r="K95" s="52" t="str">
        <f>IF($A95="","",IF($J95=1,Config!$B$4-$E95,0))</f>
        <v/>
      </c>
      <c r="L95" s="52" t="str">
        <f>IF($I95=1,IFERROR(COUNTIFS($I$2:$I$301,1,$E$2:$E$301,"&lt;"&amp;$E95)+COUNTIFS($I$2:$I95,1,$E$2:$E95,$E95),""),"")</f>
        <v/>
      </c>
      <c r="M95" s="49" t="str">
        <f>IF(COUNTA($A95:$H95)=0,"",IF($A95="","Missing: task ID",IF(COUNTIF($A$2:$A$301,$A95)&gt;1,"Duplicate task ID",IF($B95="","Missing: task",IF($D95="","Missing: owner",IF(NOT(ISNUMBER($E95)),"Missing: due date",IF($F95="","Missing: status",IF(COUNTIF(Config!$J$15:$J$34,$F95)=0,"Unsupported status",IF(AND($G95&lt;&gt;"",COUNTIF(Config!$R$15:$R$34,$G95)=0),"Unsupported priority","OK")))))))))</f>
        <v/>
      </c>
    </row>
    <row r="96">
      <c r="A96" s="46" t="n"/>
      <c r="B96" s="46" t="n"/>
      <c r="C96" s="46" t="n"/>
      <c r="D96" s="46" t="n"/>
      <c r="E96" s="54" t="n"/>
      <c r="F96" s="46" t="n"/>
      <c r="G96" s="46" t="n"/>
      <c r="H96" s="46" t="n"/>
      <c r="I96" s="52" t="str">
        <f>IF($A96="","",IF(IFERROR(INDEX(Config!$K$15:$K$34,MATCH($F96,Config!$J$15:$J$34,0)),"Yes")="Yes",1,0))</f>
        <v/>
      </c>
      <c r="J96" s="52" t="str">
        <f>IF($A96="","",IF(AND($I96=1,ISNUMBER($E96)),IF($E96&lt;Config!$B$4,1,0),0))</f>
        <v/>
      </c>
      <c r="K96" s="52" t="str">
        <f>IF($A96="","",IF($J96=1,Config!$B$4-$E96,0))</f>
        <v/>
      </c>
      <c r="L96" s="52" t="str">
        <f>IF($I96=1,IFERROR(COUNTIFS($I$2:$I$301,1,$E$2:$E$301,"&lt;"&amp;$E96)+COUNTIFS($I$2:$I96,1,$E$2:$E96,$E96),""),"")</f>
        <v/>
      </c>
      <c r="M96" s="49" t="str">
        <f>IF(COUNTA($A96:$H96)=0,"",IF($A96="","Missing: task ID",IF(COUNTIF($A$2:$A$301,$A96)&gt;1,"Duplicate task ID",IF($B96="","Missing: task",IF($D96="","Missing: owner",IF(NOT(ISNUMBER($E96)),"Missing: due date",IF($F96="","Missing: status",IF(COUNTIF(Config!$J$15:$J$34,$F96)=0,"Unsupported status",IF(AND($G96&lt;&gt;"",COUNTIF(Config!$R$15:$R$34,$G96)=0),"Unsupported priority","OK")))))))))</f>
        <v/>
      </c>
    </row>
    <row r="97">
      <c r="A97" s="46" t="n"/>
      <c r="B97" s="46" t="n"/>
      <c r="C97" s="46" t="n"/>
      <c r="D97" s="46" t="n"/>
      <c r="E97" s="54" t="n"/>
      <c r="F97" s="46" t="n"/>
      <c r="G97" s="46" t="n"/>
      <c r="H97" s="46" t="n"/>
      <c r="I97" s="52" t="str">
        <f>IF($A97="","",IF(IFERROR(INDEX(Config!$K$15:$K$34,MATCH($F97,Config!$J$15:$J$34,0)),"Yes")="Yes",1,0))</f>
        <v/>
      </c>
      <c r="J97" s="52" t="str">
        <f>IF($A97="","",IF(AND($I97=1,ISNUMBER($E97)),IF($E97&lt;Config!$B$4,1,0),0))</f>
        <v/>
      </c>
      <c r="K97" s="52" t="str">
        <f>IF($A97="","",IF($J97=1,Config!$B$4-$E97,0))</f>
        <v/>
      </c>
      <c r="L97" s="52" t="str">
        <f>IF($I97=1,IFERROR(COUNTIFS($I$2:$I$301,1,$E$2:$E$301,"&lt;"&amp;$E97)+COUNTIFS($I$2:$I97,1,$E$2:$E97,$E97),""),"")</f>
        <v/>
      </c>
      <c r="M97" s="49" t="str">
        <f>IF(COUNTA($A97:$H97)=0,"",IF($A97="","Missing: task ID",IF(COUNTIF($A$2:$A$301,$A97)&gt;1,"Duplicate task ID",IF($B97="","Missing: task",IF($D97="","Missing: owner",IF(NOT(ISNUMBER($E97)),"Missing: due date",IF($F97="","Missing: status",IF(COUNTIF(Config!$J$15:$J$34,$F97)=0,"Unsupported status",IF(AND($G97&lt;&gt;"",COUNTIF(Config!$R$15:$R$34,$G97)=0),"Unsupported priority","OK")))))))))</f>
        <v/>
      </c>
    </row>
    <row r="98">
      <c r="A98" s="46" t="n"/>
      <c r="B98" s="46" t="n"/>
      <c r="C98" s="46" t="n"/>
      <c r="D98" s="46" t="n"/>
      <c r="E98" s="54" t="n"/>
      <c r="F98" s="46" t="n"/>
      <c r="G98" s="46" t="n"/>
      <c r="H98" s="46" t="n"/>
      <c r="I98" s="52" t="str">
        <f>IF($A98="","",IF(IFERROR(INDEX(Config!$K$15:$K$34,MATCH($F98,Config!$J$15:$J$34,0)),"Yes")="Yes",1,0))</f>
        <v/>
      </c>
      <c r="J98" s="52" t="str">
        <f>IF($A98="","",IF(AND($I98=1,ISNUMBER($E98)),IF($E98&lt;Config!$B$4,1,0),0))</f>
        <v/>
      </c>
      <c r="K98" s="52" t="str">
        <f>IF($A98="","",IF($J98=1,Config!$B$4-$E98,0))</f>
        <v/>
      </c>
      <c r="L98" s="52" t="str">
        <f>IF($I98=1,IFERROR(COUNTIFS($I$2:$I$301,1,$E$2:$E$301,"&lt;"&amp;$E98)+COUNTIFS($I$2:$I98,1,$E$2:$E98,$E98),""),"")</f>
        <v/>
      </c>
      <c r="M98" s="49" t="str">
        <f>IF(COUNTA($A98:$H98)=0,"",IF($A98="","Missing: task ID",IF(COUNTIF($A$2:$A$301,$A98)&gt;1,"Duplicate task ID",IF($B98="","Missing: task",IF($D98="","Missing: owner",IF(NOT(ISNUMBER($E98)),"Missing: due date",IF($F98="","Missing: status",IF(COUNTIF(Config!$J$15:$J$34,$F98)=0,"Unsupported status",IF(AND($G98&lt;&gt;"",COUNTIF(Config!$R$15:$R$34,$G98)=0),"Unsupported priority","OK")))))))))</f>
        <v/>
      </c>
    </row>
    <row r="99">
      <c r="A99" s="46" t="n"/>
      <c r="B99" s="46" t="n"/>
      <c r="C99" s="46" t="n"/>
      <c r="D99" s="46" t="n"/>
      <c r="E99" s="54" t="n"/>
      <c r="F99" s="46" t="n"/>
      <c r="G99" s="46" t="n"/>
      <c r="H99" s="46" t="n"/>
      <c r="I99" s="52" t="str">
        <f>IF($A99="","",IF(IFERROR(INDEX(Config!$K$15:$K$34,MATCH($F99,Config!$J$15:$J$34,0)),"Yes")="Yes",1,0))</f>
        <v/>
      </c>
      <c r="J99" s="52" t="str">
        <f>IF($A99="","",IF(AND($I99=1,ISNUMBER($E99)),IF($E99&lt;Config!$B$4,1,0),0))</f>
        <v/>
      </c>
      <c r="K99" s="52" t="str">
        <f>IF($A99="","",IF($J99=1,Config!$B$4-$E99,0))</f>
        <v/>
      </c>
      <c r="L99" s="52" t="str">
        <f>IF($I99=1,IFERROR(COUNTIFS($I$2:$I$301,1,$E$2:$E$301,"&lt;"&amp;$E99)+COUNTIFS($I$2:$I99,1,$E$2:$E99,$E99),""),"")</f>
        <v/>
      </c>
      <c r="M99" s="49" t="str">
        <f>IF(COUNTA($A99:$H99)=0,"",IF($A99="","Missing: task ID",IF(COUNTIF($A$2:$A$301,$A99)&gt;1,"Duplicate task ID",IF($B99="","Missing: task",IF($D99="","Missing: owner",IF(NOT(ISNUMBER($E99)),"Missing: due date",IF($F99="","Missing: status",IF(COUNTIF(Config!$J$15:$J$34,$F99)=0,"Unsupported status",IF(AND($G99&lt;&gt;"",COUNTIF(Config!$R$15:$R$34,$G99)=0),"Unsupported priority","OK")))))))))</f>
        <v/>
      </c>
    </row>
    <row r="100">
      <c r="A100" s="46" t="n"/>
      <c r="B100" s="46" t="n"/>
      <c r="C100" s="46" t="n"/>
      <c r="D100" s="46" t="n"/>
      <c r="E100" s="54" t="n"/>
      <c r="F100" s="46" t="n"/>
      <c r="G100" s="46" t="n"/>
      <c r="H100" s="46" t="n"/>
      <c r="I100" s="52" t="str">
        <f>IF($A100="","",IF(IFERROR(INDEX(Config!$K$15:$K$34,MATCH($F100,Config!$J$15:$J$34,0)),"Yes")="Yes",1,0))</f>
        <v/>
      </c>
      <c r="J100" s="52" t="str">
        <f>IF($A100="","",IF(AND($I100=1,ISNUMBER($E100)),IF($E100&lt;Config!$B$4,1,0),0))</f>
        <v/>
      </c>
      <c r="K100" s="52" t="str">
        <f>IF($A100="","",IF($J100=1,Config!$B$4-$E100,0))</f>
        <v/>
      </c>
      <c r="L100" s="52" t="str">
        <f>IF($I100=1,IFERROR(COUNTIFS($I$2:$I$301,1,$E$2:$E$301,"&lt;"&amp;$E100)+COUNTIFS($I$2:$I100,1,$E$2:$E100,$E100),""),"")</f>
        <v/>
      </c>
      <c r="M100" s="49" t="str">
        <f>IF(COUNTA($A100:$H100)=0,"",IF($A100="","Missing: task ID",IF(COUNTIF($A$2:$A$301,$A100)&gt;1,"Duplicate task ID",IF($B100="","Missing: task",IF($D100="","Missing: owner",IF(NOT(ISNUMBER($E100)),"Missing: due date",IF($F100="","Missing: status",IF(COUNTIF(Config!$J$15:$J$34,$F100)=0,"Unsupported status",IF(AND($G100&lt;&gt;"",COUNTIF(Config!$R$15:$R$34,$G100)=0),"Unsupported priority","OK")))))))))</f>
        <v/>
      </c>
    </row>
    <row r="101">
      <c r="A101" s="46" t="n"/>
      <c r="B101" s="46" t="n"/>
      <c r="C101" s="46" t="n"/>
      <c r="D101" s="46" t="n"/>
      <c r="E101" s="54" t="n"/>
      <c r="F101" s="46" t="n"/>
      <c r="G101" s="46" t="n"/>
      <c r="H101" s="46" t="n"/>
      <c r="I101" s="52" t="str">
        <f>IF($A101="","",IF(IFERROR(INDEX(Config!$K$15:$K$34,MATCH($F101,Config!$J$15:$J$34,0)),"Yes")="Yes",1,0))</f>
        <v/>
      </c>
      <c r="J101" s="52" t="str">
        <f>IF($A101="","",IF(AND($I101=1,ISNUMBER($E101)),IF($E101&lt;Config!$B$4,1,0),0))</f>
        <v/>
      </c>
      <c r="K101" s="52" t="str">
        <f>IF($A101="","",IF($J101=1,Config!$B$4-$E101,0))</f>
        <v/>
      </c>
      <c r="L101" s="52" t="str">
        <f>IF($I101=1,IFERROR(COUNTIFS($I$2:$I$301,1,$E$2:$E$301,"&lt;"&amp;$E101)+COUNTIFS($I$2:$I101,1,$E$2:$E101,$E101),""),"")</f>
        <v/>
      </c>
      <c r="M101" s="49" t="str">
        <f>IF(COUNTA($A101:$H101)=0,"",IF($A101="","Missing: task ID",IF(COUNTIF($A$2:$A$301,$A101)&gt;1,"Duplicate task ID",IF($B101="","Missing: task",IF($D101="","Missing: owner",IF(NOT(ISNUMBER($E101)),"Missing: due date",IF($F101="","Missing: status",IF(COUNTIF(Config!$J$15:$J$34,$F101)=0,"Unsupported status",IF(AND($G101&lt;&gt;"",COUNTIF(Config!$R$15:$R$34,$G101)=0),"Unsupported priority","OK")))))))))</f>
        <v/>
      </c>
    </row>
    <row r="102">
      <c r="A102" s="46" t="n"/>
      <c r="B102" s="46" t="n"/>
      <c r="C102" s="46" t="n"/>
      <c r="D102" s="46" t="n"/>
      <c r="E102" s="54" t="n"/>
      <c r="F102" s="46" t="n"/>
      <c r="G102" s="46" t="n"/>
      <c r="H102" s="46" t="n"/>
      <c r="I102" s="52" t="str">
        <f>IF($A102="","",IF(IFERROR(INDEX(Config!$K$15:$K$34,MATCH($F102,Config!$J$15:$J$34,0)),"Yes")="Yes",1,0))</f>
        <v/>
      </c>
      <c r="J102" s="52" t="str">
        <f>IF($A102="","",IF(AND($I102=1,ISNUMBER($E102)),IF($E102&lt;Config!$B$4,1,0),0))</f>
        <v/>
      </c>
      <c r="K102" s="52" t="str">
        <f>IF($A102="","",IF($J102=1,Config!$B$4-$E102,0))</f>
        <v/>
      </c>
      <c r="L102" s="52" t="str">
        <f>IF($I102=1,IFERROR(COUNTIFS($I$2:$I$301,1,$E$2:$E$301,"&lt;"&amp;$E102)+COUNTIFS($I$2:$I102,1,$E$2:$E102,$E102),""),"")</f>
        <v/>
      </c>
      <c r="M102" s="49" t="str">
        <f>IF(COUNTA($A102:$H102)=0,"",IF($A102="","Missing: task ID",IF(COUNTIF($A$2:$A$301,$A102)&gt;1,"Duplicate task ID",IF($B102="","Missing: task",IF($D102="","Missing: owner",IF(NOT(ISNUMBER($E102)),"Missing: due date",IF($F102="","Missing: status",IF(COUNTIF(Config!$J$15:$J$34,$F102)=0,"Unsupported status",IF(AND($G102&lt;&gt;"",COUNTIF(Config!$R$15:$R$34,$G102)=0),"Unsupported priority","OK")))))))))</f>
        <v/>
      </c>
    </row>
    <row r="103">
      <c r="A103" s="46" t="n"/>
      <c r="B103" s="46" t="n"/>
      <c r="C103" s="46" t="n"/>
      <c r="D103" s="46" t="n"/>
      <c r="E103" s="54" t="n"/>
      <c r="F103" s="46" t="n"/>
      <c r="G103" s="46" t="n"/>
      <c r="H103" s="46" t="n"/>
      <c r="I103" s="52" t="str">
        <f>IF($A103="","",IF(IFERROR(INDEX(Config!$K$15:$K$34,MATCH($F103,Config!$J$15:$J$34,0)),"Yes")="Yes",1,0))</f>
        <v/>
      </c>
      <c r="J103" s="52" t="str">
        <f>IF($A103="","",IF(AND($I103=1,ISNUMBER($E103)),IF($E103&lt;Config!$B$4,1,0),0))</f>
        <v/>
      </c>
      <c r="K103" s="52" t="str">
        <f>IF($A103="","",IF($J103=1,Config!$B$4-$E103,0))</f>
        <v/>
      </c>
      <c r="L103" s="52" t="str">
        <f>IF($I103=1,IFERROR(COUNTIFS($I$2:$I$301,1,$E$2:$E$301,"&lt;"&amp;$E103)+COUNTIFS($I$2:$I103,1,$E$2:$E103,$E103),""),"")</f>
        <v/>
      </c>
      <c r="M103" s="49" t="str">
        <f>IF(COUNTA($A103:$H103)=0,"",IF($A103="","Missing: task ID",IF(COUNTIF($A$2:$A$301,$A103)&gt;1,"Duplicate task ID",IF($B103="","Missing: task",IF($D103="","Missing: owner",IF(NOT(ISNUMBER($E103)),"Missing: due date",IF($F103="","Missing: status",IF(COUNTIF(Config!$J$15:$J$34,$F103)=0,"Unsupported status",IF(AND($G103&lt;&gt;"",COUNTIF(Config!$R$15:$R$34,$G103)=0),"Unsupported priority","OK")))))))))</f>
        <v/>
      </c>
    </row>
    <row r="104">
      <c r="A104" s="46" t="n"/>
      <c r="B104" s="46" t="n"/>
      <c r="C104" s="46" t="n"/>
      <c r="D104" s="46" t="n"/>
      <c r="E104" s="54" t="n"/>
      <c r="F104" s="46" t="n"/>
      <c r="G104" s="46" t="n"/>
      <c r="H104" s="46" t="n"/>
      <c r="I104" s="52" t="str">
        <f>IF($A104="","",IF(IFERROR(INDEX(Config!$K$15:$K$34,MATCH($F104,Config!$J$15:$J$34,0)),"Yes")="Yes",1,0))</f>
        <v/>
      </c>
      <c r="J104" s="52" t="str">
        <f>IF($A104="","",IF(AND($I104=1,ISNUMBER($E104)),IF($E104&lt;Config!$B$4,1,0),0))</f>
        <v/>
      </c>
      <c r="K104" s="52" t="str">
        <f>IF($A104="","",IF($J104=1,Config!$B$4-$E104,0))</f>
        <v/>
      </c>
      <c r="L104" s="52" t="str">
        <f>IF($I104=1,IFERROR(COUNTIFS($I$2:$I$301,1,$E$2:$E$301,"&lt;"&amp;$E104)+COUNTIFS($I$2:$I104,1,$E$2:$E104,$E104),""),"")</f>
        <v/>
      </c>
      <c r="M104" s="49" t="str">
        <f>IF(COUNTA($A104:$H104)=0,"",IF($A104="","Missing: task ID",IF(COUNTIF($A$2:$A$301,$A104)&gt;1,"Duplicate task ID",IF($B104="","Missing: task",IF($D104="","Missing: owner",IF(NOT(ISNUMBER($E104)),"Missing: due date",IF($F104="","Missing: status",IF(COUNTIF(Config!$J$15:$J$34,$F104)=0,"Unsupported status",IF(AND($G104&lt;&gt;"",COUNTIF(Config!$R$15:$R$34,$G104)=0),"Unsupported priority","OK")))))))))</f>
        <v/>
      </c>
    </row>
    <row r="105">
      <c r="A105" s="46" t="n"/>
      <c r="B105" s="46" t="n"/>
      <c r="C105" s="46" t="n"/>
      <c r="D105" s="46" t="n"/>
      <c r="E105" s="54" t="n"/>
      <c r="F105" s="46" t="n"/>
      <c r="G105" s="46" t="n"/>
      <c r="H105" s="46" t="n"/>
      <c r="I105" s="52" t="str">
        <f>IF($A105="","",IF(IFERROR(INDEX(Config!$K$15:$K$34,MATCH($F105,Config!$J$15:$J$34,0)),"Yes")="Yes",1,0))</f>
        <v/>
      </c>
      <c r="J105" s="52" t="str">
        <f>IF($A105="","",IF(AND($I105=1,ISNUMBER($E105)),IF($E105&lt;Config!$B$4,1,0),0))</f>
        <v/>
      </c>
      <c r="K105" s="52" t="str">
        <f>IF($A105="","",IF($J105=1,Config!$B$4-$E105,0))</f>
        <v/>
      </c>
      <c r="L105" s="52" t="str">
        <f>IF($I105=1,IFERROR(COUNTIFS($I$2:$I$301,1,$E$2:$E$301,"&lt;"&amp;$E105)+COUNTIFS($I$2:$I105,1,$E$2:$E105,$E105),""),"")</f>
        <v/>
      </c>
      <c r="M105" s="49" t="str">
        <f>IF(COUNTA($A105:$H105)=0,"",IF($A105="","Missing: task ID",IF(COUNTIF($A$2:$A$301,$A105)&gt;1,"Duplicate task ID",IF($B105="","Missing: task",IF($D105="","Missing: owner",IF(NOT(ISNUMBER($E105)),"Missing: due date",IF($F105="","Missing: status",IF(COUNTIF(Config!$J$15:$J$34,$F105)=0,"Unsupported status",IF(AND($G105&lt;&gt;"",COUNTIF(Config!$R$15:$R$34,$G105)=0),"Unsupported priority","OK")))))))))</f>
        <v/>
      </c>
    </row>
    <row r="106">
      <c r="A106" s="46" t="n"/>
      <c r="B106" s="46" t="n"/>
      <c r="C106" s="46" t="n"/>
      <c r="D106" s="46" t="n"/>
      <c r="E106" s="54" t="n"/>
      <c r="F106" s="46" t="n"/>
      <c r="G106" s="46" t="n"/>
      <c r="H106" s="46" t="n"/>
      <c r="I106" s="52" t="str">
        <f>IF($A106="","",IF(IFERROR(INDEX(Config!$K$15:$K$34,MATCH($F106,Config!$J$15:$J$34,0)),"Yes")="Yes",1,0))</f>
        <v/>
      </c>
      <c r="J106" s="52" t="str">
        <f>IF($A106="","",IF(AND($I106=1,ISNUMBER($E106)),IF($E106&lt;Config!$B$4,1,0),0))</f>
        <v/>
      </c>
      <c r="K106" s="52" t="str">
        <f>IF($A106="","",IF($J106=1,Config!$B$4-$E106,0))</f>
        <v/>
      </c>
      <c r="L106" s="52" t="str">
        <f>IF($I106=1,IFERROR(COUNTIFS($I$2:$I$301,1,$E$2:$E$301,"&lt;"&amp;$E106)+COUNTIFS($I$2:$I106,1,$E$2:$E106,$E106),""),"")</f>
        <v/>
      </c>
      <c r="M106" s="49" t="str">
        <f>IF(COUNTA($A106:$H106)=0,"",IF($A106="","Missing: task ID",IF(COUNTIF($A$2:$A$301,$A106)&gt;1,"Duplicate task ID",IF($B106="","Missing: task",IF($D106="","Missing: owner",IF(NOT(ISNUMBER($E106)),"Missing: due date",IF($F106="","Missing: status",IF(COUNTIF(Config!$J$15:$J$34,$F106)=0,"Unsupported status",IF(AND($G106&lt;&gt;"",COUNTIF(Config!$R$15:$R$34,$G106)=0),"Unsupported priority","OK")))))))))</f>
        <v/>
      </c>
    </row>
    <row r="107">
      <c r="A107" s="46" t="n"/>
      <c r="B107" s="46" t="n"/>
      <c r="C107" s="46" t="n"/>
      <c r="D107" s="46" t="n"/>
      <c r="E107" s="54" t="n"/>
      <c r="F107" s="46" t="n"/>
      <c r="G107" s="46" t="n"/>
      <c r="H107" s="46" t="n"/>
      <c r="I107" s="52" t="str">
        <f>IF($A107="","",IF(IFERROR(INDEX(Config!$K$15:$K$34,MATCH($F107,Config!$J$15:$J$34,0)),"Yes")="Yes",1,0))</f>
        <v/>
      </c>
      <c r="J107" s="52" t="str">
        <f>IF($A107="","",IF(AND($I107=1,ISNUMBER($E107)),IF($E107&lt;Config!$B$4,1,0),0))</f>
        <v/>
      </c>
      <c r="K107" s="52" t="str">
        <f>IF($A107="","",IF($J107=1,Config!$B$4-$E107,0))</f>
        <v/>
      </c>
      <c r="L107" s="52" t="str">
        <f>IF($I107=1,IFERROR(COUNTIFS($I$2:$I$301,1,$E$2:$E$301,"&lt;"&amp;$E107)+COUNTIFS($I$2:$I107,1,$E$2:$E107,$E107),""),"")</f>
        <v/>
      </c>
      <c r="M107" s="49" t="str">
        <f>IF(COUNTA($A107:$H107)=0,"",IF($A107="","Missing: task ID",IF(COUNTIF($A$2:$A$301,$A107)&gt;1,"Duplicate task ID",IF($B107="","Missing: task",IF($D107="","Missing: owner",IF(NOT(ISNUMBER($E107)),"Missing: due date",IF($F107="","Missing: status",IF(COUNTIF(Config!$J$15:$J$34,$F107)=0,"Unsupported status",IF(AND($G107&lt;&gt;"",COUNTIF(Config!$R$15:$R$34,$G107)=0),"Unsupported priority","OK")))))))))</f>
        <v/>
      </c>
    </row>
    <row r="108">
      <c r="A108" s="46" t="n"/>
      <c r="B108" s="46" t="n"/>
      <c r="C108" s="46" t="n"/>
      <c r="D108" s="46" t="n"/>
      <c r="E108" s="54" t="n"/>
      <c r="F108" s="46" t="n"/>
      <c r="G108" s="46" t="n"/>
      <c r="H108" s="46" t="n"/>
      <c r="I108" s="52" t="str">
        <f>IF($A108="","",IF(IFERROR(INDEX(Config!$K$15:$K$34,MATCH($F108,Config!$J$15:$J$34,0)),"Yes")="Yes",1,0))</f>
        <v/>
      </c>
      <c r="J108" s="52" t="str">
        <f>IF($A108="","",IF(AND($I108=1,ISNUMBER($E108)),IF($E108&lt;Config!$B$4,1,0),0))</f>
        <v/>
      </c>
      <c r="K108" s="52" t="str">
        <f>IF($A108="","",IF($J108=1,Config!$B$4-$E108,0))</f>
        <v/>
      </c>
      <c r="L108" s="52" t="str">
        <f>IF($I108=1,IFERROR(COUNTIFS($I$2:$I$301,1,$E$2:$E$301,"&lt;"&amp;$E108)+COUNTIFS($I$2:$I108,1,$E$2:$E108,$E108),""),"")</f>
        <v/>
      </c>
      <c r="M108" s="49" t="str">
        <f>IF(COUNTA($A108:$H108)=0,"",IF($A108="","Missing: task ID",IF(COUNTIF($A$2:$A$301,$A108)&gt;1,"Duplicate task ID",IF($B108="","Missing: task",IF($D108="","Missing: owner",IF(NOT(ISNUMBER($E108)),"Missing: due date",IF($F108="","Missing: status",IF(COUNTIF(Config!$J$15:$J$34,$F108)=0,"Unsupported status",IF(AND($G108&lt;&gt;"",COUNTIF(Config!$R$15:$R$34,$G108)=0),"Unsupported priority","OK")))))))))</f>
        <v/>
      </c>
    </row>
    <row r="109">
      <c r="A109" s="46" t="n"/>
      <c r="B109" s="46" t="n"/>
      <c r="C109" s="46" t="n"/>
      <c r="D109" s="46" t="n"/>
      <c r="E109" s="54" t="n"/>
      <c r="F109" s="46" t="n"/>
      <c r="G109" s="46" t="n"/>
      <c r="H109" s="46" t="n"/>
      <c r="I109" s="52" t="str">
        <f>IF($A109="","",IF(IFERROR(INDEX(Config!$K$15:$K$34,MATCH($F109,Config!$J$15:$J$34,0)),"Yes")="Yes",1,0))</f>
        <v/>
      </c>
      <c r="J109" s="52" t="str">
        <f>IF($A109="","",IF(AND($I109=1,ISNUMBER($E109)),IF($E109&lt;Config!$B$4,1,0),0))</f>
        <v/>
      </c>
      <c r="K109" s="52" t="str">
        <f>IF($A109="","",IF($J109=1,Config!$B$4-$E109,0))</f>
        <v/>
      </c>
      <c r="L109" s="52" t="str">
        <f>IF($I109=1,IFERROR(COUNTIFS($I$2:$I$301,1,$E$2:$E$301,"&lt;"&amp;$E109)+COUNTIFS($I$2:$I109,1,$E$2:$E109,$E109),""),"")</f>
        <v/>
      </c>
      <c r="M109" s="49" t="str">
        <f>IF(COUNTA($A109:$H109)=0,"",IF($A109="","Missing: task ID",IF(COUNTIF($A$2:$A$301,$A109)&gt;1,"Duplicate task ID",IF($B109="","Missing: task",IF($D109="","Missing: owner",IF(NOT(ISNUMBER($E109)),"Missing: due date",IF($F109="","Missing: status",IF(COUNTIF(Config!$J$15:$J$34,$F109)=0,"Unsupported status",IF(AND($G109&lt;&gt;"",COUNTIF(Config!$R$15:$R$34,$G109)=0),"Unsupported priority","OK")))))))))</f>
        <v/>
      </c>
    </row>
    <row r="110">
      <c r="A110" s="46" t="n"/>
      <c r="B110" s="46" t="n"/>
      <c r="C110" s="46" t="n"/>
      <c r="D110" s="46" t="n"/>
      <c r="E110" s="54" t="n"/>
      <c r="F110" s="46" t="n"/>
      <c r="G110" s="46" t="n"/>
      <c r="H110" s="46" t="n"/>
      <c r="I110" s="52" t="str">
        <f>IF($A110="","",IF(IFERROR(INDEX(Config!$K$15:$K$34,MATCH($F110,Config!$J$15:$J$34,0)),"Yes")="Yes",1,0))</f>
        <v/>
      </c>
      <c r="J110" s="52" t="str">
        <f>IF($A110="","",IF(AND($I110=1,ISNUMBER($E110)),IF($E110&lt;Config!$B$4,1,0),0))</f>
        <v/>
      </c>
      <c r="K110" s="52" t="str">
        <f>IF($A110="","",IF($J110=1,Config!$B$4-$E110,0))</f>
        <v/>
      </c>
      <c r="L110" s="52" t="str">
        <f>IF($I110=1,IFERROR(COUNTIFS($I$2:$I$301,1,$E$2:$E$301,"&lt;"&amp;$E110)+COUNTIFS($I$2:$I110,1,$E$2:$E110,$E110),""),"")</f>
        <v/>
      </c>
      <c r="M110" s="49" t="str">
        <f>IF(COUNTA($A110:$H110)=0,"",IF($A110="","Missing: task ID",IF(COUNTIF($A$2:$A$301,$A110)&gt;1,"Duplicate task ID",IF($B110="","Missing: task",IF($D110="","Missing: owner",IF(NOT(ISNUMBER($E110)),"Missing: due date",IF($F110="","Missing: status",IF(COUNTIF(Config!$J$15:$J$34,$F110)=0,"Unsupported status",IF(AND($G110&lt;&gt;"",COUNTIF(Config!$R$15:$R$34,$G110)=0),"Unsupported priority","OK")))))))))</f>
        <v/>
      </c>
    </row>
    <row r="111">
      <c r="A111" s="46" t="n"/>
      <c r="B111" s="46" t="n"/>
      <c r="C111" s="46" t="n"/>
      <c r="D111" s="46" t="n"/>
      <c r="E111" s="54" t="n"/>
      <c r="F111" s="46" t="n"/>
      <c r="G111" s="46" t="n"/>
      <c r="H111" s="46" t="n"/>
      <c r="I111" s="52" t="str">
        <f>IF($A111="","",IF(IFERROR(INDEX(Config!$K$15:$K$34,MATCH($F111,Config!$J$15:$J$34,0)),"Yes")="Yes",1,0))</f>
        <v/>
      </c>
      <c r="J111" s="52" t="str">
        <f>IF($A111="","",IF(AND($I111=1,ISNUMBER($E111)),IF($E111&lt;Config!$B$4,1,0),0))</f>
        <v/>
      </c>
      <c r="K111" s="52" t="str">
        <f>IF($A111="","",IF($J111=1,Config!$B$4-$E111,0))</f>
        <v/>
      </c>
      <c r="L111" s="52" t="str">
        <f>IF($I111=1,IFERROR(COUNTIFS($I$2:$I$301,1,$E$2:$E$301,"&lt;"&amp;$E111)+COUNTIFS($I$2:$I111,1,$E$2:$E111,$E111),""),"")</f>
        <v/>
      </c>
      <c r="M111" s="49" t="str">
        <f>IF(COUNTA($A111:$H111)=0,"",IF($A111="","Missing: task ID",IF(COUNTIF($A$2:$A$301,$A111)&gt;1,"Duplicate task ID",IF($B111="","Missing: task",IF($D111="","Missing: owner",IF(NOT(ISNUMBER($E111)),"Missing: due date",IF($F111="","Missing: status",IF(COUNTIF(Config!$J$15:$J$34,$F111)=0,"Unsupported status",IF(AND($G111&lt;&gt;"",COUNTIF(Config!$R$15:$R$34,$G111)=0),"Unsupported priority","OK")))))))))</f>
        <v/>
      </c>
    </row>
    <row r="112">
      <c r="A112" s="46" t="n"/>
      <c r="B112" s="46" t="n"/>
      <c r="C112" s="46" t="n"/>
      <c r="D112" s="46" t="n"/>
      <c r="E112" s="54" t="n"/>
      <c r="F112" s="46" t="n"/>
      <c r="G112" s="46" t="n"/>
      <c r="H112" s="46" t="n"/>
      <c r="I112" s="52" t="str">
        <f>IF($A112="","",IF(IFERROR(INDEX(Config!$K$15:$K$34,MATCH($F112,Config!$J$15:$J$34,0)),"Yes")="Yes",1,0))</f>
        <v/>
      </c>
      <c r="J112" s="52" t="str">
        <f>IF($A112="","",IF(AND($I112=1,ISNUMBER($E112)),IF($E112&lt;Config!$B$4,1,0),0))</f>
        <v/>
      </c>
      <c r="K112" s="52" t="str">
        <f>IF($A112="","",IF($J112=1,Config!$B$4-$E112,0))</f>
        <v/>
      </c>
      <c r="L112" s="52" t="str">
        <f>IF($I112=1,IFERROR(COUNTIFS($I$2:$I$301,1,$E$2:$E$301,"&lt;"&amp;$E112)+COUNTIFS($I$2:$I112,1,$E$2:$E112,$E112),""),"")</f>
        <v/>
      </c>
      <c r="M112" s="49" t="str">
        <f>IF(COUNTA($A112:$H112)=0,"",IF($A112="","Missing: task ID",IF(COUNTIF($A$2:$A$301,$A112)&gt;1,"Duplicate task ID",IF($B112="","Missing: task",IF($D112="","Missing: owner",IF(NOT(ISNUMBER($E112)),"Missing: due date",IF($F112="","Missing: status",IF(COUNTIF(Config!$J$15:$J$34,$F112)=0,"Unsupported status",IF(AND($G112&lt;&gt;"",COUNTIF(Config!$R$15:$R$34,$G112)=0),"Unsupported priority","OK")))))))))</f>
        <v/>
      </c>
    </row>
    <row r="113">
      <c r="A113" s="46" t="n"/>
      <c r="B113" s="46" t="n"/>
      <c r="C113" s="46" t="n"/>
      <c r="D113" s="46" t="n"/>
      <c r="E113" s="54" t="n"/>
      <c r="F113" s="46" t="n"/>
      <c r="G113" s="46" t="n"/>
      <c r="H113" s="46" t="n"/>
      <c r="I113" s="52" t="str">
        <f>IF($A113="","",IF(IFERROR(INDEX(Config!$K$15:$K$34,MATCH($F113,Config!$J$15:$J$34,0)),"Yes")="Yes",1,0))</f>
        <v/>
      </c>
      <c r="J113" s="52" t="str">
        <f>IF($A113="","",IF(AND($I113=1,ISNUMBER($E113)),IF($E113&lt;Config!$B$4,1,0),0))</f>
        <v/>
      </c>
      <c r="K113" s="52" t="str">
        <f>IF($A113="","",IF($J113=1,Config!$B$4-$E113,0))</f>
        <v/>
      </c>
      <c r="L113" s="52" t="str">
        <f>IF($I113=1,IFERROR(COUNTIFS($I$2:$I$301,1,$E$2:$E$301,"&lt;"&amp;$E113)+COUNTIFS($I$2:$I113,1,$E$2:$E113,$E113),""),"")</f>
        <v/>
      </c>
      <c r="M113" s="49" t="str">
        <f>IF(COUNTA($A113:$H113)=0,"",IF($A113="","Missing: task ID",IF(COUNTIF($A$2:$A$301,$A113)&gt;1,"Duplicate task ID",IF($B113="","Missing: task",IF($D113="","Missing: owner",IF(NOT(ISNUMBER($E113)),"Missing: due date",IF($F113="","Missing: status",IF(COUNTIF(Config!$J$15:$J$34,$F113)=0,"Unsupported status",IF(AND($G113&lt;&gt;"",COUNTIF(Config!$R$15:$R$34,$G113)=0),"Unsupported priority","OK")))))))))</f>
        <v/>
      </c>
    </row>
    <row r="114">
      <c r="A114" s="46" t="n"/>
      <c r="B114" s="46" t="n"/>
      <c r="C114" s="46" t="n"/>
      <c r="D114" s="46" t="n"/>
      <c r="E114" s="54" t="n"/>
      <c r="F114" s="46" t="n"/>
      <c r="G114" s="46" t="n"/>
      <c r="H114" s="46" t="n"/>
      <c r="I114" s="52" t="str">
        <f>IF($A114="","",IF(IFERROR(INDEX(Config!$K$15:$K$34,MATCH($F114,Config!$J$15:$J$34,0)),"Yes")="Yes",1,0))</f>
        <v/>
      </c>
      <c r="J114" s="52" t="str">
        <f>IF($A114="","",IF(AND($I114=1,ISNUMBER($E114)),IF($E114&lt;Config!$B$4,1,0),0))</f>
        <v/>
      </c>
      <c r="K114" s="52" t="str">
        <f>IF($A114="","",IF($J114=1,Config!$B$4-$E114,0))</f>
        <v/>
      </c>
      <c r="L114" s="52" t="str">
        <f>IF($I114=1,IFERROR(COUNTIFS($I$2:$I$301,1,$E$2:$E$301,"&lt;"&amp;$E114)+COUNTIFS($I$2:$I114,1,$E$2:$E114,$E114),""),"")</f>
        <v/>
      </c>
      <c r="M114" s="49" t="str">
        <f>IF(COUNTA($A114:$H114)=0,"",IF($A114="","Missing: task ID",IF(COUNTIF($A$2:$A$301,$A114)&gt;1,"Duplicate task ID",IF($B114="","Missing: task",IF($D114="","Missing: owner",IF(NOT(ISNUMBER($E114)),"Missing: due date",IF($F114="","Missing: status",IF(COUNTIF(Config!$J$15:$J$34,$F114)=0,"Unsupported status",IF(AND($G114&lt;&gt;"",COUNTIF(Config!$R$15:$R$34,$G114)=0),"Unsupported priority","OK")))))))))</f>
        <v/>
      </c>
    </row>
    <row r="115">
      <c r="A115" s="46" t="n"/>
      <c r="B115" s="46" t="n"/>
      <c r="C115" s="46" t="n"/>
      <c r="D115" s="46" t="n"/>
      <c r="E115" s="54" t="n"/>
      <c r="F115" s="46" t="n"/>
      <c r="G115" s="46" t="n"/>
      <c r="H115" s="46" t="n"/>
      <c r="I115" s="52" t="str">
        <f>IF($A115="","",IF(IFERROR(INDEX(Config!$K$15:$K$34,MATCH($F115,Config!$J$15:$J$34,0)),"Yes")="Yes",1,0))</f>
        <v/>
      </c>
      <c r="J115" s="52" t="str">
        <f>IF($A115="","",IF(AND($I115=1,ISNUMBER($E115)),IF($E115&lt;Config!$B$4,1,0),0))</f>
        <v/>
      </c>
      <c r="K115" s="52" t="str">
        <f>IF($A115="","",IF($J115=1,Config!$B$4-$E115,0))</f>
        <v/>
      </c>
      <c r="L115" s="52" t="str">
        <f>IF($I115=1,IFERROR(COUNTIFS($I$2:$I$301,1,$E$2:$E$301,"&lt;"&amp;$E115)+COUNTIFS($I$2:$I115,1,$E$2:$E115,$E115),""),"")</f>
        <v/>
      </c>
      <c r="M115" s="49" t="str">
        <f>IF(COUNTA($A115:$H115)=0,"",IF($A115="","Missing: task ID",IF(COUNTIF($A$2:$A$301,$A115)&gt;1,"Duplicate task ID",IF($B115="","Missing: task",IF($D115="","Missing: owner",IF(NOT(ISNUMBER($E115)),"Missing: due date",IF($F115="","Missing: status",IF(COUNTIF(Config!$J$15:$J$34,$F115)=0,"Unsupported status",IF(AND($G115&lt;&gt;"",COUNTIF(Config!$R$15:$R$34,$G115)=0),"Unsupported priority","OK")))))))))</f>
        <v/>
      </c>
    </row>
    <row r="116">
      <c r="A116" s="46" t="n"/>
      <c r="B116" s="46" t="n"/>
      <c r="C116" s="46" t="n"/>
      <c r="D116" s="46" t="n"/>
      <c r="E116" s="54" t="n"/>
      <c r="F116" s="46" t="n"/>
      <c r="G116" s="46" t="n"/>
      <c r="H116" s="46" t="n"/>
      <c r="I116" s="52" t="str">
        <f>IF($A116="","",IF(IFERROR(INDEX(Config!$K$15:$K$34,MATCH($F116,Config!$J$15:$J$34,0)),"Yes")="Yes",1,0))</f>
        <v/>
      </c>
      <c r="J116" s="52" t="str">
        <f>IF($A116="","",IF(AND($I116=1,ISNUMBER($E116)),IF($E116&lt;Config!$B$4,1,0),0))</f>
        <v/>
      </c>
      <c r="K116" s="52" t="str">
        <f>IF($A116="","",IF($J116=1,Config!$B$4-$E116,0))</f>
        <v/>
      </c>
      <c r="L116" s="52" t="str">
        <f>IF($I116=1,IFERROR(COUNTIFS($I$2:$I$301,1,$E$2:$E$301,"&lt;"&amp;$E116)+COUNTIFS($I$2:$I116,1,$E$2:$E116,$E116),""),"")</f>
        <v/>
      </c>
      <c r="M116" s="49" t="str">
        <f>IF(COUNTA($A116:$H116)=0,"",IF($A116="","Missing: task ID",IF(COUNTIF($A$2:$A$301,$A116)&gt;1,"Duplicate task ID",IF($B116="","Missing: task",IF($D116="","Missing: owner",IF(NOT(ISNUMBER($E116)),"Missing: due date",IF($F116="","Missing: status",IF(COUNTIF(Config!$J$15:$J$34,$F116)=0,"Unsupported status",IF(AND($G116&lt;&gt;"",COUNTIF(Config!$R$15:$R$34,$G116)=0),"Unsupported priority","OK")))))))))</f>
        <v/>
      </c>
    </row>
    <row r="117">
      <c r="A117" s="46" t="n"/>
      <c r="B117" s="46" t="n"/>
      <c r="C117" s="46" t="n"/>
      <c r="D117" s="46" t="n"/>
      <c r="E117" s="54" t="n"/>
      <c r="F117" s="46" t="n"/>
      <c r="G117" s="46" t="n"/>
      <c r="H117" s="46" t="n"/>
      <c r="I117" s="52" t="str">
        <f>IF($A117="","",IF(IFERROR(INDEX(Config!$K$15:$K$34,MATCH($F117,Config!$J$15:$J$34,0)),"Yes")="Yes",1,0))</f>
        <v/>
      </c>
      <c r="J117" s="52" t="str">
        <f>IF($A117="","",IF(AND($I117=1,ISNUMBER($E117)),IF($E117&lt;Config!$B$4,1,0),0))</f>
        <v/>
      </c>
      <c r="K117" s="52" t="str">
        <f>IF($A117="","",IF($J117=1,Config!$B$4-$E117,0))</f>
        <v/>
      </c>
      <c r="L117" s="52" t="str">
        <f>IF($I117=1,IFERROR(COUNTIFS($I$2:$I$301,1,$E$2:$E$301,"&lt;"&amp;$E117)+COUNTIFS($I$2:$I117,1,$E$2:$E117,$E117),""),"")</f>
        <v/>
      </c>
      <c r="M117" s="49" t="str">
        <f>IF(COUNTA($A117:$H117)=0,"",IF($A117="","Missing: task ID",IF(COUNTIF($A$2:$A$301,$A117)&gt;1,"Duplicate task ID",IF($B117="","Missing: task",IF($D117="","Missing: owner",IF(NOT(ISNUMBER($E117)),"Missing: due date",IF($F117="","Missing: status",IF(COUNTIF(Config!$J$15:$J$34,$F117)=0,"Unsupported status",IF(AND($G117&lt;&gt;"",COUNTIF(Config!$R$15:$R$34,$G117)=0),"Unsupported priority","OK")))))))))</f>
        <v/>
      </c>
    </row>
    <row r="118">
      <c r="A118" s="46" t="n"/>
      <c r="B118" s="46" t="n"/>
      <c r="C118" s="46" t="n"/>
      <c r="D118" s="46" t="n"/>
      <c r="E118" s="54" t="n"/>
      <c r="F118" s="46" t="n"/>
      <c r="G118" s="46" t="n"/>
      <c r="H118" s="46" t="n"/>
      <c r="I118" s="52" t="str">
        <f>IF($A118="","",IF(IFERROR(INDEX(Config!$K$15:$K$34,MATCH($F118,Config!$J$15:$J$34,0)),"Yes")="Yes",1,0))</f>
        <v/>
      </c>
      <c r="J118" s="52" t="str">
        <f>IF($A118="","",IF(AND($I118=1,ISNUMBER($E118)),IF($E118&lt;Config!$B$4,1,0),0))</f>
        <v/>
      </c>
      <c r="K118" s="52" t="str">
        <f>IF($A118="","",IF($J118=1,Config!$B$4-$E118,0))</f>
        <v/>
      </c>
      <c r="L118" s="52" t="str">
        <f>IF($I118=1,IFERROR(COUNTIFS($I$2:$I$301,1,$E$2:$E$301,"&lt;"&amp;$E118)+COUNTIFS($I$2:$I118,1,$E$2:$E118,$E118),""),"")</f>
        <v/>
      </c>
      <c r="M118" s="49" t="str">
        <f>IF(COUNTA($A118:$H118)=0,"",IF($A118="","Missing: task ID",IF(COUNTIF($A$2:$A$301,$A118)&gt;1,"Duplicate task ID",IF($B118="","Missing: task",IF($D118="","Missing: owner",IF(NOT(ISNUMBER($E118)),"Missing: due date",IF($F118="","Missing: status",IF(COUNTIF(Config!$J$15:$J$34,$F118)=0,"Unsupported status",IF(AND($G118&lt;&gt;"",COUNTIF(Config!$R$15:$R$34,$G118)=0),"Unsupported priority","OK")))))))))</f>
        <v/>
      </c>
    </row>
    <row r="119">
      <c r="A119" s="46" t="n"/>
      <c r="B119" s="46" t="n"/>
      <c r="C119" s="46" t="n"/>
      <c r="D119" s="46" t="n"/>
      <c r="E119" s="54" t="n"/>
      <c r="F119" s="46" t="n"/>
      <c r="G119" s="46" t="n"/>
      <c r="H119" s="46" t="n"/>
      <c r="I119" s="52" t="str">
        <f>IF($A119="","",IF(IFERROR(INDEX(Config!$K$15:$K$34,MATCH($F119,Config!$J$15:$J$34,0)),"Yes")="Yes",1,0))</f>
        <v/>
      </c>
      <c r="J119" s="52" t="str">
        <f>IF($A119="","",IF(AND($I119=1,ISNUMBER($E119)),IF($E119&lt;Config!$B$4,1,0),0))</f>
        <v/>
      </c>
      <c r="K119" s="52" t="str">
        <f>IF($A119="","",IF($J119=1,Config!$B$4-$E119,0))</f>
        <v/>
      </c>
      <c r="L119" s="52" t="str">
        <f>IF($I119=1,IFERROR(COUNTIFS($I$2:$I$301,1,$E$2:$E$301,"&lt;"&amp;$E119)+COUNTIFS($I$2:$I119,1,$E$2:$E119,$E119),""),"")</f>
        <v/>
      </c>
      <c r="M119" s="49" t="str">
        <f>IF(COUNTA($A119:$H119)=0,"",IF($A119="","Missing: task ID",IF(COUNTIF($A$2:$A$301,$A119)&gt;1,"Duplicate task ID",IF($B119="","Missing: task",IF($D119="","Missing: owner",IF(NOT(ISNUMBER($E119)),"Missing: due date",IF($F119="","Missing: status",IF(COUNTIF(Config!$J$15:$J$34,$F119)=0,"Unsupported status",IF(AND($G119&lt;&gt;"",COUNTIF(Config!$R$15:$R$34,$G119)=0),"Unsupported priority","OK")))))))))</f>
        <v/>
      </c>
    </row>
    <row r="120">
      <c r="A120" s="46" t="n"/>
      <c r="B120" s="46" t="n"/>
      <c r="C120" s="46" t="n"/>
      <c r="D120" s="46" t="n"/>
      <c r="E120" s="54" t="n"/>
      <c r="F120" s="46" t="n"/>
      <c r="G120" s="46" t="n"/>
      <c r="H120" s="46" t="n"/>
      <c r="I120" s="52" t="str">
        <f>IF($A120="","",IF(IFERROR(INDEX(Config!$K$15:$K$34,MATCH($F120,Config!$J$15:$J$34,0)),"Yes")="Yes",1,0))</f>
        <v/>
      </c>
      <c r="J120" s="52" t="str">
        <f>IF($A120="","",IF(AND($I120=1,ISNUMBER($E120)),IF($E120&lt;Config!$B$4,1,0),0))</f>
        <v/>
      </c>
      <c r="K120" s="52" t="str">
        <f>IF($A120="","",IF($J120=1,Config!$B$4-$E120,0))</f>
        <v/>
      </c>
      <c r="L120" s="52" t="str">
        <f>IF($I120=1,IFERROR(COUNTIFS($I$2:$I$301,1,$E$2:$E$301,"&lt;"&amp;$E120)+COUNTIFS($I$2:$I120,1,$E$2:$E120,$E120),""),"")</f>
        <v/>
      </c>
      <c r="M120" s="49" t="str">
        <f>IF(COUNTA($A120:$H120)=0,"",IF($A120="","Missing: task ID",IF(COUNTIF($A$2:$A$301,$A120)&gt;1,"Duplicate task ID",IF($B120="","Missing: task",IF($D120="","Missing: owner",IF(NOT(ISNUMBER($E120)),"Missing: due date",IF($F120="","Missing: status",IF(COUNTIF(Config!$J$15:$J$34,$F120)=0,"Unsupported status",IF(AND($G120&lt;&gt;"",COUNTIF(Config!$R$15:$R$34,$G120)=0),"Unsupported priority","OK")))))))))</f>
        <v/>
      </c>
    </row>
    <row r="121">
      <c r="A121" s="46" t="n"/>
      <c r="B121" s="46" t="n"/>
      <c r="C121" s="46" t="n"/>
      <c r="D121" s="46" t="n"/>
      <c r="E121" s="54" t="n"/>
      <c r="F121" s="46" t="n"/>
      <c r="G121" s="46" t="n"/>
      <c r="H121" s="46" t="n"/>
      <c r="I121" s="52" t="str">
        <f>IF($A121="","",IF(IFERROR(INDEX(Config!$K$15:$K$34,MATCH($F121,Config!$J$15:$J$34,0)),"Yes")="Yes",1,0))</f>
        <v/>
      </c>
      <c r="J121" s="52" t="str">
        <f>IF($A121="","",IF(AND($I121=1,ISNUMBER($E121)),IF($E121&lt;Config!$B$4,1,0),0))</f>
        <v/>
      </c>
      <c r="K121" s="52" t="str">
        <f>IF($A121="","",IF($J121=1,Config!$B$4-$E121,0))</f>
        <v/>
      </c>
      <c r="L121" s="52" t="str">
        <f>IF($I121=1,IFERROR(COUNTIFS($I$2:$I$301,1,$E$2:$E$301,"&lt;"&amp;$E121)+COUNTIFS($I$2:$I121,1,$E$2:$E121,$E121),""),"")</f>
        <v/>
      </c>
      <c r="M121" s="49" t="str">
        <f>IF(COUNTA($A121:$H121)=0,"",IF($A121="","Missing: task ID",IF(COUNTIF($A$2:$A$301,$A121)&gt;1,"Duplicate task ID",IF($B121="","Missing: task",IF($D121="","Missing: owner",IF(NOT(ISNUMBER($E121)),"Missing: due date",IF($F121="","Missing: status",IF(COUNTIF(Config!$J$15:$J$34,$F121)=0,"Unsupported status",IF(AND($G121&lt;&gt;"",COUNTIF(Config!$R$15:$R$34,$G121)=0),"Unsupported priority","OK")))))))))</f>
        <v/>
      </c>
    </row>
    <row r="122">
      <c r="A122" s="46" t="n"/>
      <c r="B122" s="46" t="n"/>
      <c r="C122" s="46" t="n"/>
      <c r="D122" s="46" t="n"/>
      <c r="E122" s="54" t="n"/>
      <c r="F122" s="46" t="n"/>
      <c r="G122" s="46" t="n"/>
      <c r="H122" s="46" t="n"/>
      <c r="I122" s="52" t="str">
        <f>IF($A122="","",IF(IFERROR(INDEX(Config!$K$15:$K$34,MATCH($F122,Config!$J$15:$J$34,0)),"Yes")="Yes",1,0))</f>
        <v/>
      </c>
      <c r="J122" s="52" t="str">
        <f>IF($A122="","",IF(AND($I122=1,ISNUMBER($E122)),IF($E122&lt;Config!$B$4,1,0),0))</f>
        <v/>
      </c>
      <c r="K122" s="52" t="str">
        <f>IF($A122="","",IF($J122=1,Config!$B$4-$E122,0))</f>
        <v/>
      </c>
      <c r="L122" s="52" t="str">
        <f>IF($I122=1,IFERROR(COUNTIFS($I$2:$I$301,1,$E$2:$E$301,"&lt;"&amp;$E122)+COUNTIFS($I$2:$I122,1,$E$2:$E122,$E122),""),"")</f>
        <v/>
      </c>
      <c r="M122" s="49" t="str">
        <f>IF(COUNTA($A122:$H122)=0,"",IF($A122="","Missing: task ID",IF(COUNTIF($A$2:$A$301,$A122)&gt;1,"Duplicate task ID",IF($B122="","Missing: task",IF($D122="","Missing: owner",IF(NOT(ISNUMBER($E122)),"Missing: due date",IF($F122="","Missing: status",IF(COUNTIF(Config!$J$15:$J$34,$F122)=0,"Unsupported status",IF(AND($G122&lt;&gt;"",COUNTIF(Config!$R$15:$R$34,$G122)=0),"Unsupported priority","OK")))))))))</f>
        <v/>
      </c>
    </row>
    <row r="123">
      <c r="A123" s="46" t="n"/>
      <c r="B123" s="46" t="n"/>
      <c r="C123" s="46" t="n"/>
      <c r="D123" s="46" t="n"/>
      <c r="E123" s="54" t="n"/>
      <c r="F123" s="46" t="n"/>
      <c r="G123" s="46" t="n"/>
      <c r="H123" s="46" t="n"/>
      <c r="I123" s="52" t="str">
        <f>IF($A123="","",IF(IFERROR(INDEX(Config!$K$15:$K$34,MATCH($F123,Config!$J$15:$J$34,0)),"Yes")="Yes",1,0))</f>
        <v/>
      </c>
      <c r="J123" s="52" t="str">
        <f>IF($A123="","",IF(AND($I123=1,ISNUMBER($E123)),IF($E123&lt;Config!$B$4,1,0),0))</f>
        <v/>
      </c>
      <c r="K123" s="52" t="str">
        <f>IF($A123="","",IF($J123=1,Config!$B$4-$E123,0))</f>
        <v/>
      </c>
      <c r="L123" s="52" t="str">
        <f>IF($I123=1,IFERROR(COUNTIFS($I$2:$I$301,1,$E$2:$E$301,"&lt;"&amp;$E123)+COUNTIFS($I$2:$I123,1,$E$2:$E123,$E123),""),"")</f>
        <v/>
      </c>
      <c r="M123" s="49" t="str">
        <f>IF(COUNTA($A123:$H123)=0,"",IF($A123="","Missing: task ID",IF(COUNTIF($A$2:$A$301,$A123)&gt;1,"Duplicate task ID",IF($B123="","Missing: task",IF($D123="","Missing: owner",IF(NOT(ISNUMBER($E123)),"Missing: due date",IF($F123="","Missing: status",IF(COUNTIF(Config!$J$15:$J$34,$F123)=0,"Unsupported status",IF(AND($G123&lt;&gt;"",COUNTIF(Config!$R$15:$R$34,$G123)=0),"Unsupported priority","OK")))))))))</f>
        <v/>
      </c>
    </row>
    <row r="124">
      <c r="A124" s="46" t="n"/>
      <c r="B124" s="46" t="n"/>
      <c r="C124" s="46" t="n"/>
      <c r="D124" s="46" t="n"/>
      <c r="E124" s="54" t="n"/>
      <c r="F124" s="46" t="n"/>
      <c r="G124" s="46" t="n"/>
      <c r="H124" s="46" t="n"/>
      <c r="I124" s="52" t="str">
        <f>IF($A124="","",IF(IFERROR(INDEX(Config!$K$15:$K$34,MATCH($F124,Config!$J$15:$J$34,0)),"Yes")="Yes",1,0))</f>
        <v/>
      </c>
      <c r="J124" s="52" t="str">
        <f>IF($A124="","",IF(AND($I124=1,ISNUMBER($E124)),IF($E124&lt;Config!$B$4,1,0),0))</f>
        <v/>
      </c>
      <c r="K124" s="52" t="str">
        <f>IF($A124="","",IF($J124=1,Config!$B$4-$E124,0))</f>
        <v/>
      </c>
      <c r="L124" s="52" t="str">
        <f>IF($I124=1,IFERROR(COUNTIFS($I$2:$I$301,1,$E$2:$E$301,"&lt;"&amp;$E124)+COUNTIFS($I$2:$I124,1,$E$2:$E124,$E124),""),"")</f>
        <v/>
      </c>
      <c r="M124" s="49" t="str">
        <f>IF(COUNTA($A124:$H124)=0,"",IF($A124="","Missing: task ID",IF(COUNTIF($A$2:$A$301,$A124)&gt;1,"Duplicate task ID",IF($B124="","Missing: task",IF($D124="","Missing: owner",IF(NOT(ISNUMBER($E124)),"Missing: due date",IF($F124="","Missing: status",IF(COUNTIF(Config!$J$15:$J$34,$F124)=0,"Unsupported status",IF(AND($G124&lt;&gt;"",COUNTIF(Config!$R$15:$R$34,$G124)=0),"Unsupported priority","OK")))))))))</f>
        <v/>
      </c>
    </row>
    <row r="125">
      <c r="A125" s="46" t="n"/>
      <c r="B125" s="46" t="n"/>
      <c r="C125" s="46" t="n"/>
      <c r="D125" s="46" t="n"/>
      <c r="E125" s="54" t="n"/>
      <c r="F125" s="46" t="n"/>
      <c r="G125" s="46" t="n"/>
      <c r="H125" s="46" t="n"/>
      <c r="I125" s="52" t="str">
        <f>IF($A125="","",IF(IFERROR(INDEX(Config!$K$15:$K$34,MATCH($F125,Config!$J$15:$J$34,0)),"Yes")="Yes",1,0))</f>
        <v/>
      </c>
      <c r="J125" s="52" t="str">
        <f>IF($A125="","",IF(AND($I125=1,ISNUMBER($E125)),IF($E125&lt;Config!$B$4,1,0),0))</f>
        <v/>
      </c>
      <c r="K125" s="52" t="str">
        <f>IF($A125="","",IF($J125=1,Config!$B$4-$E125,0))</f>
        <v/>
      </c>
      <c r="L125" s="52" t="str">
        <f>IF($I125=1,IFERROR(COUNTIFS($I$2:$I$301,1,$E$2:$E$301,"&lt;"&amp;$E125)+COUNTIFS($I$2:$I125,1,$E$2:$E125,$E125),""),"")</f>
        <v/>
      </c>
      <c r="M125" s="49" t="str">
        <f>IF(COUNTA($A125:$H125)=0,"",IF($A125="","Missing: task ID",IF(COUNTIF($A$2:$A$301,$A125)&gt;1,"Duplicate task ID",IF($B125="","Missing: task",IF($D125="","Missing: owner",IF(NOT(ISNUMBER($E125)),"Missing: due date",IF($F125="","Missing: status",IF(COUNTIF(Config!$J$15:$J$34,$F125)=0,"Unsupported status",IF(AND($G125&lt;&gt;"",COUNTIF(Config!$R$15:$R$34,$G125)=0),"Unsupported priority","OK")))))))))</f>
        <v/>
      </c>
    </row>
    <row r="126">
      <c r="A126" s="46" t="n"/>
      <c r="B126" s="46" t="n"/>
      <c r="C126" s="46" t="n"/>
      <c r="D126" s="46" t="n"/>
      <c r="E126" s="54" t="n"/>
      <c r="F126" s="46" t="n"/>
      <c r="G126" s="46" t="n"/>
      <c r="H126" s="46" t="n"/>
      <c r="I126" s="52" t="str">
        <f>IF($A126="","",IF(IFERROR(INDEX(Config!$K$15:$K$34,MATCH($F126,Config!$J$15:$J$34,0)),"Yes")="Yes",1,0))</f>
        <v/>
      </c>
      <c r="J126" s="52" t="str">
        <f>IF($A126="","",IF(AND($I126=1,ISNUMBER($E126)),IF($E126&lt;Config!$B$4,1,0),0))</f>
        <v/>
      </c>
      <c r="K126" s="52" t="str">
        <f>IF($A126="","",IF($J126=1,Config!$B$4-$E126,0))</f>
        <v/>
      </c>
      <c r="L126" s="52" t="str">
        <f>IF($I126=1,IFERROR(COUNTIFS($I$2:$I$301,1,$E$2:$E$301,"&lt;"&amp;$E126)+COUNTIFS($I$2:$I126,1,$E$2:$E126,$E126),""),"")</f>
        <v/>
      </c>
      <c r="M126" s="49" t="str">
        <f>IF(COUNTA($A126:$H126)=0,"",IF($A126="","Missing: task ID",IF(COUNTIF($A$2:$A$301,$A126)&gt;1,"Duplicate task ID",IF($B126="","Missing: task",IF($D126="","Missing: owner",IF(NOT(ISNUMBER($E126)),"Missing: due date",IF($F126="","Missing: status",IF(COUNTIF(Config!$J$15:$J$34,$F126)=0,"Unsupported status",IF(AND($G126&lt;&gt;"",COUNTIF(Config!$R$15:$R$34,$G126)=0),"Unsupported priority","OK")))))))))</f>
        <v/>
      </c>
    </row>
    <row r="127">
      <c r="A127" s="46" t="n"/>
      <c r="B127" s="46" t="n"/>
      <c r="C127" s="46" t="n"/>
      <c r="D127" s="46" t="n"/>
      <c r="E127" s="54" t="n"/>
      <c r="F127" s="46" t="n"/>
      <c r="G127" s="46" t="n"/>
      <c r="H127" s="46" t="n"/>
      <c r="I127" s="52" t="str">
        <f>IF($A127="","",IF(IFERROR(INDEX(Config!$K$15:$K$34,MATCH($F127,Config!$J$15:$J$34,0)),"Yes")="Yes",1,0))</f>
        <v/>
      </c>
      <c r="J127" s="52" t="str">
        <f>IF($A127="","",IF(AND($I127=1,ISNUMBER($E127)),IF($E127&lt;Config!$B$4,1,0),0))</f>
        <v/>
      </c>
      <c r="K127" s="52" t="str">
        <f>IF($A127="","",IF($J127=1,Config!$B$4-$E127,0))</f>
        <v/>
      </c>
      <c r="L127" s="52" t="str">
        <f>IF($I127=1,IFERROR(COUNTIFS($I$2:$I$301,1,$E$2:$E$301,"&lt;"&amp;$E127)+COUNTIFS($I$2:$I127,1,$E$2:$E127,$E127),""),"")</f>
        <v/>
      </c>
      <c r="M127" s="49" t="str">
        <f>IF(COUNTA($A127:$H127)=0,"",IF($A127="","Missing: task ID",IF(COUNTIF($A$2:$A$301,$A127)&gt;1,"Duplicate task ID",IF($B127="","Missing: task",IF($D127="","Missing: owner",IF(NOT(ISNUMBER($E127)),"Missing: due date",IF($F127="","Missing: status",IF(COUNTIF(Config!$J$15:$J$34,$F127)=0,"Unsupported status",IF(AND($G127&lt;&gt;"",COUNTIF(Config!$R$15:$R$34,$G127)=0),"Unsupported priority","OK")))))))))</f>
        <v/>
      </c>
    </row>
    <row r="128">
      <c r="A128" s="46" t="n"/>
      <c r="B128" s="46" t="n"/>
      <c r="C128" s="46" t="n"/>
      <c r="D128" s="46" t="n"/>
      <c r="E128" s="54" t="n"/>
      <c r="F128" s="46" t="n"/>
      <c r="G128" s="46" t="n"/>
      <c r="H128" s="46" t="n"/>
      <c r="I128" s="52" t="str">
        <f>IF($A128="","",IF(IFERROR(INDEX(Config!$K$15:$K$34,MATCH($F128,Config!$J$15:$J$34,0)),"Yes")="Yes",1,0))</f>
        <v/>
      </c>
      <c r="J128" s="52" t="str">
        <f>IF($A128="","",IF(AND($I128=1,ISNUMBER($E128)),IF($E128&lt;Config!$B$4,1,0),0))</f>
        <v/>
      </c>
      <c r="K128" s="52" t="str">
        <f>IF($A128="","",IF($J128=1,Config!$B$4-$E128,0))</f>
        <v/>
      </c>
      <c r="L128" s="52" t="str">
        <f>IF($I128=1,IFERROR(COUNTIFS($I$2:$I$301,1,$E$2:$E$301,"&lt;"&amp;$E128)+COUNTIFS($I$2:$I128,1,$E$2:$E128,$E128),""),"")</f>
        <v/>
      </c>
      <c r="M128" s="49" t="str">
        <f>IF(COUNTA($A128:$H128)=0,"",IF($A128="","Missing: task ID",IF(COUNTIF($A$2:$A$301,$A128)&gt;1,"Duplicate task ID",IF($B128="","Missing: task",IF($D128="","Missing: owner",IF(NOT(ISNUMBER($E128)),"Missing: due date",IF($F128="","Missing: status",IF(COUNTIF(Config!$J$15:$J$34,$F128)=0,"Unsupported status",IF(AND($G128&lt;&gt;"",COUNTIF(Config!$R$15:$R$34,$G128)=0),"Unsupported priority","OK")))))))))</f>
        <v/>
      </c>
    </row>
    <row r="129">
      <c r="A129" s="46" t="n"/>
      <c r="B129" s="46" t="n"/>
      <c r="C129" s="46" t="n"/>
      <c r="D129" s="46" t="n"/>
      <c r="E129" s="54" t="n"/>
      <c r="F129" s="46" t="n"/>
      <c r="G129" s="46" t="n"/>
      <c r="H129" s="46" t="n"/>
      <c r="I129" s="52" t="str">
        <f>IF($A129="","",IF(IFERROR(INDEX(Config!$K$15:$K$34,MATCH($F129,Config!$J$15:$J$34,0)),"Yes")="Yes",1,0))</f>
        <v/>
      </c>
      <c r="J129" s="52" t="str">
        <f>IF($A129="","",IF(AND($I129=1,ISNUMBER($E129)),IF($E129&lt;Config!$B$4,1,0),0))</f>
        <v/>
      </c>
      <c r="K129" s="52" t="str">
        <f>IF($A129="","",IF($J129=1,Config!$B$4-$E129,0))</f>
        <v/>
      </c>
      <c r="L129" s="52" t="str">
        <f>IF($I129=1,IFERROR(COUNTIFS($I$2:$I$301,1,$E$2:$E$301,"&lt;"&amp;$E129)+COUNTIFS($I$2:$I129,1,$E$2:$E129,$E129),""),"")</f>
        <v/>
      </c>
      <c r="M129" s="49" t="str">
        <f>IF(COUNTA($A129:$H129)=0,"",IF($A129="","Missing: task ID",IF(COUNTIF($A$2:$A$301,$A129)&gt;1,"Duplicate task ID",IF($B129="","Missing: task",IF($D129="","Missing: owner",IF(NOT(ISNUMBER($E129)),"Missing: due date",IF($F129="","Missing: status",IF(COUNTIF(Config!$J$15:$J$34,$F129)=0,"Unsupported status",IF(AND($G129&lt;&gt;"",COUNTIF(Config!$R$15:$R$34,$G129)=0),"Unsupported priority","OK")))))))))</f>
        <v/>
      </c>
    </row>
    <row r="130">
      <c r="A130" s="46" t="n"/>
      <c r="B130" s="46" t="n"/>
      <c r="C130" s="46" t="n"/>
      <c r="D130" s="46" t="n"/>
      <c r="E130" s="54" t="n"/>
      <c r="F130" s="46" t="n"/>
      <c r="G130" s="46" t="n"/>
      <c r="H130" s="46" t="n"/>
      <c r="I130" s="52" t="str">
        <f>IF($A130="","",IF(IFERROR(INDEX(Config!$K$15:$K$34,MATCH($F130,Config!$J$15:$J$34,0)),"Yes")="Yes",1,0))</f>
        <v/>
      </c>
      <c r="J130" s="52" t="str">
        <f>IF($A130="","",IF(AND($I130=1,ISNUMBER($E130)),IF($E130&lt;Config!$B$4,1,0),0))</f>
        <v/>
      </c>
      <c r="K130" s="52" t="str">
        <f>IF($A130="","",IF($J130=1,Config!$B$4-$E130,0))</f>
        <v/>
      </c>
      <c r="L130" s="52" t="str">
        <f>IF($I130=1,IFERROR(COUNTIFS($I$2:$I$301,1,$E$2:$E$301,"&lt;"&amp;$E130)+COUNTIFS($I$2:$I130,1,$E$2:$E130,$E130),""),"")</f>
        <v/>
      </c>
      <c r="M130" s="49" t="str">
        <f>IF(COUNTA($A130:$H130)=0,"",IF($A130="","Missing: task ID",IF(COUNTIF($A$2:$A$301,$A130)&gt;1,"Duplicate task ID",IF($B130="","Missing: task",IF($D130="","Missing: owner",IF(NOT(ISNUMBER($E130)),"Missing: due date",IF($F130="","Missing: status",IF(COUNTIF(Config!$J$15:$J$34,$F130)=0,"Unsupported status",IF(AND($G130&lt;&gt;"",COUNTIF(Config!$R$15:$R$34,$G130)=0),"Unsupported priority","OK")))))))))</f>
        <v/>
      </c>
    </row>
    <row r="131">
      <c r="A131" s="46" t="n"/>
      <c r="B131" s="46" t="n"/>
      <c r="C131" s="46" t="n"/>
      <c r="D131" s="46" t="n"/>
      <c r="E131" s="54" t="n"/>
      <c r="F131" s="46" t="n"/>
      <c r="G131" s="46" t="n"/>
      <c r="H131" s="46" t="n"/>
      <c r="I131" s="52" t="str">
        <f>IF($A131="","",IF(IFERROR(INDEX(Config!$K$15:$K$34,MATCH($F131,Config!$J$15:$J$34,0)),"Yes")="Yes",1,0))</f>
        <v/>
      </c>
      <c r="J131" s="52" t="str">
        <f>IF($A131="","",IF(AND($I131=1,ISNUMBER($E131)),IF($E131&lt;Config!$B$4,1,0),0))</f>
        <v/>
      </c>
      <c r="K131" s="52" t="str">
        <f>IF($A131="","",IF($J131=1,Config!$B$4-$E131,0))</f>
        <v/>
      </c>
      <c r="L131" s="52" t="str">
        <f>IF($I131=1,IFERROR(COUNTIFS($I$2:$I$301,1,$E$2:$E$301,"&lt;"&amp;$E131)+COUNTIFS($I$2:$I131,1,$E$2:$E131,$E131),""),"")</f>
        <v/>
      </c>
      <c r="M131" s="49" t="str">
        <f>IF(COUNTA($A131:$H131)=0,"",IF($A131="","Missing: task ID",IF(COUNTIF($A$2:$A$301,$A131)&gt;1,"Duplicate task ID",IF($B131="","Missing: task",IF($D131="","Missing: owner",IF(NOT(ISNUMBER($E131)),"Missing: due date",IF($F131="","Missing: status",IF(COUNTIF(Config!$J$15:$J$34,$F131)=0,"Unsupported status",IF(AND($G131&lt;&gt;"",COUNTIF(Config!$R$15:$R$34,$G131)=0),"Unsupported priority","OK")))))))))</f>
        <v/>
      </c>
    </row>
    <row r="132">
      <c r="A132" s="46" t="n"/>
      <c r="B132" s="46" t="n"/>
      <c r="C132" s="46" t="n"/>
      <c r="D132" s="46" t="n"/>
      <c r="E132" s="54" t="n"/>
      <c r="F132" s="46" t="n"/>
      <c r="G132" s="46" t="n"/>
      <c r="H132" s="46" t="n"/>
      <c r="I132" s="52" t="str">
        <f>IF($A132="","",IF(IFERROR(INDEX(Config!$K$15:$K$34,MATCH($F132,Config!$J$15:$J$34,0)),"Yes")="Yes",1,0))</f>
        <v/>
      </c>
      <c r="J132" s="52" t="str">
        <f>IF($A132="","",IF(AND($I132=1,ISNUMBER($E132)),IF($E132&lt;Config!$B$4,1,0),0))</f>
        <v/>
      </c>
      <c r="K132" s="52" t="str">
        <f>IF($A132="","",IF($J132=1,Config!$B$4-$E132,0))</f>
        <v/>
      </c>
      <c r="L132" s="52" t="str">
        <f>IF($I132=1,IFERROR(COUNTIFS($I$2:$I$301,1,$E$2:$E$301,"&lt;"&amp;$E132)+COUNTIFS($I$2:$I132,1,$E$2:$E132,$E132),""),"")</f>
        <v/>
      </c>
      <c r="M132" s="49" t="str">
        <f>IF(COUNTA($A132:$H132)=0,"",IF($A132="","Missing: task ID",IF(COUNTIF($A$2:$A$301,$A132)&gt;1,"Duplicate task ID",IF($B132="","Missing: task",IF($D132="","Missing: owner",IF(NOT(ISNUMBER($E132)),"Missing: due date",IF($F132="","Missing: status",IF(COUNTIF(Config!$J$15:$J$34,$F132)=0,"Unsupported status",IF(AND($G132&lt;&gt;"",COUNTIF(Config!$R$15:$R$34,$G132)=0),"Unsupported priority","OK")))))))))</f>
        <v/>
      </c>
    </row>
    <row r="133">
      <c r="A133" s="46" t="n"/>
      <c r="B133" s="46" t="n"/>
      <c r="C133" s="46" t="n"/>
      <c r="D133" s="46" t="n"/>
      <c r="E133" s="54" t="n"/>
      <c r="F133" s="46" t="n"/>
      <c r="G133" s="46" t="n"/>
      <c r="H133" s="46" t="n"/>
      <c r="I133" s="52" t="str">
        <f>IF($A133="","",IF(IFERROR(INDEX(Config!$K$15:$K$34,MATCH($F133,Config!$J$15:$J$34,0)),"Yes")="Yes",1,0))</f>
        <v/>
      </c>
      <c r="J133" s="52" t="str">
        <f>IF($A133="","",IF(AND($I133=1,ISNUMBER($E133)),IF($E133&lt;Config!$B$4,1,0),0))</f>
        <v/>
      </c>
      <c r="K133" s="52" t="str">
        <f>IF($A133="","",IF($J133=1,Config!$B$4-$E133,0))</f>
        <v/>
      </c>
      <c r="L133" s="52" t="str">
        <f>IF($I133=1,IFERROR(COUNTIFS($I$2:$I$301,1,$E$2:$E$301,"&lt;"&amp;$E133)+COUNTIFS($I$2:$I133,1,$E$2:$E133,$E133),""),"")</f>
        <v/>
      </c>
      <c r="M133" s="49" t="str">
        <f>IF(COUNTA($A133:$H133)=0,"",IF($A133="","Missing: task ID",IF(COUNTIF($A$2:$A$301,$A133)&gt;1,"Duplicate task ID",IF($B133="","Missing: task",IF($D133="","Missing: owner",IF(NOT(ISNUMBER($E133)),"Missing: due date",IF($F133="","Missing: status",IF(COUNTIF(Config!$J$15:$J$34,$F133)=0,"Unsupported status",IF(AND($G133&lt;&gt;"",COUNTIF(Config!$R$15:$R$34,$G133)=0),"Unsupported priority","OK")))))))))</f>
        <v/>
      </c>
    </row>
    <row r="134">
      <c r="A134" s="46" t="n"/>
      <c r="B134" s="46" t="n"/>
      <c r="C134" s="46" t="n"/>
      <c r="D134" s="46" t="n"/>
      <c r="E134" s="54" t="n"/>
      <c r="F134" s="46" t="n"/>
      <c r="G134" s="46" t="n"/>
      <c r="H134" s="46" t="n"/>
      <c r="I134" s="52" t="str">
        <f>IF($A134="","",IF(IFERROR(INDEX(Config!$K$15:$K$34,MATCH($F134,Config!$J$15:$J$34,0)),"Yes")="Yes",1,0))</f>
        <v/>
      </c>
      <c r="J134" s="52" t="str">
        <f>IF($A134="","",IF(AND($I134=1,ISNUMBER($E134)),IF($E134&lt;Config!$B$4,1,0),0))</f>
        <v/>
      </c>
      <c r="K134" s="52" t="str">
        <f>IF($A134="","",IF($J134=1,Config!$B$4-$E134,0))</f>
        <v/>
      </c>
      <c r="L134" s="52" t="str">
        <f>IF($I134=1,IFERROR(COUNTIFS($I$2:$I$301,1,$E$2:$E$301,"&lt;"&amp;$E134)+COUNTIFS($I$2:$I134,1,$E$2:$E134,$E134),""),"")</f>
        <v/>
      </c>
      <c r="M134" s="49" t="str">
        <f>IF(COUNTA($A134:$H134)=0,"",IF($A134="","Missing: task ID",IF(COUNTIF($A$2:$A$301,$A134)&gt;1,"Duplicate task ID",IF($B134="","Missing: task",IF($D134="","Missing: owner",IF(NOT(ISNUMBER($E134)),"Missing: due date",IF($F134="","Missing: status",IF(COUNTIF(Config!$J$15:$J$34,$F134)=0,"Unsupported status",IF(AND($G134&lt;&gt;"",COUNTIF(Config!$R$15:$R$34,$G134)=0),"Unsupported priority","OK")))))))))</f>
        <v/>
      </c>
    </row>
    <row r="135">
      <c r="A135" s="46" t="n"/>
      <c r="B135" s="46" t="n"/>
      <c r="C135" s="46" t="n"/>
      <c r="D135" s="46" t="n"/>
      <c r="E135" s="54" t="n"/>
      <c r="F135" s="46" t="n"/>
      <c r="G135" s="46" t="n"/>
      <c r="H135" s="46" t="n"/>
      <c r="I135" s="52" t="str">
        <f>IF($A135="","",IF(IFERROR(INDEX(Config!$K$15:$K$34,MATCH($F135,Config!$J$15:$J$34,0)),"Yes")="Yes",1,0))</f>
        <v/>
      </c>
      <c r="J135" s="52" t="str">
        <f>IF($A135="","",IF(AND($I135=1,ISNUMBER($E135)),IF($E135&lt;Config!$B$4,1,0),0))</f>
        <v/>
      </c>
      <c r="K135" s="52" t="str">
        <f>IF($A135="","",IF($J135=1,Config!$B$4-$E135,0))</f>
        <v/>
      </c>
      <c r="L135" s="52" t="str">
        <f>IF($I135=1,IFERROR(COUNTIFS($I$2:$I$301,1,$E$2:$E$301,"&lt;"&amp;$E135)+COUNTIFS($I$2:$I135,1,$E$2:$E135,$E135),""),"")</f>
        <v/>
      </c>
      <c r="M135" s="49" t="str">
        <f>IF(COUNTA($A135:$H135)=0,"",IF($A135="","Missing: task ID",IF(COUNTIF($A$2:$A$301,$A135)&gt;1,"Duplicate task ID",IF($B135="","Missing: task",IF($D135="","Missing: owner",IF(NOT(ISNUMBER($E135)),"Missing: due date",IF($F135="","Missing: status",IF(COUNTIF(Config!$J$15:$J$34,$F135)=0,"Unsupported status",IF(AND($G135&lt;&gt;"",COUNTIF(Config!$R$15:$R$34,$G135)=0),"Unsupported priority","OK")))))))))</f>
        <v/>
      </c>
    </row>
    <row r="136">
      <c r="A136" s="46" t="n"/>
      <c r="B136" s="46" t="n"/>
      <c r="C136" s="46" t="n"/>
      <c r="D136" s="46" t="n"/>
      <c r="E136" s="54" t="n"/>
      <c r="F136" s="46" t="n"/>
      <c r="G136" s="46" t="n"/>
      <c r="H136" s="46" t="n"/>
      <c r="I136" s="52" t="str">
        <f>IF($A136="","",IF(IFERROR(INDEX(Config!$K$15:$K$34,MATCH($F136,Config!$J$15:$J$34,0)),"Yes")="Yes",1,0))</f>
        <v/>
      </c>
      <c r="J136" s="52" t="str">
        <f>IF($A136="","",IF(AND($I136=1,ISNUMBER($E136)),IF($E136&lt;Config!$B$4,1,0),0))</f>
        <v/>
      </c>
      <c r="K136" s="52" t="str">
        <f>IF($A136="","",IF($J136=1,Config!$B$4-$E136,0))</f>
        <v/>
      </c>
      <c r="L136" s="52" t="str">
        <f>IF($I136=1,IFERROR(COUNTIFS($I$2:$I$301,1,$E$2:$E$301,"&lt;"&amp;$E136)+COUNTIFS($I$2:$I136,1,$E$2:$E136,$E136),""),"")</f>
        <v/>
      </c>
      <c r="M136" s="49" t="str">
        <f>IF(COUNTA($A136:$H136)=0,"",IF($A136="","Missing: task ID",IF(COUNTIF($A$2:$A$301,$A136)&gt;1,"Duplicate task ID",IF($B136="","Missing: task",IF($D136="","Missing: owner",IF(NOT(ISNUMBER($E136)),"Missing: due date",IF($F136="","Missing: status",IF(COUNTIF(Config!$J$15:$J$34,$F136)=0,"Unsupported status",IF(AND($G136&lt;&gt;"",COUNTIF(Config!$R$15:$R$34,$G136)=0),"Unsupported priority","OK")))))))))</f>
        <v/>
      </c>
    </row>
    <row r="137">
      <c r="A137" s="46" t="n"/>
      <c r="B137" s="46" t="n"/>
      <c r="C137" s="46" t="n"/>
      <c r="D137" s="46" t="n"/>
      <c r="E137" s="54" t="n"/>
      <c r="F137" s="46" t="n"/>
      <c r="G137" s="46" t="n"/>
      <c r="H137" s="46" t="n"/>
      <c r="I137" s="52" t="str">
        <f>IF($A137="","",IF(IFERROR(INDEX(Config!$K$15:$K$34,MATCH($F137,Config!$J$15:$J$34,0)),"Yes")="Yes",1,0))</f>
        <v/>
      </c>
      <c r="J137" s="52" t="str">
        <f>IF($A137="","",IF(AND($I137=1,ISNUMBER($E137)),IF($E137&lt;Config!$B$4,1,0),0))</f>
        <v/>
      </c>
      <c r="K137" s="52" t="str">
        <f>IF($A137="","",IF($J137=1,Config!$B$4-$E137,0))</f>
        <v/>
      </c>
      <c r="L137" s="52" t="str">
        <f>IF($I137=1,IFERROR(COUNTIFS($I$2:$I$301,1,$E$2:$E$301,"&lt;"&amp;$E137)+COUNTIFS($I$2:$I137,1,$E$2:$E137,$E137),""),"")</f>
        <v/>
      </c>
      <c r="M137" s="49" t="str">
        <f>IF(COUNTA($A137:$H137)=0,"",IF($A137="","Missing: task ID",IF(COUNTIF($A$2:$A$301,$A137)&gt;1,"Duplicate task ID",IF($B137="","Missing: task",IF($D137="","Missing: owner",IF(NOT(ISNUMBER($E137)),"Missing: due date",IF($F137="","Missing: status",IF(COUNTIF(Config!$J$15:$J$34,$F137)=0,"Unsupported status",IF(AND($G137&lt;&gt;"",COUNTIF(Config!$R$15:$R$34,$G137)=0),"Unsupported priority","OK")))))))))</f>
        <v/>
      </c>
    </row>
    <row r="138">
      <c r="A138" s="46" t="n"/>
      <c r="B138" s="46" t="n"/>
      <c r="C138" s="46" t="n"/>
      <c r="D138" s="46" t="n"/>
      <c r="E138" s="54" t="n"/>
      <c r="F138" s="46" t="n"/>
      <c r="G138" s="46" t="n"/>
      <c r="H138" s="46" t="n"/>
      <c r="I138" s="52" t="str">
        <f>IF($A138="","",IF(IFERROR(INDEX(Config!$K$15:$K$34,MATCH($F138,Config!$J$15:$J$34,0)),"Yes")="Yes",1,0))</f>
        <v/>
      </c>
      <c r="J138" s="52" t="str">
        <f>IF($A138="","",IF(AND($I138=1,ISNUMBER($E138)),IF($E138&lt;Config!$B$4,1,0),0))</f>
        <v/>
      </c>
      <c r="K138" s="52" t="str">
        <f>IF($A138="","",IF($J138=1,Config!$B$4-$E138,0))</f>
        <v/>
      </c>
      <c r="L138" s="52" t="str">
        <f>IF($I138=1,IFERROR(COUNTIFS($I$2:$I$301,1,$E$2:$E$301,"&lt;"&amp;$E138)+COUNTIFS($I$2:$I138,1,$E$2:$E138,$E138),""),"")</f>
        <v/>
      </c>
      <c r="M138" s="49" t="str">
        <f>IF(COUNTA($A138:$H138)=0,"",IF($A138="","Missing: task ID",IF(COUNTIF($A$2:$A$301,$A138)&gt;1,"Duplicate task ID",IF($B138="","Missing: task",IF($D138="","Missing: owner",IF(NOT(ISNUMBER($E138)),"Missing: due date",IF($F138="","Missing: status",IF(COUNTIF(Config!$J$15:$J$34,$F138)=0,"Unsupported status",IF(AND($G138&lt;&gt;"",COUNTIF(Config!$R$15:$R$34,$G138)=0),"Unsupported priority","OK")))))))))</f>
        <v/>
      </c>
    </row>
    <row r="139">
      <c r="A139" s="46" t="n"/>
      <c r="B139" s="46" t="n"/>
      <c r="C139" s="46" t="n"/>
      <c r="D139" s="46" t="n"/>
      <c r="E139" s="54" t="n"/>
      <c r="F139" s="46" t="n"/>
      <c r="G139" s="46" t="n"/>
      <c r="H139" s="46" t="n"/>
      <c r="I139" s="52" t="str">
        <f>IF($A139="","",IF(IFERROR(INDEX(Config!$K$15:$K$34,MATCH($F139,Config!$J$15:$J$34,0)),"Yes")="Yes",1,0))</f>
        <v/>
      </c>
      <c r="J139" s="52" t="str">
        <f>IF($A139="","",IF(AND($I139=1,ISNUMBER($E139)),IF($E139&lt;Config!$B$4,1,0),0))</f>
        <v/>
      </c>
      <c r="K139" s="52" t="str">
        <f>IF($A139="","",IF($J139=1,Config!$B$4-$E139,0))</f>
        <v/>
      </c>
      <c r="L139" s="52" t="str">
        <f>IF($I139=1,IFERROR(COUNTIFS($I$2:$I$301,1,$E$2:$E$301,"&lt;"&amp;$E139)+COUNTIFS($I$2:$I139,1,$E$2:$E139,$E139),""),"")</f>
        <v/>
      </c>
      <c r="M139" s="49" t="str">
        <f>IF(COUNTA($A139:$H139)=0,"",IF($A139="","Missing: task ID",IF(COUNTIF($A$2:$A$301,$A139)&gt;1,"Duplicate task ID",IF($B139="","Missing: task",IF($D139="","Missing: owner",IF(NOT(ISNUMBER($E139)),"Missing: due date",IF($F139="","Missing: status",IF(COUNTIF(Config!$J$15:$J$34,$F139)=0,"Unsupported status",IF(AND($G139&lt;&gt;"",COUNTIF(Config!$R$15:$R$34,$G139)=0),"Unsupported priority","OK")))))))))</f>
        <v/>
      </c>
    </row>
    <row r="140">
      <c r="A140" s="46" t="n"/>
      <c r="B140" s="46" t="n"/>
      <c r="C140" s="46" t="n"/>
      <c r="D140" s="46" t="n"/>
      <c r="E140" s="54" t="n"/>
      <c r="F140" s="46" t="n"/>
      <c r="G140" s="46" t="n"/>
      <c r="H140" s="46" t="n"/>
      <c r="I140" s="52" t="str">
        <f>IF($A140="","",IF(IFERROR(INDEX(Config!$K$15:$K$34,MATCH($F140,Config!$J$15:$J$34,0)),"Yes")="Yes",1,0))</f>
        <v/>
      </c>
      <c r="J140" s="52" t="str">
        <f>IF($A140="","",IF(AND($I140=1,ISNUMBER($E140)),IF($E140&lt;Config!$B$4,1,0),0))</f>
        <v/>
      </c>
      <c r="K140" s="52" t="str">
        <f>IF($A140="","",IF($J140=1,Config!$B$4-$E140,0))</f>
        <v/>
      </c>
      <c r="L140" s="52" t="str">
        <f>IF($I140=1,IFERROR(COUNTIFS($I$2:$I$301,1,$E$2:$E$301,"&lt;"&amp;$E140)+COUNTIFS($I$2:$I140,1,$E$2:$E140,$E140),""),"")</f>
        <v/>
      </c>
      <c r="M140" s="49" t="str">
        <f>IF(COUNTA($A140:$H140)=0,"",IF($A140="","Missing: task ID",IF(COUNTIF($A$2:$A$301,$A140)&gt;1,"Duplicate task ID",IF($B140="","Missing: task",IF($D140="","Missing: owner",IF(NOT(ISNUMBER($E140)),"Missing: due date",IF($F140="","Missing: status",IF(COUNTIF(Config!$J$15:$J$34,$F140)=0,"Unsupported status",IF(AND($G140&lt;&gt;"",COUNTIF(Config!$R$15:$R$34,$G140)=0),"Unsupported priority","OK")))))))))</f>
        <v/>
      </c>
    </row>
    <row r="141">
      <c r="A141" s="46" t="n"/>
      <c r="B141" s="46" t="n"/>
      <c r="C141" s="46" t="n"/>
      <c r="D141" s="46" t="n"/>
      <c r="E141" s="54" t="n"/>
      <c r="F141" s="46" t="n"/>
      <c r="G141" s="46" t="n"/>
      <c r="H141" s="46" t="n"/>
      <c r="I141" s="52" t="str">
        <f>IF($A141="","",IF(IFERROR(INDEX(Config!$K$15:$K$34,MATCH($F141,Config!$J$15:$J$34,0)),"Yes")="Yes",1,0))</f>
        <v/>
      </c>
      <c r="J141" s="52" t="str">
        <f>IF($A141="","",IF(AND($I141=1,ISNUMBER($E141)),IF($E141&lt;Config!$B$4,1,0),0))</f>
        <v/>
      </c>
      <c r="K141" s="52" t="str">
        <f>IF($A141="","",IF($J141=1,Config!$B$4-$E141,0))</f>
        <v/>
      </c>
      <c r="L141" s="52" t="str">
        <f>IF($I141=1,IFERROR(COUNTIFS($I$2:$I$301,1,$E$2:$E$301,"&lt;"&amp;$E141)+COUNTIFS($I$2:$I141,1,$E$2:$E141,$E141),""),"")</f>
        <v/>
      </c>
      <c r="M141" s="49" t="str">
        <f>IF(COUNTA($A141:$H141)=0,"",IF($A141="","Missing: task ID",IF(COUNTIF($A$2:$A$301,$A141)&gt;1,"Duplicate task ID",IF($B141="","Missing: task",IF($D141="","Missing: owner",IF(NOT(ISNUMBER($E141)),"Missing: due date",IF($F141="","Missing: status",IF(COUNTIF(Config!$J$15:$J$34,$F141)=0,"Unsupported status",IF(AND($G141&lt;&gt;"",COUNTIF(Config!$R$15:$R$34,$G141)=0),"Unsupported priority","OK")))))))))</f>
        <v/>
      </c>
    </row>
    <row r="142">
      <c r="A142" s="46" t="n"/>
      <c r="B142" s="46" t="n"/>
      <c r="C142" s="46" t="n"/>
      <c r="D142" s="46" t="n"/>
      <c r="E142" s="54" t="n"/>
      <c r="F142" s="46" t="n"/>
      <c r="G142" s="46" t="n"/>
      <c r="H142" s="46" t="n"/>
      <c r="I142" s="52" t="str">
        <f>IF($A142="","",IF(IFERROR(INDEX(Config!$K$15:$K$34,MATCH($F142,Config!$J$15:$J$34,0)),"Yes")="Yes",1,0))</f>
        <v/>
      </c>
      <c r="J142" s="52" t="str">
        <f>IF($A142="","",IF(AND($I142=1,ISNUMBER($E142)),IF($E142&lt;Config!$B$4,1,0),0))</f>
        <v/>
      </c>
      <c r="K142" s="52" t="str">
        <f>IF($A142="","",IF($J142=1,Config!$B$4-$E142,0))</f>
        <v/>
      </c>
      <c r="L142" s="52" t="str">
        <f>IF($I142=1,IFERROR(COUNTIFS($I$2:$I$301,1,$E$2:$E$301,"&lt;"&amp;$E142)+COUNTIFS($I$2:$I142,1,$E$2:$E142,$E142),""),"")</f>
        <v/>
      </c>
      <c r="M142" s="49" t="str">
        <f>IF(COUNTA($A142:$H142)=0,"",IF($A142="","Missing: task ID",IF(COUNTIF($A$2:$A$301,$A142)&gt;1,"Duplicate task ID",IF($B142="","Missing: task",IF($D142="","Missing: owner",IF(NOT(ISNUMBER($E142)),"Missing: due date",IF($F142="","Missing: status",IF(COUNTIF(Config!$J$15:$J$34,$F142)=0,"Unsupported status",IF(AND($G142&lt;&gt;"",COUNTIF(Config!$R$15:$R$34,$G142)=0),"Unsupported priority","OK")))))))))</f>
        <v/>
      </c>
    </row>
    <row r="143">
      <c r="A143" s="46" t="n"/>
      <c r="B143" s="46" t="n"/>
      <c r="C143" s="46" t="n"/>
      <c r="D143" s="46" t="n"/>
      <c r="E143" s="54" t="n"/>
      <c r="F143" s="46" t="n"/>
      <c r="G143" s="46" t="n"/>
      <c r="H143" s="46" t="n"/>
      <c r="I143" s="52" t="str">
        <f>IF($A143="","",IF(IFERROR(INDEX(Config!$K$15:$K$34,MATCH($F143,Config!$J$15:$J$34,0)),"Yes")="Yes",1,0))</f>
        <v/>
      </c>
      <c r="J143" s="52" t="str">
        <f>IF($A143="","",IF(AND($I143=1,ISNUMBER($E143)),IF($E143&lt;Config!$B$4,1,0),0))</f>
        <v/>
      </c>
      <c r="K143" s="52" t="str">
        <f>IF($A143="","",IF($J143=1,Config!$B$4-$E143,0))</f>
        <v/>
      </c>
      <c r="L143" s="52" t="str">
        <f>IF($I143=1,IFERROR(COUNTIFS($I$2:$I$301,1,$E$2:$E$301,"&lt;"&amp;$E143)+COUNTIFS($I$2:$I143,1,$E$2:$E143,$E143),""),"")</f>
        <v/>
      </c>
      <c r="M143" s="49" t="str">
        <f>IF(COUNTA($A143:$H143)=0,"",IF($A143="","Missing: task ID",IF(COUNTIF($A$2:$A$301,$A143)&gt;1,"Duplicate task ID",IF($B143="","Missing: task",IF($D143="","Missing: owner",IF(NOT(ISNUMBER($E143)),"Missing: due date",IF($F143="","Missing: status",IF(COUNTIF(Config!$J$15:$J$34,$F143)=0,"Unsupported status",IF(AND($G143&lt;&gt;"",COUNTIF(Config!$R$15:$R$34,$G143)=0),"Unsupported priority","OK")))))))))</f>
        <v/>
      </c>
    </row>
    <row r="144">
      <c r="A144" s="46" t="n"/>
      <c r="B144" s="46" t="n"/>
      <c r="C144" s="46" t="n"/>
      <c r="D144" s="46" t="n"/>
      <c r="E144" s="54" t="n"/>
      <c r="F144" s="46" t="n"/>
      <c r="G144" s="46" t="n"/>
      <c r="H144" s="46" t="n"/>
      <c r="I144" s="52" t="str">
        <f>IF($A144="","",IF(IFERROR(INDEX(Config!$K$15:$K$34,MATCH($F144,Config!$J$15:$J$34,0)),"Yes")="Yes",1,0))</f>
        <v/>
      </c>
      <c r="J144" s="52" t="str">
        <f>IF($A144="","",IF(AND($I144=1,ISNUMBER($E144)),IF($E144&lt;Config!$B$4,1,0),0))</f>
        <v/>
      </c>
      <c r="K144" s="52" t="str">
        <f>IF($A144="","",IF($J144=1,Config!$B$4-$E144,0))</f>
        <v/>
      </c>
      <c r="L144" s="52" t="str">
        <f>IF($I144=1,IFERROR(COUNTIFS($I$2:$I$301,1,$E$2:$E$301,"&lt;"&amp;$E144)+COUNTIFS($I$2:$I144,1,$E$2:$E144,$E144),""),"")</f>
        <v/>
      </c>
      <c r="M144" s="49" t="str">
        <f>IF(COUNTA($A144:$H144)=0,"",IF($A144="","Missing: task ID",IF(COUNTIF($A$2:$A$301,$A144)&gt;1,"Duplicate task ID",IF($B144="","Missing: task",IF($D144="","Missing: owner",IF(NOT(ISNUMBER($E144)),"Missing: due date",IF($F144="","Missing: status",IF(COUNTIF(Config!$J$15:$J$34,$F144)=0,"Unsupported status",IF(AND($G144&lt;&gt;"",COUNTIF(Config!$R$15:$R$34,$G144)=0),"Unsupported priority","OK")))))))))</f>
        <v/>
      </c>
    </row>
    <row r="145">
      <c r="A145" s="46" t="n"/>
      <c r="B145" s="46" t="n"/>
      <c r="C145" s="46" t="n"/>
      <c r="D145" s="46" t="n"/>
      <c r="E145" s="54" t="n"/>
      <c r="F145" s="46" t="n"/>
      <c r="G145" s="46" t="n"/>
      <c r="H145" s="46" t="n"/>
      <c r="I145" s="52" t="str">
        <f>IF($A145="","",IF(IFERROR(INDEX(Config!$K$15:$K$34,MATCH($F145,Config!$J$15:$J$34,0)),"Yes")="Yes",1,0))</f>
        <v/>
      </c>
      <c r="J145" s="52" t="str">
        <f>IF($A145="","",IF(AND($I145=1,ISNUMBER($E145)),IF($E145&lt;Config!$B$4,1,0),0))</f>
        <v/>
      </c>
      <c r="K145" s="52" t="str">
        <f>IF($A145="","",IF($J145=1,Config!$B$4-$E145,0))</f>
        <v/>
      </c>
      <c r="L145" s="52" t="str">
        <f>IF($I145=1,IFERROR(COUNTIFS($I$2:$I$301,1,$E$2:$E$301,"&lt;"&amp;$E145)+COUNTIFS($I$2:$I145,1,$E$2:$E145,$E145),""),"")</f>
        <v/>
      </c>
      <c r="M145" s="49" t="str">
        <f>IF(COUNTA($A145:$H145)=0,"",IF($A145="","Missing: task ID",IF(COUNTIF($A$2:$A$301,$A145)&gt;1,"Duplicate task ID",IF($B145="","Missing: task",IF($D145="","Missing: owner",IF(NOT(ISNUMBER($E145)),"Missing: due date",IF($F145="","Missing: status",IF(COUNTIF(Config!$J$15:$J$34,$F145)=0,"Unsupported status",IF(AND($G145&lt;&gt;"",COUNTIF(Config!$R$15:$R$34,$G145)=0),"Unsupported priority","OK")))))))))</f>
        <v/>
      </c>
    </row>
    <row r="146">
      <c r="A146" s="46" t="n"/>
      <c r="B146" s="46" t="n"/>
      <c r="C146" s="46" t="n"/>
      <c r="D146" s="46" t="n"/>
      <c r="E146" s="54" t="n"/>
      <c r="F146" s="46" t="n"/>
      <c r="G146" s="46" t="n"/>
      <c r="H146" s="46" t="n"/>
      <c r="I146" s="52" t="str">
        <f>IF($A146="","",IF(IFERROR(INDEX(Config!$K$15:$K$34,MATCH($F146,Config!$J$15:$J$34,0)),"Yes")="Yes",1,0))</f>
        <v/>
      </c>
      <c r="J146" s="52" t="str">
        <f>IF($A146="","",IF(AND($I146=1,ISNUMBER($E146)),IF($E146&lt;Config!$B$4,1,0),0))</f>
        <v/>
      </c>
      <c r="K146" s="52" t="str">
        <f>IF($A146="","",IF($J146=1,Config!$B$4-$E146,0))</f>
        <v/>
      </c>
      <c r="L146" s="52" t="str">
        <f>IF($I146=1,IFERROR(COUNTIFS($I$2:$I$301,1,$E$2:$E$301,"&lt;"&amp;$E146)+COUNTIFS($I$2:$I146,1,$E$2:$E146,$E146),""),"")</f>
        <v/>
      </c>
      <c r="M146" s="49" t="str">
        <f>IF(COUNTA($A146:$H146)=0,"",IF($A146="","Missing: task ID",IF(COUNTIF($A$2:$A$301,$A146)&gt;1,"Duplicate task ID",IF($B146="","Missing: task",IF($D146="","Missing: owner",IF(NOT(ISNUMBER($E146)),"Missing: due date",IF($F146="","Missing: status",IF(COUNTIF(Config!$J$15:$J$34,$F146)=0,"Unsupported status",IF(AND($G146&lt;&gt;"",COUNTIF(Config!$R$15:$R$34,$G146)=0),"Unsupported priority","OK")))))))))</f>
        <v/>
      </c>
    </row>
    <row r="147">
      <c r="A147" s="46" t="n"/>
      <c r="B147" s="46" t="n"/>
      <c r="C147" s="46" t="n"/>
      <c r="D147" s="46" t="n"/>
      <c r="E147" s="54" t="n"/>
      <c r="F147" s="46" t="n"/>
      <c r="G147" s="46" t="n"/>
      <c r="H147" s="46" t="n"/>
      <c r="I147" s="52" t="str">
        <f>IF($A147="","",IF(IFERROR(INDEX(Config!$K$15:$K$34,MATCH($F147,Config!$J$15:$J$34,0)),"Yes")="Yes",1,0))</f>
        <v/>
      </c>
      <c r="J147" s="52" t="str">
        <f>IF($A147="","",IF(AND($I147=1,ISNUMBER($E147)),IF($E147&lt;Config!$B$4,1,0),0))</f>
        <v/>
      </c>
      <c r="K147" s="52" t="str">
        <f>IF($A147="","",IF($J147=1,Config!$B$4-$E147,0))</f>
        <v/>
      </c>
      <c r="L147" s="52" t="str">
        <f>IF($I147=1,IFERROR(COUNTIFS($I$2:$I$301,1,$E$2:$E$301,"&lt;"&amp;$E147)+COUNTIFS($I$2:$I147,1,$E$2:$E147,$E147),""),"")</f>
        <v/>
      </c>
      <c r="M147" s="49" t="str">
        <f>IF(COUNTA($A147:$H147)=0,"",IF($A147="","Missing: task ID",IF(COUNTIF($A$2:$A$301,$A147)&gt;1,"Duplicate task ID",IF($B147="","Missing: task",IF($D147="","Missing: owner",IF(NOT(ISNUMBER($E147)),"Missing: due date",IF($F147="","Missing: status",IF(COUNTIF(Config!$J$15:$J$34,$F147)=0,"Unsupported status",IF(AND($G147&lt;&gt;"",COUNTIF(Config!$R$15:$R$34,$G147)=0),"Unsupported priority","OK")))))))))</f>
        <v/>
      </c>
    </row>
    <row r="148">
      <c r="A148" s="46" t="n"/>
      <c r="B148" s="46" t="n"/>
      <c r="C148" s="46" t="n"/>
      <c r="D148" s="46" t="n"/>
      <c r="E148" s="54" t="n"/>
      <c r="F148" s="46" t="n"/>
      <c r="G148" s="46" t="n"/>
      <c r="H148" s="46" t="n"/>
      <c r="I148" s="52" t="str">
        <f>IF($A148="","",IF(IFERROR(INDEX(Config!$K$15:$K$34,MATCH($F148,Config!$J$15:$J$34,0)),"Yes")="Yes",1,0))</f>
        <v/>
      </c>
      <c r="J148" s="52" t="str">
        <f>IF($A148="","",IF(AND($I148=1,ISNUMBER($E148)),IF($E148&lt;Config!$B$4,1,0),0))</f>
        <v/>
      </c>
      <c r="K148" s="52" t="str">
        <f>IF($A148="","",IF($J148=1,Config!$B$4-$E148,0))</f>
        <v/>
      </c>
      <c r="L148" s="52" t="str">
        <f>IF($I148=1,IFERROR(COUNTIFS($I$2:$I$301,1,$E$2:$E$301,"&lt;"&amp;$E148)+COUNTIFS($I$2:$I148,1,$E$2:$E148,$E148),""),"")</f>
        <v/>
      </c>
      <c r="M148" s="49" t="str">
        <f>IF(COUNTA($A148:$H148)=0,"",IF($A148="","Missing: task ID",IF(COUNTIF($A$2:$A$301,$A148)&gt;1,"Duplicate task ID",IF($B148="","Missing: task",IF($D148="","Missing: owner",IF(NOT(ISNUMBER($E148)),"Missing: due date",IF($F148="","Missing: status",IF(COUNTIF(Config!$J$15:$J$34,$F148)=0,"Unsupported status",IF(AND($G148&lt;&gt;"",COUNTIF(Config!$R$15:$R$34,$G148)=0),"Unsupported priority","OK")))))))))</f>
        <v/>
      </c>
    </row>
    <row r="149">
      <c r="A149" s="46" t="n"/>
      <c r="B149" s="46" t="n"/>
      <c r="C149" s="46" t="n"/>
      <c r="D149" s="46" t="n"/>
      <c r="E149" s="54" t="n"/>
      <c r="F149" s="46" t="n"/>
      <c r="G149" s="46" t="n"/>
      <c r="H149" s="46" t="n"/>
      <c r="I149" s="52" t="str">
        <f>IF($A149="","",IF(IFERROR(INDEX(Config!$K$15:$K$34,MATCH($F149,Config!$J$15:$J$34,0)),"Yes")="Yes",1,0))</f>
        <v/>
      </c>
      <c r="J149" s="52" t="str">
        <f>IF($A149="","",IF(AND($I149=1,ISNUMBER($E149)),IF($E149&lt;Config!$B$4,1,0),0))</f>
        <v/>
      </c>
      <c r="K149" s="52" t="str">
        <f>IF($A149="","",IF($J149=1,Config!$B$4-$E149,0))</f>
        <v/>
      </c>
      <c r="L149" s="52" t="str">
        <f>IF($I149=1,IFERROR(COUNTIFS($I$2:$I$301,1,$E$2:$E$301,"&lt;"&amp;$E149)+COUNTIFS($I$2:$I149,1,$E$2:$E149,$E149),""),"")</f>
        <v/>
      </c>
      <c r="M149" s="49" t="str">
        <f>IF(COUNTA($A149:$H149)=0,"",IF($A149="","Missing: task ID",IF(COUNTIF($A$2:$A$301,$A149)&gt;1,"Duplicate task ID",IF($B149="","Missing: task",IF($D149="","Missing: owner",IF(NOT(ISNUMBER($E149)),"Missing: due date",IF($F149="","Missing: status",IF(COUNTIF(Config!$J$15:$J$34,$F149)=0,"Unsupported status",IF(AND($G149&lt;&gt;"",COUNTIF(Config!$R$15:$R$34,$G149)=0),"Unsupported priority","OK")))))))))</f>
        <v/>
      </c>
    </row>
    <row r="150">
      <c r="A150" s="46" t="n"/>
      <c r="B150" s="46" t="n"/>
      <c r="C150" s="46" t="n"/>
      <c r="D150" s="46" t="n"/>
      <c r="E150" s="54" t="n"/>
      <c r="F150" s="46" t="n"/>
      <c r="G150" s="46" t="n"/>
      <c r="H150" s="46" t="n"/>
      <c r="I150" s="52" t="str">
        <f>IF($A150="","",IF(IFERROR(INDEX(Config!$K$15:$K$34,MATCH($F150,Config!$J$15:$J$34,0)),"Yes")="Yes",1,0))</f>
        <v/>
      </c>
      <c r="J150" s="52" t="str">
        <f>IF($A150="","",IF(AND($I150=1,ISNUMBER($E150)),IF($E150&lt;Config!$B$4,1,0),0))</f>
        <v/>
      </c>
      <c r="K150" s="52" t="str">
        <f>IF($A150="","",IF($J150=1,Config!$B$4-$E150,0))</f>
        <v/>
      </c>
      <c r="L150" s="52" t="str">
        <f>IF($I150=1,IFERROR(COUNTIFS($I$2:$I$301,1,$E$2:$E$301,"&lt;"&amp;$E150)+COUNTIFS($I$2:$I150,1,$E$2:$E150,$E150),""),"")</f>
        <v/>
      </c>
      <c r="M150" s="49" t="str">
        <f>IF(COUNTA($A150:$H150)=0,"",IF($A150="","Missing: task ID",IF(COUNTIF($A$2:$A$301,$A150)&gt;1,"Duplicate task ID",IF($B150="","Missing: task",IF($D150="","Missing: owner",IF(NOT(ISNUMBER($E150)),"Missing: due date",IF($F150="","Missing: status",IF(COUNTIF(Config!$J$15:$J$34,$F150)=0,"Unsupported status",IF(AND($G150&lt;&gt;"",COUNTIF(Config!$R$15:$R$34,$G150)=0),"Unsupported priority","OK")))))))))</f>
        <v/>
      </c>
    </row>
    <row r="151">
      <c r="A151" s="46" t="n"/>
      <c r="B151" s="46" t="n"/>
      <c r="C151" s="46" t="n"/>
      <c r="D151" s="46" t="n"/>
      <c r="E151" s="54" t="n"/>
      <c r="F151" s="46" t="n"/>
      <c r="G151" s="46" t="n"/>
      <c r="H151" s="46" t="n"/>
      <c r="I151" s="52" t="str">
        <f>IF($A151="","",IF(IFERROR(INDEX(Config!$K$15:$K$34,MATCH($F151,Config!$J$15:$J$34,0)),"Yes")="Yes",1,0))</f>
        <v/>
      </c>
      <c r="J151" s="52" t="str">
        <f>IF($A151="","",IF(AND($I151=1,ISNUMBER($E151)),IF($E151&lt;Config!$B$4,1,0),0))</f>
        <v/>
      </c>
      <c r="K151" s="52" t="str">
        <f>IF($A151="","",IF($J151=1,Config!$B$4-$E151,0))</f>
        <v/>
      </c>
      <c r="L151" s="52" t="str">
        <f>IF($I151=1,IFERROR(COUNTIFS($I$2:$I$301,1,$E$2:$E$301,"&lt;"&amp;$E151)+COUNTIFS($I$2:$I151,1,$E$2:$E151,$E151),""),"")</f>
        <v/>
      </c>
      <c r="M151" s="49" t="str">
        <f>IF(COUNTA($A151:$H151)=0,"",IF($A151="","Missing: task ID",IF(COUNTIF($A$2:$A$301,$A151)&gt;1,"Duplicate task ID",IF($B151="","Missing: task",IF($D151="","Missing: owner",IF(NOT(ISNUMBER($E151)),"Missing: due date",IF($F151="","Missing: status",IF(COUNTIF(Config!$J$15:$J$34,$F151)=0,"Unsupported status",IF(AND($G151&lt;&gt;"",COUNTIF(Config!$R$15:$R$34,$G151)=0),"Unsupported priority","OK")))))))))</f>
        <v/>
      </c>
    </row>
    <row r="152">
      <c r="A152" s="46" t="n"/>
      <c r="B152" s="46" t="n"/>
      <c r="C152" s="46" t="n"/>
      <c r="D152" s="46" t="n"/>
      <c r="E152" s="54" t="n"/>
      <c r="F152" s="46" t="n"/>
      <c r="G152" s="46" t="n"/>
      <c r="H152" s="46" t="n"/>
      <c r="I152" s="52" t="str">
        <f>IF($A152="","",IF(IFERROR(INDEX(Config!$K$15:$K$34,MATCH($F152,Config!$J$15:$J$34,0)),"Yes")="Yes",1,0))</f>
        <v/>
      </c>
      <c r="J152" s="52" t="str">
        <f>IF($A152="","",IF(AND($I152=1,ISNUMBER($E152)),IF($E152&lt;Config!$B$4,1,0),0))</f>
        <v/>
      </c>
      <c r="K152" s="52" t="str">
        <f>IF($A152="","",IF($J152=1,Config!$B$4-$E152,0))</f>
        <v/>
      </c>
      <c r="L152" s="52" t="str">
        <f>IF($I152=1,IFERROR(COUNTIFS($I$2:$I$301,1,$E$2:$E$301,"&lt;"&amp;$E152)+COUNTIFS($I$2:$I152,1,$E$2:$E152,$E152),""),"")</f>
        <v/>
      </c>
      <c r="M152" s="49" t="str">
        <f>IF(COUNTA($A152:$H152)=0,"",IF($A152="","Missing: task ID",IF(COUNTIF($A$2:$A$301,$A152)&gt;1,"Duplicate task ID",IF($B152="","Missing: task",IF($D152="","Missing: owner",IF(NOT(ISNUMBER($E152)),"Missing: due date",IF($F152="","Missing: status",IF(COUNTIF(Config!$J$15:$J$34,$F152)=0,"Unsupported status",IF(AND($G152&lt;&gt;"",COUNTIF(Config!$R$15:$R$34,$G152)=0),"Unsupported priority","OK")))))))))</f>
        <v/>
      </c>
    </row>
    <row r="153">
      <c r="A153" s="46" t="n"/>
      <c r="B153" s="46" t="n"/>
      <c r="C153" s="46" t="n"/>
      <c r="D153" s="46" t="n"/>
      <c r="E153" s="54" t="n"/>
      <c r="F153" s="46" t="n"/>
      <c r="G153" s="46" t="n"/>
      <c r="H153" s="46" t="n"/>
      <c r="I153" s="52" t="str">
        <f>IF($A153="","",IF(IFERROR(INDEX(Config!$K$15:$K$34,MATCH($F153,Config!$J$15:$J$34,0)),"Yes")="Yes",1,0))</f>
        <v/>
      </c>
      <c r="J153" s="52" t="str">
        <f>IF($A153="","",IF(AND($I153=1,ISNUMBER($E153)),IF($E153&lt;Config!$B$4,1,0),0))</f>
        <v/>
      </c>
      <c r="K153" s="52" t="str">
        <f>IF($A153="","",IF($J153=1,Config!$B$4-$E153,0))</f>
        <v/>
      </c>
      <c r="L153" s="52" t="str">
        <f>IF($I153=1,IFERROR(COUNTIFS($I$2:$I$301,1,$E$2:$E$301,"&lt;"&amp;$E153)+COUNTIFS($I$2:$I153,1,$E$2:$E153,$E153),""),"")</f>
        <v/>
      </c>
      <c r="M153" s="49" t="str">
        <f>IF(COUNTA($A153:$H153)=0,"",IF($A153="","Missing: task ID",IF(COUNTIF($A$2:$A$301,$A153)&gt;1,"Duplicate task ID",IF($B153="","Missing: task",IF($D153="","Missing: owner",IF(NOT(ISNUMBER($E153)),"Missing: due date",IF($F153="","Missing: status",IF(COUNTIF(Config!$J$15:$J$34,$F153)=0,"Unsupported status",IF(AND($G153&lt;&gt;"",COUNTIF(Config!$R$15:$R$34,$G153)=0),"Unsupported priority","OK")))))))))</f>
        <v/>
      </c>
    </row>
    <row r="154">
      <c r="A154" s="46" t="n"/>
      <c r="B154" s="46" t="n"/>
      <c r="C154" s="46" t="n"/>
      <c r="D154" s="46" t="n"/>
      <c r="E154" s="54" t="n"/>
      <c r="F154" s="46" t="n"/>
      <c r="G154" s="46" t="n"/>
      <c r="H154" s="46" t="n"/>
      <c r="I154" s="52" t="str">
        <f>IF($A154="","",IF(IFERROR(INDEX(Config!$K$15:$K$34,MATCH($F154,Config!$J$15:$J$34,0)),"Yes")="Yes",1,0))</f>
        <v/>
      </c>
      <c r="J154" s="52" t="str">
        <f>IF($A154="","",IF(AND($I154=1,ISNUMBER($E154)),IF($E154&lt;Config!$B$4,1,0),0))</f>
        <v/>
      </c>
      <c r="K154" s="52" t="str">
        <f>IF($A154="","",IF($J154=1,Config!$B$4-$E154,0))</f>
        <v/>
      </c>
      <c r="L154" s="52" t="str">
        <f>IF($I154=1,IFERROR(COUNTIFS($I$2:$I$301,1,$E$2:$E$301,"&lt;"&amp;$E154)+COUNTIFS($I$2:$I154,1,$E$2:$E154,$E154),""),"")</f>
        <v/>
      </c>
      <c r="M154" s="49" t="str">
        <f>IF(COUNTA($A154:$H154)=0,"",IF($A154="","Missing: task ID",IF(COUNTIF($A$2:$A$301,$A154)&gt;1,"Duplicate task ID",IF($B154="","Missing: task",IF($D154="","Missing: owner",IF(NOT(ISNUMBER($E154)),"Missing: due date",IF($F154="","Missing: status",IF(COUNTIF(Config!$J$15:$J$34,$F154)=0,"Unsupported status",IF(AND($G154&lt;&gt;"",COUNTIF(Config!$R$15:$R$34,$G154)=0),"Unsupported priority","OK")))))))))</f>
        <v/>
      </c>
    </row>
    <row r="155">
      <c r="A155" s="46" t="n"/>
      <c r="B155" s="46" t="n"/>
      <c r="C155" s="46" t="n"/>
      <c r="D155" s="46" t="n"/>
      <c r="E155" s="54" t="n"/>
      <c r="F155" s="46" t="n"/>
      <c r="G155" s="46" t="n"/>
      <c r="H155" s="46" t="n"/>
      <c r="I155" s="52" t="str">
        <f>IF($A155="","",IF(IFERROR(INDEX(Config!$K$15:$K$34,MATCH($F155,Config!$J$15:$J$34,0)),"Yes")="Yes",1,0))</f>
        <v/>
      </c>
      <c r="J155" s="52" t="str">
        <f>IF($A155="","",IF(AND($I155=1,ISNUMBER($E155)),IF($E155&lt;Config!$B$4,1,0),0))</f>
        <v/>
      </c>
      <c r="K155" s="52" t="str">
        <f>IF($A155="","",IF($J155=1,Config!$B$4-$E155,0))</f>
        <v/>
      </c>
      <c r="L155" s="52" t="str">
        <f>IF($I155=1,IFERROR(COUNTIFS($I$2:$I$301,1,$E$2:$E$301,"&lt;"&amp;$E155)+COUNTIFS($I$2:$I155,1,$E$2:$E155,$E155),""),"")</f>
        <v/>
      </c>
      <c r="M155" s="49" t="str">
        <f>IF(COUNTA($A155:$H155)=0,"",IF($A155="","Missing: task ID",IF(COUNTIF($A$2:$A$301,$A155)&gt;1,"Duplicate task ID",IF($B155="","Missing: task",IF($D155="","Missing: owner",IF(NOT(ISNUMBER($E155)),"Missing: due date",IF($F155="","Missing: status",IF(COUNTIF(Config!$J$15:$J$34,$F155)=0,"Unsupported status",IF(AND($G155&lt;&gt;"",COUNTIF(Config!$R$15:$R$34,$G155)=0),"Unsupported priority","OK")))))))))</f>
        <v/>
      </c>
    </row>
    <row r="156">
      <c r="A156" s="46" t="n"/>
      <c r="B156" s="46" t="n"/>
      <c r="C156" s="46" t="n"/>
      <c r="D156" s="46" t="n"/>
      <c r="E156" s="54" t="n"/>
      <c r="F156" s="46" t="n"/>
      <c r="G156" s="46" t="n"/>
      <c r="H156" s="46" t="n"/>
      <c r="I156" s="52" t="str">
        <f>IF($A156="","",IF(IFERROR(INDEX(Config!$K$15:$K$34,MATCH($F156,Config!$J$15:$J$34,0)),"Yes")="Yes",1,0))</f>
        <v/>
      </c>
      <c r="J156" s="52" t="str">
        <f>IF($A156="","",IF(AND($I156=1,ISNUMBER($E156)),IF($E156&lt;Config!$B$4,1,0),0))</f>
        <v/>
      </c>
      <c r="K156" s="52" t="str">
        <f>IF($A156="","",IF($J156=1,Config!$B$4-$E156,0))</f>
        <v/>
      </c>
      <c r="L156" s="52" t="str">
        <f>IF($I156=1,IFERROR(COUNTIFS($I$2:$I$301,1,$E$2:$E$301,"&lt;"&amp;$E156)+COUNTIFS($I$2:$I156,1,$E$2:$E156,$E156),""),"")</f>
        <v/>
      </c>
      <c r="M156" s="49" t="str">
        <f>IF(COUNTA($A156:$H156)=0,"",IF($A156="","Missing: task ID",IF(COUNTIF($A$2:$A$301,$A156)&gt;1,"Duplicate task ID",IF($B156="","Missing: task",IF($D156="","Missing: owner",IF(NOT(ISNUMBER($E156)),"Missing: due date",IF($F156="","Missing: status",IF(COUNTIF(Config!$J$15:$J$34,$F156)=0,"Unsupported status",IF(AND($G156&lt;&gt;"",COUNTIF(Config!$R$15:$R$34,$G156)=0),"Unsupported priority","OK")))))))))</f>
        <v/>
      </c>
    </row>
    <row r="157">
      <c r="A157" s="46" t="n"/>
      <c r="B157" s="46" t="n"/>
      <c r="C157" s="46" t="n"/>
      <c r="D157" s="46" t="n"/>
      <c r="E157" s="54" t="n"/>
      <c r="F157" s="46" t="n"/>
      <c r="G157" s="46" t="n"/>
      <c r="H157" s="46" t="n"/>
      <c r="I157" s="52" t="str">
        <f>IF($A157="","",IF(IFERROR(INDEX(Config!$K$15:$K$34,MATCH($F157,Config!$J$15:$J$34,0)),"Yes")="Yes",1,0))</f>
        <v/>
      </c>
      <c r="J157" s="52" t="str">
        <f>IF($A157="","",IF(AND($I157=1,ISNUMBER($E157)),IF($E157&lt;Config!$B$4,1,0),0))</f>
        <v/>
      </c>
      <c r="K157" s="52" t="str">
        <f>IF($A157="","",IF($J157=1,Config!$B$4-$E157,0))</f>
        <v/>
      </c>
      <c r="L157" s="52" t="str">
        <f>IF($I157=1,IFERROR(COUNTIFS($I$2:$I$301,1,$E$2:$E$301,"&lt;"&amp;$E157)+COUNTIFS($I$2:$I157,1,$E$2:$E157,$E157),""),"")</f>
        <v/>
      </c>
      <c r="M157" s="49" t="str">
        <f>IF(COUNTA($A157:$H157)=0,"",IF($A157="","Missing: task ID",IF(COUNTIF($A$2:$A$301,$A157)&gt;1,"Duplicate task ID",IF($B157="","Missing: task",IF($D157="","Missing: owner",IF(NOT(ISNUMBER($E157)),"Missing: due date",IF($F157="","Missing: status",IF(COUNTIF(Config!$J$15:$J$34,$F157)=0,"Unsupported status",IF(AND($G157&lt;&gt;"",COUNTIF(Config!$R$15:$R$34,$G157)=0),"Unsupported priority","OK")))))))))</f>
        <v/>
      </c>
    </row>
    <row r="158">
      <c r="A158" s="46" t="n"/>
      <c r="B158" s="46" t="n"/>
      <c r="C158" s="46" t="n"/>
      <c r="D158" s="46" t="n"/>
      <c r="E158" s="54" t="n"/>
      <c r="F158" s="46" t="n"/>
      <c r="G158" s="46" t="n"/>
      <c r="H158" s="46" t="n"/>
      <c r="I158" s="52" t="str">
        <f>IF($A158="","",IF(IFERROR(INDEX(Config!$K$15:$K$34,MATCH($F158,Config!$J$15:$J$34,0)),"Yes")="Yes",1,0))</f>
        <v/>
      </c>
      <c r="J158" s="52" t="str">
        <f>IF($A158="","",IF(AND($I158=1,ISNUMBER($E158)),IF($E158&lt;Config!$B$4,1,0),0))</f>
        <v/>
      </c>
      <c r="K158" s="52" t="str">
        <f>IF($A158="","",IF($J158=1,Config!$B$4-$E158,0))</f>
        <v/>
      </c>
      <c r="L158" s="52" t="str">
        <f>IF($I158=1,IFERROR(COUNTIFS($I$2:$I$301,1,$E$2:$E$301,"&lt;"&amp;$E158)+COUNTIFS($I$2:$I158,1,$E$2:$E158,$E158),""),"")</f>
        <v/>
      </c>
      <c r="M158" s="49" t="str">
        <f>IF(COUNTA($A158:$H158)=0,"",IF($A158="","Missing: task ID",IF(COUNTIF($A$2:$A$301,$A158)&gt;1,"Duplicate task ID",IF($B158="","Missing: task",IF($D158="","Missing: owner",IF(NOT(ISNUMBER($E158)),"Missing: due date",IF($F158="","Missing: status",IF(COUNTIF(Config!$J$15:$J$34,$F158)=0,"Unsupported status",IF(AND($G158&lt;&gt;"",COUNTIF(Config!$R$15:$R$34,$G158)=0),"Unsupported priority","OK")))))))))</f>
        <v/>
      </c>
    </row>
    <row r="159">
      <c r="A159" s="46" t="n"/>
      <c r="B159" s="46" t="n"/>
      <c r="C159" s="46" t="n"/>
      <c r="D159" s="46" t="n"/>
      <c r="E159" s="54" t="n"/>
      <c r="F159" s="46" t="n"/>
      <c r="G159" s="46" t="n"/>
      <c r="H159" s="46" t="n"/>
      <c r="I159" s="52" t="str">
        <f>IF($A159="","",IF(IFERROR(INDEX(Config!$K$15:$K$34,MATCH($F159,Config!$J$15:$J$34,0)),"Yes")="Yes",1,0))</f>
        <v/>
      </c>
      <c r="J159" s="52" t="str">
        <f>IF($A159="","",IF(AND($I159=1,ISNUMBER($E159)),IF($E159&lt;Config!$B$4,1,0),0))</f>
        <v/>
      </c>
      <c r="K159" s="52" t="str">
        <f>IF($A159="","",IF($J159=1,Config!$B$4-$E159,0))</f>
        <v/>
      </c>
      <c r="L159" s="52" t="str">
        <f>IF($I159=1,IFERROR(COUNTIFS($I$2:$I$301,1,$E$2:$E$301,"&lt;"&amp;$E159)+COUNTIFS($I$2:$I159,1,$E$2:$E159,$E159),""),"")</f>
        <v/>
      </c>
      <c r="M159" s="49" t="str">
        <f>IF(COUNTA($A159:$H159)=0,"",IF($A159="","Missing: task ID",IF(COUNTIF($A$2:$A$301,$A159)&gt;1,"Duplicate task ID",IF($B159="","Missing: task",IF($D159="","Missing: owner",IF(NOT(ISNUMBER($E159)),"Missing: due date",IF($F159="","Missing: status",IF(COUNTIF(Config!$J$15:$J$34,$F159)=0,"Unsupported status",IF(AND($G159&lt;&gt;"",COUNTIF(Config!$R$15:$R$34,$G159)=0),"Unsupported priority","OK")))))))))</f>
        <v/>
      </c>
    </row>
    <row r="160">
      <c r="A160" s="46" t="n"/>
      <c r="B160" s="46" t="n"/>
      <c r="C160" s="46" t="n"/>
      <c r="D160" s="46" t="n"/>
      <c r="E160" s="54" t="n"/>
      <c r="F160" s="46" t="n"/>
      <c r="G160" s="46" t="n"/>
      <c r="H160" s="46" t="n"/>
      <c r="I160" s="52" t="str">
        <f>IF($A160="","",IF(IFERROR(INDEX(Config!$K$15:$K$34,MATCH($F160,Config!$J$15:$J$34,0)),"Yes")="Yes",1,0))</f>
        <v/>
      </c>
      <c r="J160" s="52" t="str">
        <f>IF($A160="","",IF(AND($I160=1,ISNUMBER($E160)),IF($E160&lt;Config!$B$4,1,0),0))</f>
        <v/>
      </c>
      <c r="K160" s="52" t="str">
        <f>IF($A160="","",IF($J160=1,Config!$B$4-$E160,0))</f>
        <v/>
      </c>
      <c r="L160" s="52" t="str">
        <f>IF($I160=1,IFERROR(COUNTIFS($I$2:$I$301,1,$E$2:$E$301,"&lt;"&amp;$E160)+COUNTIFS($I$2:$I160,1,$E$2:$E160,$E160),""),"")</f>
        <v/>
      </c>
      <c r="M160" s="49" t="str">
        <f>IF(COUNTA($A160:$H160)=0,"",IF($A160="","Missing: task ID",IF(COUNTIF($A$2:$A$301,$A160)&gt;1,"Duplicate task ID",IF($B160="","Missing: task",IF($D160="","Missing: owner",IF(NOT(ISNUMBER($E160)),"Missing: due date",IF($F160="","Missing: status",IF(COUNTIF(Config!$J$15:$J$34,$F160)=0,"Unsupported status",IF(AND($G160&lt;&gt;"",COUNTIF(Config!$R$15:$R$34,$G160)=0),"Unsupported priority","OK")))))))))</f>
        <v/>
      </c>
    </row>
    <row r="161">
      <c r="A161" s="46" t="n"/>
      <c r="B161" s="46" t="n"/>
      <c r="C161" s="46" t="n"/>
      <c r="D161" s="46" t="n"/>
      <c r="E161" s="54" t="n"/>
      <c r="F161" s="46" t="n"/>
      <c r="G161" s="46" t="n"/>
      <c r="H161" s="46" t="n"/>
      <c r="I161" s="52" t="str">
        <f>IF($A161="","",IF(IFERROR(INDEX(Config!$K$15:$K$34,MATCH($F161,Config!$J$15:$J$34,0)),"Yes")="Yes",1,0))</f>
        <v/>
      </c>
      <c r="J161" s="52" t="str">
        <f>IF($A161="","",IF(AND($I161=1,ISNUMBER($E161)),IF($E161&lt;Config!$B$4,1,0),0))</f>
        <v/>
      </c>
      <c r="K161" s="52" t="str">
        <f>IF($A161="","",IF($J161=1,Config!$B$4-$E161,0))</f>
        <v/>
      </c>
      <c r="L161" s="52" t="str">
        <f>IF($I161=1,IFERROR(COUNTIFS($I$2:$I$301,1,$E$2:$E$301,"&lt;"&amp;$E161)+COUNTIFS($I$2:$I161,1,$E$2:$E161,$E161),""),"")</f>
        <v/>
      </c>
      <c r="M161" s="49" t="str">
        <f>IF(COUNTA($A161:$H161)=0,"",IF($A161="","Missing: task ID",IF(COUNTIF($A$2:$A$301,$A161)&gt;1,"Duplicate task ID",IF($B161="","Missing: task",IF($D161="","Missing: owner",IF(NOT(ISNUMBER($E161)),"Missing: due date",IF($F161="","Missing: status",IF(COUNTIF(Config!$J$15:$J$34,$F161)=0,"Unsupported status",IF(AND($G161&lt;&gt;"",COUNTIF(Config!$R$15:$R$34,$G161)=0),"Unsupported priority","OK")))))))))</f>
        <v/>
      </c>
    </row>
    <row r="162">
      <c r="A162" s="46" t="n"/>
      <c r="B162" s="46" t="n"/>
      <c r="C162" s="46" t="n"/>
      <c r="D162" s="46" t="n"/>
      <c r="E162" s="54" t="n"/>
      <c r="F162" s="46" t="n"/>
      <c r="G162" s="46" t="n"/>
      <c r="H162" s="46" t="n"/>
      <c r="I162" s="52" t="str">
        <f>IF($A162="","",IF(IFERROR(INDEX(Config!$K$15:$K$34,MATCH($F162,Config!$J$15:$J$34,0)),"Yes")="Yes",1,0))</f>
        <v/>
      </c>
      <c r="J162" s="52" t="str">
        <f>IF($A162="","",IF(AND($I162=1,ISNUMBER($E162)),IF($E162&lt;Config!$B$4,1,0),0))</f>
        <v/>
      </c>
      <c r="K162" s="52" t="str">
        <f>IF($A162="","",IF($J162=1,Config!$B$4-$E162,0))</f>
        <v/>
      </c>
      <c r="L162" s="52" t="str">
        <f>IF($I162=1,IFERROR(COUNTIFS($I$2:$I$301,1,$E$2:$E$301,"&lt;"&amp;$E162)+COUNTIFS($I$2:$I162,1,$E$2:$E162,$E162),""),"")</f>
        <v/>
      </c>
      <c r="M162" s="49" t="str">
        <f>IF(COUNTA($A162:$H162)=0,"",IF($A162="","Missing: task ID",IF(COUNTIF($A$2:$A$301,$A162)&gt;1,"Duplicate task ID",IF($B162="","Missing: task",IF($D162="","Missing: owner",IF(NOT(ISNUMBER($E162)),"Missing: due date",IF($F162="","Missing: status",IF(COUNTIF(Config!$J$15:$J$34,$F162)=0,"Unsupported status",IF(AND($G162&lt;&gt;"",COUNTIF(Config!$R$15:$R$34,$G162)=0),"Unsupported priority","OK")))))))))</f>
        <v/>
      </c>
    </row>
    <row r="163">
      <c r="A163" s="46" t="n"/>
      <c r="B163" s="46" t="n"/>
      <c r="C163" s="46" t="n"/>
      <c r="D163" s="46" t="n"/>
      <c r="E163" s="54" t="n"/>
      <c r="F163" s="46" t="n"/>
      <c r="G163" s="46" t="n"/>
      <c r="H163" s="46" t="n"/>
      <c r="I163" s="52" t="str">
        <f>IF($A163="","",IF(IFERROR(INDEX(Config!$K$15:$K$34,MATCH($F163,Config!$J$15:$J$34,0)),"Yes")="Yes",1,0))</f>
        <v/>
      </c>
      <c r="J163" s="52" t="str">
        <f>IF($A163="","",IF(AND($I163=1,ISNUMBER($E163)),IF($E163&lt;Config!$B$4,1,0),0))</f>
        <v/>
      </c>
      <c r="K163" s="52" t="str">
        <f>IF($A163="","",IF($J163=1,Config!$B$4-$E163,0))</f>
        <v/>
      </c>
      <c r="L163" s="52" t="str">
        <f>IF($I163=1,IFERROR(COUNTIFS($I$2:$I$301,1,$E$2:$E$301,"&lt;"&amp;$E163)+COUNTIFS($I$2:$I163,1,$E$2:$E163,$E163),""),"")</f>
        <v/>
      </c>
      <c r="M163" s="49" t="str">
        <f>IF(COUNTA($A163:$H163)=0,"",IF($A163="","Missing: task ID",IF(COUNTIF($A$2:$A$301,$A163)&gt;1,"Duplicate task ID",IF($B163="","Missing: task",IF($D163="","Missing: owner",IF(NOT(ISNUMBER($E163)),"Missing: due date",IF($F163="","Missing: status",IF(COUNTIF(Config!$J$15:$J$34,$F163)=0,"Unsupported status",IF(AND($G163&lt;&gt;"",COUNTIF(Config!$R$15:$R$34,$G163)=0),"Unsupported priority","OK")))))))))</f>
        <v/>
      </c>
    </row>
    <row r="164">
      <c r="A164" s="46" t="n"/>
      <c r="B164" s="46" t="n"/>
      <c r="C164" s="46" t="n"/>
      <c r="D164" s="46" t="n"/>
      <c r="E164" s="54" t="n"/>
      <c r="F164" s="46" t="n"/>
      <c r="G164" s="46" t="n"/>
      <c r="H164" s="46" t="n"/>
      <c r="I164" s="52" t="str">
        <f>IF($A164="","",IF(IFERROR(INDEX(Config!$K$15:$K$34,MATCH($F164,Config!$J$15:$J$34,0)),"Yes")="Yes",1,0))</f>
        <v/>
      </c>
      <c r="J164" s="52" t="str">
        <f>IF($A164="","",IF(AND($I164=1,ISNUMBER($E164)),IF($E164&lt;Config!$B$4,1,0),0))</f>
        <v/>
      </c>
      <c r="K164" s="52" t="str">
        <f>IF($A164="","",IF($J164=1,Config!$B$4-$E164,0))</f>
        <v/>
      </c>
      <c r="L164" s="52" t="str">
        <f>IF($I164=1,IFERROR(COUNTIFS($I$2:$I$301,1,$E$2:$E$301,"&lt;"&amp;$E164)+COUNTIFS($I$2:$I164,1,$E$2:$E164,$E164),""),"")</f>
        <v/>
      </c>
      <c r="M164" s="49" t="str">
        <f>IF(COUNTA($A164:$H164)=0,"",IF($A164="","Missing: task ID",IF(COUNTIF($A$2:$A$301,$A164)&gt;1,"Duplicate task ID",IF($B164="","Missing: task",IF($D164="","Missing: owner",IF(NOT(ISNUMBER($E164)),"Missing: due date",IF($F164="","Missing: status",IF(COUNTIF(Config!$J$15:$J$34,$F164)=0,"Unsupported status",IF(AND($G164&lt;&gt;"",COUNTIF(Config!$R$15:$R$34,$G164)=0),"Unsupported priority","OK")))))))))</f>
        <v/>
      </c>
    </row>
    <row r="165">
      <c r="A165" s="46" t="n"/>
      <c r="B165" s="46" t="n"/>
      <c r="C165" s="46" t="n"/>
      <c r="D165" s="46" t="n"/>
      <c r="E165" s="54" t="n"/>
      <c r="F165" s="46" t="n"/>
      <c r="G165" s="46" t="n"/>
      <c r="H165" s="46" t="n"/>
      <c r="I165" s="52" t="str">
        <f>IF($A165="","",IF(IFERROR(INDEX(Config!$K$15:$K$34,MATCH($F165,Config!$J$15:$J$34,0)),"Yes")="Yes",1,0))</f>
        <v/>
      </c>
      <c r="J165" s="52" t="str">
        <f>IF($A165="","",IF(AND($I165=1,ISNUMBER($E165)),IF($E165&lt;Config!$B$4,1,0),0))</f>
        <v/>
      </c>
      <c r="K165" s="52" t="str">
        <f>IF($A165="","",IF($J165=1,Config!$B$4-$E165,0))</f>
        <v/>
      </c>
      <c r="L165" s="52" t="str">
        <f>IF($I165=1,IFERROR(COUNTIFS($I$2:$I$301,1,$E$2:$E$301,"&lt;"&amp;$E165)+COUNTIFS($I$2:$I165,1,$E$2:$E165,$E165),""),"")</f>
        <v/>
      </c>
      <c r="M165" s="49" t="str">
        <f>IF(COUNTA($A165:$H165)=0,"",IF($A165="","Missing: task ID",IF(COUNTIF($A$2:$A$301,$A165)&gt;1,"Duplicate task ID",IF($B165="","Missing: task",IF($D165="","Missing: owner",IF(NOT(ISNUMBER($E165)),"Missing: due date",IF($F165="","Missing: status",IF(COUNTIF(Config!$J$15:$J$34,$F165)=0,"Unsupported status",IF(AND($G165&lt;&gt;"",COUNTIF(Config!$R$15:$R$34,$G165)=0),"Unsupported priority","OK")))))))))</f>
        <v/>
      </c>
    </row>
    <row r="166">
      <c r="A166" s="46" t="n"/>
      <c r="B166" s="46" t="n"/>
      <c r="C166" s="46" t="n"/>
      <c r="D166" s="46" t="n"/>
      <c r="E166" s="54" t="n"/>
      <c r="F166" s="46" t="n"/>
      <c r="G166" s="46" t="n"/>
      <c r="H166" s="46" t="n"/>
      <c r="I166" s="52" t="str">
        <f>IF($A166="","",IF(IFERROR(INDEX(Config!$K$15:$K$34,MATCH($F166,Config!$J$15:$J$34,0)),"Yes")="Yes",1,0))</f>
        <v/>
      </c>
      <c r="J166" s="52" t="str">
        <f>IF($A166="","",IF(AND($I166=1,ISNUMBER($E166)),IF($E166&lt;Config!$B$4,1,0),0))</f>
        <v/>
      </c>
      <c r="K166" s="52" t="str">
        <f>IF($A166="","",IF($J166=1,Config!$B$4-$E166,0))</f>
        <v/>
      </c>
      <c r="L166" s="52" t="str">
        <f>IF($I166=1,IFERROR(COUNTIFS($I$2:$I$301,1,$E$2:$E$301,"&lt;"&amp;$E166)+COUNTIFS($I$2:$I166,1,$E$2:$E166,$E166),""),"")</f>
        <v/>
      </c>
      <c r="M166" s="49" t="str">
        <f>IF(COUNTA($A166:$H166)=0,"",IF($A166="","Missing: task ID",IF(COUNTIF($A$2:$A$301,$A166)&gt;1,"Duplicate task ID",IF($B166="","Missing: task",IF($D166="","Missing: owner",IF(NOT(ISNUMBER($E166)),"Missing: due date",IF($F166="","Missing: status",IF(COUNTIF(Config!$J$15:$J$34,$F166)=0,"Unsupported status",IF(AND($G166&lt;&gt;"",COUNTIF(Config!$R$15:$R$34,$G166)=0),"Unsupported priority","OK")))))))))</f>
        <v/>
      </c>
    </row>
    <row r="167">
      <c r="A167" s="46" t="n"/>
      <c r="B167" s="46" t="n"/>
      <c r="C167" s="46" t="n"/>
      <c r="D167" s="46" t="n"/>
      <c r="E167" s="54" t="n"/>
      <c r="F167" s="46" t="n"/>
      <c r="G167" s="46" t="n"/>
      <c r="H167" s="46" t="n"/>
      <c r="I167" s="52" t="str">
        <f>IF($A167="","",IF(IFERROR(INDEX(Config!$K$15:$K$34,MATCH($F167,Config!$J$15:$J$34,0)),"Yes")="Yes",1,0))</f>
        <v/>
      </c>
      <c r="J167" s="52" t="str">
        <f>IF($A167="","",IF(AND($I167=1,ISNUMBER($E167)),IF($E167&lt;Config!$B$4,1,0),0))</f>
        <v/>
      </c>
      <c r="K167" s="52" t="str">
        <f>IF($A167="","",IF($J167=1,Config!$B$4-$E167,0))</f>
        <v/>
      </c>
      <c r="L167" s="52" t="str">
        <f>IF($I167=1,IFERROR(COUNTIFS($I$2:$I$301,1,$E$2:$E$301,"&lt;"&amp;$E167)+COUNTIFS($I$2:$I167,1,$E$2:$E167,$E167),""),"")</f>
        <v/>
      </c>
      <c r="M167" s="49" t="str">
        <f>IF(COUNTA($A167:$H167)=0,"",IF($A167="","Missing: task ID",IF(COUNTIF($A$2:$A$301,$A167)&gt;1,"Duplicate task ID",IF($B167="","Missing: task",IF($D167="","Missing: owner",IF(NOT(ISNUMBER($E167)),"Missing: due date",IF($F167="","Missing: status",IF(COUNTIF(Config!$J$15:$J$34,$F167)=0,"Unsupported status",IF(AND($G167&lt;&gt;"",COUNTIF(Config!$R$15:$R$34,$G167)=0),"Unsupported priority","OK")))))))))</f>
        <v/>
      </c>
    </row>
    <row r="168">
      <c r="A168" s="46" t="n"/>
      <c r="B168" s="46" t="n"/>
      <c r="C168" s="46" t="n"/>
      <c r="D168" s="46" t="n"/>
      <c r="E168" s="54" t="n"/>
      <c r="F168" s="46" t="n"/>
      <c r="G168" s="46" t="n"/>
      <c r="H168" s="46" t="n"/>
      <c r="I168" s="52" t="str">
        <f>IF($A168="","",IF(IFERROR(INDEX(Config!$K$15:$K$34,MATCH($F168,Config!$J$15:$J$34,0)),"Yes")="Yes",1,0))</f>
        <v/>
      </c>
      <c r="J168" s="52" t="str">
        <f>IF($A168="","",IF(AND($I168=1,ISNUMBER($E168)),IF($E168&lt;Config!$B$4,1,0),0))</f>
        <v/>
      </c>
      <c r="K168" s="52" t="str">
        <f>IF($A168="","",IF($J168=1,Config!$B$4-$E168,0))</f>
        <v/>
      </c>
      <c r="L168" s="52" t="str">
        <f>IF($I168=1,IFERROR(COUNTIFS($I$2:$I$301,1,$E$2:$E$301,"&lt;"&amp;$E168)+COUNTIFS($I$2:$I168,1,$E$2:$E168,$E168),""),"")</f>
        <v/>
      </c>
      <c r="M168" s="49" t="str">
        <f>IF(COUNTA($A168:$H168)=0,"",IF($A168="","Missing: task ID",IF(COUNTIF($A$2:$A$301,$A168)&gt;1,"Duplicate task ID",IF($B168="","Missing: task",IF($D168="","Missing: owner",IF(NOT(ISNUMBER($E168)),"Missing: due date",IF($F168="","Missing: status",IF(COUNTIF(Config!$J$15:$J$34,$F168)=0,"Unsupported status",IF(AND($G168&lt;&gt;"",COUNTIF(Config!$R$15:$R$34,$G168)=0),"Unsupported priority","OK")))))))))</f>
        <v/>
      </c>
    </row>
    <row r="169">
      <c r="A169" s="46" t="n"/>
      <c r="B169" s="46" t="n"/>
      <c r="C169" s="46" t="n"/>
      <c r="D169" s="46" t="n"/>
      <c r="E169" s="54" t="n"/>
      <c r="F169" s="46" t="n"/>
      <c r="G169" s="46" t="n"/>
      <c r="H169" s="46" t="n"/>
      <c r="I169" s="52" t="str">
        <f>IF($A169="","",IF(IFERROR(INDEX(Config!$K$15:$K$34,MATCH($F169,Config!$J$15:$J$34,0)),"Yes")="Yes",1,0))</f>
        <v/>
      </c>
      <c r="J169" s="52" t="str">
        <f>IF($A169="","",IF(AND($I169=1,ISNUMBER($E169)),IF($E169&lt;Config!$B$4,1,0),0))</f>
        <v/>
      </c>
      <c r="K169" s="52" t="str">
        <f>IF($A169="","",IF($J169=1,Config!$B$4-$E169,0))</f>
        <v/>
      </c>
      <c r="L169" s="52" t="str">
        <f>IF($I169=1,IFERROR(COUNTIFS($I$2:$I$301,1,$E$2:$E$301,"&lt;"&amp;$E169)+COUNTIFS($I$2:$I169,1,$E$2:$E169,$E169),""),"")</f>
        <v/>
      </c>
      <c r="M169" s="49" t="str">
        <f>IF(COUNTA($A169:$H169)=0,"",IF($A169="","Missing: task ID",IF(COUNTIF($A$2:$A$301,$A169)&gt;1,"Duplicate task ID",IF($B169="","Missing: task",IF($D169="","Missing: owner",IF(NOT(ISNUMBER($E169)),"Missing: due date",IF($F169="","Missing: status",IF(COUNTIF(Config!$J$15:$J$34,$F169)=0,"Unsupported status",IF(AND($G169&lt;&gt;"",COUNTIF(Config!$R$15:$R$34,$G169)=0),"Unsupported priority","OK")))))))))</f>
        <v/>
      </c>
    </row>
    <row r="170">
      <c r="A170" s="46" t="n"/>
      <c r="B170" s="46" t="n"/>
      <c r="C170" s="46" t="n"/>
      <c r="D170" s="46" t="n"/>
      <c r="E170" s="54" t="n"/>
      <c r="F170" s="46" t="n"/>
      <c r="G170" s="46" t="n"/>
      <c r="H170" s="46" t="n"/>
      <c r="I170" s="52" t="str">
        <f>IF($A170="","",IF(IFERROR(INDEX(Config!$K$15:$K$34,MATCH($F170,Config!$J$15:$J$34,0)),"Yes")="Yes",1,0))</f>
        <v/>
      </c>
      <c r="J170" s="52" t="str">
        <f>IF($A170="","",IF(AND($I170=1,ISNUMBER($E170)),IF($E170&lt;Config!$B$4,1,0),0))</f>
        <v/>
      </c>
      <c r="K170" s="52" t="str">
        <f>IF($A170="","",IF($J170=1,Config!$B$4-$E170,0))</f>
        <v/>
      </c>
      <c r="L170" s="52" t="str">
        <f>IF($I170=1,IFERROR(COUNTIFS($I$2:$I$301,1,$E$2:$E$301,"&lt;"&amp;$E170)+COUNTIFS($I$2:$I170,1,$E$2:$E170,$E170),""),"")</f>
        <v/>
      </c>
      <c r="M170" s="49" t="str">
        <f>IF(COUNTA($A170:$H170)=0,"",IF($A170="","Missing: task ID",IF(COUNTIF($A$2:$A$301,$A170)&gt;1,"Duplicate task ID",IF($B170="","Missing: task",IF($D170="","Missing: owner",IF(NOT(ISNUMBER($E170)),"Missing: due date",IF($F170="","Missing: status",IF(COUNTIF(Config!$J$15:$J$34,$F170)=0,"Unsupported status",IF(AND($G170&lt;&gt;"",COUNTIF(Config!$R$15:$R$34,$G170)=0),"Unsupported priority","OK")))))))))</f>
        <v/>
      </c>
    </row>
    <row r="171">
      <c r="A171" s="46" t="n"/>
      <c r="B171" s="46" t="n"/>
      <c r="C171" s="46" t="n"/>
      <c r="D171" s="46" t="n"/>
      <c r="E171" s="54" t="n"/>
      <c r="F171" s="46" t="n"/>
      <c r="G171" s="46" t="n"/>
      <c r="H171" s="46" t="n"/>
      <c r="I171" s="52" t="str">
        <f>IF($A171="","",IF(IFERROR(INDEX(Config!$K$15:$K$34,MATCH($F171,Config!$J$15:$J$34,0)),"Yes")="Yes",1,0))</f>
        <v/>
      </c>
      <c r="J171" s="52" t="str">
        <f>IF($A171="","",IF(AND($I171=1,ISNUMBER($E171)),IF($E171&lt;Config!$B$4,1,0),0))</f>
        <v/>
      </c>
      <c r="K171" s="52" t="str">
        <f>IF($A171="","",IF($J171=1,Config!$B$4-$E171,0))</f>
        <v/>
      </c>
      <c r="L171" s="52" t="str">
        <f>IF($I171=1,IFERROR(COUNTIFS($I$2:$I$301,1,$E$2:$E$301,"&lt;"&amp;$E171)+COUNTIFS($I$2:$I171,1,$E$2:$E171,$E171),""),"")</f>
        <v/>
      </c>
      <c r="M171" s="49" t="str">
        <f>IF(COUNTA($A171:$H171)=0,"",IF($A171="","Missing: task ID",IF(COUNTIF($A$2:$A$301,$A171)&gt;1,"Duplicate task ID",IF($B171="","Missing: task",IF($D171="","Missing: owner",IF(NOT(ISNUMBER($E171)),"Missing: due date",IF($F171="","Missing: status",IF(COUNTIF(Config!$J$15:$J$34,$F171)=0,"Unsupported status",IF(AND($G171&lt;&gt;"",COUNTIF(Config!$R$15:$R$34,$G171)=0),"Unsupported priority","OK")))))))))</f>
        <v/>
      </c>
    </row>
    <row r="172">
      <c r="A172" s="46" t="n"/>
      <c r="B172" s="46" t="n"/>
      <c r="C172" s="46" t="n"/>
      <c r="D172" s="46" t="n"/>
      <c r="E172" s="54" t="n"/>
      <c r="F172" s="46" t="n"/>
      <c r="G172" s="46" t="n"/>
      <c r="H172" s="46" t="n"/>
      <c r="I172" s="52" t="str">
        <f>IF($A172="","",IF(IFERROR(INDEX(Config!$K$15:$K$34,MATCH($F172,Config!$J$15:$J$34,0)),"Yes")="Yes",1,0))</f>
        <v/>
      </c>
      <c r="J172" s="52" t="str">
        <f>IF($A172="","",IF(AND($I172=1,ISNUMBER($E172)),IF($E172&lt;Config!$B$4,1,0),0))</f>
        <v/>
      </c>
      <c r="K172" s="52" t="str">
        <f>IF($A172="","",IF($J172=1,Config!$B$4-$E172,0))</f>
        <v/>
      </c>
      <c r="L172" s="52" t="str">
        <f>IF($I172=1,IFERROR(COUNTIFS($I$2:$I$301,1,$E$2:$E$301,"&lt;"&amp;$E172)+COUNTIFS($I$2:$I172,1,$E$2:$E172,$E172),""),"")</f>
        <v/>
      </c>
      <c r="M172" s="49" t="str">
        <f>IF(COUNTA($A172:$H172)=0,"",IF($A172="","Missing: task ID",IF(COUNTIF($A$2:$A$301,$A172)&gt;1,"Duplicate task ID",IF($B172="","Missing: task",IF($D172="","Missing: owner",IF(NOT(ISNUMBER($E172)),"Missing: due date",IF($F172="","Missing: status",IF(COUNTIF(Config!$J$15:$J$34,$F172)=0,"Unsupported status",IF(AND($G172&lt;&gt;"",COUNTIF(Config!$R$15:$R$34,$G172)=0),"Unsupported priority","OK")))))))))</f>
        <v/>
      </c>
    </row>
    <row r="173">
      <c r="A173" s="46" t="n"/>
      <c r="B173" s="46" t="n"/>
      <c r="C173" s="46" t="n"/>
      <c r="D173" s="46" t="n"/>
      <c r="E173" s="54" t="n"/>
      <c r="F173" s="46" t="n"/>
      <c r="G173" s="46" t="n"/>
      <c r="H173" s="46" t="n"/>
      <c r="I173" s="52" t="str">
        <f>IF($A173="","",IF(IFERROR(INDEX(Config!$K$15:$K$34,MATCH($F173,Config!$J$15:$J$34,0)),"Yes")="Yes",1,0))</f>
        <v/>
      </c>
      <c r="J173" s="52" t="str">
        <f>IF($A173="","",IF(AND($I173=1,ISNUMBER($E173)),IF($E173&lt;Config!$B$4,1,0),0))</f>
        <v/>
      </c>
      <c r="K173" s="52" t="str">
        <f>IF($A173="","",IF($J173=1,Config!$B$4-$E173,0))</f>
        <v/>
      </c>
      <c r="L173" s="52" t="str">
        <f>IF($I173=1,IFERROR(COUNTIFS($I$2:$I$301,1,$E$2:$E$301,"&lt;"&amp;$E173)+COUNTIFS($I$2:$I173,1,$E$2:$E173,$E173),""),"")</f>
        <v/>
      </c>
      <c r="M173" s="49" t="str">
        <f>IF(COUNTA($A173:$H173)=0,"",IF($A173="","Missing: task ID",IF(COUNTIF($A$2:$A$301,$A173)&gt;1,"Duplicate task ID",IF($B173="","Missing: task",IF($D173="","Missing: owner",IF(NOT(ISNUMBER($E173)),"Missing: due date",IF($F173="","Missing: status",IF(COUNTIF(Config!$J$15:$J$34,$F173)=0,"Unsupported status",IF(AND($G173&lt;&gt;"",COUNTIF(Config!$R$15:$R$34,$G173)=0),"Unsupported priority","OK")))))))))</f>
        <v/>
      </c>
    </row>
    <row r="174">
      <c r="A174" s="46" t="n"/>
      <c r="B174" s="46" t="n"/>
      <c r="C174" s="46" t="n"/>
      <c r="D174" s="46" t="n"/>
      <c r="E174" s="54" t="n"/>
      <c r="F174" s="46" t="n"/>
      <c r="G174" s="46" t="n"/>
      <c r="H174" s="46" t="n"/>
      <c r="I174" s="52" t="str">
        <f>IF($A174="","",IF(IFERROR(INDEX(Config!$K$15:$K$34,MATCH($F174,Config!$J$15:$J$34,0)),"Yes")="Yes",1,0))</f>
        <v/>
      </c>
      <c r="J174" s="52" t="str">
        <f>IF($A174="","",IF(AND($I174=1,ISNUMBER($E174)),IF($E174&lt;Config!$B$4,1,0),0))</f>
        <v/>
      </c>
      <c r="K174" s="52" t="str">
        <f>IF($A174="","",IF($J174=1,Config!$B$4-$E174,0))</f>
        <v/>
      </c>
      <c r="L174" s="52" t="str">
        <f>IF($I174=1,IFERROR(COUNTIFS($I$2:$I$301,1,$E$2:$E$301,"&lt;"&amp;$E174)+COUNTIFS($I$2:$I174,1,$E$2:$E174,$E174),""),"")</f>
        <v/>
      </c>
      <c r="M174" s="49" t="str">
        <f>IF(COUNTA($A174:$H174)=0,"",IF($A174="","Missing: task ID",IF(COUNTIF($A$2:$A$301,$A174)&gt;1,"Duplicate task ID",IF($B174="","Missing: task",IF($D174="","Missing: owner",IF(NOT(ISNUMBER($E174)),"Missing: due date",IF($F174="","Missing: status",IF(COUNTIF(Config!$J$15:$J$34,$F174)=0,"Unsupported status",IF(AND($G174&lt;&gt;"",COUNTIF(Config!$R$15:$R$34,$G174)=0),"Unsupported priority","OK")))))))))</f>
        <v/>
      </c>
    </row>
    <row r="175">
      <c r="A175" s="46" t="n"/>
      <c r="B175" s="46" t="n"/>
      <c r="C175" s="46" t="n"/>
      <c r="D175" s="46" t="n"/>
      <c r="E175" s="54" t="n"/>
      <c r="F175" s="46" t="n"/>
      <c r="G175" s="46" t="n"/>
      <c r="H175" s="46" t="n"/>
      <c r="I175" s="52" t="str">
        <f>IF($A175="","",IF(IFERROR(INDEX(Config!$K$15:$K$34,MATCH($F175,Config!$J$15:$J$34,0)),"Yes")="Yes",1,0))</f>
        <v/>
      </c>
      <c r="J175" s="52" t="str">
        <f>IF($A175="","",IF(AND($I175=1,ISNUMBER($E175)),IF($E175&lt;Config!$B$4,1,0),0))</f>
        <v/>
      </c>
      <c r="K175" s="52" t="str">
        <f>IF($A175="","",IF($J175=1,Config!$B$4-$E175,0))</f>
        <v/>
      </c>
      <c r="L175" s="52" t="str">
        <f>IF($I175=1,IFERROR(COUNTIFS($I$2:$I$301,1,$E$2:$E$301,"&lt;"&amp;$E175)+COUNTIFS($I$2:$I175,1,$E$2:$E175,$E175),""),"")</f>
        <v/>
      </c>
      <c r="M175" s="49" t="str">
        <f>IF(COUNTA($A175:$H175)=0,"",IF($A175="","Missing: task ID",IF(COUNTIF($A$2:$A$301,$A175)&gt;1,"Duplicate task ID",IF($B175="","Missing: task",IF($D175="","Missing: owner",IF(NOT(ISNUMBER($E175)),"Missing: due date",IF($F175="","Missing: status",IF(COUNTIF(Config!$J$15:$J$34,$F175)=0,"Unsupported status",IF(AND($G175&lt;&gt;"",COUNTIF(Config!$R$15:$R$34,$G175)=0),"Unsupported priority","OK")))))))))</f>
        <v/>
      </c>
    </row>
    <row r="176">
      <c r="A176" s="46" t="n"/>
      <c r="B176" s="46" t="n"/>
      <c r="C176" s="46" t="n"/>
      <c r="D176" s="46" t="n"/>
      <c r="E176" s="54" t="n"/>
      <c r="F176" s="46" t="n"/>
      <c r="G176" s="46" t="n"/>
      <c r="H176" s="46" t="n"/>
      <c r="I176" s="52" t="str">
        <f>IF($A176="","",IF(IFERROR(INDEX(Config!$K$15:$K$34,MATCH($F176,Config!$J$15:$J$34,0)),"Yes")="Yes",1,0))</f>
        <v/>
      </c>
      <c r="J176" s="52" t="str">
        <f>IF($A176="","",IF(AND($I176=1,ISNUMBER($E176)),IF($E176&lt;Config!$B$4,1,0),0))</f>
        <v/>
      </c>
      <c r="K176" s="52" t="str">
        <f>IF($A176="","",IF($J176=1,Config!$B$4-$E176,0))</f>
        <v/>
      </c>
      <c r="L176" s="52" t="str">
        <f>IF($I176=1,IFERROR(COUNTIFS($I$2:$I$301,1,$E$2:$E$301,"&lt;"&amp;$E176)+COUNTIFS($I$2:$I176,1,$E$2:$E176,$E176),""),"")</f>
        <v/>
      </c>
      <c r="M176" s="49" t="str">
        <f>IF(COUNTA($A176:$H176)=0,"",IF($A176="","Missing: task ID",IF(COUNTIF($A$2:$A$301,$A176)&gt;1,"Duplicate task ID",IF($B176="","Missing: task",IF($D176="","Missing: owner",IF(NOT(ISNUMBER($E176)),"Missing: due date",IF($F176="","Missing: status",IF(COUNTIF(Config!$J$15:$J$34,$F176)=0,"Unsupported status",IF(AND($G176&lt;&gt;"",COUNTIF(Config!$R$15:$R$34,$G176)=0),"Unsupported priority","OK")))))))))</f>
        <v/>
      </c>
    </row>
    <row r="177">
      <c r="A177" s="46" t="n"/>
      <c r="B177" s="46" t="n"/>
      <c r="C177" s="46" t="n"/>
      <c r="D177" s="46" t="n"/>
      <c r="E177" s="54" t="n"/>
      <c r="F177" s="46" t="n"/>
      <c r="G177" s="46" t="n"/>
      <c r="H177" s="46" t="n"/>
      <c r="I177" s="52" t="str">
        <f>IF($A177="","",IF(IFERROR(INDEX(Config!$K$15:$K$34,MATCH($F177,Config!$J$15:$J$34,0)),"Yes")="Yes",1,0))</f>
        <v/>
      </c>
      <c r="J177" s="52" t="str">
        <f>IF($A177="","",IF(AND($I177=1,ISNUMBER($E177)),IF($E177&lt;Config!$B$4,1,0),0))</f>
        <v/>
      </c>
      <c r="K177" s="52" t="str">
        <f>IF($A177="","",IF($J177=1,Config!$B$4-$E177,0))</f>
        <v/>
      </c>
      <c r="L177" s="52" t="str">
        <f>IF($I177=1,IFERROR(COUNTIFS($I$2:$I$301,1,$E$2:$E$301,"&lt;"&amp;$E177)+COUNTIFS($I$2:$I177,1,$E$2:$E177,$E177),""),"")</f>
        <v/>
      </c>
      <c r="M177" s="49" t="str">
        <f>IF(COUNTA($A177:$H177)=0,"",IF($A177="","Missing: task ID",IF(COUNTIF($A$2:$A$301,$A177)&gt;1,"Duplicate task ID",IF($B177="","Missing: task",IF($D177="","Missing: owner",IF(NOT(ISNUMBER($E177)),"Missing: due date",IF($F177="","Missing: status",IF(COUNTIF(Config!$J$15:$J$34,$F177)=0,"Unsupported status",IF(AND($G177&lt;&gt;"",COUNTIF(Config!$R$15:$R$34,$G177)=0),"Unsupported priority","OK")))))))))</f>
        <v/>
      </c>
    </row>
    <row r="178">
      <c r="A178" s="46" t="n"/>
      <c r="B178" s="46" t="n"/>
      <c r="C178" s="46" t="n"/>
      <c r="D178" s="46" t="n"/>
      <c r="E178" s="54" t="n"/>
      <c r="F178" s="46" t="n"/>
      <c r="G178" s="46" t="n"/>
      <c r="H178" s="46" t="n"/>
      <c r="I178" s="52" t="str">
        <f>IF($A178="","",IF(IFERROR(INDEX(Config!$K$15:$K$34,MATCH($F178,Config!$J$15:$J$34,0)),"Yes")="Yes",1,0))</f>
        <v/>
      </c>
      <c r="J178" s="52" t="str">
        <f>IF($A178="","",IF(AND($I178=1,ISNUMBER($E178)),IF($E178&lt;Config!$B$4,1,0),0))</f>
        <v/>
      </c>
      <c r="K178" s="52" t="str">
        <f>IF($A178="","",IF($J178=1,Config!$B$4-$E178,0))</f>
        <v/>
      </c>
      <c r="L178" s="52" t="str">
        <f>IF($I178=1,IFERROR(COUNTIFS($I$2:$I$301,1,$E$2:$E$301,"&lt;"&amp;$E178)+COUNTIFS($I$2:$I178,1,$E$2:$E178,$E178),""),"")</f>
        <v/>
      </c>
      <c r="M178" s="49" t="str">
        <f>IF(COUNTA($A178:$H178)=0,"",IF($A178="","Missing: task ID",IF(COUNTIF($A$2:$A$301,$A178)&gt;1,"Duplicate task ID",IF($B178="","Missing: task",IF($D178="","Missing: owner",IF(NOT(ISNUMBER($E178)),"Missing: due date",IF($F178="","Missing: status",IF(COUNTIF(Config!$J$15:$J$34,$F178)=0,"Unsupported status",IF(AND($G178&lt;&gt;"",COUNTIF(Config!$R$15:$R$34,$G178)=0),"Unsupported priority","OK")))))))))</f>
        <v/>
      </c>
    </row>
    <row r="179">
      <c r="A179" s="46" t="n"/>
      <c r="B179" s="46" t="n"/>
      <c r="C179" s="46" t="n"/>
      <c r="D179" s="46" t="n"/>
      <c r="E179" s="54" t="n"/>
      <c r="F179" s="46" t="n"/>
      <c r="G179" s="46" t="n"/>
      <c r="H179" s="46" t="n"/>
      <c r="I179" s="52" t="str">
        <f>IF($A179="","",IF(IFERROR(INDEX(Config!$K$15:$K$34,MATCH($F179,Config!$J$15:$J$34,0)),"Yes")="Yes",1,0))</f>
        <v/>
      </c>
      <c r="J179" s="52" t="str">
        <f>IF($A179="","",IF(AND($I179=1,ISNUMBER($E179)),IF($E179&lt;Config!$B$4,1,0),0))</f>
        <v/>
      </c>
      <c r="K179" s="52" t="str">
        <f>IF($A179="","",IF($J179=1,Config!$B$4-$E179,0))</f>
        <v/>
      </c>
      <c r="L179" s="52" t="str">
        <f>IF($I179=1,IFERROR(COUNTIFS($I$2:$I$301,1,$E$2:$E$301,"&lt;"&amp;$E179)+COUNTIFS($I$2:$I179,1,$E$2:$E179,$E179),""),"")</f>
        <v/>
      </c>
      <c r="M179" s="49" t="str">
        <f>IF(COUNTA($A179:$H179)=0,"",IF($A179="","Missing: task ID",IF(COUNTIF($A$2:$A$301,$A179)&gt;1,"Duplicate task ID",IF($B179="","Missing: task",IF($D179="","Missing: owner",IF(NOT(ISNUMBER($E179)),"Missing: due date",IF($F179="","Missing: status",IF(COUNTIF(Config!$J$15:$J$34,$F179)=0,"Unsupported status",IF(AND($G179&lt;&gt;"",COUNTIF(Config!$R$15:$R$34,$G179)=0),"Unsupported priority","OK")))))))))</f>
        <v/>
      </c>
    </row>
    <row r="180">
      <c r="A180" s="46" t="n"/>
      <c r="B180" s="46" t="n"/>
      <c r="C180" s="46" t="n"/>
      <c r="D180" s="46" t="n"/>
      <c r="E180" s="54" t="n"/>
      <c r="F180" s="46" t="n"/>
      <c r="G180" s="46" t="n"/>
      <c r="H180" s="46" t="n"/>
      <c r="I180" s="52" t="str">
        <f>IF($A180="","",IF(IFERROR(INDEX(Config!$K$15:$K$34,MATCH($F180,Config!$J$15:$J$34,0)),"Yes")="Yes",1,0))</f>
        <v/>
      </c>
      <c r="J180" s="52" t="str">
        <f>IF($A180="","",IF(AND($I180=1,ISNUMBER($E180)),IF($E180&lt;Config!$B$4,1,0),0))</f>
        <v/>
      </c>
      <c r="K180" s="52" t="str">
        <f>IF($A180="","",IF($J180=1,Config!$B$4-$E180,0))</f>
        <v/>
      </c>
      <c r="L180" s="52" t="str">
        <f>IF($I180=1,IFERROR(COUNTIFS($I$2:$I$301,1,$E$2:$E$301,"&lt;"&amp;$E180)+COUNTIFS($I$2:$I180,1,$E$2:$E180,$E180),""),"")</f>
        <v/>
      </c>
      <c r="M180" s="49" t="str">
        <f>IF(COUNTA($A180:$H180)=0,"",IF($A180="","Missing: task ID",IF(COUNTIF($A$2:$A$301,$A180)&gt;1,"Duplicate task ID",IF($B180="","Missing: task",IF($D180="","Missing: owner",IF(NOT(ISNUMBER($E180)),"Missing: due date",IF($F180="","Missing: status",IF(COUNTIF(Config!$J$15:$J$34,$F180)=0,"Unsupported status",IF(AND($G180&lt;&gt;"",COUNTIF(Config!$R$15:$R$34,$G180)=0),"Unsupported priority","OK")))))))))</f>
        <v/>
      </c>
    </row>
    <row r="181">
      <c r="A181" s="46" t="n"/>
      <c r="B181" s="46" t="n"/>
      <c r="C181" s="46" t="n"/>
      <c r="D181" s="46" t="n"/>
      <c r="E181" s="54" t="n"/>
      <c r="F181" s="46" t="n"/>
      <c r="G181" s="46" t="n"/>
      <c r="H181" s="46" t="n"/>
      <c r="I181" s="52" t="str">
        <f>IF($A181="","",IF(IFERROR(INDEX(Config!$K$15:$K$34,MATCH($F181,Config!$J$15:$J$34,0)),"Yes")="Yes",1,0))</f>
        <v/>
      </c>
      <c r="J181" s="52" t="str">
        <f>IF($A181="","",IF(AND($I181=1,ISNUMBER($E181)),IF($E181&lt;Config!$B$4,1,0),0))</f>
        <v/>
      </c>
      <c r="K181" s="52" t="str">
        <f>IF($A181="","",IF($J181=1,Config!$B$4-$E181,0))</f>
        <v/>
      </c>
      <c r="L181" s="52" t="str">
        <f>IF($I181=1,IFERROR(COUNTIFS($I$2:$I$301,1,$E$2:$E$301,"&lt;"&amp;$E181)+COUNTIFS($I$2:$I181,1,$E$2:$E181,$E181),""),"")</f>
        <v/>
      </c>
      <c r="M181" s="49" t="str">
        <f>IF(COUNTA($A181:$H181)=0,"",IF($A181="","Missing: task ID",IF(COUNTIF($A$2:$A$301,$A181)&gt;1,"Duplicate task ID",IF($B181="","Missing: task",IF($D181="","Missing: owner",IF(NOT(ISNUMBER($E181)),"Missing: due date",IF($F181="","Missing: status",IF(COUNTIF(Config!$J$15:$J$34,$F181)=0,"Unsupported status",IF(AND($G181&lt;&gt;"",COUNTIF(Config!$R$15:$R$34,$G181)=0),"Unsupported priority","OK")))))))))</f>
        <v/>
      </c>
    </row>
    <row r="182">
      <c r="A182" s="46" t="n"/>
      <c r="B182" s="46" t="n"/>
      <c r="C182" s="46" t="n"/>
      <c r="D182" s="46" t="n"/>
      <c r="E182" s="54" t="n"/>
      <c r="F182" s="46" t="n"/>
      <c r="G182" s="46" t="n"/>
      <c r="H182" s="46" t="n"/>
      <c r="I182" s="52" t="str">
        <f>IF($A182="","",IF(IFERROR(INDEX(Config!$K$15:$K$34,MATCH($F182,Config!$J$15:$J$34,0)),"Yes")="Yes",1,0))</f>
        <v/>
      </c>
      <c r="J182" s="52" t="str">
        <f>IF($A182="","",IF(AND($I182=1,ISNUMBER($E182)),IF($E182&lt;Config!$B$4,1,0),0))</f>
        <v/>
      </c>
      <c r="K182" s="52" t="str">
        <f>IF($A182="","",IF($J182=1,Config!$B$4-$E182,0))</f>
        <v/>
      </c>
      <c r="L182" s="52" t="str">
        <f>IF($I182=1,IFERROR(COUNTIFS($I$2:$I$301,1,$E$2:$E$301,"&lt;"&amp;$E182)+COUNTIFS($I$2:$I182,1,$E$2:$E182,$E182),""),"")</f>
        <v/>
      </c>
      <c r="M182" s="49" t="str">
        <f>IF(COUNTA($A182:$H182)=0,"",IF($A182="","Missing: task ID",IF(COUNTIF($A$2:$A$301,$A182)&gt;1,"Duplicate task ID",IF($B182="","Missing: task",IF($D182="","Missing: owner",IF(NOT(ISNUMBER($E182)),"Missing: due date",IF($F182="","Missing: status",IF(COUNTIF(Config!$J$15:$J$34,$F182)=0,"Unsupported status",IF(AND($G182&lt;&gt;"",COUNTIF(Config!$R$15:$R$34,$G182)=0),"Unsupported priority","OK")))))))))</f>
        <v/>
      </c>
    </row>
    <row r="183">
      <c r="A183" s="46" t="n"/>
      <c r="B183" s="46" t="n"/>
      <c r="C183" s="46" t="n"/>
      <c r="D183" s="46" t="n"/>
      <c r="E183" s="54" t="n"/>
      <c r="F183" s="46" t="n"/>
      <c r="G183" s="46" t="n"/>
      <c r="H183" s="46" t="n"/>
      <c r="I183" s="52" t="str">
        <f>IF($A183="","",IF(IFERROR(INDEX(Config!$K$15:$K$34,MATCH($F183,Config!$J$15:$J$34,0)),"Yes")="Yes",1,0))</f>
        <v/>
      </c>
      <c r="J183" s="52" t="str">
        <f>IF($A183="","",IF(AND($I183=1,ISNUMBER($E183)),IF($E183&lt;Config!$B$4,1,0),0))</f>
        <v/>
      </c>
      <c r="K183" s="52" t="str">
        <f>IF($A183="","",IF($J183=1,Config!$B$4-$E183,0))</f>
        <v/>
      </c>
      <c r="L183" s="52" t="str">
        <f>IF($I183=1,IFERROR(COUNTIFS($I$2:$I$301,1,$E$2:$E$301,"&lt;"&amp;$E183)+COUNTIFS($I$2:$I183,1,$E$2:$E183,$E183),""),"")</f>
        <v/>
      </c>
      <c r="M183" s="49" t="str">
        <f>IF(COUNTA($A183:$H183)=0,"",IF($A183="","Missing: task ID",IF(COUNTIF($A$2:$A$301,$A183)&gt;1,"Duplicate task ID",IF($B183="","Missing: task",IF($D183="","Missing: owner",IF(NOT(ISNUMBER($E183)),"Missing: due date",IF($F183="","Missing: status",IF(COUNTIF(Config!$J$15:$J$34,$F183)=0,"Unsupported status",IF(AND($G183&lt;&gt;"",COUNTIF(Config!$R$15:$R$34,$G183)=0),"Unsupported priority","OK")))))))))</f>
        <v/>
      </c>
    </row>
    <row r="184">
      <c r="A184" s="46" t="n"/>
      <c r="B184" s="46" t="n"/>
      <c r="C184" s="46" t="n"/>
      <c r="D184" s="46" t="n"/>
      <c r="E184" s="54" t="n"/>
      <c r="F184" s="46" t="n"/>
      <c r="G184" s="46" t="n"/>
      <c r="H184" s="46" t="n"/>
      <c r="I184" s="52" t="str">
        <f>IF($A184="","",IF(IFERROR(INDEX(Config!$K$15:$K$34,MATCH($F184,Config!$J$15:$J$34,0)),"Yes")="Yes",1,0))</f>
        <v/>
      </c>
      <c r="J184" s="52" t="str">
        <f>IF($A184="","",IF(AND($I184=1,ISNUMBER($E184)),IF($E184&lt;Config!$B$4,1,0),0))</f>
        <v/>
      </c>
      <c r="K184" s="52" t="str">
        <f>IF($A184="","",IF($J184=1,Config!$B$4-$E184,0))</f>
        <v/>
      </c>
      <c r="L184" s="52" t="str">
        <f>IF($I184=1,IFERROR(COUNTIFS($I$2:$I$301,1,$E$2:$E$301,"&lt;"&amp;$E184)+COUNTIFS($I$2:$I184,1,$E$2:$E184,$E184),""),"")</f>
        <v/>
      </c>
      <c r="M184" s="49" t="str">
        <f>IF(COUNTA($A184:$H184)=0,"",IF($A184="","Missing: task ID",IF(COUNTIF($A$2:$A$301,$A184)&gt;1,"Duplicate task ID",IF($B184="","Missing: task",IF($D184="","Missing: owner",IF(NOT(ISNUMBER($E184)),"Missing: due date",IF($F184="","Missing: status",IF(COUNTIF(Config!$J$15:$J$34,$F184)=0,"Unsupported status",IF(AND($G184&lt;&gt;"",COUNTIF(Config!$R$15:$R$34,$G184)=0),"Unsupported priority","OK")))))))))</f>
        <v/>
      </c>
    </row>
    <row r="185">
      <c r="A185" s="46" t="n"/>
      <c r="B185" s="46" t="n"/>
      <c r="C185" s="46" t="n"/>
      <c r="D185" s="46" t="n"/>
      <c r="E185" s="54" t="n"/>
      <c r="F185" s="46" t="n"/>
      <c r="G185" s="46" t="n"/>
      <c r="H185" s="46" t="n"/>
      <c r="I185" s="52" t="str">
        <f>IF($A185="","",IF(IFERROR(INDEX(Config!$K$15:$K$34,MATCH($F185,Config!$J$15:$J$34,0)),"Yes")="Yes",1,0))</f>
        <v/>
      </c>
      <c r="J185" s="52" t="str">
        <f>IF($A185="","",IF(AND($I185=1,ISNUMBER($E185)),IF($E185&lt;Config!$B$4,1,0),0))</f>
        <v/>
      </c>
      <c r="K185" s="52" t="str">
        <f>IF($A185="","",IF($J185=1,Config!$B$4-$E185,0))</f>
        <v/>
      </c>
      <c r="L185" s="52" t="str">
        <f>IF($I185=1,IFERROR(COUNTIFS($I$2:$I$301,1,$E$2:$E$301,"&lt;"&amp;$E185)+COUNTIFS($I$2:$I185,1,$E$2:$E185,$E185),""),"")</f>
        <v/>
      </c>
      <c r="M185" s="49" t="str">
        <f>IF(COUNTA($A185:$H185)=0,"",IF($A185="","Missing: task ID",IF(COUNTIF($A$2:$A$301,$A185)&gt;1,"Duplicate task ID",IF($B185="","Missing: task",IF($D185="","Missing: owner",IF(NOT(ISNUMBER($E185)),"Missing: due date",IF($F185="","Missing: status",IF(COUNTIF(Config!$J$15:$J$34,$F185)=0,"Unsupported status",IF(AND($G185&lt;&gt;"",COUNTIF(Config!$R$15:$R$34,$G185)=0),"Unsupported priority","OK")))))))))</f>
        <v/>
      </c>
    </row>
    <row r="186">
      <c r="A186" s="46" t="n"/>
      <c r="B186" s="46" t="n"/>
      <c r="C186" s="46" t="n"/>
      <c r="D186" s="46" t="n"/>
      <c r="E186" s="54" t="n"/>
      <c r="F186" s="46" t="n"/>
      <c r="G186" s="46" t="n"/>
      <c r="H186" s="46" t="n"/>
      <c r="I186" s="52" t="str">
        <f>IF($A186="","",IF(IFERROR(INDEX(Config!$K$15:$K$34,MATCH($F186,Config!$J$15:$J$34,0)),"Yes")="Yes",1,0))</f>
        <v/>
      </c>
      <c r="J186" s="52" t="str">
        <f>IF($A186="","",IF(AND($I186=1,ISNUMBER($E186)),IF($E186&lt;Config!$B$4,1,0),0))</f>
        <v/>
      </c>
      <c r="K186" s="52" t="str">
        <f>IF($A186="","",IF($J186=1,Config!$B$4-$E186,0))</f>
        <v/>
      </c>
      <c r="L186" s="52" t="str">
        <f>IF($I186=1,IFERROR(COUNTIFS($I$2:$I$301,1,$E$2:$E$301,"&lt;"&amp;$E186)+COUNTIFS($I$2:$I186,1,$E$2:$E186,$E186),""),"")</f>
        <v/>
      </c>
      <c r="M186" s="49" t="str">
        <f>IF(COUNTA($A186:$H186)=0,"",IF($A186="","Missing: task ID",IF(COUNTIF($A$2:$A$301,$A186)&gt;1,"Duplicate task ID",IF($B186="","Missing: task",IF($D186="","Missing: owner",IF(NOT(ISNUMBER($E186)),"Missing: due date",IF($F186="","Missing: status",IF(COUNTIF(Config!$J$15:$J$34,$F186)=0,"Unsupported status",IF(AND($G186&lt;&gt;"",COUNTIF(Config!$R$15:$R$34,$G186)=0),"Unsupported priority","OK")))))))))</f>
        <v/>
      </c>
    </row>
    <row r="187">
      <c r="A187" s="46" t="n"/>
      <c r="B187" s="46" t="n"/>
      <c r="C187" s="46" t="n"/>
      <c r="D187" s="46" t="n"/>
      <c r="E187" s="54" t="n"/>
      <c r="F187" s="46" t="n"/>
      <c r="G187" s="46" t="n"/>
      <c r="H187" s="46" t="n"/>
      <c r="I187" s="52" t="str">
        <f>IF($A187="","",IF(IFERROR(INDEX(Config!$K$15:$K$34,MATCH($F187,Config!$J$15:$J$34,0)),"Yes")="Yes",1,0))</f>
        <v/>
      </c>
      <c r="J187" s="52" t="str">
        <f>IF($A187="","",IF(AND($I187=1,ISNUMBER($E187)),IF($E187&lt;Config!$B$4,1,0),0))</f>
        <v/>
      </c>
      <c r="K187" s="52" t="str">
        <f>IF($A187="","",IF($J187=1,Config!$B$4-$E187,0))</f>
        <v/>
      </c>
      <c r="L187" s="52" t="str">
        <f>IF($I187=1,IFERROR(COUNTIFS($I$2:$I$301,1,$E$2:$E$301,"&lt;"&amp;$E187)+COUNTIFS($I$2:$I187,1,$E$2:$E187,$E187),""),"")</f>
        <v/>
      </c>
      <c r="M187" s="49" t="str">
        <f>IF(COUNTA($A187:$H187)=0,"",IF($A187="","Missing: task ID",IF(COUNTIF($A$2:$A$301,$A187)&gt;1,"Duplicate task ID",IF($B187="","Missing: task",IF($D187="","Missing: owner",IF(NOT(ISNUMBER($E187)),"Missing: due date",IF($F187="","Missing: status",IF(COUNTIF(Config!$J$15:$J$34,$F187)=0,"Unsupported status",IF(AND($G187&lt;&gt;"",COUNTIF(Config!$R$15:$R$34,$G187)=0),"Unsupported priority","OK")))))))))</f>
        <v/>
      </c>
    </row>
    <row r="188">
      <c r="A188" s="46" t="n"/>
      <c r="B188" s="46" t="n"/>
      <c r="C188" s="46" t="n"/>
      <c r="D188" s="46" t="n"/>
      <c r="E188" s="54" t="n"/>
      <c r="F188" s="46" t="n"/>
      <c r="G188" s="46" t="n"/>
      <c r="H188" s="46" t="n"/>
      <c r="I188" s="52" t="str">
        <f>IF($A188="","",IF(IFERROR(INDEX(Config!$K$15:$K$34,MATCH($F188,Config!$J$15:$J$34,0)),"Yes")="Yes",1,0))</f>
        <v/>
      </c>
      <c r="J188" s="52" t="str">
        <f>IF($A188="","",IF(AND($I188=1,ISNUMBER($E188)),IF($E188&lt;Config!$B$4,1,0),0))</f>
        <v/>
      </c>
      <c r="K188" s="52" t="str">
        <f>IF($A188="","",IF($J188=1,Config!$B$4-$E188,0))</f>
        <v/>
      </c>
      <c r="L188" s="52" t="str">
        <f>IF($I188=1,IFERROR(COUNTIFS($I$2:$I$301,1,$E$2:$E$301,"&lt;"&amp;$E188)+COUNTIFS($I$2:$I188,1,$E$2:$E188,$E188),""),"")</f>
        <v/>
      </c>
      <c r="M188" s="49" t="str">
        <f>IF(COUNTA($A188:$H188)=0,"",IF($A188="","Missing: task ID",IF(COUNTIF($A$2:$A$301,$A188)&gt;1,"Duplicate task ID",IF($B188="","Missing: task",IF($D188="","Missing: owner",IF(NOT(ISNUMBER($E188)),"Missing: due date",IF($F188="","Missing: status",IF(COUNTIF(Config!$J$15:$J$34,$F188)=0,"Unsupported status",IF(AND($G188&lt;&gt;"",COUNTIF(Config!$R$15:$R$34,$G188)=0),"Unsupported priority","OK")))))))))</f>
        <v/>
      </c>
    </row>
    <row r="189">
      <c r="A189" s="46" t="n"/>
      <c r="B189" s="46" t="n"/>
      <c r="C189" s="46" t="n"/>
      <c r="D189" s="46" t="n"/>
      <c r="E189" s="54" t="n"/>
      <c r="F189" s="46" t="n"/>
      <c r="G189" s="46" t="n"/>
      <c r="H189" s="46" t="n"/>
      <c r="I189" s="52" t="str">
        <f>IF($A189="","",IF(IFERROR(INDEX(Config!$K$15:$K$34,MATCH($F189,Config!$J$15:$J$34,0)),"Yes")="Yes",1,0))</f>
        <v/>
      </c>
      <c r="J189" s="52" t="str">
        <f>IF($A189="","",IF(AND($I189=1,ISNUMBER($E189)),IF($E189&lt;Config!$B$4,1,0),0))</f>
        <v/>
      </c>
      <c r="K189" s="52" t="str">
        <f>IF($A189="","",IF($J189=1,Config!$B$4-$E189,0))</f>
        <v/>
      </c>
      <c r="L189" s="52" t="str">
        <f>IF($I189=1,IFERROR(COUNTIFS($I$2:$I$301,1,$E$2:$E$301,"&lt;"&amp;$E189)+COUNTIFS($I$2:$I189,1,$E$2:$E189,$E189),""),"")</f>
        <v/>
      </c>
      <c r="M189" s="49" t="str">
        <f>IF(COUNTA($A189:$H189)=0,"",IF($A189="","Missing: task ID",IF(COUNTIF($A$2:$A$301,$A189)&gt;1,"Duplicate task ID",IF($B189="","Missing: task",IF($D189="","Missing: owner",IF(NOT(ISNUMBER($E189)),"Missing: due date",IF($F189="","Missing: status",IF(COUNTIF(Config!$J$15:$J$34,$F189)=0,"Unsupported status",IF(AND($G189&lt;&gt;"",COUNTIF(Config!$R$15:$R$34,$G189)=0),"Unsupported priority","OK")))))))))</f>
        <v/>
      </c>
    </row>
    <row r="190">
      <c r="A190" s="46" t="n"/>
      <c r="B190" s="46" t="n"/>
      <c r="C190" s="46" t="n"/>
      <c r="D190" s="46" t="n"/>
      <c r="E190" s="54" t="n"/>
      <c r="F190" s="46" t="n"/>
      <c r="G190" s="46" t="n"/>
      <c r="H190" s="46" t="n"/>
      <c r="I190" s="52" t="str">
        <f>IF($A190="","",IF(IFERROR(INDEX(Config!$K$15:$K$34,MATCH($F190,Config!$J$15:$J$34,0)),"Yes")="Yes",1,0))</f>
        <v/>
      </c>
      <c r="J190" s="52" t="str">
        <f>IF($A190="","",IF(AND($I190=1,ISNUMBER($E190)),IF($E190&lt;Config!$B$4,1,0),0))</f>
        <v/>
      </c>
      <c r="K190" s="52" t="str">
        <f>IF($A190="","",IF($J190=1,Config!$B$4-$E190,0))</f>
        <v/>
      </c>
      <c r="L190" s="52" t="str">
        <f>IF($I190=1,IFERROR(COUNTIFS($I$2:$I$301,1,$E$2:$E$301,"&lt;"&amp;$E190)+COUNTIFS($I$2:$I190,1,$E$2:$E190,$E190),""),"")</f>
        <v/>
      </c>
      <c r="M190" s="49" t="str">
        <f>IF(COUNTA($A190:$H190)=0,"",IF($A190="","Missing: task ID",IF(COUNTIF($A$2:$A$301,$A190)&gt;1,"Duplicate task ID",IF($B190="","Missing: task",IF($D190="","Missing: owner",IF(NOT(ISNUMBER($E190)),"Missing: due date",IF($F190="","Missing: status",IF(COUNTIF(Config!$J$15:$J$34,$F190)=0,"Unsupported status",IF(AND($G190&lt;&gt;"",COUNTIF(Config!$R$15:$R$34,$G190)=0),"Unsupported priority","OK")))))))))</f>
        <v/>
      </c>
    </row>
    <row r="191">
      <c r="A191" s="46" t="n"/>
      <c r="B191" s="46" t="n"/>
      <c r="C191" s="46" t="n"/>
      <c r="D191" s="46" t="n"/>
      <c r="E191" s="54" t="n"/>
      <c r="F191" s="46" t="n"/>
      <c r="G191" s="46" t="n"/>
      <c r="H191" s="46" t="n"/>
      <c r="I191" s="52" t="str">
        <f>IF($A191="","",IF(IFERROR(INDEX(Config!$K$15:$K$34,MATCH($F191,Config!$J$15:$J$34,0)),"Yes")="Yes",1,0))</f>
        <v/>
      </c>
      <c r="J191" s="52" t="str">
        <f>IF($A191="","",IF(AND($I191=1,ISNUMBER($E191)),IF($E191&lt;Config!$B$4,1,0),0))</f>
        <v/>
      </c>
      <c r="K191" s="52" t="str">
        <f>IF($A191="","",IF($J191=1,Config!$B$4-$E191,0))</f>
        <v/>
      </c>
      <c r="L191" s="52" t="str">
        <f>IF($I191=1,IFERROR(COUNTIFS($I$2:$I$301,1,$E$2:$E$301,"&lt;"&amp;$E191)+COUNTIFS($I$2:$I191,1,$E$2:$E191,$E191),""),"")</f>
        <v/>
      </c>
      <c r="M191" s="49" t="str">
        <f>IF(COUNTA($A191:$H191)=0,"",IF($A191="","Missing: task ID",IF(COUNTIF($A$2:$A$301,$A191)&gt;1,"Duplicate task ID",IF($B191="","Missing: task",IF($D191="","Missing: owner",IF(NOT(ISNUMBER($E191)),"Missing: due date",IF($F191="","Missing: status",IF(COUNTIF(Config!$J$15:$J$34,$F191)=0,"Unsupported status",IF(AND($G191&lt;&gt;"",COUNTIF(Config!$R$15:$R$34,$G191)=0),"Unsupported priority","OK")))))))))</f>
        <v/>
      </c>
    </row>
    <row r="192">
      <c r="A192" s="46" t="n"/>
      <c r="B192" s="46" t="n"/>
      <c r="C192" s="46" t="n"/>
      <c r="D192" s="46" t="n"/>
      <c r="E192" s="54" t="n"/>
      <c r="F192" s="46" t="n"/>
      <c r="G192" s="46" t="n"/>
      <c r="H192" s="46" t="n"/>
      <c r="I192" s="52" t="str">
        <f>IF($A192="","",IF(IFERROR(INDEX(Config!$K$15:$K$34,MATCH($F192,Config!$J$15:$J$34,0)),"Yes")="Yes",1,0))</f>
        <v/>
      </c>
      <c r="J192" s="52" t="str">
        <f>IF($A192="","",IF(AND($I192=1,ISNUMBER($E192)),IF($E192&lt;Config!$B$4,1,0),0))</f>
        <v/>
      </c>
      <c r="K192" s="52" t="str">
        <f>IF($A192="","",IF($J192=1,Config!$B$4-$E192,0))</f>
        <v/>
      </c>
      <c r="L192" s="52" t="str">
        <f>IF($I192=1,IFERROR(COUNTIFS($I$2:$I$301,1,$E$2:$E$301,"&lt;"&amp;$E192)+COUNTIFS($I$2:$I192,1,$E$2:$E192,$E192),""),"")</f>
        <v/>
      </c>
      <c r="M192" s="49" t="str">
        <f>IF(COUNTA($A192:$H192)=0,"",IF($A192="","Missing: task ID",IF(COUNTIF($A$2:$A$301,$A192)&gt;1,"Duplicate task ID",IF($B192="","Missing: task",IF($D192="","Missing: owner",IF(NOT(ISNUMBER($E192)),"Missing: due date",IF($F192="","Missing: status",IF(COUNTIF(Config!$J$15:$J$34,$F192)=0,"Unsupported status",IF(AND($G192&lt;&gt;"",COUNTIF(Config!$R$15:$R$34,$G192)=0),"Unsupported priority","OK")))))))))</f>
        <v/>
      </c>
    </row>
    <row r="193">
      <c r="A193" s="46" t="n"/>
      <c r="B193" s="46" t="n"/>
      <c r="C193" s="46" t="n"/>
      <c r="D193" s="46" t="n"/>
      <c r="E193" s="54" t="n"/>
      <c r="F193" s="46" t="n"/>
      <c r="G193" s="46" t="n"/>
      <c r="H193" s="46" t="n"/>
      <c r="I193" s="52" t="str">
        <f>IF($A193="","",IF(IFERROR(INDEX(Config!$K$15:$K$34,MATCH($F193,Config!$J$15:$J$34,0)),"Yes")="Yes",1,0))</f>
        <v/>
      </c>
      <c r="J193" s="52" t="str">
        <f>IF($A193="","",IF(AND($I193=1,ISNUMBER($E193)),IF($E193&lt;Config!$B$4,1,0),0))</f>
        <v/>
      </c>
      <c r="K193" s="52" t="str">
        <f>IF($A193="","",IF($J193=1,Config!$B$4-$E193,0))</f>
        <v/>
      </c>
      <c r="L193" s="52" t="str">
        <f>IF($I193=1,IFERROR(COUNTIFS($I$2:$I$301,1,$E$2:$E$301,"&lt;"&amp;$E193)+COUNTIFS($I$2:$I193,1,$E$2:$E193,$E193),""),"")</f>
        <v/>
      </c>
      <c r="M193" s="49" t="str">
        <f>IF(COUNTA($A193:$H193)=0,"",IF($A193="","Missing: task ID",IF(COUNTIF($A$2:$A$301,$A193)&gt;1,"Duplicate task ID",IF($B193="","Missing: task",IF($D193="","Missing: owner",IF(NOT(ISNUMBER($E193)),"Missing: due date",IF($F193="","Missing: status",IF(COUNTIF(Config!$J$15:$J$34,$F193)=0,"Unsupported status",IF(AND($G193&lt;&gt;"",COUNTIF(Config!$R$15:$R$34,$G193)=0),"Unsupported priority","OK")))))))))</f>
        <v/>
      </c>
    </row>
    <row r="194">
      <c r="A194" s="46" t="n"/>
      <c r="B194" s="46" t="n"/>
      <c r="C194" s="46" t="n"/>
      <c r="D194" s="46" t="n"/>
      <c r="E194" s="54" t="n"/>
      <c r="F194" s="46" t="n"/>
      <c r="G194" s="46" t="n"/>
      <c r="H194" s="46" t="n"/>
      <c r="I194" s="52" t="str">
        <f>IF($A194="","",IF(IFERROR(INDEX(Config!$K$15:$K$34,MATCH($F194,Config!$J$15:$J$34,0)),"Yes")="Yes",1,0))</f>
        <v/>
      </c>
      <c r="J194" s="52" t="str">
        <f>IF($A194="","",IF(AND($I194=1,ISNUMBER($E194)),IF($E194&lt;Config!$B$4,1,0),0))</f>
        <v/>
      </c>
      <c r="K194" s="52" t="str">
        <f>IF($A194="","",IF($J194=1,Config!$B$4-$E194,0))</f>
        <v/>
      </c>
      <c r="L194" s="52" t="str">
        <f>IF($I194=1,IFERROR(COUNTIFS($I$2:$I$301,1,$E$2:$E$301,"&lt;"&amp;$E194)+COUNTIFS($I$2:$I194,1,$E$2:$E194,$E194),""),"")</f>
        <v/>
      </c>
      <c r="M194" s="49" t="str">
        <f>IF(COUNTA($A194:$H194)=0,"",IF($A194="","Missing: task ID",IF(COUNTIF($A$2:$A$301,$A194)&gt;1,"Duplicate task ID",IF($B194="","Missing: task",IF($D194="","Missing: owner",IF(NOT(ISNUMBER($E194)),"Missing: due date",IF($F194="","Missing: status",IF(COUNTIF(Config!$J$15:$J$34,$F194)=0,"Unsupported status",IF(AND($G194&lt;&gt;"",COUNTIF(Config!$R$15:$R$34,$G194)=0),"Unsupported priority","OK")))))))))</f>
        <v/>
      </c>
    </row>
    <row r="195">
      <c r="A195" s="46" t="n"/>
      <c r="B195" s="46" t="n"/>
      <c r="C195" s="46" t="n"/>
      <c r="D195" s="46" t="n"/>
      <c r="E195" s="54" t="n"/>
      <c r="F195" s="46" t="n"/>
      <c r="G195" s="46" t="n"/>
      <c r="H195" s="46" t="n"/>
      <c r="I195" s="52" t="str">
        <f>IF($A195="","",IF(IFERROR(INDEX(Config!$K$15:$K$34,MATCH($F195,Config!$J$15:$J$34,0)),"Yes")="Yes",1,0))</f>
        <v/>
      </c>
      <c r="J195" s="52" t="str">
        <f>IF($A195="","",IF(AND($I195=1,ISNUMBER($E195)),IF($E195&lt;Config!$B$4,1,0),0))</f>
        <v/>
      </c>
      <c r="K195" s="52" t="str">
        <f>IF($A195="","",IF($J195=1,Config!$B$4-$E195,0))</f>
        <v/>
      </c>
      <c r="L195" s="52" t="str">
        <f>IF($I195=1,IFERROR(COUNTIFS($I$2:$I$301,1,$E$2:$E$301,"&lt;"&amp;$E195)+COUNTIFS($I$2:$I195,1,$E$2:$E195,$E195),""),"")</f>
        <v/>
      </c>
      <c r="M195" s="49" t="str">
        <f>IF(COUNTA($A195:$H195)=0,"",IF($A195="","Missing: task ID",IF(COUNTIF($A$2:$A$301,$A195)&gt;1,"Duplicate task ID",IF($B195="","Missing: task",IF($D195="","Missing: owner",IF(NOT(ISNUMBER($E195)),"Missing: due date",IF($F195="","Missing: status",IF(COUNTIF(Config!$J$15:$J$34,$F195)=0,"Unsupported status",IF(AND($G195&lt;&gt;"",COUNTIF(Config!$R$15:$R$34,$G195)=0),"Unsupported priority","OK")))))))))</f>
        <v/>
      </c>
    </row>
    <row r="196">
      <c r="A196" s="46" t="n"/>
      <c r="B196" s="46" t="n"/>
      <c r="C196" s="46" t="n"/>
      <c r="D196" s="46" t="n"/>
      <c r="E196" s="54" t="n"/>
      <c r="F196" s="46" t="n"/>
      <c r="G196" s="46" t="n"/>
      <c r="H196" s="46" t="n"/>
      <c r="I196" s="52" t="str">
        <f>IF($A196="","",IF(IFERROR(INDEX(Config!$K$15:$K$34,MATCH($F196,Config!$J$15:$J$34,0)),"Yes")="Yes",1,0))</f>
        <v/>
      </c>
      <c r="J196" s="52" t="str">
        <f>IF($A196="","",IF(AND($I196=1,ISNUMBER($E196)),IF($E196&lt;Config!$B$4,1,0),0))</f>
        <v/>
      </c>
      <c r="K196" s="52" t="str">
        <f>IF($A196="","",IF($J196=1,Config!$B$4-$E196,0))</f>
        <v/>
      </c>
      <c r="L196" s="52" t="str">
        <f>IF($I196=1,IFERROR(COUNTIFS($I$2:$I$301,1,$E$2:$E$301,"&lt;"&amp;$E196)+COUNTIFS($I$2:$I196,1,$E$2:$E196,$E196),""),"")</f>
        <v/>
      </c>
      <c r="M196" s="49" t="str">
        <f>IF(COUNTA($A196:$H196)=0,"",IF($A196="","Missing: task ID",IF(COUNTIF($A$2:$A$301,$A196)&gt;1,"Duplicate task ID",IF($B196="","Missing: task",IF($D196="","Missing: owner",IF(NOT(ISNUMBER($E196)),"Missing: due date",IF($F196="","Missing: status",IF(COUNTIF(Config!$J$15:$J$34,$F196)=0,"Unsupported status",IF(AND($G196&lt;&gt;"",COUNTIF(Config!$R$15:$R$34,$G196)=0),"Unsupported priority","OK")))))))))</f>
        <v/>
      </c>
    </row>
    <row r="197">
      <c r="A197" s="46" t="n"/>
      <c r="B197" s="46" t="n"/>
      <c r="C197" s="46" t="n"/>
      <c r="D197" s="46" t="n"/>
      <c r="E197" s="54" t="n"/>
      <c r="F197" s="46" t="n"/>
      <c r="G197" s="46" t="n"/>
      <c r="H197" s="46" t="n"/>
      <c r="I197" s="52" t="str">
        <f>IF($A197="","",IF(IFERROR(INDEX(Config!$K$15:$K$34,MATCH($F197,Config!$J$15:$J$34,0)),"Yes")="Yes",1,0))</f>
        <v/>
      </c>
      <c r="J197" s="52" t="str">
        <f>IF($A197="","",IF(AND($I197=1,ISNUMBER($E197)),IF($E197&lt;Config!$B$4,1,0),0))</f>
        <v/>
      </c>
      <c r="K197" s="52" t="str">
        <f>IF($A197="","",IF($J197=1,Config!$B$4-$E197,0))</f>
        <v/>
      </c>
      <c r="L197" s="52" t="str">
        <f>IF($I197=1,IFERROR(COUNTIFS($I$2:$I$301,1,$E$2:$E$301,"&lt;"&amp;$E197)+COUNTIFS($I$2:$I197,1,$E$2:$E197,$E197),""),"")</f>
        <v/>
      </c>
      <c r="M197" s="49" t="str">
        <f>IF(COUNTA($A197:$H197)=0,"",IF($A197="","Missing: task ID",IF(COUNTIF($A$2:$A$301,$A197)&gt;1,"Duplicate task ID",IF($B197="","Missing: task",IF($D197="","Missing: owner",IF(NOT(ISNUMBER($E197)),"Missing: due date",IF($F197="","Missing: status",IF(COUNTIF(Config!$J$15:$J$34,$F197)=0,"Unsupported status",IF(AND($G197&lt;&gt;"",COUNTIF(Config!$R$15:$R$34,$G197)=0),"Unsupported priority","OK")))))))))</f>
        <v/>
      </c>
    </row>
    <row r="198">
      <c r="A198" s="46" t="n"/>
      <c r="B198" s="46" t="n"/>
      <c r="C198" s="46" t="n"/>
      <c r="D198" s="46" t="n"/>
      <c r="E198" s="54" t="n"/>
      <c r="F198" s="46" t="n"/>
      <c r="G198" s="46" t="n"/>
      <c r="H198" s="46" t="n"/>
      <c r="I198" s="52" t="str">
        <f>IF($A198="","",IF(IFERROR(INDEX(Config!$K$15:$K$34,MATCH($F198,Config!$J$15:$J$34,0)),"Yes")="Yes",1,0))</f>
        <v/>
      </c>
      <c r="J198" s="52" t="str">
        <f>IF($A198="","",IF(AND($I198=1,ISNUMBER($E198)),IF($E198&lt;Config!$B$4,1,0),0))</f>
        <v/>
      </c>
      <c r="K198" s="52" t="str">
        <f>IF($A198="","",IF($J198=1,Config!$B$4-$E198,0))</f>
        <v/>
      </c>
      <c r="L198" s="52" t="str">
        <f>IF($I198=1,IFERROR(COUNTIFS($I$2:$I$301,1,$E$2:$E$301,"&lt;"&amp;$E198)+COUNTIFS($I$2:$I198,1,$E$2:$E198,$E198),""),"")</f>
        <v/>
      </c>
      <c r="M198" s="49" t="str">
        <f>IF(COUNTA($A198:$H198)=0,"",IF($A198="","Missing: task ID",IF(COUNTIF($A$2:$A$301,$A198)&gt;1,"Duplicate task ID",IF($B198="","Missing: task",IF($D198="","Missing: owner",IF(NOT(ISNUMBER($E198)),"Missing: due date",IF($F198="","Missing: status",IF(COUNTIF(Config!$J$15:$J$34,$F198)=0,"Unsupported status",IF(AND($G198&lt;&gt;"",COUNTIF(Config!$R$15:$R$34,$G198)=0),"Unsupported priority","OK")))))))))</f>
        <v/>
      </c>
    </row>
    <row r="199">
      <c r="A199" s="46" t="n"/>
      <c r="B199" s="46" t="n"/>
      <c r="C199" s="46" t="n"/>
      <c r="D199" s="46" t="n"/>
      <c r="E199" s="54" t="n"/>
      <c r="F199" s="46" t="n"/>
      <c r="G199" s="46" t="n"/>
      <c r="H199" s="46" t="n"/>
      <c r="I199" s="52" t="str">
        <f>IF($A199="","",IF(IFERROR(INDEX(Config!$K$15:$K$34,MATCH($F199,Config!$J$15:$J$34,0)),"Yes")="Yes",1,0))</f>
        <v/>
      </c>
      <c r="J199" s="52" t="str">
        <f>IF($A199="","",IF(AND($I199=1,ISNUMBER($E199)),IF($E199&lt;Config!$B$4,1,0),0))</f>
        <v/>
      </c>
      <c r="K199" s="52" t="str">
        <f>IF($A199="","",IF($J199=1,Config!$B$4-$E199,0))</f>
        <v/>
      </c>
      <c r="L199" s="52" t="str">
        <f>IF($I199=1,IFERROR(COUNTIFS($I$2:$I$301,1,$E$2:$E$301,"&lt;"&amp;$E199)+COUNTIFS($I$2:$I199,1,$E$2:$E199,$E199),""),"")</f>
        <v/>
      </c>
      <c r="M199" s="49" t="str">
        <f>IF(COUNTA($A199:$H199)=0,"",IF($A199="","Missing: task ID",IF(COUNTIF($A$2:$A$301,$A199)&gt;1,"Duplicate task ID",IF($B199="","Missing: task",IF($D199="","Missing: owner",IF(NOT(ISNUMBER($E199)),"Missing: due date",IF($F199="","Missing: status",IF(COUNTIF(Config!$J$15:$J$34,$F199)=0,"Unsupported status",IF(AND($G199&lt;&gt;"",COUNTIF(Config!$R$15:$R$34,$G199)=0),"Unsupported priority","OK")))))))))</f>
        <v/>
      </c>
    </row>
    <row r="200">
      <c r="A200" s="46" t="n"/>
      <c r="B200" s="46" t="n"/>
      <c r="C200" s="46" t="n"/>
      <c r="D200" s="46" t="n"/>
      <c r="E200" s="54" t="n"/>
      <c r="F200" s="46" t="n"/>
      <c r="G200" s="46" t="n"/>
      <c r="H200" s="46" t="n"/>
      <c r="I200" s="52" t="str">
        <f>IF($A200="","",IF(IFERROR(INDEX(Config!$K$15:$K$34,MATCH($F200,Config!$J$15:$J$34,0)),"Yes")="Yes",1,0))</f>
        <v/>
      </c>
      <c r="J200" s="52" t="str">
        <f>IF($A200="","",IF(AND($I200=1,ISNUMBER($E200)),IF($E200&lt;Config!$B$4,1,0),0))</f>
        <v/>
      </c>
      <c r="K200" s="52" t="str">
        <f>IF($A200="","",IF($J200=1,Config!$B$4-$E200,0))</f>
        <v/>
      </c>
      <c r="L200" s="52" t="str">
        <f>IF($I200=1,IFERROR(COUNTIFS($I$2:$I$301,1,$E$2:$E$301,"&lt;"&amp;$E200)+COUNTIFS($I$2:$I200,1,$E$2:$E200,$E200),""),"")</f>
        <v/>
      </c>
      <c r="M200" s="49" t="str">
        <f>IF(COUNTA($A200:$H200)=0,"",IF($A200="","Missing: task ID",IF(COUNTIF($A$2:$A$301,$A200)&gt;1,"Duplicate task ID",IF($B200="","Missing: task",IF($D200="","Missing: owner",IF(NOT(ISNUMBER($E200)),"Missing: due date",IF($F200="","Missing: status",IF(COUNTIF(Config!$J$15:$J$34,$F200)=0,"Unsupported status",IF(AND($G200&lt;&gt;"",COUNTIF(Config!$R$15:$R$34,$G200)=0),"Unsupported priority","OK")))))))))</f>
        <v/>
      </c>
    </row>
    <row r="201">
      <c r="A201" s="46" t="n"/>
      <c r="B201" s="46" t="n"/>
      <c r="C201" s="46" t="n"/>
      <c r="D201" s="46" t="n"/>
      <c r="E201" s="54" t="n"/>
      <c r="F201" s="46" t="n"/>
      <c r="G201" s="46" t="n"/>
      <c r="H201" s="46" t="n"/>
      <c r="I201" s="52" t="str">
        <f>IF($A201="","",IF(IFERROR(INDEX(Config!$K$15:$K$34,MATCH($F201,Config!$J$15:$J$34,0)),"Yes")="Yes",1,0))</f>
        <v/>
      </c>
      <c r="J201" s="52" t="str">
        <f>IF($A201="","",IF(AND($I201=1,ISNUMBER($E201)),IF($E201&lt;Config!$B$4,1,0),0))</f>
        <v/>
      </c>
      <c r="K201" s="52" t="str">
        <f>IF($A201="","",IF($J201=1,Config!$B$4-$E201,0))</f>
        <v/>
      </c>
      <c r="L201" s="52" t="str">
        <f>IF($I201=1,IFERROR(COUNTIFS($I$2:$I$301,1,$E$2:$E$301,"&lt;"&amp;$E201)+COUNTIFS($I$2:$I201,1,$E$2:$E201,$E201),""),"")</f>
        <v/>
      </c>
      <c r="M201" s="49" t="str">
        <f>IF(COUNTA($A201:$H201)=0,"",IF($A201="","Missing: task ID",IF(COUNTIF($A$2:$A$301,$A201)&gt;1,"Duplicate task ID",IF($B201="","Missing: task",IF($D201="","Missing: owner",IF(NOT(ISNUMBER($E201)),"Missing: due date",IF($F201="","Missing: status",IF(COUNTIF(Config!$J$15:$J$34,$F201)=0,"Unsupported status",IF(AND($G201&lt;&gt;"",COUNTIF(Config!$R$15:$R$34,$G201)=0),"Unsupported priority","OK")))))))))</f>
        <v/>
      </c>
    </row>
    <row r="202">
      <c r="A202" s="46" t="n"/>
      <c r="B202" s="46" t="n"/>
      <c r="C202" s="46" t="n"/>
      <c r="D202" s="46" t="n"/>
      <c r="E202" s="54" t="n"/>
      <c r="F202" s="46" t="n"/>
      <c r="G202" s="46" t="n"/>
      <c r="H202" s="46" t="n"/>
      <c r="I202" s="52" t="str">
        <f>IF($A202="","",IF(IFERROR(INDEX(Config!$K$15:$K$34,MATCH($F202,Config!$J$15:$J$34,0)),"Yes")="Yes",1,0))</f>
        <v/>
      </c>
      <c r="J202" s="52" t="str">
        <f>IF($A202="","",IF(AND($I202=1,ISNUMBER($E202)),IF($E202&lt;Config!$B$4,1,0),0))</f>
        <v/>
      </c>
      <c r="K202" s="52" t="str">
        <f>IF($A202="","",IF($J202=1,Config!$B$4-$E202,0))</f>
        <v/>
      </c>
      <c r="L202" s="52" t="str">
        <f>IF($I202=1,IFERROR(COUNTIFS($I$2:$I$301,1,$E$2:$E$301,"&lt;"&amp;$E202)+COUNTIFS($I$2:$I202,1,$E$2:$E202,$E202),""),"")</f>
        <v/>
      </c>
      <c r="M202" s="49" t="str">
        <f>IF(COUNTA($A202:$H202)=0,"",IF($A202="","Missing: task ID",IF(COUNTIF($A$2:$A$301,$A202)&gt;1,"Duplicate task ID",IF($B202="","Missing: task",IF($D202="","Missing: owner",IF(NOT(ISNUMBER($E202)),"Missing: due date",IF($F202="","Missing: status",IF(COUNTIF(Config!$J$15:$J$34,$F202)=0,"Unsupported status",IF(AND($G202&lt;&gt;"",COUNTIF(Config!$R$15:$R$34,$G202)=0),"Unsupported priority","OK")))))))))</f>
        <v/>
      </c>
    </row>
    <row r="203">
      <c r="A203" s="46" t="n"/>
      <c r="B203" s="46" t="n"/>
      <c r="C203" s="46" t="n"/>
      <c r="D203" s="46" t="n"/>
      <c r="E203" s="54" t="n"/>
      <c r="F203" s="46" t="n"/>
      <c r="G203" s="46" t="n"/>
      <c r="H203" s="46" t="n"/>
      <c r="I203" s="52" t="str">
        <f>IF($A203="","",IF(IFERROR(INDEX(Config!$K$15:$K$34,MATCH($F203,Config!$J$15:$J$34,0)),"Yes")="Yes",1,0))</f>
        <v/>
      </c>
      <c r="J203" s="52" t="str">
        <f>IF($A203="","",IF(AND($I203=1,ISNUMBER($E203)),IF($E203&lt;Config!$B$4,1,0),0))</f>
        <v/>
      </c>
      <c r="K203" s="52" t="str">
        <f>IF($A203="","",IF($J203=1,Config!$B$4-$E203,0))</f>
        <v/>
      </c>
      <c r="L203" s="52" t="str">
        <f>IF($I203=1,IFERROR(COUNTIFS($I$2:$I$301,1,$E$2:$E$301,"&lt;"&amp;$E203)+COUNTIFS($I$2:$I203,1,$E$2:$E203,$E203),""),"")</f>
        <v/>
      </c>
      <c r="M203" s="49" t="str">
        <f>IF(COUNTA($A203:$H203)=0,"",IF($A203="","Missing: task ID",IF(COUNTIF($A$2:$A$301,$A203)&gt;1,"Duplicate task ID",IF($B203="","Missing: task",IF($D203="","Missing: owner",IF(NOT(ISNUMBER($E203)),"Missing: due date",IF($F203="","Missing: status",IF(COUNTIF(Config!$J$15:$J$34,$F203)=0,"Unsupported status",IF(AND($G203&lt;&gt;"",COUNTIF(Config!$R$15:$R$34,$G203)=0),"Unsupported priority","OK")))))))))</f>
        <v/>
      </c>
    </row>
    <row r="204">
      <c r="A204" s="46" t="n"/>
      <c r="B204" s="46" t="n"/>
      <c r="C204" s="46" t="n"/>
      <c r="D204" s="46" t="n"/>
      <c r="E204" s="54" t="n"/>
      <c r="F204" s="46" t="n"/>
      <c r="G204" s="46" t="n"/>
      <c r="H204" s="46" t="n"/>
      <c r="I204" s="52" t="str">
        <f>IF($A204="","",IF(IFERROR(INDEX(Config!$K$15:$K$34,MATCH($F204,Config!$J$15:$J$34,0)),"Yes")="Yes",1,0))</f>
        <v/>
      </c>
      <c r="J204" s="52" t="str">
        <f>IF($A204="","",IF(AND($I204=1,ISNUMBER($E204)),IF($E204&lt;Config!$B$4,1,0),0))</f>
        <v/>
      </c>
      <c r="K204" s="52" t="str">
        <f>IF($A204="","",IF($J204=1,Config!$B$4-$E204,0))</f>
        <v/>
      </c>
      <c r="L204" s="52" t="str">
        <f>IF($I204=1,IFERROR(COUNTIFS($I$2:$I$301,1,$E$2:$E$301,"&lt;"&amp;$E204)+COUNTIFS($I$2:$I204,1,$E$2:$E204,$E204),""),"")</f>
        <v/>
      </c>
      <c r="M204" s="49" t="str">
        <f>IF(COUNTA($A204:$H204)=0,"",IF($A204="","Missing: task ID",IF(COUNTIF($A$2:$A$301,$A204)&gt;1,"Duplicate task ID",IF($B204="","Missing: task",IF($D204="","Missing: owner",IF(NOT(ISNUMBER($E204)),"Missing: due date",IF($F204="","Missing: status",IF(COUNTIF(Config!$J$15:$J$34,$F204)=0,"Unsupported status",IF(AND($G204&lt;&gt;"",COUNTIF(Config!$R$15:$R$34,$G204)=0),"Unsupported priority","OK")))))))))</f>
        <v/>
      </c>
    </row>
    <row r="205">
      <c r="A205" s="46" t="n"/>
      <c r="B205" s="46" t="n"/>
      <c r="C205" s="46" t="n"/>
      <c r="D205" s="46" t="n"/>
      <c r="E205" s="54" t="n"/>
      <c r="F205" s="46" t="n"/>
      <c r="G205" s="46" t="n"/>
      <c r="H205" s="46" t="n"/>
      <c r="I205" s="52" t="str">
        <f>IF($A205="","",IF(IFERROR(INDEX(Config!$K$15:$K$34,MATCH($F205,Config!$J$15:$J$34,0)),"Yes")="Yes",1,0))</f>
        <v/>
      </c>
      <c r="J205" s="52" t="str">
        <f>IF($A205="","",IF(AND($I205=1,ISNUMBER($E205)),IF($E205&lt;Config!$B$4,1,0),0))</f>
        <v/>
      </c>
      <c r="K205" s="52" t="str">
        <f>IF($A205="","",IF($J205=1,Config!$B$4-$E205,0))</f>
        <v/>
      </c>
      <c r="L205" s="52" t="str">
        <f>IF($I205=1,IFERROR(COUNTIFS($I$2:$I$301,1,$E$2:$E$301,"&lt;"&amp;$E205)+COUNTIFS($I$2:$I205,1,$E$2:$E205,$E205),""),"")</f>
        <v/>
      </c>
      <c r="M205" s="49" t="str">
        <f>IF(COUNTA($A205:$H205)=0,"",IF($A205="","Missing: task ID",IF(COUNTIF($A$2:$A$301,$A205)&gt;1,"Duplicate task ID",IF($B205="","Missing: task",IF($D205="","Missing: owner",IF(NOT(ISNUMBER($E205)),"Missing: due date",IF($F205="","Missing: status",IF(COUNTIF(Config!$J$15:$J$34,$F205)=0,"Unsupported status",IF(AND($G205&lt;&gt;"",COUNTIF(Config!$R$15:$R$34,$G205)=0),"Unsupported priority","OK")))))))))</f>
        <v/>
      </c>
    </row>
    <row r="206">
      <c r="A206" s="46" t="n"/>
      <c r="B206" s="46" t="n"/>
      <c r="C206" s="46" t="n"/>
      <c r="D206" s="46" t="n"/>
      <c r="E206" s="54" t="n"/>
      <c r="F206" s="46" t="n"/>
      <c r="G206" s="46" t="n"/>
      <c r="H206" s="46" t="n"/>
      <c r="I206" s="52" t="str">
        <f>IF($A206="","",IF(IFERROR(INDEX(Config!$K$15:$K$34,MATCH($F206,Config!$J$15:$J$34,0)),"Yes")="Yes",1,0))</f>
        <v/>
      </c>
      <c r="J206" s="52" t="str">
        <f>IF($A206="","",IF(AND($I206=1,ISNUMBER($E206)),IF($E206&lt;Config!$B$4,1,0),0))</f>
        <v/>
      </c>
      <c r="K206" s="52" t="str">
        <f>IF($A206="","",IF($J206=1,Config!$B$4-$E206,0))</f>
        <v/>
      </c>
      <c r="L206" s="52" t="str">
        <f>IF($I206=1,IFERROR(COUNTIFS($I$2:$I$301,1,$E$2:$E$301,"&lt;"&amp;$E206)+COUNTIFS($I$2:$I206,1,$E$2:$E206,$E206),""),"")</f>
        <v/>
      </c>
      <c r="M206" s="49" t="str">
        <f>IF(COUNTA($A206:$H206)=0,"",IF($A206="","Missing: task ID",IF(COUNTIF($A$2:$A$301,$A206)&gt;1,"Duplicate task ID",IF($B206="","Missing: task",IF($D206="","Missing: owner",IF(NOT(ISNUMBER($E206)),"Missing: due date",IF($F206="","Missing: status",IF(COUNTIF(Config!$J$15:$J$34,$F206)=0,"Unsupported status",IF(AND($G206&lt;&gt;"",COUNTIF(Config!$R$15:$R$34,$G206)=0),"Unsupported priority","OK")))))))))</f>
        <v/>
      </c>
    </row>
    <row r="207">
      <c r="A207" s="46" t="n"/>
      <c r="B207" s="46" t="n"/>
      <c r="C207" s="46" t="n"/>
      <c r="D207" s="46" t="n"/>
      <c r="E207" s="54" t="n"/>
      <c r="F207" s="46" t="n"/>
      <c r="G207" s="46" t="n"/>
      <c r="H207" s="46" t="n"/>
      <c r="I207" s="52" t="str">
        <f>IF($A207="","",IF(IFERROR(INDEX(Config!$K$15:$K$34,MATCH($F207,Config!$J$15:$J$34,0)),"Yes")="Yes",1,0))</f>
        <v/>
      </c>
      <c r="J207" s="52" t="str">
        <f>IF($A207="","",IF(AND($I207=1,ISNUMBER($E207)),IF($E207&lt;Config!$B$4,1,0),0))</f>
        <v/>
      </c>
      <c r="K207" s="52" t="str">
        <f>IF($A207="","",IF($J207=1,Config!$B$4-$E207,0))</f>
        <v/>
      </c>
      <c r="L207" s="52" t="str">
        <f>IF($I207=1,IFERROR(COUNTIFS($I$2:$I$301,1,$E$2:$E$301,"&lt;"&amp;$E207)+COUNTIFS($I$2:$I207,1,$E$2:$E207,$E207),""),"")</f>
        <v/>
      </c>
      <c r="M207" s="49" t="str">
        <f>IF(COUNTA($A207:$H207)=0,"",IF($A207="","Missing: task ID",IF(COUNTIF($A$2:$A$301,$A207)&gt;1,"Duplicate task ID",IF($B207="","Missing: task",IF($D207="","Missing: owner",IF(NOT(ISNUMBER($E207)),"Missing: due date",IF($F207="","Missing: status",IF(COUNTIF(Config!$J$15:$J$34,$F207)=0,"Unsupported status",IF(AND($G207&lt;&gt;"",COUNTIF(Config!$R$15:$R$34,$G207)=0),"Unsupported priority","OK")))))))))</f>
        <v/>
      </c>
    </row>
    <row r="208">
      <c r="A208" s="46" t="n"/>
      <c r="B208" s="46" t="n"/>
      <c r="C208" s="46" t="n"/>
      <c r="D208" s="46" t="n"/>
      <c r="E208" s="54" t="n"/>
      <c r="F208" s="46" t="n"/>
      <c r="G208" s="46" t="n"/>
      <c r="H208" s="46" t="n"/>
      <c r="I208" s="52" t="str">
        <f>IF($A208="","",IF(IFERROR(INDEX(Config!$K$15:$K$34,MATCH($F208,Config!$J$15:$J$34,0)),"Yes")="Yes",1,0))</f>
        <v/>
      </c>
      <c r="J208" s="52" t="str">
        <f>IF($A208="","",IF(AND($I208=1,ISNUMBER($E208)),IF($E208&lt;Config!$B$4,1,0),0))</f>
        <v/>
      </c>
      <c r="K208" s="52" t="str">
        <f>IF($A208="","",IF($J208=1,Config!$B$4-$E208,0))</f>
        <v/>
      </c>
      <c r="L208" s="52" t="str">
        <f>IF($I208=1,IFERROR(COUNTIFS($I$2:$I$301,1,$E$2:$E$301,"&lt;"&amp;$E208)+COUNTIFS($I$2:$I208,1,$E$2:$E208,$E208),""),"")</f>
        <v/>
      </c>
      <c r="M208" s="49" t="str">
        <f>IF(COUNTA($A208:$H208)=0,"",IF($A208="","Missing: task ID",IF(COUNTIF($A$2:$A$301,$A208)&gt;1,"Duplicate task ID",IF($B208="","Missing: task",IF($D208="","Missing: owner",IF(NOT(ISNUMBER($E208)),"Missing: due date",IF($F208="","Missing: status",IF(COUNTIF(Config!$J$15:$J$34,$F208)=0,"Unsupported status",IF(AND($G208&lt;&gt;"",COUNTIF(Config!$R$15:$R$34,$G208)=0),"Unsupported priority","OK")))))))))</f>
        <v/>
      </c>
    </row>
    <row r="209">
      <c r="A209" s="46" t="n"/>
      <c r="B209" s="46" t="n"/>
      <c r="C209" s="46" t="n"/>
      <c r="D209" s="46" t="n"/>
      <c r="E209" s="54" t="n"/>
      <c r="F209" s="46" t="n"/>
      <c r="G209" s="46" t="n"/>
      <c r="H209" s="46" t="n"/>
      <c r="I209" s="52" t="str">
        <f>IF($A209="","",IF(IFERROR(INDEX(Config!$K$15:$K$34,MATCH($F209,Config!$J$15:$J$34,0)),"Yes")="Yes",1,0))</f>
        <v/>
      </c>
      <c r="J209" s="52" t="str">
        <f>IF($A209="","",IF(AND($I209=1,ISNUMBER($E209)),IF($E209&lt;Config!$B$4,1,0),0))</f>
        <v/>
      </c>
      <c r="K209" s="52" t="str">
        <f>IF($A209="","",IF($J209=1,Config!$B$4-$E209,0))</f>
        <v/>
      </c>
      <c r="L209" s="52" t="str">
        <f>IF($I209=1,IFERROR(COUNTIFS($I$2:$I$301,1,$E$2:$E$301,"&lt;"&amp;$E209)+COUNTIFS($I$2:$I209,1,$E$2:$E209,$E209),""),"")</f>
        <v/>
      </c>
      <c r="M209" s="49" t="str">
        <f>IF(COUNTA($A209:$H209)=0,"",IF($A209="","Missing: task ID",IF(COUNTIF($A$2:$A$301,$A209)&gt;1,"Duplicate task ID",IF($B209="","Missing: task",IF($D209="","Missing: owner",IF(NOT(ISNUMBER($E209)),"Missing: due date",IF($F209="","Missing: status",IF(COUNTIF(Config!$J$15:$J$34,$F209)=0,"Unsupported status",IF(AND($G209&lt;&gt;"",COUNTIF(Config!$R$15:$R$34,$G209)=0),"Unsupported priority","OK")))))))))</f>
        <v/>
      </c>
    </row>
    <row r="210">
      <c r="A210" s="46" t="n"/>
      <c r="B210" s="46" t="n"/>
      <c r="C210" s="46" t="n"/>
      <c r="D210" s="46" t="n"/>
      <c r="E210" s="54" t="n"/>
      <c r="F210" s="46" t="n"/>
      <c r="G210" s="46" t="n"/>
      <c r="H210" s="46" t="n"/>
      <c r="I210" s="52" t="str">
        <f>IF($A210="","",IF(IFERROR(INDEX(Config!$K$15:$K$34,MATCH($F210,Config!$J$15:$J$34,0)),"Yes")="Yes",1,0))</f>
        <v/>
      </c>
      <c r="J210" s="52" t="str">
        <f>IF($A210="","",IF(AND($I210=1,ISNUMBER($E210)),IF($E210&lt;Config!$B$4,1,0),0))</f>
        <v/>
      </c>
      <c r="K210" s="52" t="str">
        <f>IF($A210="","",IF($J210=1,Config!$B$4-$E210,0))</f>
        <v/>
      </c>
      <c r="L210" s="52" t="str">
        <f>IF($I210=1,IFERROR(COUNTIFS($I$2:$I$301,1,$E$2:$E$301,"&lt;"&amp;$E210)+COUNTIFS($I$2:$I210,1,$E$2:$E210,$E210),""),"")</f>
        <v/>
      </c>
      <c r="M210" s="49" t="str">
        <f>IF(COUNTA($A210:$H210)=0,"",IF($A210="","Missing: task ID",IF(COUNTIF($A$2:$A$301,$A210)&gt;1,"Duplicate task ID",IF($B210="","Missing: task",IF($D210="","Missing: owner",IF(NOT(ISNUMBER($E210)),"Missing: due date",IF($F210="","Missing: status",IF(COUNTIF(Config!$J$15:$J$34,$F210)=0,"Unsupported status",IF(AND($G210&lt;&gt;"",COUNTIF(Config!$R$15:$R$34,$G210)=0),"Unsupported priority","OK")))))))))</f>
        <v/>
      </c>
    </row>
    <row r="211">
      <c r="A211" s="46" t="n"/>
      <c r="B211" s="46" t="n"/>
      <c r="C211" s="46" t="n"/>
      <c r="D211" s="46" t="n"/>
      <c r="E211" s="54" t="n"/>
      <c r="F211" s="46" t="n"/>
      <c r="G211" s="46" t="n"/>
      <c r="H211" s="46" t="n"/>
      <c r="I211" s="52" t="str">
        <f>IF($A211="","",IF(IFERROR(INDEX(Config!$K$15:$K$34,MATCH($F211,Config!$J$15:$J$34,0)),"Yes")="Yes",1,0))</f>
        <v/>
      </c>
      <c r="J211" s="52" t="str">
        <f>IF($A211="","",IF(AND($I211=1,ISNUMBER($E211)),IF($E211&lt;Config!$B$4,1,0),0))</f>
        <v/>
      </c>
      <c r="K211" s="52" t="str">
        <f>IF($A211="","",IF($J211=1,Config!$B$4-$E211,0))</f>
        <v/>
      </c>
      <c r="L211" s="52" t="str">
        <f>IF($I211=1,IFERROR(COUNTIFS($I$2:$I$301,1,$E$2:$E$301,"&lt;"&amp;$E211)+COUNTIFS($I$2:$I211,1,$E$2:$E211,$E211),""),"")</f>
        <v/>
      </c>
      <c r="M211" s="49" t="str">
        <f>IF(COUNTA($A211:$H211)=0,"",IF($A211="","Missing: task ID",IF(COUNTIF($A$2:$A$301,$A211)&gt;1,"Duplicate task ID",IF($B211="","Missing: task",IF($D211="","Missing: owner",IF(NOT(ISNUMBER($E211)),"Missing: due date",IF($F211="","Missing: status",IF(COUNTIF(Config!$J$15:$J$34,$F211)=0,"Unsupported status",IF(AND($G211&lt;&gt;"",COUNTIF(Config!$R$15:$R$34,$G211)=0),"Unsupported priority","OK")))))))))</f>
        <v/>
      </c>
    </row>
    <row r="212">
      <c r="A212" s="46" t="n"/>
      <c r="B212" s="46" t="n"/>
      <c r="C212" s="46" t="n"/>
      <c r="D212" s="46" t="n"/>
      <c r="E212" s="54" t="n"/>
      <c r="F212" s="46" t="n"/>
      <c r="G212" s="46" t="n"/>
      <c r="H212" s="46" t="n"/>
      <c r="I212" s="52" t="str">
        <f>IF($A212="","",IF(IFERROR(INDEX(Config!$K$15:$K$34,MATCH($F212,Config!$J$15:$J$34,0)),"Yes")="Yes",1,0))</f>
        <v/>
      </c>
      <c r="J212" s="52" t="str">
        <f>IF($A212="","",IF(AND($I212=1,ISNUMBER($E212)),IF($E212&lt;Config!$B$4,1,0),0))</f>
        <v/>
      </c>
      <c r="K212" s="52" t="str">
        <f>IF($A212="","",IF($J212=1,Config!$B$4-$E212,0))</f>
        <v/>
      </c>
      <c r="L212" s="52" t="str">
        <f>IF($I212=1,IFERROR(COUNTIFS($I$2:$I$301,1,$E$2:$E$301,"&lt;"&amp;$E212)+COUNTIFS($I$2:$I212,1,$E$2:$E212,$E212),""),"")</f>
        <v/>
      </c>
      <c r="M212" s="49" t="str">
        <f>IF(COUNTA($A212:$H212)=0,"",IF($A212="","Missing: task ID",IF(COUNTIF($A$2:$A$301,$A212)&gt;1,"Duplicate task ID",IF($B212="","Missing: task",IF($D212="","Missing: owner",IF(NOT(ISNUMBER($E212)),"Missing: due date",IF($F212="","Missing: status",IF(COUNTIF(Config!$J$15:$J$34,$F212)=0,"Unsupported status",IF(AND($G212&lt;&gt;"",COUNTIF(Config!$R$15:$R$34,$G212)=0),"Unsupported priority","OK")))))))))</f>
        <v/>
      </c>
    </row>
    <row r="213">
      <c r="A213" s="46" t="n"/>
      <c r="B213" s="46" t="n"/>
      <c r="C213" s="46" t="n"/>
      <c r="D213" s="46" t="n"/>
      <c r="E213" s="54" t="n"/>
      <c r="F213" s="46" t="n"/>
      <c r="G213" s="46" t="n"/>
      <c r="H213" s="46" t="n"/>
      <c r="I213" s="52" t="str">
        <f>IF($A213="","",IF(IFERROR(INDEX(Config!$K$15:$K$34,MATCH($F213,Config!$J$15:$J$34,0)),"Yes")="Yes",1,0))</f>
        <v/>
      </c>
      <c r="J213" s="52" t="str">
        <f>IF($A213="","",IF(AND($I213=1,ISNUMBER($E213)),IF($E213&lt;Config!$B$4,1,0),0))</f>
        <v/>
      </c>
      <c r="K213" s="52" t="str">
        <f>IF($A213="","",IF($J213=1,Config!$B$4-$E213,0))</f>
        <v/>
      </c>
      <c r="L213" s="52" t="str">
        <f>IF($I213=1,IFERROR(COUNTIFS($I$2:$I$301,1,$E$2:$E$301,"&lt;"&amp;$E213)+COUNTIFS($I$2:$I213,1,$E$2:$E213,$E213),""),"")</f>
        <v/>
      </c>
      <c r="M213" s="49" t="str">
        <f>IF(COUNTA($A213:$H213)=0,"",IF($A213="","Missing: task ID",IF(COUNTIF($A$2:$A$301,$A213)&gt;1,"Duplicate task ID",IF($B213="","Missing: task",IF($D213="","Missing: owner",IF(NOT(ISNUMBER($E213)),"Missing: due date",IF($F213="","Missing: status",IF(COUNTIF(Config!$J$15:$J$34,$F213)=0,"Unsupported status",IF(AND($G213&lt;&gt;"",COUNTIF(Config!$R$15:$R$34,$G213)=0),"Unsupported priority","OK")))))))))</f>
        <v/>
      </c>
    </row>
    <row r="214">
      <c r="A214" s="46" t="n"/>
      <c r="B214" s="46" t="n"/>
      <c r="C214" s="46" t="n"/>
      <c r="D214" s="46" t="n"/>
      <c r="E214" s="54" t="n"/>
      <c r="F214" s="46" t="n"/>
      <c r="G214" s="46" t="n"/>
      <c r="H214" s="46" t="n"/>
      <c r="I214" s="52" t="str">
        <f>IF($A214="","",IF(IFERROR(INDEX(Config!$K$15:$K$34,MATCH($F214,Config!$J$15:$J$34,0)),"Yes")="Yes",1,0))</f>
        <v/>
      </c>
      <c r="J214" s="52" t="str">
        <f>IF($A214="","",IF(AND($I214=1,ISNUMBER($E214)),IF($E214&lt;Config!$B$4,1,0),0))</f>
        <v/>
      </c>
      <c r="K214" s="52" t="str">
        <f>IF($A214="","",IF($J214=1,Config!$B$4-$E214,0))</f>
        <v/>
      </c>
      <c r="L214" s="52" t="str">
        <f>IF($I214=1,IFERROR(COUNTIFS($I$2:$I$301,1,$E$2:$E$301,"&lt;"&amp;$E214)+COUNTIFS($I$2:$I214,1,$E$2:$E214,$E214),""),"")</f>
        <v/>
      </c>
      <c r="M214" s="49" t="str">
        <f>IF(COUNTA($A214:$H214)=0,"",IF($A214="","Missing: task ID",IF(COUNTIF($A$2:$A$301,$A214)&gt;1,"Duplicate task ID",IF($B214="","Missing: task",IF($D214="","Missing: owner",IF(NOT(ISNUMBER($E214)),"Missing: due date",IF($F214="","Missing: status",IF(COUNTIF(Config!$J$15:$J$34,$F214)=0,"Unsupported status",IF(AND($G214&lt;&gt;"",COUNTIF(Config!$R$15:$R$34,$G214)=0),"Unsupported priority","OK")))))))))</f>
        <v/>
      </c>
    </row>
    <row r="215">
      <c r="A215" s="46" t="n"/>
      <c r="B215" s="46" t="n"/>
      <c r="C215" s="46" t="n"/>
      <c r="D215" s="46" t="n"/>
      <c r="E215" s="54" t="n"/>
      <c r="F215" s="46" t="n"/>
      <c r="G215" s="46" t="n"/>
      <c r="H215" s="46" t="n"/>
      <c r="I215" s="52" t="str">
        <f>IF($A215="","",IF(IFERROR(INDEX(Config!$K$15:$K$34,MATCH($F215,Config!$J$15:$J$34,0)),"Yes")="Yes",1,0))</f>
        <v/>
      </c>
      <c r="J215" s="52" t="str">
        <f>IF($A215="","",IF(AND($I215=1,ISNUMBER($E215)),IF($E215&lt;Config!$B$4,1,0),0))</f>
        <v/>
      </c>
      <c r="K215" s="52" t="str">
        <f>IF($A215="","",IF($J215=1,Config!$B$4-$E215,0))</f>
        <v/>
      </c>
      <c r="L215" s="52" t="str">
        <f>IF($I215=1,IFERROR(COUNTIFS($I$2:$I$301,1,$E$2:$E$301,"&lt;"&amp;$E215)+COUNTIFS($I$2:$I215,1,$E$2:$E215,$E215),""),"")</f>
        <v/>
      </c>
      <c r="M215" s="49" t="str">
        <f>IF(COUNTA($A215:$H215)=0,"",IF($A215="","Missing: task ID",IF(COUNTIF($A$2:$A$301,$A215)&gt;1,"Duplicate task ID",IF($B215="","Missing: task",IF($D215="","Missing: owner",IF(NOT(ISNUMBER($E215)),"Missing: due date",IF($F215="","Missing: status",IF(COUNTIF(Config!$J$15:$J$34,$F215)=0,"Unsupported status",IF(AND($G215&lt;&gt;"",COUNTIF(Config!$R$15:$R$34,$G215)=0),"Unsupported priority","OK")))))))))</f>
        <v/>
      </c>
    </row>
    <row r="216">
      <c r="A216" s="46" t="n"/>
      <c r="B216" s="46" t="n"/>
      <c r="C216" s="46" t="n"/>
      <c r="D216" s="46" t="n"/>
      <c r="E216" s="54" t="n"/>
      <c r="F216" s="46" t="n"/>
      <c r="G216" s="46" t="n"/>
      <c r="H216" s="46" t="n"/>
      <c r="I216" s="52" t="str">
        <f>IF($A216="","",IF(IFERROR(INDEX(Config!$K$15:$K$34,MATCH($F216,Config!$J$15:$J$34,0)),"Yes")="Yes",1,0))</f>
        <v/>
      </c>
      <c r="J216" s="52" t="str">
        <f>IF($A216="","",IF(AND($I216=1,ISNUMBER($E216)),IF($E216&lt;Config!$B$4,1,0),0))</f>
        <v/>
      </c>
      <c r="K216" s="52" t="str">
        <f>IF($A216="","",IF($J216=1,Config!$B$4-$E216,0))</f>
        <v/>
      </c>
      <c r="L216" s="52" t="str">
        <f>IF($I216=1,IFERROR(COUNTIFS($I$2:$I$301,1,$E$2:$E$301,"&lt;"&amp;$E216)+COUNTIFS($I$2:$I216,1,$E$2:$E216,$E216),""),"")</f>
        <v/>
      </c>
      <c r="M216" s="49" t="str">
        <f>IF(COUNTA($A216:$H216)=0,"",IF($A216="","Missing: task ID",IF(COUNTIF($A$2:$A$301,$A216)&gt;1,"Duplicate task ID",IF($B216="","Missing: task",IF($D216="","Missing: owner",IF(NOT(ISNUMBER($E216)),"Missing: due date",IF($F216="","Missing: status",IF(COUNTIF(Config!$J$15:$J$34,$F216)=0,"Unsupported status",IF(AND($G216&lt;&gt;"",COUNTIF(Config!$R$15:$R$34,$G216)=0),"Unsupported priority","OK")))))))))</f>
        <v/>
      </c>
    </row>
    <row r="217">
      <c r="A217" s="46" t="n"/>
      <c r="B217" s="46" t="n"/>
      <c r="C217" s="46" t="n"/>
      <c r="D217" s="46" t="n"/>
      <c r="E217" s="54" t="n"/>
      <c r="F217" s="46" t="n"/>
      <c r="G217" s="46" t="n"/>
      <c r="H217" s="46" t="n"/>
      <c r="I217" s="52" t="str">
        <f>IF($A217="","",IF(IFERROR(INDEX(Config!$K$15:$K$34,MATCH($F217,Config!$J$15:$J$34,0)),"Yes")="Yes",1,0))</f>
        <v/>
      </c>
      <c r="J217" s="52" t="str">
        <f>IF($A217="","",IF(AND($I217=1,ISNUMBER($E217)),IF($E217&lt;Config!$B$4,1,0),0))</f>
        <v/>
      </c>
      <c r="K217" s="52" t="str">
        <f>IF($A217="","",IF($J217=1,Config!$B$4-$E217,0))</f>
        <v/>
      </c>
      <c r="L217" s="52" t="str">
        <f>IF($I217=1,IFERROR(COUNTIFS($I$2:$I$301,1,$E$2:$E$301,"&lt;"&amp;$E217)+COUNTIFS($I$2:$I217,1,$E$2:$E217,$E217),""),"")</f>
        <v/>
      </c>
      <c r="M217" s="49" t="str">
        <f>IF(COUNTA($A217:$H217)=0,"",IF($A217="","Missing: task ID",IF(COUNTIF($A$2:$A$301,$A217)&gt;1,"Duplicate task ID",IF($B217="","Missing: task",IF($D217="","Missing: owner",IF(NOT(ISNUMBER($E217)),"Missing: due date",IF($F217="","Missing: status",IF(COUNTIF(Config!$J$15:$J$34,$F217)=0,"Unsupported status",IF(AND($G217&lt;&gt;"",COUNTIF(Config!$R$15:$R$34,$G217)=0),"Unsupported priority","OK")))))))))</f>
        <v/>
      </c>
    </row>
    <row r="218">
      <c r="A218" s="46" t="n"/>
      <c r="B218" s="46" t="n"/>
      <c r="C218" s="46" t="n"/>
      <c r="D218" s="46" t="n"/>
      <c r="E218" s="54" t="n"/>
      <c r="F218" s="46" t="n"/>
      <c r="G218" s="46" t="n"/>
      <c r="H218" s="46" t="n"/>
      <c r="I218" s="52" t="str">
        <f>IF($A218="","",IF(IFERROR(INDEX(Config!$K$15:$K$34,MATCH($F218,Config!$J$15:$J$34,0)),"Yes")="Yes",1,0))</f>
        <v/>
      </c>
      <c r="J218" s="52" t="str">
        <f>IF($A218="","",IF(AND($I218=1,ISNUMBER($E218)),IF($E218&lt;Config!$B$4,1,0),0))</f>
        <v/>
      </c>
      <c r="K218" s="52" t="str">
        <f>IF($A218="","",IF($J218=1,Config!$B$4-$E218,0))</f>
        <v/>
      </c>
      <c r="L218" s="52" t="str">
        <f>IF($I218=1,IFERROR(COUNTIFS($I$2:$I$301,1,$E$2:$E$301,"&lt;"&amp;$E218)+COUNTIFS($I$2:$I218,1,$E$2:$E218,$E218),""),"")</f>
        <v/>
      </c>
      <c r="M218" s="49" t="str">
        <f>IF(COUNTA($A218:$H218)=0,"",IF($A218="","Missing: task ID",IF(COUNTIF($A$2:$A$301,$A218)&gt;1,"Duplicate task ID",IF($B218="","Missing: task",IF($D218="","Missing: owner",IF(NOT(ISNUMBER($E218)),"Missing: due date",IF($F218="","Missing: status",IF(COUNTIF(Config!$J$15:$J$34,$F218)=0,"Unsupported status",IF(AND($G218&lt;&gt;"",COUNTIF(Config!$R$15:$R$34,$G218)=0),"Unsupported priority","OK")))))))))</f>
        <v/>
      </c>
    </row>
    <row r="219">
      <c r="A219" s="46" t="n"/>
      <c r="B219" s="46" t="n"/>
      <c r="C219" s="46" t="n"/>
      <c r="D219" s="46" t="n"/>
      <c r="E219" s="54" t="n"/>
      <c r="F219" s="46" t="n"/>
      <c r="G219" s="46" t="n"/>
      <c r="H219" s="46" t="n"/>
      <c r="I219" s="52" t="str">
        <f>IF($A219="","",IF(IFERROR(INDEX(Config!$K$15:$K$34,MATCH($F219,Config!$J$15:$J$34,0)),"Yes")="Yes",1,0))</f>
        <v/>
      </c>
      <c r="J219" s="52" t="str">
        <f>IF($A219="","",IF(AND($I219=1,ISNUMBER($E219)),IF($E219&lt;Config!$B$4,1,0),0))</f>
        <v/>
      </c>
      <c r="K219" s="52" t="str">
        <f>IF($A219="","",IF($J219=1,Config!$B$4-$E219,0))</f>
        <v/>
      </c>
      <c r="L219" s="52" t="str">
        <f>IF($I219=1,IFERROR(COUNTIFS($I$2:$I$301,1,$E$2:$E$301,"&lt;"&amp;$E219)+COUNTIFS($I$2:$I219,1,$E$2:$E219,$E219),""),"")</f>
        <v/>
      </c>
      <c r="M219" s="49" t="str">
        <f>IF(COUNTA($A219:$H219)=0,"",IF($A219="","Missing: task ID",IF(COUNTIF($A$2:$A$301,$A219)&gt;1,"Duplicate task ID",IF($B219="","Missing: task",IF($D219="","Missing: owner",IF(NOT(ISNUMBER($E219)),"Missing: due date",IF($F219="","Missing: status",IF(COUNTIF(Config!$J$15:$J$34,$F219)=0,"Unsupported status",IF(AND($G219&lt;&gt;"",COUNTIF(Config!$R$15:$R$34,$G219)=0),"Unsupported priority","OK")))))))))</f>
        <v/>
      </c>
    </row>
    <row r="220">
      <c r="A220" s="46" t="n"/>
      <c r="B220" s="46" t="n"/>
      <c r="C220" s="46" t="n"/>
      <c r="D220" s="46" t="n"/>
      <c r="E220" s="54" t="n"/>
      <c r="F220" s="46" t="n"/>
      <c r="G220" s="46" t="n"/>
      <c r="H220" s="46" t="n"/>
      <c r="I220" s="52" t="str">
        <f>IF($A220="","",IF(IFERROR(INDEX(Config!$K$15:$K$34,MATCH($F220,Config!$J$15:$J$34,0)),"Yes")="Yes",1,0))</f>
        <v/>
      </c>
      <c r="J220" s="52" t="str">
        <f>IF($A220="","",IF(AND($I220=1,ISNUMBER($E220)),IF($E220&lt;Config!$B$4,1,0),0))</f>
        <v/>
      </c>
      <c r="K220" s="52" t="str">
        <f>IF($A220="","",IF($J220=1,Config!$B$4-$E220,0))</f>
        <v/>
      </c>
      <c r="L220" s="52" t="str">
        <f>IF($I220=1,IFERROR(COUNTIFS($I$2:$I$301,1,$E$2:$E$301,"&lt;"&amp;$E220)+COUNTIFS($I$2:$I220,1,$E$2:$E220,$E220),""),"")</f>
        <v/>
      </c>
      <c r="M220" s="49" t="str">
        <f>IF(COUNTA($A220:$H220)=0,"",IF($A220="","Missing: task ID",IF(COUNTIF($A$2:$A$301,$A220)&gt;1,"Duplicate task ID",IF($B220="","Missing: task",IF($D220="","Missing: owner",IF(NOT(ISNUMBER($E220)),"Missing: due date",IF($F220="","Missing: status",IF(COUNTIF(Config!$J$15:$J$34,$F220)=0,"Unsupported status",IF(AND($G220&lt;&gt;"",COUNTIF(Config!$R$15:$R$34,$G220)=0),"Unsupported priority","OK")))))))))</f>
        <v/>
      </c>
    </row>
    <row r="221">
      <c r="A221" s="46" t="n"/>
      <c r="B221" s="46" t="n"/>
      <c r="C221" s="46" t="n"/>
      <c r="D221" s="46" t="n"/>
      <c r="E221" s="54" t="n"/>
      <c r="F221" s="46" t="n"/>
      <c r="G221" s="46" t="n"/>
      <c r="H221" s="46" t="n"/>
      <c r="I221" s="52" t="str">
        <f>IF($A221="","",IF(IFERROR(INDEX(Config!$K$15:$K$34,MATCH($F221,Config!$J$15:$J$34,0)),"Yes")="Yes",1,0))</f>
        <v/>
      </c>
      <c r="J221" s="52" t="str">
        <f>IF($A221="","",IF(AND($I221=1,ISNUMBER($E221)),IF($E221&lt;Config!$B$4,1,0),0))</f>
        <v/>
      </c>
      <c r="K221" s="52" t="str">
        <f>IF($A221="","",IF($J221=1,Config!$B$4-$E221,0))</f>
        <v/>
      </c>
      <c r="L221" s="52" t="str">
        <f>IF($I221=1,IFERROR(COUNTIFS($I$2:$I$301,1,$E$2:$E$301,"&lt;"&amp;$E221)+COUNTIFS($I$2:$I221,1,$E$2:$E221,$E221),""),"")</f>
        <v/>
      </c>
      <c r="M221" s="49" t="str">
        <f>IF(COUNTA($A221:$H221)=0,"",IF($A221="","Missing: task ID",IF(COUNTIF($A$2:$A$301,$A221)&gt;1,"Duplicate task ID",IF($B221="","Missing: task",IF($D221="","Missing: owner",IF(NOT(ISNUMBER($E221)),"Missing: due date",IF($F221="","Missing: status",IF(COUNTIF(Config!$J$15:$J$34,$F221)=0,"Unsupported status",IF(AND($G221&lt;&gt;"",COUNTIF(Config!$R$15:$R$34,$G221)=0),"Unsupported priority","OK")))))))))</f>
        <v/>
      </c>
    </row>
    <row r="222">
      <c r="A222" s="46" t="n"/>
      <c r="B222" s="46" t="n"/>
      <c r="C222" s="46" t="n"/>
      <c r="D222" s="46" t="n"/>
      <c r="E222" s="54" t="n"/>
      <c r="F222" s="46" t="n"/>
      <c r="G222" s="46" t="n"/>
      <c r="H222" s="46" t="n"/>
      <c r="I222" s="52" t="str">
        <f>IF($A222="","",IF(IFERROR(INDEX(Config!$K$15:$K$34,MATCH($F222,Config!$J$15:$J$34,0)),"Yes")="Yes",1,0))</f>
        <v/>
      </c>
      <c r="J222" s="52" t="str">
        <f>IF($A222="","",IF(AND($I222=1,ISNUMBER($E222)),IF($E222&lt;Config!$B$4,1,0),0))</f>
        <v/>
      </c>
      <c r="K222" s="52" t="str">
        <f>IF($A222="","",IF($J222=1,Config!$B$4-$E222,0))</f>
        <v/>
      </c>
      <c r="L222" s="52" t="str">
        <f>IF($I222=1,IFERROR(COUNTIFS($I$2:$I$301,1,$E$2:$E$301,"&lt;"&amp;$E222)+COUNTIFS($I$2:$I222,1,$E$2:$E222,$E222),""),"")</f>
        <v/>
      </c>
      <c r="M222" s="49" t="str">
        <f>IF(COUNTA($A222:$H222)=0,"",IF($A222="","Missing: task ID",IF(COUNTIF($A$2:$A$301,$A222)&gt;1,"Duplicate task ID",IF($B222="","Missing: task",IF($D222="","Missing: owner",IF(NOT(ISNUMBER($E222)),"Missing: due date",IF($F222="","Missing: status",IF(COUNTIF(Config!$J$15:$J$34,$F222)=0,"Unsupported status",IF(AND($G222&lt;&gt;"",COUNTIF(Config!$R$15:$R$34,$G222)=0),"Unsupported priority","OK")))))))))</f>
        <v/>
      </c>
    </row>
    <row r="223">
      <c r="A223" s="46" t="n"/>
      <c r="B223" s="46" t="n"/>
      <c r="C223" s="46" t="n"/>
      <c r="D223" s="46" t="n"/>
      <c r="E223" s="54" t="n"/>
      <c r="F223" s="46" t="n"/>
      <c r="G223" s="46" t="n"/>
      <c r="H223" s="46" t="n"/>
      <c r="I223" s="52" t="str">
        <f>IF($A223="","",IF(IFERROR(INDEX(Config!$K$15:$K$34,MATCH($F223,Config!$J$15:$J$34,0)),"Yes")="Yes",1,0))</f>
        <v/>
      </c>
      <c r="J223" s="52" t="str">
        <f>IF($A223="","",IF(AND($I223=1,ISNUMBER($E223)),IF($E223&lt;Config!$B$4,1,0),0))</f>
        <v/>
      </c>
      <c r="K223" s="52" t="str">
        <f>IF($A223="","",IF($J223=1,Config!$B$4-$E223,0))</f>
        <v/>
      </c>
      <c r="L223" s="52" t="str">
        <f>IF($I223=1,IFERROR(COUNTIFS($I$2:$I$301,1,$E$2:$E$301,"&lt;"&amp;$E223)+COUNTIFS($I$2:$I223,1,$E$2:$E223,$E223),""),"")</f>
        <v/>
      </c>
      <c r="M223" s="49" t="str">
        <f>IF(COUNTA($A223:$H223)=0,"",IF($A223="","Missing: task ID",IF(COUNTIF($A$2:$A$301,$A223)&gt;1,"Duplicate task ID",IF($B223="","Missing: task",IF($D223="","Missing: owner",IF(NOT(ISNUMBER($E223)),"Missing: due date",IF($F223="","Missing: status",IF(COUNTIF(Config!$J$15:$J$34,$F223)=0,"Unsupported status",IF(AND($G223&lt;&gt;"",COUNTIF(Config!$R$15:$R$34,$G223)=0),"Unsupported priority","OK")))))))))</f>
        <v/>
      </c>
    </row>
    <row r="224">
      <c r="A224" s="46" t="n"/>
      <c r="B224" s="46" t="n"/>
      <c r="C224" s="46" t="n"/>
      <c r="D224" s="46" t="n"/>
      <c r="E224" s="54" t="n"/>
      <c r="F224" s="46" t="n"/>
      <c r="G224" s="46" t="n"/>
      <c r="H224" s="46" t="n"/>
      <c r="I224" s="52" t="str">
        <f>IF($A224="","",IF(IFERROR(INDEX(Config!$K$15:$K$34,MATCH($F224,Config!$J$15:$J$34,0)),"Yes")="Yes",1,0))</f>
        <v/>
      </c>
      <c r="J224" s="52" t="str">
        <f>IF($A224="","",IF(AND($I224=1,ISNUMBER($E224)),IF($E224&lt;Config!$B$4,1,0),0))</f>
        <v/>
      </c>
      <c r="K224" s="52" t="str">
        <f>IF($A224="","",IF($J224=1,Config!$B$4-$E224,0))</f>
        <v/>
      </c>
      <c r="L224" s="52" t="str">
        <f>IF($I224=1,IFERROR(COUNTIFS($I$2:$I$301,1,$E$2:$E$301,"&lt;"&amp;$E224)+COUNTIFS($I$2:$I224,1,$E$2:$E224,$E224),""),"")</f>
        <v/>
      </c>
      <c r="M224" s="49" t="str">
        <f>IF(COUNTA($A224:$H224)=0,"",IF($A224="","Missing: task ID",IF(COUNTIF($A$2:$A$301,$A224)&gt;1,"Duplicate task ID",IF($B224="","Missing: task",IF($D224="","Missing: owner",IF(NOT(ISNUMBER($E224)),"Missing: due date",IF($F224="","Missing: status",IF(COUNTIF(Config!$J$15:$J$34,$F224)=0,"Unsupported status",IF(AND($G224&lt;&gt;"",COUNTIF(Config!$R$15:$R$34,$G224)=0),"Unsupported priority","OK")))))))))</f>
        <v/>
      </c>
    </row>
    <row r="225">
      <c r="A225" s="46" t="n"/>
      <c r="B225" s="46" t="n"/>
      <c r="C225" s="46" t="n"/>
      <c r="D225" s="46" t="n"/>
      <c r="E225" s="54" t="n"/>
      <c r="F225" s="46" t="n"/>
      <c r="G225" s="46" t="n"/>
      <c r="H225" s="46" t="n"/>
      <c r="I225" s="52" t="str">
        <f>IF($A225="","",IF(IFERROR(INDEX(Config!$K$15:$K$34,MATCH($F225,Config!$J$15:$J$34,0)),"Yes")="Yes",1,0))</f>
        <v/>
      </c>
      <c r="J225" s="52" t="str">
        <f>IF($A225="","",IF(AND($I225=1,ISNUMBER($E225)),IF($E225&lt;Config!$B$4,1,0),0))</f>
        <v/>
      </c>
      <c r="K225" s="52" t="str">
        <f>IF($A225="","",IF($J225=1,Config!$B$4-$E225,0))</f>
        <v/>
      </c>
      <c r="L225" s="52" t="str">
        <f>IF($I225=1,IFERROR(COUNTIFS($I$2:$I$301,1,$E$2:$E$301,"&lt;"&amp;$E225)+COUNTIFS($I$2:$I225,1,$E$2:$E225,$E225),""),"")</f>
        <v/>
      </c>
      <c r="M225" s="49" t="str">
        <f>IF(COUNTA($A225:$H225)=0,"",IF($A225="","Missing: task ID",IF(COUNTIF($A$2:$A$301,$A225)&gt;1,"Duplicate task ID",IF($B225="","Missing: task",IF($D225="","Missing: owner",IF(NOT(ISNUMBER($E225)),"Missing: due date",IF($F225="","Missing: status",IF(COUNTIF(Config!$J$15:$J$34,$F225)=0,"Unsupported status",IF(AND($G225&lt;&gt;"",COUNTIF(Config!$R$15:$R$34,$G225)=0),"Unsupported priority","OK")))))))))</f>
        <v/>
      </c>
    </row>
    <row r="226">
      <c r="A226" s="46" t="n"/>
      <c r="B226" s="46" t="n"/>
      <c r="C226" s="46" t="n"/>
      <c r="D226" s="46" t="n"/>
      <c r="E226" s="54" t="n"/>
      <c r="F226" s="46" t="n"/>
      <c r="G226" s="46" t="n"/>
      <c r="H226" s="46" t="n"/>
      <c r="I226" s="52" t="str">
        <f>IF($A226="","",IF(IFERROR(INDEX(Config!$K$15:$K$34,MATCH($F226,Config!$J$15:$J$34,0)),"Yes")="Yes",1,0))</f>
        <v/>
      </c>
      <c r="J226" s="52" t="str">
        <f>IF($A226="","",IF(AND($I226=1,ISNUMBER($E226)),IF($E226&lt;Config!$B$4,1,0),0))</f>
        <v/>
      </c>
      <c r="K226" s="52" t="str">
        <f>IF($A226="","",IF($J226=1,Config!$B$4-$E226,0))</f>
        <v/>
      </c>
      <c r="L226" s="52" t="str">
        <f>IF($I226=1,IFERROR(COUNTIFS($I$2:$I$301,1,$E$2:$E$301,"&lt;"&amp;$E226)+COUNTIFS($I$2:$I226,1,$E$2:$E226,$E226),""),"")</f>
        <v/>
      </c>
      <c r="M226" s="49" t="str">
        <f>IF(COUNTA($A226:$H226)=0,"",IF($A226="","Missing: task ID",IF(COUNTIF($A$2:$A$301,$A226)&gt;1,"Duplicate task ID",IF($B226="","Missing: task",IF($D226="","Missing: owner",IF(NOT(ISNUMBER($E226)),"Missing: due date",IF($F226="","Missing: status",IF(COUNTIF(Config!$J$15:$J$34,$F226)=0,"Unsupported status",IF(AND($G226&lt;&gt;"",COUNTIF(Config!$R$15:$R$34,$G226)=0),"Unsupported priority","OK")))))))))</f>
        <v/>
      </c>
    </row>
    <row r="227">
      <c r="A227" s="46" t="n"/>
      <c r="B227" s="46" t="n"/>
      <c r="C227" s="46" t="n"/>
      <c r="D227" s="46" t="n"/>
      <c r="E227" s="54" t="n"/>
      <c r="F227" s="46" t="n"/>
      <c r="G227" s="46" t="n"/>
      <c r="H227" s="46" t="n"/>
      <c r="I227" s="52" t="str">
        <f>IF($A227="","",IF(IFERROR(INDEX(Config!$K$15:$K$34,MATCH($F227,Config!$J$15:$J$34,0)),"Yes")="Yes",1,0))</f>
        <v/>
      </c>
      <c r="J227" s="52" t="str">
        <f>IF($A227="","",IF(AND($I227=1,ISNUMBER($E227)),IF($E227&lt;Config!$B$4,1,0),0))</f>
        <v/>
      </c>
      <c r="K227" s="52" t="str">
        <f>IF($A227="","",IF($J227=1,Config!$B$4-$E227,0))</f>
        <v/>
      </c>
      <c r="L227" s="52" t="str">
        <f>IF($I227=1,IFERROR(COUNTIFS($I$2:$I$301,1,$E$2:$E$301,"&lt;"&amp;$E227)+COUNTIFS($I$2:$I227,1,$E$2:$E227,$E227),""),"")</f>
        <v/>
      </c>
      <c r="M227" s="49" t="str">
        <f>IF(COUNTA($A227:$H227)=0,"",IF($A227="","Missing: task ID",IF(COUNTIF($A$2:$A$301,$A227)&gt;1,"Duplicate task ID",IF($B227="","Missing: task",IF($D227="","Missing: owner",IF(NOT(ISNUMBER($E227)),"Missing: due date",IF($F227="","Missing: status",IF(COUNTIF(Config!$J$15:$J$34,$F227)=0,"Unsupported status",IF(AND($G227&lt;&gt;"",COUNTIF(Config!$R$15:$R$34,$G227)=0),"Unsupported priority","OK")))))))))</f>
        <v/>
      </c>
    </row>
    <row r="228">
      <c r="A228" s="46" t="n"/>
      <c r="B228" s="46" t="n"/>
      <c r="C228" s="46" t="n"/>
      <c r="D228" s="46" t="n"/>
      <c r="E228" s="54" t="n"/>
      <c r="F228" s="46" t="n"/>
      <c r="G228" s="46" t="n"/>
      <c r="H228" s="46" t="n"/>
      <c r="I228" s="52" t="str">
        <f>IF($A228="","",IF(IFERROR(INDEX(Config!$K$15:$K$34,MATCH($F228,Config!$J$15:$J$34,0)),"Yes")="Yes",1,0))</f>
        <v/>
      </c>
      <c r="J228" s="52" t="str">
        <f>IF($A228="","",IF(AND($I228=1,ISNUMBER($E228)),IF($E228&lt;Config!$B$4,1,0),0))</f>
        <v/>
      </c>
      <c r="K228" s="52" t="str">
        <f>IF($A228="","",IF($J228=1,Config!$B$4-$E228,0))</f>
        <v/>
      </c>
      <c r="L228" s="52" t="str">
        <f>IF($I228=1,IFERROR(COUNTIFS($I$2:$I$301,1,$E$2:$E$301,"&lt;"&amp;$E228)+COUNTIFS($I$2:$I228,1,$E$2:$E228,$E228),""),"")</f>
        <v/>
      </c>
      <c r="M228" s="49" t="str">
        <f>IF(COUNTA($A228:$H228)=0,"",IF($A228="","Missing: task ID",IF(COUNTIF($A$2:$A$301,$A228)&gt;1,"Duplicate task ID",IF($B228="","Missing: task",IF($D228="","Missing: owner",IF(NOT(ISNUMBER($E228)),"Missing: due date",IF($F228="","Missing: status",IF(COUNTIF(Config!$J$15:$J$34,$F228)=0,"Unsupported status",IF(AND($G228&lt;&gt;"",COUNTIF(Config!$R$15:$R$34,$G228)=0),"Unsupported priority","OK")))))))))</f>
        <v/>
      </c>
    </row>
    <row r="229">
      <c r="A229" s="46" t="n"/>
      <c r="B229" s="46" t="n"/>
      <c r="C229" s="46" t="n"/>
      <c r="D229" s="46" t="n"/>
      <c r="E229" s="54" t="n"/>
      <c r="F229" s="46" t="n"/>
      <c r="G229" s="46" t="n"/>
      <c r="H229" s="46" t="n"/>
      <c r="I229" s="52" t="str">
        <f>IF($A229="","",IF(IFERROR(INDEX(Config!$K$15:$K$34,MATCH($F229,Config!$J$15:$J$34,0)),"Yes")="Yes",1,0))</f>
        <v/>
      </c>
      <c r="J229" s="52" t="str">
        <f>IF($A229="","",IF(AND($I229=1,ISNUMBER($E229)),IF($E229&lt;Config!$B$4,1,0),0))</f>
        <v/>
      </c>
      <c r="K229" s="52" t="str">
        <f>IF($A229="","",IF($J229=1,Config!$B$4-$E229,0))</f>
        <v/>
      </c>
      <c r="L229" s="52" t="str">
        <f>IF($I229=1,IFERROR(COUNTIFS($I$2:$I$301,1,$E$2:$E$301,"&lt;"&amp;$E229)+COUNTIFS($I$2:$I229,1,$E$2:$E229,$E229),""),"")</f>
        <v/>
      </c>
      <c r="M229" s="49" t="str">
        <f>IF(COUNTA($A229:$H229)=0,"",IF($A229="","Missing: task ID",IF(COUNTIF($A$2:$A$301,$A229)&gt;1,"Duplicate task ID",IF($B229="","Missing: task",IF($D229="","Missing: owner",IF(NOT(ISNUMBER($E229)),"Missing: due date",IF($F229="","Missing: status",IF(COUNTIF(Config!$J$15:$J$34,$F229)=0,"Unsupported status",IF(AND($G229&lt;&gt;"",COUNTIF(Config!$R$15:$R$34,$G229)=0),"Unsupported priority","OK")))))))))</f>
        <v/>
      </c>
    </row>
    <row r="230">
      <c r="A230" s="46" t="n"/>
      <c r="B230" s="46" t="n"/>
      <c r="C230" s="46" t="n"/>
      <c r="D230" s="46" t="n"/>
      <c r="E230" s="54" t="n"/>
      <c r="F230" s="46" t="n"/>
      <c r="G230" s="46" t="n"/>
      <c r="H230" s="46" t="n"/>
      <c r="I230" s="52" t="str">
        <f>IF($A230="","",IF(IFERROR(INDEX(Config!$K$15:$K$34,MATCH($F230,Config!$J$15:$J$34,0)),"Yes")="Yes",1,0))</f>
        <v/>
      </c>
      <c r="J230" s="52" t="str">
        <f>IF($A230="","",IF(AND($I230=1,ISNUMBER($E230)),IF($E230&lt;Config!$B$4,1,0),0))</f>
        <v/>
      </c>
      <c r="K230" s="52" t="str">
        <f>IF($A230="","",IF($J230=1,Config!$B$4-$E230,0))</f>
        <v/>
      </c>
      <c r="L230" s="52" t="str">
        <f>IF($I230=1,IFERROR(COUNTIFS($I$2:$I$301,1,$E$2:$E$301,"&lt;"&amp;$E230)+COUNTIFS($I$2:$I230,1,$E$2:$E230,$E230),""),"")</f>
        <v/>
      </c>
      <c r="M230" s="49" t="str">
        <f>IF(COUNTA($A230:$H230)=0,"",IF($A230="","Missing: task ID",IF(COUNTIF($A$2:$A$301,$A230)&gt;1,"Duplicate task ID",IF($B230="","Missing: task",IF($D230="","Missing: owner",IF(NOT(ISNUMBER($E230)),"Missing: due date",IF($F230="","Missing: status",IF(COUNTIF(Config!$J$15:$J$34,$F230)=0,"Unsupported status",IF(AND($G230&lt;&gt;"",COUNTIF(Config!$R$15:$R$34,$G230)=0),"Unsupported priority","OK")))))))))</f>
        <v/>
      </c>
    </row>
    <row r="231">
      <c r="A231" s="46" t="n"/>
      <c r="B231" s="46" t="n"/>
      <c r="C231" s="46" t="n"/>
      <c r="D231" s="46" t="n"/>
      <c r="E231" s="54" t="n"/>
      <c r="F231" s="46" t="n"/>
      <c r="G231" s="46" t="n"/>
      <c r="H231" s="46" t="n"/>
      <c r="I231" s="52" t="str">
        <f>IF($A231="","",IF(IFERROR(INDEX(Config!$K$15:$K$34,MATCH($F231,Config!$J$15:$J$34,0)),"Yes")="Yes",1,0))</f>
        <v/>
      </c>
      <c r="J231" s="52" t="str">
        <f>IF($A231="","",IF(AND($I231=1,ISNUMBER($E231)),IF($E231&lt;Config!$B$4,1,0),0))</f>
        <v/>
      </c>
      <c r="K231" s="52" t="str">
        <f>IF($A231="","",IF($J231=1,Config!$B$4-$E231,0))</f>
        <v/>
      </c>
      <c r="L231" s="52" t="str">
        <f>IF($I231=1,IFERROR(COUNTIFS($I$2:$I$301,1,$E$2:$E$301,"&lt;"&amp;$E231)+COUNTIFS($I$2:$I231,1,$E$2:$E231,$E231),""),"")</f>
        <v/>
      </c>
      <c r="M231" s="49" t="str">
        <f>IF(COUNTA($A231:$H231)=0,"",IF($A231="","Missing: task ID",IF(COUNTIF($A$2:$A$301,$A231)&gt;1,"Duplicate task ID",IF($B231="","Missing: task",IF($D231="","Missing: owner",IF(NOT(ISNUMBER($E231)),"Missing: due date",IF($F231="","Missing: status",IF(COUNTIF(Config!$J$15:$J$34,$F231)=0,"Unsupported status",IF(AND($G231&lt;&gt;"",COUNTIF(Config!$R$15:$R$34,$G231)=0),"Unsupported priority","OK")))))))))</f>
        <v/>
      </c>
    </row>
    <row r="232">
      <c r="A232" s="46" t="n"/>
      <c r="B232" s="46" t="n"/>
      <c r="C232" s="46" t="n"/>
      <c r="D232" s="46" t="n"/>
      <c r="E232" s="54" t="n"/>
      <c r="F232" s="46" t="n"/>
      <c r="G232" s="46" t="n"/>
      <c r="H232" s="46" t="n"/>
      <c r="I232" s="52" t="str">
        <f>IF($A232="","",IF(IFERROR(INDEX(Config!$K$15:$K$34,MATCH($F232,Config!$J$15:$J$34,0)),"Yes")="Yes",1,0))</f>
        <v/>
      </c>
      <c r="J232" s="52" t="str">
        <f>IF($A232="","",IF(AND($I232=1,ISNUMBER($E232)),IF($E232&lt;Config!$B$4,1,0),0))</f>
        <v/>
      </c>
      <c r="K232" s="52" t="str">
        <f>IF($A232="","",IF($J232=1,Config!$B$4-$E232,0))</f>
        <v/>
      </c>
      <c r="L232" s="52" t="str">
        <f>IF($I232=1,IFERROR(COUNTIFS($I$2:$I$301,1,$E$2:$E$301,"&lt;"&amp;$E232)+COUNTIFS($I$2:$I232,1,$E$2:$E232,$E232),""),"")</f>
        <v/>
      </c>
      <c r="M232" s="49" t="str">
        <f>IF(COUNTA($A232:$H232)=0,"",IF($A232="","Missing: task ID",IF(COUNTIF($A$2:$A$301,$A232)&gt;1,"Duplicate task ID",IF($B232="","Missing: task",IF($D232="","Missing: owner",IF(NOT(ISNUMBER($E232)),"Missing: due date",IF($F232="","Missing: status",IF(COUNTIF(Config!$J$15:$J$34,$F232)=0,"Unsupported status",IF(AND($G232&lt;&gt;"",COUNTIF(Config!$R$15:$R$34,$G232)=0),"Unsupported priority","OK")))))))))</f>
        <v/>
      </c>
    </row>
    <row r="233">
      <c r="A233" s="46" t="n"/>
      <c r="B233" s="46" t="n"/>
      <c r="C233" s="46" t="n"/>
      <c r="D233" s="46" t="n"/>
      <c r="E233" s="54" t="n"/>
      <c r="F233" s="46" t="n"/>
      <c r="G233" s="46" t="n"/>
      <c r="H233" s="46" t="n"/>
      <c r="I233" s="52" t="str">
        <f>IF($A233="","",IF(IFERROR(INDEX(Config!$K$15:$K$34,MATCH($F233,Config!$J$15:$J$34,0)),"Yes")="Yes",1,0))</f>
        <v/>
      </c>
      <c r="J233" s="52" t="str">
        <f>IF($A233="","",IF(AND($I233=1,ISNUMBER($E233)),IF($E233&lt;Config!$B$4,1,0),0))</f>
        <v/>
      </c>
      <c r="K233" s="52" t="str">
        <f>IF($A233="","",IF($J233=1,Config!$B$4-$E233,0))</f>
        <v/>
      </c>
      <c r="L233" s="52" t="str">
        <f>IF($I233=1,IFERROR(COUNTIFS($I$2:$I$301,1,$E$2:$E$301,"&lt;"&amp;$E233)+COUNTIFS($I$2:$I233,1,$E$2:$E233,$E233),""),"")</f>
        <v/>
      </c>
      <c r="M233" s="49" t="str">
        <f>IF(COUNTA($A233:$H233)=0,"",IF($A233="","Missing: task ID",IF(COUNTIF($A$2:$A$301,$A233)&gt;1,"Duplicate task ID",IF($B233="","Missing: task",IF($D233="","Missing: owner",IF(NOT(ISNUMBER($E233)),"Missing: due date",IF($F233="","Missing: status",IF(COUNTIF(Config!$J$15:$J$34,$F233)=0,"Unsupported status",IF(AND($G233&lt;&gt;"",COUNTIF(Config!$R$15:$R$34,$G233)=0),"Unsupported priority","OK")))))))))</f>
        <v/>
      </c>
    </row>
    <row r="234">
      <c r="A234" s="46" t="n"/>
      <c r="B234" s="46" t="n"/>
      <c r="C234" s="46" t="n"/>
      <c r="D234" s="46" t="n"/>
      <c r="E234" s="54" t="n"/>
      <c r="F234" s="46" t="n"/>
      <c r="G234" s="46" t="n"/>
      <c r="H234" s="46" t="n"/>
      <c r="I234" s="52" t="str">
        <f>IF($A234="","",IF(IFERROR(INDEX(Config!$K$15:$K$34,MATCH($F234,Config!$J$15:$J$34,0)),"Yes")="Yes",1,0))</f>
        <v/>
      </c>
      <c r="J234" s="52" t="str">
        <f>IF($A234="","",IF(AND($I234=1,ISNUMBER($E234)),IF($E234&lt;Config!$B$4,1,0),0))</f>
        <v/>
      </c>
      <c r="K234" s="52" t="str">
        <f>IF($A234="","",IF($J234=1,Config!$B$4-$E234,0))</f>
        <v/>
      </c>
      <c r="L234" s="52" t="str">
        <f>IF($I234=1,IFERROR(COUNTIFS($I$2:$I$301,1,$E$2:$E$301,"&lt;"&amp;$E234)+COUNTIFS($I$2:$I234,1,$E$2:$E234,$E234),""),"")</f>
        <v/>
      </c>
      <c r="M234" s="49" t="str">
        <f>IF(COUNTA($A234:$H234)=0,"",IF($A234="","Missing: task ID",IF(COUNTIF($A$2:$A$301,$A234)&gt;1,"Duplicate task ID",IF($B234="","Missing: task",IF($D234="","Missing: owner",IF(NOT(ISNUMBER($E234)),"Missing: due date",IF($F234="","Missing: status",IF(COUNTIF(Config!$J$15:$J$34,$F234)=0,"Unsupported status",IF(AND($G234&lt;&gt;"",COUNTIF(Config!$R$15:$R$34,$G234)=0),"Unsupported priority","OK")))))))))</f>
        <v/>
      </c>
    </row>
    <row r="235">
      <c r="A235" s="46" t="n"/>
      <c r="B235" s="46" t="n"/>
      <c r="C235" s="46" t="n"/>
      <c r="D235" s="46" t="n"/>
      <c r="E235" s="54" t="n"/>
      <c r="F235" s="46" t="n"/>
      <c r="G235" s="46" t="n"/>
      <c r="H235" s="46" t="n"/>
      <c r="I235" s="52" t="str">
        <f>IF($A235="","",IF(IFERROR(INDEX(Config!$K$15:$K$34,MATCH($F235,Config!$J$15:$J$34,0)),"Yes")="Yes",1,0))</f>
        <v/>
      </c>
      <c r="J235" s="52" t="str">
        <f>IF($A235="","",IF(AND($I235=1,ISNUMBER($E235)),IF($E235&lt;Config!$B$4,1,0),0))</f>
        <v/>
      </c>
      <c r="K235" s="52" t="str">
        <f>IF($A235="","",IF($J235=1,Config!$B$4-$E235,0))</f>
        <v/>
      </c>
      <c r="L235" s="52" t="str">
        <f>IF($I235=1,IFERROR(COUNTIFS($I$2:$I$301,1,$E$2:$E$301,"&lt;"&amp;$E235)+COUNTIFS($I$2:$I235,1,$E$2:$E235,$E235),""),"")</f>
        <v/>
      </c>
      <c r="M235" s="49" t="str">
        <f>IF(COUNTA($A235:$H235)=0,"",IF($A235="","Missing: task ID",IF(COUNTIF($A$2:$A$301,$A235)&gt;1,"Duplicate task ID",IF($B235="","Missing: task",IF($D235="","Missing: owner",IF(NOT(ISNUMBER($E235)),"Missing: due date",IF($F235="","Missing: status",IF(COUNTIF(Config!$J$15:$J$34,$F235)=0,"Unsupported status",IF(AND($G235&lt;&gt;"",COUNTIF(Config!$R$15:$R$34,$G235)=0),"Unsupported priority","OK")))))))))</f>
        <v/>
      </c>
    </row>
    <row r="236">
      <c r="A236" s="46" t="n"/>
      <c r="B236" s="46" t="n"/>
      <c r="C236" s="46" t="n"/>
      <c r="D236" s="46" t="n"/>
      <c r="E236" s="54" t="n"/>
      <c r="F236" s="46" t="n"/>
      <c r="G236" s="46" t="n"/>
      <c r="H236" s="46" t="n"/>
      <c r="I236" s="52" t="str">
        <f>IF($A236="","",IF(IFERROR(INDEX(Config!$K$15:$K$34,MATCH($F236,Config!$J$15:$J$34,0)),"Yes")="Yes",1,0))</f>
        <v/>
      </c>
      <c r="J236" s="52" t="str">
        <f>IF($A236="","",IF(AND($I236=1,ISNUMBER($E236)),IF($E236&lt;Config!$B$4,1,0),0))</f>
        <v/>
      </c>
      <c r="K236" s="52" t="str">
        <f>IF($A236="","",IF($J236=1,Config!$B$4-$E236,0))</f>
        <v/>
      </c>
      <c r="L236" s="52" t="str">
        <f>IF($I236=1,IFERROR(COUNTIFS($I$2:$I$301,1,$E$2:$E$301,"&lt;"&amp;$E236)+COUNTIFS($I$2:$I236,1,$E$2:$E236,$E236),""),"")</f>
        <v/>
      </c>
      <c r="M236" s="49" t="str">
        <f>IF(COUNTA($A236:$H236)=0,"",IF($A236="","Missing: task ID",IF(COUNTIF($A$2:$A$301,$A236)&gt;1,"Duplicate task ID",IF($B236="","Missing: task",IF($D236="","Missing: owner",IF(NOT(ISNUMBER($E236)),"Missing: due date",IF($F236="","Missing: status",IF(COUNTIF(Config!$J$15:$J$34,$F236)=0,"Unsupported status",IF(AND($G236&lt;&gt;"",COUNTIF(Config!$R$15:$R$34,$G236)=0),"Unsupported priority","OK")))))))))</f>
        <v/>
      </c>
    </row>
    <row r="237">
      <c r="A237" s="46" t="n"/>
      <c r="B237" s="46" t="n"/>
      <c r="C237" s="46" t="n"/>
      <c r="D237" s="46" t="n"/>
      <c r="E237" s="54" t="n"/>
      <c r="F237" s="46" t="n"/>
      <c r="G237" s="46" t="n"/>
      <c r="H237" s="46" t="n"/>
      <c r="I237" s="52" t="str">
        <f>IF($A237="","",IF(IFERROR(INDEX(Config!$K$15:$K$34,MATCH($F237,Config!$J$15:$J$34,0)),"Yes")="Yes",1,0))</f>
        <v/>
      </c>
      <c r="J237" s="52" t="str">
        <f>IF($A237="","",IF(AND($I237=1,ISNUMBER($E237)),IF($E237&lt;Config!$B$4,1,0),0))</f>
        <v/>
      </c>
      <c r="K237" s="52" t="str">
        <f>IF($A237="","",IF($J237=1,Config!$B$4-$E237,0))</f>
        <v/>
      </c>
      <c r="L237" s="52" t="str">
        <f>IF($I237=1,IFERROR(COUNTIFS($I$2:$I$301,1,$E$2:$E$301,"&lt;"&amp;$E237)+COUNTIFS($I$2:$I237,1,$E$2:$E237,$E237),""),"")</f>
        <v/>
      </c>
      <c r="M237" s="49" t="str">
        <f>IF(COUNTA($A237:$H237)=0,"",IF($A237="","Missing: task ID",IF(COUNTIF($A$2:$A$301,$A237)&gt;1,"Duplicate task ID",IF($B237="","Missing: task",IF($D237="","Missing: owner",IF(NOT(ISNUMBER($E237)),"Missing: due date",IF($F237="","Missing: status",IF(COUNTIF(Config!$J$15:$J$34,$F237)=0,"Unsupported status",IF(AND($G237&lt;&gt;"",COUNTIF(Config!$R$15:$R$34,$G237)=0),"Unsupported priority","OK")))))))))</f>
        <v/>
      </c>
    </row>
    <row r="238">
      <c r="A238" s="46" t="n"/>
      <c r="B238" s="46" t="n"/>
      <c r="C238" s="46" t="n"/>
      <c r="D238" s="46" t="n"/>
      <c r="E238" s="54" t="n"/>
      <c r="F238" s="46" t="n"/>
      <c r="G238" s="46" t="n"/>
      <c r="H238" s="46" t="n"/>
      <c r="I238" s="52" t="str">
        <f>IF($A238="","",IF(IFERROR(INDEX(Config!$K$15:$K$34,MATCH($F238,Config!$J$15:$J$34,0)),"Yes")="Yes",1,0))</f>
        <v/>
      </c>
      <c r="J238" s="52" t="str">
        <f>IF($A238="","",IF(AND($I238=1,ISNUMBER($E238)),IF($E238&lt;Config!$B$4,1,0),0))</f>
        <v/>
      </c>
      <c r="K238" s="52" t="str">
        <f>IF($A238="","",IF($J238=1,Config!$B$4-$E238,0))</f>
        <v/>
      </c>
      <c r="L238" s="52" t="str">
        <f>IF($I238=1,IFERROR(COUNTIFS($I$2:$I$301,1,$E$2:$E$301,"&lt;"&amp;$E238)+COUNTIFS($I$2:$I238,1,$E$2:$E238,$E238),""),"")</f>
        <v/>
      </c>
      <c r="M238" s="49" t="str">
        <f>IF(COUNTA($A238:$H238)=0,"",IF($A238="","Missing: task ID",IF(COUNTIF($A$2:$A$301,$A238)&gt;1,"Duplicate task ID",IF($B238="","Missing: task",IF($D238="","Missing: owner",IF(NOT(ISNUMBER($E238)),"Missing: due date",IF($F238="","Missing: status",IF(COUNTIF(Config!$J$15:$J$34,$F238)=0,"Unsupported status",IF(AND($G238&lt;&gt;"",COUNTIF(Config!$R$15:$R$34,$G238)=0),"Unsupported priority","OK")))))))))</f>
        <v/>
      </c>
    </row>
    <row r="239">
      <c r="A239" s="46" t="n"/>
      <c r="B239" s="46" t="n"/>
      <c r="C239" s="46" t="n"/>
      <c r="D239" s="46" t="n"/>
      <c r="E239" s="54" t="n"/>
      <c r="F239" s="46" t="n"/>
      <c r="G239" s="46" t="n"/>
      <c r="H239" s="46" t="n"/>
      <c r="I239" s="52" t="str">
        <f>IF($A239="","",IF(IFERROR(INDEX(Config!$K$15:$K$34,MATCH($F239,Config!$J$15:$J$34,0)),"Yes")="Yes",1,0))</f>
        <v/>
      </c>
      <c r="J239" s="52" t="str">
        <f>IF($A239="","",IF(AND($I239=1,ISNUMBER($E239)),IF($E239&lt;Config!$B$4,1,0),0))</f>
        <v/>
      </c>
      <c r="K239" s="52" t="str">
        <f>IF($A239="","",IF($J239=1,Config!$B$4-$E239,0))</f>
        <v/>
      </c>
      <c r="L239" s="52" t="str">
        <f>IF($I239=1,IFERROR(COUNTIFS($I$2:$I$301,1,$E$2:$E$301,"&lt;"&amp;$E239)+COUNTIFS($I$2:$I239,1,$E$2:$E239,$E239),""),"")</f>
        <v/>
      </c>
      <c r="M239" s="49" t="str">
        <f>IF(COUNTA($A239:$H239)=0,"",IF($A239="","Missing: task ID",IF(COUNTIF($A$2:$A$301,$A239)&gt;1,"Duplicate task ID",IF($B239="","Missing: task",IF($D239="","Missing: owner",IF(NOT(ISNUMBER($E239)),"Missing: due date",IF($F239="","Missing: status",IF(COUNTIF(Config!$J$15:$J$34,$F239)=0,"Unsupported status",IF(AND($G239&lt;&gt;"",COUNTIF(Config!$R$15:$R$34,$G239)=0),"Unsupported priority","OK")))))))))</f>
        <v/>
      </c>
    </row>
    <row r="240">
      <c r="A240" s="46" t="n"/>
      <c r="B240" s="46" t="n"/>
      <c r="C240" s="46" t="n"/>
      <c r="D240" s="46" t="n"/>
      <c r="E240" s="54" t="n"/>
      <c r="F240" s="46" t="n"/>
      <c r="G240" s="46" t="n"/>
      <c r="H240" s="46" t="n"/>
      <c r="I240" s="52" t="str">
        <f>IF($A240="","",IF(IFERROR(INDEX(Config!$K$15:$K$34,MATCH($F240,Config!$J$15:$J$34,0)),"Yes")="Yes",1,0))</f>
        <v/>
      </c>
      <c r="J240" s="52" t="str">
        <f>IF($A240="","",IF(AND($I240=1,ISNUMBER($E240)),IF($E240&lt;Config!$B$4,1,0),0))</f>
        <v/>
      </c>
      <c r="K240" s="52" t="str">
        <f>IF($A240="","",IF($J240=1,Config!$B$4-$E240,0))</f>
        <v/>
      </c>
      <c r="L240" s="52" t="str">
        <f>IF($I240=1,IFERROR(COUNTIFS($I$2:$I$301,1,$E$2:$E$301,"&lt;"&amp;$E240)+COUNTIFS($I$2:$I240,1,$E$2:$E240,$E240),""),"")</f>
        <v/>
      </c>
      <c r="M240" s="49" t="str">
        <f>IF(COUNTA($A240:$H240)=0,"",IF($A240="","Missing: task ID",IF(COUNTIF($A$2:$A$301,$A240)&gt;1,"Duplicate task ID",IF($B240="","Missing: task",IF($D240="","Missing: owner",IF(NOT(ISNUMBER($E240)),"Missing: due date",IF($F240="","Missing: status",IF(COUNTIF(Config!$J$15:$J$34,$F240)=0,"Unsupported status",IF(AND($G240&lt;&gt;"",COUNTIF(Config!$R$15:$R$34,$G240)=0),"Unsupported priority","OK")))))))))</f>
        <v/>
      </c>
    </row>
    <row r="241">
      <c r="A241" s="46" t="n"/>
      <c r="B241" s="46" t="n"/>
      <c r="C241" s="46" t="n"/>
      <c r="D241" s="46" t="n"/>
      <c r="E241" s="54" t="n"/>
      <c r="F241" s="46" t="n"/>
      <c r="G241" s="46" t="n"/>
      <c r="H241" s="46" t="n"/>
      <c r="I241" s="52" t="str">
        <f>IF($A241="","",IF(IFERROR(INDEX(Config!$K$15:$K$34,MATCH($F241,Config!$J$15:$J$34,0)),"Yes")="Yes",1,0))</f>
        <v/>
      </c>
      <c r="J241" s="52" t="str">
        <f>IF($A241="","",IF(AND($I241=1,ISNUMBER($E241)),IF($E241&lt;Config!$B$4,1,0),0))</f>
        <v/>
      </c>
      <c r="K241" s="52" t="str">
        <f>IF($A241="","",IF($J241=1,Config!$B$4-$E241,0))</f>
        <v/>
      </c>
      <c r="L241" s="52" t="str">
        <f>IF($I241=1,IFERROR(COUNTIFS($I$2:$I$301,1,$E$2:$E$301,"&lt;"&amp;$E241)+COUNTIFS($I$2:$I241,1,$E$2:$E241,$E241),""),"")</f>
        <v/>
      </c>
      <c r="M241" s="49" t="str">
        <f>IF(COUNTA($A241:$H241)=0,"",IF($A241="","Missing: task ID",IF(COUNTIF($A$2:$A$301,$A241)&gt;1,"Duplicate task ID",IF($B241="","Missing: task",IF($D241="","Missing: owner",IF(NOT(ISNUMBER($E241)),"Missing: due date",IF($F241="","Missing: status",IF(COUNTIF(Config!$J$15:$J$34,$F241)=0,"Unsupported status",IF(AND($G241&lt;&gt;"",COUNTIF(Config!$R$15:$R$34,$G241)=0),"Unsupported priority","OK")))))))))</f>
        <v/>
      </c>
    </row>
    <row r="242">
      <c r="A242" s="46" t="n"/>
      <c r="B242" s="46" t="n"/>
      <c r="C242" s="46" t="n"/>
      <c r="D242" s="46" t="n"/>
      <c r="E242" s="54" t="n"/>
      <c r="F242" s="46" t="n"/>
      <c r="G242" s="46" t="n"/>
      <c r="H242" s="46" t="n"/>
      <c r="I242" s="52" t="str">
        <f>IF($A242="","",IF(IFERROR(INDEX(Config!$K$15:$K$34,MATCH($F242,Config!$J$15:$J$34,0)),"Yes")="Yes",1,0))</f>
        <v/>
      </c>
      <c r="J242" s="52" t="str">
        <f>IF($A242="","",IF(AND($I242=1,ISNUMBER($E242)),IF($E242&lt;Config!$B$4,1,0),0))</f>
        <v/>
      </c>
      <c r="K242" s="52" t="str">
        <f>IF($A242="","",IF($J242=1,Config!$B$4-$E242,0))</f>
        <v/>
      </c>
      <c r="L242" s="52" t="str">
        <f>IF($I242=1,IFERROR(COUNTIFS($I$2:$I$301,1,$E$2:$E$301,"&lt;"&amp;$E242)+COUNTIFS($I$2:$I242,1,$E$2:$E242,$E242),""),"")</f>
        <v/>
      </c>
      <c r="M242" s="49" t="str">
        <f>IF(COUNTA($A242:$H242)=0,"",IF($A242="","Missing: task ID",IF(COUNTIF($A$2:$A$301,$A242)&gt;1,"Duplicate task ID",IF($B242="","Missing: task",IF($D242="","Missing: owner",IF(NOT(ISNUMBER($E242)),"Missing: due date",IF($F242="","Missing: status",IF(COUNTIF(Config!$J$15:$J$34,$F242)=0,"Unsupported status",IF(AND($G242&lt;&gt;"",COUNTIF(Config!$R$15:$R$34,$G242)=0),"Unsupported priority","OK")))))))))</f>
        <v/>
      </c>
    </row>
    <row r="243">
      <c r="A243" s="46" t="n"/>
      <c r="B243" s="46" t="n"/>
      <c r="C243" s="46" t="n"/>
      <c r="D243" s="46" t="n"/>
      <c r="E243" s="54" t="n"/>
      <c r="F243" s="46" t="n"/>
      <c r="G243" s="46" t="n"/>
      <c r="H243" s="46" t="n"/>
      <c r="I243" s="52" t="str">
        <f>IF($A243="","",IF(IFERROR(INDEX(Config!$K$15:$K$34,MATCH($F243,Config!$J$15:$J$34,0)),"Yes")="Yes",1,0))</f>
        <v/>
      </c>
      <c r="J243" s="52" t="str">
        <f>IF($A243="","",IF(AND($I243=1,ISNUMBER($E243)),IF($E243&lt;Config!$B$4,1,0),0))</f>
        <v/>
      </c>
      <c r="K243" s="52" t="str">
        <f>IF($A243="","",IF($J243=1,Config!$B$4-$E243,0))</f>
        <v/>
      </c>
      <c r="L243" s="52" t="str">
        <f>IF($I243=1,IFERROR(COUNTIFS($I$2:$I$301,1,$E$2:$E$301,"&lt;"&amp;$E243)+COUNTIFS($I$2:$I243,1,$E$2:$E243,$E243),""),"")</f>
        <v/>
      </c>
      <c r="M243" s="49" t="str">
        <f>IF(COUNTA($A243:$H243)=0,"",IF($A243="","Missing: task ID",IF(COUNTIF($A$2:$A$301,$A243)&gt;1,"Duplicate task ID",IF($B243="","Missing: task",IF($D243="","Missing: owner",IF(NOT(ISNUMBER($E243)),"Missing: due date",IF($F243="","Missing: status",IF(COUNTIF(Config!$J$15:$J$34,$F243)=0,"Unsupported status",IF(AND($G243&lt;&gt;"",COUNTIF(Config!$R$15:$R$34,$G243)=0),"Unsupported priority","OK")))))))))</f>
        <v/>
      </c>
    </row>
    <row r="244">
      <c r="A244" s="46" t="n"/>
      <c r="B244" s="46" t="n"/>
      <c r="C244" s="46" t="n"/>
      <c r="D244" s="46" t="n"/>
      <c r="E244" s="54" t="n"/>
      <c r="F244" s="46" t="n"/>
      <c r="G244" s="46" t="n"/>
      <c r="H244" s="46" t="n"/>
      <c r="I244" s="52" t="str">
        <f>IF($A244="","",IF(IFERROR(INDEX(Config!$K$15:$K$34,MATCH($F244,Config!$J$15:$J$34,0)),"Yes")="Yes",1,0))</f>
        <v/>
      </c>
      <c r="J244" s="52" t="str">
        <f>IF($A244="","",IF(AND($I244=1,ISNUMBER($E244)),IF($E244&lt;Config!$B$4,1,0),0))</f>
        <v/>
      </c>
      <c r="K244" s="52" t="str">
        <f>IF($A244="","",IF($J244=1,Config!$B$4-$E244,0))</f>
        <v/>
      </c>
      <c r="L244" s="52" t="str">
        <f>IF($I244=1,IFERROR(COUNTIFS($I$2:$I$301,1,$E$2:$E$301,"&lt;"&amp;$E244)+COUNTIFS($I$2:$I244,1,$E$2:$E244,$E244),""),"")</f>
        <v/>
      </c>
      <c r="M244" s="49" t="str">
        <f>IF(COUNTA($A244:$H244)=0,"",IF($A244="","Missing: task ID",IF(COUNTIF($A$2:$A$301,$A244)&gt;1,"Duplicate task ID",IF($B244="","Missing: task",IF($D244="","Missing: owner",IF(NOT(ISNUMBER($E244)),"Missing: due date",IF($F244="","Missing: status",IF(COUNTIF(Config!$J$15:$J$34,$F244)=0,"Unsupported status",IF(AND($G244&lt;&gt;"",COUNTIF(Config!$R$15:$R$34,$G244)=0),"Unsupported priority","OK")))))))))</f>
        <v/>
      </c>
    </row>
    <row r="245">
      <c r="A245" s="46" t="n"/>
      <c r="B245" s="46" t="n"/>
      <c r="C245" s="46" t="n"/>
      <c r="D245" s="46" t="n"/>
      <c r="E245" s="54" t="n"/>
      <c r="F245" s="46" t="n"/>
      <c r="G245" s="46" t="n"/>
      <c r="H245" s="46" t="n"/>
      <c r="I245" s="52" t="str">
        <f>IF($A245="","",IF(IFERROR(INDEX(Config!$K$15:$K$34,MATCH($F245,Config!$J$15:$J$34,0)),"Yes")="Yes",1,0))</f>
        <v/>
      </c>
      <c r="J245" s="52" t="str">
        <f>IF($A245="","",IF(AND($I245=1,ISNUMBER($E245)),IF($E245&lt;Config!$B$4,1,0),0))</f>
        <v/>
      </c>
      <c r="K245" s="52" t="str">
        <f>IF($A245="","",IF($J245=1,Config!$B$4-$E245,0))</f>
        <v/>
      </c>
      <c r="L245" s="52" t="str">
        <f>IF($I245=1,IFERROR(COUNTIFS($I$2:$I$301,1,$E$2:$E$301,"&lt;"&amp;$E245)+COUNTIFS($I$2:$I245,1,$E$2:$E245,$E245),""),"")</f>
        <v/>
      </c>
      <c r="M245" s="49" t="str">
        <f>IF(COUNTA($A245:$H245)=0,"",IF($A245="","Missing: task ID",IF(COUNTIF($A$2:$A$301,$A245)&gt;1,"Duplicate task ID",IF($B245="","Missing: task",IF($D245="","Missing: owner",IF(NOT(ISNUMBER($E245)),"Missing: due date",IF($F245="","Missing: status",IF(COUNTIF(Config!$J$15:$J$34,$F245)=0,"Unsupported status",IF(AND($G245&lt;&gt;"",COUNTIF(Config!$R$15:$R$34,$G245)=0),"Unsupported priority","OK")))))))))</f>
        <v/>
      </c>
    </row>
    <row r="246">
      <c r="A246" s="46" t="n"/>
      <c r="B246" s="46" t="n"/>
      <c r="C246" s="46" t="n"/>
      <c r="D246" s="46" t="n"/>
      <c r="E246" s="54" t="n"/>
      <c r="F246" s="46" t="n"/>
      <c r="G246" s="46" t="n"/>
      <c r="H246" s="46" t="n"/>
      <c r="I246" s="52" t="str">
        <f>IF($A246="","",IF(IFERROR(INDEX(Config!$K$15:$K$34,MATCH($F246,Config!$J$15:$J$34,0)),"Yes")="Yes",1,0))</f>
        <v/>
      </c>
      <c r="J246" s="52" t="str">
        <f>IF($A246="","",IF(AND($I246=1,ISNUMBER($E246)),IF($E246&lt;Config!$B$4,1,0),0))</f>
        <v/>
      </c>
      <c r="K246" s="52" t="str">
        <f>IF($A246="","",IF($J246=1,Config!$B$4-$E246,0))</f>
        <v/>
      </c>
      <c r="L246" s="52" t="str">
        <f>IF($I246=1,IFERROR(COUNTIFS($I$2:$I$301,1,$E$2:$E$301,"&lt;"&amp;$E246)+COUNTIFS($I$2:$I246,1,$E$2:$E246,$E246),""),"")</f>
        <v/>
      </c>
      <c r="M246" s="49" t="str">
        <f>IF(COUNTA($A246:$H246)=0,"",IF($A246="","Missing: task ID",IF(COUNTIF($A$2:$A$301,$A246)&gt;1,"Duplicate task ID",IF($B246="","Missing: task",IF($D246="","Missing: owner",IF(NOT(ISNUMBER($E246)),"Missing: due date",IF($F246="","Missing: status",IF(COUNTIF(Config!$J$15:$J$34,$F246)=0,"Unsupported status",IF(AND($G246&lt;&gt;"",COUNTIF(Config!$R$15:$R$34,$G246)=0),"Unsupported priority","OK")))))))))</f>
        <v/>
      </c>
    </row>
    <row r="247">
      <c r="A247" s="46" t="n"/>
      <c r="B247" s="46" t="n"/>
      <c r="C247" s="46" t="n"/>
      <c r="D247" s="46" t="n"/>
      <c r="E247" s="54" t="n"/>
      <c r="F247" s="46" t="n"/>
      <c r="G247" s="46" t="n"/>
      <c r="H247" s="46" t="n"/>
      <c r="I247" s="52" t="str">
        <f>IF($A247="","",IF(IFERROR(INDEX(Config!$K$15:$K$34,MATCH($F247,Config!$J$15:$J$34,0)),"Yes")="Yes",1,0))</f>
        <v/>
      </c>
      <c r="J247" s="52" t="str">
        <f>IF($A247="","",IF(AND($I247=1,ISNUMBER($E247)),IF($E247&lt;Config!$B$4,1,0),0))</f>
        <v/>
      </c>
      <c r="K247" s="52" t="str">
        <f>IF($A247="","",IF($J247=1,Config!$B$4-$E247,0))</f>
        <v/>
      </c>
      <c r="L247" s="52" t="str">
        <f>IF($I247=1,IFERROR(COUNTIFS($I$2:$I$301,1,$E$2:$E$301,"&lt;"&amp;$E247)+COUNTIFS($I$2:$I247,1,$E$2:$E247,$E247),""),"")</f>
        <v/>
      </c>
      <c r="M247" s="49" t="str">
        <f>IF(COUNTA($A247:$H247)=0,"",IF($A247="","Missing: task ID",IF(COUNTIF($A$2:$A$301,$A247)&gt;1,"Duplicate task ID",IF($B247="","Missing: task",IF($D247="","Missing: owner",IF(NOT(ISNUMBER($E247)),"Missing: due date",IF($F247="","Missing: status",IF(COUNTIF(Config!$J$15:$J$34,$F247)=0,"Unsupported status",IF(AND($G247&lt;&gt;"",COUNTIF(Config!$R$15:$R$34,$G247)=0),"Unsupported priority","OK")))))))))</f>
        <v/>
      </c>
    </row>
    <row r="248">
      <c r="A248" s="46" t="n"/>
      <c r="B248" s="46" t="n"/>
      <c r="C248" s="46" t="n"/>
      <c r="D248" s="46" t="n"/>
      <c r="E248" s="54" t="n"/>
      <c r="F248" s="46" t="n"/>
      <c r="G248" s="46" t="n"/>
      <c r="H248" s="46" t="n"/>
      <c r="I248" s="52" t="str">
        <f>IF($A248="","",IF(IFERROR(INDEX(Config!$K$15:$K$34,MATCH($F248,Config!$J$15:$J$34,0)),"Yes")="Yes",1,0))</f>
        <v/>
      </c>
      <c r="J248" s="52" t="str">
        <f>IF($A248="","",IF(AND($I248=1,ISNUMBER($E248)),IF($E248&lt;Config!$B$4,1,0),0))</f>
        <v/>
      </c>
      <c r="K248" s="52" t="str">
        <f>IF($A248="","",IF($J248=1,Config!$B$4-$E248,0))</f>
        <v/>
      </c>
      <c r="L248" s="52" t="str">
        <f>IF($I248=1,IFERROR(COUNTIFS($I$2:$I$301,1,$E$2:$E$301,"&lt;"&amp;$E248)+COUNTIFS($I$2:$I248,1,$E$2:$E248,$E248),""),"")</f>
        <v/>
      </c>
      <c r="M248" s="49" t="str">
        <f>IF(COUNTA($A248:$H248)=0,"",IF($A248="","Missing: task ID",IF(COUNTIF($A$2:$A$301,$A248)&gt;1,"Duplicate task ID",IF($B248="","Missing: task",IF($D248="","Missing: owner",IF(NOT(ISNUMBER($E248)),"Missing: due date",IF($F248="","Missing: status",IF(COUNTIF(Config!$J$15:$J$34,$F248)=0,"Unsupported status",IF(AND($G248&lt;&gt;"",COUNTIF(Config!$R$15:$R$34,$G248)=0),"Unsupported priority","OK")))))))))</f>
        <v/>
      </c>
    </row>
    <row r="249">
      <c r="A249" s="46" t="n"/>
      <c r="B249" s="46" t="n"/>
      <c r="C249" s="46" t="n"/>
      <c r="D249" s="46" t="n"/>
      <c r="E249" s="54" t="n"/>
      <c r="F249" s="46" t="n"/>
      <c r="G249" s="46" t="n"/>
      <c r="H249" s="46" t="n"/>
      <c r="I249" s="52" t="str">
        <f>IF($A249="","",IF(IFERROR(INDEX(Config!$K$15:$K$34,MATCH($F249,Config!$J$15:$J$34,0)),"Yes")="Yes",1,0))</f>
        <v/>
      </c>
      <c r="J249" s="52" t="str">
        <f>IF($A249="","",IF(AND($I249=1,ISNUMBER($E249)),IF($E249&lt;Config!$B$4,1,0),0))</f>
        <v/>
      </c>
      <c r="K249" s="52" t="str">
        <f>IF($A249="","",IF($J249=1,Config!$B$4-$E249,0))</f>
        <v/>
      </c>
      <c r="L249" s="52" t="str">
        <f>IF($I249=1,IFERROR(COUNTIFS($I$2:$I$301,1,$E$2:$E$301,"&lt;"&amp;$E249)+COUNTIFS($I$2:$I249,1,$E$2:$E249,$E249),""),"")</f>
        <v/>
      </c>
      <c r="M249" s="49" t="str">
        <f>IF(COUNTA($A249:$H249)=0,"",IF($A249="","Missing: task ID",IF(COUNTIF($A$2:$A$301,$A249)&gt;1,"Duplicate task ID",IF($B249="","Missing: task",IF($D249="","Missing: owner",IF(NOT(ISNUMBER($E249)),"Missing: due date",IF($F249="","Missing: status",IF(COUNTIF(Config!$J$15:$J$34,$F249)=0,"Unsupported status",IF(AND($G249&lt;&gt;"",COUNTIF(Config!$R$15:$R$34,$G249)=0),"Unsupported priority","OK")))))))))</f>
        <v/>
      </c>
    </row>
    <row r="250">
      <c r="A250" s="46" t="n"/>
      <c r="B250" s="46" t="n"/>
      <c r="C250" s="46" t="n"/>
      <c r="D250" s="46" t="n"/>
      <c r="E250" s="54" t="n"/>
      <c r="F250" s="46" t="n"/>
      <c r="G250" s="46" t="n"/>
      <c r="H250" s="46" t="n"/>
      <c r="I250" s="52" t="str">
        <f>IF($A250="","",IF(IFERROR(INDEX(Config!$K$15:$K$34,MATCH($F250,Config!$J$15:$J$34,0)),"Yes")="Yes",1,0))</f>
        <v/>
      </c>
      <c r="J250" s="52" t="str">
        <f>IF($A250="","",IF(AND($I250=1,ISNUMBER($E250)),IF($E250&lt;Config!$B$4,1,0),0))</f>
        <v/>
      </c>
      <c r="K250" s="52" t="str">
        <f>IF($A250="","",IF($J250=1,Config!$B$4-$E250,0))</f>
        <v/>
      </c>
      <c r="L250" s="52" t="str">
        <f>IF($I250=1,IFERROR(COUNTIFS($I$2:$I$301,1,$E$2:$E$301,"&lt;"&amp;$E250)+COUNTIFS($I$2:$I250,1,$E$2:$E250,$E250),""),"")</f>
        <v/>
      </c>
      <c r="M250" s="49" t="str">
        <f>IF(COUNTA($A250:$H250)=0,"",IF($A250="","Missing: task ID",IF(COUNTIF($A$2:$A$301,$A250)&gt;1,"Duplicate task ID",IF($B250="","Missing: task",IF($D250="","Missing: owner",IF(NOT(ISNUMBER($E250)),"Missing: due date",IF($F250="","Missing: status",IF(COUNTIF(Config!$J$15:$J$34,$F250)=0,"Unsupported status",IF(AND($G250&lt;&gt;"",COUNTIF(Config!$R$15:$R$34,$G250)=0),"Unsupported priority","OK")))))))))</f>
        <v/>
      </c>
    </row>
    <row r="251">
      <c r="A251" s="46" t="n"/>
      <c r="B251" s="46" t="n"/>
      <c r="C251" s="46" t="n"/>
      <c r="D251" s="46" t="n"/>
      <c r="E251" s="54" t="n"/>
      <c r="F251" s="46" t="n"/>
      <c r="G251" s="46" t="n"/>
      <c r="H251" s="46" t="n"/>
      <c r="I251" s="52" t="str">
        <f>IF($A251="","",IF(IFERROR(INDEX(Config!$K$15:$K$34,MATCH($F251,Config!$J$15:$J$34,0)),"Yes")="Yes",1,0))</f>
        <v/>
      </c>
      <c r="J251" s="52" t="str">
        <f>IF($A251="","",IF(AND($I251=1,ISNUMBER($E251)),IF($E251&lt;Config!$B$4,1,0),0))</f>
        <v/>
      </c>
      <c r="K251" s="52" t="str">
        <f>IF($A251="","",IF($J251=1,Config!$B$4-$E251,0))</f>
        <v/>
      </c>
      <c r="L251" s="52" t="str">
        <f>IF($I251=1,IFERROR(COUNTIFS($I$2:$I$301,1,$E$2:$E$301,"&lt;"&amp;$E251)+COUNTIFS($I$2:$I251,1,$E$2:$E251,$E251),""),"")</f>
        <v/>
      </c>
      <c r="M251" s="49" t="str">
        <f>IF(COUNTA($A251:$H251)=0,"",IF($A251="","Missing: task ID",IF(COUNTIF($A$2:$A$301,$A251)&gt;1,"Duplicate task ID",IF($B251="","Missing: task",IF($D251="","Missing: owner",IF(NOT(ISNUMBER($E251)),"Missing: due date",IF($F251="","Missing: status",IF(COUNTIF(Config!$J$15:$J$34,$F251)=0,"Unsupported status",IF(AND($G251&lt;&gt;"",COUNTIF(Config!$R$15:$R$34,$G251)=0),"Unsupported priority","OK")))))))))</f>
        <v/>
      </c>
    </row>
    <row r="252">
      <c r="A252" s="46" t="n"/>
      <c r="B252" s="46" t="n"/>
      <c r="C252" s="46" t="n"/>
      <c r="D252" s="46" t="n"/>
      <c r="E252" s="54" t="n"/>
      <c r="F252" s="46" t="n"/>
      <c r="G252" s="46" t="n"/>
      <c r="H252" s="46" t="n"/>
      <c r="I252" s="52" t="str">
        <f>IF($A252="","",IF(IFERROR(INDEX(Config!$K$15:$K$34,MATCH($F252,Config!$J$15:$J$34,0)),"Yes")="Yes",1,0))</f>
        <v/>
      </c>
      <c r="J252" s="52" t="str">
        <f>IF($A252="","",IF(AND($I252=1,ISNUMBER($E252)),IF($E252&lt;Config!$B$4,1,0),0))</f>
        <v/>
      </c>
      <c r="K252" s="52" t="str">
        <f>IF($A252="","",IF($J252=1,Config!$B$4-$E252,0))</f>
        <v/>
      </c>
      <c r="L252" s="52" t="str">
        <f>IF($I252=1,IFERROR(COUNTIFS($I$2:$I$301,1,$E$2:$E$301,"&lt;"&amp;$E252)+COUNTIFS($I$2:$I252,1,$E$2:$E252,$E252),""),"")</f>
        <v/>
      </c>
      <c r="M252" s="49" t="str">
        <f>IF(COUNTA($A252:$H252)=0,"",IF($A252="","Missing: task ID",IF(COUNTIF($A$2:$A$301,$A252)&gt;1,"Duplicate task ID",IF($B252="","Missing: task",IF($D252="","Missing: owner",IF(NOT(ISNUMBER($E252)),"Missing: due date",IF($F252="","Missing: status",IF(COUNTIF(Config!$J$15:$J$34,$F252)=0,"Unsupported status",IF(AND($G252&lt;&gt;"",COUNTIF(Config!$R$15:$R$34,$G252)=0),"Unsupported priority","OK")))))))))</f>
        <v/>
      </c>
    </row>
    <row r="253">
      <c r="A253" s="46" t="n"/>
      <c r="B253" s="46" t="n"/>
      <c r="C253" s="46" t="n"/>
      <c r="D253" s="46" t="n"/>
      <c r="E253" s="54" t="n"/>
      <c r="F253" s="46" t="n"/>
      <c r="G253" s="46" t="n"/>
      <c r="H253" s="46" t="n"/>
      <c r="I253" s="52" t="str">
        <f>IF($A253="","",IF(IFERROR(INDEX(Config!$K$15:$K$34,MATCH($F253,Config!$J$15:$J$34,0)),"Yes")="Yes",1,0))</f>
        <v/>
      </c>
      <c r="J253" s="52" t="str">
        <f>IF($A253="","",IF(AND($I253=1,ISNUMBER($E253)),IF($E253&lt;Config!$B$4,1,0),0))</f>
        <v/>
      </c>
      <c r="K253" s="52" t="str">
        <f>IF($A253="","",IF($J253=1,Config!$B$4-$E253,0))</f>
        <v/>
      </c>
      <c r="L253" s="52" t="str">
        <f>IF($I253=1,IFERROR(COUNTIFS($I$2:$I$301,1,$E$2:$E$301,"&lt;"&amp;$E253)+COUNTIFS($I$2:$I253,1,$E$2:$E253,$E253),""),"")</f>
        <v/>
      </c>
      <c r="M253" s="49" t="str">
        <f>IF(COUNTA($A253:$H253)=0,"",IF($A253="","Missing: task ID",IF(COUNTIF($A$2:$A$301,$A253)&gt;1,"Duplicate task ID",IF($B253="","Missing: task",IF($D253="","Missing: owner",IF(NOT(ISNUMBER($E253)),"Missing: due date",IF($F253="","Missing: status",IF(COUNTIF(Config!$J$15:$J$34,$F253)=0,"Unsupported status",IF(AND($G253&lt;&gt;"",COUNTIF(Config!$R$15:$R$34,$G253)=0),"Unsupported priority","OK")))))))))</f>
        <v/>
      </c>
    </row>
    <row r="254">
      <c r="A254" s="46" t="n"/>
      <c r="B254" s="46" t="n"/>
      <c r="C254" s="46" t="n"/>
      <c r="D254" s="46" t="n"/>
      <c r="E254" s="54" t="n"/>
      <c r="F254" s="46" t="n"/>
      <c r="G254" s="46" t="n"/>
      <c r="H254" s="46" t="n"/>
      <c r="I254" s="52" t="str">
        <f>IF($A254="","",IF(IFERROR(INDEX(Config!$K$15:$K$34,MATCH($F254,Config!$J$15:$J$34,0)),"Yes")="Yes",1,0))</f>
        <v/>
      </c>
      <c r="J254" s="52" t="str">
        <f>IF($A254="","",IF(AND($I254=1,ISNUMBER($E254)),IF($E254&lt;Config!$B$4,1,0),0))</f>
        <v/>
      </c>
      <c r="K254" s="52" t="str">
        <f>IF($A254="","",IF($J254=1,Config!$B$4-$E254,0))</f>
        <v/>
      </c>
      <c r="L254" s="52" t="str">
        <f>IF($I254=1,IFERROR(COUNTIFS($I$2:$I$301,1,$E$2:$E$301,"&lt;"&amp;$E254)+COUNTIFS($I$2:$I254,1,$E$2:$E254,$E254),""),"")</f>
        <v/>
      </c>
      <c r="M254" s="49" t="str">
        <f>IF(COUNTA($A254:$H254)=0,"",IF($A254="","Missing: task ID",IF(COUNTIF($A$2:$A$301,$A254)&gt;1,"Duplicate task ID",IF($B254="","Missing: task",IF($D254="","Missing: owner",IF(NOT(ISNUMBER($E254)),"Missing: due date",IF($F254="","Missing: status",IF(COUNTIF(Config!$J$15:$J$34,$F254)=0,"Unsupported status",IF(AND($G254&lt;&gt;"",COUNTIF(Config!$R$15:$R$34,$G254)=0),"Unsupported priority","OK")))))))))</f>
        <v/>
      </c>
    </row>
    <row r="255">
      <c r="A255" s="46" t="n"/>
      <c r="B255" s="46" t="n"/>
      <c r="C255" s="46" t="n"/>
      <c r="D255" s="46" t="n"/>
      <c r="E255" s="54" t="n"/>
      <c r="F255" s="46" t="n"/>
      <c r="G255" s="46" t="n"/>
      <c r="H255" s="46" t="n"/>
      <c r="I255" s="52" t="str">
        <f>IF($A255="","",IF(IFERROR(INDEX(Config!$K$15:$K$34,MATCH($F255,Config!$J$15:$J$34,0)),"Yes")="Yes",1,0))</f>
        <v/>
      </c>
      <c r="J255" s="52" t="str">
        <f>IF($A255="","",IF(AND($I255=1,ISNUMBER($E255)),IF($E255&lt;Config!$B$4,1,0),0))</f>
        <v/>
      </c>
      <c r="K255" s="52" t="str">
        <f>IF($A255="","",IF($J255=1,Config!$B$4-$E255,0))</f>
        <v/>
      </c>
      <c r="L255" s="52" t="str">
        <f>IF($I255=1,IFERROR(COUNTIFS($I$2:$I$301,1,$E$2:$E$301,"&lt;"&amp;$E255)+COUNTIFS($I$2:$I255,1,$E$2:$E255,$E255),""),"")</f>
        <v/>
      </c>
      <c r="M255" s="49" t="str">
        <f>IF(COUNTA($A255:$H255)=0,"",IF($A255="","Missing: task ID",IF(COUNTIF($A$2:$A$301,$A255)&gt;1,"Duplicate task ID",IF($B255="","Missing: task",IF($D255="","Missing: owner",IF(NOT(ISNUMBER($E255)),"Missing: due date",IF($F255="","Missing: status",IF(COUNTIF(Config!$J$15:$J$34,$F255)=0,"Unsupported status",IF(AND($G255&lt;&gt;"",COUNTIF(Config!$R$15:$R$34,$G255)=0),"Unsupported priority","OK")))))))))</f>
        <v/>
      </c>
    </row>
    <row r="256">
      <c r="A256" s="46" t="n"/>
      <c r="B256" s="46" t="n"/>
      <c r="C256" s="46" t="n"/>
      <c r="D256" s="46" t="n"/>
      <c r="E256" s="54" t="n"/>
      <c r="F256" s="46" t="n"/>
      <c r="G256" s="46" t="n"/>
      <c r="H256" s="46" t="n"/>
      <c r="I256" s="52" t="str">
        <f>IF($A256="","",IF(IFERROR(INDEX(Config!$K$15:$K$34,MATCH($F256,Config!$J$15:$J$34,0)),"Yes")="Yes",1,0))</f>
        <v/>
      </c>
      <c r="J256" s="52" t="str">
        <f>IF($A256="","",IF(AND($I256=1,ISNUMBER($E256)),IF($E256&lt;Config!$B$4,1,0),0))</f>
        <v/>
      </c>
      <c r="K256" s="52" t="str">
        <f>IF($A256="","",IF($J256=1,Config!$B$4-$E256,0))</f>
        <v/>
      </c>
      <c r="L256" s="52" t="str">
        <f>IF($I256=1,IFERROR(COUNTIFS($I$2:$I$301,1,$E$2:$E$301,"&lt;"&amp;$E256)+COUNTIFS($I$2:$I256,1,$E$2:$E256,$E256),""),"")</f>
        <v/>
      </c>
      <c r="M256" s="49" t="str">
        <f>IF(COUNTA($A256:$H256)=0,"",IF($A256="","Missing: task ID",IF(COUNTIF($A$2:$A$301,$A256)&gt;1,"Duplicate task ID",IF($B256="","Missing: task",IF($D256="","Missing: owner",IF(NOT(ISNUMBER($E256)),"Missing: due date",IF($F256="","Missing: status",IF(COUNTIF(Config!$J$15:$J$34,$F256)=0,"Unsupported status",IF(AND($G256&lt;&gt;"",COUNTIF(Config!$R$15:$R$34,$G256)=0),"Unsupported priority","OK")))))))))</f>
        <v/>
      </c>
    </row>
    <row r="257">
      <c r="A257" s="46" t="n"/>
      <c r="B257" s="46" t="n"/>
      <c r="C257" s="46" t="n"/>
      <c r="D257" s="46" t="n"/>
      <c r="E257" s="54" t="n"/>
      <c r="F257" s="46" t="n"/>
      <c r="G257" s="46" t="n"/>
      <c r="H257" s="46" t="n"/>
      <c r="I257" s="52" t="str">
        <f>IF($A257="","",IF(IFERROR(INDEX(Config!$K$15:$K$34,MATCH($F257,Config!$J$15:$J$34,0)),"Yes")="Yes",1,0))</f>
        <v/>
      </c>
      <c r="J257" s="52" t="str">
        <f>IF($A257="","",IF(AND($I257=1,ISNUMBER($E257)),IF($E257&lt;Config!$B$4,1,0),0))</f>
        <v/>
      </c>
      <c r="K257" s="52" t="str">
        <f>IF($A257="","",IF($J257=1,Config!$B$4-$E257,0))</f>
        <v/>
      </c>
      <c r="L257" s="52" t="str">
        <f>IF($I257=1,IFERROR(COUNTIFS($I$2:$I$301,1,$E$2:$E$301,"&lt;"&amp;$E257)+COUNTIFS($I$2:$I257,1,$E$2:$E257,$E257),""),"")</f>
        <v/>
      </c>
      <c r="M257" s="49" t="str">
        <f>IF(COUNTA($A257:$H257)=0,"",IF($A257="","Missing: task ID",IF(COUNTIF($A$2:$A$301,$A257)&gt;1,"Duplicate task ID",IF($B257="","Missing: task",IF($D257="","Missing: owner",IF(NOT(ISNUMBER($E257)),"Missing: due date",IF($F257="","Missing: status",IF(COUNTIF(Config!$J$15:$J$34,$F257)=0,"Unsupported status",IF(AND($G257&lt;&gt;"",COUNTIF(Config!$R$15:$R$34,$G257)=0),"Unsupported priority","OK")))))))))</f>
        <v/>
      </c>
    </row>
    <row r="258">
      <c r="A258" s="46" t="n"/>
      <c r="B258" s="46" t="n"/>
      <c r="C258" s="46" t="n"/>
      <c r="D258" s="46" t="n"/>
      <c r="E258" s="54" t="n"/>
      <c r="F258" s="46" t="n"/>
      <c r="G258" s="46" t="n"/>
      <c r="H258" s="46" t="n"/>
      <c r="I258" s="52" t="str">
        <f>IF($A258="","",IF(IFERROR(INDEX(Config!$K$15:$K$34,MATCH($F258,Config!$J$15:$J$34,0)),"Yes")="Yes",1,0))</f>
        <v/>
      </c>
      <c r="J258" s="52" t="str">
        <f>IF($A258="","",IF(AND($I258=1,ISNUMBER($E258)),IF($E258&lt;Config!$B$4,1,0),0))</f>
        <v/>
      </c>
      <c r="K258" s="52" t="str">
        <f>IF($A258="","",IF($J258=1,Config!$B$4-$E258,0))</f>
        <v/>
      </c>
      <c r="L258" s="52" t="str">
        <f>IF($I258=1,IFERROR(COUNTIFS($I$2:$I$301,1,$E$2:$E$301,"&lt;"&amp;$E258)+COUNTIFS($I$2:$I258,1,$E$2:$E258,$E258),""),"")</f>
        <v/>
      </c>
      <c r="M258" s="49" t="str">
        <f>IF(COUNTA($A258:$H258)=0,"",IF($A258="","Missing: task ID",IF(COUNTIF($A$2:$A$301,$A258)&gt;1,"Duplicate task ID",IF($B258="","Missing: task",IF($D258="","Missing: owner",IF(NOT(ISNUMBER($E258)),"Missing: due date",IF($F258="","Missing: status",IF(COUNTIF(Config!$J$15:$J$34,$F258)=0,"Unsupported status",IF(AND($G258&lt;&gt;"",COUNTIF(Config!$R$15:$R$34,$G258)=0),"Unsupported priority","OK")))))))))</f>
        <v/>
      </c>
    </row>
    <row r="259">
      <c r="A259" s="46" t="n"/>
      <c r="B259" s="46" t="n"/>
      <c r="C259" s="46" t="n"/>
      <c r="D259" s="46" t="n"/>
      <c r="E259" s="54" t="n"/>
      <c r="F259" s="46" t="n"/>
      <c r="G259" s="46" t="n"/>
      <c r="H259" s="46" t="n"/>
      <c r="I259" s="52" t="str">
        <f>IF($A259="","",IF(IFERROR(INDEX(Config!$K$15:$K$34,MATCH($F259,Config!$J$15:$J$34,0)),"Yes")="Yes",1,0))</f>
        <v/>
      </c>
      <c r="J259" s="52" t="str">
        <f>IF($A259="","",IF(AND($I259=1,ISNUMBER($E259)),IF($E259&lt;Config!$B$4,1,0),0))</f>
        <v/>
      </c>
      <c r="K259" s="52" t="str">
        <f>IF($A259="","",IF($J259=1,Config!$B$4-$E259,0))</f>
        <v/>
      </c>
      <c r="L259" s="52" t="str">
        <f>IF($I259=1,IFERROR(COUNTIFS($I$2:$I$301,1,$E$2:$E$301,"&lt;"&amp;$E259)+COUNTIFS($I$2:$I259,1,$E$2:$E259,$E259),""),"")</f>
        <v/>
      </c>
      <c r="M259" s="49" t="str">
        <f>IF(COUNTA($A259:$H259)=0,"",IF($A259="","Missing: task ID",IF(COUNTIF($A$2:$A$301,$A259)&gt;1,"Duplicate task ID",IF($B259="","Missing: task",IF($D259="","Missing: owner",IF(NOT(ISNUMBER($E259)),"Missing: due date",IF($F259="","Missing: status",IF(COUNTIF(Config!$J$15:$J$34,$F259)=0,"Unsupported status",IF(AND($G259&lt;&gt;"",COUNTIF(Config!$R$15:$R$34,$G259)=0),"Unsupported priority","OK")))))))))</f>
        <v/>
      </c>
    </row>
    <row r="260">
      <c r="A260" s="46" t="n"/>
      <c r="B260" s="46" t="n"/>
      <c r="C260" s="46" t="n"/>
      <c r="D260" s="46" t="n"/>
      <c r="E260" s="54" t="n"/>
      <c r="F260" s="46" t="n"/>
      <c r="G260" s="46" t="n"/>
      <c r="H260" s="46" t="n"/>
      <c r="I260" s="52" t="str">
        <f>IF($A260="","",IF(IFERROR(INDEX(Config!$K$15:$K$34,MATCH($F260,Config!$J$15:$J$34,0)),"Yes")="Yes",1,0))</f>
        <v/>
      </c>
      <c r="J260" s="52" t="str">
        <f>IF($A260="","",IF(AND($I260=1,ISNUMBER($E260)),IF($E260&lt;Config!$B$4,1,0),0))</f>
        <v/>
      </c>
      <c r="K260" s="52" t="str">
        <f>IF($A260="","",IF($J260=1,Config!$B$4-$E260,0))</f>
        <v/>
      </c>
      <c r="L260" s="52" t="str">
        <f>IF($I260=1,IFERROR(COUNTIFS($I$2:$I$301,1,$E$2:$E$301,"&lt;"&amp;$E260)+COUNTIFS($I$2:$I260,1,$E$2:$E260,$E260),""),"")</f>
        <v/>
      </c>
      <c r="M260" s="49" t="str">
        <f>IF(COUNTA($A260:$H260)=0,"",IF($A260="","Missing: task ID",IF(COUNTIF($A$2:$A$301,$A260)&gt;1,"Duplicate task ID",IF($B260="","Missing: task",IF($D260="","Missing: owner",IF(NOT(ISNUMBER($E260)),"Missing: due date",IF($F260="","Missing: status",IF(COUNTIF(Config!$J$15:$J$34,$F260)=0,"Unsupported status",IF(AND($G260&lt;&gt;"",COUNTIF(Config!$R$15:$R$34,$G260)=0),"Unsupported priority","OK")))))))))</f>
        <v/>
      </c>
    </row>
    <row r="261">
      <c r="A261" s="46" t="n"/>
      <c r="B261" s="46" t="n"/>
      <c r="C261" s="46" t="n"/>
      <c r="D261" s="46" t="n"/>
      <c r="E261" s="54" t="n"/>
      <c r="F261" s="46" t="n"/>
      <c r="G261" s="46" t="n"/>
      <c r="H261" s="46" t="n"/>
      <c r="I261" s="52" t="str">
        <f>IF($A261="","",IF(IFERROR(INDEX(Config!$K$15:$K$34,MATCH($F261,Config!$J$15:$J$34,0)),"Yes")="Yes",1,0))</f>
        <v/>
      </c>
      <c r="J261" s="52" t="str">
        <f>IF($A261="","",IF(AND($I261=1,ISNUMBER($E261)),IF($E261&lt;Config!$B$4,1,0),0))</f>
        <v/>
      </c>
      <c r="K261" s="52" t="str">
        <f>IF($A261="","",IF($J261=1,Config!$B$4-$E261,0))</f>
        <v/>
      </c>
      <c r="L261" s="52" t="str">
        <f>IF($I261=1,IFERROR(COUNTIFS($I$2:$I$301,1,$E$2:$E$301,"&lt;"&amp;$E261)+COUNTIFS($I$2:$I261,1,$E$2:$E261,$E261),""),"")</f>
        <v/>
      </c>
      <c r="M261" s="49" t="str">
        <f>IF(COUNTA($A261:$H261)=0,"",IF($A261="","Missing: task ID",IF(COUNTIF($A$2:$A$301,$A261)&gt;1,"Duplicate task ID",IF($B261="","Missing: task",IF($D261="","Missing: owner",IF(NOT(ISNUMBER($E261)),"Missing: due date",IF($F261="","Missing: status",IF(COUNTIF(Config!$J$15:$J$34,$F261)=0,"Unsupported status",IF(AND($G261&lt;&gt;"",COUNTIF(Config!$R$15:$R$34,$G261)=0),"Unsupported priority","OK")))))))))</f>
        <v/>
      </c>
    </row>
    <row r="262">
      <c r="A262" s="46" t="n"/>
      <c r="B262" s="46" t="n"/>
      <c r="C262" s="46" t="n"/>
      <c r="D262" s="46" t="n"/>
      <c r="E262" s="54" t="n"/>
      <c r="F262" s="46" t="n"/>
      <c r="G262" s="46" t="n"/>
      <c r="H262" s="46" t="n"/>
      <c r="I262" s="52" t="str">
        <f>IF($A262="","",IF(IFERROR(INDEX(Config!$K$15:$K$34,MATCH($F262,Config!$J$15:$J$34,0)),"Yes")="Yes",1,0))</f>
        <v/>
      </c>
      <c r="J262" s="52" t="str">
        <f>IF($A262="","",IF(AND($I262=1,ISNUMBER($E262)),IF($E262&lt;Config!$B$4,1,0),0))</f>
        <v/>
      </c>
      <c r="K262" s="52" t="str">
        <f>IF($A262="","",IF($J262=1,Config!$B$4-$E262,0))</f>
        <v/>
      </c>
      <c r="L262" s="52" t="str">
        <f>IF($I262=1,IFERROR(COUNTIFS($I$2:$I$301,1,$E$2:$E$301,"&lt;"&amp;$E262)+COUNTIFS($I$2:$I262,1,$E$2:$E262,$E262),""),"")</f>
        <v/>
      </c>
      <c r="M262" s="49" t="str">
        <f>IF(COUNTA($A262:$H262)=0,"",IF($A262="","Missing: task ID",IF(COUNTIF($A$2:$A$301,$A262)&gt;1,"Duplicate task ID",IF($B262="","Missing: task",IF($D262="","Missing: owner",IF(NOT(ISNUMBER($E262)),"Missing: due date",IF($F262="","Missing: status",IF(COUNTIF(Config!$J$15:$J$34,$F262)=0,"Unsupported status",IF(AND($G262&lt;&gt;"",COUNTIF(Config!$R$15:$R$34,$G262)=0),"Unsupported priority","OK")))))))))</f>
        <v/>
      </c>
    </row>
    <row r="263">
      <c r="A263" s="46" t="n"/>
      <c r="B263" s="46" t="n"/>
      <c r="C263" s="46" t="n"/>
      <c r="D263" s="46" t="n"/>
      <c r="E263" s="54" t="n"/>
      <c r="F263" s="46" t="n"/>
      <c r="G263" s="46" t="n"/>
      <c r="H263" s="46" t="n"/>
      <c r="I263" s="52" t="str">
        <f>IF($A263="","",IF(IFERROR(INDEX(Config!$K$15:$K$34,MATCH($F263,Config!$J$15:$J$34,0)),"Yes")="Yes",1,0))</f>
        <v/>
      </c>
      <c r="J263" s="52" t="str">
        <f>IF($A263="","",IF(AND($I263=1,ISNUMBER($E263)),IF($E263&lt;Config!$B$4,1,0),0))</f>
        <v/>
      </c>
      <c r="K263" s="52" t="str">
        <f>IF($A263="","",IF($J263=1,Config!$B$4-$E263,0))</f>
        <v/>
      </c>
      <c r="L263" s="52" t="str">
        <f>IF($I263=1,IFERROR(COUNTIFS($I$2:$I$301,1,$E$2:$E$301,"&lt;"&amp;$E263)+COUNTIFS($I$2:$I263,1,$E$2:$E263,$E263),""),"")</f>
        <v/>
      </c>
      <c r="M263" s="49" t="str">
        <f>IF(COUNTA($A263:$H263)=0,"",IF($A263="","Missing: task ID",IF(COUNTIF($A$2:$A$301,$A263)&gt;1,"Duplicate task ID",IF($B263="","Missing: task",IF($D263="","Missing: owner",IF(NOT(ISNUMBER($E263)),"Missing: due date",IF($F263="","Missing: status",IF(COUNTIF(Config!$J$15:$J$34,$F263)=0,"Unsupported status",IF(AND($G263&lt;&gt;"",COUNTIF(Config!$R$15:$R$34,$G263)=0),"Unsupported priority","OK")))))))))</f>
        <v/>
      </c>
    </row>
    <row r="264">
      <c r="A264" s="46" t="n"/>
      <c r="B264" s="46" t="n"/>
      <c r="C264" s="46" t="n"/>
      <c r="D264" s="46" t="n"/>
      <c r="E264" s="54" t="n"/>
      <c r="F264" s="46" t="n"/>
      <c r="G264" s="46" t="n"/>
      <c r="H264" s="46" t="n"/>
      <c r="I264" s="52" t="str">
        <f>IF($A264="","",IF(IFERROR(INDEX(Config!$K$15:$K$34,MATCH($F264,Config!$J$15:$J$34,0)),"Yes")="Yes",1,0))</f>
        <v/>
      </c>
      <c r="J264" s="52" t="str">
        <f>IF($A264="","",IF(AND($I264=1,ISNUMBER($E264)),IF($E264&lt;Config!$B$4,1,0),0))</f>
        <v/>
      </c>
      <c r="K264" s="52" t="str">
        <f>IF($A264="","",IF($J264=1,Config!$B$4-$E264,0))</f>
        <v/>
      </c>
      <c r="L264" s="52" t="str">
        <f>IF($I264=1,IFERROR(COUNTIFS($I$2:$I$301,1,$E$2:$E$301,"&lt;"&amp;$E264)+COUNTIFS($I$2:$I264,1,$E$2:$E264,$E264),""),"")</f>
        <v/>
      </c>
      <c r="M264" s="49" t="str">
        <f>IF(COUNTA($A264:$H264)=0,"",IF($A264="","Missing: task ID",IF(COUNTIF($A$2:$A$301,$A264)&gt;1,"Duplicate task ID",IF($B264="","Missing: task",IF($D264="","Missing: owner",IF(NOT(ISNUMBER($E264)),"Missing: due date",IF($F264="","Missing: status",IF(COUNTIF(Config!$J$15:$J$34,$F264)=0,"Unsupported status",IF(AND($G264&lt;&gt;"",COUNTIF(Config!$R$15:$R$34,$G264)=0),"Unsupported priority","OK")))))))))</f>
        <v/>
      </c>
    </row>
    <row r="265">
      <c r="A265" s="46" t="n"/>
      <c r="B265" s="46" t="n"/>
      <c r="C265" s="46" t="n"/>
      <c r="D265" s="46" t="n"/>
      <c r="E265" s="54" t="n"/>
      <c r="F265" s="46" t="n"/>
      <c r="G265" s="46" t="n"/>
      <c r="H265" s="46" t="n"/>
      <c r="I265" s="52" t="str">
        <f>IF($A265="","",IF(IFERROR(INDEX(Config!$K$15:$K$34,MATCH($F265,Config!$J$15:$J$34,0)),"Yes")="Yes",1,0))</f>
        <v/>
      </c>
      <c r="J265" s="52" t="str">
        <f>IF($A265="","",IF(AND($I265=1,ISNUMBER($E265)),IF($E265&lt;Config!$B$4,1,0),0))</f>
        <v/>
      </c>
      <c r="K265" s="52" t="str">
        <f>IF($A265="","",IF($J265=1,Config!$B$4-$E265,0))</f>
        <v/>
      </c>
      <c r="L265" s="52" t="str">
        <f>IF($I265=1,IFERROR(COUNTIFS($I$2:$I$301,1,$E$2:$E$301,"&lt;"&amp;$E265)+COUNTIFS($I$2:$I265,1,$E$2:$E265,$E265),""),"")</f>
        <v/>
      </c>
      <c r="M265" s="49" t="str">
        <f>IF(COUNTA($A265:$H265)=0,"",IF($A265="","Missing: task ID",IF(COUNTIF($A$2:$A$301,$A265)&gt;1,"Duplicate task ID",IF($B265="","Missing: task",IF($D265="","Missing: owner",IF(NOT(ISNUMBER($E265)),"Missing: due date",IF($F265="","Missing: status",IF(COUNTIF(Config!$J$15:$J$34,$F265)=0,"Unsupported status",IF(AND($G265&lt;&gt;"",COUNTIF(Config!$R$15:$R$34,$G265)=0),"Unsupported priority","OK")))))))))</f>
        <v/>
      </c>
    </row>
    <row r="266">
      <c r="A266" s="46" t="n"/>
      <c r="B266" s="46" t="n"/>
      <c r="C266" s="46" t="n"/>
      <c r="D266" s="46" t="n"/>
      <c r="E266" s="54" t="n"/>
      <c r="F266" s="46" t="n"/>
      <c r="G266" s="46" t="n"/>
      <c r="H266" s="46" t="n"/>
      <c r="I266" s="52" t="str">
        <f>IF($A266="","",IF(IFERROR(INDEX(Config!$K$15:$K$34,MATCH($F266,Config!$J$15:$J$34,0)),"Yes")="Yes",1,0))</f>
        <v/>
      </c>
      <c r="J266" s="52" t="str">
        <f>IF($A266="","",IF(AND($I266=1,ISNUMBER($E266)),IF($E266&lt;Config!$B$4,1,0),0))</f>
        <v/>
      </c>
      <c r="K266" s="52" t="str">
        <f>IF($A266="","",IF($J266=1,Config!$B$4-$E266,0))</f>
        <v/>
      </c>
      <c r="L266" s="52" t="str">
        <f>IF($I266=1,IFERROR(COUNTIFS($I$2:$I$301,1,$E$2:$E$301,"&lt;"&amp;$E266)+COUNTIFS($I$2:$I266,1,$E$2:$E266,$E266),""),"")</f>
        <v/>
      </c>
      <c r="M266" s="49" t="str">
        <f>IF(COUNTA($A266:$H266)=0,"",IF($A266="","Missing: task ID",IF(COUNTIF($A$2:$A$301,$A266)&gt;1,"Duplicate task ID",IF($B266="","Missing: task",IF($D266="","Missing: owner",IF(NOT(ISNUMBER($E266)),"Missing: due date",IF($F266="","Missing: status",IF(COUNTIF(Config!$J$15:$J$34,$F266)=0,"Unsupported status",IF(AND($G266&lt;&gt;"",COUNTIF(Config!$R$15:$R$34,$G266)=0),"Unsupported priority","OK")))))))))</f>
        <v/>
      </c>
    </row>
    <row r="267">
      <c r="A267" s="46" t="n"/>
      <c r="B267" s="46" t="n"/>
      <c r="C267" s="46" t="n"/>
      <c r="D267" s="46" t="n"/>
      <c r="E267" s="54" t="n"/>
      <c r="F267" s="46" t="n"/>
      <c r="G267" s="46" t="n"/>
      <c r="H267" s="46" t="n"/>
      <c r="I267" s="52" t="str">
        <f>IF($A267="","",IF(IFERROR(INDEX(Config!$K$15:$K$34,MATCH($F267,Config!$J$15:$J$34,0)),"Yes")="Yes",1,0))</f>
        <v/>
      </c>
      <c r="J267" s="52" t="str">
        <f>IF($A267="","",IF(AND($I267=1,ISNUMBER($E267)),IF($E267&lt;Config!$B$4,1,0),0))</f>
        <v/>
      </c>
      <c r="K267" s="52" t="str">
        <f>IF($A267="","",IF($J267=1,Config!$B$4-$E267,0))</f>
        <v/>
      </c>
      <c r="L267" s="52" t="str">
        <f>IF($I267=1,IFERROR(COUNTIFS($I$2:$I$301,1,$E$2:$E$301,"&lt;"&amp;$E267)+COUNTIFS($I$2:$I267,1,$E$2:$E267,$E267),""),"")</f>
        <v/>
      </c>
      <c r="M267" s="49" t="str">
        <f>IF(COUNTA($A267:$H267)=0,"",IF($A267="","Missing: task ID",IF(COUNTIF($A$2:$A$301,$A267)&gt;1,"Duplicate task ID",IF($B267="","Missing: task",IF($D267="","Missing: owner",IF(NOT(ISNUMBER($E267)),"Missing: due date",IF($F267="","Missing: status",IF(COUNTIF(Config!$J$15:$J$34,$F267)=0,"Unsupported status",IF(AND($G267&lt;&gt;"",COUNTIF(Config!$R$15:$R$34,$G267)=0),"Unsupported priority","OK")))))))))</f>
        <v/>
      </c>
    </row>
    <row r="268">
      <c r="A268" s="46" t="n"/>
      <c r="B268" s="46" t="n"/>
      <c r="C268" s="46" t="n"/>
      <c r="D268" s="46" t="n"/>
      <c r="E268" s="54" t="n"/>
      <c r="F268" s="46" t="n"/>
      <c r="G268" s="46" t="n"/>
      <c r="H268" s="46" t="n"/>
      <c r="I268" s="52" t="str">
        <f>IF($A268="","",IF(IFERROR(INDEX(Config!$K$15:$K$34,MATCH($F268,Config!$J$15:$J$34,0)),"Yes")="Yes",1,0))</f>
        <v/>
      </c>
      <c r="J268" s="52" t="str">
        <f>IF($A268="","",IF(AND($I268=1,ISNUMBER($E268)),IF($E268&lt;Config!$B$4,1,0),0))</f>
        <v/>
      </c>
      <c r="K268" s="52" t="str">
        <f>IF($A268="","",IF($J268=1,Config!$B$4-$E268,0))</f>
        <v/>
      </c>
      <c r="L268" s="52" t="str">
        <f>IF($I268=1,IFERROR(COUNTIFS($I$2:$I$301,1,$E$2:$E$301,"&lt;"&amp;$E268)+COUNTIFS($I$2:$I268,1,$E$2:$E268,$E268),""),"")</f>
        <v/>
      </c>
      <c r="M268" s="49" t="str">
        <f>IF(COUNTA($A268:$H268)=0,"",IF($A268="","Missing: task ID",IF(COUNTIF($A$2:$A$301,$A268)&gt;1,"Duplicate task ID",IF($B268="","Missing: task",IF($D268="","Missing: owner",IF(NOT(ISNUMBER($E268)),"Missing: due date",IF($F268="","Missing: status",IF(COUNTIF(Config!$J$15:$J$34,$F268)=0,"Unsupported status",IF(AND($G268&lt;&gt;"",COUNTIF(Config!$R$15:$R$34,$G268)=0),"Unsupported priority","OK")))))))))</f>
        <v/>
      </c>
    </row>
    <row r="269">
      <c r="A269" s="46" t="n"/>
      <c r="B269" s="46" t="n"/>
      <c r="C269" s="46" t="n"/>
      <c r="D269" s="46" t="n"/>
      <c r="E269" s="54" t="n"/>
      <c r="F269" s="46" t="n"/>
      <c r="G269" s="46" t="n"/>
      <c r="H269" s="46" t="n"/>
      <c r="I269" s="52" t="str">
        <f>IF($A269="","",IF(IFERROR(INDEX(Config!$K$15:$K$34,MATCH($F269,Config!$J$15:$J$34,0)),"Yes")="Yes",1,0))</f>
        <v/>
      </c>
      <c r="J269" s="52" t="str">
        <f>IF($A269="","",IF(AND($I269=1,ISNUMBER($E269)),IF($E269&lt;Config!$B$4,1,0),0))</f>
        <v/>
      </c>
      <c r="K269" s="52" t="str">
        <f>IF($A269="","",IF($J269=1,Config!$B$4-$E269,0))</f>
        <v/>
      </c>
      <c r="L269" s="52" t="str">
        <f>IF($I269=1,IFERROR(COUNTIFS($I$2:$I$301,1,$E$2:$E$301,"&lt;"&amp;$E269)+COUNTIFS($I$2:$I269,1,$E$2:$E269,$E269),""),"")</f>
        <v/>
      </c>
      <c r="M269" s="49" t="str">
        <f>IF(COUNTA($A269:$H269)=0,"",IF($A269="","Missing: task ID",IF(COUNTIF($A$2:$A$301,$A269)&gt;1,"Duplicate task ID",IF($B269="","Missing: task",IF($D269="","Missing: owner",IF(NOT(ISNUMBER($E269)),"Missing: due date",IF($F269="","Missing: status",IF(COUNTIF(Config!$J$15:$J$34,$F269)=0,"Unsupported status",IF(AND($G269&lt;&gt;"",COUNTIF(Config!$R$15:$R$34,$G269)=0),"Unsupported priority","OK")))))))))</f>
        <v/>
      </c>
    </row>
    <row r="270">
      <c r="A270" s="46" t="n"/>
      <c r="B270" s="46" t="n"/>
      <c r="C270" s="46" t="n"/>
      <c r="D270" s="46" t="n"/>
      <c r="E270" s="54" t="n"/>
      <c r="F270" s="46" t="n"/>
      <c r="G270" s="46" t="n"/>
      <c r="H270" s="46" t="n"/>
      <c r="I270" s="52" t="str">
        <f>IF($A270="","",IF(IFERROR(INDEX(Config!$K$15:$K$34,MATCH($F270,Config!$J$15:$J$34,0)),"Yes")="Yes",1,0))</f>
        <v/>
      </c>
      <c r="J270" s="52" t="str">
        <f>IF($A270="","",IF(AND($I270=1,ISNUMBER($E270)),IF($E270&lt;Config!$B$4,1,0),0))</f>
        <v/>
      </c>
      <c r="K270" s="52" t="str">
        <f>IF($A270="","",IF($J270=1,Config!$B$4-$E270,0))</f>
        <v/>
      </c>
      <c r="L270" s="52" t="str">
        <f>IF($I270=1,IFERROR(COUNTIFS($I$2:$I$301,1,$E$2:$E$301,"&lt;"&amp;$E270)+COUNTIFS($I$2:$I270,1,$E$2:$E270,$E270),""),"")</f>
        <v/>
      </c>
      <c r="M270" s="49" t="str">
        <f>IF(COUNTA($A270:$H270)=0,"",IF($A270="","Missing: task ID",IF(COUNTIF($A$2:$A$301,$A270)&gt;1,"Duplicate task ID",IF($B270="","Missing: task",IF($D270="","Missing: owner",IF(NOT(ISNUMBER($E270)),"Missing: due date",IF($F270="","Missing: status",IF(COUNTIF(Config!$J$15:$J$34,$F270)=0,"Unsupported status",IF(AND($G270&lt;&gt;"",COUNTIF(Config!$R$15:$R$34,$G270)=0),"Unsupported priority","OK")))))))))</f>
        <v/>
      </c>
    </row>
    <row r="271">
      <c r="A271" s="46" t="n"/>
      <c r="B271" s="46" t="n"/>
      <c r="C271" s="46" t="n"/>
      <c r="D271" s="46" t="n"/>
      <c r="E271" s="54" t="n"/>
      <c r="F271" s="46" t="n"/>
      <c r="G271" s="46" t="n"/>
      <c r="H271" s="46" t="n"/>
      <c r="I271" s="52" t="str">
        <f>IF($A271="","",IF(IFERROR(INDEX(Config!$K$15:$K$34,MATCH($F271,Config!$J$15:$J$34,0)),"Yes")="Yes",1,0))</f>
        <v/>
      </c>
      <c r="J271" s="52" t="str">
        <f>IF($A271="","",IF(AND($I271=1,ISNUMBER($E271)),IF($E271&lt;Config!$B$4,1,0),0))</f>
        <v/>
      </c>
      <c r="K271" s="52" t="str">
        <f>IF($A271="","",IF($J271=1,Config!$B$4-$E271,0))</f>
        <v/>
      </c>
      <c r="L271" s="52" t="str">
        <f>IF($I271=1,IFERROR(COUNTIFS($I$2:$I$301,1,$E$2:$E$301,"&lt;"&amp;$E271)+COUNTIFS($I$2:$I271,1,$E$2:$E271,$E271),""),"")</f>
        <v/>
      </c>
      <c r="M271" s="49" t="str">
        <f>IF(COUNTA($A271:$H271)=0,"",IF($A271="","Missing: task ID",IF(COUNTIF($A$2:$A$301,$A271)&gt;1,"Duplicate task ID",IF($B271="","Missing: task",IF($D271="","Missing: owner",IF(NOT(ISNUMBER($E271)),"Missing: due date",IF($F271="","Missing: status",IF(COUNTIF(Config!$J$15:$J$34,$F271)=0,"Unsupported status",IF(AND($G271&lt;&gt;"",COUNTIF(Config!$R$15:$R$34,$G271)=0),"Unsupported priority","OK")))))))))</f>
        <v/>
      </c>
    </row>
    <row r="272">
      <c r="A272" s="46" t="n"/>
      <c r="B272" s="46" t="n"/>
      <c r="C272" s="46" t="n"/>
      <c r="D272" s="46" t="n"/>
      <c r="E272" s="54" t="n"/>
      <c r="F272" s="46" t="n"/>
      <c r="G272" s="46" t="n"/>
      <c r="H272" s="46" t="n"/>
      <c r="I272" s="52" t="str">
        <f>IF($A272="","",IF(IFERROR(INDEX(Config!$K$15:$K$34,MATCH($F272,Config!$J$15:$J$34,0)),"Yes")="Yes",1,0))</f>
        <v/>
      </c>
      <c r="J272" s="52" t="str">
        <f>IF($A272="","",IF(AND($I272=1,ISNUMBER($E272)),IF($E272&lt;Config!$B$4,1,0),0))</f>
        <v/>
      </c>
      <c r="K272" s="52" t="str">
        <f>IF($A272="","",IF($J272=1,Config!$B$4-$E272,0))</f>
        <v/>
      </c>
      <c r="L272" s="52" t="str">
        <f>IF($I272=1,IFERROR(COUNTIFS($I$2:$I$301,1,$E$2:$E$301,"&lt;"&amp;$E272)+COUNTIFS($I$2:$I272,1,$E$2:$E272,$E272),""),"")</f>
        <v/>
      </c>
      <c r="M272" s="49" t="str">
        <f>IF(COUNTA($A272:$H272)=0,"",IF($A272="","Missing: task ID",IF(COUNTIF($A$2:$A$301,$A272)&gt;1,"Duplicate task ID",IF($B272="","Missing: task",IF($D272="","Missing: owner",IF(NOT(ISNUMBER($E272)),"Missing: due date",IF($F272="","Missing: status",IF(COUNTIF(Config!$J$15:$J$34,$F272)=0,"Unsupported status",IF(AND($G272&lt;&gt;"",COUNTIF(Config!$R$15:$R$34,$G272)=0),"Unsupported priority","OK")))))))))</f>
        <v/>
      </c>
    </row>
    <row r="273">
      <c r="A273" s="46" t="n"/>
      <c r="B273" s="46" t="n"/>
      <c r="C273" s="46" t="n"/>
      <c r="D273" s="46" t="n"/>
      <c r="E273" s="54" t="n"/>
      <c r="F273" s="46" t="n"/>
      <c r="G273" s="46" t="n"/>
      <c r="H273" s="46" t="n"/>
      <c r="I273" s="52" t="str">
        <f>IF($A273="","",IF(IFERROR(INDEX(Config!$K$15:$K$34,MATCH($F273,Config!$J$15:$J$34,0)),"Yes")="Yes",1,0))</f>
        <v/>
      </c>
      <c r="J273" s="52" t="str">
        <f>IF($A273="","",IF(AND($I273=1,ISNUMBER($E273)),IF($E273&lt;Config!$B$4,1,0),0))</f>
        <v/>
      </c>
      <c r="K273" s="52" t="str">
        <f>IF($A273="","",IF($J273=1,Config!$B$4-$E273,0))</f>
        <v/>
      </c>
      <c r="L273" s="52" t="str">
        <f>IF($I273=1,IFERROR(COUNTIFS($I$2:$I$301,1,$E$2:$E$301,"&lt;"&amp;$E273)+COUNTIFS($I$2:$I273,1,$E$2:$E273,$E273),""),"")</f>
        <v/>
      </c>
      <c r="M273" s="49" t="str">
        <f>IF(COUNTA($A273:$H273)=0,"",IF($A273="","Missing: task ID",IF(COUNTIF($A$2:$A$301,$A273)&gt;1,"Duplicate task ID",IF($B273="","Missing: task",IF($D273="","Missing: owner",IF(NOT(ISNUMBER($E273)),"Missing: due date",IF($F273="","Missing: status",IF(COUNTIF(Config!$J$15:$J$34,$F273)=0,"Unsupported status",IF(AND($G273&lt;&gt;"",COUNTIF(Config!$R$15:$R$34,$G273)=0),"Unsupported priority","OK")))))))))</f>
        <v/>
      </c>
    </row>
    <row r="274">
      <c r="A274" s="46" t="n"/>
      <c r="B274" s="46" t="n"/>
      <c r="C274" s="46" t="n"/>
      <c r="D274" s="46" t="n"/>
      <c r="E274" s="54" t="n"/>
      <c r="F274" s="46" t="n"/>
      <c r="G274" s="46" t="n"/>
      <c r="H274" s="46" t="n"/>
      <c r="I274" s="52" t="str">
        <f>IF($A274="","",IF(IFERROR(INDEX(Config!$K$15:$K$34,MATCH($F274,Config!$J$15:$J$34,0)),"Yes")="Yes",1,0))</f>
        <v/>
      </c>
      <c r="J274" s="52" t="str">
        <f>IF($A274="","",IF(AND($I274=1,ISNUMBER($E274)),IF($E274&lt;Config!$B$4,1,0),0))</f>
        <v/>
      </c>
      <c r="K274" s="52" t="str">
        <f>IF($A274="","",IF($J274=1,Config!$B$4-$E274,0))</f>
        <v/>
      </c>
      <c r="L274" s="52" t="str">
        <f>IF($I274=1,IFERROR(COUNTIFS($I$2:$I$301,1,$E$2:$E$301,"&lt;"&amp;$E274)+COUNTIFS($I$2:$I274,1,$E$2:$E274,$E274),""),"")</f>
        <v/>
      </c>
      <c r="M274" s="49" t="str">
        <f>IF(COUNTA($A274:$H274)=0,"",IF($A274="","Missing: task ID",IF(COUNTIF($A$2:$A$301,$A274)&gt;1,"Duplicate task ID",IF($B274="","Missing: task",IF($D274="","Missing: owner",IF(NOT(ISNUMBER($E274)),"Missing: due date",IF($F274="","Missing: status",IF(COUNTIF(Config!$J$15:$J$34,$F274)=0,"Unsupported status",IF(AND($G274&lt;&gt;"",COUNTIF(Config!$R$15:$R$34,$G274)=0),"Unsupported priority","OK")))))))))</f>
        <v/>
      </c>
    </row>
    <row r="275">
      <c r="A275" s="46" t="n"/>
      <c r="B275" s="46" t="n"/>
      <c r="C275" s="46" t="n"/>
      <c r="D275" s="46" t="n"/>
      <c r="E275" s="54" t="n"/>
      <c r="F275" s="46" t="n"/>
      <c r="G275" s="46" t="n"/>
      <c r="H275" s="46" t="n"/>
      <c r="I275" s="52" t="str">
        <f>IF($A275="","",IF(IFERROR(INDEX(Config!$K$15:$K$34,MATCH($F275,Config!$J$15:$J$34,0)),"Yes")="Yes",1,0))</f>
        <v/>
      </c>
      <c r="J275" s="52" t="str">
        <f>IF($A275="","",IF(AND($I275=1,ISNUMBER($E275)),IF($E275&lt;Config!$B$4,1,0),0))</f>
        <v/>
      </c>
      <c r="K275" s="52" t="str">
        <f>IF($A275="","",IF($J275=1,Config!$B$4-$E275,0))</f>
        <v/>
      </c>
      <c r="L275" s="52" t="str">
        <f>IF($I275=1,IFERROR(COUNTIFS($I$2:$I$301,1,$E$2:$E$301,"&lt;"&amp;$E275)+COUNTIFS($I$2:$I275,1,$E$2:$E275,$E275),""),"")</f>
        <v/>
      </c>
      <c r="M275" s="49" t="str">
        <f>IF(COUNTA($A275:$H275)=0,"",IF($A275="","Missing: task ID",IF(COUNTIF($A$2:$A$301,$A275)&gt;1,"Duplicate task ID",IF($B275="","Missing: task",IF($D275="","Missing: owner",IF(NOT(ISNUMBER($E275)),"Missing: due date",IF($F275="","Missing: status",IF(COUNTIF(Config!$J$15:$J$34,$F275)=0,"Unsupported status",IF(AND($G275&lt;&gt;"",COUNTIF(Config!$R$15:$R$34,$G275)=0),"Unsupported priority","OK")))))))))</f>
        <v/>
      </c>
    </row>
    <row r="276">
      <c r="A276" s="46" t="n"/>
      <c r="B276" s="46" t="n"/>
      <c r="C276" s="46" t="n"/>
      <c r="D276" s="46" t="n"/>
      <c r="E276" s="54" t="n"/>
      <c r="F276" s="46" t="n"/>
      <c r="G276" s="46" t="n"/>
      <c r="H276" s="46" t="n"/>
      <c r="I276" s="52" t="str">
        <f>IF($A276="","",IF(IFERROR(INDEX(Config!$K$15:$K$34,MATCH($F276,Config!$J$15:$J$34,0)),"Yes")="Yes",1,0))</f>
        <v/>
      </c>
      <c r="J276" s="52" t="str">
        <f>IF($A276="","",IF(AND($I276=1,ISNUMBER($E276)),IF($E276&lt;Config!$B$4,1,0),0))</f>
        <v/>
      </c>
      <c r="K276" s="52" t="str">
        <f>IF($A276="","",IF($J276=1,Config!$B$4-$E276,0))</f>
        <v/>
      </c>
      <c r="L276" s="52" t="str">
        <f>IF($I276=1,IFERROR(COUNTIFS($I$2:$I$301,1,$E$2:$E$301,"&lt;"&amp;$E276)+COUNTIFS($I$2:$I276,1,$E$2:$E276,$E276),""),"")</f>
        <v/>
      </c>
      <c r="M276" s="49" t="str">
        <f>IF(COUNTA($A276:$H276)=0,"",IF($A276="","Missing: task ID",IF(COUNTIF($A$2:$A$301,$A276)&gt;1,"Duplicate task ID",IF($B276="","Missing: task",IF($D276="","Missing: owner",IF(NOT(ISNUMBER($E276)),"Missing: due date",IF($F276="","Missing: status",IF(COUNTIF(Config!$J$15:$J$34,$F276)=0,"Unsupported status",IF(AND($G276&lt;&gt;"",COUNTIF(Config!$R$15:$R$34,$G276)=0),"Unsupported priority","OK")))))))))</f>
        <v/>
      </c>
    </row>
    <row r="277">
      <c r="A277" s="46" t="n"/>
      <c r="B277" s="46" t="n"/>
      <c r="C277" s="46" t="n"/>
      <c r="D277" s="46" t="n"/>
      <c r="E277" s="54" t="n"/>
      <c r="F277" s="46" t="n"/>
      <c r="G277" s="46" t="n"/>
      <c r="H277" s="46" t="n"/>
      <c r="I277" s="52" t="str">
        <f>IF($A277="","",IF(IFERROR(INDEX(Config!$K$15:$K$34,MATCH($F277,Config!$J$15:$J$34,0)),"Yes")="Yes",1,0))</f>
        <v/>
      </c>
      <c r="J277" s="52" t="str">
        <f>IF($A277="","",IF(AND($I277=1,ISNUMBER($E277)),IF($E277&lt;Config!$B$4,1,0),0))</f>
        <v/>
      </c>
      <c r="K277" s="52" t="str">
        <f>IF($A277="","",IF($J277=1,Config!$B$4-$E277,0))</f>
        <v/>
      </c>
      <c r="L277" s="52" t="str">
        <f>IF($I277=1,IFERROR(COUNTIFS($I$2:$I$301,1,$E$2:$E$301,"&lt;"&amp;$E277)+COUNTIFS($I$2:$I277,1,$E$2:$E277,$E277),""),"")</f>
        <v/>
      </c>
      <c r="M277" s="49" t="str">
        <f>IF(COUNTA($A277:$H277)=0,"",IF($A277="","Missing: task ID",IF(COUNTIF($A$2:$A$301,$A277)&gt;1,"Duplicate task ID",IF($B277="","Missing: task",IF($D277="","Missing: owner",IF(NOT(ISNUMBER($E277)),"Missing: due date",IF($F277="","Missing: status",IF(COUNTIF(Config!$J$15:$J$34,$F277)=0,"Unsupported status",IF(AND($G277&lt;&gt;"",COUNTIF(Config!$R$15:$R$34,$G277)=0),"Unsupported priority","OK")))))))))</f>
        <v/>
      </c>
    </row>
    <row r="278">
      <c r="A278" s="46" t="n"/>
      <c r="B278" s="46" t="n"/>
      <c r="C278" s="46" t="n"/>
      <c r="D278" s="46" t="n"/>
      <c r="E278" s="54" t="n"/>
      <c r="F278" s="46" t="n"/>
      <c r="G278" s="46" t="n"/>
      <c r="H278" s="46" t="n"/>
      <c r="I278" s="52" t="str">
        <f>IF($A278="","",IF(IFERROR(INDEX(Config!$K$15:$K$34,MATCH($F278,Config!$J$15:$J$34,0)),"Yes")="Yes",1,0))</f>
        <v/>
      </c>
      <c r="J278" s="52" t="str">
        <f>IF($A278="","",IF(AND($I278=1,ISNUMBER($E278)),IF($E278&lt;Config!$B$4,1,0),0))</f>
        <v/>
      </c>
      <c r="K278" s="52" t="str">
        <f>IF($A278="","",IF($J278=1,Config!$B$4-$E278,0))</f>
        <v/>
      </c>
      <c r="L278" s="52" t="str">
        <f>IF($I278=1,IFERROR(COUNTIFS($I$2:$I$301,1,$E$2:$E$301,"&lt;"&amp;$E278)+COUNTIFS($I$2:$I278,1,$E$2:$E278,$E278),""),"")</f>
        <v/>
      </c>
      <c r="M278" s="49" t="str">
        <f>IF(COUNTA($A278:$H278)=0,"",IF($A278="","Missing: task ID",IF(COUNTIF($A$2:$A$301,$A278)&gt;1,"Duplicate task ID",IF($B278="","Missing: task",IF($D278="","Missing: owner",IF(NOT(ISNUMBER($E278)),"Missing: due date",IF($F278="","Missing: status",IF(COUNTIF(Config!$J$15:$J$34,$F278)=0,"Unsupported status",IF(AND($G278&lt;&gt;"",COUNTIF(Config!$R$15:$R$34,$G278)=0),"Unsupported priority","OK")))))))))</f>
        <v/>
      </c>
    </row>
    <row r="279">
      <c r="A279" s="46" t="n"/>
      <c r="B279" s="46" t="n"/>
      <c r="C279" s="46" t="n"/>
      <c r="D279" s="46" t="n"/>
      <c r="E279" s="54" t="n"/>
      <c r="F279" s="46" t="n"/>
      <c r="G279" s="46" t="n"/>
      <c r="H279" s="46" t="n"/>
      <c r="I279" s="52" t="str">
        <f>IF($A279="","",IF(IFERROR(INDEX(Config!$K$15:$K$34,MATCH($F279,Config!$J$15:$J$34,0)),"Yes")="Yes",1,0))</f>
        <v/>
      </c>
      <c r="J279" s="52" t="str">
        <f>IF($A279="","",IF(AND($I279=1,ISNUMBER($E279)),IF($E279&lt;Config!$B$4,1,0),0))</f>
        <v/>
      </c>
      <c r="K279" s="52" t="str">
        <f>IF($A279="","",IF($J279=1,Config!$B$4-$E279,0))</f>
        <v/>
      </c>
      <c r="L279" s="52" t="str">
        <f>IF($I279=1,IFERROR(COUNTIFS($I$2:$I$301,1,$E$2:$E$301,"&lt;"&amp;$E279)+COUNTIFS($I$2:$I279,1,$E$2:$E279,$E279),""),"")</f>
        <v/>
      </c>
      <c r="M279" s="49" t="str">
        <f>IF(COUNTA($A279:$H279)=0,"",IF($A279="","Missing: task ID",IF(COUNTIF($A$2:$A$301,$A279)&gt;1,"Duplicate task ID",IF($B279="","Missing: task",IF($D279="","Missing: owner",IF(NOT(ISNUMBER($E279)),"Missing: due date",IF($F279="","Missing: status",IF(COUNTIF(Config!$J$15:$J$34,$F279)=0,"Unsupported status",IF(AND($G279&lt;&gt;"",COUNTIF(Config!$R$15:$R$34,$G279)=0),"Unsupported priority","OK")))))))))</f>
        <v/>
      </c>
    </row>
    <row r="280">
      <c r="A280" s="46" t="n"/>
      <c r="B280" s="46" t="n"/>
      <c r="C280" s="46" t="n"/>
      <c r="D280" s="46" t="n"/>
      <c r="E280" s="54" t="n"/>
      <c r="F280" s="46" t="n"/>
      <c r="G280" s="46" t="n"/>
      <c r="H280" s="46" t="n"/>
      <c r="I280" s="52" t="str">
        <f>IF($A280="","",IF(IFERROR(INDEX(Config!$K$15:$K$34,MATCH($F280,Config!$J$15:$J$34,0)),"Yes")="Yes",1,0))</f>
        <v/>
      </c>
      <c r="J280" s="52" t="str">
        <f>IF($A280="","",IF(AND($I280=1,ISNUMBER($E280)),IF($E280&lt;Config!$B$4,1,0),0))</f>
        <v/>
      </c>
      <c r="K280" s="52" t="str">
        <f>IF($A280="","",IF($J280=1,Config!$B$4-$E280,0))</f>
        <v/>
      </c>
      <c r="L280" s="52" t="str">
        <f>IF($I280=1,IFERROR(COUNTIFS($I$2:$I$301,1,$E$2:$E$301,"&lt;"&amp;$E280)+COUNTIFS($I$2:$I280,1,$E$2:$E280,$E280),""),"")</f>
        <v/>
      </c>
      <c r="M280" s="49" t="str">
        <f>IF(COUNTA($A280:$H280)=0,"",IF($A280="","Missing: task ID",IF(COUNTIF($A$2:$A$301,$A280)&gt;1,"Duplicate task ID",IF($B280="","Missing: task",IF($D280="","Missing: owner",IF(NOT(ISNUMBER($E280)),"Missing: due date",IF($F280="","Missing: status",IF(COUNTIF(Config!$J$15:$J$34,$F280)=0,"Unsupported status",IF(AND($G280&lt;&gt;"",COUNTIF(Config!$R$15:$R$34,$G280)=0),"Unsupported priority","OK")))))))))</f>
        <v/>
      </c>
    </row>
    <row r="281">
      <c r="A281" s="46" t="n"/>
      <c r="B281" s="46" t="n"/>
      <c r="C281" s="46" t="n"/>
      <c r="D281" s="46" t="n"/>
      <c r="E281" s="54" t="n"/>
      <c r="F281" s="46" t="n"/>
      <c r="G281" s="46" t="n"/>
      <c r="H281" s="46" t="n"/>
      <c r="I281" s="52" t="str">
        <f>IF($A281="","",IF(IFERROR(INDEX(Config!$K$15:$K$34,MATCH($F281,Config!$J$15:$J$34,0)),"Yes")="Yes",1,0))</f>
        <v/>
      </c>
      <c r="J281" s="52" t="str">
        <f>IF($A281="","",IF(AND($I281=1,ISNUMBER($E281)),IF($E281&lt;Config!$B$4,1,0),0))</f>
        <v/>
      </c>
      <c r="K281" s="52" t="str">
        <f>IF($A281="","",IF($J281=1,Config!$B$4-$E281,0))</f>
        <v/>
      </c>
      <c r="L281" s="52" t="str">
        <f>IF($I281=1,IFERROR(COUNTIFS($I$2:$I$301,1,$E$2:$E$301,"&lt;"&amp;$E281)+COUNTIFS($I$2:$I281,1,$E$2:$E281,$E281),""),"")</f>
        <v/>
      </c>
      <c r="M281" s="49" t="str">
        <f>IF(COUNTA($A281:$H281)=0,"",IF($A281="","Missing: task ID",IF(COUNTIF($A$2:$A$301,$A281)&gt;1,"Duplicate task ID",IF($B281="","Missing: task",IF($D281="","Missing: owner",IF(NOT(ISNUMBER($E281)),"Missing: due date",IF($F281="","Missing: status",IF(COUNTIF(Config!$J$15:$J$34,$F281)=0,"Unsupported status",IF(AND($G281&lt;&gt;"",COUNTIF(Config!$R$15:$R$34,$G281)=0),"Unsupported priority","OK")))))))))</f>
        <v/>
      </c>
    </row>
    <row r="282">
      <c r="A282" s="46" t="n"/>
      <c r="B282" s="46" t="n"/>
      <c r="C282" s="46" t="n"/>
      <c r="D282" s="46" t="n"/>
      <c r="E282" s="54" t="n"/>
      <c r="F282" s="46" t="n"/>
      <c r="G282" s="46" t="n"/>
      <c r="H282" s="46" t="n"/>
      <c r="I282" s="52" t="str">
        <f>IF($A282="","",IF(IFERROR(INDEX(Config!$K$15:$K$34,MATCH($F282,Config!$J$15:$J$34,0)),"Yes")="Yes",1,0))</f>
        <v/>
      </c>
      <c r="J282" s="52" t="str">
        <f>IF($A282="","",IF(AND($I282=1,ISNUMBER($E282)),IF($E282&lt;Config!$B$4,1,0),0))</f>
        <v/>
      </c>
      <c r="K282" s="52" t="str">
        <f>IF($A282="","",IF($J282=1,Config!$B$4-$E282,0))</f>
        <v/>
      </c>
      <c r="L282" s="52" t="str">
        <f>IF($I282=1,IFERROR(COUNTIFS($I$2:$I$301,1,$E$2:$E$301,"&lt;"&amp;$E282)+COUNTIFS($I$2:$I282,1,$E$2:$E282,$E282),""),"")</f>
        <v/>
      </c>
      <c r="M282" s="49" t="str">
        <f>IF(COUNTA($A282:$H282)=0,"",IF($A282="","Missing: task ID",IF(COUNTIF($A$2:$A$301,$A282)&gt;1,"Duplicate task ID",IF($B282="","Missing: task",IF($D282="","Missing: owner",IF(NOT(ISNUMBER($E282)),"Missing: due date",IF($F282="","Missing: status",IF(COUNTIF(Config!$J$15:$J$34,$F282)=0,"Unsupported status",IF(AND($G282&lt;&gt;"",COUNTIF(Config!$R$15:$R$34,$G282)=0),"Unsupported priority","OK")))))))))</f>
        <v/>
      </c>
    </row>
    <row r="283">
      <c r="A283" s="46" t="n"/>
      <c r="B283" s="46" t="n"/>
      <c r="C283" s="46" t="n"/>
      <c r="D283" s="46" t="n"/>
      <c r="E283" s="54" t="n"/>
      <c r="F283" s="46" t="n"/>
      <c r="G283" s="46" t="n"/>
      <c r="H283" s="46" t="n"/>
      <c r="I283" s="52" t="str">
        <f>IF($A283="","",IF(IFERROR(INDEX(Config!$K$15:$K$34,MATCH($F283,Config!$J$15:$J$34,0)),"Yes")="Yes",1,0))</f>
        <v/>
      </c>
      <c r="J283" s="52" t="str">
        <f>IF($A283="","",IF(AND($I283=1,ISNUMBER($E283)),IF($E283&lt;Config!$B$4,1,0),0))</f>
        <v/>
      </c>
      <c r="K283" s="52" t="str">
        <f>IF($A283="","",IF($J283=1,Config!$B$4-$E283,0))</f>
        <v/>
      </c>
      <c r="L283" s="52" t="str">
        <f>IF($I283=1,IFERROR(COUNTIFS($I$2:$I$301,1,$E$2:$E$301,"&lt;"&amp;$E283)+COUNTIFS($I$2:$I283,1,$E$2:$E283,$E283),""),"")</f>
        <v/>
      </c>
      <c r="M283" s="49" t="str">
        <f>IF(COUNTA($A283:$H283)=0,"",IF($A283="","Missing: task ID",IF(COUNTIF($A$2:$A$301,$A283)&gt;1,"Duplicate task ID",IF($B283="","Missing: task",IF($D283="","Missing: owner",IF(NOT(ISNUMBER($E283)),"Missing: due date",IF($F283="","Missing: status",IF(COUNTIF(Config!$J$15:$J$34,$F283)=0,"Unsupported status",IF(AND($G283&lt;&gt;"",COUNTIF(Config!$R$15:$R$34,$G283)=0),"Unsupported priority","OK")))))))))</f>
        <v/>
      </c>
    </row>
    <row r="284">
      <c r="A284" s="46" t="n"/>
      <c r="B284" s="46" t="n"/>
      <c r="C284" s="46" t="n"/>
      <c r="D284" s="46" t="n"/>
      <c r="E284" s="54" t="n"/>
      <c r="F284" s="46" t="n"/>
      <c r="G284" s="46" t="n"/>
      <c r="H284" s="46" t="n"/>
      <c r="I284" s="52" t="str">
        <f>IF($A284="","",IF(IFERROR(INDEX(Config!$K$15:$K$34,MATCH($F284,Config!$J$15:$J$34,0)),"Yes")="Yes",1,0))</f>
        <v/>
      </c>
      <c r="J284" s="52" t="str">
        <f>IF($A284="","",IF(AND($I284=1,ISNUMBER($E284)),IF($E284&lt;Config!$B$4,1,0),0))</f>
        <v/>
      </c>
      <c r="K284" s="52" t="str">
        <f>IF($A284="","",IF($J284=1,Config!$B$4-$E284,0))</f>
        <v/>
      </c>
      <c r="L284" s="52" t="str">
        <f>IF($I284=1,IFERROR(COUNTIFS($I$2:$I$301,1,$E$2:$E$301,"&lt;"&amp;$E284)+COUNTIFS($I$2:$I284,1,$E$2:$E284,$E284),""),"")</f>
        <v/>
      </c>
      <c r="M284" s="49" t="str">
        <f>IF(COUNTA($A284:$H284)=0,"",IF($A284="","Missing: task ID",IF(COUNTIF($A$2:$A$301,$A284)&gt;1,"Duplicate task ID",IF($B284="","Missing: task",IF($D284="","Missing: owner",IF(NOT(ISNUMBER($E284)),"Missing: due date",IF($F284="","Missing: status",IF(COUNTIF(Config!$J$15:$J$34,$F284)=0,"Unsupported status",IF(AND($G284&lt;&gt;"",COUNTIF(Config!$R$15:$R$34,$G284)=0),"Unsupported priority","OK")))))))))</f>
        <v/>
      </c>
    </row>
    <row r="285">
      <c r="A285" s="46" t="n"/>
      <c r="B285" s="46" t="n"/>
      <c r="C285" s="46" t="n"/>
      <c r="D285" s="46" t="n"/>
      <c r="E285" s="54" t="n"/>
      <c r="F285" s="46" t="n"/>
      <c r="G285" s="46" t="n"/>
      <c r="H285" s="46" t="n"/>
      <c r="I285" s="52" t="str">
        <f>IF($A285="","",IF(IFERROR(INDEX(Config!$K$15:$K$34,MATCH($F285,Config!$J$15:$J$34,0)),"Yes")="Yes",1,0))</f>
        <v/>
      </c>
      <c r="J285" s="52" t="str">
        <f>IF($A285="","",IF(AND($I285=1,ISNUMBER($E285)),IF($E285&lt;Config!$B$4,1,0),0))</f>
        <v/>
      </c>
      <c r="K285" s="52" t="str">
        <f>IF($A285="","",IF($J285=1,Config!$B$4-$E285,0))</f>
        <v/>
      </c>
      <c r="L285" s="52" t="str">
        <f>IF($I285=1,IFERROR(COUNTIFS($I$2:$I$301,1,$E$2:$E$301,"&lt;"&amp;$E285)+COUNTIFS($I$2:$I285,1,$E$2:$E285,$E285),""),"")</f>
        <v/>
      </c>
      <c r="M285" s="49" t="str">
        <f>IF(COUNTA($A285:$H285)=0,"",IF($A285="","Missing: task ID",IF(COUNTIF($A$2:$A$301,$A285)&gt;1,"Duplicate task ID",IF($B285="","Missing: task",IF($D285="","Missing: owner",IF(NOT(ISNUMBER($E285)),"Missing: due date",IF($F285="","Missing: status",IF(COUNTIF(Config!$J$15:$J$34,$F285)=0,"Unsupported status",IF(AND($G285&lt;&gt;"",COUNTIF(Config!$R$15:$R$34,$G285)=0),"Unsupported priority","OK")))))))))</f>
        <v/>
      </c>
    </row>
    <row r="286">
      <c r="A286" s="46" t="n"/>
      <c r="B286" s="46" t="n"/>
      <c r="C286" s="46" t="n"/>
      <c r="D286" s="46" t="n"/>
      <c r="E286" s="54" t="n"/>
      <c r="F286" s="46" t="n"/>
      <c r="G286" s="46" t="n"/>
      <c r="H286" s="46" t="n"/>
      <c r="I286" s="52" t="str">
        <f>IF($A286="","",IF(IFERROR(INDEX(Config!$K$15:$K$34,MATCH($F286,Config!$J$15:$J$34,0)),"Yes")="Yes",1,0))</f>
        <v/>
      </c>
      <c r="J286" s="52" t="str">
        <f>IF($A286="","",IF(AND($I286=1,ISNUMBER($E286)),IF($E286&lt;Config!$B$4,1,0),0))</f>
        <v/>
      </c>
      <c r="K286" s="52" t="str">
        <f>IF($A286="","",IF($J286=1,Config!$B$4-$E286,0))</f>
        <v/>
      </c>
      <c r="L286" s="52" t="str">
        <f>IF($I286=1,IFERROR(COUNTIFS($I$2:$I$301,1,$E$2:$E$301,"&lt;"&amp;$E286)+COUNTIFS($I$2:$I286,1,$E$2:$E286,$E286),""),"")</f>
        <v/>
      </c>
      <c r="M286" s="49" t="str">
        <f>IF(COUNTA($A286:$H286)=0,"",IF($A286="","Missing: task ID",IF(COUNTIF($A$2:$A$301,$A286)&gt;1,"Duplicate task ID",IF($B286="","Missing: task",IF($D286="","Missing: owner",IF(NOT(ISNUMBER($E286)),"Missing: due date",IF($F286="","Missing: status",IF(COUNTIF(Config!$J$15:$J$34,$F286)=0,"Unsupported status",IF(AND($G286&lt;&gt;"",COUNTIF(Config!$R$15:$R$34,$G286)=0),"Unsupported priority","OK")))))))))</f>
        <v/>
      </c>
    </row>
    <row r="287">
      <c r="A287" s="46" t="n"/>
      <c r="B287" s="46" t="n"/>
      <c r="C287" s="46" t="n"/>
      <c r="D287" s="46" t="n"/>
      <c r="E287" s="54" t="n"/>
      <c r="F287" s="46" t="n"/>
      <c r="G287" s="46" t="n"/>
      <c r="H287" s="46" t="n"/>
      <c r="I287" s="52" t="str">
        <f>IF($A287="","",IF(IFERROR(INDEX(Config!$K$15:$K$34,MATCH($F287,Config!$J$15:$J$34,0)),"Yes")="Yes",1,0))</f>
        <v/>
      </c>
      <c r="J287" s="52" t="str">
        <f>IF($A287="","",IF(AND($I287=1,ISNUMBER($E287)),IF($E287&lt;Config!$B$4,1,0),0))</f>
        <v/>
      </c>
      <c r="K287" s="52" t="str">
        <f>IF($A287="","",IF($J287=1,Config!$B$4-$E287,0))</f>
        <v/>
      </c>
      <c r="L287" s="52" t="str">
        <f>IF($I287=1,IFERROR(COUNTIFS($I$2:$I$301,1,$E$2:$E$301,"&lt;"&amp;$E287)+COUNTIFS($I$2:$I287,1,$E$2:$E287,$E287),""),"")</f>
        <v/>
      </c>
      <c r="M287" s="49" t="str">
        <f>IF(COUNTA($A287:$H287)=0,"",IF($A287="","Missing: task ID",IF(COUNTIF($A$2:$A$301,$A287)&gt;1,"Duplicate task ID",IF($B287="","Missing: task",IF($D287="","Missing: owner",IF(NOT(ISNUMBER($E287)),"Missing: due date",IF($F287="","Missing: status",IF(COUNTIF(Config!$J$15:$J$34,$F287)=0,"Unsupported status",IF(AND($G287&lt;&gt;"",COUNTIF(Config!$R$15:$R$34,$G287)=0),"Unsupported priority","OK")))))))))</f>
        <v/>
      </c>
    </row>
    <row r="288">
      <c r="A288" s="46" t="n"/>
      <c r="B288" s="46" t="n"/>
      <c r="C288" s="46" t="n"/>
      <c r="D288" s="46" t="n"/>
      <c r="E288" s="54" t="n"/>
      <c r="F288" s="46" t="n"/>
      <c r="G288" s="46" t="n"/>
      <c r="H288" s="46" t="n"/>
      <c r="I288" s="52" t="str">
        <f>IF($A288="","",IF(IFERROR(INDEX(Config!$K$15:$K$34,MATCH($F288,Config!$J$15:$J$34,0)),"Yes")="Yes",1,0))</f>
        <v/>
      </c>
      <c r="J288" s="52" t="str">
        <f>IF($A288="","",IF(AND($I288=1,ISNUMBER($E288)),IF($E288&lt;Config!$B$4,1,0),0))</f>
        <v/>
      </c>
      <c r="K288" s="52" t="str">
        <f>IF($A288="","",IF($J288=1,Config!$B$4-$E288,0))</f>
        <v/>
      </c>
      <c r="L288" s="52" t="str">
        <f>IF($I288=1,IFERROR(COUNTIFS($I$2:$I$301,1,$E$2:$E$301,"&lt;"&amp;$E288)+COUNTIFS($I$2:$I288,1,$E$2:$E288,$E288),""),"")</f>
        <v/>
      </c>
      <c r="M288" s="49" t="str">
        <f>IF(COUNTA($A288:$H288)=0,"",IF($A288="","Missing: task ID",IF(COUNTIF($A$2:$A$301,$A288)&gt;1,"Duplicate task ID",IF($B288="","Missing: task",IF($D288="","Missing: owner",IF(NOT(ISNUMBER($E288)),"Missing: due date",IF($F288="","Missing: status",IF(COUNTIF(Config!$J$15:$J$34,$F288)=0,"Unsupported status",IF(AND($G288&lt;&gt;"",COUNTIF(Config!$R$15:$R$34,$G288)=0),"Unsupported priority","OK")))))))))</f>
        <v/>
      </c>
    </row>
    <row r="289">
      <c r="A289" s="46" t="n"/>
      <c r="B289" s="46" t="n"/>
      <c r="C289" s="46" t="n"/>
      <c r="D289" s="46" t="n"/>
      <c r="E289" s="54" t="n"/>
      <c r="F289" s="46" t="n"/>
      <c r="G289" s="46" t="n"/>
      <c r="H289" s="46" t="n"/>
      <c r="I289" s="52" t="str">
        <f>IF($A289="","",IF(IFERROR(INDEX(Config!$K$15:$K$34,MATCH($F289,Config!$J$15:$J$34,0)),"Yes")="Yes",1,0))</f>
        <v/>
      </c>
      <c r="J289" s="52" t="str">
        <f>IF($A289="","",IF(AND($I289=1,ISNUMBER($E289)),IF($E289&lt;Config!$B$4,1,0),0))</f>
        <v/>
      </c>
      <c r="K289" s="52" t="str">
        <f>IF($A289="","",IF($J289=1,Config!$B$4-$E289,0))</f>
        <v/>
      </c>
      <c r="L289" s="52" t="str">
        <f>IF($I289=1,IFERROR(COUNTIFS($I$2:$I$301,1,$E$2:$E$301,"&lt;"&amp;$E289)+COUNTIFS($I$2:$I289,1,$E$2:$E289,$E289),""),"")</f>
        <v/>
      </c>
      <c r="M289" s="49" t="str">
        <f>IF(COUNTA($A289:$H289)=0,"",IF($A289="","Missing: task ID",IF(COUNTIF($A$2:$A$301,$A289)&gt;1,"Duplicate task ID",IF($B289="","Missing: task",IF($D289="","Missing: owner",IF(NOT(ISNUMBER($E289)),"Missing: due date",IF($F289="","Missing: status",IF(COUNTIF(Config!$J$15:$J$34,$F289)=0,"Unsupported status",IF(AND($G289&lt;&gt;"",COUNTIF(Config!$R$15:$R$34,$G289)=0),"Unsupported priority","OK")))))))))</f>
        <v/>
      </c>
    </row>
    <row r="290">
      <c r="A290" s="46" t="n"/>
      <c r="B290" s="46" t="n"/>
      <c r="C290" s="46" t="n"/>
      <c r="D290" s="46" t="n"/>
      <c r="E290" s="54" t="n"/>
      <c r="F290" s="46" t="n"/>
      <c r="G290" s="46" t="n"/>
      <c r="H290" s="46" t="n"/>
      <c r="I290" s="52" t="str">
        <f>IF($A290="","",IF(IFERROR(INDEX(Config!$K$15:$K$34,MATCH($F290,Config!$J$15:$J$34,0)),"Yes")="Yes",1,0))</f>
        <v/>
      </c>
      <c r="J290" s="52" t="str">
        <f>IF($A290="","",IF(AND($I290=1,ISNUMBER($E290)),IF($E290&lt;Config!$B$4,1,0),0))</f>
        <v/>
      </c>
      <c r="K290" s="52" t="str">
        <f>IF($A290="","",IF($J290=1,Config!$B$4-$E290,0))</f>
        <v/>
      </c>
      <c r="L290" s="52" t="str">
        <f>IF($I290=1,IFERROR(COUNTIFS($I$2:$I$301,1,$E$2:$E$301,"&lt;"&amp;$E290)+COUNTIFS($I$2:$I290,1,$E$2:$E290,$E290),""),"")</f>
        <v/>
      </c>
      <c r="M290" s="49" t="str">
        <f>IF(COUNTA($A290:$H290)=0,"",IF($A290="","Missing: task ID",IF(COUNTIF($A$2:$A$301,$A290)&gt;1,"Duplicate task ID",IF($B290="","Missing: task",IF($D290="","Missing: owner",IF(NOT(ISNUMBER($E290)),"Missing: due date",IF($F290="","Missing: status",IF(COUNTIF(Config!$J$15:$J$34,$F290)=0,"Unsupported status",IF(AND($G290&lt;&gt;"",COUNTIF(Config!$R$15:$R$34,$G290)=0),"Unsupported priority","OK")))))))))</f>
        <v/>
      </c>
    </row>
    <row r="291">
      <c r="A291" s="46" t="n"/>
      <c r="B291" s="46" t="n"/>
      <c r="C291" s="46" t="n"/>
      <c r="D291" s="46" t="n"/>
      <c r="E291" s="54" t="n"/>
      <c r="F291" s="46" t="n"/>
      <c r="G291" s="46" t="n"/>
      <c r="H291" s="46" t="n"/>
      <c r="I291" s="52" t="str">
        <f>IF($A291="","",IF(IFERROR(INDEX(Config!$K$15:$K$34,MATCH($F291,Config!$J$15:$J$34,0)),"Yes")="Yes",1,0))</f>
        <v/>
      </c>
      <c r="J291" s="52" t="str">
        <f>IF($A291="","",IF(AND($I291=1,ISNUMBER($E291)),IF($E291&lt;Config!$B$4,1,0),0))</f>
        <v/>
      </c>
      <c r="K291" s="52" t="str">
        <f>IF($A291="","",IF($J291=1,Config!$B$4-$E291,0))</f>
        <v/>
      </c>
      <c r="L291" s="52" t="str">
        <f>IF($I291=1,IFERROR(COUNTIFS($I$2:$I$301,1,$E$2:$E$301,"&lt;"&amp;$E291)+COUNTIFS($I$2:$I291,1,$E$2:$E291,$E291),""),"")</f>
        <v/>
      </c>
      <c r="M291" s="49" t="str">
        <f>IF(COUNTA($A291:$H291)=0,"",IF($A291="","Missing: task ID",IF(COUNTIF($A$2:$A$301,$A291)&gt;1,"Duplicate task ID",IF($B291="","Missing: task",IF($D291="","Missing: owner",IF(NOT(ISNUMBER($E291)),"Missing: due date",IF($F291="","Missing: status",IF(COUNTIF(Config!$J$15:$J$34,$F291)=0,"Unsupported status",IF(AND($G291&lt;&gt;"",COUNTIF(Config!$R$15:$R$34,$G291)=0),"Unsupported priority","OK")))))))))</f>
        <v/>
      </c>
    </row>
    <row r="292">
      <c r="A292" s="46" t="n"/>
      <c r="B292" s="46" t="n"/>
      <c r="C292" s="46" t="n"/>
      <c r="D292" s="46" t="n"/>
      <c r="E292" s="54" t="n"/>
      <c r="F292" s="46" t="n"/>
      <c r="G292" s="46" t="n"/>
      <c r="H292" s="46" t="n"/>
      <c r="I292" s="52" t="str">
        <f>IF($A292="","",IF(IFERROR(INDEX(Config!$K$15:$K$34,MATCH($F292,Config!$J$15:$J$34,0)),"Yes")="Yes",1,0))</f>
        <v/>
      </c>
      <c r="J292" s="52" t="str">
        <f>IF($A292="","",IF(AND($I292=1,ISNUMBER($E292)),IF($E292&lt;Config!$B$4,1,0),0))</f>
        <v/>
      </c>
      <c r="K292" s="52" t="str">
        <f>IF($A292="","",IF($J292=1,Config!$B$4-$E292,0))</f>
        <v/>
      </c>
      <c r="L292" s="52" t="str">
        <f>IF($I292=1,IFERROR(COUNTIFS($I$2:$I$301,1,$E$2:$E$301,"&lt;"&amp;$E292)+COUNTIFS($I$2:$I292,1,$E$2:$E292,$E292),""),"")</f>
        <v/>
      </c>
      <c r="M292" s="49" t="str">
        <f>IF(COUNTA($A292:$H292)=0,"",IF($A292="","Missing: task ID",IF(COUNTIF($A$2:$A$301,$A292)&gt;1,"Duplicate task ID",IF($B292="","Missing: task",IF($D292="","Missing: owner",IF(NOT(ISNUMBER($E292)),"Missing: due date",IF($F292="","Missing: status",IF(COUNTIF(Config!$J$15:$J$34,$F292)=0,"Unsupported status",IF(AND($G292&lt;&gt;"",COUNTIF(Config!$R$15:$R$34,$G292)=0),"Unsupported priority","OK")))))))))</f>
        <v/>
      </c>
    </row>
    <row r="293">
      <c r="A293" s="46" t="n"/>
      <c r="B293" s="46" t="n"/>
      <c r="C293" s="46" t="n"/>
      <c r="D293" s="46" t="n"/>
      <c r="E293" s="54" t="n"/>
      <c r="F293" s="46" t="n"/>
      <c r="G293" s="46" t="n"/>
      <c r="H293" s="46" t="n"/>
      <c r="I293" s="52" t="str">
        <f>IF($A293="","",IF(IFERROR(INDEX(Config!$K$15:$K$34,MATCH($F293,Config!$J$15:$J$34,0)),"Yes")="Yes",1,0))</f>
        <v/>
      </c>
      <c r="J293" s="52" t="str">
        <f>IF($A293="","",IF(AND($I293=1,ISNUMBER($E293)),IF($E293&lt;Config!$B$4,1,0),0))</f>
        <v/>
      </c>
      <c r="K293" s="52" t="str">
        <f>IF($A293="","",IF($J293=1,Config!$B$4-$E293,0))</f>
        <v/>
      </c>
      <c r="L293" s="52" t="str">
        <f>IF($I293=1,IFERROR(COUNTIFS($I$2:$I$301,1,$E$2:$E$301,"&lt;"&amp;$E293)+COUNTIFS($I$2:$I293,1,$E$2:$E293,$E293),""),"")</f>
        <v/>
      </c>
      <c r="M293" s="49" t="str">
        <f>IF(COUNTA($A293:$H293)=0,"",IF($A293="","Missing: task ID",IF(COUNTIF($A$2:$A$301,$A293)&gt;1,"Duplicate task ID",IF($B293="","Missing: task",IF($D293="","Missing: owner",IF(NOT(ISNUMBER($E293)),"Missing: due date",IF($F293="","Missing: status",IF(COUNTIF(Config!$J$15:$J$34,$F293)=0,"Unsupported status",IF(AND($G293&lt;&gt;"",COUNTIF(Config!$R$15:$R$34,$G293)=0),"Unsupported priority","OK")))))))))</f>
        <v/>
      </c>
    </row>
    <row r="294">
      <c r="A294" s="46" t="n"/>
      <c r="B294" s="46" t="n"/>
      <c r="C294" s="46" t="n"/>
      <c r="D294" s="46" t="n"/>
      <c r="E294" s="54" t="n"/>
      <c r="F294" s="46" t="n"/>
      <c r="G294" s="46" t="n"/>
      <c r="H294" s="46" t="n"/>
      <c r="I294" s="52" t="str">
        <f>IF($A294="","",IF(IFERROR(INDEX(Config!$K$15:$K$34,MATCH($F294,Config!$J$15:$J$34,0)),"Yes")="Yes",1,0))</f>
        <v/>
      </c>
      <c r="J294" s="52" t="str">
        <f>IF($A294="","",IF(AND($I294=1,ISNUMBER($E294)),IF($E294&lt;Config!$B$4,1,0),0))</f>
        <v/>
      </c>
      <c r="K294" s="52" t="str">
        <f>IF($A294="","",IF($J294=1,Config!$B$4-$E294,0))</f>
        <v/>
      </c>
      <c r="L294" s="52" t="str">
        <f>IF($I294=1,IFERROR(COUNTIFS($I$2:$I$301,1,$E$2:$E$301,"&lt;"&amp;$E294)+COUNTIFS($I$2:$I294,1,$E$2:$E294,$E294),""),"")</f>
        <v/>
      </c>
      <c r="M294" s="49" t="str">
        <f>IF(COUNTA($A294:$H294)=0,"",IF($A294="","Missing: task ID",IF(COUNTIF($A$2:$A$301,$A294)&gt;1,"Duplicate task ID",IF($B294="","Missing: task",IF($D294="","Missing: owner",IF(NOT(ISNUMBER($E294)),"Missing: due date",IF($F294="","Missing: status",IF(COUNTIF(Config!$J$15:$J$34,$F294)=0,"Unsupported status",IF(AND($G294&lt;&gt;"",COUNTIF(Config!$R$15:$R$34,$G294)=0),"Unsupported priority","OK")))))))))</f>
        <v/>
      </c>
    </row>
    <row r="295">
      <c r="A295" s="46" t="n"/>
      <c r="B295" s="46" t="n"/>
      <c r="C295" s="46" t="n"/>
      <c r="D295" s="46" t="n"/>
      <c r="E295" s="54" t="n"/>
      <c r="F295" s="46" t="n"/>
      <c r="G295" s="46" t="n"/>
      <c r="H295" s="46" t="n"/>
      <c r="I295" s="52" t="str">
        <f>IF($A295="","",IF(IFERROR(INDEX(Config!$K$15:$K$34,MATCH($F295,Config!$J$15:$J$34,0)),"Yes")="Yes",1,0))</f>
        <v/>
      </c>
      <c r="J295" s="52" t="str">
        <f>IF($A295="","",IF(AND($I295=1,ISNUMBER($E295)),IF($E295&lt;Config!$B$4,1,0),0))</f>
        <v/>
      </c>
      <c r="K295" s="52" t="str">
        <f>IF($A295="","",IF($J295=1,Config!$B$4-$E295,0))</f>
        <v/>
      </c>
      <c r="L295" s="52" t="str">
        <f>IF($I295=1,IFERROR(COUNTIFS($I$2:$I$301,1,$E$2:$E$301,"&lt;"&amp;$E295)+COUNTIFS($I$2:$I295,1,$E$2:$E295,$E295),""),"")</f>
        <v/>
      </c>
      <c r="M295" s="49" t="str">
        <f>IF(COUNTA($A295:$H295)=0,"",IF($A295="","Missing: task ID",IF(COUNTIF($A$2:$A$301,$A295)&gt;1,"Duplicate task ID",IF($B295="","Missing: task",IF($D295="","Missing: owner",IF(NOT(ISNUMBER($E295)),"Missing: due date",IF($F295="","Missing: status",IF(COUNTIF(Config!$J$15:$J$34,$F295)=0,"Unsupported status",IF(AND($G295&lt;&gt;"",COUNTIF(Config!$R$15:$R$34,$G295)=0),"Unsupported priority","OK")))))))))</f>
        <v/>
      </c>
    </row>
    <row r="296">
      <c r="A296" s="46" t="n"/>
      <c r="B296" s="46" t="n"/>
      <c r="C296" s="46" t="n"/>
      <c r="D296" s="46" t="n"/>
      <c r="E296" s="54" t="n"/>
      <c r="F296" s="46" t="n"/>
      <c r="G296" s="46" t="n"/>
      <c r="H296" s="46" t="n"/>
      <c r="I296" s="52" t="str">
        <f>IF($A296="","",IF(IFERROR(INDEX(Config!$K$15:$K$34,MATCH($F296,Config!$J$15:$J$34,0)),"Yes")="Yes",1,0))</f>
        <v/>
      </c>
      <c r="J296" s="52" t="str">
        <f>IF($A296="","",IF(AND($I296=1,ISNUMBER($E296)),IF($E296&lt;Config!$B$4,1,0),0))</f>
        <v/>
      </c>
      <c r="K296" s="52" t="str">
        <f>IF($A296="","",IF($J296=1,Config!$B$4-$E296,0))</f>
        <v/>
      </c>
      <c r="L296" s="52" t="str">
        <f>IF($I296=1,IFERROR(COUNTIFS($I$2:$I$301,1,$E$2:$E$301,"&lt;"&amp;$E296)+COUNTIFS($I$2:$I296,1,$E$2:$E296,$E296),""),"")</f>
        <v/>
      </c>
      <c r="M296" s="49" t="str">
        <f>IF(COUNTA($A296:$H296)=0,"",IF($A296="","Missing: task ID",IF(COUNTIF($A$2:$A$301,$A296)&gt;1,"Duplicate task ID",IF($B296="","Missing: task",IF($D296="","Missing: owner",IF(NOT(ISNUMBER($E296)),"Missing: due date",IF($F296="","Missing: status",IF(COUNTIF(Config!$J$15:$J$34,$F296)=0,"Unsupported status",IF(AND($G296&lt;&gt;"",COUNTIF(Config!$R$15:$R$34,$G296)=0),"Unsupported priority","OK")))))))))</f>
        <v/>
      </c>
    </row>
    <row r="297">
      <c r="A297" s="46" t="n"/>
      <c r="B297" s="46" t="n"/>
      <c r="C297" s="46" t="n"/>
      <c r="D297" s="46" t="n"/>
      <c r="E297" s="54" t="n"/>
      <c r="F297" s="46" t="n"/>
      <c r="G297" s="46" t="n"/>
      <c r="H297" s="46" t="n"/>
      <c r="I297" s="52" t="str">
        <f>IF($A297="","",IF(IFERROR(INDEX(Config!$K$15:$K$34,MATCH($F297,Config!$J$15:$J$34,0)),"Yes")="Yes",1,0))</f>
        <v/>
      </c>
      <c r="J297" s="52" t="str">
        <f>IF($A297="","",IF(AND($I297=1,ISNUMBER($E297)),IF($E297&lt;Config!$B$4,1,0),0))</f>
        <v/>
      </c>
      <c r="K297" s="52" t="str">
        <f>IF($A297="","",IF($J297=1,Config!$B$4-$E297,0))</f>
        <v/>
      </c>
      <c r="L297" s="52" t="str">
        <f>IF($I297=1,IFERROR(COUNTIFS($I$2:$I$301,1,$E$2:$E$301,"&lt;"&amp;$E297)+COUNTIFS($I$2:$I297,1,$E$2:$E297,$E297),""),"")</f>
        <v/>
      </c>
      <c r="M297" s="49" t="str">
        <f>IF(COUNTA($A297:$H297)=0,"",IF($A297="","Missing: task ID",IF(COUNTIF($A$2:$A$301,$A297)&gt;1,"Duplicate task ID",IF($B297="","Missing: task",IF($D297="","Missing: owner",IF(NOT(ISNUMBER($E297)),"Missing: due date",IF($F297="","Missing: status",IF(COUNTIF(Config!$J$15:$J$34,$F297)=0,"Unsupported status",IF(AND($G297&lt;&gt;"",COUNTIF(Config!$R$15:$R$34,$G297)=0),"Unsupported priority","OK")))))))))</f>
        <v/>
      </c>
    </row>
    <row r="298">
      <c r="A298" s="46" t="n"/>
      <c r="B298" s="46" t="n"/>
      <c r="C298" s="46" t="n"/>
      <c r="D298" s="46" t="n"/>
      <c r="E298" s="54" t="n"/>
      <c r="F298" s="46" t="n"/>
      <c r="G298" s="46" t="n"/>
      <c r="H298" s="46" t="n"/>
      <c r="I298" s="52" t="str">
        <f>IF($A298="","",IF(IFERROR(INDEX(Config!$K$15:$K$34,MATCH($F298,Config!$J$15:$J$34,0)),"Yes")="Yes",1,0))</f>
        <v/>
      </c>
      <c r="J298" s="52" t="str">
        <f>IF($A298="","",IF(AND($I298=1,ISNUMBER($E298)),IF($E298&lt;Config!$B$4,1,0),0))</f>
        <v/>
      </c>
      <c r="K298" s="52" t="str">
        <f>IF($A298="","",IF($J298=1,Config!$B$4-$E298,0))</f>
        <v/>
      </c>
      <c r="L298" s="52" t="str">
        <f>IF($I298=1,IFERROR(COUNTIFS($I$2:$I$301,1,$E$2:$E$301,"&lt;"&amp;$E298)+COUNTIFS($I$2:$I298,1,$E$2:$E298,$E298),""),"")</f>
        <v/>
      </c>
      <c r="M298" s="49" t="str">
        <f>IF(COUNTA($A298:$H298)=0,"",IF($A298="","Missing: task ID",IF(COUNTIF($A$2:$A$301,$A298)&gt;1,"Duplicate task ID",IF($B298="","Missing: task",IF($D298="","Missing: owner",IF(NOT(ISNUMBER($E298)),"Missing: due date",IF($F298="","Missing: status",IF(COUNTIF(Config!$J$15:$J$34,$F298)=0,"Unsupported status",IF(AND($G298&lt;&gt;"",COUNTIF(Config!$R$15:$R$34,$G298)=0),"Unsupported priority","OK")))))))))</f>
        <v/>
      </c>
    </row>
    <row r="299">
      <c r="A299" s="46" t="n"/>
      <c r="B299" s="46" t="n"/>
      <c r="C299" s="46" t="n"/>
      <c r="D299" s="46" t="n"/>
      <c r="E299" s="54" t="n"/>
      <c r="F299" s="46" t="n"/>
      <c r="G299" s="46" t="n"/>
      <c r="H299" s="46" t="n"/>
      <c r="I299" s="52" t="str">
        <f>IF($A299="","",IF(IFERROR(INDEX(Config!$K$15:$K$34,MATCH($F299,Config!$J$15:$J$34,0)),"Yes")="Yes",1,0))</f>
        <v/>
      </c>
      <c r="J299" s="52" t="str">
        <f>IF($A299="","",IF(AND($I299=1,ISNUMBER($E299)),IF($E299&lt;Config!$B$4,1,0),0))</f>
        <v/>
      </c>
      <c r="K299" s="52" t="str">
        <f>IF($A299="","",IF($J299=1,Config!$B$4-$E299,0))</f>
        <v/>
      </c>
      <c r="L299" s="52" t="str">
        <f>IF($I299=1,IFERROR(COUNTIFS($I$2:$I$301,1,$E$2:$E$301,"&lt;"&amp;$E299)+COUNTIFS($I$2:$I299,1,$E$2:$E299,$E299),""),"")</f>
        <v/>
      </c>
      <c r="M299" s="49" t="str">
        <f>IF(COUNTA($A299:$H299)=0,"",IF($A299="","Missing: task ID",IF(COUNTIF($A$2:$A$301,$A299)&gt;1,"Duplicate task ID",IF($B299="","Missing: task",IF($D299="","Missing: owner",IF(NOT(ISNUMBER($E299)),"Missing: due date",IF($F299="","Missing: status",IF(COUNTIF(Config!$J$15:$J$34,$F299)=0,"Unsupported status",IF(AND($G299&lt;&gt;"",COUNTIF(Config!$R$15:$R$34,$G299)=0),"Unsupported priority","OK")))))))))</f>
        <v/>
      </c>
    </row>
    <row r="300">
      <c r="A300" s="46" t="n"/>
      <c r="B300" s="46" t="n"/>
      <c r="C300" s="46" t="n"/>
      <c r="D300" s="46" t="n"/>
      <c r="E300" s="54" t="n"/>
      <c r="F300" s="46" t="n"/>
      <c r="G300" s="46" t="n"/>
      <c r="H300" s="46" t="n"/>
      <c r="I300" s="52" t="str">
        <f>IF($A300="","",IF(IFERROR(INDEX(Config!$K$15:$K$34,MATCH($F300,Config!$J$15:$J$34,0)),"Yes")="Yes",1,0))</f>
        <v/>
      </c>
      <c r="J300" s="52" t="str">
        <f>IF($A300="","",IF(AND($I300=1,ISNUMBER($E300)),IF($E300&lt;Config!$B$4,1,0),0))</f>
        <v/>
      </c>
      <c r="K300" s="52" t="str">
        <f>IF($A300="","",IF($J300=1,Config!$B$4-$E300,0))</f>
        <v/>
      </c>
      <c r="L300" s="52" t="str">
        <f>IF($I300=1,IFERROR(COUNTIFS($I$2:$I$301,1,$E$2:$E$301,"&lt;"&amp;$E300)+COUNTIFS($I$2:$I300,1,$E$2:$E300,$E300),""),"")</f>
        <v/>
      </c>
      <c r="M300" s="49" t="str">
        <f>IF(COUNTA($A300:$H300)=0,"",IF($A300="","Missing: task ID",IF(COUNTIF($A$2:$A$301,$A300)&gt;1,"Duplicate task ID",IF($B300="","Missing: task",IF($D300="","Missing: owner",IF(NOT(ISNUMBER($E300)),"Missing: due date",IF($F300="","Missing: status",IF(COUNTIF(Config!$J$15:$J$34,$F300)=0,"Unsupported status",IF(AND($G300&lt;&gt;"",COUNTIF(Config!$R$15:$R$34,$G300)=0),"Unsupported priority","OK")))))))))</f>
        <v/>
      </c>
    </row>
    <row r="301">
      <c r="A301" s="46" t="n"/>
      <c r="B301" s="46" t="n"/>
      <c r="C301" s="46" t="n"/>
      <c r="D301" s="46" t="n"/>
      <c r="E301" s="54" t="n"/>
      <c r="F301" s="46" t="n"/>
      <c r="G301" s="46" t="n"/>
      <c r="H301" s="46" t="n"/>
      <c r="I301" s="52" t="str">
        <f>IF($A301="","",IF(IFERROR(INDEX(Config!$K$15:$K$34,MATCH($F301,Config!$J$15:$J$34,0)),"Yes")="Yes",1,0))</f>
        <v/>
      </c>
      <c r="J301" s="52" t="str">
        <f>IF($A301="","",IF(AND($I301=1,ISNUMBER($E301)),IF($E301&lt;Config!$B$4,1,0),0))</f>
        <v/>
      </c>
      <c r="K301" s="52" t="str">
        <f>IF($A301="","",IF($J301=1,Config!$B$4-$E301,0))</f>
        <v/>
      </c>
      <c r="L301" s="52" t="str">
        <f>IF($I301=1,IFERROR(COUNTIFS($I$2:$I$301,1,$E$2:$E$301,"&lt;"&amp;$E301)+COUNTIFS($I$2:$I301,1,$E$2:$E301,$E301),""),"")</f>
        <v/>
      </c>
      <c r="M301" s="49" t="str">
        <f>IF(COUNTA($A301:$H301)=0,"",IF($A301="","Missing: task ID",IF(COUNTIF($A$2:$A$301,$A301)&gt;1,"Duplicate task ID",IF($B301="","Missing: task",IF($D301="","Missing: owner",IF(NOT(ISNUMBER($E301)),"Missing: due date",IF($F301="","Missing: status",IF(COUNTIF(Config!$J$15:$J$34,$F301)=0,"Unsupported status",IF(AND($G301&lt;&gt;"",COUNTIF(Config!$R$15:$R$34,$G301)=0),"Unsupported priority","OK")))))))))</f>
        <v/>
      </c>
    </row>
  </sheetData>
  <sheetProtection selectLockedCells="0" selectUnlockedCells="0" sheet="1" objects="0" insertRows="1" insertHyperlinks="1" autoFilter="0" scenarios="0" formatColumns="0" deleteColumns="1" insertColumns="1" pivotTables="1" deleteRows="1" formatCells="1" formatRows="0" sort="0"/>
  <autoFilter ref="A1:M301"/>
  <conditionalFormatting sqref="M2:M301">
    <cfRule type="expression" priority="1" dxfId="4">
      <formula>AND($M2&lt;&gt;"",$M2&lt;&gt;"OK")</formula>
    </cfRule>
  </conditionalFormatting>
  <conditionalFormatting sqref="A2:M301">
    <cfRule type="expression" priority="2" dxfId="0">
      <formula>$J2=1</formula>
    </cfRule>
  </conditionalFormatting>
  <dataValidations count="4">
    <dataValidation sqref="A2:A301" showDropDown="0" showInputMessage="1" showErrorMessage="1" allowBlank="1" errorTitle="Duplicate ID" error="This ID is already used in this sheet. IDs must be unique." promptTitle="Task ID" prompt="Required. Must be unique in this sheet." type="custom">
      <formula1>COUNTIF($A$2:$A$301,A2)&lt;=1</formula1>
    </dataValidation>
    <dataValidation sqref="E2:E301" showDropDown="0" showInputMessage="1" showErrorMessage="1" allowBlank="1" errorTitle="Date needed" error="Enter a date (yyyy-mm-dd)." promptTitle="Due date" prompt="Required. Date as yyyy-mm-dd." type="date" operator="greaterThan">
      <formula1>36526</formula1>
    </dataValidation>
    <dataValidation sqref="F2:F301" showDropDown="0" showInputMessage="1" showErrorMessage="1" allowBlank="1" errorTitle="Not in the list" error="Pick a value from the dropdown list." promptTitle="Status" prompt="Required. Pick from the list." type="list">
      <formula1>Config!$J$15:$J$34</formula1>
    </dataValidation>
    <dataValidation sqref="G2:G301" showDropDown="0" showInputMessage="1" showErrorMessage="1" allowBlank="1" errorTitle="Not in the list" error="Pick a value from the dropdown list." promptTitle="Priority" prompt="Optional. Pick from the list." type="list">
      <formula1>Config!$R$15:$R$34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1F3A5F"/>
    <outlinePr summaryBelow="1" summaryRight="1"/>
    <pageSetUpPr/>
  </sheetPr>
  <dimension ref="A1:M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20" customWidth="1" min="3" max="3"/>
    <col width="13" customWidth="1" min="4" max="4"/>
    <col width="8" customWidth="1" min="5" max="5"/>
    <col width="14" customWidth="1" min="6" max="6"/>
    <col width="11" customWidth="1" min="7" max="7"/>
    <col width="11" customWidth="1" min="8" max="8"/>
    <col width="10" customWidth="1" min="9" max="9"/>
    <col width="32" customWidth="1" min="10" max="10"/>
    <col width="24" customWidth="1" min="11" max="11"/>
    <col width="9" customWidth="1" min="12" max="12"/>
    <col width="26" customWidth="1" min="13" max="13"/>
  </cols>
  <sheetData>
    <row r="1" ht="42" customHeight="1">
      <c r="A1" s="41" t="inlineStr">
        <is>
          <t>Document ID *</t>
        </is>
      </c>
      <c r="B1" s="41" t="inlineStr">
        <is>
          <t>Title *</t>
        </is>
      </c>
      <c r="C1" s="41" t="inlineStr">
        <is>
          <t>Type *</t>
        </is>
      </c>
      <c r="D1" s="41" t="inlineStr">
        <is>
          <t>Related to</t>
        </is>
      </c>
      <c r="E1" s="41" t="inlineStr">
        <is>
          <t>Version</t>
        </is>
      </c>
      <c r="F1" s="41" t="inlineStr">
        <is>
          <t>Owner *</t>
        </is>
      </c>
      <c r="G1" s="41" t="inlineStr">
        <is>
          <t>Effective date</t>
        </is>
      </c>
      <c r="H1" s="41" t="inlineStr">
        <is>
          <t>Review due</t>
        </is>
      </c>
      <c r="I1" s="41" t="inlineStr">
        <is>
          <t>Status *</t>
        </is>
      </c>
      <c r="J1" s="41" t="inlineStr">
        <is>
          <t>Link *</t>
        </is>
      </c>
      <c r="K1" s="41" t="inlineStr">
        <is>
          <t>Notes</t>
        </is>
      </c>
      <c r="L1" s="23" t="inlineStr">
        <is>
          <t>Review overdue</t>
        </is>
      </c>
      <c r="M1" s="23" t="inlineStr">
        <is>
          <t>Record check</t>
        </is>
      </c>
    </row>
    <row r="2">
      <c r="A2" s="46" t="inlineStr">
        <is>
          <t>DOC-001</t>
        </is>
      </c>
      <c r="B2" s="46" t="inlineStr">
        <is>
          <t>Product specification: whey protein isolate 2 lb</t>
        </is>
      </c>
      <c r="C2" s="46" t="inlineStr">
        <is>
          <t>Spec sheet</t>
        </is>
      </c>
      <c r="D2" s="46" t="inlineStr">
        <is>
          <t>WPI-CHO-2LB</t>
        </is>
      </c>
      <c r="E2" s="46" t="inlineStr">
        <is>
          <t>v3</t>
        </is>
      </c>
      <c r="F2" s="46" t="inlineStr">
        <is>
          <t>Priya Nair</t>
        </is>
      </c>
      <c r="G2" s="54" t="n">
        <v>46054</v>
      </c>
      <c r="H2" s="54" t="n">
        <v>46419</v>
      </c>
      <c r="I2" s="46" t="inlineStr">
        <is>
          <t>Current</t>
        </is>
      </c>
      <c r="J2" s="46" t="inlineStr">
        <is>
          <t>https://example.com/docs/DOC-001</t>
        </is>
      </c>
      <c r="K2" s="46" t="n"/>
      <c r="L2" s="49" t="str">
        <f>IF($A2="","",IF(AND($I2="Current",ISNUMBER($H2)),IF($H2&lt;Config!$B$4,"Yes",""),""))</f>
        <v/>
      </c>
      <c r="M2" s="49" t="str">
        <f>IF(COUNTA($A2:$K2)=0,"",IF($A2="","Missing: document ID",IF(COUNTIF($A$2:$A$201,$A2)&gt;1,"Duplicate document ID",IF($B2="","Missing: title",IF($C2="","Missing: type",IF($F2="","Missing: owner",IF($I2="","Missing: status",IF($J2="","Missing: link",IF(COUNTIF(Config!$S$15:$S$34,$C2)=0,"Unsupported type",IF(COUNTIF(Config!$T$15:$T$34,$I2)=0,"Unsupported status","OK"))))))))))</f>
        <v>OK</v>
      </c>
    </row>
    <row r="3">
      <c r="A3" s="46" t="inlineStr">
        <is>
          <t>DOC-002</t>
        </is>
      </c>
      <c r="B3" s="46" t="inlineStr">
        <is>
          <t>Supplement facts panel: plant protein vanilla</t>
        </is>
      </c>
      <c r="C3" s="46" t="inlineStr">
        <is>
          <t>Label artwork</t>
        </is>
      </c>
      <c r="D3" s="46" t="inlineStr">
        <is>
          <t>PLT-VAN-2LB</t>
        </is>
      </c>
      <c r="E3" s="46" t="inlineStr">
        <is>
          <t>v4</t>
        </is>
      </c>
      <c r="F3" s="46" t="inlineStr">
        <is>
          <t>Priya Nair</t>
        </is>
      </c>
      <c r="G3" s="54" t="n">
        <v>46295</v>
      </c>
      <c r="H3" s="54" t="n">
        <v>46660</v>
      </c>
      <c r="I3" s="46" t="inlineStr">
        <is>
          <t>Current</t>
        </is>
      </c>
      <c r="J3" s="46" t="inlineStr">
        <is>
          <t>https://example.com/docs/DOC-002</t>
        </is>
      </c>
      <c r="K3" s="46" t="n"/>
      <c r="L3" s="49" t="str">
        <f>IF($A3="","",IF(AND($I3="Current",ISNUMBER($H3)),IF($H3&lt;Config!$B$4,"Yes",""),""))</f>
        <v/>
      </c>
      <c r="M3" s="49" t="str">
        <f>IF(COUNTA($A3:$K3)=0,"",IF($A3="","Missing: document ID",IF(COUNTIF($A$2:$A$201,$A3)&gt;1,"Duplicate document ID",IF($B3="","Missing: title",IF($C3="","Missing: type",IF($F3="","Missing: owner",IF($I3="","Missing: status",IF($J3="","Missing: link",IF(COUNTIF(Config!$S$15:$S$34,$C3)=0,"Unsupported type",IF(COUNTIF(Config!$T$15:$T$34,$I3)=0,"Unsupported status","OK"))))))))))</f>
        <v>OK</v>
      </c>
    </row>
    <row r="4">
      <c r="A4" s="46" t="inlineStr">
        <is>
          <t>DOC-003</t>
        </is>
      </c>
      <c r="B4" s="46" t="inlineStr">
        <is>
          <t>Certificate of analysis: lot WVA2609A</t>
        </is>
      </c>
      <c r="C4" s="46" t="inlineStr">
        <is>
          <t>Certificate of analysis</t>
        </is>
      </c>
      <c r="D4" s="46" t="inlineStr">
        <is>
          <t>WVA2609A</t>
        </is>
      </c>
      <c r="E4" s="46" t="inlineStr">
        <is>
          <t>v1</t>
        </is>
      </c>
      <c r="F4" s="46" t="inlineStr">
        <is>
          <t>Priya Nair</t>
        </is>
      </c>
      <c r="G4" s="54" t="n">
        <v>46303</v>
      </c>
      <c r="H4" s="54" t="n"/>
      <c r="I4" s="46" t="inlineStr">
        <is>
          <t>In review</t>
        </is>
      </c>
      <c r="J4" s="46" t="inlineStr">
        <is>
          <t>https://example.com/docs/DOC-003</t>
        </is>
      </c>
      <c r="K4" s="46" t="n"/>
      <c r="L4" s="49" t="str">
        <f>IF($A4="","",IF(AND($I4="Current",ISNUMBER($H4)),IF($H4&lt;Config!$B$4,"Yes",""),""))</f>
        <v/>
      </c>
      <c r="M4" s="49" t="str">
        <f>IF(COUNTA($A4:$K4)=0,"",IF($A4="","Missing: document ID",IF(COUNTIF($A$2:$A$201,$A4)&gt;1,"Duplicate document ID",IF($B4="","Missing: title",IF($C4="","Missing: type",IF($F4="","Missing: owner",IF($I4="","Missing: status",IF($J4="","Missing: link",IF(COUNTIF(Config!$S$15:$S$34,$C4)=0,"Unsupported type",IF(COUNTIF(Config!$T$15:$T$34,$I4)=0,"Unsupported status","OK"))))))))))</f>
        <v>OK</v>
      </c>
    </row>
    <row r="5">
      <c r="A5" s="46" t="inlineStr">
        <is>
          <t>DOC-004</t>
        </is>
      </c>
      <c r="B5" s="46" t="inlineStr">
        <is>
          <t>Co-packing agreement: Bramwell Bar Works</t>
        </is>
      </c>
      <c r="C5" s="46" t="inlineStr">
        <is>
          <t>Agreement</t>
        </is>
      </c>
      <c r="D5" s="46" t="inlineStr">
        <is>
          <t>SUP-02</t>
        </is>
      </c>
      <c r="E5" s="46" t="inlineStr">
        <is>
          <t>v2</t>
        </is>
      </c>
      <c r="F5" s="46" t="inlineStr">
        <is>
          <t>Ben Okafor</t>
        </is>
      </c>
      <c r="G5" s="54" t="n">
        <v>45962</v>
      </c>
      <c r="H5" s="54" t="n">
        <v>46327</v>
      </c>
      <c r="I5" s="46" t="inlineStr">
        <is>
          <t>Current</t>
        </is>
      </c>
      <c r="J5" s="46" t="inlineStr">
        <is>
          <t>https://example.com/docs/DOC-004</t>
        </is>
      </c>
      <c r="K5" s="46" t="n"/>
      <c r="L5" s="49" t="str">
        <f>IF($A5="","",IF(AND($I5="Current",ISNUMBER($H5)),IF($H5&lt;Config!$B$4,"Yes",""),""))</f>
        <v/>
      </c>
      <c r="M5" s="49" t="str">
        <f>IF(COUNTA($A5:$K5)=0,"",IF($A5="","Missing: document ID",IF(COUNTIF($A$2:$A$201,$A5)&gt;1,"Duplicate document ID",IF($B5="","Missing: title",IF($C5="","Missing: type",IF($F5="","Missing: owner",IF($I5="","Missing: status",IF($J5="","Missing: link",IF(COUNTIF(Config!$S$15:$S$34,$C5)=0,"Unsupported type",IF(COUNTIF(Config!$T$15:$T$34,$I5)=0,"Unsupported status","OK"))))))))))</f>
        <v>OK</v>
      </c>
    </row>
    <row r="6">
      <c r="A6" s="46" t="inlineStr">
        <is>
          <t>DOC-005</t>
        </is>
      </c>
      <c r="B6" s="46" t="inlineStr">
        <is>
          <t>Allergen statement: protein bars</t>
        </is>
      </c>
      <c r="C6" s="46" t="inlineStr">
        <is>
          <t>Allergen statement</t>
        </is>
      </c>
      <c r="D6" s="46" t="inlineStr">
        <is>
          <t>BAR-PBC-12</t>
        </is>
      </c>
      <c r="E6" s="46" t="inlineStr">
        <is>
          <t>v1</t>
        </is>
      </c>
      <c r="F6" s="46" t="inlineStr">
        <is>
          <t>Priya Nair</t>
        </is>
      </c>
      <c r="G6" s="54" t="n">
        <v>46096</v>
      </c>
      <c r="H6" s="54" t="n">
        <v>46461</v>
      </c>
      <c r="I6" s="46" t="inlineStr">
        <is>
          <t>Current</t>
        </is>
      </c>
      <c r="J6" s="46" t="inlineStr">
        <is>
          <t>https://example.com/docs/DOC-005</t>
        </is>
      </c>
      <c r="K6" s="46" t="n"/>
      <c r="L6" s="49" t="str">
        <f>IF($A6="","",IF(AND($I6="Current",ISNUMBER($H6)),IF($H6&lt;Config!$B$4,"Yes",""),""))</f>
        <v/>
      </c>
      <c r="M6" s="49" t="str">
        <f>IF(COUNTA($A6:$K6)=0,"",IF($A6="","Missing: document ID",IF(COUNTIF($A$2:$A$201,$A6)&gt;1,"Duplicate document ID",IF($B6="","Missing: title",IF($C6="","Missing: type",IF($F6="","Missing: owner",IF($I6="","Missing: status",IF($J6="","Missing: link",IF(COUNTIF(Config!$S$15:$S$34,$C6)=0,"Unsupported type",IF(COUNTIF(Config!$T$15:$T$34,$I6)=0,"Unsupported status","OK"))))))))))</f>
        <v>OK</v>
      </c>
    </row>
    <row r="7">
      <c r="A7" s="46" t="inlineStr">
        <is>
          <t>DOC-006</t>
        </is>
      </c>
      <c r="B7" s="46" t="inlineStr">
        <is>
          <t>SOP: receiving and quarantine</t>
        </is>
      </c>
      <c r="C7" s="46" t="inlineStr">
        <is>
          <t>SOP</t>
        </is>
      </c>
      <c r="D7" s="46" t="n"/>
      <c r="E7" s="46" t="inlineStr">
        <is>
          <t>v5</t>
        </is>
      </c>
      <c r="F7" s="46" t="inlineStr">
        <is>
          <t>Ben Okafor</t>
        </is>
      </c>
      <c r="G7" s="54" t="n">
        <v>46174</v>
      </c>
      <c r="H7" s="54" t="n">
        <v>46539</v>
      </c>
      <c r="I7" s="46" t="inlineStr">
        <is>
          <t>Current</t>
        </is>
      </c>
      <c r="J7" s="46" t="inlineStr">
        <is>
          <t>https://example.com/docs/DOC-006</t>
        </is>
      </c>
      <c r="K7" s="46" t="n"/>
      <c r="L7" s="49" t="str">
        <f>IF($A7="","",IF(AND($I7="Current",ISNUMBER($H7)),IF($H7&lt;Config!$B$4,"Yes",""),""))</f>
        <v/>
      </c>
      <c r="M7" s="49" t="str">
        <f>IF(COUNTA($A7:$K7)=0,"",IF($A7="","Missing: document ID",IF(COUNTIF($A$2:$A$201,$A7)&gt;1,"Duplicate document ID",IF($B7="","Missing: title",IF($C7="","Missing: type",IF($F7="","Missing: owner",IF($I7="","Missing: status",IF($J7="","Missing: link",IF(COUNTIF(Config!$S$15:$S$34,$C7)=0,"Unsupported type",IF(COUNTIF(Config!$T$15:$T$34,$I7)=0,"Unsupported status","OK"))))))))))</f>
        <v>OK</v>
      </c>
    </row>
    <row r="8">
      <c r="A8" s="46" t="inlineStr">
        <is>
          <t>DOC-007</t>
        </is>
      </c>
      <c r="B8" s="46" t="inlineStr">
        <is>
          <t>SOP: expired stock destruction</t>
        </is>
      </c>
      <c r="C8" s="46" t="inlineStr">
        <is>
          <t>SOP</t>
        </is>
      </c>
      <c r="D8" s="46" t="n"/>
      <c r="E8" s="46" t="inlineStr">
        <is>
          <t>v2</t>
        </is>
      </c>
      <c r="F8" s="46" t="inlineStr">
        <is>
          <t>Ben Okafor</t>
        </is>
      </c>
      <c r="G8" s="54" t="n">
        <v>45901</v>
      </c>
      <c r="H8" s="54" t="n">
        <v>46266</v>
      </c>
      <c r="I8" s="46" t="inlineStr">
        <is>
          <t>Current</t>
        </is>
      </c>
      <c r="J8" s="46" t="inlineStr">
        <is>
          <t>https://example.com/docs/DOC-007</t>
        </is>
      </c>
      <c r="K8" s="46" t="n"/>
      <c r="L8" s="49" t="str">
        <f>IF($A8="","",IF(AND($I8="Current",ISNUMBER($H8)),IF($H8&lt;Config!$B$4,"Yes",""),""))</f>
        <v>Yes</v>
      </c>
      <c r="M8" s="49" t="str">
        <f>IF(COUNTA($A8:$K8)=0,"",IF($A8="","Missing: document ID",IF(COUNTIF($A$2:$A$201,$A8)&gt;1,"Duplicate document ID",IF($B8="","Missing: title",IF($C8="","Missing: type",IF($F8="","Missing: owner",IF($I8="","Missing: status",IF($J8="","Missing: link",IF(COUNTIF(Config!$S$15:$S$34,$C8)=0,"Unsupported type",IF(COUNTIF(Config!$T$15:$T$34,$I8)=0,"Unsupported status","OK"))))))))))</f>
        <v>OK</v>
      </c>
    </row>
    <row r="9">
      <c r="A9" s="46" t="inlineStr">
        <is>
          <t>DOC-008</t>
        </is>
      </c>
      <c r="B9" s="46" t="inlineStr">
        <is>
          <t>Insurance certificate: Dunmore Powder Labs</t>
        </is>
      </c>
      <c r="C9" s="46" t="inlineStr">
        <is>
          <t>Insurance certificate</t>
        </is>
      </c>
      <c r="D9" s="46" t="inlineStr">
        <is>
          <t>SUP-04</t>
        </is>
      </c>
      <c r="E9" s="46" t="inlineStr">
        <is>
          <t>2026</t>
        </is>
      </c>
      <c r="F9" s="46" t="inlineStr">
        <is>
          <t>Ben Okafor</t>
        </is>
      </c>
      <c r="G9" s="54" t="n">
        <v>46023</v>
      </c>
      <c r="H9" s="54" t="n">
        <v>46387</v>
      </c>
      <c r="I9" s="46" t="inlineStr">
        <is>
          <t>Current</t>
        </is>
      </c>
      <c r="J9" s="46" t="inlineStr">
        <is>
          <t>https://example.com/docs/DOC-008</t>
        </is>
      </c>
      <c r="K9" s="46" t="n"/>
      <c r="L9" s="49" t="str">
        <f>IF($A9="","",IF(AND($I9="Current",ISNUMBER($H9)),IF($H9&lt;Config!$B$4,"Yes",""),""))</f>
        <v/>
      </c>
      <c r="M9" s="49" t="str">
        <f>IF(COUNTA($A9:$K9)=0,"",IF($A9="","Missing: document ID",IF(COUNTIF($A$2:$A$201,$A9)&gt;1,"Duplicate document ID",IF($B9="","Missing: title",IF($C9="","Missing: type",IF($F9="","Missing: owner",IF($I9="","Missing: status",IF($J9="","Missing: link",IF(COUNTIF(Config!$S$15:$S$34,$C9)=0,"Unsupported type",IF(COUNTIF(Config!$T$15:$T$34,$I9)=0,"Unsupported status","OK"))))))))))</f>
        <v>OK</v>
      </c>
    </row>
    <row r="10">
      <c r="A10" s="46" t="inlineStr">
        <is>
          <t>DOC-009</t>
        </is>
      </c>
      <c r="B10" s="46" t="inlineStr">
        <is>
          <t>Label artwork: pre-workout watermelon (old design)</t>
        </is>
      </c>
      <c r="C10" s="46" t="inlineStr">
        <is>
          <t>Label artwork</t>
        </is>
      </c>
      <c r="D10" s="46" t="inlineStr">
        <is>
          <t>PRE-WTM-30</t>
        </is>
      </c>
      <c r="E10" s="46" t="inlineStr">
        <is>
          <t>v2</t>
        </is>
      </c>
      <c r="F10" s="46" t="inlineStr">
        <is>
          <t>Priya Nair</t>
        </is>
      </c>
      <c r="G10" s="54" t="n">
        <v>45717</v>
      </c>
      <c r="H10" s="54" t="n"/>
      <c r="I10" s="46" t="inlineStr">
        <is>
          <t>Superseded</t>
        </is>
      </c>
      <c r="J10" s="46" t="inlineStr">
        <is>
          <t>https://example.com/docs/DOC-009</t>
        </is>
      </c>
      <c r="K10" s="46" t="n"/>
      <c r="L10" s="49" t="str">
        <f>IF($A10="","",IF(AND($I10="Current",ISNUMBER($H10)),IF($H10&lt;Config!$B$4,"Yes",""),""))</f>
        <v/>
      </c>
      <c r="M10" s="49" t="str">
        <f>IF(COUNTA($A10:$K10)=0,"",IF($A10="","Missing: document ID",IF(COUNTIF($A$2:$A$201,$A10)&gt;1,"Duplicate document ID",IF($B10="","Missing: title",IF($C10="","Missing: type",IF($F10="","Missing: owner",IF($I10="","Missing: status",IF($J10="","Missing: link",IF(COUNTIF(Config!$S$15:$S$34,$C10)=0,"Unsupported type",IF(COUNTIF(Config!$T$15:$T$34,$I10)=0,"Unsupported status","OK"))))))))))</f>
        <v>OK</v>
      </c>
    </row>
    <row r="11">
      <c r="A11" s="46" t="inlineStr">
        <is>
          <t>DOC-010</t>
        </is>
      </c>
      <c r="B11" s="46" t="inlineStr">
        <is>
          <t>Campaign brief: Holiday Gift Bundles</t>
        </is>
      </c>
      <c r="C11" s="46" t="inlineStr">
        <is>
          <t>Campaign brief</t>
        </is>
      </c>
      <c r="D11" s="46" t="inlineStr">
        <is>
          <t>CMP-2026-07</t>
        </is>
      </c>
      <c r="E11" s="46" t="inlineStr">
        <is>
          <t>v1</t>
        </is>
      </c>
      <c r="F11" s="46" t="inlineStr">
        <is>
          <t>Maya Torres</t>
        </is>
      </c>
      <c r="G11" s="54" t="n">
        <v>46303</v>
      </c>
      <c r="H11" s="54" t="n"/>
      <c r="I11" s="46" t="inlineStr">
        <is>
          <t>In review</t>
        </is>
      </c>
      <c r="J11" s="46" t="inlineStr">
        <is>
          <t>https://example.com/docs/DOC-010</t>
        </is>
      </c>
      <c r="K11" s="46" t="n"/>
      <c r="L11" s="49" t="str">
        <f>IF($A11="","",IF(AND($I11="Current",ISNUMBER($H11)),IF($H11&lt;Config!$B$4,"Yes",""),""))</f>
        <v/>
      </c>
      <c r="M11" s="49" t="str">
        <f>IF(COUNTA($A11:$K11)=0,"",IF($A11="","Missing: document ID",IF(COUNTIF($A$2:$A$201,$A11)&gt;1,"Duplicate document ID",IF($B11="","Missing: title",IF($C11="","Missing: type",IF($F11="","Missing: owner",IF($I11="","Missing: status",IF($J11="","Missing: link",IF(COUNTIF(Config!$S$15:$S$34,$C11)=0,"Unsupported type",IF(COUNTIF(Config!$T$15:$T$34,$I11)=0,"Unsupported status","OK"))))))))))</f>
        <v>OK</v>
      </c>
    </row>
    <row r="12">
      <c r="A12" s="46" t="n"/>
      <c r="B12" s="46" t="n"/>
      <c r="C12" s="46" t="n"/>
      <c r="D12" s="46" t="n"/>
      <c r="E12" s="46" t="n"/>
      <c r="F12" s="46" t="n"/>
      <c r="G12" s="54" t="n"/>
      <c r="H12" s="54" t="n"/>
      <c r="I12" s="46" t="n"/>
      <c r="J12" s="46" t="n"/>
      <c r="K12" s="46" t="n"/>
      <c r="L12" s="49" t="str">
        <f>IF($A12="","",IF(AND($I12="Current",ISNUMBER($H12)),IF($H12&lt;Config!$B$4,"Yes",""),""))</f>
        <v/>
      </c>
      <c r="M12" s="49" t="str">
        <f>IF(COUNTA($A12:$K12)=0,"",IF($A12="","Missing: document ID",IF(COUNTIF($A$2:$A$201,$A12)&gt;1,"Duplicate document ID",IF($B12="","Missing: title",IF($C12="","Missing: type",IF($F12="","Missing: owner",IF($I12="","Missing: status",IF($J12="","Missing: link",IF(COUNTIF(Config!$S$15:$S$34,$C12)=0,"Unsupported type",IF(COUNTIF(Config!$T$15:$T$34,$I12)=0,"Unsupported status","OK"))))))))))</f>
        <v/>
      </c>
    </row>
    <row r="13">
      <c r="A13" s="46" t="n"/>
      <c r="B13" s="46" t="n"/>
      <c r="C13" s="46" t="n"/>
      <c r="D13" s="46" t="n"/>
      <c r="E13" s="46" t="n"/>
      <c r="F13" s="46" t="n"/>
      <c r="G13" s="54" t="n"/>
      <c r="H13" s="54" t="n"/>
      <c r="I13" s="46" t="n"/>
      <c r="J13" s="46" t="n"/>
      <c r="K13" s="46" t="n"/>
      <c r="L13" s="49" t="str">
        <f>IF($A13="","",IF(AND($I13="Current",ISNUMBER($H13)),IF($H13&lt;Config!$B$4,"Yes",""),""))</f>
        <v/>
      </c>
      <c r="M13" s="49" t="str">
        <f>IF(COUNTA($A13:$K13)=0,"",IF($A13="","Missing: document ID",IF(COUNTIF($A$2:$A$201,$A13)&gt;1,"Duplicate document ID",IF($B13="","Missing: title",IF($C13="","Missing: type",IF($F13="","Missing: owner",IF($I13="","Missing: status",IF($J13="","Missing: link",IF(COUNTIF(Config!$S$15:$S$34,$C13)=0,"Unsupported type",IF(COUNTIF(Config!$T$15:$T$34,$I13)=0,"Unsupported status","OK"))))))))))</f>
        <v/>
      </c>
    </row>
    <row r="14">
      <c r="A14" s="46" t="n"/>
      <c r="B14" s="46" t="n"/>
      <c r="C14" s="46" t="n"/>
      <c r="D14" s="46" t="n"/>
      <c r="E14" s="46" t="n"/>
      <c r="F14" s="46" t="n"/>
      <c r="G14" s="54" t="n"/>
      <c r="H14" s="54" t="n"/>
      <c r="I14" s="46" t="n"/>
      <c r="J14" s="46" t="n"/>
      <c r="K14" s="46" t="n"/>
      <c r="L14" s="49" t="str">
        <f>IF($A14="","",IF(AND($I14="Current",ISNUMBER($H14)),IF($H14&lt;Config!$B$4,"Yes",""),""))</f>
        <v/>
      </c>
      <c r="M14" s="49" t="str">
        <f>IF(COUNTA($A14:$K14)=0,"",IF($A14="","Missing: document ID",IF(COUNTIF($A$2:$A$201,$A14)&gt;1,"Duplicate document ID",IF($B14="","Missing: title",IF($C14="","Missing: type",IF($F14="","Missing: owner",IF($I14="","Missing: status",IF($J14="","Missing: link",IF(COUNTIF(Config!$S$15:$S$34,$C14)=0,"Unsupported type",IF(COUNTIF(Config!$T$15:$T$34,$I14)=0,"Unsupported status","OK"))))))))))</f>
        <v/>
      </c>
    </row>
    <row r="15">
      <c r="A15" s="46" t="n"/>
      <c r="B15" s="46" t="n"/>
      <c r="C15" s="46" t="n"/>
      <c r="D15" s="46" t="n"/>
      <c r="E15" s="46" t="n"/>
      <c r="F15" s="46" t="n"/>
      <c r="G15" s="54" t="n"/>
      <c r="H15" s="54" t="n"/>
      <c r="I15" s="46" t="n"/>
      <c r="J15" s="46" t="n"/>
      <c r="K15" s="46" t="n"/>
      <c r="L15" s="49" t="str">
        <f>IF($A15="","",IF(AND($I15="Current",ISNUMBER($H15)),IF($H15&lt;Config!$B$4,"Yes",""),""))</f>
        <v/>
      </c>
      <c r="M15" s="49" t="str">
        <f>IF(COUNTA($A15:$K15)=0,"",IF($A15="","Missing: document ID",IF(COUNTIF($A$2:$A$201,$A15)&gt;1,"Duplicate document ID",IF($B15="","Missing: title",IF($C15="","Missing: type",IF($F15="","Missing: owner",IF($I15="","Missing: status",IF($J15="","Missing: link",IF(COUNTIF(Config!$S$15:$S$34,$C15)=0,"Unsupported type",IF(COUNTIF(Config!$T$15:$T$34,$I15)=0,"Unsupported status","OK"))))))))))</f>
        <v/>
      </c>
    </row>
    <row r="16">
      <c r="A16" s="46" t="n"/>
      <c r="B16" s="46" t="n"/>
      <c r="C16" s="46" t="n"/>
      <c r="D16" s="46" t="n"/>
      <c r="E16" s="46" t="n"/>
      <c r="F16" s="46" t="n"/>
      <c r="G16" s="54" t="n"/>
      <c r="H16" s="54" t="n"/>
      <c r="I16" s="46" t="n"/>
      <c r="J16" s="46" t="n"/>
      <c r="K16" s="46" t="n"/>
      <c r="L16" s="49" t="str">
        <f>IF($A16="","",IF(AND($I16="Current",ISNUMBER($H16)),IF($H16&lt;Config!$B$4,"Yes",""),""))</f>
        <v/>
      </c>
      <c r="M16" s="49" t="str">
        <f>IF(COUNTA($A16:$K16)=0,"",IF($A16="","Missing: document ID",IF(COUNTIF($A$2:$A$201,$A16)&gt;1,"Duplicate document ID",IF($B16="","Missing: title",IF($C16="","Missing: type",IF($F16="","Missing: owner",IF($I16="","Missing: status",IF($J16="","Missing: link",IF(COUNTIF(Config!$S$15:$S$34,$C16)=0,"Unsupported type",IF(COUNTIF(Config!$T$15:$T$34,$I16)=0,"Unsupported status","OK"))))))))))</f>
        <v/>
      </c>
    </row>
    <row r="17">
      <c r="A17" s="46" t="n"/>
      <c r="B17" s="46" t="n"/>
      <c r="C17" s="46" t="n"/>
      <c r="D17" s="46" t="n"/>
      <c r="E17" s="46" t="n"/>
      <c r="F17" s="46" t="n"/>
      <c r="G17" s="54" t="n"/>
      <c r="H17" s="54" t="n"/>
      <c r="I17" s="46" t="n"/>
      <c r="J17" s="46" t="n"/>
      <c r="K17" s="46" t="n"/>
      <c r="L17" s="49" t="str">
        <f>IF($A17="","",IF(AND($I17="Current",ISNUMBER($H17)),IF($H17&lt;Config!$B$4,"Yes",""),""))</f>
        <v/>
      </c>
      <c r="M17" s="49" t="str">
        <f>IF(COUNTA($A17:$K17)=0,"",IF($A17="","Missing: document ID",IF(COUNTIF($A$2:$A$201,$A17)&gt;1,"Duplicate document ID",IF($B17="","Missing: title",IF($C17="","Missing: type",IF($F17="","Missing: owner",IF($I17="","Missing: status",IF($J17="","Missing: link",IF(COUNTIF(Config!$S$15:$S$34,$C17)=0,"Unsupported type",IF(COUNTIF(Config!$T$15:$T$34,$I17)=0,"Unsupported status","OK"))))))))))</f>
        <v/>
      </c>
    </row>
    <row r="18">
      <c r="A18" s="46" t="n"/>
      <c r="B18" s="46" t="n"/>
      <c r="C18" s="46" t="n"/>
      <c r="D18" s="46" t="n"/>
      <c r="E18" s="46" t="n"/>
      <c r="F18" s="46" t="n"/>
      <c r="G18" s="54" t="n"/>
      <c r="H18" s="54" t="n"/>
      <c r="I18" s="46" t="n"/>
      <c r="J18" s="46" t="n"/>
      <c r="K18" s="46" t="n"/>
      <c r="L18" s="49" t="str">
        <f>IF($A18="","",IF(AND($I18="Current",ISNUMBER($H18)),IF($H18&lt;Config!$B$4,"Yes",""),""))</f>
        <v/>
      </c>
      <c r="M18" s="49" t="str">
        <f>IF(COUNTA($A18:$K18)=0,"",IF($A18="","Missing: document ID",IF(COUNTIF($A$2:$A$201,$A18)&gt;1,"Duplicate document ID",IF($B18="","Missing: title",IF($C18="","Missing: type",IF($F18="","Missing: owner",IF($I18="","Missing: status",IF($J18="","Missing: link",IF(COUNTIF(Config!$S$15:$S$34,$C18)=0,"Unsupported type",IF(COUNTIF(Config!$T$15:$T$34,$I18)=0,"Unsupported status","OK"))))))))))</f>
        <v/>
      </c>
    </row>
    <row r="19">
      <c r="A19" s="46" t="n"/>
      <c r="B19" s="46" t="n"/>
      <c r="C19" s="46" t="n"/>
      <c r="D19" s="46" t="n"/>
      <c r="E19" s="46" t="n"/>
      <c r="F19" s="46" t="n"/>
      <c r="G19" s="54" t="n"/>
      <c r="H19" s="54" t="n"/>
      <c r="I19" s="46" t="n"/>
      <c r="J19" s="46" t="n"/>
      <c r="K19" s="46" t="n"/>
      <c r="L19" s="49" t="str">
        <f>IF($A19="","",IF(AND($I19="Current",ISNUMBER($H19)),IF($H19&lt;Config!$B$4,"Yes",""),""))</f>
        <v/>
      </c>
      <c r="M19" s="49" t="str">
        <f>IF(COUNTA($A19:$K19)=0,"",IF($A19="","Missing: document ID",IF(COUNTIF($A$2:$A$201,$A19)&gt;1,"Duplicate document ID",IF($B19="","Missing: title",IF($C19="","Missing: type",IF($F19="","Missing: owner",IF($I19="","Missing: status",IF($J19="","Missing: link",IF(COUNTIF(Config!$S$15:$S$34,$C19)=0,"Unsupported type",IF(COUNTIF(Config!$T$15:$T$34,$I19)=0,"Unsupported status","OK"))))))))))</f>
        <v/>
      </c>
    </row>
    <row r="20">
      <c r="A20" s="46" t="n"/>
      <c r="B20" s="46" t="n"/>
      <c r="C20" s="46" t="n"/>
      <c r="D20" s="46" t="n"/>
      <c r="E20" s="46" t="n"/>
      <c r="F20" s="46" t="n"/>
      <c r="G20" s="54" t="n"/>
      <c r="H20" s="54" t="n"/>
      <c r="I20" s="46" t="n"/>
      <c r="J20" s="46" t="n"/>
      <c r="K20" s="46" t="n"/>
      <c r="L20" s="49" t="str">
        <f>IF($A20="","",IF(AND($I20="Current",ISNUMBER($H20)),IF($H20&lt;Config!$B$4,"Yes",""),""))</f>
        <v/>
      </c>
      <c r="M20" s="49" t="str">
        <f>IF(COUNTA($A20:$K20)=0,"",IF($A20="","Missing: document ID",IF(COUNTIF($A$2:$A$201,$A20)&gt;1,"Duplicate document ID",IF($B20="","Missing: title",IF($C20="","Missing: type",IF($F20="","Missing: owner",IF($I20="","Missing: status",IF($J20="","Missing: link",IF(COUNTIF(Config!$S$15:$S$34,$C20)=0,"Unsupported type",IF(COUNTIF(Config!$T$15:$T$34,$I20)=0,"Unsupported status","OK"))))))))))</f>
        <v/>
      </c>
    </row>
    <row r="21">
      <c r="A21" s="46" t="n"/>
      <c r="B21" s="46" t="n"/>
      <c r="C21" s="46" t="n"/>
      <c r="D21" s="46" t="n"/>
      <c r="E21" s="46" t="n"/>
      <c r="F21" s="46" t="n"/>
      <c r="G21" s="54" t="n"/>
      <c r="H21" s="54" t="n"/>
      <c r="I21" s="46" t="n"/>
      <c r="J21" s="46" t="n"/>
      <c r="K21" s="46" t="n"/>
      <c r="L21" s="49" t="str">
        <f>IF($A21="","",IF(AND($I21="Current",ISNUMBER($H21)),IF($H21&lt;Config!$B$4,"Yes",""),""))</f>
        <v/>
      </c>
      <c r="M21" s="49" t="str">
        <f>IF(COUNTA($A21:$K21)=0,"",IF($A21="","Missing: document ID",IF(COUNTIF($A$2:$A$201,$A21)&gt;1,"Duplicate document ID",IF($B21="","Missing: title",IF($C21="","Missing: type",IF($F21="","Missing: owner",IF($I21="","Missing: status",IF($J21="","Missing: link",IF(COUNTIF(Config!$S$15:$S$34,$C21)=0,"Unsupported type",IF(COUNTIF(Config!$T$15:$T$34,$I21)=0,"Unsupported status","OK"))))))))))</f>
        <v/>
      </c>
    </row>
    <row r="22">
      <c r="A22" s="46" t="n"/>
      <c r="B22" s="46" t="n"/>
      <c r="C22" s="46" t="n"/>
      <c r="D22" s="46" t="n"/>
      <c r="E22" s="46" t="n"/>
      <c r="F22" s="46" t="n"/>
      <c r="G22" s="54" t="n"/>
      <c r="H22" s="54" t="n"/>
      <c r="I22" s="46" t="n"/>
      <c r="J22" s="46" t="n"/>
      <c r="K22" s="46" t="n"/>
      <c r="L22" s="49" t="str">
        <f>IF($A22="","",IF(AND($I22="Current",ISNUMBER($H22)),IF($H22&lt;Config!$B$4,"Yes",""),""))</f>
        <v/>
      </c>
      <c r="M22" s="49" t="str">
        <f>IF(COUNTA($A22:$K22)=0,"",IF($A22="","Missing: document ID",IF(COUNTIF($A$2:$A$201,$A22)&gt;1,"Duplicate document ID",IF($B22="","Missing: title",IF($C22="","Missing: type",IF($F22="","Missing: owner",IF($I22="","Missing: status",IF($J22="","Missing: link",IF(COUNTIF(Config!$S$15:$S$34,$C22)=0,"Unsupported type",IF(COUNTIF(Config!$T$15:$T$34,$I22)=0,"Unsupported status","OK"))))))))))</f>
        <v/>
      </c>
    </row>
    <row r="23">
      <c r="A23" s="46" t="n"/>
      <c r="B23" s="46" t="n"/>
      <c r="C23" s="46" t="n"/>
      <c r="D23" s="46" t="n"/>
      <c r="E23" s="46" t="n"/>
      <c r="F23" s="46" t="n"/>
      <c r="G23" s="54" t="n"/>
      <c r="H23" s="54" t="n"/>
      <c r="I23" s="46" t="n"/>
      <c r="J23" s="46" t="n"/>
      <c r="K23" s="46" t="n"/>
      <c r="L23" s="49" t="str">
        <f>IF($A23="","",IF(AND($I23="Current",ISNUMBER($H23)),IF($H23&lt;Config!$B$4,"Yes",""),""))</f>
        <v/>
      </c>
      <c r="M23" s="49" t="str">
        <f>IF(COUNTA($A23:$K23)=0,"",IF($A23="","Missing: document ID",IF(COUNTIF($A$2:$A$201,$A23)&gt;1,"Duplicate document ID",IF($B23="","Missing: title",IF($C23="","Missing: type",IF($F23="","Missing: owner",IF($I23="","Missing: status",IF($J23="","Missing: link",IF(COUNTIF(Config!$S$15:$S$34,$C23)=0,"Unsupported type",IF(COUNTIF(Config!$T$15:$T$34,$I23)=0,"Unsupported status","OK"))))))))))</f>
        <v/>
      </c>
    </row>
    <row r="24">
      <c r="A24" s="46" t="n"/>
      <c r="B24" s="46" t="n"/>
      <c r="C24" s="46" t="n"/>
      <c r="D24" s="46" t="n"/>
      <c r="E24" s="46" t="n"/>
      <c r="F24" s="46" t="n"/>
      <c r="G24" s="54" t="n"/>
      <c r="H24" s="54" t="n"/>
      <c r="I24" s="46" t="n"/>
      <c r="J24" s="46" t="n"/>
      <c r="K24" s="46" t="n"/>
      <c r="L24" s="49" t="str">
        <f>IF($A24="","",IF(AND($I24="Current",ISNUMBER($H24)),IF($H24&lt;Config!$B$4,"Yes",""),""))</f>
        <v/>
      </c>
      <c r="M24" s="49" t="str">
        <f>IF(COUNTA($A24:$K24)=0,"",IF($A24="","Missing: document ID",IF(COUNTIF($A$2:$A$201,$A24)&gt;1,"Duplicate document ID",IF($B24="","Missing: title",IF($C24="","Missing: type",IF($F24="","Missing: owner",IF($I24="","Missing: status",IF($J24="","Missing: link",IF(COUNTIF(Config!$S$15:$S$34,$C24)=0,"Unsupported type",IF(COUNTIF(Config!$T$15:$T$34,$I24)=0,"Unsupported status","OK"))))))))))</f>
        <v/>
      </c>
    </row>
    <row r="25">
      <c r="A25" s="46" t="n"/>
      <c r="B25" s="46" t="n"/>
      <c r="C25" s="46" t="n"/>
      <c r="D25" s="46" t="n"/>
      <c r="E25" s="46" t="n"/>
      <c r="F25" s="46" t="n"/>
      <c r="G25" s="54" t="n"/>
      <c r="H25" s="54" t="n"/>
      <c r="I25" s="46" t="n"/>
      <c r="J25" s="46" t="n"/>
      <c r="K25" s="46" t="n"/>
      <c r="L25" s="49" t="str">
        <f>IF($A25="","",IF(AND($I25="Current",ISNUMBER($H25)),IF($H25&lt;Config!$B$4,"Yes",""),""))</f>
        <v/>
      </c>
      <c r="M25" s="49" t="str">
        <f>IF(COUNTA($A25:$K25)=0,"",IF($A25="","Missing: document ID",IF(COUNTIF($A$2:$A$201,$A25)&gt;1,"Duplicate document ID",IF($B25="","Missing: title",IF($C25="","Missing: type",IF($F25="","Missing: owner",IF($I25="","Missing: status",IF($J25="","Missing: link",IF(COUNTIF(Config!$S$15:$S$34,$C25)=0,"Unsupported type",IF(COUNTIF(Config!$T$15:$T$34,$I25)=0,"Unsupported status","OK"))))))))))</f>
        <v/>
      </c>
    </row>
    <row r="26">
      <c r="A26" s="46" t="n"/>
      <c r="B26" s="46" t="n"/>
      <c r="C26" s="46" t="n"/>
      <c r="D26" s="46" t="n"/>
      <c r="E26" s="46" t="n"/>
      <c r="F26" s="46" t="n"/>
      <c r="G26" s="54" t="n"/>
      <c r="H26" s="54" t="n"/>
      <c r="I26" s="46" t="n"/>
      <c r="J26" s="46" t="n"/>
      <c r="K26" s="46" t="n"/>
      <c r="L26" s="49" t="str">
        <f>IF($A26="","",IF(AND($I26="Current",ISNUMBER($H26)),IF($H26&lt;Config!$B$4,"Yes",""),""))</f>
        <v/>
      </c>
      <c r="M26" s="49" t="str">
        <f>IF(COUNTA($A26:$K26)=0,"",IF($A26="","Missing: document ID",IF(COUNTIF($A$2:$A$201,$A26)&gt;1,"Duplicate document ID",IF($B26="","Missing: title",IF($C26="","Missing: type",IF($F26="","Missing: owner",IF($I26="","Missing: status",IF($J26="","Missing: link",IF(COUNTIF(Config!$S$15:$S$34,$C26)=0,"Unsupported type",IF(COUNTIF(Config!$T$15:$T$34,$I26)=0,"Unsupported status","OK"))))))))))</f>
        <v/>
      </c>
    </row>
    <row r="27">
      <c r="A27" s="46" t="n"/>
      <c r="B27" s="46" t="n"/>
      <c r="C27" s="46" t="n"/>
      <c r="D27" s="46" t="n"/>
      <c r="E27" s="46" t="n"/>
      <c r="F27" s="46" t="n"/>
      <c r="G27" s="54" t="n"/>
      <c r="H27" s="54" t="n"/>
      <c r="I27" s="46" t="n"/>
      <c r="J27" s="46" t="n"/>
      <c r="K27" s="46" t="n"/>
      <c r="L27" s="49" t="str">
        <f>IF($A27="","",IF(AND($I27="Current",ISNUMBER($H27)),IF($H27&lt;Config!$B$4,"Yes",""),""))</f>
        <v/>
      </c>
      <c r="M27" s="49" t="str">
        <f>IF(COUNTA($A27:$K27)=0,"",IF($A27="","Missing: document ID",IF(COUNTIF($A$2:$A$201,$A27)&gt;1,"Duplicate document ID",IF($B27="","Missing: title",IF($C27="","Missing: type",IF($F27="","Missing: owner",IF($I27="","Missing: status",IF($J27="","Missing: link",IF(COUNTIF(Config!$S$15:$S$34,$C27)=0,"Unsupported type",IF(COUNTIF(Config!$T$15:$T$34,$I27)=0,"Unsupported status","OK"))))))))))</f>
        <v/>
      </c>
    </row>
    <row r="28">
      <c r="A28" s="46" t="n"/>
      <c r="B28" s="46" t="n"/>
      <c r="C28" s="46" t="n"/>
      <c r="D28" s="46" t="n"/>
      <c r="E28" s="46" t="n"/>
      <c r="F28" s="46" t="n"/>
      <c r="G28" s="54" t="n"/>
      <c r="H28" s="54" t="n"/>
      <c r="I28" s="46" t="n"/>
      <c r="J28" s="46" t="n"/>
      <c r="K28" s="46" t="n"/>
      <c r="L28" s="49" t="str">
        <f>IF($A28="","",IF(AND($I28="Current",ISNUMBER($H28)),IF($H28&lt;Config!$B$4,"Yes",""),""))</f>
        <v/>
      </c>
      <c r="M28" s="49" t="str">
        <f>IF(COUNTA($A28:$K28)=0,"",IF($A28="","Missing: document ID",IF(COUNTIF($A$2:$A$201,$A28)&gt;1,"Duplicate document ID",IF($B28="","Missing: title",IF($C28="","Missing: type",IF($F28="","Missing: owner",IF($I28="","Missing: status",IF($J28="","Missing: link",IF(COUNTIF(Config!$S$15:$S$34,$C28)=0,"Unsupported type",IF(COUNTIF(Config!$T$15:$T$34,$I28)=0,"Unsupported status","OK"))))))))))</f>
        <v/>
      </c>
    </row>
    <row r="29">
      <c r="A29" s="46" t="n"/>
      <c r="B29" s="46" t="n"/>
      <c r="C29" s="46" t="n"/>
      <c r="D29" s="46" t="n"/>
      <c r="E29" s="46" t="n"/>
      <c r="F29" s="46" t="n"/>
      <c r="G29" s="54" t="n"/>
      <c r="H29" s="54" t="n"/>
      <c r="I29" s="46" t="n"/>
      <c r="J29" s="46" t="n"/>
      <c r="K29" s="46" t="n"/>
      <c r="L29" s="49" t="str">
        <f>IF($A29="","",IF(AND($I29="Current",ISNUMBER($H29)),IF($H29&lt;Config!$B$4,"Yes",""),""))</f>
        <v/>
      </c>
      <c r="M29" s="49" t="str">
        <f>IF(COUNTA($A29:$K29)=0,"",IF($A29="","Missing: document ID",IF(COUNTIF($A$2:$A$201,$A29)&gt;1,"Duplicate document ID",IF($B29="","Missing: title",IF($C29="","Missing: type",IF($F29="","Missing: owner",IF($I29="","Missing: status",IF($J29="","Missing: link",IF(COUNTIF(Config!$S$15:$S$34,$C29)=0,"Unsupported type",IF(COUNTIF(Config!$T$15:$T$34,$I29)=0,"Unsupported status","OK"))))))))))</f>
        <v/>
      </c>
    </row>
    <row r="30">
      <c r="A30" s="46" t="n"/>
      <c r="B30" s="46" t="n"/>
      <c r="C30" s="46" t="n"/>
      <c r="D30" s="46" t="n"/>
      <c r="E30" s="46" t="n"/>
      <c r="F30" s="46" t="n"/>
      <c r="G30" s="54" t="n"/>
      <c r="H30" s="54" t="n"/>
      <c r="I30" s="46" t="n"/>
      <c r="J30" s="46" t="n"/>
      <c r="K30" s="46" t="n"/>
      <c r="L30" s="49" t="str">
        <f>IF($A30="","",IF(AND($I30="Current",ISNUMBER($H30)),IF($H30&lt;Config!$B$4,"Yes",""),""))</f>
        <v/>
      </c>
      <c r="M30" s="49" t="str">
        <f>IF(COUNTA($A30:$K30)=0,"",IF($A30="","Missing: document ID",IF(COUNTIF($A$2:$A$201,$A30)&gt;1,"Duplicate document ID",IF($B30="","Missing: title",IF($C30="","Missing: type",IF($F30="","Missing: owner",IF($I30="","Missing: status",IF($J30="","Missing: link",IF(COUNTIF(Config!$S$15:$S$34,$C30)=0,"Unsupported type",IF(COUNTIF(Config!$T$15:$T$34,$I30)=0,"Unsupported status","OK"))))))))))</f>
        <v/>
      </c>
    </row>
    <row r="31">
      <c r="A31" s="46" t="n"/>
      <c r="B31" s="46" t="n"/>
      <c r="C31" s="46" t="n"/>
      <c r="D31" s="46" t="n"/>
      <c r="E31" s="46" t="n"/>
      <c r="F31" s="46" t="n"/>
      <c r="G31" s="54" t="n"/>
      <c r="H31" s="54" t="n"/>
      <c r="I31" s="46" t="n"/>
      <c r="J31" s="46" t="n"/>
      <c r="K31" s="46" t="n"/>
      <c r="L31" s="49" t="str">
        <f>IF($A31="","",IF(AND($I31="Current",ISNUMBER($H31)),IF($H31&lt;Config!$B$4,"Yes",""),""))</f>
        <v/>
      </c>
      <c r="M31" s="49" t="str">
        <f>IF(COUNTA($A31:$K31)=0,"",IF($A31="","Missing: document ID",IF(COUNTIF($A$2:$A$201,$A31)&gt;1,"Duplicate document ID",IF($B31="","Missing: title",IF($C31="","Missing: type",IF($F31="","Missing: owner",IF($I31="","Missing: status",IF($J31="","Missing: link",IF(COUNTIF(Config!$S$15:$S$34,$C31)=0,"Unsupported type",IF(COUNTIF(Config!$T$15:$T$34,$I31)=0,"Unsupported status","OK"))))))))))</f>
        <v/>
      </c>
    </row>
    <row r="32">
      <c r="A32" s="46" t="n"/>
      <c r="B32" s="46" t="n"/>
      <c r="C32" s="46" t="n"/>
      <c r="D32" s="46" t="n"/>
      <c r="E32" s="46" t="n"/>
      <c r="F32" s="46" t="n"/>
      <c r="G32" s="54" t="n"/>
      <c r="H32" s="54" t="n"/>
      <c r="I32" s="46" t="n"/>
      <c r="J32" s="46" t="n"/>
      <c r="K32" s="46" t="n"/>
      <c r="L32" s="49" t="str">
        <f>IF($A32="","",IF(AND($I32="Current",ISNUMBER($H32)),IF($H32&lt;Config!$B$4,"Yes",""),""))</f>
        <v/>
      </c>
      <c r="M32" s="49" t="str">
        <f>IF(COUNTA($A32:$K32)=0,"",IF($A32="","Missing: document ID",IF(COUNTIF($A$2:$A$201,$A32)&gt;1,"Duplicate document ID",IF($B32="","Missing: title",IF($C32="","Missing: type",IF($F32="","Missing: owner",IF($I32="","Missing: status",IF($J32="","Missing: link",IF(COUNTIF(Config!$S$15:$S$34,$C32)=0,"Unsupported type",IF(COUNTIF(Config!$T$15:$T$34,$I32)=0,"Unsupported status","OK"))))))))))</f>
        <v/>
      </c>
    </row>
    <row r="33">
      <c r="A33" s="46" t="n"/>
      <c r="B33" s="46" t="n"/>
      <c r="C33" s="46" t="n"/>
      <c r="D33" s="46" t="n"/>
      <c r="E33" s="46" t="n"/>
      <c r="F33" s="46" t="n"/>
      <c r="G33" s="54" t="n"/>
      <c r="H33" s="54" t="n"/>
      <c r="I33" s="46" t="n"/>
      <c r="J33" s="46" t="n"/>
      <c r="K33" s="46" t="n"/>
      <c r="L33" s="49" t="str">
        <f>IF($A33="","",IF(AND($I33="Current",ISNUMBER($H33)),IF($H33&lt;Config!$B$4,"Yes",""),""))</f>
        <v/>
      </c>
      <c r="M33" s="49" t="str">
        <f>IF(COUNTA($A33:$K33)=0,"",IF($A33="","Missing: document ID",IF(COUNTIF($A$2:$A$201,$A33)&gt;1,"Duplicate document ID",IF($B33="","Missing: title",IF($C33="","Missing: type",IF($F33="","Missing: owner",IF($I33="","Missing: status",IF($J33="","Missing: link",IF(COUNTIF(Config!$S$15:$S$34,$C33)=0,"Unsupported type",IF(COUNTIF(Config!$T$15:$T$34,$I33)=0,"Unsupported status","OK"))))))))))</f>
        <v/>
      </c>
    </row>
    <row r="34">
      <c r="A34" s="46" t="n"/>
      <c r="B34" s="46" t="n"/>
      <c r="C34" s="46" t="n"/>
      <c r="D34" s="46" t="n"/>
      <c r="E34" s="46" t="n"/>
      <c r="F34" s="46" t="n"/>
      <c r="G34" s="54" t="n"/>
      <c r="H34" s="54" t="n"/>
      <c r="I34" s="46" t="n"/>
      <c r="J34" s="46" t="n"/>
      <c r="K34" s="46" t="n"/>
      <c r="L34" s="49" t="str">
        <f>IF($A34="","",IF(AND($I34="Current",ISNUMBER($H34)),IF($H34&lt;Config!$B$4,"Yes",""),""))</f>
        <v/>
      </c>
      <c r="M34" s="49" t="str">
        <f>IF(COUNTA($A34:$K34)=0,"",IF($A34="","Missing: document ID",IF(COUNTIF($A$2:$A$201,$A34)&gt;1,"Duplicate document ID",IF($B34="","Missing: title",IF($C34="","Missing: type",IF($F34="","Missing: owner",IF($I34="","Missing: status",IF($J34="","Missing: link",IF(COUNTIF(Config!$S$15:$S$34,$C34)=0,"Unsupported type",IF(COUNTIF(Config!$T$15:$T$34,$I34)=0,"Unsupported status","OK"))))))))))</f>
        <v/>
      </c>
    </row>
    <row r="35">
      <c r="A35" s="46" t="n"/>
      <c r="B35" s="46" t="n"/>
      <c r="C35" s="46" t="n"/>
      <c r="D35" s="46" t="n"/>
      <c r="E35" s="46" t="n"/>
      <c r="F35" s="46" t="n"/>
      <c r="G35" s="54" t="n"/>
      <c r="H35" s="54" t="n"/>
      <c r="I35" s="46" t="n"/>
      <c r="J35" s="46" t="n"/>
      <c r="K35" s="46" t="n"/>
      <c r="L35" s="49" t="str">
        <f>IF($A35="","",IF(AND($I35="Current",ISNUMBER($H35)),IF($H35&lt;Config!$B$4,"Yes",""),""))</f>
        <v/>
      </c>
      <c r="M35" s="49" t="str">
        <f>IF(COUNTA($A35:$K35)=0,"",IF($A35="","Missing: document ID",IF(COUNTIF($A$2:$A$201,$A35)&gt;1,"Duplicate document ID",IF($B35="","Missing: title",IF($C35="","Missing: type",IF($F35="","Missing: owner",IF($I35="","Missing: status",IF($J35="","Missing: link",IF(COUNTIF(Config!$S$15:$S$34,$C35)=0,"Unsupported type",IF(COUNTIF(Config!$T$15:$T$34,$I35)=0,"Unsupported status","OK"))))))))))</f>
        <v/>
      </c>
    </row>
    <row r="36">
      <c r="A36" s="46" t="n"/>
      <c r="B36" s="46" t="n"/>
      <c r="C36" s="46" t="n"/>
      <c r="D36" s="46" t="n"/>
      <c r="E36" s="46" t="n"/>
      <c r="F36" s="46" t="n"/>
      <c r="G36" s="54" t="n"/>
      <c r="H36" s="54" t="n"/>
      <c r="I36" s="46" t="n"/>
      <c r="J36" s="46" t="n"/>
      <c r="K36" s="46" t="n"/>
      <c r="L36" s="49" t="str">
        <f>IF($A36="","",IF(AND($I36="Current",ISNUMBER($H36)),IF($H36&lt;Config!$B$4,"Yes",""),""))</f>
        <v/>
      </c>
      <c r="M36" s="49" t="str">
        <f>IF(COUNTA($A36:$K36)=0,"",IF($A36="","Missing: document ID",IF(COUNTIF($A$2:$A$201,$A36)&gt;1,"Duplicate document ID",IF($B36="","Missing: title",IF($C36="","Missing: type",IF($F36="","Missing: owner",IF($I36="","Missing: status",IF($J36="","Missing: link",IF(COUNTIF(Config!$S$15:$S$34,$C36)=0,"Unsupported type",IF(COUNTIF(Config!$T$15:$T$34,$I36)=0,"Unsupported status","OK"))))))))))</f>
        <v/>
      </c>
    </row>
    <row r="37">
      <c r="A37" s="46" t="n"/>
      <c r="B37" s="46" t="n"/>
      <c r="C37" s="46" t="n"/>
      <c r="D37" s="46" t="n"/>
      <c r="E37" s="46" t="n"/>
      <c r="F37" s="46" t="n"/>
      <c r="G37" s="54" t="n"/>
      <c r="H37" s="54" t="n"/>
      <c r="I37" s="46" t="n"/>
      <c r="J37" s="46" t="n"/>
      <c r="K37" s="46" t="n"/>
      <c r="L37" s="49" t="str">
        <f>IF($A37="","",IF(AND($I37="Current",ISNUMBER($H37)),IF($H37&lt;Config!$B$4,"Yes",""),""))</f>
        <v/>
      </c>
      <c r="M37" s="49" t="str">
        <f>IF(COUNTA($A37:$K37)=0,"",IF($A37="","Missing: document ID",IF(COUNTIF($A$2:$A$201,$A37)&gt;1,"Duplicate document ID",IF($B37="","Missing: title",IF($C37="","Missing: type",IF($F37="","Missing: owner",IF($I37="","Missing: status",IF($J37="","Missing: link",IF(COUNTIF(Config!$S$15:$S$34,$C37)=0,"Unsupported type",IF(COUNTIF(Config!$T$15:$T$34,$I37)=0,"Unsupported status","OK"))))))))))</f>
        <v/>
      </c>
    </row>
    <row r="38">
      <c r="A38" s="46" t="n"/>
      <c r="B38" s="46" t="n"/>
      <c r="C38" s="46" t="n"/>
      <c r="D38" s="46" t="n"/>
      <c r="E38" s="46" t="n"/>
      <c r="F38" s="46" t="n"/>
      <c r="G38" s="54" t="n"/>
      <c r="H38" s="54" t="n"/>
      <c r="I38" s="46" t="n"/>
      <c r="J38" s="46" t="n"/>
      <c r="K38" s="46" t="n"/>
      <c r="L38" s="49" t="str">
        <f>IF($A38="","",IF(AND($I38="Current",ISNUMBER($H38)),IF($H38&lt;Config!$B$4,"Yes",""),""))</f>
        <v/>
      </c>
      <c r="M38" s="49" t="str">
        <f>IF(COUNTA($A38:$K38)=0,"",IF($A38="","Missing: document ID",IF(COUNTIF($A$2:$A$201,$A38)&gt;1,"Duplicate document ID",IF($B38="","Missing: title",IF($C38="","Missing: type",IF($F38="","Missing: owner",IF($I38="","Missing: status",IF($J38="","Missing: link",IF(COUNTIF(Config!$S$15:$S$34,$C38)=0,"Unsupported type",IF(COUNTIF(Config!$T$15:$T$34,$I38)=0,"Unsupported status","OK"))))))))))</f>
        <v/>
      </c>
    </row>
    <row r="39">
      <c r="A39" s="46" t="n"/>
      <c r="B39" s="46" t="n"/>
      <c r="C39" s="46" t="n"/>
      <c r="D39" s="46" t="n"/>
      <c r="E39" s="46" t="n"/>
      <c r="F39" s="46" t="n"/>
      <c r="G39" s="54" t="n"/>
      <c r="H39" s="54" t="n"/>
      <c r="I39" s="46" t="n"/>
      <c r="J39" s="46" t="n"/>
      <c r="K39" s="46" t="n"/>
      <c r="L39" s="49" t="str">
        <f>IF($A39="","",IF(AND($I39="Current",ISNUMBER($H39)),IF($H39&lt;Config!$B$4,"Yes",""),""))</f>
        <v/>
      </c>
      <c r="M39" s="49" t="str">
        <f>IF(COUNTA($A39:$K39)=0,"",IF($A39="","Missing: document ID",IF(COUNTIF($A$2:$A$201,$A39)&gt;1,"Duplicate document ID",IF($B39="","Missing: title",IF($C39="","Missing: type",IF($F39="","Missing: owner",IF($I39="","Missing: status",IF($J39="","Missing: link",IF(COUNTIF(Config!$S$15:$S$34,$C39)=0,"Unsupported type",IF(COUNTIF(Config!$T$15:$T$34,$I39)=0,"Unsupported status","OK"))))))))))</f>
        <v/>
      </c>
    </row>
    <row r="40">
      <c r="A40" s="46" t="n"/>
      <c r="B40" s="46" t="n"/>
      <c r="C40" s="46" t="n"/>
      <c r="D40" s="46" t="n"/>
      <c r="E40" s="46" t="n"/>
      <c r="F40" s="46" t="n"/>
      <c r="G40" s="54" t="n"/>
      <c r="H40" s="54" t="n"/>
      <c r="I40" s="46" t="n"/>
      <c r="J40" s="46" t="n"/>
      <c r="K40" s="46" t="n"/>
      <c r="L40" s="49" t="str">
        <f>IF($A40="","",IF(AND($I40="Current",ISNUMBER($H40)),IF($H40&lt;Config!$B$4,"Yes",""),""))</f>
        <v/>
      </c>
      <c r="M40" s="49" t="str">
        <f>IF(COUNTA($A40:$K40)=0,"",IF($A40="","Missing: document ID",IF(COUNTIF($A$2:$A$201,$A40)&gt;1,"Duplicate document ID",IF($B40="","Missing: title",IF($C40="","Missing: type",IF($F40="","Missing: owner",IF($I40="","Missing: status",IF($J40="","Missing: link",IF(COUNTIF(Config!$S$15:$S$34,$C40)=0,"Unsupported type",IF(COUNTIF(Config!$T$15:$T$34,$I40)=0,"Unsupported status","OK"))))))))))</f>
        <v/>
      </c>
    </row>
    <row r="41">
      <c r="A41" s="46" t="n"/>
      <c r="B41" s="46" t="n"/>
      <c r="C41" s="46" t="n"/>
      <c r="D41" s="46" t="n"/>
      <c r="E41" s="46" t="n"/>
      <c r="F41" s="46" t="n"/>
      <c r="G41" s="54" t="n"/>
      <c r="H41" s="54" t="n"/>
      <c r="I41" s="46" t="n"/>
      <c r="J41" s="46" t="n"/>
      <c r="K41" s="46" t="n"/>
      <c r="L41" s="49" t="str">
        <f>IF($A41="","",IF(AND($I41="Current",ISNUMBER($H41)),IF($H41&lt;Config!$B$4,"Yes",""),""))</f>
        <v/>
      </c>
      <c r="M41" s="49" t="str">
        <f>IF(COUNTA($A41:$K41)=0,"",IF($A41="","Missing: document ID",IF(COUNTIF($A$2:$A$201,$A41)&gt;1,"Duplicate document ID",IF($B41="","Missing: title",IF($C41="","Missing: type",IF($F41="","Missing: owner",IF($I41="","Missing: status",IF($J41="","Missing: link",IF(COUNTIF(Config!$S$15:$S$34,$C41)=0,"Unsupported type",IF(COUNTIF(Config!$T$15:$T$34,$I41)=0,"Unsupported status","OK"))))))))))</f>
        <v/>
      </c>
    </row>
    <row r="42">
      <c r="A42" s="46" t="n"/>
      <c r="B42" s="46" t="n"/>
      <c r="C42" s="46" t="n"/>
      <c r="D42" s="46" t="n"/>
      <c r="E42" s="46" t="n"/>
      <c r="F42" s="46" t="n"/>
      <c r="G42" s="54" t="n"/>
      <c r="H42" s="54" t="n"/>
      <c r="I42" s="46" t="n"/>
      <c r="J42" s="46" t="n"/>
      <c r="K42" s="46" t="n"/>
      <c r="L42" s="49" t="str">
        <f>IF($A42="","",IF(AND($I42="Current",ISNUMBER($H42)),IF($H42&lt;Config!$B$4,"Yes",""),""))</f>
        <v/>
      </c>
      <c r="M42" s="49" t="str">
        <f>IF(COUNTA($A42:$K42)=0,"",IF($A42="","Missing: document ID",IF(COUNTIF($A$2:$A$201,$A42)&gt;1,"Duplicate document ID",IF($B42="","Missing: title",IF($C42="","Missing: type",IF($F42="","Missing: owner",IF($I42="","Missing: status",IF($J42="","Missing: link",IF(COUNTIF(Config!$S$15:$S$34,$C42)=0,"Unsupported type",IF(COUNTIF(Config!$T$15:$T$34,$I42)=0,"Unsupported status","OK"))))))))))</f>
        <v/>
      </c>
    </row>
    <row r="43">
      <c r="A43" s="46" t="n"/>
      <c r="B43" s="46" t="n"/>
      <c r="C43" s="46" t="n"/>
      <c r="D43" s="46" t="n"/>
      <c r="E43" s="46" t="n"/>
      <c r="F43" s="46" t="n"/>
      <c r="G43" s="54" t="n"/>
      <c r="H43" s="54" t="n"/>
      <c r="I43" s="46" t="n"/>
      <c r="J43" s="46" t="n"/>
      <c r="K43" s="46" t="n"/>
      <c r="L43" s="49" t="str">
        <f>IF($A43="","",IF(AND($I43="Current",ISNUMBER($H43)),IF($H43&lt;Config!$B$4,"Yes",""),""))</f>
        <v/>
      </c>
      <c r="M43" s="49" t="str">
        <f>IF(COUNTA($A43:$K43)=0,"",IF($A43="","Missing: document ID",IF(COUNTIF($A$2:$A$201,$A43)&gt;1,"Duplicate document ID",IF($B43="","Missing: title",IF($C43="","Missing: type",IF($F43="","Missing: owner",IF($I43="","Missing: status",IF($J43="","Missing: link",IF(COUNTIF(Config!$S$15:$S$34,$C43)=0,"Unsupported type",IF(COUNTIF(Config!$T$15:$T$34,$I43)=0,"Unsupported status","OK"))))))))))</f>
        <v/>
      </c>
    </row>
    <row r="44">
      <c r="A44" s="46" t="n"/>
      <c r="B44" s="46" t="n"/>
      <c r="C44" s="46" t="n"/>
      <c r="D44" s="46" t="n"/>
      <c r="E44" s="46" t="n"/>
      <c r="F44" s="46" t="n"/>
      <c r="G44" s="54" t="n"/>
      <c r="H44" s="54" t="n"/>
      <c r="I44" s="46" t="n"/>
      <c r="J44" s="46" t="n"/>
      <c r="K44" s="46" t="n"/>
      <c r="L44" s="49" t="str">
        <f>IF($A44="","",IF(AND($I44="Current",ISNUMBER($H44)),IF($H44&lt;Config!$B$4,"Yes",""),""))</f>
        <v/>
      </c>
      <c r="M44" s="49" t="str">
        <f>IF(COUNTA($A44:$K44)=0,"",IF($A44="","Missing: document ID",IF(COUNTIF($A$2:$A$201,$A44)&gt;1,"Duplicate document ID",IF($B44="","Missing: title",IF($C44="","Missing: type",IF($F44="","Missing: owner",IF($I44="","Missing: status",IF($J44="","Missing: link",IF(COUNTIF(Config!$S$15:$S$34,$C44)=0,"Unsupported type",IF(COUNTIF(Config!$T$15:$T$34,$I44)=0,"Unsupported status","OK"))))))))))</f>
        <v/>
      </c>
    </row>
    <row r="45">
      <c r="A45" s="46" t="n"/>
      <c r="B45" s="46" t="n"/>
      <c r="C45" s="46" t="n"/>
      <c r="D45" s="46" t="n"/>
      <c r="E45" s="46" t="n"/>
      <c r="F45" s="46" t="n"/>
      <c r="G45" s="54" t="n"/>
      <c r="H45" s="54" t="n"/>
      <c r="I45" s="46" t="n"/>
      <c r="J45" s="46" t="n"/>
      <c r="K45" s="46" t="n"/>
      <c r="L45" s="49" t="str">
        <f>IF($A45="","",IF(AND($I45="Current",ISNUMBER($H45)),IF($H45&lt;Config!$B$4,"Yes",""),""))</f>
        <v/>
      </c>
      <c r="M45" s="49" t="str">
        <f>IF(COUNTA($A45:$K45)=0,"",IF($A45="","Missing: document ID",IF(COUNTIF($A$2:$A$201,$A45)&gt;1,"Duplicate document ID",IF($B45="","Missing: title",IF($C45="","Missing: type",IF($F45="","Missing: owner",IF($I45="","Missing: status",IF($J45="","Missing: link",IF(COUNTIF(Config!$S$15:$S$34,$C45)=0,"Unsupported type",IF(COUNTIF(Config!$T$15:$T$34,$I45)=0,"Unsupported status","OK"))))))))))</f>
        <v/>
      </c>
    </row>
    <row r="46">
      <c r="A46" s="46" t="n"/>
      <c r="B46" s="46" t="n"/>
      <c r="C46" s="46" t="n"/>
      <c r="D46" s="46" t="n"/>
      <c r="E46" s="46" t="n"/>
      <c r="F46" s="46" t="n"/>
      <c r="G46" s="54" t="n"/>
      <c r="H46" s="54" t="n"/>
      <c r="I46" s="46" t="n"/>
      <c r="J46" s="46" t="n"/>
      <c r="K46" s="46" t="n"/>
      <c r="L46" s="49" t="str">
        <f>IF($A46="","",IF(AND($I46="Current",ISNUMBER($H46)),IF($H46&lt;Config!$B$4,"Yes",""),""))</f>
        <v/>
      </c>
      <c r="M46" s="49" t="str">
        <f>IF(COUNTA($A46:$K46)=0,"",IF($A46="","Missing: document ID",IF(COUNTIF($A$2:$A$201,$A46)&gt;1,"Duplicate document ID",IF($B46="","Missing: title",IF($C46="","Missing: type",IF($F46="","Missing: owner",IF($I46="","Missing: status",IF($J46="","Missing: link",IF(COUNTIF(Config!$S$15:$S$34,$C46)=0,"Unsupported type",IF(COUNTIF(Config!$T$15:$T$34,$I46)=0,"Unsupported status","OK"))))))))))</f>
        <v/>
      </c>
    </row>
    <row r="47">
      <c r="A47" s="46" t="n"/>
      <c r="B47" s="46" t="n"/>
      <c r="C47" s="46" t="n"/>
      <c r="D47" s="46" t="n"/>
      <c r="E47" s="46" t="n"/>
      <c r="F47" s="46" t="n"/>
      <c r="G47" s="54" t="n"/>
      <c r="H47" s="54" t="n"/>
      <c r="I47" s="46" t="n"/>
      <c r="J47" s="46" t="n"/>
      <c r="K47" s="46" t="n"/>
      <c r="L47" s="49" t="str">
        <f>IF($A47="","",IF(AND($I47="Current",ISNUMBER($H47)),IF($H47&lt;Config!$B$4,"Yes",""),""))</f>
        <v/>
      </c>
      <c r="M47" s="49" t="str">
        <f>IF(COUNTA($A47:$K47)=0,"",IF($A47="","Missing: document ID",IF(COUNTIF($A$2:$A$201,$A47)&gt;1,"Duplicate document ID",IF($B47="","Missing: title",IF($C47="","Missing: type",IF($F47="","Missing: owner",IF($I47="","Missing: status",IF($J47="","Missing: link",IF(COUNTIF(Config!$S$15:$S$34,$C47)=0,"Unsupported type",IF(COUNTIF(Config!$T$15:$T$34,$I47)=0,"Unsupported status","OK"))))))))))</f>
        <v/>
      </c>
    </row>
    <row r="48">
      <c r="A48" s="46" t="n"/>
      <c r="B48" s="46" t="n"/>
      <c r="C48" s="46" t="n"/>
      <c r="D48" s="46" t="n"/>
      <c r="E48" s="46" t="n"/>
      <c r="F48" s="46" t="n"/>
      <c r="G48" s="54" t="n"/>
      <c r="H48" s="54" t="n"/>
      <c r="I48" s="46" t="n"/>
      <c r="J48" s="46" t="n"/>
      <c r="K48" s="46" t="n"/>
      <c r="L48" s="49" t="str">
        <f>IF($A48="","",IF(AND($I48="Current",ISNUMBER($H48)),IF($H48&lt;Config!$B$4,"Yes",""),""))</f>
        <v/>
      </c>
      <c r="M48" s="49" t="str">
        <f>IF(COUNTA($A48:$K48)=0,"",IF($A48="","Missing: document ID",IF(COUNTIF($A$2:$A$201,$A48)&gt;1,"Duplicate document ID",IF($B48="","Missing: title",IF($C48="","Missing: type",IF($F48="","Missing: owner",IF($I48="","Missing: status",IF($J48="","Missing: link",IF(COUNTIF(Config!$S$15:$S$34,$C48)=0,"Unsupported type",IF(COUNTIF(Config!$T$15:$T$34,$I48)=0,"Unsupported status","OK"))))))))))</f>
        <v/>
      </c>
    </row>
    <row r="49">
      <c r="A49" s="46" t="n"/>
      <c r="B49" s="46" t="n"/>
      <c r="C49" s="46" t="n"/>
      <c r="D49" s="46" t="n"/>
      <c r="E49" s="46" t="n"/>
      <c r="F49" s="46" t="n"/>
      <c r="G49" s="54" t="n"/>
      <c r="H49" s="54" t="n"/>
      <c r="I49" s="46" t="n"/>
      <c r="J49" s="46" t="n"/>
      <c r="K49" s="46" t="n"/>
      <c r="L49" s="49" t="str">
        <f>IF($A49="","",IF(AND($I49="Current",ISNUMBER($H49)),IF($H49&lt;Config!$B$4,"Yes",""),""))</f>
        <v/>
      </c>
      <c r="M49" s="49" t="str">
        <f>IF(COUNTA($A49:$K49)=0,"",IF($A49="","Missing: document ID",IF(COUNTIF($A$2:$A$201,$A49)&gt;1,"Duplicate document ID",IF($B49="","Missing: title",IF($C49="","Missing: type",IF($F49="","Missing: owner",IF($I49="","Missing: status",IF($J49="","Missing: link",IF(COUNTIF(Config!$S$15:$S$34,$C49)=0,"Unsupported type",IF(COUNTIF(Config!$T$15:$T$34,$I49)=0,"Unsupported status","OK"))))))))))</f>
        <v/>
      </c>
    </row>
    <row r="50">
      <c r="A50" s="46" t="n"/>
      <c r="B50" s="46" t="n"/>
      <c r="C50" s="46" t="n"/>
      <c r="D50" s="46" t="n"/>
      <c r="E50" s="46" t="n"/>
      <c r="F50" s="46" t="n"/>
      <c r="G50" s="54" t="n"/>
      <c r="H50" s="54" t="n"/>
      <c r="I50" s="46" t="n"/>
      <c r="J50" s="46" t="n"/>
      <c r="K50" s="46" t="n"/>
      <c r="L50" s="49" t="str">
        <f>IF($A50="","",IF(AND($I50="Current",ISNUMBER($H50)),IF($H50&lt;Config!$B$4,"Yes",""),""))</f>
        <v/>
      </c>
      <c r="M50" s="49" t="str">
        <f>IF(COUNTA($A50:$K50)=0,"",IF($A50="","Missing: document ID",IF(COUNTIF($A$2:$A$201,$A50)&gt;1,"Duplicate document ID",IF($B50="","Missing: title",IF($C50="","Missing: type",IF($F50="","Missing: owner",IF($I50="","Missing: status",IF($J50="","Missing: link",IF(COUNTIF(Config!$S$15:$S$34,$C50)=0,"Unsupported type",IF(COUNTIF(Config!$T$15:$T$34,$I50)=0,"Unsupported status","OK"))))))))))</f>
        <v/>
      </c>
    </row>
    <row r="51">
      <c r="A51" s="46" t="n"/>
      <c r="B51" s="46" t="n"/>
      <c r="C51" s="46" t="n"/>
      <c r="D51" s="46" t="n"/>
      <c r="E51" s="46" t="n"/>
      <c r="F51" s="46" t="n"/>
      <c r="G51" s="54" t="n"/>
      <c r="H51" s="54" t="n"/>
      <c r="I51" s="46" t="n"/>
      <c r="J51" s="46" t="n"/>
      <c r="K51" s="46" t="n"/>
      <c r="L51" s="49" t="str">
        <f>IF($A51="","",IF(AND($I51="Current",ISNUMBER($H51)),IF($H51&lt;Config!$B$4,"Yes",""),""))</f>
        <v/>
      </c>
      <c r="M51" s="49" t="str">
        <f>IF(COUNTA($A51:$K51)=0,"",IF($A51="","Missing: document ID",IF(COUNTIF($A$2:$A$201,$A51)&gt;1,"Duplicate document ID",IF($B51="","Missing: title",IF($C51="","Missing: type",IF($F51="","Missing: owner",IF($I51="","Missing: status",IF($J51="","Missing: link",IF(COUNTIF(Config!$S$15:$S$34,$C51)=0,"Unsupported type",IF(COUNTIF(Config!$T$15:$T$34,$I51)=0,"Unsupported status","OK"))))))))))</f>
        <v/>
      </c>
    </row>
    <row r="52">
      <c r="A52" s="46" t="n"/>
      <c r="B52" s="46" t="n"/>
      <c r="C52" s="46" t="n"/>
      <c r="D52" s="46" t="n"/>
      <c r="E52" s="46" t="n"/>
      <c r="F52" s="46" t="n"/>
      <c r="G52" s="54" t="n"/>
      <c r="H52" s="54" t="n"/>
      <c r="I52" s="46" t="n"/>
      <c r="J52" s="46" t="n"/>
      <c r="K52" s="46" t="n"/>
      <c r="L52" s="49" t="str">
        <f>IF($A52="","",IF(AND($I52="Current",ISNUMBER($H52)),IF($H52&lt;Config!$B$4,"Yes",""),""))</f>
        <v/>
      </c>
      <c r="M52" s="49" t="str">
        <f>IF(COUNTA($A52:$K52)=0,"",IF($A52="","Missing: document ID",IF(COUNTIF($A$2:$A$201,$A52)&gt;1,"Duplicate document ID",IF($B52="","Missing: title",IF($C52="","Missing: type",IF($F52="","Missing: owner",IF($I52="","Missing: status",IF($J52="","Missing: link",IF(COUNTIF(Config!$S$15:$S$34,$C52)=0,"Unsupported type",IF(COUNTIF(Config!$T$15:$T$34,$I52)=0,"Unsupported status","OK"))))))))))</f>
        <v/>
      </c>
    </row>
    <row r="53">
      <c r="A53" s="46" t="n"/>
      <c r="B53" s="46" t="n"/>
      <c r="C53" s="46" t="n"/>
      <c r="D53" s="46" t="n"/>
      <c r="E53" s="46" t="n"/>
      <c r="F53" s="46" t="n"/>
      <c r="G53" s="54" t="n"/>
      <c r="H53" s="54" t="n"/>
      <c r="I53" s="46" t="n"/>
      <c r="J53" s="46" t="n"/>
      <c r="K53" s="46" t="n"/>
      <c r="L53" s="49" t="str">
        <f>IF($A53="","",IF(AND($I53="Current",ISNUMBER($H53)),IF($H53&lt;Config!$B$4,"Yes",""),""))</f>
        <v/>
      </c>
      <c r="M53" s="49" t="str">
        <f>IF(COUNTA($A53:$K53)=0,"",IF($A53="","Missing: document ID",IF(COUNTIF($A$2:$A$201,$A53)&gt;1,"Duplicate document ID",IF($B53="","Missing: title",IF($C53="","Missing: type",IF($F53="","Missing: owner",IF($I53="","Missing: status",IF($J53="","Missing: link",IF(COUNTIF(Config!$S$15:$S$34,$C53)=0,"Unsupported type",IF(COUNTIF(Config!$T$15:$T$34,$I53)=0,"Unsupported status","OK"))))))))))</f>
        <v/>
      </c>
    </row>
    <row r="54">
      <c r="A54" s="46" t="n"/>
      <c r="B54" s="46" t="n"/>
      <c r="C54" s="46" t="n"/>
      <c r="D54" s="46" t="n"/>
      <c r="E54" s="46" t="n"/>
      <c r="F54" s="46" t="n"/>
      <c r="G54" s="54" t="n"/>
      <c r="H54" s="54" t="n"/>
      <c r="I54" s="46" t="n"/>
      <c r="J54" s="46" t="n"/>
      <c r="K54" s="46" t="n"/>
      <c r="L54" s="49" t="str">
        <f>IF($A54="","",IF(AND($I54="Current",ISNUMBER($H54)),IF($H54&lt;Config!$B$4,"Yes",""),""))</f>
        <v/>
      </c>
      <c r="M54" s="49" t="str">
        <f>IF(COUNTA($A54:$K54)=0,"",IF($A54="","Missing: document ID",IF(COUNTIF($A$2:$A$201,$A54)&gt;1,"Duplicate document ID",IF($B54="","Missing: title",IF($C54="","Missing: type",IF($F54="","Missing: owner",IF($I54="","Missing: status",IF($J54="","Missing: link",IF(COUNTIF(Config!$S$15:$S$34,$C54)=0,"Unsupported type",IF(COUNTIF(Config!$T$15:$T$34,$I54)=0,"Unsupported status","OK"))))))))))</f>
        <v/>
      </c>
    </row>
    <row r="55">
      <c r="A55" s="46" t="n"/>
      <c r="B55" s="46" t="n"/>
      <c r="C55" s="46" t="n"/>
      <c r="D55" s="46" t="n"/>
      <c r="E55" s="46" t="n"/>
      <c r="F55" s="46" t="n"/>
      <c r="G55" s="54" t="n"/>
      <c r="H55" s="54" t="n"/>
      <c r="I55" s="46" t="n"/>
      <c r="J55" s="46" t="n"/>
      <c r="K55" s="46" t="n"/>
      <c r="L55" s="49" t="str">
        <f>IF($A55="","",IF(AND($I55="Current",ISNUMBER($H55)),IF($H55&lt;Config!$B$4,"Yes",""),""))</f>
        <v/>
      </c>
      <c r="M55" s="49" t="str">
        <f>IF(COUNTA($A55:$K55)=0,"",IF($A55="","Missing: document ID",IF(COUNTIF($A$2:$A$201,$A55)&gt;1,"Duplicate document ID",IF($B55="","Missing: title",IF($C55="","Missing: type",IF($F55="","Missing: owner",IF($I55="","Missing: status",IF($J55="","Missing: link",IF(COUNTIF(Config!$S$15:$S$34,$C55)=0,"Unsupported type",IF(COUNTIF(Config!$T$15:$T$34,$I55)=0,"Unsupported status","OK"))))))))))</f>
        <v/>
      </c>
    </row>
    <row r="56">
      <c r="A56" s="46" t="n"/>
      <c r="B56" s="46" t="n"/>
      <c r="C56" s="46" t="n"/>
      <c r="D56" s="46" t="n"/>
      <c r="E56" s="46" t="n"/>
      <c r="F56" s="46" t="n"/>
      <c r="G56" s="54" t="n"/>
      <c r="H56" s="54" t="n"/>
      <c r="I56" s="46" t="n"/>
      <c r="J56" s="46" t="n"/>
      <c r="K56" s="46" t="n"/>
      <c r="L56" s="49" t="str">
        <f>IF($A56="","",IF(AND($I56="Current",ISNUMBER($H56)),IF($H56&lt;Config!$B$4,"Yes",""),""))</f>
        <v/>
      </c>
      <c r="M56" s="49" t="str">
        <f>IF(COUNTA($A56:$K56)=0,"",IF($A56="","Missing: document ID",IF(COUNTIF($A$2:$A$201,$A56)&gt;1,"Duplicate document ID",IF($B56="","Missing: title",IF($C56="","Missing: type",IF($F56="","Missing: owner",IF($I56="","Missing: status",IF($J56="","Missing: link",IF(COUNTIF(Config!$S$15:$S$34,$C56)=0,"Unsupported type",IF(COUNTIF(Config!$T$15:$T$34,$I56)=0,"Unsupported status","OK"))))))))))</f>
        <v/>
      </c>
    </row>
    <row r="57">
      <c r="A57" s="46" t="n"/>
      <c r="B57" s="46" t="n"/>
      <c r="C57" s="46" t="n"/>
      <c r="D57" s="46" t="n"/>
      <c r="E57" s="46" t="n"/>
      <c r="F57" s="46" t="n"/>
      <c r="G57" s="54" t="n"/>
      <c r="H57" s="54" t="n"/>
      <c r="I57" s="46" t="n"/>
      <c r="J57" s="46" t="n"/>
      <c r="K57" s="46" t="n"/>
      <c r="L57" s="49" t="str">
        <f>IF($A57="","",IF(AND($I57="Current",ISNUMBER($H57)),IF($H57&lt;Config!$B$4,"Yes",""),""))</f>
        <v/>
      </c>
      <c r="M57" s="49" t="str">
        <f>IF(COUNTA($A57:$K57)=0,"",IF($A57="","Missing: document ID",IF(COUNTIF($A$2:$A$201,$A57)&gt;1,"Duplicate document ID",IF($B57="","Missing: title",IF($C57="","Missing: type",IF($F57="","Missing: owner",IF($I57="","Missing: status",IF($J57="","Missing: link",IF(COUNTIF(Config!$S$15:$S$34,$C57)=0,"Unsupported type",IF(COUNTIF(Config!$T$15:$T$34,$I57)=0,"Unsupported status","OK"))))))))))</f>
        <v/>
      </c>
    </row>
    <row r="58">
      <c r="A58" s="46" t="n"/>
      <c r="B58" s="46" t="n"/>
      <c r="C58" s="46" t="n"/>
      <c r="D58" s="46" t="n"/>
      <c r="E58" s="46" t="n"/>
      <c r="F58" s="46" t="n"/>
      <c r="G58" s="54" t="n"/>
      <c r="H58" s="54" t="n"/>
      <c r="I58" s="46" t="n"/>
      <c r="J58" s="46" t="n"/>
      <c r="K58" s="46" t="n"/>
      <c r="L58" s="49" t="str">
        <f>IF($A58="","",IF(AND($I58="Current",ISNUMBER($H58)),IF($H58&lt;Config!$B$4,"Yes",""),""))</f>
        <v/>
      </c>
      <c r="M58" s="49" t="str">
        <f>IF(COUNTA($A58:$K58)=0,"",IF($A58="","Missing: document ID",IF(COUNTIF($A$2:$A$201,$A58)&gt;1,"Duplicate document ID",IF($B58="","Missing: title",IF($C58="","Missing: type",IF($F58="","Missing: owner",IF($I58="","Missing: status",IF($J58="","Missing: link",IF(COUNTIF(Config!$S$15:$S$34,$C58)=0,"Unsupported type",IF(COUNTIF(Config!$T$15:$T$34,$I58)=0,"Unsupported status","OK"))))))))))</f>
        <v/>
      </c>
    </row>
    <row r="59">
      <c r="A59" s="46" t="n"/>
      <c r="B59" s="46" t="n"/>
      <c r="C59" s="46" t="n"/>
      <c r="D59" s="46" t="n"/>
      <c r="E59" s="46" t="n"/>
      <c r="F59" s="46" t="n"/>
      <c r="G59" s="54" t="n"/>
      <c r="H59" s="54" t="n"/>
      <c r="I59" s="46" t="n"/>
      <c r="J59" s="46" t="n"/>
      <c r="K59" s="46" t="n"/>
      <c r="L59" s="49" t="str">
        <f>IF($A59="","",IF(AND($I59="Current",ISNUMBER($H59)),IF($H59&lt;Config!$B$4,"Yes",""),""))</f>
        <v/>
      </c>
      <c r="M59" s="49" t="str">
        <f>IF(COUNTA($A59:$K59)=0,"",IF($A59="","Missing: document ID",IF(COUNTIF($A$2:$A$201,$A59)&gt;1,"Duplicate document ID",IF($B59="","Missing: title",IF($C59="","Missing: type",IF($F59="","Missing: owner",IF($I59="","Missing: status",IF($J59="","Missing: link",IF(COUNTIF(Config!$S$15:$S$34,$C59)=0,"Unsupported type",IF(COUNTIF(Config!$T$15:$T$34,$I59)=0,"Unsupported status","OK"))))))))))</f>
        <v/>
      </c>
    </row>
    <row r="60">
      <c r="A60" s="46" t="n"/>
      <c r="B60" s="46" t="n"/>
      <c r="C60" s="46" t="n"/>
      <c r="D60" s="46" t="n"/>
      <c r="E60" s="46" t="n"/>
      <c r="F60" s="46" t="n"/>
      <c r="G60" s="54" t="n"/>
      <c r="H60" s="54" t="n"/>
      <c r="I60" s="46" t="n"/>
      <c r="J60" s="46" t="n"/>
      <c r="K60" s="46" t="n"/>
      <c r="L60" s="49" t="str">
        <f>IF($A60="","",IF(AND($I60="Current",ISNUMBER($H60)),IF($H60&lt;Config!$B$4,"Yes",""),""))</f>
        <v/>
      </c>
      <c r="M60" s="49" t="str">
        <f>IF(COUNTA($A60:$K60)=0,"",IF($A60="","Missing: document ID",IF(COUNTIF($A$2:$A$201,$A60)&gt;1,"Duplicate document ID",IF($B60="","Missing: title",IF($C60="","Missing: type",IF($F60="","Missing: owner",IF($I60="","Missing: status",IF($J60="","Missing: link",IF(COUNTIF(Config!$S$15:$S$34,$C60)=0,"Unsupported type",IF(COUNTIF(Config!$T$15:$T$34,$I60)=0,"Unsupported status","OK"))))))))))</f>
        <v/>
      </c>
    </row>
    <row r="61">
      <c r="A61" s="46" t="n"/>
      <c r="B61" s="46" t="n"/>
      <c r="C61" s="46" t="n"/>
      <c r="D61" s="46" t="n"/>
      <c r="E61" s="46" t="n"/>
      <c r="F61" s="46" t="n"/>
      <c r="G61" s="54" t="n"/>
      <c r="H61" s="54" t="n"/>
      <c r="I61" s="46" t="n"/>
      <c r="J61" s="46" t="n"/>
      <c r="K61" s="46" t="n"/>
      <c r="L61" s="49" t="str">
        <f>IF($A61="","",IF(AND($I61="Current",ISNUMBER($H61)),IF($H61&lt;Config!$B$4,"Yes",""),""))</f>
        <v/>
      </c>
      <c r="M61" s="49" t="str">
        <f>IF(COUNTA($A61:$K61)=0,"",IF($A61="","Missing: document ID",IF(COUNTIF($A$2:$A$201,$A61)&gt;1,"Duplicate document ID",IF($B61="","Missing: title",IF($C61="","Missing: type",IF($F61="","Missing: owner",IF($I61="","Missing: status",IF($J61="","Missing: link",IF(COUNTIF(Config!$S$15:$S$34,$C61)=0,"Unsupported type",IF(COUNTIF(Config!$T$15:$T$34,$I61)=0,"Unsupported status","OK"))))))))))</f>
        <v/>
      </c>
    </row>
    <row r="62">
      <c r="A62" s="46" t="n"/>
      <c r="B62" s="46" t="n"/>
      <c r="C62" s="46" t="n"/>
      <c r="D62" s="46" t="n"/>
      <c r="E62" s="46" t="n"/>
      <c r="F62" s="46" t="n"/>
      <c r="G62" s="54" t="n"/>
      <c r="H62" s="54" t="n"/>
      <c r="I62" s="46" t="n"/>
      <c r="J62" s="46" t="n"/>
      <c r="K62" s="46" t="n"/>
      <c r="L62" s="49" t="str">
        <f>IF($A62="","",IF(AND($I62="Current",ISNUMBER($H62)),IF($H62&lt;Config!$B$4,"Yes",""),""))</f>
        <v/>
      </c>
      <c r="M62" s="49" t="str">
        <f>IF(COUNTA($A62:$K62)=0,"",IF($A62="","Missing: document ID",IF(COUNTIF($A$2:$A$201,$A62)&gt;1,"Duplicate document ID",IF($B62="","Missing: title",IF($C62="","Missing: type",IF($F62="","Missing: owner",IF($I62="","Missing: status",IF($J62="","Missing: link",IF(COUNTIF(Config!$S$15:$S$34,$C62)=0,"Unsupported type",IF(COUNTIF(Config!$T$15:$T$34,$I62)=0,"Unsupported status","OK"))))))))))</f>
        <v/>
      </c>
    </row>
    <row r="63">
      <c r="A63" s="46" t="n"/>
      <c r="B63" s="46" t="n"/>
      <c r="C63" s="46" t="n"/>
      <c r="D63" s="46" t="n"/>
      <c r="E63" s="46" t="n"/>
      <c r="F63" s="46" t="n"/>
      <c r="G63" s="54" t="n"/>
      <c r="H63" s="54" t="n"/>
      <c r="I63" s="46" t="n"/>
      <c r="J63" s="46" t="n"/>
      <c r="K63" s="46" t="n"/>
      <c r="L63" s="49" t="str">
        <f>IF($A63="","",IF(AND($I63="Current",ISNUMBER($H63)),IF($H63&lt;Config!$B$4,"Yes",""),""))</f>
        <v/>
      </c>
      <c r="M63" s="49" t="str">
        <f>IF(COUNTA($A63:$K63)=0,"",IF($A63="","Missing: document ID",IF(COUNTIF($A$2:$A$201,$A63)&gt;1,"Duplicate document ID",IF($B63="","Missing: title",IF($C63="","Missing: type",IF($F63="","Missing: owner",IF($I63="","Missing: status",IF($J63="","Missing: link",IF(COUNTIF(Config!$S$15:$S$34,$C63)=0,"Unsupported type",IF(COUNTIF(Config!$T$15:$T$34,$I63)=0,"Unsupported status","OK"))))))))))</f>
        <v/>
      </c>
    </row>
    <row r="64">
      <c r="A64" s="46" t="n"/>
      <c r="B64" s="46" t="n"/>
      <c r="C64" s="46" t="n"/>
      <c r="D64" s="46" t="n"/>
      <c r="E64" s="46" t="n"/>
      <c r="F64" s="46" t="n"/>
      <c r="G64" s="54" t="n"/>
      <c r="H64" s="54" t="n"/>
      <c r="I64" s="46" t="n"/>
      <c r="J64" s="46" t="n"/>
      <c r="K64" s="46" t="n"/>
      <c r="L64" s="49" t="str">
        <f>IF($A64="","",IF(AND($I64="Current",ISNUMBER($H64)),IF($H64&lt;Config!$B$4,"Yes",""),""))</f>
        <v/>
      </c>
      <c r="M64" s="49" t="str">
        <f>IF(COUNTA($A64:$K64)=0,"",IF($A64="","Missing: document ID",IF(COUNTIF($A$2:$A$201,$A64)&gt;1,"Duplicate document ID",IF($B64="","Missing: title",IF($C64="","Missing: type",IF($F64="","Missing: owner",IF($I64="","Missing: status",IF($J64="","Missing: link",IF(COUNTIF(Config!$S$15:$S$34,$C64)=0,"Unsupported type",IF(COUNTIF(Config!$T$15:$T$34,$I64)=0,"Unsupported status","OK"))))))))))</f>
        <v/>
      </c>
    </row>
    <row r="65">
      <c r="A65" s="46" t="n"/>
      <c r="B65" s="46" t="n"/>
      <c r="C65" s="46" t="n"/>
      <c r="D65" s="46" t="n"/>
      <c r="E65" s="46" t="n"/>
      <c r="F65" s="46" t="n"/>
      <c r="G65" s="54" t="n"/>
      <c r="H65" s="54" t="n"/>
      <c r="I65" s="46" t="n"/>
      <c r="J65" s="46" t="n"/>
      <c r="K65" s="46" t="n"/>
      <c r="L65" s="49" t="str">
        <f>IF($A65="","",IF(AND($I65="Current",ISNUMBER($H65)),IF($H65&lt;Config!$B$4,"Yes",""),""))</f>
        <v/>
      </c>
      <c r="M65" s="49" t="str">
        <f>IF(COUNTA($A65:$K65)=0,"",IF($A65="","Missing: document ID",IF(COUNTIF($A$2:$A$201,$A65)&gt;1,"Duplicate document ID",IF($B65="","Missing: title",IF($C65="","Missing: type",IF($F65="","Missing: owner",IF($I65="","Missing: status",IF($J65="","Missing: link",IF(COUNTIF(Config!$S$15:$S$34,$C65)=0,"Unsupported type",IF(COUNTIF(Config!$T$15:$T$34,$I65)=0,"Unsupported status","OK"))))))))))</f>
        <v/>
      </c>
    </row>
    <row r="66">
      <c r="A66" s="46" t="n"/>
      <c r="B66" s="46" t="n"/>
      <c r="C66" s="46" t="n"/>
      <c r="D66" s="46" t="n"/>
      <c r="E66" s="46" t="n"/>
      <c r="F66" s="46" t="n"/>
      <c r="G66" s="54" t="n"/>
      <c r="H66" s="54" t="n"/>
      <c r="I66" s="46" t="n"/>
      <c r="J66" s="46" t="n"/>
      <c r="K66" s="46" t="n"/>
      <c r="L66" s="49" t="str">
        <f>IF($A66="","",IF(AND($I66="Current",ISNUMBER($H66)),IF($H66&lt;Config!$B$4,"Yes",""),""))</f>
        <v/>
      </c>
      <c r="M66" s="49" t="str">
        <f>IF(COUNTA($A66:$K66)=0,"",IF($A66="","Missing: document ID",IF(COUNTIF($A$2:$A$201,$A66)&gt;1,"Duplicate document ID",IF($B66="","Missing: title",IF($C66="","Missing: type",IF($F66="","Missing: owner",IF($I66="","Missing: status",IF($J66="","Missing: link",IF(COUNTIF(Config!$S$15:$S$34,$C66)=0,"Unsupported type",IF(COUNTIF(Config!$T$15:$T$34,$I66)=0,"Unsupported status","OK"))))))))))</f>
        <v/>
      </c>
    </row>
    <row r="67">
      <c r="A67" s="46" t="n"/>
      <c r="B67" s="46" t="n"/>
      <c r="C67" s="46" t="n"/>
      <c r="D67" s="46" t="n"/>
      <c r="E67" s="46" t="n"/>
      <c r="F67" s="46" t="n"/>
      <c r="G67" s="54" t="n"/>
      <c r="H67" s="54" t="n"/>
      <c r="I67" s="46" t="n"/>
      <c r="J67" s="46" t="n"/>
      <c r="K67" s="46" t="n"/>
      <c r="L67" s="49" t="str">
        <f>IF($A67="","",IF(AND($I67="Current",ISNUMBER($H67)),IF($H67&lt;Config!$B$4,"Yes",""),""))</f>
        <v/>
      </c>
      <c r="M67" s="49" t="str">
        <f>IF(COUNTA($A67:$K67)=0,"",IF($A67="","Missing: document ID",IF(COUNTIF($A$2:$A$201,$A67)&gt;1,"Duplicate document ID",IF($B67="","Missing: title",IF($C67="","Missing: type",IF($F67="","Missing: owner",IF($I67="","Missing: status",IF($J67="","Missing: link",IF(COUNTIF(Config!$S$15:$S$34,$C67)=0,"Unsupported type",IF(COUNTIF(Config!$T$15:$T$34,$I67)=0,"Unsupported status","OK"))))))))))</f>
        <v/>
      </c>
    </row>
    <row r="68">
      <c r="A68" s="46" t="n"/>
      <c r="B68" s="46" t="n"/>
      <c r="C68" s="46" t="n"/>
      <c r="D68" s="46" t="n"/>
      <c r="E68" s="46" t="n"/>
      <c r="F68" s="46" t="n"/>
      <c r="G68" s="54" t="n"/>
      <c r="H68" s="54" t="n"/>
      <c r="I68" s="46" t="n"/>
      <c r="J68" s="46" t="n"/>
      <c r="K68" s="46" t="n"/>
      <c r="L68" s="49" t="str">
        <f>IF($A68="","",IF(AND($I68="Current",ISNUMBER($H68)),IF($H68&lt;Config!$B$4,"Yes",""),""))</f>
        <v/>
      </c>
      <c r="M68" s="49" t="str">
        <f>IF(COUNTA($A68:$K68)=0,"",IF($A68="","Missing: document ID",IF(COUNTIF($A$2:$A$201,$A68)&gt;1,"Duplicate document ID",IF($B68="","Missing: title",IF($C68="","Missing: type",IF($F68="","Missing: owner",IF($I68="","Missing: status",IF($J68="","Missing: link",IF(COUNTIF(Config!$S$15:$S$34,$C68)=0,"Unsupported type",IF(COUNTIF(Config!$T$15:$T$34,$I68)=0,"Unsupported status","OK"))))))))))</f>
        <v/>
      </c>
    </row>
    <row r="69">
      <c r="A69" s="46" t="n"/>
      <c r="B69" s="46" t="n"/>
      <c r="C69" s="46" t="n"/>
      <c r="D69" s="46" t="n"/>
      <c r="E69" s="46" t="n"/>
      <c r="F69" s="46" t="n"/>
      <c r="G69" s="54" t="n"/>
      <c r="H69" s="54" t="n"/>
      <c r="I69" s="46" t="n"/>
      <c r="J69" s="46" t="n"/>
      <c r="K69" s="46" t="n"/>
      <c r="L69" s="49" t="str">
        <f>IF($A69="","",IF(AND($I69="Current",ISNUMBER($H69)),IF($H69&lt;Config!$B$4,"Yes",""),""))</f>
        <v/>
      </c>
      <c r="M69" s="49" t="str">
        <f>IF(COUNTA($A69:$K69)=0,"",IF($A69="","Missing: document ID",IF(COUNTIF($A$2:$A$201,$A69)&gt;1,"Duplicate document ID",IF($B69="","Missing: title",IF($C69="","Missing: type",IF($F69="","Missing: owner",IF($I69="","Missing: status",IF($J69="","Missing: link",IF(COUNTIF(Config!$S$15:$S$34,$C69)=0,"Unsupported type",IF(COUNTIF(Config!$T$15:$T$34,$I69)=0,"Unsupported status","OK"))))))))))</f>
        <v/>
      </c>
    </row>
    <row r="70">
      <c r="A70" s="46" t="n"/>
      <c r="B70" s="46" t="n"/>
      <c r="C70" s="46" t="n"/>
      <c r="D70" s="46" t="n"/>
      <c r="E70" s="46" t="n"/>
      <c r="F70" s="46" t="n"/>
      <c r="G70" s="54" t="n"/>
      <c r="H70" s="54" t="n"/>
      <c r="I70" s="46" t="n"/>
      <c r="J70" s="46" t="n"/>
      <c r="K70" s="46" t="n"/>
      <c r="L70" s="49" t="str">
        <f>IF($A70="","",IF(AND($I70="Current",ISNUMBER($H70)),IF($H70&lt;Config!$B$4,"Yes",""),""))</f>
        <v/>
      </c>
      <c r="M70" s="49" t="str">
        <f>IF(COUNTA($A70:$K70)=0,"",IF($A70="","Missing: document ID",IF(COUNTIF($A$2:$A$201,$A70)&gt;1,"Duplicate document ID",IF($B70="","Missing: title",IF($C70="","Missing: type",IF($F70="","Missing: owner",IF($I70="","Missing: status",IF($J70="","Missing: link",IF(COUNTIF(Config!$S$15:$S$34,$C70)=0,"Unsupported type",IF(COUNTIF(Config!$T$15:$T$34,$I70)=0,"Unsupported status","OK"))))))))))</f>
        <v/>
      </c>
    </row>
    <row r="71">
      <c r="A71" s="46" t="n"/>
      <c r="B71" s="46" t="n"/>
      <c r="C71" s="46" t="n"/>
      <c r="D71" s="46" t="n"/>
      <c r="E71" s="46" t="n"/>
      <c r="F71" s="46" t="n"/>
      <c r="G71" s="54" t="n"/>
      <c r="H71" s="54" t="n"/>
      <c r="I71" s="46" t="n"/>
      <c r="J71" s="46" t="n"/>
      <c r="K71" s="46" t="n"/>
      <c r="L71" s="49" t="str">
        <f>IF($A71="","",IF(AND($I71="Current",ISNUMBER($H71)),IF($H71&lt;Config!$B$4,"Yes",""),""))</f>
        <v/>
      </c>
      <c r="M71" s="49" t="str">
        <f>IF(COUNTA($A71:$K71)=0,"",IF($A71="","Missing: document ID",IF(COUNTIF($A$2:$A$201,$A71)&gt;1,"Duplicate document ID",IF($B71="","Missing: title",IF($C71="","Missing: type",IF($F71="","Missing: owner",IF($I71="","Missing: status",IF($J71="","Missing: link",IF(COUNTIF(Config!$S$15:$S$34,$C71)=0,"Unsupported type",IF(COUNTIF(Config!$T$15:$T$34,$I71)=0,"Unsupported status","OK"))))))))))</f>
        <v/>
      </c>
    </row>
    <row r="72">
      <c r="A72" s="46" t="n"/>
      <c r="B72" s="46" t="n"/>
      <c r="C72" s="46" t="n"/>
      <c r="D72" s="46" t="n"/>
      <c r="E72" s="46" t="n"/>
      <c r="F72" s="46" t="n"/>
      <c r="G72" s="54" t="n"/>
      <c r="H72" s="54" t="n"/>
      <c r="I72" s="46" t="n"/>
      <c r="J72" s="46" t="n"/>
      <c r="K72" s="46" t="n"/>
      <c r="L72" s="49" t="str">
        <f>IF($A72="","",IF(AND($I72="Current",ISNUMBER($H72)),IF($H72&lt;Config!$B$4,"Yes",""),""))</f>
        <v/>
      </c>
      <c r="M72" s="49" t="str">
        <f>IF(COUNTA($A72:$K72)=0,"",IF($A72="","Missing: document ID",IF(COUNTIF($A$2:$A$201,$A72)&gt;1,"Duplicate document ID",IF($B72="","Missing: title",IF($C72="","Missing: type",IF($F72="","Missing: owner",IF($I72="","Missing: status",IF($J72="","Missing: link",IF(COUNTIF(Config!$S$15:$S$34,$C72)=0,"Unsupported type",IF(COUNTIF(Config!$T$15:$T$34,$I72)=0,"Unsupported status","OK"))))))))))</f>
        <v/>
      </c>
    </row>
    <row r="73">
      <c r="A73" s="46" t="n"/>
      <c r="B73" s="46" t="n"/>
      <c r="C73" s="46" t="n"/>
      <c r="D73" s="46" t="n"/>
      <c r="E73" s="46" t="n"/>
      <c r="F73" s="46" t="n"/>
      <c r="G73" s="54" t="n"/>
      <c r="H73" s="54" t="n"/>
      <c r="I73" s="46" t="n"/>
      <c r="J73" s="46" t="n"/>
      <c r="K73" s="46" t="n"/>
      <c r="L73" s="49" t="str">
        <f>IF($A73="","",IF(AND($I73="Current",ISNUMBER($H73)),IF($H73&lt;Config!$B$4,"Yes",""),""))</f>
        <v/>
      </c>
      <c r="M73" s="49" t="str">
        <f>IF(COUNTA($A73:$K73)=0,"",IF($A73="","Missing: document ID",IF(COUNTIF($A$2:$A$201,$A73)&gt;1,"Duplicate document ID",IF($B73="","Missing: title",IF($C73="","Missing: type",IF($F73="","Missing: owner",IF($I73="","Missing: status",IF($J73="","Missing: link",IF(COUNTIF(Config!$S$15:$S$34,$C73)=0,"Unsupported type",IF(COUNTIF(Config!$T$15:$T$34,$I73)=0,"Unsupported status","OK"))))))))))</f>
        <v/>
      </c>
    </row>
    <row r="74">
      <c r="A74" s="46" t="n"/>
      <c r="B74" s="46" t="n"/>
      <c r="C74" s="46" t="n"/>
      <c r="D74" s="46" t="n"/>
      <c r="E74" s="46" t="n"/>
      <c r="F74" s="46" t="n"/>
      <c r="G74" s="54" t="n"/>
      <c r="H74" s="54" t="n"/>
      <c r="I74" s="46" t="n"/>
      <c r="J74" s="46" t="n"/>
      <c r="K74" s="46" t="n"/>
      <c r="L74" s="49" t="str">
        <f>IF($A74="","",IF(AND($I74="Current",ISNUMBER($H74)),IF($H74&lt;Config!$B$4,"Yes",""),""))</f>
        <v/>
      </c>
      <c r="M74" s="49" t="str">
        <f>IF(COUNTA($A74:$K74)=0,"",IF($A74="","Missing: document ID",IF(COUNTIF($A$2:$A$201,$A74)&gt;1,"Duplicate document ID",IF($B74="","Missing: title",IF($C74="","Missing: type",IF($F74="","Missing: owner",IF($I74="","Missing: status",IF($J74="","Missing: link",IF(COUNTIF(Config!$S$15:$S$34,$C74)=0,"Unsupported type",IF(COUNTIF(Config!$T$15:$T$34,$I74)=0,"Unsupported status","OK"))))))))))</f>
        <v/>
      </c>
    </row>
    <row r="75">
      <c r="A75" s="46" t="n"/>
      <c r="B75" s="46" t="n"/>
      <c r="C75" s="46" t="n"/>
      <c r="D75" s="46" t="n"/>
      <c r="E75" s="46" t="n"/>
      <c r="F75" s="46" t="n"/>
      <c r="G75" s="54" t="n"/>
      <c r="H75" s="54" t="n"/>
      <c r="I75" s="46" t="n"/>
      <c r="J75" s="46" t="n"/>
      <c r="K75" s="46" t="n"/>
      <c r="L75" s="49" t="str">
        <f>IF($A75="","",IF(AND($I75="Current",ISNUMBER($H75)),IF($H75&lt;Config!$B$4,"Yes",""),""))</f>
        <v/>
      </c>
      <c r="M75" s="49" t="str">
        <f>IF(COUNTA($A75:$K75)=0,"",IF($A75="","Missing: document ID",IF(COUNTIF($A$2:$A$201,$A75)&gt;1,"Duplicate document ID",IF($B75="","Missing: title",IF($C75="","Missing: type",IF($F75="","Missing: owner",IF($I75="","Missing: status",IF($J75="","Missing: link",IF(COUNTIF(Config!$S$15:$S$34,$C75)=0,"Unsupported type",IF(COUNTIF(Config!$T$15:$T$34,$I75)=0,"Unsupported status","OK"))))))))))</f>
        <v/>
      </c>
    </row>
    <row r="76">
      <c r="A76" s="46" t="n"/>
      <c r="B76" s="46" t="n"/>
      <c r="C76" s="46" t="n"/>
      <c r="D76" s="46" t="n"/>
      <c r="E76" s="46" t="n"/>
      <c r="F76" s="46" t="n"/>
      <c r="G76" s="54" t="n"/>
      <c r="H76" s="54" t="n"/>
      <c r="I76" s="46" t="n"/>
      <c r="J76" s="46" t="n"/>
      <c r="K76" s="46" t="n"/>
      <c r="L76" s="49" t="str">
        <f>IF($A76="","",IF(AND($I76="Current",ISNUMBER($H76)),IF($H76&lt;Config!$B$4,"Yes",""),""))</f>
        <v/>
      </c>
      <c r="M76" s="49" t="str">
        <f>IF(COUNTA($A76:$K76)=0,"",IF($A76="","Missing: document ID",IF(COUNTIF($A$2:$A$201,$A76)&gt;1,"Duplicate document ID",IF($B76="","Missing: title",IF($C76="","Missing: type",IF($F76="","Missing: owner",IF($I76="","Missing: status",IF($J76="","Missing: link",IF(COUNTIF(Config!$S$15:$S$34,$C76)=0,"Unsupported type",IF(COUNTIF(Config!$T$15:$T$34,$I76)=0,"Unsupported status","OK"))))))))))</f>
        <v/>
      </c>
    </row>
    <row r="77">
      <c r="A77" s="46" t="n"/>
      <c r="B77" s="46" t="n"/>
      <c r="C77" s="46" t="n"/>
      <c r="D77" s="46" t="n"/>
      <c r="E77" s="46" t="n"/>
      <c r="F77" s="46" t="n"/>
      <c r="G77" s="54" t="n"/>
      <c r="H77" s="54" t="n"/>
      <c r="I77" s="46" t="n"/>
      <c r="J77" s="46" t="n"/>
      <c r="K77" s="46" t="n"/>
      <c r="L77" s="49" t="str">
        <f>IF($A77="","",IF(AND($I77="Current",ISNUMBER($H77)),IF($H77&lt;Config!$B$4,"Yes",""),""))</f>
        <v/>
      </c>
      <c r="M77" s="49" t="str">
        <f>IF(COUNTA($A77:$K77)=0,"",IF($A77="","Missing: document ID",IF(COUNTIF($A$2:$A$201,$A77)&gt;1,"Duplicate document ID",IF($B77="","Missing: title",IF($C77="","Missing: type",IF($F77="","Missing: owner",IF($I77="","Missing: status",IF($J77="","Missing: link",IF(COUNTIF(Config!$S$15:$S$34,$C77)=0,"Unsupported type",IF(COUNTIF(Config!$T$15:$T$34,$I77)=0,"Unsupported status","OK"))))))))))</f>
        <v/>
      </c>
    </row>
    <row r="78">
      <c r="A78" s="46" t="n"/>
      <c r="B78" s="46" t="n"/>
      <c r="C78" s="46" t="n"/>
      <c r="D78" s="46" t="n"/>
      <c r="E78" s="46" t="n"/>
      <c r="F78" s="46" t="n"/>
      <c r="G78" s="54" t="n"/>
      <c r="H78" s="54" t="n"/>
      <c r="I78" s="46" t="n"/>
      <c r="J78" s="46" t="n"/>
      <c r="K78" s="46" t="n"/>
      <c r="L78" s="49" t="str">
        <f>IF($A78="","",IF(AND($I78="Current",ISNUMBER($H78)),IF($H78&lt;Config!$B$4,"Yes",""),""))</f>
        <v/>
      </c>
      <c r="M78" s="49" t="str">
        <f>IF(COUNTA($A78:$K78)=0,"",IF($A78="","Missing: document ID",IF(COUNTIF($A$2:$A$201,$A78)&gt;1,"Duplicate document ID",IF($B78="","Missing: title",IF($C78="","Missing: type",IF($F78="","Missing: owner",IF($I78="","Missing: status",IF($J78="","Missing: link",IF(COUNTIF(Config!$S$15:$S$34,$C78)=0,"Unsupported type",IF(COUNTIF(Config!$T$15:$T$34,$I78)=0,"Unsupported status","OK"))))))))))</f>
        <v/>
      </c>
    </row>
    <row r="79">
      <c r="A79" s="46" t="n"/>
      <c r="B79" s="46" t="n"/>
      <c r="C79" s="46" t="n"/>
      <c r="D79" s="46" t="n"/>
      <c r="E79" s="46" t="n"/>
      <c r="F79" s="46" t="n"/>
      <c r="G79" s="54" t="n"/>
      <c r="H79" s="54" t="n"/>
      <c r="I79" s="46" t="n"/>
      <c r="J79" s="46" t="n"/>
      <c r="K79" s="46" t="n"/>
      <c r="L79" s="49" t="str">
        <f>IF($A79="","",IF(AND($I79="Current",ISNUMBER($H79)),IF($H79&lt;Config!$B$4,"Yes",""),""))</f>
        <v/>
      </c>
      <c r="M79" s="49" t="str">
        <f>IF(COUNTA($A79:$K79)=0,"",IF($A79="","Missing: document ID",IF(COUNTIF($A$2:$A$201,$A79)&gt;1,"Duplicate document ID",IF($B79="","Missing: title",IF($C79="","Missing: type",IF($F79="","Missing: owner",IF($I79="","Missing: status",IF($J79="","Missing: link",IF(COUNTIF(Config!$S$15:$S$34,$C79)=0,"Unsupported type",IF(COUNTIF(Config!$T$15:$T$34,$I79)=0,"Unsupported status","OK"))))))))))</f>
        <v/>
      </c>
    </row>
    <row r="80">
      <c r="A80" s="46" t="n"/>
      <c r="B80" s="46" t="n"/>
      <c r="C80" s="46" t="n"/>
      <c r="D80" s="46" t="n"/>
      <c r="E80" s="46" t="n"/>
      <c r="F80" s="46" t="n"/>
      <c r="G80" s="54" t="n"/>
      <c r="H80" s="54" t="n"/>
      <c r="I80" s="46" t="n"/>
      <c r="J80" s="46" t="n"/>
      <c r="K80" s="46" t="n"/>
      <c r="L80" s="49" t="str">
        <f>IF($A80="","",IF(AND($I80="Current",ISNUMBER($H80)),IF($H80&lt;Config!$B$4,"Yes",""),""))</f>
        <v/>
      </c>
      <c r="M80" s="49" t="str">
        <f>IF(COUNTA($A80:$K80)=0,"",IF($A80="","Missing: document ID",IF(COUNTIF($A$2:$A$201,$A80)&gt;1,"Duplicate document ID",IF($B80="","Missing: title",IF($C80="","Missing: type",IF($F80="","Missing: owner",IF($I80="","Missing: status",IF($J80="","Missing: link",IF(COUNTIF(Config!$S$15:$S$34,$C80)=0,"Unsupported type",IF(COUNTIF(Config!$T$15:$T$34,$I80)=0,"Unsupported status","OK"))))))))))</f>
        <v/>
      </c>
    </row>
    <row r="81">
      <c r="A81" s="46" t="n"/>
      <c r="B81" s="46" t="n"/>
      <c r="C81" s="46" t="n"/>
      <c r="D81" s="46" t="n"/>
      <c r="E81" s="46" t="n"/>
      <c r="F81" s="46" t="n"/>
      <c r="G81" s="54" t="n"/>
      <c r="H81" s="54" t="n"/>
      <c r="I81" s="46" t="n"/>
      <c r="J81" s="46" t="n"/>
      <c r="K81" s="46" t="n"/>
      <c r="L81" s="49" t="str">
        <f>IF($A81="","",IF(AND($I81="Current",ISNUMBER($H81)),IF($H81&lt;Config!$B$4,"Yes",""),""))</f>
        <v/>
      </c>
      <c r="M81" s="49" t="str">
        <f>IF(COUNTA($A81:$K81)=0,"",IF($A81="","Missing: document ID",IF(COUNTIF($A$2:$A$201,$A81)&gt;1,"Duplicate document ID",IF($B81="","Missing: title",IF($C81="","Missing: type",IF($F81="","Missing: owner",IF($I81="","Missing: status",IF($J81="","Missing: link",IF(COUNTIF(Config!$S$15:$S$34,$C81)=0,"Unsupported type",IF(COUNTIF(Config!$T$15:$T$34,$I81)=0,"Unsupported status","OK"))))))))))</f>
        <v/>
      </c>
    </row>
    <row r="82">
      <c r="A82" s="46" t="n"/>
      <c r="B82" s="46" t="n"/>
      <c r="C82" s="46" t="n"/>
      <c r="D82" s="46" t="n"/>
      <c r="E82" s="46" t="n"/>
      <c r="F82" s="46" t="n"/>
      <c r="G82" s="54" t="n"/>
      <c r="H82" s="54" t="n"/>
      <c r="I82" s="46" t="n"/>
      <c r="J82" s="46" t="n"/>
      <c r="K82" s="46" t="n"/>
      <c r="L82" s="49" t="str">
        <f>IF($A82="","",IF(AND($I82="Current",ISNUMBER($H82)),IF($H82&lt;Config!$B$4,"Yes",""),""))</f>
        <v/>
      </c>
      <c r="M82" s="49" t="str">
        <f>IF(COUNTA($A82:$K82)=0,"",IF($A82="","Missing: document ID",IF(COUNTIF($A$2:$A$201,$A82)&gt;1,"Duplicate document ID",IF($B82="","Missing: title",IF($C82="","Missing: type",IF($F82="","Missing: owner",IF($I82="","Missing: status",IF($J82="","Missing: link",IF(COUNTIF(Config!$S$15:$S$34,$C82)=0,"Unsupported type",IF(COUNTIF(Config!$T$15:$T$34,$I82)=0,"Unsupported status","OK"))))))))))</f>
        <v/>
      </c>
    </row>
    <row r="83">
      <c r="A83" s="46" t="n"/>
      <c r="B83" s="46" t="n"/>
      <c r="C83" s="46" t="n"/>
      <c r="D83" s="46" t="n"/>
      <c r="E83" s="46" t="n"/>
      <c r="F83" s="46" t="n"/>
      <c r="G83" s="54" t="n"/>
      <c r="H83" s="54" t="n"/>
      <c r="I83" s="46" t="n"/>
      <c r="J83" s="46" t="n"/>
      <c r="K83" s="46" t="n"/>
      <c r="L83" s="49" t="str">
        <f>IF($A83="","",IF(AND($I83="Current",ISNUMBER($H83)),IF($H83&lt;Config!$B$4,"Yes",""),""))</f>
        <v/>
      </c>
      <c r="M83" s="49" t="str">
        <f>IF(COUNTA($A83:$K83)=0,"",IF($A83="","Missing: document ID",IF(COUNTIF($A$2:$A$201,$A83)&gt;1,"Duplicate document ID",IF($B83="","Missing: title",IF($C83="","Missing: type",IF($F83="","Missing: owner",IF($I83="","Missing: status",IF($J83="","Missing: link",IF(COUNTIF(Config!$S$15:$S$34,$C83)=0,"Unsupported type",IF(COUNTIF(Config!$T$15:$T$34,$I83)=0,"Unsupported status","OK"))))))))))</f>
        <v/>
      </c>
    </row>
    <row r="84">
      <c r="A84" s="46" t="n"/>
      <c r="B84" s="46" t="n"/>
      <c r="C84" s="46" t="n"/>
      <c r="D84" s="46" t="n"/>
      <c r="E84" s="46" t="n"/>
      <c r="F84" s="46" t="n"/>
      <c r="G84" s="54" t="n"/>
      <c r="H84" s="54" t="n"/>
      <c r="I84" s="46" t="n"/>
      <c r="J84" s="46" t="n"/>
      <c r="K84" s="46" t="n"/>
      <c r="L84" s="49" t="str">
        <f>IF($A84="","",IF(AND($I84="Current",ISNUMBER($H84)),IF($H84&lt;Config!$B$4,"Yes",""),""))</f>
        <v/>
      </c>
      <c r="M84" s="49" t="str">
        <f>IF(COUNTA($A84:$K84)=0,"",IF($A84="","Missing: document ID",IF(COUNTIF($A$2:$A$201,$A84)&gt;1,"Duplicate document ID",IF($B84="","Missing: title",IF($C84="","Missing: type",IF($F84="","Missing: owner",IF($I84="","Missing: status",IF($J84="","Missing: link",IF(COUNTIF(Config!$S$15:$S$34,$C84)=0,"Unsupported type",IF(COUNTIF(Config!$T$15:$T$34,$I84)=0,"Unsupported status","OK"))))))))))</f>
        <v/>
      </c>
    </row>
    <row r="85">
      <c r="A85" s="46" t="n"/>
      <c r="B85" s="46" t="n"/>
      <c r="C85" s="46" t="n"/>
      <c r="D85" s="46" t="n"/>
      <c r="E85" s="46" t="n"/>
      <c r="F85" s="46" t="n"/>
      <c r="G85" s="54" t="n"/>
      <c r="H85" s="54" t="n"/>
      <c r="I85" s="46" t="n"/>
      <c r="J85" s="46" t="n"/>
      <c r="K85" s="46" t="n"/>
      <c r="L85" s="49" t="str">
        <f>IF($A85="","",IF(AND($I85="Current",ISNUMBER($H85)),IF($H85&lt;Config!$B$4,"Yes",""),""))</f>
        <v/>
      </c>
      <c r="M85" s="49" t="str">
        <f>IF(COUNTA($A85:$K85)=0,"",IF($A85="","Missing: document ID",IF(COUNTIF($A$2:$A$201,$A85)&gt;1,"Duplicate document ID",IF($B85="","Missing: title",IF($C85="","Missing: type",IF($F85="","Missing: owner",IF($I85="","Missing: status",IF($J85="","Missing: link",IF(COUNTIF(Config!$S$15:$S$34,$C85)=0,"Unsupported type",IF(COUNTIF(Config!$T$15:$T$34,$I85)=0,"Unsupported status","OK"))))))))))</f>
        <v/>
      </c>
    </row>
    <row r="86">
      <c r="A86" s="46" t="n"/>
      <c r="B86" s="46" t="n"/>
      <c r="C86" s="46" t="n"/>
      <c r="D86" s="46" t="n"/>
      <c r="E86" s="46" t="n"/>
      <c r="F86" s="46" t="n"/>
      <c r="G86" s="54" t="n"/>
      <c r="H86" s="54" t="n"/>
      <c r="I86" s="46" t="n"/>
      <c r="J86" s="46" t="n"/>
      <c r="K86" s="46" t="n"/>
      <c r="L86" s="49" t="str">
        <f>IF($A86="","",IF(AND($I86="Current",ISNUMBER($H86)),IF($H86&lt;Config!$B$4,"Yes",""),""))</f>
        <v/>
      </c>
      <c r="M86" s="49" t="str">
        <f>IF(COUNTA($A86:$K86)=0,"",IF($A86="","Missing: document ID",IF(COUNTIF($A$2:$A$201,$A86)&gt;1,"Duplicate document ID",IF($B86="","Missing: title",IF($C86="","Missing: type",IF($F86="","Missing: owner",IF($I86="","Missing: status",IF($J86="","Missing: link",IF(COUNTIF(Config!$S$15:$S$34,$C86)=0,"Unsupported type",IF(COUNTIF(Config!$T$15:$T$34,$I86)=0,"Unsupported status","OK"))))))))))</f>
        <v/>
      </c>
    </row>
    <row r="87">
      <c r="A87" s="46" t="n"/>
      <c r="B87" s="46" t="n"/>
      <c r="C87" s="46" t="n"/>
      <c r="D87" s="46" t="n"/>
      <c r="E87" s="46" t="n"/>
      <c r="F87" s="46" t="n"/>
      <c r="G87" s="54" t="n"/>
      <c r="H87" s="54" t="n"/>
      <c r="I87" s="46" t="n"/>
      <c r="J87" s="46" t="n"/>
      <c r="K87" s="46" t="n"/>
      <c r="L87" s="49" t="str">
        <f>IF($A87="","",IF(AND($I87="Current",ISNUMBER($H87)),IF($H87&lt;Config!$B$4,"Yes",""),""))</f>
        <v/>
      </c>
      <c r="M87" s="49" t="str">
        <f>IF(COUNTA($A87:$K87)=0,"",IF($A87="","Missing: document ID",IF(COUNTIF($A$2:$A$201,$A87)&gt;1,"Duplicate document ID",IF($B87="","Missing: title",IF($C87="","Missing: type",IF($F87="","Missing: owner",IF($I87="","Missing: status",IF($J87="","Missing: link",IF(COUNTIF(Config!$S$15:$S$34,$C87)=0,"Unsupported type",IF(COUNTIF(Config!$T$15:$T$34,$I87)=0,"Unsupported status","OK"))))))))))</f>
        <v/>
      </c>
    </row>
    <row r="88">
      <c r="A88" s="46" t="n"/>
      <c r="B88" s="46" t="n"/>
      <c r="C88" s="46" t="n"/>
      <c r="D88" s="46" t="n"/>
      <c r="E88" s="46" t="n"/>
      <c r="F88" s="46" t="n"/>
      <c r="G88" s="54" t="n"/>
      <c r="H88" s="54" t="n"/>
      <c r="I88" s="46" t="n"/>
      <c r="J88" s="46" t="n"/>
      <c r="K88" s="46" t="n"/>
      <c r="L88" s="49" t="str">
        <f>IF($A88="","",IF(AND($I88="Current",ISNUMBER($H88)),IF($H88&lt;Config!$B$4,"Yes",""),""))</f>
        <v/>
      </c>
      <c r="M88" s="49" t="str">
        <f>IF(COUNTA($A88:$K88)=0,"",IF($A88="","Missing: document ID",IF(COUNTIF($A$2:$A$201,$A88)&gt;1,"Duplicate document ID",IF($B88="","Missing: title",IF($C88="","Missing: type",IF($F88="","Missing: owner",IF($I88="","Missing: status",IF($J88="","Missing: link",IF(COUNTIF(Config!$S$15:$S$34,$C88)=0,"Unsupported type",IF(COUNTIF(Config!$T$15:$T$34,$I88)=0,"Unsupported status","OK"))))))))))</f>
        <v/>
      </c>
    </row>
    <row r="89">
      <c r="A89" s="46" t="n"/>
      <c r="B89" s="46" t="n"/>
      <c r="C89" s="46" t="n"/>
      <c r="D89" s="46" t="n"/>
      <c r="E89" s="46" t="n"/>
      <c r="F89" s="46" t="n"/>
      <c r="G89" s="54" t="n"/>
      <c r="H89" s="54" t="n"/>
      <c r="I89" s="46" t="n"/>
      <c r="J89" s="46" t="n"/>
      <c r="K89" s="46" t="n"/>
      <c r="L89" s="49" t="str">
        <f>IF($A89="","",IF(AND($I89="Current",ISNUMBER($H89)),IF($H89&lt;Config!$B$4,"Yes",""),""))</f>
        <v/>
      </c>
      <c r="M89" s="49" t="str">
        <f>IF(COUNTA($A89:$K89)=0,"",IF($A89="","Missing: document ID",IF(COUNTIF($A$2:$A$201,$A89)&gt;1,"Duplicate document ID",IF($B89="","Missing: title",IF($C89="","Missing: type",IF($F89="","Missing: owner",IF($I89="","Missing: status",IF($J89="","Missing: link",IF(COUNTIF(Config!$S$15:$S$34,$C89)=0,"Unsupported type",IF(COUNTIF(Config!$T$15:$T$34,$I89)=0,"Unsupported status","OK"))))))))))</f>
        <v/>
      </c>
    </row>
    <row r="90">
      <c r="A90" s="46" t="n"/>
      <c r="B90" s="46" t="n"/>
      <c r="C90" s="46" t="n"/>
      <c r="D90" s="46" t="n"/>
      <c r="E90" s="46" t="n"/>
      <c r="F90" s="46" t="n"/>
      <c r="G90" s="54" t="n"/>
      <c r="H90" s="54" t="n"/>
      <c r="I90" s="46" t="n"/>
      <c r="J90" s="46" t="n"/>
      <c r="K90" s="46" t="n"/>
      <c r="L90" s="49" t="str">
        <f>IF($A90="","",IF(AND($I90="Current",ISNUMBER($H90)),IF($H90&lt;Config!$B$4,"Yes",""),""))</f>
        <v/>
      </c>
      <c r="M90" s="49" t="str">
        <f>IF(COUNTA($A90:$K90)=0,"",IF($A90="","Missing: document ID",IF(COUNTIF($A$2:$A$201,$A90)&gt;1,"Duplicate document ID",IF($B90="","Missing: title",IF($C90="","Missing: type",IF($F90="","Missing: owner",IF($I90="","Missing: status",IF($J90="","Missing: link",IF(COUNTIF(Config!$S$15:$S$34,$C90)=0,"Unsupported type",IF(COUNTIF(Config!$T$15:$T$34,$I90)=0,"Unsupported status","OK"))))))))))</f>
        <v/>
      </c>
    </row>
    <row r="91">
      <c r="A91" s="46" t="n"/>
      <c r="B91" s="46" t="n"/>
      <c r="C91" s="46" t="n"/>
      <c r="D91" s="46" t="n"/>
      <c r="E91" s="46" t="n"/>
      <c r="F91" s="46" t="n"/>
      <c r="G91" s="54" t="n"/>
      <c r="H91" s="54" t="n"/>
      <c r="I91" s="46" t="n"/>
      <c r="J91" s="46" t="n"/>
      <c r="K91" s="46" t="n"/>
      <c r="L91" s="49" t="str">
        <f>IF($A91="","",IF(AND($I91="Current",ISNUMBER($H91)),IF($H91&lt;Config!$B$4,"Yes",""),""))</f>
        <v/>
      </c>
      <c r="M91" s="49" t="str">
        <f>IF(COUNTA($A91:$K91)=0,"",IF($A91="","Missing: document ID",IF(COUNTIF($A$2:$A$201,$A91)&gt;1,"Duplicate document ID",IF($B91="","Missing: title",IF($C91="","Missing: type",IF($F91="","Missing: owner",IF($I91="","Missing: status",IF($J91="","Missing: link",IF(COUNTIF(Config!$S$15:$S$34,$C91)=0,"Unsupported type",IF(COUNTIF(Config!$T$15:$T$34,$I91)=0,"Unsupported status","OK"))))))))))</f>
        <v/>
      </c>
    </row>
    <row r="92">
      <c r="A92" s="46" t="n"/>
      <c r="B92" s="46" t="n"/>
      <c r="C92" s="46" t="n"/>
      <c r="D92" s="46" t="n"/>
      <c r="E92" s="46" t="n"/>
      <c r="F92" s="46" t="n"/>
      <c r="G92" s="54" t="n"/>
      <c r="H92" s="54" t="n"/>
      <c r="I92" s="46" t="n"/>
      <c r="J92" s="46" t="n"/>
      <c r="K92" s="46" t="n"/>
      <c r="L92" s="49" t="str">
        <f>IF($A92="","",IF(AND($I92="Current",ISNUMBER($H92)),IF($H92&lt;Config!$B$4,"Yes",""),""))</f>
        <v/>
      </c>
      <c r="M92" s="49" t="str">
        <f>IF(COUNTA($A92:$K92)=0,"",IF($A92="","Missing: document ID",IF(COUNTIF($A$2:$A$201,$A92)&gt;1,"Duplicate document ID",IF($B92="","Missing: title",IF($C92="","Missing: type",IF($F92="","Missing: owner",IF($I92="","Missing: status",IF($J92="","Missing: link",IF(COUNTIF(Config!$S$15:$S$34,$C92)=0,"Unsupported type",IF(COUNTIF(Config!$T$15:$T$34,$I92)=0,"Unsupported status","OK"))))))))))</f>
        <v/>
      </c>
    </row>
    <row r="93">
      <c r="A93" s="46" t="n"/>
      <c r="B93" s="46" t="n"/>
      <c r="C93" s="46" t="n"/>
      <c r="D93" s="46" t="n"/>
      <c r="E93" s="46" t="n"/>
      <c r="F93" s="46" t="n"/>
      <c r="G93" s="54" t="n"/>
      <c r="H93" s="54" t="n"/>
      <c r="I93" s="46" t="n"/>
      <c r="J93" s="46" t="n"/>
      <c r="K93" s="46" t="n"/>
      <c r="L93" s="49" t="str">
        <f>IF($A93="","",IF(AND($I93="Current",ISNUMBER($H93)),IF($H93&lt;Config!$B$4,"Yes",""),""))</f>
        <v/>
      </c>
      <c r="M93" s="49" t="str">
        <f>IF(COUNTA($A93:$K93)=0,"",IF($A93="","Missing: document ID",IF(COUNTIF($A$2:$A$201,$A93)&gt;1,"Duplicate document ID",IF($B93="","Missing: title",IF($C93="","Missing: type",IF($F93="","Missing: owner",IF($I93="","Missing: status",IF($J93="","Missing: link",IF(COUNTIF(Config!$S$15:$S$34,$C93)=0,"Unsupported type",IF(COUNTIF(Config!$T$15:$T$34,$I93)=0,"Unsupported status","OK"))))))))))</f>
        <v/>
      </c>
    </row>
    <row r="94">
      <c r="A94" s="46" t="n"/>
      <c r="B94" s="46" t="n"/>
      <c r="C94" s="46" t="n"/>
      <c r="D94" s="46" t="n"/>
      <c r="E94" s="46" t="n"/>
      <c r="F94" s="46" t="n"/>
      <c r="G94" s="54" t="n"/>
      <c r="H94" s="54" t="n"/>
      <c r="I94" s="46" t="n"/>
      <c r="J94" s="46" t="n"/>
      <c r="K94" s="46" t="n"/>
      <c r="L94" s="49" t="str">
        <f>IF($A94="","",IF(AND($I94="Current",ISNUMBER($H94)),IF($H94&lt;Config!$B$4,"Yes",""),""))</f>
        <v/>
      </c>
      <c r="M94" s="49" t="str">
        <f>IF(COUNTA($A94:$K94)=0,"",IF($A94="","Missing: document ID",IF(COUNTIF($A$2:$A$201,$A94)&gt;1,"Duplicate document ID",IF($B94="","Missing: title",IF($C94="","Missing: type",IF($F94="","Missing: owner",IF($I94="","Missing: status",IF($J94="","Missing: link",IF(COUNTIF(Config!$S$15:$S$34,$C94)=0,"Unsupported type",IF(COUNTIF(Config!$T$15:$T$34,$I94)=0,"Unsupported status","OK"))))))))))</f>
        <v/>
      </c>
    </row>
    <row r="95">
      <c r="A95" s="46" t="n"/>
      <c r="B95" s="46" t="n"/>
      <c r="C95" s="46" t="n"/>
      <c r="D95" s="46" t="n"/>
      <c r="E95" s="46" t="n"/>
      <c r="F95" s="46" t="n"/>
      <c r="G95" s="54" t="n"/>
      <c r="H95" s="54" t="n"/>
      <c r="I95" s="46" t="n"/>
      <c r="J95" s="46" t="n"/>
      <c r="K95" s="46" t="n"/>
      <c r="L95" s="49" t="str">
        <f>IF($A95="","",IF(AND($I95="Current",ISNUMBER($H95)),IF($H95&lt;Config!$B$4,"Yes",""),""))</f>
        <v/>
      </c>
      <c r="M95" s="49" t="str">
        <f>IF(COUNTA($A95:$K95)=0,"",IF($A95="","Missing: document ID",IF(COUNTIF($A$2:$A$201,$A95)&gt;1,"Duplicate document ID",IF($B95="","Missing: title",IF($C95="","Missing: type",IF($F95="","Missing: owner",IF($I95="","Missing: status",IF($J95="","Missing: link",IF(COUNTIF(Config!$S$15:$S$34,$C95)=0,"Unsupported type",IF(COUNTIF(Config!$T$15:$T$34,$I95)=0,"Unsupported status","OK"))))))))))</f>
        <v/>
      </c>
    </row>
    <row r="96">
      <c r="A96" s="46" t="n"/>
      <c r="B96" s="46" t="n"/>
      <c r="C96" s="46" t="n"/>
      <c r="D96" s="46" t="n"/>
      <c r="E96" s="46" t="n"/>
      <c r="F96" s="46" t="n"/>
      <c r="G96" s="54" t="n"/>
      <c r="H96" s="54" t="n"/>
      <c r="I96" s="46" t="n"/>
      <c r="J96" s="46" t="n"/>
      <c r="K96" s="46" t="n"/>
      <c r="L96" s="49" t="str">
        <f>IF($A96="","",IF(AND($I96="Current",ISNUMBER($H96)),IF($H96&lt;Config!$B$4,"Yes",""),""))</f>
        <v/>
      </c>
      <c r="M96" s="49" t="str">
        <f>IF(COUNTA($A96:$K96)=0,"",IF($A96="","Missing: document ID",IF(COUNTIF($A$2:$A$201,$A96)&gt;1,"Duplicate document ID",IF($B96="","Missing: title",IF($C96="","Missing: type",IF($F96="","Missing: owner",IF($I96="","Missing: status",IF($J96="","Missing: link",IF(COUNTIF(Config!$S$15:$S$34,$C96)=0,"Unsupported type",IF(COUNTIF(Config!$T$15:$T$34,$I96)=0,"Unsupported status","OK"))))))))))</f>
        <v/>
      </c>
    </row>
    <row r="97">
      <c r="A97" s="46" t="n"/>
      <c r="B97" s="46" t="n"/>
      <c r="C97" s="46" t="n"/>
      <c r="D97" s="46" t="n"/>
      <c r="E97" s="46" t="n"/>
      <c r="F97" s="46" t="n"/>
      <c r="G97" s="54" t="n"/>
      <c r="H97" s="54" t="n"/>
      <c r="I97" s="46" t="n"/>
      <c r="J97" s="46" t="n"/>
      <c r="K97" s="46" t="n"/>
      <c r="L97" s="49" t="str">
        <f>IF($A97="","",IF(AND($I97="Current",ISNUMBER($H97)),IF($H97&lt;Config!$B$4,"Yes",""),""))</f>
        <v/>
      </c>
      <c r="M97" s="49" t="str">
        <f>IF(COUNTA($A97:$K97)=0,"",IF($A97="","Missing: document ID",IF(COUNTIF($A$2:$A$201,$A97)&gt;1,"Duplicate document ID",IF($B97="","Missing: title",IF($C97="","Missing: type",IF($F97="","Missing: owner",IF($I97="","Missing: status",IF($J97="","Missing: link",IF(COUNTIF(Config!$S$15:$S$34,$C97)=0,"Unsupported type",IF(COUNTIF(Config!$T$15:$T$34,$I97)=0,"Unsupported status","OK"))))))))))</f>
        <v/>
      </c>
    </row>
    <row r="98">
      <c r="A98" s="46" t="n"/>
      <c r="B98" s="46" t="n"/>
      <c r="C98" s="46" t="n"/>
      <c r="D98" s="46" t="n"/>
      <c r="E98" s="46" t="n"/>
      <c r="F98" s="46" t="n"/>
      <c r="G98" s="54" t="n"/>
      <c r="H98" s="54" t="n"/>
      <c r="I98" s="46" t="n"/>
      <c r="J98" s="46" t="n"/>
      <c r="K98" s="46" t="n"/>
      <c r="L98" s="49" t="str">
        <f>IF($A98="","",IF(AND($I98="Current",ISNUMBER($H98)),IF($H98&lt;Config!$B$4,"Yes",""),""))</f>
        <v/>
      </c>
      <c r="M98" s="49" t="str">
        <f>IF(COUNTA($A98:$K98)=0,"",IF($A98="","Missing: document ID",IF(COUNTIF($A$2:$A$201,$A98)&gt;1,"Duplicate document ID",IF($B98="","Missing: title",IF($C98="","Missing: type",IF($F98="","Missing: owner",IF($I98="","Missing: status",IF($J98="","Missing: link",IF(COUNTIF(Config!$S$15:$S$34,$C98)=0,"Unsupported type",IF(COUNTIF(Config!$T$15:$T$34,$I98)=0,"Unsupported status","OK"))))))))))</f>
        <v/>
      </c>
    </row>
    <row r="99">
      <c r="A99" s="46" t="n"/>
      <c r="B99" s="46" t="n"/>
      <c r="C99" s="46" t="n"/>
      <c r="D99" s="46" t="n"/>
      <c r="E99" s="46" t="n"/>
      <c r="F99" s="46" t="n"/>
      <c r="G99" s="54" t="n"/>
      <c r="H99" s="54" t="n"/>
      <c r="I99" s="46" t="n"/>
      <c r="J99" s="46" t="n"/>
      <c r="K99" s="46" t="n"/>
      <c r="L99" s="49" t="str">
        <f>IF($A99="","",IF(AND($I99="Current",ISNUMBER($H99)),IF($H99&lt;Config!$B$4,"Yes",""),""))</f>
        <v/>
      </c>
      <c r="M99" s="49" t="str">
        <f>IF(COUNTA($A99:$K99)=0,"",IF($A99="","Missing: document ID",IF(COUNTIF($A$2:$A$201,$A99)&gt;1,"Duplicate document ID",IF($B99="","Missing: title",IF($C99="","Missing: type",IF($F99="","Missing: owner",IF($I99="","Missing: status",IF($J99="","Missing: link",IF(COUNTIF(Config!$S$15:$S$34,$C99)=0,"Unsupported type",IF(COUNTIF(Config!$T$15:$T$34,$I99)=0,"Unsupported status","OK"))))))))))</f>
        <v/>
      </c>
    </row>
    <row r="100">
      <c r="A100" s="46" t="n"/>
      <c r="B100" s="46" t="n"/>
      <c r="C100" s="46" t="n"/>
      <c r="D100" s="46" t="n"/>
      <c r="E100" s="46" t="n"/>
      <c r="F100" s="46" t="n"/>
      <c r="G100" s="54" t="n"/>
      <c r="H100" s="54" t="n"/>
      <c r="I100" s="46" t="n"/>
      <c r="J100" s="46" t="n"/>
      <c r="K100" s="46" t="n"/>
      <c r="L100" s="49" t="str">
        <f>IF($A100="","",IF(AND($I100="Current",ISNUMBER($H100)),IF($H100&lt;Config!$B$4,"Yes",""),""))</f>
        <v/>
      </c>
      <c r="M100" s="49" t="str">
        <f>IF(COUNTA($A100:$K100)=0,"",IF($A100="","Missing: document ID",IF(COUNTIF($A$2:$A$201,$A100)&gt;1,"Duplicate document ID",IF($B100="","Missing: title",IF($C100="","Missing: type",IF($F100="","Missing: owner",IF($I100="","Missing: status",IF($J100="","Missing: link",IF(COUNTIF(Config!$S$15:$S$34,$C100)=0,"Unsupported type",IF(COUNTIF(Config!$T$15:$T$34,$I100)=0,"Unsupported status","OK"))))))))))</f>
        <v/>
      </c>
    </row>
    <row r="101">
      <c r="A101" s="46" t="n"/>
      <c r="B101" s="46" t="n"/>
      <c r="C101" s="46" t="n"/>
      <c r="D101" s="46" t="n"/>
      <c r="E101" s="46" t="n"/>
      <c r="F101" s="46" t="n"/>
      <c r="G101" s="54" t="n"/>
      <c r="H101" s="54" t="n"/>
      <c r="I101" s="46" t="n"/>
      <c r="J101" s="46" t="n"/>
      <c r="K101" s="46" t="n"/>
      <c r="L101" s="49" t="str">
        <f>IF($A101="","",IF(AND($I101="Current",ISNUMBER($H101)),IF($H101&lt;Config!$B$4,"Yes",""),""))</f>
        <v/>
      </c>
      <c r="M101" s="49" t="str">
        <f>IF(COUNTA($A101:$K101)=0,"",IF($A101="","Missing: document ID",IF(COUNTIF($A$2:$A$201,$A101)&gt;1,"Duplicate document ID",IF($B101="","Missing: title",IF($C101="","Missing: type",IF($F101="","Missing: owner",IF($I101="","Missing: status",IF($J101="","Missing: link",IF(COUNTIF(Config!$S$15:$S$34,$C101)=0,"Unsupported type",IF(COUNTIF(Config!$T$15:$T$34,$I101)=0,"Unsupported status","OK"))))))))))</f>
        <v/>
      </c>
    </row>
    <row r="102">
      <c r="A102" s="46" t="n"/>
      <c r="B102" s="46" t="n"/>
      <c r="C102" s="46" t="n"/>
      <c r="D102" s="46" t="n"/>
      <c r="E102" s="46" t="n"/>
      <c r="F102" s="46" t="n"/>
      <c r="G102" s="54" t="n"/>
      <c r="H102" s="54" t="n"/>
      <c r="I102" s="46" t="n"/>
      <c r="J102" s="46" t="n"/>
      <c r="K102" s="46" t="n"/>
      <c r="L102" s="49" t="str">
        <f>IF($A102="","",IF(AND($I102="Current",ISNUMBER($H102)),IF($H102&lt;Config!$B$4,"Yes",""),""))</f>
        <v/>
      </c>
      <c r="M102" s="49" t="str">
        <f>IF(COUNTA($A102:$K102)=0,"",IF($A102="","Missing: document ID",IF(COUNTIF($A$2:$A$201,$A102)&gt;1,"Duplicate document ID",IF($B102="","Missing: title",IF($C102="","Missing: type",IF($F102="","Missing: owner",IF($I102="","Missing: status",IF($J102="","Missing: link",IF(COUNTIF(Config!$S$15:$S$34,$C102)=0,"Unsupported type",IF(COUNTIF(Config!$T$15:$T$34,$I102)=0,"Unsupported status","OK"))))))))))</f>
        <v/>
      </c>
    </row>
    <row r="103">
      <c r="A103" s="46" t="n"/>
      <c r="B103" s="46" t="n"/>
      <c r="C103" s="46" t="n"/>
      <c r="D103" s="46" t="n"/>
      <c r="E103" s="46" t="n"/>
      <c r="F103" s="46" t="n"/>
      <c r="G103" s="54" t="n"/>
      <c r="H103" s="54" t="n"/>
      <c r="I103" s="46" t="n"/>
      <c r="J103" s="46" t="n"/>
      <c r="K103" s="46" t="n"/>
      <c r="L103" s="49" t="str">
        <f>IF($A103="","",IF(AND($I103="Current",ISNUMBER($H103)),IF($H103&lt;Config!$B$4,"Yes",""),""))</f>
        <v/>
      </c>
      <c r="M103" s="49" t="str">
        <f>IF(COUNTA($A103:$K103)=0,"",IF($A103="","Missing: document ID",IF(COUNTIF($A$2:$A$201,$A103)&gt;1,"Duplicate document ID",IF($B103="","Missing: title",IF($C103="","Missing: type",IF($F103="","Missing: owner",IF($I103="","Missing: status",IF($J103="","Missing: link",IF(COUNTIF(Config!$S$15:$S$34,$C103)=0,"Unsupported type",IF(COUNTIF(Config!$T$15:$T$34,$I103)=0,"Unsupported status","OK"))))))))))</f>
        <v/>
      </c>
    </row>
    <row r="104">
      <c r="A104" s="46" t="n"/>
      <c r="B104" s="46" t="n"/>
      <c r="C104" s="46" t="n"/>
      <c r="D104" s="46" t="n"/>
      <c r="E104" s="46" t="n"/>
      <c r="F104" s="46" t="n"/>
      <c r="G104" s="54" t="n"/>
      <c r="H104" s="54" t="n"/>
      <c r="I104" s="46" t="n"/>
      <c r="J104" s="46" t="n"/>
      <c r="K104" s="46" t="n"/>
      <c r="L104" s="49" t="str">
        <f>IF($A104="","",IF(AND($I104="Current",ISNUMBER($H104)),IF($H104&lt;Config!$B$4,"Yes",""),""))</f>
        <v/>
      </c>
      <c r="M104" s="49" t="str">
        <f>IF(COUNTA($A104:$K104)=0,"",IF($A104="","Missing: document ID",IF(COUNTIF($A$2:$A$201,$A104)&gt;1,"Duplicate document ID",IF($B104="","Missing: title",IF($C104="","Missing: type",IF($F104="","Missing: owner",IF($I104="","Missing: status",IF($J104="","Missing: link",IF(COUNTIF(Config!$S$15:$S$34,$C104)=0,"Unsupported type",IF(COUNTIF(Config!$T$15:$T$34,$I104)=0,"Unsupported status","OK"))))))))))</f>
        <v/>
      </c>
    </row>
    <row r="105">
      <c r="A105" s="46" t="n"/>
      <c r="B105" s="46" t="n"/>
      <c r="C105" s="46" t="n"/>
      <c r="D105" s="46" t="n"/>
      <c r="E105" s="46" t="n"/>
      <c r="F105" s="46" t="n"/>
      <c r="G105" s="54" t="n"/>
      <c r="H105" s="54" t="n"/>
      <c r="I105" s="46" t="n"/>
      <c r="J105" s="46" t="n"/>
      <c r="K105" s="46" t="n"/>
      <c r="L105" s="49" t="str">
        <f>IF($A105="","",IF(AND($I105="Current",ISNUMBER($H105)),IF($H105&lt;Config!$B$4,"Yes",""),""))</f>
        <v/>
      </c>
      <c r="M105" s="49" t="str">
        <f>IF(COUNTA($A105:$K105)=0,"",IF($A105="","Missing: document ID",IF(COUNTIF($A$2:$A$201,$A105)&gt;1,"Duplicate document ID",IF($B105="","Missing: title",IF($C105="","Missing: type",IF($F105="","Missing: owner",IF($I105="","Missing: status",IF($J105="","Missing: link",IF(COUNTIF(Config!$S$15:$S$34,$C105)=0,"Unsupported type",IF(COUNTIF(Config!$T$15:$T$34,$I105)=0,"Unsupported status","OK"))))))))))</f>
        <v/>
      </c>
    </row>
    <row r="106">
      <c r="A106" s="46" t="n"/>
      <c r="B106" s="46" t="n"/>
      <c r="C106" s="46" t="n"/>
      <c r="D106" s="46" t="n"/>
      <c r="E106" s="46" t="n"/>
      <c r="F106" s="46" t="n"/>
      <c r="G106" s="54" t="n"/>
      <c r="H106" s="54" t="n"/>
      <c r="I106" s="46" t="n"/>
      <c r="J106" s="46" t="n"/>
      <c r="K106" s="46" t="n"/>
      <c r="L106" s="49" t="str">
        <f>IF($A106="","",IF(AND($I106="Current",ISNUMBER($H106)),IF($H106&lt;Config!$B$4,"Yes",""),""))</f>
        <v/>
      </c>
      <c r="M106" s="49" t="str">
        <f>IF(COUNTA($A106:$K106)=0,"",IF($A106="","Missing: document ID",IF(COUNTIF($A$2:$A$201,$A106)&gt;1,"Duplicate document ID",IF($B106="","Missing: title",IF($C106="","Missing: type",IF($F106="","Missing: owner",IF($I106="","Missing: status",IF($J106="","Missing: link",IF(COUNTIF(Config!$S$15:$S$34,$C106)=0,"Unsupported type",IF(COUNTIF(Config!$T$15:$T$34,$I106)=0,"Unsupported status","OK"))))))))))</f>
        <v/>
      </c>
    </row>
    <row r="107">
      <c r="A107" s="46" t="n"/>
      <c r="B107" s="46" t="n"/>
      <c r="C107" s="46" t="n"/>
      <c r="D107" s="46" t="n"/>
      <c r="E107" s="46" t="n"/>
      <c r="F107" s="46" t="n"/>
      <c r="G107" s="54" t="n"/>
      <c r="H107" s="54" t="n"/>
      <c r="I107" s="46" t="n"/>
      <c r="J107" s="46" t="n"/>
      <c r="K107" s="46" t="n"/>
      <c r="L107" s="49" t="str">
        <f>IF($A107="","",IF(AND($I107="Current",ISNUMBER($H107)),IF($H107&lt;Config!$B$4,"Yes",""),""))</f>
        <v/>
      </c>
      <c r="M107" s="49" t="str">
        <f>IF(COUNTA($A107:$K107)=0,"",IF($A107="","Missing: document ID",IF(COUNTIF($A$2:$A$201,$A107)&gt;1,"Duplicate document ID",IF($B107="","Missing: title",IF($C107="","Missing: type",IF($F107="","Missing: owner",IF($I107="","Missing: status",IF($J107="","Missing: link",IF(COUNTIF(Config!$S$15:$S$34,$C107)=0,"Unsupported type",IF(COUNTIF(Config!$T$15:$T$34,$I107)=0,"Unsupported status","OK"))))))))))</f>
        <v/>
      </c>
    </row>
    <row r="108">
      <c r="A108" s="46" t="n"/>
      <c r="B108" s="46" t="n"/>
      <c r="C108" s="46" t="n"/>
      <c r="D108" s="46" t="n"/>
      <c r="E108" s="46" t="n"/>
      <c r="F108" s="46" t="n"/>
      <c r="G108" s="54" t="n"/>
      <c r="H108" s="54" t="n"/>
      <c r="I108" s="46" t="n"/>
      <c r="J108" s="46" t="n"/>
      <c r="K108" s="46" t="n"/>
      <c r="L108" s="49" t="str">
        <f>IF($A108="","",IF(AND($I108="Current",ISNUMBER($H108)),IF($H108&lt;Config!$B$4,"Yes",""),""))</f>
        <v/>
      </c>
      <c r="M108" s="49" t="str">
        <f>IF(COUNTA($A108:$K108)=0,"",IF($A108="","Missing: document ID",IF(COUNTIF($A$2:$A$201,$A108)&gt;1,"Duplicate document ID",IF($B108="","Missing: title",IF($C108="","Missing: type",IF($F108="","Missing: owner",IF($I108="","Missing: status",IF($J108="","Missing: link",IF(COUNTIF(Config!$S$15:$S$34,$C108)=0,"Unsupported type",IF(COUNTIF(Config!$T$15:$T$34,$I108)=0,"Unsupported status","OK"))))))))))</f>
        <v/>
      </c>
    </row>
    <row r="109">
      <c r="A109" s="46" t="n"/>
      <c r="B109" s="46" t="n"/>
      <c r="C109" s="46" t="n"/>
      <c r="D109" s="46" t="n"/>
      <c r="E109" s="46" t="n"/>
      <c r="F109" s="46" t="n"/>
      <c r="G109" s="54" t="n"/>
      <c r="H109" s="54" t="n"/>
      <c r="I109" s="46" t="n"/>
      <c r="J109" s="46" t="n"/>
      <c r="K109" s="46" t="n"/>
      <c r="L109" s="49" t="str">
        <f>IF($A109="","",IF(AND($I109="Current",ISNUMBER($H109)),IF($H109&lt;Config!$B$4,"Yes",""),""))</f>
        <v/>
      </c>
      <c r="M109" s="49" t="str">
        <f>IF(COUNTA($A109:$K109)=0,"",IF($A109="","Missing: document ID",IF(COUNTIF($A$2:$A$201,$A109)&gt;1,"Duplicate document ID",IF($B109="","Missing: title",IF($C109="","Missing: type",IF($F109="","Missing: owner",IF($I109="","Missing: status",IF($J109="","Missing: link",IF(COUNTIF(Config!$S$15:$S$34,$C109)=0,"Unsupported type",IF(COUNTIF(Config!$T$15:$T$34,$I109)=0,"Unsupported status","OK"))))))))))</f>
        <v/>
      </c>
    </row>
    <row r="110">
      <c r="A110" s="46" t="n"/>
      <c r="B110" s="46" t="n"/>
      <c r="C110" s="46" t="n"/>
      <c r="D110" s="46" t="n"/>
      <c r="E110" s="46" t="n"/>
      <c r="F110" s="46" t="n"/>
      <c r="G110" s="54" t="n"/>
      <c r="H110" s="54" t="n"/>
      <c r="I110" s="46" t="n"/>
      <c r="J110" s="46" t="n"/>
      <c r="K110" s="46" t="n"/>
      <c r="L110" s="49" t="str">
        <f>IF($A110="","",IF(AND($I110="Current",ISNUMBER($H110)),IF($H110&lt;Config!$B$4,"Yes",""),""))</f>
        <v/>
      </c>
      <c r="M110" s="49" t="str">
        <f>IF(COUNTA($A110:$K110)=0,"",IF($A110="","Missing: document ID",IF(COUNTIF($A$2:$A$201,$A110)&gt;1,"Duplicate document ID",IF($B110="","Missing: title",IF($C110="","Missing: type",IF($F110="","Missing: owner",IF($I110="","Missing: status",IF($J110="","Missing: link",IF(COUNTIF(Config!$S$15:$S$34,$C110)=0,"Unsupported type",IF(COUNTIF(Config!$T$15:$T$34,$I110)=0,"Unsupported status","OK"))))))))))</f>
        <v/>
      </c>
    </row>
    <row r="111">
      <c r="A111" s="46" t="n"/>
      <c r="B111" s="46" t="n"/>
      <c r="C111" s="46" t="n"/>
      <c r="D111" s="46" t="n"/>
      <c r="E111" s="46" t="n"/>
      <c r="F111" s="46" t="n"/>
      <c r="G111" s="54" t="n"/>
      <c r="H111" s="54" t="n"/>
      <c r="I111" s="46" t="n"/>
      <c r="J111" s="46" t="n"/>
      <c r="K111" s="46" t="n"/>
      <c r="L111" s="49" t="str">
        <f>IF($A111="","",IF(AND($I111="Current",ISNUMBER($H111)),IF($H111&lt;Config!$B$4,"Yes",""),""))</f>
        <v/>
      </c>
      <c r="M111" s="49" t="str">
        <f>IF(COUNTA($A111:$K111)=0,"",IF($A111="","Missing: document ID",IF(COUNTIF($A$2:$A$201,$A111)&gt;1,"Duplicate document ID",IF($B111="","Missing: title",IF($C111="","Missing: type",IF($F111="","Missing: owner",IF($I111="","Missing: status",IF($J111="","Missing: link",IF(COUNTIF(Config!$S$15:$S$34,$C111)=0,"Unsupported type",IF(COUNTIF(Config!$T$15:$T$34,$I111)=0,"Unsupported status","OK"))))))))))</f>
        <v/>
      </c>
    </row>
    <row r="112">
      <c r="A112" s="46" t="n"/>
      <c r="B112" s="46" t="n"/>
      <c r="C112" s="46" t="n"/>
      <c r="D112" s="46" t="n"/>
      <c r="E112" s="46" t="n"/>
      <c r="F112" s="46" t="n"/>
      <c r="G112" s="54" t="n"/>
      <c r="H112" s="54" t="n"/>
      <c r="I112" s="46" t="n"/>
      <c r="J112" s="46" t="n"/>
      <c r="K112" s="46" t="n"/>
      <c r="L112" s="49" t="str">
        <f>IF($A112="","",IF(AND($I112="Current",ISNUMBER($H112)),IF($H112&lt;Config!$B$4,"Yes",""),""))</f>
        <v/>
      </c>
      <c r="M112" s="49" t="str">
        <f>IF(COUNTA($A112:$K112)=0,"",IF($A112="","Missing: document ID",IF(COUNTIF($A$2:$A$201,$A112)&gt;1,"Duplicate document ID",IF($B112="","Missing: title",IF($C112="","Missing: type",IF($F112="","Missing: owner",IF($I112="","Missing: status",IF($J112="","Missing: link",IF(COUNTIF(Config!$S$15:$S$34,$C112)=0,"Unsupported type",IF(COUNTIF(Config!$T$15:$T$34,$I112)=0,"Unsupported status","OK"))))))))))</f>
        <v/>
      </c>
    </row>
    <row r="113">
      <c r="A113" s="46" t="n"/>
      <c r="B113" s="46" t="n"/>
      <c r="C113" s="46" t="n"/>
      <c r="D113" s="46" t="n"/>
      <c r="E113" s="46" t="n"/>
      <c r="F113" s="46" t="n"/>
      <c r="G113" s="54" t="n"/>
      <c r="H113" s="54" t="n"/>
      <c r="I113" s="46" t="n"/>
      <c r="J113" s="46" t="n"/>
      <c r="K113" s="46" t="n"/>
      <c r="L113" s="49" t="str">
        <f>IF($A113="","",IF(AND($I113="Current",ISNUMBER($H113)),IF($H113&lt;Config!$B$4,"Yes",""),""))</f>
        <v/>
      </c>
      <c r="M113" s="49" t="str">
        <f>IF(COUNTA($A113:$K113)=0,"",IF($A113="","Missing: document ID",IF(COUNTIF($A$2:$A$201,$A113)&gt;1,"Duplicate document ID",IF($B113="","Missing: title",IF($C113="","Missing: type",IF($F113="","Missing: owner",IF($I113="","Missing: status",IF($J113="","Missing: link",IF(COUNTIF(Config!$S$15:$S$34,$C113)=0,"Unsupported type",IF(COUNTIF(Config!$T$15:$T$34,$I113)=0,"Unsupported status","OK"))))))))))</f>
        <v/>
      </c>
    </row>
    <row r="114">
      <c r="A114" s="46" t="n"/>
      <c r="B114" s="46" t="n"/>
      <c r="C114" s="46" t="n"/>
      <c r="D114" s="46" t="n"/>
      <c r="E114" s="46" t="n"/>
      <c r="F114" s="46" t="n"/>
      <c r="G114" s="54" t="n"/>
      <c r="H114" s="54" t="n"/>
      <c r="I114" s="46" t="n"/>
      <c r="J114" s="46" t="n"/>
      <c r="K114" s="46" t="n"/>
      <c r="L114" s="49" t="str">
        <f>IF($A114="","",IF(AND($I114="Current",ISNUMBER($H114)),IF($H114&lt;Config!$B$4,"Yes",""),""))</f>
        <v/>
      </c>
      <c r="M114" s="49" t="str">
        <f>IF(COUNTA($A114:$K114)=0,"",IF($A114="","Missing: document ID",IF(COUNTIF($A$2:$A$201,$A114)&gt;1,"Duplicate document ID",IF($B114="","Missing: title",IF($C114="","Missing: type",IF($F114="","Missing: owner",IF($I114="","Missing: status",IF($J114="","Missing: link",IF(COUNTIF(Config!$S$15:$S$34,$C114)=0,"Unsupported type",IF(COUNTIF(Config!$T$15:$T$34,$I114)=0,"Unsupported status","OK"))))))))))</f>
        <v/>
      </c>
    </row>
    <row r="115">
      <c r="A115" s="46" t="n"/>
      <c r="B115" s="46" t="n"/>
      <c r="C115" s="46" t="n"/>
      <c r="D115" s="46" t="n"/>
      <c r="E115" s="46" t="n"/>
      <c r="F115" s="46" t="n"/>
      <c r="G115" s="54" t="n"/>
      <c r="H115" s="54" t="n"/>
      <c r="I115" s="46" t="n"/>
      <c r="J115" s="46" t="n"/>
      <c r="K115" s="46" t="n"/>
      <c r="L115" s="49" t="str">
        <f>IF($A115="","",IF(AND($I115="Current",ISNUMBER($H115)),IF($H115&lt;Config!$B$4,"Yes",""),""))</f>
        <v/>
      </c>
      <c r="M115" s="49" t="str">
        <f>IF(COUNTA($A115:$K115)=0,"",IF($A115="","Missing: document ID",IF(COUNTIF($A$2:$A$201,$A115)&gt;1,"Duplicate document ID",IF($B115="","Missing: title",IF($C115="","Missing: type",IF($F115="","Missing: owner",IF($I115="","Missing: status",IF($J115="","Missing: link",IF(COUNTIF(Config!$S$15:$S$34,$C115)=0,"Unsupported type",IF(COUNTIF(Config!$T$15:$T$34,$I115)=0,"Unsupported status","OK"))))))))))</f>
        <v/>
      </c>
    </row>
    <row r="116">
      <c r="A116" s="46" t="n"/>
      <c r="B116" s="46" t="n"/>
      <c r="C116" s="46" t="n"/>
      <c r="D116" s="46" t="n"/>
      <c r="E116" s="46" t="n"/>
      <c r="F116" s="46" t="n"/>
      <c r="G116" s="54" t="n"/>
      <c r="H116" s="54" t="n"/>
      <c r="I116" s="46" t="n"/>
      <c r="J116" s="46" t="n"/>
      <c r="K116" s="46" t="n"/>
      <c r="L116" s="49" t="str">
        <f>IF($A116="","",IF(AND($I116="Current",ISNUMBER($H116)),IF($H116&lt;Config!$B$4,"Yes",""),""))</f>
        <v/>
      </c>
      <c r="M116" s="49" t="str">
        <f>IF(COUNTA($A116:$K116)=0,"",IF($A116="","Missing: document ID",IF(COUNTIF($A$2:$A$201,$A116)&gt;1,"Duplicate document ID",IF($B116="","Missing: title",IF($C116="","Missing: type",IF($F116="","Missing: owner",IF($I116="","Missing: status",IF($J116="","Missing: link",IF(COUNTIF(Config!$S$15:$S$34,$C116)=0,"Unsupported type",IF(COUNTIF(Config!$T$15:$T$34,$I116)=0,"Unsupported status","OK"))))))))))</f>
        <v/>
      </c>
    </row>
    <row r="117">
      <c r="A117" s="46" t="n"/>
      <c r="B117" s="46" t="n"/>
      <c r="C117" s="46" t="n"/>
      <c r="D117" s="46" t="n"/>
      <c r="E117" s="46" t="n"/>
      <c r="F117" s="46" t="n"/>
      <c r="G117" s="54" t="n"/>
      <c r="H117" s="54" t="n"/>
      <c r="I117" s="46" t="n"/>
      <c r="J117" s="46" t="n"/>
      <c r="K117" s="46" t="n"/>
      <c r="L117" s="49" t="str">
        <f>IF($A117="","",IF(AND($I117="Current",ISNUMBER($H117)),IF($H117&lt;Config!$B$4,"Yes",""),""))</f>
        <v/>
      </c>
      <c r="M117" s="49" t="str">
        <f>IF(COUNTA($A117:$K117)=0,"",IF($A117="","Missing: document ID",IF(COUNTIF($A$2:$A$201,$A117)&gt;1,"Duplicate document ID",IF($B117="","Missing: title",IF($C117="","Missing: type",IF($F117="","Missing: owner",IF($I117="","Missing: status",IF($J117="","Missing: link",IF(COUNTIF(Config!$S$15:$S$34,$C117)=0,"Unsupported type",IF(COUNTIF(Config!$T$15:$T$34,$I117)=0,"Unsupported status","OK"))))))))))</f>
        <v/>
      </c>
    </row>
    <row r="118">
      <c r="A118" s="46" t="n"/>
      <c r="B118" s="46" t="n"/>
      <c r="C118" s="46" t="n"/>
      <c r="D118" s="46" t="n"/>
      <c r="E118" s="46" t="n"/>
      <c r="F118" s="46" t="n"/>
      <c r="G118" s="54" t="n"/>
      <c r="H118" s="54" t="n"/>
      <c r="I118" s="46" t="n"/>
      <c r="J118" s="46" t="n"/>
      <c r="K118" s="46" t="n"/>
      <c r="L118" s="49" t="str">
        <f>IF($A118="","",IF(AND($I118="Current",ISNUMBER($H118)),IF($H118&lt;Config!$B$4,"Yes",""),""))</f>
        <v/>
      </c>
      <c r="M118" s="49" t="str">
        <f>IF(COUNTA($A118:$K118)=0,"",IF($A118="","Missing: document ID",IF(COUNTIF($A$2:$A$201,$A118)&gt;1,"Duplicate document ID",IF($B118="","Missing: title",IF($C118="","Missing: type",IF($F118="","Missing: owner",IF($I118="","Missing: status",IF($J118="","Missing: link",IF(COUNTIF(Config!$S$15:$S$34,$C118)=0,"Unsupported type",IF(COUNTIF(Config!$T$15:$T$34,$I118)=0,"Unsupported status","OK"))))))))))</f>
        <v/>
      </c>
    </row>
    <row r="119">
      <c r="A119" s="46" t="n"/>
      <c r="B119" s="46" t="n"/>
      <c r="C119" s="46" t="n"/>
      <c r="D119" s="46" t="n"/>
      <c r="E119" s="46" t="n"/>
      <c r="F119" s="46" t="n"/>
      <c r="G119" s="54" t="n"/>
      <c r="H119" s="54" t="n"/>
      <c r="I119" s="46" t="n"/>
      <c r="J119" s="46" t="n"/>
      <c r="K119" s="46" t="n"/>
      <c r="L119" s="49" t="str">
        <f>IF($A119="","",IF(AND($I119="Current",ISNUMBER($H119)),IF($H119&lt;Config!$B$4,"Yes",""),""))</f>
        <v/>
      </c>
      <c r="M119" s="49" t="str">
        <f>IF(COUNTA($A119:$K119)=0,"",IF($A119="","Missing: document ID",IF(COUNTIF($A$2:$A$201,$A119)&gt;1,"Duplicate document ID",IF($B119="","Missing: title",IF($C119="","Missing: type",IF($F119="","Missing: owner",IF($I119="","Missing: status",IF($J119="","Missing: link",IF(COUNTIF(Config!$S$15:$S$34,$C119)=0,"Unsupported type",IF(COUNTIF(Config!$T$15:$T$34,$I119)=0,"Unsupported status","OK"))))))))))</f>
        <v/>
      </c>
    </row>
    <row r="120">
      <c r="A120" s="46" t="n"/>
      <c r="B120" s="46" t="n"/>
      <c r="C120" s="46" t="n"/>
      <c r="D120" s="46" t="n"/>
      <c r="E120" s="46" t="n"/>
      <c r="F120" s="46" t="n"/>
      <c r="G120" s="54" t="n"/>
      <c r="H120" s="54" t="n"/>
      <c r="I120" s="46" t="n"/>
      <c r="J120" s="46" t="n"/>
      <c r="K120" s="46" t="n"/>
      <c r="L120" s="49" t="str">
        <f>IF($A120="","",IF(AND($I120="Current",ISNUMBER($H120)),IF($H120&lt;Config!$B$4,"Yes",""),""))</f>
        <v/>
      </c>
      <c r="M120" s="49" t="str">
        <f>IF(COUNTA($A120:$K120)=0,"",IF($A120="","Missing: document ID",IF(COUNTIF($A$2:$A$201,$A120)&gt;1,"Duplicate document ID",IF($B120="","Missing: title",IF($C120="","Missing: type",IF($F120="","Missing: owner",IF($I120="","Missing: status",IF($J120="","Missing: link",IF(COUNTIF(Config!$S$15:$S$34,$C120)=0,"Unsupported type",IF(COUNTIF(Config!$T$15:$T$34,$I120)=0,"Unsupported status","OK"))))))))))</f>
        <v/>
      </c>
    </row>
    <row r="121">
      <c r="A121" s="46" t="n"/>
      <c r="B121" s="46" t="n"/>
      <c r="C121" s="46" t="n"/>
      <c r="D121" s="46" t="n"/>
      <c r="E121" s="46" t="n"/>
      <c r="F121" s="46" t="n"/>
      <c r="G121" s="54" t="n"/>
      <c r="H121" s="54" t="n"/>
      <c r="I121" s="46" t="n"/>
      <c r="J121" s="46" t="n"/>
      <c r="K121" s="46" t="n"/>
      <c r="L121" s="49" t="str">
        <f>IF($A121="","",IF(AND($I121="Current",ISNUMBER($H121)),IF($H121&lt;Config!$B$4,"Yes",""),""))</f>
        <v/>
      </c>
      <c r="M121" s="49" t="str">
        <f>IF(COUNTA($A121:$K121)=0,"",IF($A121="","Missing: document ID",IF(COUNTIF($A$2:$A$201,$A121)&gt;1,"Duplicate document ID",IF($B121="","Missing: title",IF($C121="","Missing: type",IF($F121="","Missing: owner",IF($I121="","Missing: status",IF($J121="","Missing: link",IF(COUNTIF(Config!$S$15:$S$34,$C121)=0,"Unsupported type",IF(COUNTIF(Config!$T$15:$T$34,$I121)=0,"Unsupported status","OK"))))))))))</f>
        <v/>
      </c>
    </row>
    <row r="122">
      <c r="A122" s="46" t="n"/>
      <c r="B122" s="46" t="n"/>
      <c r="C122" s="46" t="n"/>
      <c r="D122" s="46" t="n"/>
      <c r="E122" s="46" t="n"/>
      <c r="F122" s="46" t="n"/>
      <c r="G122" s="54" t="n"/>
      <c r="H122" s="54" t="n"/>
      <c r="I122" s="46" t="n"/>
      <c r="J122" s="46" t="n"/>
      <c r="K122" s="46" t="n"/>
      <c r="L122" s="49" t="str">
        <f>IF($A122="","",IF(AND($I122="Current",ISNUMBER($H122)),IF($H122&lt;Config!$B$4,"Yes",""),""))</f>
        <v/>
      </c>
      <c r="M122" s="49" t="str">
        <f>IF(COUNTA($A122:$K122)=0,"",IF($A122="","Missing: document ID",IF(COUNTIF($A$2:$A$201,$A122)&gt;1,"Duplicate document ID",IF($B122="","Missing: title",IF($C122="","Missing: type",IF($F122="","Missing: owner",IF($I122="","Missing: status",IF($J122="","Missing: link",IF(COUNTIF(Config!$S$15:$S$34,$C122)=0,"Unsupported type",IF(COUNTIF(Config!$T$15:$T$34,$I122)=0,"Unsupported status","OK"))))))))))</f>
        <v/>
      </c>
    </row>
    <row r="123">
      <c r="A123" s="46" t="n"/>
      <c r="B123" s="46" t="n"/>
      <c r="C123" s="46" t="n"/>
      <c r="D123" s="46" t="n"/>
      <c r="E123" s="46" t="n"/>
      <c r="F123" s="46" t="n"/>
      <c r="G123" s="54" t="n"/>
      <c r="H123" s="54" t="n"/>
      <c r="I123" s="46" t="n"/>
      <c r="J123" s="46" t="n"/>
      <c r="K123" s="46" t="n"/>
      <c r="L123" s="49" t="str">
        <f>IF($A123="","",IF(AND($I123="Current",ISNUMBER($H123)),IF($H123&lt;Config!$B$4,"Yes",""),""))</f>
        <v/>
      </c>
      <c r="M123" s="49" t="str">
        <f>IF(COUNTA($A123:$K123)=0,"",IF($A123="","Missing: document ID",IF(COUNTIF($A$2:$A$201,$A123)&gt;1,"Duplicate document ID",IF($B123="","Missing: title",IF($C123="","Missing: type",IF($F123="","Missing: owner",IF($I123="","Missing: status",IF($J123="","Missing: link",IF(COUNTIF(Config!$S$15:$S$34,$C123)=0,"Unsupported type",IF(COUNTIF(Config!$T$15:$T$34,$I123)=0,"Unsupported status","OK"))))))))))</f>
        <v/>
      </c>
    </row>
    <row r="124">
      <c r="A124" s="46" t="n"/>
      <c r="B124" s="46" t="n"/>
      <c r="C124" s="46" t="n"/>
      <c r="D124" s="46" t="n"/>
      <c r="E124" s="46" t="n"/>
      <c r="F124" s="46" t="n"/>
      <c r="G124" s="54" t="n"/>
      <c r="H124" s="54" t="n"/>
      <c r="I124" s="46" t="n"/>
      <c r="J124" s="46" t="n"/>
      <c r="K124" s="46" t="n"/>
      <c r="L124" s="49" t="str">
        <f>IF($A124="","",IF(AND($I124="Current",ISNUMBER($H124)),IF($H124&lt;Config!$B$4,"Yes",""),""))</f>
        <v/>
      </c>
      <c r="M124" s="49" t="str">
        <f>IF(COUNTA($A124:$K124)=0,"",IF($A124="","Missing: document ID",IF(COUNTIF($A$2:$A$201,$A124)&gt;1,"Duplicate document ID",IF($B124="","Missing: title",IF($C124="","Missing: type",IF($F124="","Missing: owner",IF($I124="","Missing: status",IF($J124="","Missing: link",IF(COUNTIF(Config!$S$15:$S$34,$C124)=0,"Unsupported type",IF(COUNTIF(Config!$T$15:$T$34,$I124)=0,"Unsupported status","OK"))))))))))</f>
        <v/>
      </c>
    </row>
    <row r="125">
      <c r="A125" s="46" t="n"/>
      <c r="B125" s="46" t="n"/>
      <c r="C125" s="46" t="n"/>
      <c r="D125" s="46" t="n"/>
      <c r="E125" s="46" t="n"/>
      <c r="F125" s="46" t="n"/>
      <c r="G125" s="54" t="n"/>
      <c r="H125" s="54" t="n"/>
      <c r="I125" s="46" t="n"/>
      <c r="J125" s="46" t="n"/>
      <c r="K125" s="46" t="n"/>
      <c r="L125" s="49" t="str">
        <f>IF($A125="","",IF(AND($I125="Current",ISNUMBER($H125)),IF($H125&lt;Config!$B$4,"Yes",""),""))</f>
        <v/>
      </c>
      <c r="M125" s="49" t="str">
        <f>IF(COUNTA($A125:$K125)=0,"",IF($A125="","Missing: document ID",IF(COUNTIF($A$2:$A$201,$A125)&gt;1,"Duplicate document ID",IF($B125="","Missing: title",IF($C125="","Missing: type",IF($F125="","Missing: owner",IF($I125="","Missing: status",IF($J125="","Missing: link",IF(COUNTIF(Config!$S$15:$S$34,$C125)=0,"Unsupported type",IF(COUNTIF(Config!$T$15:$T$34,$I125)=0,"Unsupported status","OK"))))))))))</f>
        <v/>
      </c>
    </row>
    <row r="126">
      <c r="A126" s="46" t="n"/>
      <c r="B126" s="46" t="n"/>
      <c r="C126" s="46" t="n"/>
      <c r="D126" s="46" t="n"/>
      <c r="E126" s="46" t="n"/>
      <c r="F126" s="46" t="n"/>
      <c r="G126" s="54" t="n"/>
      <c r="H126" s="54" t="n"/>
      <c r="I126" s="46" t="n"/>
      <c r="J126" s="46" t="n"/>
      <c r="K126" s="46" t="n"/>
      <c r="L126" s="49" t="str">
        <f>IF($A126="","",IF(AND($I126="Current",ISNUMBER($H126)),IF($H126&lt;Config!$B$4,"Yes",""),""))</f>
        <v/>
      </c>
      <c r="M126" s="49" t="str">
        <f>IF(COUNTA($A126:$K126)=0,"",IF($A126="","Missing: document ID",IF(COUNTIF($A$2:$A$201,$A126)&gt;1,"Duplicate document ID",IF($B126="","Missing: title",IF($C126="","Missing: type",IF($F126="","Missing: owner",IF($I126="","Missing: status",IF($J126="","Missing: link",IF(COUNTIF(Config!$S$15:$S$34,$C126)=0,"Unsupported type",IF(COUNTIF(Config!$T$15:$T$34,$I126)=0,"Unsupported status","OK"))))))))))</f>
        <v/>
      </c>
    </row>
    <row r="127">
      <c r="A127" s="46" t="n"/>
      <c r="B127" s="46" t="n"/>
      <c r="C127" s="46" t="n"/>
      <c r="D127" s="46" t="n"/>
      <c r="E127" s="46" t="n"/>
      <c r="F127" s="46" t="n"/>
      <c r="G127" s="54" t="n"/>
      <c r="H127" s="54" t="n"/>
      <c r="I127" s="46" t="n"/>
      <c r="J127" s="46" t="n"/>
      <c r="K127" s="46" t="n"/>
      <c r="L127" s="49" t="str">
        <f>IF($A127="","",IF(AND($I127="Current",ISNUMBER($H127)),IF($H127&lt;Config!$B$4,"Yes",""),""))</f>
        <v/>
      </c>
      <c r="M127" s="49" t="str">
        <f>IF(COUNTA($A127:$K127)=0,"",IF($A127="","Missing: document ID",IF(COUNTIF($A$2:$A$201,$A127)&gt;1,"Duplicate document ID",IF($B127="","Missing: title",IF($C127="","Missing: type",IF($F127="","Missing: owner",IF($I127="","Missing: status",IF($J127="","Missing: link",IF(COUNTIF(Config!$S$15:$S$34,$C127)=0,"Unsupported type",IF(COUNTIF(Config!$T$15:$T$34,$I127)=0,"Unsupported status","OK"))))))))))</f>
        <v/>
      </c>
    </row>
    <row r="128">
      <c r="A128" s="46" t="n"/>
      <c r="B128" s="46" t="n"/>
      <c r="C128" s="46" t="n"/>
      <c r="D128" s="46" t="n"/>
      <c r="E128" s="46" t="n"/>
      <c r="F128" s="46" t="n"/>
      <c r="G128" s="54" t="n"/>
      <c r="H128" s="54" t="n"/>
      <c r="I128" s="46" t="n"/>
      <c r="J128" s="46" t="n"/>
      <c r="K128" s="46" t="n"/>
      <c r="L128" s="49" t="str">
        <f>IF($A128="","",IF(AND($I128="Current",ISNUMBER($H128)),IF($H128&lt;Config!$B$4,"Yes",""),""))</f>
        <v/>
      </c>
      <c r="M128" s="49" t="str">
        <f>IF(COUNTA($A128:$K128)=0,"",IF($A128="","Missing: document ID",IF(COUNTIF($A$2:$A$201,$A128)&gt;1,"Duplicate document ID",IF($B128="","Missing: title",IF($C128="","Missing: type",IF($F128="","Missing: owner",IF($I128="","Missing: status",IF($J128="","Missing: link",IF(COUNTIF(Config!$S$15:$S$34,$C128)=0,"Unsupported type",IF(COUNTIF(Config!$T$15:$T$34,$I128)=0,"Unsupported status","OK"))))))))))</f>
        <v/>
      </c>
    </row>
    <row r="129">
      <c r="A129" s="46" t="n"/>
      <c r="B129" s="46" t="n"/>
      <c r="C129" s="46" t="n"/>
      <c r="D129" s="46" t="n"/>
      <c r="E129" s="46" t="n"/>
      <c r="F129" s="46" t="n"/>
      <c r="G129" s="54" t="n"/>
      <c r="H129" s="54" t="n"/>
      <c r="I129" s="46" t="n"/>
      <c r="J129" s="46" t="n"/>
      <c r="K129" s="46" t="n"/>
      <c r="L129" s="49" t="str">
        <f>IF($A129="","",IF(AND($I129="Current",ISNUMBER($H129)),IF($H129&lt;Config!$B$4,"Yes",""),""))</f>
        <v/>
      </c>
      <c r="M129" s="49" t="str">
        <f>IF(COUNTA($A129:$K129)=0,"",IF($A129="","Missing: document ID",IF(COUNTIF($A$2:$A$201,$A129)&gt;1,"Duplicate document ID",IF($B129="","Missing: title",IF($C129="","Missing: type",IF($F129="","Missing: owner",IF($I129="","Missing: status",IF($J129="","Missing: link",IF(COUNTIF(Config!$S$15:$S$34,$C129)=0,"Unsupported type",IF(COUNTIF(Config!$T$15:$T$34,$I129)=0,"Unsupported status","OK"))))))))))</f>
        <v/>
      </c>
    </row>
    <row r="130">
      <c r="A130" s="46" t="n"/>
      <c r="B130" s="46" t="n"/>
      <c r="C130" s="46" t="n"/>
      <c r="D130" s="46" t="n"/>
      <c r="E130" s="46" t="n"/>
      <c r="F130" s="46" t="n"/>
      <c r="G130" s="54" t="n"/>
      <c r="H130" s="54" t="n"/>
      <c r="I130" s="46" t="n"/>
      <c r="J130" s="46" t="n"/>
      <c r="K130" s="46" t="n"/>
      <c r="L130" s="49" t="str">
        <f>IF($A130="","",IF(AND($I130="Current",ISNUMBER($H130)),IF($H130&lt;Config!$B$4,"Yes",""),""))</f>
        <v/>
      </c>
      <c r="M130" s="49" t="str">
        <f>IF(COUNTA($A130:$K130)=0,"",IF($A130="","Missing: document ID",IF(COUNTIF($A$2:$A$201,$A130)&gt;1,"Duplicate document ID",IF($B130="","Missing: title",IF($C130="","Missing: type",IF($F130="","Missing: owner",IF($I130="","Missing: status",IF($J130="","Missing: link",IF(COUNTIF(Config!$S$15:$S$34,$C130)=0,"Unsupported type",IF(COUNTIF(Config!$T$15:$T$34,$I130)=0,"Unsupported status","OK"))))))))))</f>
        <v/>
      </c>
    </row>
    <row r="131">
      <c r="A131" s="46" t="n"/>
      <c r="B131" s="46" t="n"/>
      <c r="C131" s="46" t="n"/>
      <c r="D131" s="46" t="n"/>
      <c r="E131" s="46" t="n"/>
      <c r="F131" s="46" t="n"/>
      <c r="G131" s="54" t="n"/>
      <c r="H131" s="54" t="n"/>
      <c r="I131" s="46" t="n"/>
      <c r="J131" s="46" t="n"/>
      <c r="K131" s="46" t="n"/>
      <c r="L131" s="49" t="str">
        <f>IF($A131="","",IF(AND($I131="Current",ISNUMBER($H131)),IF($H131&lt;Config!$B$4,"Yes",""),""))</f>
        <v/>
      </c>
      <c r="M131" s="49" t="str">
        <f>IF(COUNTA($A131:$K131)=0,"",IF($A131="","Missing: document ID",IF(COUNTIF($A$2:$A$201,$A131)&gt;1,"Duplicate document ID",IF($B131="","Missing: title",IF($C131="","Missing: type",IF($F131="","Missing: owner",IF($I131="","Missing: status",IF($J131="","Missing: link",IF(COUNTIF(Config!$S$15:$S$34,$C131)=0,"Unsupported type",IF(COUNTIF(Config!$T$15:$T$34,$I131)=0,"Unsupported status","OK"))))))))))</f>
        <v/>
      </c>
    </row>
    <row r="132">
      <c r="A132" s="46" t="n"/>
      <c r="B132" s="46" t="n"/>
      <c r="C132" s="46" t="n"/>
      <c r="D132" s="46" t="n"/>
      <c r="E132" s="46" t="n"/>
      <c r="F132" s="46" t="n"/>
      <c r="G132" s="54" t="n"/>
      <c r="H132" s="54" t="n"/>
      <c r="I132" s="46" t="n"/>
      <c r="J132" s="46" t="n"/>
      <c r="K132" s="46" t="n"/>
      <c r="L132" s="49" t="str">
        <f>IF($A132="","",IF(AND($I132="Current",ISNUMBER($H132)),IF($H132&lt;Config!$B$4,"Yes",""),""))</f>
        <v/>
      </c>
      <c r="M132" s="49" t="str">
        <f>IF(COUNTA($A132:$K132)=0,"",IF($A132="","Missing: document ID",IF(COUNTIF($A$2:$A$201,$A132)&gt;1,"Duplicate document ID",IF($B132="","Missing: title",IF($C132="","Missing: type",IF($F132="","Missing: owner",IF($I132="","Missing: status",IF($J132="","Missing: link",IF(COUNTIF(Config!$S$15:$S$34,$C132)=0,"Unsupported type",IF(COUNTIF(Config!$T$15:$T$34,$I132)=0,"Unsupported status","OK"))))))))))</f>
        <v/>
      </c>
    </row>
    <row r="133">
      <c r="A133" s="46" t="n"/>
      <c r="B133" s="46" t="n"/>
      <c r="C133" s="46" t="n"/>
      <c r="D133" s="46" t="n"/>
      <c r="E133" s="46" t="n"/>
      <c r="F133" s="46" t="n"/>
      <c r="G133" s="54" t="n"/>
      <c r="H133" s="54" t="n"/>
      <c r="I133" s="46" t="n"/>
      <c r="J133" s="46" t="n"/>
      <c r="K133" s="46" t="n"/>
      <c r="L133" s="49" t="str">
        <f>IF($A133="","",IF(AND($I133="Current",ISNUMBER($H133)),IF($H133&lt;Config!$B$4,"Yes",""),""))</f>
        <v/>
      </c>
      <c r="M133" s="49" t="str">
        <f>IF(COUNTA($A133:$K133)=0,"",IF($A133="","Missing: document ID",IF(COUNTIF($A$2:$A$201,$A133)&gt;1,"Duplicate document ID",IF($B133="","Missing: title",IF($C133="","Missing: type",IF($F133="","Missing: owner",IF($I133="","Missing: status",IF($J133="","Missing: link",IF(COUNTIF(Config!$S$15:$S$34,$C133)=0,"Unsupported type",IF(COUNTIF(Config!$T$15:$T$34,$I133)=0,"Unsupported status","OK"))))))))))</f>
        <v/>
      </c>
    </row>
    <row r="134">
      <c r="A134" s="46" t="n"/>
      <c r="B134" s="46" t="n"/>
      <c r="C134" s="46" t="n"/>
      <c r="D134" s="46" t="n"/>
      <c r="E134" s="46" t="n"/>
      <c r="F134" s="46" t="n"/>
      <c r="G134" s="54" t="n"/>
      <c r="H134" s="54" t="n"/>
      <c r="I134" s="46" t="n"/>
      <c r="J134" s="46" t="n"/>
      <c r="K134" s="46" t="n"/>
      <c r="L134" s="49" t="str">
        <f>IF($A134="","",IF(AND($I134="Current",ISNUMBER($H134)),IF($H134&lt;Config!$B$4,"Yes",""),""))</f>
        <v/>
      </c>
      <c r="M134" s="49" t="str">
        <f>IF(COUNTA($A134:$K134)=0,"",IF($A134="","Missing: document ID",IF(COUNTIF($A$2:$A$201,$A134)&gt;1,"Duplicate document ID",IF($B134="","Missing: title",IF($C134="","Missing: type",IF($F134="","Missing: owner",IF($I134="","Missing: status",IF($J134="","Missing: link",IF(COUNTIF(Config!$S$15:$S$34,$C134)=0,"Unsupported type",IF(COUNTIF(Config!$T$15:$T$34,$I134)=0,"Unsupported status","OK"))))))))))</f>
        <v/>
      </c>
    </row>
    <row r="135">
      <c r="A135" s="46" t="n"/>
      <c r="B135" s="46" t="n"/>
      <c r="C135" s="46" t="n"/>
      <c r="D135" s="46" t="n"/>
      <c r="E135" s="46" t="n"/>
      <c r="F135" s="46" t="n"/>
      <c r="G135" s="54" t="n"/>
      <c r="H135" s="54" t="n"/>
      <c r="I135" s="46" t="n"/>
      <c r="J135" s="46" t="n"/>
      <c r="K135" s="46" t="n"/>
      <c r="L135" s="49" t="str">
        <f>IF($A135="","",IF(AND($I135="Current",ISNUMBER($H135)),IF($H135&lt;Config!$B$4,"Yes",""),""))</f>
        <v/>
      </c>
      <c r="M135" s="49" t="str">
        <f>IF(COUNTA($A135:$K135)=0,"",IF($A135="","Missing: document ID",IF(COUNTIF($A$2:$A$201,$A135)&gt;1,"Duplicate document ID",IF($B135="","Missing: title",IF($C135="","Missing: type",IF($F135="","Missing: owner",IF($I135="","Missing: status",IF($J135="","Missing: link",IF(COUNTIF(Config!$S$15:$S$34,$C135)=0,"Unsupported type",IF(COUNTIF(Config!$T$15:$T$34,$I135)=0,"Unsupported status","OK"))))))))))</f>
        <v/>
      </c>
    </row>
    <row r="136">
      <c r="A136" s="46" t="n"/>
      <c r="B136" s="46" t="n"/>
      <c r="C136" s="46" t="n"/>
      <c r="D136" s="46" t="n"/>
      <c r="E136" s="46" t="n"/>
      <c r="F136" s="46" t="n"/>
      <c r="G136" s="54" t="n"/>
      <c r="H136" s="54" t="n"/>
      <c r="I136" s="46" t="n"/>
      <c r="J136" s="46" t="n"/>
      <c r="K136" s="46" t="n"/>
      <c r="L136" s="49" t="str">
        <f>IF($A136="","",IF(AND($I136="Current",ISNUMBER($H136)),IF($H136&lt;Config!$B$4,"Yes",""),""))</f>
        <v/>
      </c>
      <c r="M136" s="49" t="str">
        <f>IF(COUNTA($A136:$K136)=0,"",IF($A136="","Missing: document ID",IF(COUNTIF($A$2:$A$201,$A136)&gt;1,"Duplicate document ID",IF($B136="","Missing: title",IF($C136="","Missing: type",IF($F136="","Missing: owner",IF($I136="","Missing: status",IF($J136="","Missing: link",IF(COUNTIF(Config!$S$15:$S$34,$C136)=0,"Unsupported type",IF(COUNTIF(Config!$T$15:$T$34,$I136)=0,"Unsupported status","OK"))))))))))</f>
        <v/>
      </c>
    </row>
    <row r="137">
      <c r="A137" s="46" t="n"/>
      <c r="B137" s="46" t="n"/>
      <c r="C137" s="46" t="n"/>
      <c r="D137" s="46" t="n"/>
      <c r="E137" s="46" t="n"/>
      <c r="F137" s="46" t="n"/>
      <c r="G137" s="54" t="n"/>
      <c r="H137" s="54" t="n"/>
      <c r="I137" s="46" t="n"/>
      <c r="J137" s="46" t="n"/>
      <c r="K137" s="46" t="n"/>
      <c r="L137" s="49" t="str">
        <f>IF($A137="","",IF(AND($I137="Current",ISNUMBER($H137)),IF($H137&lt;Config!$B$4,"Yes",""),""))</f>
        <v/>
      </c>
      <c r="M137" s="49" t="str">
        <f>IF(COUNTA($A137:$K137)=0,"",IF($A137="","Missing: document ID",IF(COUNTIF($A$2:$A$201,$A137)&gt;1,"Duplicate document ID",IF($B137="","Missing: title",IF($C137="","Missing: type",IF($F137="","Missing: owner",IF($I137="","Missing: status",IF($J137="","Missing: link",IF(COUNTIF(Config!$S$15:$S$34,$C137)=0,"Unsupported type",IF(COUNTIF(Config!$T$15:$T$34,$I137)=0,"Unsupported status","OK"))))))))))</f>
        <v/>
      </c>
    </row>
    <row r="138">
      <c r="A138" s="46" t="n"/>
      <c r="B138" s="46" t="n"/>
      <c r="C138" s="46" t="n"/>
      <c r="D138" s="46" t="n"/>
      <c r="E138" s="46" t="n"/>
      <c r="F138" s="46" t="n"/>
      <c r="G138" s="54" t="n"/>
      <c r="H138" s="54" t="n"/>
      <c r="I138" s="46" t="n"/>
      <c r="J138" s="46" t="n"/>
      <c r="K138" s="46" t="n"/>
      <c r="L138" s="49" t="str">
        <f>IF($A138="","",IF(AND($I138="Current",ISNUMBER($H138)),IF($H138&lt;Config!$B$4,"Yes",""),""))</f>
        <v/>
      </c>
      <c r="M138" s="49" t="str">
        <f>IF(COUNTA($A138:$K138)=0,"",IF($A138="","Missing: document ID",IF(COUNTIF($A$2:$A$201,$A138)&gt;1,"Duplicate document ID",IF($B138="","Missing: title",IF($C138="","Missing: type",IF($F138="","Missing: owner",IF($I138="","Missing: status",IF($J138="","Missing: link",IF(COUNTIF(Config!$S$15:$S$34,$C138)=0,"Unsupported type",IF(COUNTIF(Config!$T$15:$T$34,$I138)=0,"Unsupported status","OK"))))))))))</f>
        <v/>
      </c>
    </row>
    <row r="139">
      <c r="A139" s="46" t="n"/>
      <c r="B139" s="46" t="n"/>
      <c r="C139" s="46" t="n"/>
      <c r="D139" s="46" t="n"/>
      <c r="E139" s="46" t="n"/>
      <c r="F139" s="46" t="n"/>
      <c r="G139" s="54" t="n"/>
      <c r="H139" s="54" t="n"/>
      <c r="I139" s="46" t="n"/>
      <c r="J139" s="46" t="n"/>
      <c r="K139" s="46" t="n"/>
      <c r="L139" s="49" t="str">
        <f>IF($A139="","",IF(AND($I139="Current",ISNUMBER($H139)),IF($H139&lt;Config!$B$4,"Yes",""),""))</f>
        <v/>
      </c>
      <c r="M139" s="49" t="str">
        <f>IF(COUNTA($A139:$K139)=0,"",IF($A139="","Missing: document ID",IF(COUNTIF($A$2:$A$201,$A139)&gt;1,"Duplicate document ID",IF($B139="","Missing: title",IF($C139="","Missing: type",IF($F139="","Missing: owner",IF($I139="","Missing: status",IF($J139="","Missing: link",IF(COUNTIF(Config!$S$15:$S$34,$C139)=0,"Unsupported type",IF(COUNTIF(Config!$T$15:$T$34,$I139)=0,"Unsupported status","OK"))))))))))</f>
        <v/>
      </c>
    </row>
    <row r="140">
      <c r="A140" s="46" t="n"/>
      <c r="B140" s="46" t="n"/>
      <c r="C140" s="46" t="n"/>
      <c r="D140" s="46" t="n"/>
      <c r="E140" s="46" t="n"/>
      <c r="F140" s="46" t="n"/>
      <c r="G140" s="54" t="n"/>
      <c r="H140" s="54" t="n"/>
      <c r="I140" s="46" t="n"/>
      <c r="J140" s="46" t="n"/>
      <c r="K140" s="46" t="n"/>
      <c r="L140" s="49" t="str">
        <f>IF($A140="","",IF(AND($I140="Current",ISNUMBER($H140)),IF($H140&lt;Config!$B$4,"Yes",""),""))</f>
        <v/>
      </c>
      <c r="M140" s="49" t="str">
        <f>IF(COUNTA($A140:$K140)=0,"",IF($A140="","Missing: document ID",IF(COUNTIF($A$2:$A$201,$A140)&gt;1,"Duplicate document ID",IF($B140="","Missing: title",IF($C140="","Missing: type",IF($F140="","Missing: owner",IF($I140="","Missing: status",IF($J140="","Missing: link",IF(COUNTIF(Config!$S$15:$S$34,$C140)=0,"Unsupported type",IF(COUNTIF(Config!$T$15:$T$34,$I140)=0,"Unsupported status","OK"))))))))))</f>
        <v/>
      </c>
    </row>
    <row r="141">
      <c r="A141" s="46" t="n"/>
      <c r="B141" s="46" t="n"/>
      <c r="C141" s="46" t="n"/>
      <c r="D141" s="46" t="n"/>
      <c r="E141" s="46" t="n"/>
      <c r="F141" s="46" t="n"/>
      <c r="G141" s="54" t="n"/>
      <c r="H141" s="54" t="n"/>
      <c r="I141" s="46" t="n"/>
      <c r="J141" s="46" t="n"/>
      <c r="K141" s="46" t="n"/>
      <c r="L141" s="49" t="str">
        <f>IF($A141="","",IF(AND($I141="Current",ISNUMBER($H141)),IF($H141&lt;Config!$B$4,"Yes",""),""))</f>
        <v/>
      </c>
      <c r="M141" s="49" t="str">
        <f>IF(COUNTA($A141:$K141)=0,"",IF($A141="","Missing: document ID",IF(COUNTIF($A$2:$A$201,$A141)&gt;1,"Duplicate document ID",IF($B141="","Missing: title",IF($C141="","Missing: type",IF($F141="","Missing: owner",IF($I141="","Missing: status",IF($J141="","Missing: link",IF(COUNTIF(Config!$S$15:$S$34,$C141)=0,"Unsupported type",IF(COUNTIF(Config!$T$15:$T$34,$I141)=0,"Unsupported status","OK"))))))))))</f>
        <v/>
      </c>
    </row>
    <row r="142">
      <c r="A142" s="46" t="n"/>
      <c r="B142" s="46" t="n"/>
      <c r="C142" s="46" t="n"/>
      <c r="D142" s="46" t="n"/>
      <c r="E142" s="46" t="n"/>
      <c r="F142" s="46" t="n"/>
      <c r="G142" s="54" t="n"/>
      <c r="H142" s="54" t="n"/>
      <c r="I142" s="46" t="n"/>
      <c r="J142" s="46" t="n"/>
      <c r="K142" s="46" t="n"/>
      <c r="L142" s="49" t="str">
        <f>IF($A142="","",IF(AND($I142="Current",ISNUMBER($H142)),IF($H142&lt;Config!$B$4,"Yes",""),""))</f>
        <v/>
      </c>
      <c r="M142" s="49" t="str">
        <f>IF(COUNTA($A142:$K142)=0,"",IF($A142="","Missing: document ID",IF(COUNTIF($A$2:$A$201,$A142)&gt;1,"Duplicate document ID",IF($B142="","Missing: title",IF($C142="","Missing: type",IF($F142="","Missing: owner",IF($I142="","Missing: status",IF($J142="","Missing: link",IF(COUNTIF(Config!$S$15:$S$34,$C142)=0,"Unsupported type",IF(COUNTIF(Config!$T$15:$T$34,$I142)=0,"Unsupported status","OK"))))))))))</f>
        <v/>
      </c>
    </row>
    <row r="143">
      <c r="A143" s="46" t="n"/>
      <c r="B143" s="46" t="n"/>
      <c r="C143" s="46" t="n"/>
      <c r="D143" s="46" t="n"/>
      <c r="E143" s="46" t="n"/>
      <c r="F143" s="46" t="n"/>
      <c r="G143" s="54" t="n"/>
      <c r="H143" s="54" t="n"/>
      <c r="I143" s="46" t="n"/>
      <c r="J143" s="46" t="n"/>
      <c r="K143" s="46" t="n"/>
      <c r="L143" s="49" t="str">
        <f>IF($A143="","",IF(AND($I143="Current",ISNUMBER($H143)),IF($H143&lt;Config!$B$4,"Yes",""),""))</f>
        <v/>
      </c>
      <c r="M143" s="49" t="str">
        <f>IF(COUNTA($A143:$K143)=0,"",IF($A143="","Missing: document ID",IF(COUNTIF($A$2:$A$201,$A143)&gt;1,"Duplicate document ID",IF($B143="","Missing: title",IF($C143="","Missing: type",IF($F143="","Missing: owner",IF($I143="","Missing: status",IF($J143="","Missing: link",IF(COUNTIF(Config!$S$15:$S$34,$C143)=0,"Unsupported type",IF(COUNTIF(Config!$T$15:$T$34,$I143)=0,"Unsupported status","OK"))))))))))</f>
        <v/>
      </c>
    </row>
    <row r="144">
      <c r="A144" s="46" t="n"/>
      <c r="B144" s="46" t="n"/>
      <c r="C144" s="46" t="n"/>
      <c r="D144" s="46" t="n"/>
      <c r="E144" s="46" t="n"/>
      <c r="F144" s="46" t="n"/>
      <c r="G144" s="54" t="n"/>
      <c r="H144" s="54" t="n"/>
      <c r="I144" s="46" t="n"/>
      <c r="J144" s="46" t="n"/>
      <c r="K144" s="46" t="n"/>
      <c r="L144" s="49" t="str">
        <f>IF($A144="","",IF(AND($I144="Current",ISNUMBER($H144)),IF($H144&lt;Config!$B$4,"Yes",""),""))</f>
        <v/>
      </c>
      <c r="M144" s="49" t="str">
        <f>IF(COUNTA($A144:$K144)=0,"",IF($A144="","Missing: document ID",IF(COUNTIF($A$2:$A$201,$A144)&gt;1,"Duplicate document ID",IF($B144="","Missing: title",IF($C144="","Missing: type",IF($F144="","Missing: owner",IF($I144="","Missing: status",IF($J144="","Missing: link",IF(COUNTIF(Config!$S$15:$S$34,$C144)=0,"Unsupported type",IF(COUNTIF(Config!$T$15:$T$34,$I144)=0,"Unsupported status","OK"))))))))))</f>
        <v/>
      </c>
    </row>
    <row r="145">
      <c r="A145" s="46" t="n"/>
      <c r="B145" s="46" t="n"/>
      <c r="C145" s="46" t="n"/>
      <c r="D145" s="46" t="n"/>
      <c r="E145" s="46" t="n"/>
      <c r="F145" s="46" t="n"/>
      <c r="G145" s="54" t="n"/>
      <c r="H145" s="54" t="n"/>
      <c r="I145" s="46" t="n"/>
      <c r="J145" s="46" t="n"/>
      <c r="K145" s="46" t="n"/>
      <c r="L145" s="49" t="str">
        <f>IF($A145="","",IF(AND($I145="Current",ISNUMBER($H145)),IF($H145&lt;Config!$B$4,"Yes",""),""))</f>
        <v/>
      </c>
      <c r="M145" s="49" t="str">
        <f>IF(COUNTA($A145:$K145)=0,"",IF($A145="","Missing: document ID",IF(COUNTIF($A$2:$A$201,$A145)&gt;1,"Duplicate document ID",IF($B145="","Missing: title",IF($C145="","Missing: type",IF($F145="","Missing: owner",IF($I145="","Missing: status",IF($J145="","Missing: link",IF(COUNTIF(Config!$S$15:$S$34,$C145)=0,"Unsupported type",IF(COUNTIF(Config!$T$15:$T$34,$I145)=0,"Unsupported status","OK"))))))))))</f>
        <v/>
      </c>
    </row>
    <row r="146">
      <c r="A146" s="46" t="n"/>
      <c r="B146" s="46" t="n"/>
      <c r="C146" s="46" t="n"/>
      <c r="D146" s="46" t="n"/>
      <c r="E146" s="46" t="n"/>
      <c r="F146" s="46" t="n"/>
      <c r="G146" s="54" t="n"/>
      <c r="H146" s="54" t="n"/>
      <c r="I146" s="46" t="n"/>
      <c r="J146" s="46" t="n"/>
      <c r="K146" s="46" t="n"/>
      <c r="L146" s="49" t="str">
        <f>IF($A146="","",IF(AND($I146="Current",ISNUMBER($H146)),IF($H146&lt;Config!$B$4,"Yes",""),""))</f>
        <v/>
      </c>
      <c r="M146" s="49" t="str">
        <f>IF(COUNTA($A146:$K146)=0,"",IF($A146="","Missing: document ID",IF(COUNTIF($A$2:$A$201,$A146)&gt;1,"Duplicate document ID",IF($B146="","Missing: title",IF($C146="","Missing: type",IF($F146="","Missing: owner",IF($I146="","Missing: status",IF($J146="","Missing: link",IF(COUNTIF(Config!$S$15:$S$34,$C146)=0,"Unsupported type",IF(COUNTIF(Config!$T$15:$T$34,$I146)=0,"Unsupported status","OK"))))))))))</f>
        <v/>
      </c>
    </row>
    <row r="147">
      <c r="A147" s="46" t="n"/>
      <c r="B147" s="46" t="n"/>
      <c r="C147" s="46" t="n"/>
      <c r="D147" s="46" t="n"/>
      <c r="E147" s="46" t="n"/>
      <c r="F147" s="46" t="n"/>
      <c r="G147" s="54" t="n"/>
      <c r="H147" s="54" t="n"/>
      <c r="I147" s="46" t="n"/>
      <c r="J147" s="46" t="n"/>
      <c r="K147" s="46" t="n"/>
      <c r="L147" s="49" t="str">
        <f>IF($A147="","",IF(AND($I147="Current",ISNUMBER($H147)),IF($H147&lt;Config!$B$4,"Yes",""),""))</f>
        <v/>
      </c>
      <c r="M147" s="49" t="str">
        <f>IF(COUNTA($A147:$K147)=0,"",IF($A147="","Missing: document ID",IF(COUNTIF($A$2:$A$201,$A147)&gt;1,"Duplicate document ID",IF($B147="","Missing: title",IF($C147="","Missing: type",IF($F147="","Missing: owner",IF($I147="","Missing: status",IF($J147="","Missing: link",IF(COUNTIF(Config!$S$15:$S$34,$C147)=0,"Unsupported type",IF(COUNTIF(Config!$T$15:$T$34,$I147)=0,"Unsupported status","OK"))))))))))</f>
        <v/>
      </c>
    </row>
    <row r="148">
      <c r="A148" s="46" t="n"/>
      <c r="B148" s="46" t="n"/>
      <c r="C148" s="46" t="n"/>
      <c r="D148" s="46" t="n"/>
      <c r="E148" s="46" t="n"/>
      <c r="F148" s="46" t="n"/>
      <c r="G148" s="54" t="n"/>
      <c r="H148" s="54" t="n"/>
      <c r="I148" s="46" t="n"/>
      <c r="J148" s="46" t="n"/>
      <c r="K148" s="46" t="n"/>
      <c r="L148" s="49" t="str">
        <f>IF($A148="","",IF(AND($I148="Current",ISNUMBER($H148)),IF($H148&lt;Config!$B$4,"Yes",""),""))</f>
        <v/>
      </c>
      <c r="M148" s="49" t="str">
        <f>IF(COUNTA($A148:$K148)=0,"",IF($A148="","Missing: document ID",IF(COUNTIF($A$2:$A$201,$A148)&gt;1,"Duplicate document ID",IF($B148="","Missing: title",IF($C148="","Missing: type",IF($F148="","Missing: owner",IF($I148="","Missing: status",IF($J148="","Missing: link",IF(COUNTIF(Config!$S$15:$S$34,$C148)=0,"Unsupported type",IF(COUNTIF(Config!$T$15:$T$34,$I148)=0,"Unsupported status","OK"))))))))))</f>
        <v/>
      </c>
    </row>
    <row r="149">
      <c r="A149" s="46" t="n"/>
      <c r="B149" s="46" t="n"/>
      <c r="C149" s="46" t="n"/>
      <c r="D149" s="46" t="n"/>
      <c r="E149" s="46" t="n"/>
      <c r="F149" s="46" t="n"/>
      <c r="G149" s="54" t="n"/>
      <c r="H149" s="54" t="n"/>
      <c r="I149" s="46" t="n"/>
      <c r="J149" s="46" t="n"/>
      <c r="K149" s="46" t="n"/>
      <c r="L149" s="49" t="str">
        <f>IF($A149="","",IF(AND($I149="Current",ISNUMBER($H149)),IF($H149&lt;Config!$B$4,"Yes",""),""))</f>
        <v/>
      </c>
      <c r="M149" s="49" t="str">
        <f>IF(COUNTA($A149:$K149)=0,"",IF($A149="","Missing: document ID",IF(COUNTIF($A$2:$A$201,$A149)&gt;1,"Duplicate document ID",IF($B149="","Missing: title",IF($C149="","Missing: type",IF($F149="","Missing: owner",IF($I149="","Missing: status",IF($J149="","Missing: link",IF(COUNTIF(Config!$S$15:$S$34,$C149)=0,"Unsupported type",IF(COUNTIF(Config!$T$15:$T$34,$I149)=0,"Unsupported status","OK"))))))))))</f>
        <v/>
      </c>
    </row>
    <row r="150">
      <c r="A150" s="46" t="n"/>
      <c r="B150" s="46" t="n"/>
      <c r="C150" s="46" t="n"/>
      <c r="D150" s="46" t="n"/>
      <c r="E150" s="46" t="n"/>
      <c r="F150" s="46" t="n"/>
      <c r="G150" s="54" t="n"/>
      <c r="H150" s="54" t="n"/>
      <c r="I150" s="46" t="n"/>
      <c r="J150" s="46" t="n"/>
      <c r="K150" s="46" t="n"/>
      <c r="L150" s="49" t="str">
        <f>IF($A150="","",IF(AND($I150="Current",ISNUMBER($H150)),IF($H150&lt;Config!$B$4,"Yes",""),""))</f>
        <v/>
      </c>
      <c r="M150" s="49" t="str">
        <f>IF(COUNTA($A150:$K150)=0,"",IF($A150="","Missing: document ID",IF(COUNTIF($A$2:$A$201,$A150)&gt;1,"Duplicate document ID",IF($B150="","Missing: title",IF($C150="","Missing: type",IF($F150="","Missing: owner",IF($I150="","Missing: status",IF($J150="","Missing: link",IF(COUNTIF(Config!$S$15:$S$34,$C150)=0,"Unsupported type",IF(COUNTIF(Config!$T$15:$T$34,$I150)=0,"Unsupported status","OK"))))))))))</f>
        <v/>
      </c>
    </row>
    <row r="151">
      <c r="A151" s="46" t="n"/>
      <c r="B151" s="46" t="n"/>
      <c r="C151" s="46" t="n"/>
      <c r="D151" s="46" t="n"/>
      <c r="E151" s="46" t="n"/>
      <c r="F151" s="46" t="n"/>
      <c r="G151" s="54" t="n"/>
      <c r="H151" s="54" t="n"/>
      <c r="I151" s="46" t="n"/>
      <c r="J151" s="46" t="n"/>
      <c r="K151" s="46" t="n"/>
      <c r="L151" s="49" t="str">
        <f>IF($A151="","",IF(AND($I151="Current",ISNUMBER($H151)),IF($H151&lt;Config!$B$4,"Yes",""),""))</f>
        <v/>
      </c>
      <c r="M151" s="49" t="str">
        <f>IF(COUNTA($A151:$K151)=0,"",IF($A151="","Missing: document ID",IF(COUNTIF($A$2:$A$201,$A151)&gt;1,"Duplicate document ID",IF($B151="","Missing: title",IF($C151="","Missing: type",IF($F151="","Missing: owner",IF($I151="","Missing: status",IF($J151="","Missing: link",IF(COUNTIF(Config!$S$15:$S$34,$C151)=0,"Unsupported type",IF(COUNTIF(Config!$T$15:$T$34,$I151)=0,"Unsupported status","OK"))))))))))</f>
        <v/>
      </c>
    </row>
    <row r="152">
      <c r="A152" s="46" t="n"/>
      <c r="B152" s="46" t="n"/>
      <c r="C152" s="46" t="n"/>
      <c r="D152" s="46" t="n"/>
      <c r="E152" s="46" t="n"/>
      <c r="F152" s="46" t="n"/>
      <c r="G152" s="54" t="n"/>
      <c r="H152" s="54" t="n"/>
      <c r="I152" s="46" t="n"/>
      <c r="J152" s="46" t="n"/>
      <c r="K152" s="46" t="n"/>
      <c r="L152" s="49" t="str">
        <f>IF($A152="","",IF(AND($I152="Current",ISNUMBER($H152)),IF($H152&lt;Config!$B$4,"Yes",""),""))</f>
        <v/>
      </c>
      <c r="M152" s="49" t="str">
        <f>IF(COUNTA($A152:$K152)=0,"",IF($A152="","Missing: document ID",IF(COUNTIF($A$2:$A$201,$A152)&gt;1,"Duplicate document ID",IF($B152="","Missing: title",IF($C152="","Missing: type",IF($F152="","Missing: owner",IF($I152="","Missing: status",IF($J152="","Missing: link",IF(COUNTIF(Config!$S$15:$S$34,$C152)=0,"Unsupported type",IF(COUNTIF(Config!$T$15:$T$34,$I152)=0,"Unsupported status","OK"))))))))))</f>
        <v/>
      </c>
    </row>
    <row r="153">
      <c r="A153" s="46" t="n"/>
      <c r="B153" s="46" t="n"/>
      <c r="C153" s="46" t="n"/>
      <c r="D153" s="46" t="n"/>
      <c r="E153" s="46" t="n"/>
      <c r="F153" s="46" t="n"/>
      <c r="G153" s="54" t="n"/>
      <c r="H153" s="54" t="n"/>
      <c r="I153" s="46" t="n"/>
      <c r="J153" s="46" t="n"/>
      <c r="K153" s="46" t="n"/>
      <c r="L153" s="49" t="str">
        <f>IF($A153="","",IF(AND($I153="Current",ISNUMBER($H153)),IF($H153&lt;Config!$B$4,"Yes",""),""))</f>
        <v/>
      </c>
      <c r="M153" s="49" t="str">
        <f>IF(COUNTA($A153:$K153)=0,"",IF($A153="","Missing: document ID",IF(COUNTIF($A$2:$A$201,$A153)&gt;1,"Duplicate document ID",IF($B153="","Missing: title",IF($C153="","Missing: type",IF($F153="","Missing: owner",IF($I153="","Missing: status",IF($J153="","Missing: link",IF(COUNTIF(Config!$S$15:$S$34,$C153)=0,"Unsupported type",IF(COUNTIF(Config!$T$15:$T$34,$I153)=0,"Unsupported status","OK"))))))))))</f>
        <v/>
      </c>
    </row>
    <row r="154">
      <c r="A154" s="46" t="n"/>
      <c r="B154" s="46" t="n"/>
      <c r="C154" s="46" t="n"/>
      <c r="D154" s="46" t="n"/>
      <c r="E154" s="46" t="n"/>
      <c r="F154" s="46" t="n"/>
      <c r="G154" s="54" t="n"/>
      <c r="H154" s="54" t="n"/>
      <c r="I154" s="46" t="n"/>
      <c r="J154" s="46" t="n"/>
      <c r="K154" s="46" t="n"/>
      <c r="L154" s="49" t="str">
        <f>IF($A154="","",IF(AND($I154="Current",ISNUMBER($H154)),IF($H154&lt;Config!$B$4,"Yes",""),""))</f>
        <v/>
      </c>
      <c r="M154" s="49" t="str">
        <f>IF(COUNTA($A154:$K154)=0,"",IF($A154="","Missing: document ID",IF(COUNTIF($A$2:$A$201,$A154)&gt;1,"Duplicate document ID",IF($B154="","Missing: title",IF($C154="","Missing: type",IF($F154="","Missing: owner",IF($I154="","Missing: status",IF($J154="","Missing: link",IF(COUNTIF(Config!$S$15:$S$34,$C154)=0,"Unsupported type",IF(COUNTIF(Config!$T$15:$T$34,$I154)=0,"Unsupported status","OK"))))))))))</f>
        <v/>
      </c>
    </row>
    <row r="155">
      <c r="A155" s="46" t="n"/>
      <c r="B155" s="46" t="n"/>
      <c r="C155" s="46" t="n"/>
      <c r="D155" s="46" t="n"/>
      <c r="E155" s="46" t="n"/>
      <c r="F155" s="46" t="n"/>
      <c r="G155" s="54" t="n"/>
      <c r="H155" s="54" t="n"/>
      <c r="I155" s="46" t="n"/>
      <c r="J155" s="46" t="n"/>
      <c r="K155" s="46" t="n"/>
      <c r="L155" s="49" t="str">
        <f>IF($A155="","",IF(AND($I155="Current",ISNUMBER($H155)),IF($H155&lt;Config!$B$4,"Yes",""),""))</f>
        <v/>
      </c>
      <c r="M155" s="49" t="str">
        <f>IF(COUNTA($A155:$K155)=0,"",IF($A155="","Missing: document ID",IF(COUNTIF($A$2:$A$201,$A155)&gt;1,"Duplicate document ID",IF($B155="","Missing: title",IF($C155="","Missing: type",IF($F155="","Missing: owner",IF($I155="","Missing: status",IF($J155="","Missing: link",IF(COUNTIF(Config!$S$15:$S$34,$C155)=0,"Unsupported type",IF(COUNTIF(Config!$T$15:$T$34,$I155)=0,"Unsupported status","OK"))))))))))</f>
        <v/>
      </c>
    </row>
    <row r="156">
      <c r="A156" s="46" t="n"/>
      <c r="B156" s="46" t="n"/>
      <c r="C156" s="46" t="n"/>
      <c r="D156" s="46" t="n"/>
      <c r="E156" s="46" t="n"/>
      <c r="F156" s="46" t="n"/>
      <c r="G156" s="54" t="n"/>
      <c r="H156" s="54" t="n"/>
      <c r="I156" s="46" t="n"/>
      <c r="J156" s="46" t="n"/>
      <c r="K156" s="46" t="n"/>
      <c r="L156" s="49" t="str">
        <f>IF($A156="","",IF(AND($I156="Current",ISNUMBER($H156)),IF($H156&lt;Config!$B$4,"Yes",""),""))</f>
        <v/>
      </c>
      <c r="M156" s="49" t="str">
        <f>IF(COUNTA($A156:$K156)=0,"",IF($A156="","Missing: document ID",IF(COUNTIF($A$2:$A$201,$A156)&gt;1,"Duplicate document ID",IF($B156="","Missing: title",IF($C156="","Missing: type",IF($F156="","Missing: owner",IF($I156="","Missing: status",IF($J156="","Missing: link",IF(COUNTIF(Config!$S$15:$S$34,$C156)=0,"Unsupported type",IF(COUNTIF(Config!$T$15:$T$34,$I156)=0,"Unsupported status","OK"))))))))))</f>
        <v/>
      </c>
    </row>
    <row r="157">
      <c r="A157" s="46" t="n"/>
      <c r="B157" s="46" t="n"/>
      <c r="C157" s="46" t="n"/>
      <c r="D157" s="46" t="n"/>
      <c r="E157" s="46" t="n"/>
      <c r="F157" s="46" t="n"/>
      <c r="G157" s="54" t="n"/>
      <c r="H157" s="54" t="n"/>
      <c r="I157" s="46" t="n"/>
      <c r="J157" s="46" t="n"/>
      <c r="K157" s="46" t="n"/>
      <c r="L157" s="49" t="str">
        <f>IF($A157="","",IF(AND($I157="Current",ISNUMBER($H157)),IF($H157&lt;Config!$B$4,"Yes",""),""))</f>
        <v/>
      </c>
      <c r="M157" s="49" t="str">
        <f>IF(COUNTA($A157:$K157)=0,"",IF($A157="","Missing: document ID",IF(COUNTIF($A$2:$A$201,$A157)&gt;1,"Duplicate document ID",IF($B157="","Missing: title",IF($C157="","Missing: type",IF($F157="","Missing: owner",IF($I157="","Missing: status",IF($J157="","Missing: link",IF(COUNTIF(Config!$S$15:$S$34,$C157)=0,"Unsupported type",IF(COUNTIF(Config!$T$15:$T$34,$I157)=0,"Unsupported status","OK"))))))))))</f>
        <v/>
      </c>
    </row>
    <row r="158">
      <c r="A158" s="46" t="n"/>
      <c r="B158" s="46" t="n"/>
      <c r="C158" s="46" t="n"/>
      <c r="D158" s="46" t="n"/>
      <c r="E158" s="46" t="n"/>
      <c r="F158" s="46" t="n"/>
      <c r="G158" s="54" t="n"/>
      <c r="H158" s="54" t="n"/>
      <c r="I158" s="46" t="n"/>
      <c r="J158" s="46" t="n"/>
      <c r="K158" s="46" t="n"/>
      <c r="L158" s="49" t="str">
        <f>IF($A158="","",IF(AND($I158="Current",ISNUMBER($H158)),IF($H158&lt;Config!$B$4,"Yes",""),""))</f>
        <v/>
      </c>
      <c r="M158" s="49" t="str">
        <f>IF(COUNTA($A158:$K158)=0,"",IF($A158="","Missing: document ID",IF(COUNTIF($A$2:$A$201,$A158)&gt;1,"Duplicate document ID",IF($B158="","Missing: title",IF($C158="","Missing: type",IF($F158="","Missing: owner",IF($I158="","Missing: status",IF($J158="","Missing: link",IF(COUNTIF(Config!$S$15:$S$34,$C158)=0,"Unsupported type",IF(COUNTIF(Config!$T$15:$T$34,$I158)=0,"Unsupported status","OK"))))))))))</f>
        <v/>
      </c>
    </row>
    <row r="159">
      <c r="A159" s="46" t="n"/>
      <c r="B159" s="46" t="n"/>
      <c r="C159" s="46" t="n"/>
      <c r="D159" s="46" t="n"/>
      <c r="E159" s="46" t="n"/>
      <c r="F159" s="46" t="n"/>
      <c r="G159" s="54" t="n"/>
      <c r="H159" s="54" t="n"/>
      <c r="I159" s="46" t="n"/>
      <c r="J159" s="46" t="n"/>
      <c r="K159" s="46" t="n"/>
      <c r="L159" s="49" t="str">
        <f>IF($A159="","",IF(AND($I159="Current",ISNUMBER($H159)),IF($H159&lt;Config!$B$4,"Yes",""),""))</f>
        <v/>
      </c>
      <c r="M159" s="49" t="str">
        <f>IF(COUNTA($A159:$K159)=0,"",IF($A159="","Missing: document ID",IF(COUNTIF($A$2:$A$201,$A159)&gt;1,"Duplicate document ID",IF($B159="","Missing: title",IF($C159="","Missing: type",IF($F159="","Missing: owner",IF($I159="","Missing: status",IF($J159="","Missing: link",IF(COUNTIF(Config!$S$15:$S$34,$C159)=0,"Unsupported type",IF(COUNTIF(Config!$T$15:$T$34,$I159)=0,"Unsupported status","OK"))))))))))</f>
        <v/>
      </c>
    </row>
    <row r="160">
      <c r="A160" s="46" t="n"/>
      <c r="B160" s="46" t="n"/>
      <c r="C160" s="46" t="n"/>
      <c r="D160" s="46" t="n"/>
      <c r="E160" s="46" t="n"/>
      <c r="F160" s="46" t="n"/>
      <c r="G160" s="54" t="n"/>
      <c r="H160" s="54" t="n"/>
      <c r="I160" s="46" t="n"/>
      <c r="J160" s="46" t="n"/>
      <c r="K160" s="46" t="n"/>
      <c r="L160" s="49" t="str">
        <f>IF($A160="","",IF(AND($I160="Current",ISNUMBER($H160)),IF($H160&lt;Config!$B$4,"Yes",""),""))</f>
        <v/>
      </c>
      <c r="M160" s="49" t="str">
        <f>IF(COUNTA($A160:$K160)=0,"",IF($A160="","Missing: document ID",IF(COUNTIF($A$2:$A$201,$A160)&gt;1,"Duplicate document ID",IF($B160="","Missing: title",IF($C160="","Missing: type",IF($F160="","Missing: owner",IF($I160="","Missing: status",IF($J160="","Missing: link",IF(COUNTIF(Config!$S$15:$S$34,$C160)=0,"Unsupported type",IF(COUNTIF(Config!$T$15:$T$34,$I160)=0,"Unsupported status","OK"))))))))))</f>
        <v/>
      </c>
    </row>
    <row r="161">
      <c r="A161" s="46" t="n"/>
      <c r="B161" s="46" t="n"/>
      <c r="C161" s="46" t="n"/>
      <c r="D161" s="46" t="n"/>
      <c r="E161" s="46" t="n"/>
      <c r="F161" s="46" t="n"/>
      <c r="G161" s="54" t="n"/>
      <c r="H161" s="54" t="n"/>
      <c r="I161" s="46" t="n"/>
      <c r="J161" s="46" t="n"/>
      <c r="K161" s="46" t="n"/>
      <c r="L161" s="49" t="str">
        <f>IF($A161="","",IF(AND($I161="Current",ISNUMBER($H161)),IF($H161&lt;Config!$B$4,"Yes",""),""))</f>
        <v/>
      </c>
      <c r="M161" s="49" t="str">
        <f>IF(COUNTA($A161:$K161)=0,"",IF($A161="","Missing: document ID",IF(COUNTIF($A$2:$A$201,$A161)&gt;1,"Duplicate document ID",IF($B161="","Missing: title",IF($C161="","Missing: type",IF($F161="","Missing: owner",IF($I161="","Missing: status",IF($J161="","Missing: link",IF(COUNTIF(Config!$S$15:$S$34,$C161)=0,"Unsupported type",IF(COUNTIF(Config!$T$15:$T$34,$I161)=0,"Unsupported status","OK"))))))))))</f>
        <v/>
      </c>
    </row>
    <row r="162">
      <c r="A162" s="46" t="n"/>
      <c r="B162" s="46" t="n"/>
      <c r="C162" s="46" t="n"/>
      <c r="D162" s="46" t="n"/>
      <c r="E162" s="46" t="n"/>
      <c r="F162" s="46" t="n"/>
      <c r="G162" s="54" t="n"/>
      <c r="H162" s="54" t="n"/>
      <c r="I162" s="46" t="n"/>
      <c r="J162" s="46" t="n"/>
      <c r="K162" s="46" t="n"/>
      <c r="L162" s="49" t="str">
        <f>IF($A162="","",IF(AND($I162="Current",ISNUMBER($H162)),IF($H162&lt;Config!$B$4,"Yes",""),""))</f>
        <v/>
      </c>
      <c r="M162" s="49" t="str">
        <f>IF(COUNTA($A162:$K162)=0,"",IF($A162="","Missing: document ID",IF(COUNTIF($A$2:$A$201,$A162)&gt;1,"Duplicate document ID",IF($B162="","Missing: title",IF($C162="","Missing: type",IF($F162="","Missing: owner",IF($I162="","Missing: status",IF($J162="","Missing: link",IF(COUNTIF(Config!$S$15:$S$34,$C162)=0,"Unsupported type",IF(COUNTIF(Config!$T$15:$T$34,$I162)=0,"Unsupported status","OK"))))))))))</f>
        <v/>
      </c>
    </row>
    <row r="163">
      <c r="A163" s="46" t="n"/>
      <c r="B163" s="46" t="n"/>
      <c r="C163" s="46" t="n"/>
      <c r="D163" s="46" t="n"/>
      <c r="E163" s="46" t="n"/>
      <c r="F163" s="46" t="n"/>
      <c r="G163" s="54" t="n"/>
      <c r="H163" s="54" t="n"/>
      <c r="I163" s="46" t="n"/>
      <c r="J163" s="46" t="n"/>
      <c r="K163" s="46" t="n"/>
      <c r="L163" s="49" t="str">
        <f>IF($A163="","",IF(AND($I163="Current",ISNUMBER($H163)),IF($H163&lt;Config!$B$4,"Yes",""),""))</f>
        <v/>
      </c>
      <c r="M163" s="49" t="str">
        <f>IF(COUNTA($A163:$K163)=0,"",IF($A163="","Missing: document ID",IF(COUNTIF($A$2:$A$201,$A163)&gt;1,"Duplicate document ID",IF($B163="","Missing: title",IF($C163="","Missing: type",IF($F163="","Missing: owner",IF($I163="","Missing: status",IF($J163="","Missing: link",IF(COUNTIF(Config!$S$15:$S$34,$C163)=0,"Unsupported type",IF(COUNTIF(Config!$T$15:$T$34,$I163)=0,"Unsupported status","OK"))))))))))</f>
        <v/>
      </c>
    </row>
    <row r="164">
      <c r="A164" s="46" t="n"/>
      <c r="B164" s="46" t="n"/>
      <c r="C164" s="46" t="n"/>
      <c r="D164" s="46" t="n"/>
      <c r="E164" s="46" t="n"/>
      <c r="F164" s="46" t="n"/>
      <c r="G164" s="54" t="n"/>
      <c r="H164" s="54" t="n"/>
      <c r="I164" s="46" t="n"/>
      <c r="J164" s="46" t="n"/>
      <c r="K164" s="46" t="n"/>
      <c r="L164" s="49" t="str">
        <f>IF($A164="","",IF(AND($I164="Current",ISNUMBER($H164)),IF($H164&lt;Config!$B$4,"Yes",""),""))</f>
        <v/>
      </c>
      <c r="M164" s="49" t="str">
        <f>IF(COUNTA($A164:$K164)=0,"",IF($A164="","Missing: document ID",IF(COUNTIF($A$2:$A$201,$A164)&gt;1,"Duplicate document ID",IF($B164="","Missing: title",IF($C164="","Missing: type",IF($F164="","Missing: owner",IF($I164="","Missing: status",IF($J164="","Missing: link",IF(COUNTIF(Config!$S$15:$S$34,$C164)=0,"Unsupported type",IF(COUNTIF(Config!$T$15:$T$34,$I164)=0,"Unsupported status","OK"))))))))))</f>
        <v/>
      </c>
    </row>
    <row r="165">
      <c r="A165" s="46" t="n"/>
      <c r="B165" s="46" t="n"/>
      <c r="C165" s="46" t="n"/>
      <c r="D165" s="46" t="n"/>
      <c r="E165" s="46" t="n"/>
      <c r="F165" s="46" t="n"/>
      <c r="G165" s="54" t="n"/>
      <c r="H165" s="54" t="n"/>
      <c r="I165" s="46" t="n"/>
      <c r="J165" s="46" t="n"/>
      <c r="K165" s="46" t="n"/>
      <c r="L165" s="49" t="str">
        <f>IF($A165="","",IF(AND($I165="Current",ISNUMBER($H165)),IF($H165&lt;Config!$B$4,"Yes",""),""))</f>
        <v/>
      </c>
      <c r="M165" s="49" t="str">
        <f>IF(COUNTA($A165:$K165)=0,"",IF($A165="","Missing: document ID",IF(COUNTIF($A$2:$A$201,$A165)&gt;1,"Duplicate document ID",IF($B165="","Missing: title",IF($C165="","Missing: type",IF($F165="","Missing: owner",IF($I165="","Missing: status",IF($J165="","Missing: link",IF(COUNTIF(Config!$S$15:$S$34,$C165)=0,"Unsupported type",IF(COUNTIF(Config!$T$15:$T$34,$I165)=0,"Unsupported status","OK"))))))))))</f>
        <v/>
      </c>
    </row>
    <row r="166">
      <c r="A166" s="46" t="n"/>
      <c r="B166" s="46" t="n"/>
      <c r="C166" s="46" t="n"/>
      <c r="D166" s="46" t="n"/>
      <c r="E166" s="46" t="n"/>
      <c r="F166" s="46" t="n"/>
      <c r="G166" s="54" t="n"/>
      <c r="H166" s="54" t="n"/>
      <c r="I166" s="46" t="n"/>
      <c r="J166" s="46" t="n"/>
      <c r="K166" s="46" t="n"/>
      <c r="L166" s="49" t="str">
        <f>IF($A166="","",IF(AND($I166="Current",ISNUMBER($H166)),IF($H166&lt;Config!$B$4,"Yes",""),""))</f>
        <v/>
      </c>
      <c r="M166" s="49" t="str">
        <f>IF(COUNTA($A166:$K166)=0,"",IF($A166="","Missing: document ID",IF(COUNTIF($A$2:$A$201,$A166)&gt;1,"Duplicate document ID",IF($B166="","Missing: title",IF($C166="","Missing: type",IF($F166="","Missing: owner",IF($I166="","Missing: status",IF($J166="","Missing: link",IF(COUNTIF(Config!$S$15:$S$34,$C166)=0,"Unsupported type",IF(COUNTIF(Config!$T$15:$T$34,$I166)=0,"Unsupported status","OK"))))))))))</f>
        <v/>
      </c>
    </row>
    <row r="167">
      <c r="A167" s="46" t="n"/>
      <c r="B167" s="46" t="n"/>
      <c r="C167" s="46" t="n"/>
      <c r="D167" s="46" t="n"/>
      <c r="E167" s="46" t="n"/>
      <c r="F167" s="46" t="n"/>
      <c r="G167" s="54" t="n"/>
      <c r="H167" s="54" t="n"/>
      <c r="I167" s="46" t="n"/>
      <c r="J167" s="46" t="n"/>
      <c r="K167" s="46" t="n"/>
      <c r="L167" s="49" t="str">
        <f>IF($A167="","",IF(AND($I167="Current",ISNUMBER($H167)),IF($H167&lt;Config!$B$4,"Yes",""),""))</f>
        <v/>
      </c>
      <c r="M167" s="49" t="str">
        <f>IF(COUNTA($A167:$K167)=0,"",IF($A167="","Missing: document ID",IF(COUNTIF($A$2:$A$201,$A167)&gt;1,"Duplicate document ID",IF($B167="","Missing: title",IF($C167="","Missing: type",IF($F167="","Missing: owner",IF($I167="","Missing: status",IF($J167="","Missing: link",IF(COUNTIF(Config!$S$15:$S$34,$C167)=0,"Unsupported type",IF(COUNTIF(Config!$T$15:$T$34,$I167)=0,"Unsupported status","OK"))))))))))</f>
        <v/>
      </c>
    </row>
    <row r="168">
      <c r="A168" s="46" t="n"/>
      <c r="B168" s="46" t="n"/>
      <c r="C168" s="46" t="n"/>
      <c r="D168" s="46" t="n"/>
      <c r="E168" s="46" t="n"/>
      <c r="F168" s="46" t="n"/>
      <c r="G168" s="54" t="n"/>
      <c r="H168" s="54" t="n"/>
      <c r="I168" s="46" t="n"/>
      <c r="J168" s="46" t="n"/>
      <c r="K168" s="46" t="n"/>
      <c r="L168" s="49" t="str">
        <f>IF($A168="","",IF(AND($I168="Current",ISNUMBER($H168)),IF($H168&lt;Config!$B$4,"Yes",""),""))</f>
        <v/>
      </c>
      <c r="M168" s="49" t="str">
        <f>IF(COUNTA($A168:$K168)=0,"",IF($A168="","Missing: document ID",IF(COUNTIF($A$2:$A$201,$A168)&gt;1,"Duplicate document ID",IF($B168="","Missing: title",IF($C168="","Missing: type",IF($F168="","Missing: owner",IF($I168="","Missing: status",IF($J168="","Missing: link",IF(COUNTIF(Config!$S$15:$S$34,$C168)=0,"Unsupported type",IF(COUNTIF(Config!$T$15:$T$34,$I168)=0,"Unsupported status","OK"))))))))))</f>
        <v/>
      </c>
    </row>
    <row r="169">
      <c r="A169" s="46" t="n"/>
      <c r="B169" s="46" t="n"/>
      <c r="C169" s="46" t="n"/>
      <c r="D169" s="46" t="n"/>
      <c r="E169" s="46" t="n"/>
      <c r="F169" s="46" t="n"/>
      <c r="G169" s="54" t="n"/>
      <c r="H169" s="54" t="n"/>
      <c r="I169" s="46" t="n"/>
      <c r="J169" s="46" t="n"/>
      <c r="K169" s="46" t="n"/>
      <c r="L169" s="49" t="str">
        <f>IF($A169="","",IF(AND($I169="Current",ISNUMBER($H169)),IF($H169&lt;Config!$B$4,"Yes",""),""))</f>
        <v/>
      </c>
      <c r="M169" s="49" t="str">
        <f>IF(COUNTA($A169:$K169)=0,"",IF($A169="","Missing: document ID",IF(COUNTIF($A$2:$A$201,$A169)&gt;1,"Duplicate document ID",IF($B169="","Missing: title",IF($C169="","Missing: type",IF($F169="","Missing: owner",IF($I169="","Missing: status",IF($J169="","Missing: link",IF(COUNTIF(Config!$S$15:$S$34,$C169)=0,"Unsupported type",IF(COUNTIF(Config!$T$15:$T$34,$I169)=0,"Unsupported status","OK"))))))))))</f>
        <v/>
      </c>
    </row>
    <row r="170">
      <c r="A170" s="46" t="n"/>
      <c r="B170" s="46" t="n"/>
      <c r="C170" s="46" t="n"/>
      <c r="D170" s="46" t="n"/>
      <c r="E170" s="46" t="n"/>
      <c r="F170" s="46" t="n"/>
      <c r="G170" s="54" t="n"/>
      <c r="H170" s="54" t="n"/>
      <c r="I170" s="46" t="n"/>
      <c r="J170" s="46" t="n"/>
      <c r="K170" s="46" t="n"/>
      <c r="L170" s="49" t="str">
        <f>IF($A170="","",IF(AND($I170="Current",ISNUMBER($H170)),IF($H170&lt;Config!$B$4,"Yes",""),""))</f>
        <v/>
      </c>
      <c r="M170" s="49" t="str">
        <f>IF(COUNTA($A170:$K170)=0,"",IF($A170="","Missing: document ID",IF(COUNTIF($A$2:$A$201,$A170)&gt;1,"Duplicate document ID",IF($B170="","Missing: title",IF($C170="","Missing: type",IF($F170="","Missing: owner",IF($I170="","Missing: status",IF($J170="","Missing: link",IF(COUNTIF(Config!$S$15:$S$34,$C170)=0,"Unsupported type",IF(COUNTIF(Config!$T$15:$T$34,$I170)=0,"Unsupported status","OK"))))))))))</f>
        <v/>
      </c>
    </row>
    <row r="171">
      <c r="A171" s="46" t="n"/>
      <c r="B171" s="46" t="n"/>
      <c r="C171" s="46" t="n"/>
      <c r="D171" s="46" t="n"/>
      <c r="E171" s="46" t="n"/>
      <c r="F171" s="46" t="n"/>
      <c r="G171" s="54" t="n"/>
      <c r="H171" s="54" t="n"/>
      <c r="I171" s="46" t="n"/>
      <c r="J171" s="46" t="n"/>
      <c r="K171" s="46" t="n"/>
      <c r="L171" s="49" t="str">
        <f>IF($A171="","",IF(AND($I171="Current",ISNUMBER($H171)),IF($H171&lt;Config!$B$4,"Yes",""),""))</f>
        <v/>
      </c>
      <c r="M171" s="49" t="str">
        <f>IF(COUNTA($A171:$K171)=0,"",IF($A171="","Missing: document ID",IF(COUNTIF($A$2:$A$201,$A171)&gt;1,"Duplicate document ID",IF($B171="","Missing: title",IF($C171="","Missing: type",IF($F171="","Missing: owner",IF($I171="","Missing: status",IF($J171="","Missing: link",IF(COUNTIF(Config!$S$15:$S$34,$C171)=0,"Unsupported type",IF(COUNTIF(Config!$T$15:$T$34,$I171)=0,"Unsupported status","OK"))))))))))</f>
        <v/>
      </c>
    </row>
    <row r="172">
      <c r="A172" s="46" t="n"/>
      <c r="B172" s="46" t="n"/>
      <c r="C172" s="46" t="n"/>
      <c r="D172" s="46" t="n"/>
      <c r="E172" s="46" t="n"/>
      <c r="F172" s="46" t="n"/>
      <c r="G172" s="54" t="n"/>
      <c r="H172" s="54" t="n"/>
      <c r="I172" s="46" t="n"/>
      <c r="J172" s="46" t="n"/>
      <c r="K172" s="46" t="n"/>
      <c r="L172" s="49" t="str">
        <f>IF($A172="","",IF(AND($I172="Current",ISNUMBER($H172)),IF($H172&lt;Config!$B$4,"Yes",""),""))</f>
        <v/>
      </c>
      <c r="M172" s="49" t="str">
        <f>IF(COUNTA($A172:$K172)=0,"",IF($A172="","Missing: document ID",IF(COUNTIF($A$2:$A$201,$A172)&gt;1,"Duplicate document ID",IF($B172="","Missing: title",IF($C172="","Missing: type",IF($F172="","Missing: owner",IF($I172="","Missing: status",IF($J172="","Missing: link",IF(COUNTIF(Config!$S$15:$S$34,$C172)=0,"Unsupported type",IF(COUNTIF(Config!$T$15:$T$34,$I172)=0,"Unsupported status","OK"))))))))))</f>
        <v/>
      </c>
    </row>
    <row r="173">
      <c r="A173" s="46" t="n"/>
      <c r="B173" s="46" t="n"/>
      <c r="C173" s="46" t="n"/>
      <c r="D173" s="46" t="n"/>
      <c r="E173" s="46" t="n"/>
      <c r="F173" s="46" t="n"/>
      <c r="G173" s="54" t="n"/>
      <c r="H173" s="54" t="n"/>
      <c r="I173" s="46" t="n"/>
      <c r="J173" s="46" t="n"/>
      <c r="K173" s="46" t="n"/>
      <c r="L173" s="49" t="str">
        <f>IF($A173="","",IF(AND($I173="Current",ISNUMBER($H173)),IF($H173&lt;Config!$B$4,"Yes",""),""))</f>
        <v/>
      </c>
      <c r="M173" s="49" t="str">
        <f>IF(COUNTA($A173:$K173)=0,"",IF($A173="","Missing: document ID",IF(COUNTIF($A$2:$A$201,$A173)&gt;1,"Duplicate document ID",IF($B173="","Missing: title",IF($C173="","Missing: type",IF($F173="","Missing: owner",IF($I173="","Missing: status",IF($J173="","Missing: link",IF(COUNTIF(Config!$S$15:$S$34,$C173)=0,"Unsupported type",IF(COUNTIF(Config!$T$15:$T$34,$I173)=0,"Unsupported status","OK"))))))))))</f>
        <v/>
      </c>
    </row>
    <row r="174">
      <c r="A174" s="46" t="n"/>
      <c r="B174" s="46" t="n"/>
      <c r="C174" s="46" t="n"/>
      <c r="D174" s="46" t="n"/>
      <c r="E174" s="46" t="n"/>
      <c r="F174" s="46" t="n"/>
      <c r="G174" s="54" t="n"/>
      <c r="H174" s="54" t="n"/>
      <c r="I174" s="46" t="n"/>
      <c r="J174" s="46" t="n"/>
      <c r="K174" s="46" t="n"/>
      <c r="L174" s="49" t="str">
        <f>IF($A174="","",IF(AND($I174="Current",ISNUMBER($H174)),IF($H174&lt;Config!$B$4,"Yes",""),""))</f>
        <v/>
      </c>
      <c r="M174" s="49" t="str">
        <f>IF(COUNTA($A174:$K174)=0,"",IF($A174="","Missing: document ID",IF(COUNTIF($A$2:$A$201,$A174)&gt;1,"Duplicate document ID",IF($B174="","Missing: title",IF($C174="","Missing: type",IF($F174="","Missing: owner",IF($I174="","Missing: status",IF($J174="","Missing: link",IF(COUNTIF(Config!$S$15:$S$34,$C174)=0,"Unsupported type",IF(COUNTIF(Config!$T$15:$T$34,$I174)=0,"Unsupported status","OK"))))))))))</f>
        <v/>
      </c>
    </row>
    <row r="175">
      <c r="A175" s="46" t="n"/>
      <c r="B175" s="46" t="n"/>
      <c r="C175" s="46" t="n"/>
      <c r="D175" s="46" t="n"/>
      <c r="E175" s="46" t="n"/>
      <c r="F175" s="46" t="n"/>
      <c r="G175" s="54" t="n"/>
      <c r="H175" s="54" t="n"/>
      <c r="I175" s="46" t="n"/>
      <c r="J175" s="46" t="n"/>
      <c r="K175" s="46" t="n"/>
      <c r="L175" s="49" t="str">
        <f>IF($A175="","",IF(AND($I175="Current",ISNUMBER($H175)),IF($H175&lt;Config!$B$4,"Yes",""),""))</f>
        <v/>
      </c>
      <c r="M175" s="49" t="str">
        <f>IF(COUNTA($A175:$K175)=0,"",IF($A175="","Missing: document ID",IF(COUNTIF($A$2:$A$201,$A175)&gt;1,"Duplicate document ID",IF($B175="","Missing: title",IF($C175="","Missing: type",IF($F175="","Missing: owner",IF($I175="","Missing: status",IF($J175="","Missing: link",IF(COUNTIF(Config!$S$15:$S$34,$C175)=0,"Unsupported type",IF(COUNTIF(Config!$T$15:$T$34,$I175)=0,"Unsupported status","OK"))))))))))</f>
        <v/>
      </c>
    </row>
    <row r="176">
      <c r="A176" s="46" t="n"/>
      <c r="B176" s="46" t="n"/>
      <c r="C176" s="46" t="n"/>
      <c r="D176" s="46" t="n"/>
      <c r="E176" s="46" t="n"/>
      <c r="F176" s="46" t="n"/>
      <c r="G176" s="54" t="n"/>
      <c r="H176" s="54" t="n"/>
      <c r="I176" s="46" t="n"/>
      <c r="J176" s="46" t="n"/>
      <c r="K176" s="46" t="n"/>
      <c r="L176" s="49" t="str">
        <f>IF($A176="","",IF(AND($I176="Current",ISNUMBER($H176)),IF($H176&lt;Config!$B$4,"Yes",""),""))</f>
        <v/>
      </c>
      <c r="M176" s="49" t="str">
        <f>IF(COUNTA($A176:$K176)=0,"",IF($A176="","Missing: document ID",IF(COUNTIF($A$2:$A$201,$A176)&gt;1,"Duplicate document ID",IF($B176="","Missing: title",IF($C176="","Missing: type",IF($F176="","Missing: owner",IF($I176="","Missing: status",IF($J176="","Missing: link",IF(COUNTIF(Config!$S$15:$S$34,$C176)=0,"Unsupported type",IF(COUNTIF(Config!$T$15:$T$34,$I176)=0,"Unsupported status","OK"))))))))))</f>
        <v/>
      </c>
    </row>
    <row r="177">
      <c r="A177" s="46" t="n"/>
      <c r="B177" s="46" t="n"/>
      <c r="C177" s="46" t="n"/>
      <c r="D177" s="46" t="n"/>
      <c r="E177" s="46" t="n"/>
      <c r="F177" s="46" t="n"/>
      <c r="G177" s="54" t="n"/>
      <c r="H177" s="54" t="n"/>
      <c r="I177" s="46" t="n"/>
      <c r="J177" s="46" t="n"/>
      <c r="K177" s="46" t="n"/>
      <c r="L177" s="49" t="str">
        <f>IF($A177="","",IF(AND($I177="Current",ISNUMBER($H177)),IF($H177&lt;Config!$B$4,"Yes",""),""))</f>
        <v/>
      </c>
      <c r="M177" s="49" t="str">
        <f>IF(COUNTA($A177:$K177)=0,"",IF($A177="","Missing: document ID",IF(COUNTIF($A$2:$A$201,$A177)&gt;1,"Duplicate document ID",IF($B177="","Missing: title",IF($C177="","Missing: type",IF($F177="","Missing: owner",IF($I177="","Missing: status",IF($J177="","Missing: link",IF(COUNTIF(Config!$S$15:$S$34,$C177)=0,"Unsupported type",IF(COUNTIF(Config!$T$15:$T$34,$I177)=0,"Unsupported status","OK"))))))))))</f>
        <v/>
      </c>
    </row>
    <row r="178">
      <c r="A178" s="46" t="n"/>
      <c r="B178" s="46" t="n"/>
      <c r="C178" s="46" t="n"/>
      <c r="D178" s="46" t="n"/>
      <c r="E178" s="46" t="n"/>
      <c r="F178" s="46" t="n"/>
      <c r="G178" s="54" t="n"/>
      <c r="H178" s="54" t="n"/>
      <c r="I178" s="46" t="n"/>
      <c r="J178" s="46" t="n"/>
      <c r="K178" s="46" t="n"/>
      <c r="L178" s="49" t="str">
        <f>IF($A178="","",IF(AND($I178="Current",ISNUMBER($H178)),IF($H178&lt;Config!$B$4,"Yes",""),""))</f>
        <v/>
      </c>
      <c r="M178" s="49" t="str">
        <f>IF(COUNTA($A178:$K178)=0,"",IF($A178="","Missing: document ID",IF(COUNTIF($A$2:$A$201,$A178)&gt;1,"Duplicate document ID",IF($B178="","Missing: title",IF($C178="","Missing: type",IF($F178="","Missing: owner",IF($I178="","Missing: status",IF($J178="","Missing: link",IF(COUNTIF(Config!$S$15:$S$34,$C178)=0,"Unsupported type",IF(COUNTIF(Config!$T$15:$T$34,$I178)=0,"Unsupported status","OK"))))))))))</f>
        <v/>
      </c>
    </row>
    <row r="179">
      <c r="A179" s="46" t="n"/>
      <c r="B179" s="46" t="n"/>
      <c r="C179" s="46" t="n"/>
      <c r="D179" s="46" t="n"/>
      <c r="E179" s="46" t="n"/>
      <c r="F179" s="46" t="n"/>
      <c r="G179" s="54" t="n"/>
      <c r="H179" s="54" t="n"/>
      <c r="I179" s="46" t="n"/>
      <c r="J179" s="46" t="n"/>
      <c r="K179" s="46" t="n"/>
      <c r="L179" s="49" t="str">
        <f>IF($A179="","",IF(AND($I179="Current",ISNUMBER($H179)),IF($H179&lt;Config!$B$4,"Yes",""),""))</f>
        <v/>
      </c>
      <c r="M179" s="49" t="str">
        <f>IF(COUNTA($A179:$K179)=0,"",IF($A179="","Missing: document ID",IF(COUNTIF($A$2:$A$201,$A179)&gt;1,"Duplicate document ID",IF($B179="","Missing: title",IF($C179="","Missing: type",IF($F179="","Missing: owner",IF($I179="","Missing: status",IF($J179="","Missing: link",IF(COUNTIF(Config!$S$15:$S$34,$C179)=0,"Unsupported type",IF(COUNTIF(Config!$T$15:$T$34,$I179)=0,"Unsupported status","OK"))))))))))</f>
        <v/>
      </c>
    </row>
    <row r="180">
      <c r="A180" s="46" t="n"/>
      <c r="B180" s="46" t="n"/>
      <c r="C180" s="46" t="n"/>
      <c r="D180" s="46" t="n"/>
      <c r="E180" s="46" t="n"/>
      <c r="F180" s="46" t="n"/>
      <c r="G180" s="54" t="n"/>
      <c r="H180" s="54" t="n"/>
      <c r="I180" s="46" t="n"/>
      <c r="J180" s="46" t="n"/>
      <c r="K180" s="46" t="n"/>
      <c r="L180" s="49" t="str">
        <f>IF($A180="","",IF(AND($I180="Current",ISNUMBER($H180)),IF($H180&lt;Config!$B$4,"Yes",""),""))</f>
        <v/>
      </c>
      <c r="M180" s="49" t="str">
        <f>IF(COUNTA($A180:$K180)=0,"",IF($A180="","Missing: document ID",IF(COUNTIF($A$2:$A$201,$A180)&gt;1,"Duplicate document ID",IF($B180="","Missing: title",IF($C180="","Missing: type",IF($F180="","Missing: owner",IF($I180="","Missing: status",IF($J180="","Missing: link",IF(COUNTIF(Config!$S$15:$S$34,$C180)=0,"Unsupported type",IF(COUNTIF(Config!$T$15:$T$34,$I180)=0,"Unsupported status","OK"))))))))))</f>
        <v/>
      </c>
    </row>
    <row r="181">
      <c r="A181" s="46" t="n"/>
      <c r="B181" s="46" t="n"/>
      <c r="C181" s="46" t="n"/>
      <c r="D181" s="46" t="n"/>
      <c r="E181" s="46" t="n"/>
      <c r="F181" s="46" t="n"/>
      <c r="G181" s="54" t="n"/>
      <c r="H181" s="54" t="n"/>
      <c r="I181" s="46" t="n"/>
      <c r="J181" s="46" t="n"/>
      <c r="K181" s="46" t="n"/>
      <c r="L181" s="49" t="str">
        <f>IF($A181="","",IF(AND($I181="Current",ISNUMBER($H181)),IF($H181&lt;Config!$B$4,"Yes",""),""))</f>
        <v/>
      </c>
      <c r="M181" s="49" t="str">
        <f>IF(COUNTA($A181:$K181)=0,"",IF($A181="","Missing: document ID",IF(COUNTIF($A$2:$A$201,$A181)&gt;1,"Duplicate document ID",IF($B181="","Missing: title",IF($C181="","Missing: type",IF($F181="","Missing: owner",IF($I181="","Missing: status",IF($J181="","Missing: link",IF(COUNTIF(Config!$S$15:$S$34,$C181)=0,"Unsupported type",IF(COUNTIF(Config!$T$15:$T$34,$I181)=0,"Unsupported status","OK"))))))))))</f>
        <v/>
      </c>
    </row>
    <row r="182">
      <c r="A182" s="46" t="n"/>
      <c r="B182" s="46" t="n"/>
      <c r="C182" s="46" t="n"/>
      <c r="D182" s="46" t="n"/>
      <c r="E182" s="46" t="n"/>
      <c r="F182" s="46" t="n"/>
      <c r="G182" s="54" t="n"/>
      <c r="H182" s="54" t="n"/>
      <c r="I182" s="46" t="n"/>
      <c r="J182" s="46" t="n"/>
      <c r="K182" s="46" t="n"/>
      <c r="L182" s="49" t="str">
        <f>IF($A182="","",IF(AND($I182="Current",ISNUMBER($H182)),IF($H182&lt;Config!$B$4,"Yes",""),""))</f>
        <v/>
      </c>
      <c r="M182" s="49" t="str">
        <f>IF(COUNTA($A182:$K182)=0,"",IF($A182="","Missing: document ID",IF(COUNTIF($A$2:$A$201,$A182)&gt;1,"Duplicate document ID",IF($B182="","Missing: title",IF($C182="","Missing: type",IF($F182="","Missing: owner",IF($I182="","Missing: status",IF($J182="","Missing: link",IF(COUNTIF(Config!$S$15:$S$34,$C182)=0,"Unsupported type",IF(COUNTIF(Config!$T$15:$T$34,$I182)=0,"Unsupported status","OK"))))))))))</f>
        <v/>
      </c>
    </row>
    <row r="183">
      <c r="A183" s="46" t="n"/>
      <c r="B183" s="46" t="n"/>
      <c r="C183" s="46" t="n"/>
      <c r="D183" s="46" t="n"/>
      <c r="E183" s="46" t="n"/>
      <c r="F183" s="46" t="n"/>
      <c r="G183" s="54" t="n"/>
      <c r="H183" s="54" t="n"/>
      <c r="I183" s="46" t="n"/>
      <c r="J183" s="46" t="n"/>
      <c r="K183" s="46" t="n"/>
      <c r="L183" s="49" t="str">
        <f>IF($A183="","",IF(AND($I183="Current",ISNUMBER($H183)),IF($H183&lt;Config!$B$4,"Yes",""),""))</f>
        <v/>
      </c>
      <c r="M183" s="49" t="str">
        <f>IF(COUNTA($A183:$K183)=0,"",IF($A183="","Missing: document ID",IF(COUNTIF($A$2:$A$201,$A183)&gt;1,"Duplicate document ID",IF($B183="","Missing: title",IF($C183="","Missing: type",IF($F183="","Missing: owner",IF($I183="","Missing: status",IF($J183="","Missing: link",IF(COUNTIF(Config!$S$15:$S$34,$C183)=0,"Unsupported type",IF(COUNTIF(Config!$T$15:$T$34,$I183)=0,"Unsupported status","OK"))))))))))</f>
        <v/>
      </c>
    </row>
    <row r="184">
      <c r="A184" s="46" t="n"/>
      <c r="B184" s="46" t="n"/>
      <c r="C184" s="46" t="n"/>
      <c r="D184" s="46" t="n"/>
      <c r="E184" s="46" t="n"/>
      <c r="F184" s="46" t="n"/>
      <c r="G184" s="54" t="n"/>
      <c r="H184" s="54" t="n"/>
      <c r="I184" s="46" t="n"/>
      <c r="J184" s="46" t="n"/>
      <c r="K184" s="46" t="n"/>
      <c r="L184" s="49" t="str">
        <f>IF($A184="","",IF(AND($I184="Current",ISNUMBER($H184)),IF($H184&lt;Config!$B$4,"Yes",""),""))</f>
        <v/>
      </c>
      <c r="M184" s="49" t="str">
        <f>IF(COUNTA($A184:$K184)=0,"",IF($A184="","Missing: document ID",IF(COUNTIF($A$2:$A$201,$A184)&gt;1,"Duplicate document ID",IF($B184="","Missing: title",IF($C184="","Missing: type",IF($F184="","Missing: owner",IF($I184="","Missing: status",IF($J184="","Missing: link",IF(COUNTIF(Config!$S$15:$S$34,$C184)=0,"Unsupported type",IF(COUNTIF(Config!$T$15:$T$34,$I184)=0,"Unsupported status","OK"))))))))))</f>
        <v/>
      </c>
    </row>
    <row r="185">
      <c r="A185" s="46" t="n"/>
      <c r="B185" s="46" t="n"/>
      <c r="C185" s="46" t="n"/>
      <c r="D185" s="46" t="n"/>
      <c r="E185" s="46" t="n"/>
      <c r="F185" s="46" t="n"/>
      <c r="G185" s="54" t="n"/>
      <c r="H185" s="54" t="n"/>
      <c r="I185" s="46" t="n"/>
      <c r="J185" s="46" t="n"/>
      <c r="K185" s="46" t="n"/>
      <c r="L185" s="49" t="str">
        <f>IF($A185="","",IF(AND($I185="Current",ISNUMBER($H185)),IF($H185&lt;Config!$B$4,"Yes",""),""))</f>
        <v/>
      </c>
      <c r="M185" s="49" t="str">
        <f>IF(COUNTA($A185:$K185)=0,"",IF($A185="","Missing: document ID",IF(COUNTIF($A$2:$A$201,$A185)&gt;1,"Duplicate document ID",IF($B185="","Missing: title",IF($C185="","Missing: type",IF($F185="","Missing: owner",IF($I185="","Missing: status",IF($J185="","Missing: link",IF(COUNTIF(Config!$S$15:$S$34,$C185)=0,"Unsupported type",IF(COUNTIF(Config!$T$15:$T$34,$I185)=0,"Unsupported status","OK"))))))))))</f>
        <v/>
      </c>
    </row>
    <row r="186">
      <c r="A186" s="46" t="n"/>
      <c r="B186" s="46" t="n"/>
      <c r="C186" s="46" t="n"/>
      <c r="D186" s="46" t="n"/>
      <c r="E186" s="46" t="n"/>
      <c r="F186" s="46" t="n"/>
      <c r="G186" s="54" t="n"/>
      <c r="H186" s="54" t="n"/>
      <c r="I186" s="46" t="n"/>
      <c r="J186" s="46" t="n"/>
      <c r="K186" s="46" t="n"/>
      <c r="L186" s="49" t="str">
        <f>IF($A186="","",IF(AND($I186="Current",ISNUMBER($H186)),IF($H186&lt;Config!$B$4,"Yes",""),""))</f>
        <v/>
      </c>
      <c r="M186" s="49" t="str">
        <f>IF(COUNTA($A186:$K186)=0,"",IF($A186="","Missing: document ID",IF(COUNTIF($A$2:$A$201,$A186)&gt;1,"Duplicate document ID",IF($B186="","Missing: title",IF($C186="","Missing: type",IF($F186="","Missing: owner",IF($I186="","Missing: status",IF($J186="","Missing: link",IF(COUNTIF(Config!$S$15:$S$34,$C186)=0,"Unsupported type",IF(COUNTIF(Config!$T$15:$T$34,$I186)=0,"Unsupported status","OK"))))))))))</f>
        <v/>
      </c>
    </row>
    <row r="187">
      <c r="A187" s="46" t="n"/>
      <c r="B187" s="46" t="n"/>
      <c r="C187" s="46" t="n"/>
      <c r="D187" s="46" t="n"/>
      <c r="E187" s="46" t="n"/>
      <c r="F187" s="46" t="n"/>
      <c r="G187" s="54" t="n"/>
      <c r="H187" s="54" t="n"/>
      <c r="I187" s="46" t="n"/>
      <c r="J187" s="46" t="n"/>
      <c r="K187" s="46" t="n"/>
      <c r="L187" s="49" t="str">
        <f>IF($A187="","",IF(AND($I187="Current",ISNUMBER($H187)),IF($H187&lt;Config!$B$4,"Yes",""),""))</f>
        <v/>
      </c>
      <c r="M187" s="49" t="str">
        <f>IF(COUNTA($A187:$K187)=0,"",IF($A187="","Missing: document ID",IF(COUNTIF($A$2:$A$201,$A187)&gt;1,"Duplicate document ID",IF($B187="","Missing: title",IF($C187="","Missing: type",IF($F187="","Missing: owner",IF($I187="","Missing: status",IF($J187="","Missing: link",IF(COUNTIF(Config!$S$15:$S$34,$C187)=0,"Unsupported type",IF(COUNTIF(Config!$T$15:$T$34,$I187)=0,"Unsupported status","OK"))))))))))</f>
        <v/>
      </c>
    </row>
    <row r="188">
      <c r="A188" s="46" t="n"/>
      <c r="B188" s="46" t="n"/>
      <c r="C188" s="46" t="n"/>
      <c r="D188" s="46" t="n"/>
      <c r="E188" s="46" t="n"/>
      <c r="F188" s="46" t="n"/>
      <c r="G188" s="54" t="n"/>
      <c r="H188" s="54" t="n"/>
      <c r="I188" s="46" t="n"/>
      <c r="J188" s="46" t="n"/>
      <c r="K188" s="46" t="n"/>
      <c r="L188" s="49" t="str">
        <f>IF($A188="","",IF(AND($I188="Current",ISNUMBER($H188)),IF($H188&lt;Config!$B$4,"Yes",""),""))</f>
        <v/>
      </c>
      <c r="M188" s="49" t="str">
        <f>IF(COUNTA($A188:$K188)=0,"",IF($A188="","Missing: document ID",IF(COUNTIF($A$2:$A$201,$A188)&gt;1,"Duplicate document ID",IF($B188="","Missing: title",IF($C188="","Missing: type",IF($F188="","Missing: owner",IF($I188="","Missing: status",IF($J188="","Missing: link",IF(COUNTIF(Config!$S$15:$S$34,$C188)=0,"Unsupported type",IF(COUNTIF(Config!$T$15:$T$34,$I188)=0,"Unsupported status","OK"))))))))))</f>
        <v/>
      </c>
    </row>
    <row r="189">
      <c r="A189" s="46" t="n"/>
      <c r="B189" s="46" t="n"/>
      <c r="C189" s="46" t="n"/>
      <c r="D189" s="46" t="n"/>
      <c r="E189" s="46" t="n"/>
      <c r="F189" s="46" t="n"/>
      <c r="G189" s="54" t="n"/>
      <c r="H189" s="54" t="n"/>
      <c r="I189" s="46" t="n"/>
      <c r="J189" s="46" t="n"/>
      <c r="K189" s="46" t="n"/>
      <c r="L189" s="49" t="str">
        <f>IF($A189="","",IF(AND($I189="Current",ISNUMBER($H189)),IF($H189&lt;Config!$B$4,"Yes",""),""))</f>
        <v/>
      </c>
      <c r="M189" s="49" t="str">
        <f>IF(COUNTA($A189:$K189)=0,"",IF($A189="","Missing: document ID",IF(COUNTIF($A$2:$A$201,$A189)&gt;1,"Duplicate document ID",IF($B189="","Missing: title",IF($C189="","Missing: type",IF($F189="","Missing: owner",IF($I189="","Missing: status",IF($J189="","Missing: link",IF(COUNTIF(Config!$S$15:$S$34,$C189)=0,"Unsupported type",IF(COUNTIF(Config!$T$15:$T$34,$I189)=0,"Unsupported status","OK"))))))))))</f>
        <v/>
      </c>
    </row>
    <row r="190">
      <c r="A190" s="46" t="n"/>
      <c r="B190" s="46" t="n"/>
      <c r="C190" s="46" t="n"/>
      <c r="D190" s="46" t="n"/>
      <c r="E190" s="46" t="n"/>
      <c r="F190" s="46" t="n"/>
      <c r="G190" s="54" t="n"/>
      <c r="H190" s="54" t="n"/>
      <c r="I190" s="46" t="n"/>
      <c r="J190" s="46" t="n"/>
      <c r="K190" s="46" t="n"/>
      <c r="L190" s="49" t="str">
        <f>IF($A190="","",IF(AND($I190="Current",ISNUMBER($H190)),IF($H190&lt;Config!$B$4,"Yes",""),""))</f>
        <v/>
      </c>
      <c r="M190" s="49" t="str">
        <f>IF(COUNTA($A190:$K190)=0,"",IF($A190="","Missing: document ID",IF(COUNTIF($A$2:$A$201,$A190)&gt;1,"Duplicate document ID",IF($B190="","Missing: title",IF($C190="","Missing: type",IF($F190="","Missing: owner",IF($I190="","Missing: status",IF($J190="","Missing: link",IF(COUNTIF(Config!$S$15:$S$34,$C190)=0,"Unsupported type",IF(COUNTIF(Config!$T$15:$T$34,$I190)=0,"Unsupported status","OK"))))))))))</f>
        <v/>
      </c>
    </row>
    <row r="191">
      <c r="A191" s="46" t="n"/>
      <c r="B191" s="46" t="n"/>
      <c r="C191" s="46" t="n"/>
      <c r="D191" s="46" t="n"/>
      <c r="E191" s="46" t="n"/>
      <c r="F191" s="46" t="n"/>
      <c r="G191" s="54" t="n"/>
      <c r="H191" s="54" t="n"/>
      <c r="I191" s="46" t="n"/>
      <c r="J191" s="46" t="n"/>
      <c r="K191" s="46" t="n"/>
      <c r="L191" s="49" t="str">
        <f>IF($A191="","",IF(AND($I191="Current",ISNUMBER($H191)),IF($H191&lt;Config!$B$4,"Yes",""),""))</f>
        <v/>
      </c>
      <c r="M191" s="49" t="str">
        <f>IF(COUNTA($A191:$K191)=0,"",IF($A191="","Missing: document ID",IF(COUNTIF($A$2:$A$201,$A191)&gt;1,"Duplicate document ID",IF($B191="","Missing: title",IF($C191="","Missing: type",IF($F191="","Missing: owner",IF($I191="","Missing: status",IF($J191="","Missing: link",IF(COUNTIF(Config!$S$15:$S$34,$C191)=0,"Unsupported type",IF(COUNTIF(Config!$T$15:$T$34,$I191)=0,"Unsupported status","OK"))))))))))</f>
        <v/>
      </c>
    </row>
    <row r="192">
      <c r="A192" s="46" t="n"/>
      <c r="B192" s="46" t="n"/>
      <c r="C192" s="46" t="n"/>
      <c r="D192" s="46" t="n"/>
      <c r="E192" s="46" t="n"/>
      <c r="F192" s="46" t="n"/>
      <c r="G192" s="54" t="n"/>
      <c r="H192" s="54" t="n"/>
      <c r="I192" s="46" t="n"/>
      <c r="J192" s="46" t="n"/>
      <c r="K192" s="46" t="n"/>
      <c r="L192" s="49" t="str">
        <f>IF($A192="","",IF(AND($I192="Current",ISNUMBER($H192)),IF($H192&lt;Config!$B$4,"Yes",""),""))</f>
        <v/>
      </c>
      <c r="M192" s="49" t="str">
        <f>IF(COUNTA($A192:$K192)=0,"",IF($A192="","Missing: document ID",IF(COUNTIF($A$2:$A$201,$A192)&gt;1,"Duplicate document ID",IF($B192="","Missing: title",IF($C192="","Missing: type",IF($F192="","Missing: owner",IF($I192="","Missing: status",IF($J192="","Missing: link",IF(COUNTIF(Config!$S$15:$S$34,$C192)=0,"Unsupported type",IF(COUNTIF(Config!$T$15:$T$34,$I192)=0,"Unsupported status","OK"))))))))))</f>
        <v/>
      </c>
    </row>
    <row r="193">
      <c r="A193" s="46" t="n"/>
      <c r="B193" s="46" t="n"/>
      <c r="C193" s="46" t="n"/>
      <c r="D193" s="46" t="n"/>
      <c r="E193" s="46" t="n"/>
      <c r="F193" s="46" t="n"/>
      <c r="G193" s="54" t="n"/>
      <c r="H193" s="54" t="n"/>
      <c r="I193" s="46" t="n"/>
      <c r="J193" s="46" t="n"/>
      <c r="K193" s="46" t="n"/>
      <c r="L193" s="49" t="str">
        <f>IF($A193="","",IF(AND($I193="Current",ISNUMBER($H193)),IF($H193&lt;Config!$B$4,"Yes",""),""))</f>
        <v/>
      </c>
      <c r="M193" s="49" t="str">
        <f>IF(COUNTA($A193:$K193)=0,"",IF($A193="","Missing: document ID",IF(COUNTIF($A$2:$A$201,$A193)&gt;1,"Duplicate document ID",IF($B193="","Missing: title",IF($C193="","Missing: type",IF($F193="","Missing: owner",IF($I193="","Missing: status",IF($J193="","Missing: link",IF(COUNTIF(Config!$S$15:$S$34,$C193)=0,"Unsupported type",IF(COUNTIF(Config!$T$15:$T$34,$I193)=0,"Unsupported status","OK"))))))))))</f>
        <v/>
      </c>
    </row>
    <row r="194">
      <c r="A194" s="46" t="n"/>
      <c r="B194" s="46" t="n"/>
      <c r="C194" s="46" t="n"/>
      <c r="D194" s="46" t="n"/>
      <c r="E194" s="46" t="n"/>
      <c r="F194" s="46" t="n"/>
      <c r="G194" s="54" t="n"/>
      <c r="H194" s="54" t="n"/>
      <c r="I194" s="46" t="n"/>
      <c r="J194" s="46" t="n"/>
      <c r="K194" s="46" t="n"/>
      <c r="L194" s="49" t="str">
        <f>IF($A194="","",IF(AND($I194="Current",ISNUMBER($H194)),IF($H194&lt;Config!$B$4,"Yes",""),""))</f>
        <v/>
      </c>
      <c r="M194" s="49" t="str">
        <f>IF(COUNTA($A194:$K194)=0,"",IF($A194="","Missing: document ID",IF(COUNTIF($A$2:$A$201,$A194)&gt;1,"Duplicate document ID",IF($B194="","Missing: title",IF($C194="","Missing: type",IF($F194="","Missing: owner",IF($I194="","Missing: status",IF($J194="","Missing: link",IF(COUNTIF(Config!$S$15:$S$34,$C194)=0,"Unsupported type",IF(COUNTIF(Config!$T$15:$T$34,$I194)=0,"Unsupported status","OK"))))))))))</f>
        <v/>
      </c>
    </row>
    <row r="195">
      <c r="A195" s="46" t="n"/>
      <c r="B195" s="46" t="n"/>
      <c r="C195" s="46" t="n"/>
      <c r="D195" s="46" t="n"/>
      <c r="E195" s="46" t="n"/>
      <c r="F195" s="46" t="n"/>
      <c r="G195" s="54" t="n"/>
      <c r="H195" s="54" t="n"/>
      <c r="I195" s="46" t="n"/>
      <c r="J195" s="46" t="n"/>
      <c r="K195" s="46" t="n"/>
      <c r="L195" s="49" t="str">
        <f>IF($A195="","",IF(AND($I195="Current",ISNUMBER($H195)),IF($H195&lt;Config!$B$4,"Yes",""),""))</f>
        <v/>
      </c>
      <c r="M195" s="49" t="str">
        <f>IF(COUNTA($A195:$K195)=0,"",IF($A195="","Missing: document ID",IF(COUNTIF($A$2:$A$201,$A195)&gt;1,"Duplicate document ID",IF($B195="","Missing: title",IF($C195="","Missing: type",IF($F195="","Missing: owner",IF($I195="","Missing: status",IF($J195="","Missing: link",IF(COUNTIF(Config!$S$15:$S$34,$C195)=0,"Unsupported type",IF(COUNTIF(Config!$T$15:$T$34,$I195)=0,"Unsupported status","OK"))))))))))</f>
        <v/>
      </c>
    </row>
    <row r="196">
      <c r="A196" s="46" t="n"/>
      <c r="B196" s="46" t="n"/>
      <c r="C196" s="46" t="n"/>
      <c r="D196" s="46" t="n"/>
      <c r="E196" s="46" t="n"/>
      <c r="F196" s="46" t="n"/>
      <c r="G196" s="54" t="n"/>
      <c r="H196" s="54" t="n"/>
      <c r="I196" s="46" t="n"/>
      <c r="J196" s="46" t="n"/>
      <c r="K196" s="46" t="n"/>
      <c r="L196" s="49" t="str">
        <f>IF($A196="","",IF(AND($I196="Current",ISNUMBER($H196)),IF($H196&lt;Config!$B$4,"Yes",""),""))</f>
        <v/>
      </c>
      <c r="M196" s="49" t="str">
        <f>IF(COUNTA($A196:$K196)=0,"",IF($A196="","Missing: document ID",IF(COUNTIF($A$2:$A$201,$A196)&gt;1,"Duplicate document ID",IF($B196="","Missing: title",IF($C196="","Missing: type",IF($F196="","Missing: owner",IF($I196="","Missing: status",IF($J196="","Missing: link",IF(COUNTIF(Config!$S$15:$S$34,$C196)=0,"Unsupported type",IF(COUNTIF(Config!$T$15:$T$34,$I196)=0,"Unsupported status","OK"))))))))))</f>
        <v/>
      </c>
    </row>
    <row r="197">
      <c r="A197" s="46" t="n"/>
      <c r="B197" s="46" t="n"/>
      <c r="C197" s="46" t="n"/>
      <c r="D197" s="46" t="n"/>
      <c r="E197" s="46" t="n"/>
      <c r="F197" s="46" t="n"/>
      <c r="G197" s="54" t="n"/>
      <c r="H197" s="54" t="n"/>
      <c r="I197" s="46" t="n"/>
      <c r="J197" s="46" t="n"/>
      <c r="K197" s="46" t="n"/>
      <c r="L197" s="49" t="str">
        <f>IF($A197="","",IF(AND($I197="Current",ISNUMBER($H197)),IF($H197&lt;Config!$B$4,"Yes",""),""))</f>
        <v/>
      </c>
      <c r="M197" s="49" t="str">
        <f>IF(COUNTA($A197:$K197)=0,"",IF($A197="","Missing: document ID",IF(COUNTIF($A$2:$A$201,$A197)&gt;1,"Duplicate document ID",IF($B197="","Missing: title",IF($C197="","Missing: type",IF($F197="","Missing: owner",IF($I197="","Missing: status",IF($J197="","Missing: link",IF(COUNTIF(Config!$S$15:$S$34,$C197)=0,"Unsupported type",IF(COUNTIF(Config!$T$15:$T$34,$I197)=0,"Unsupported status","OK"))))))))))</f>
        <v/>
      </c>
    </row>
    <row r="198">
      <c r="A198" s="46" t="n"/>
      <c r="B198" s="46" t="n"/>
      <c r="C198" s="46" t="n"/>
      <c r="D198" s="46" t="n"/>
      <c r="E198" s="46" t="n"/>
      <c r="F198" s="46" t="n"/>
      <c r="G198" s="54" t="n"/>
      <c r="H198" s="54" t="n"/>
      <c r="I198" s="46" t="n"/>
      <c r="J198" s="46" t="n"/>
      <c r="K198" s="46" t="n"/>
      <c r="L198" s="49" t="str">
        <f>IF($A198="","",IF(AND($I198="Current",ISNUMBER($H198)),IF($H198&lt;Config!$B$4,"Yes",""),""))</f>
        <v/>
      </c>
      <c r="M198" s="49" t="str">
        <f>IF(COUNTA($A198:$K198)=0,"",IF($A198="","Missing: document ID",IF(COUNTIF($A$2:$A$201,$A198)&gt;1,"Duplicate document ID",IF($B198="","Missing: title",IF($C198="","Missing: type",IF($F198="","Missing: owner",IF($I198="","Missing: status",IF($J198="","Missing: link",IF(COUNTIF(Config!$S$15:$S$34,$C198)=0,"Unsupported type",IF(COUNTIF(Config!$T$15:$T$34,$I198)=0,"Unsupported status","OK"))))))))))</f>
        <v/>
      </c>
    </row>
    <row r="199">
      <c r="A199" s="46" t="n"/>
      <c r="B199" s="46" t="n"/>
      <c r="C199" s="46" t="n"/>
      <c r="D199" s="46" t="n"/>
      <c r="E199" s="46" t="n"/>
      <c r="F199" s="46" t="n"/>
      <c r="G199" s="54" t="n"/>
      <c r="H199" s="54" t="n"/>
      <c r="I199" s="46" t="n"/>
      <c r="J199" s="46" t="n"/>
      <c r="K199" s="46" t="n"/>
      <c r="L199" s="49" t="str">
        <f>IF($A199="","",IF(AND($I199="Current",ISNUMBER($H199)),IF($H199&lt;Config!$B$4,"Yes",""),""))</f>
        <v/>
      </c>
      <c r="M199" s="49" t="str">
        <f>IF(COUNTA($A199:$K199)=0,"",IF($A199="","Missing: document ID",IF(COUNTIF($A$2:$A$201,$A199)&gt;1,"Duplicate document ID",IF($B199="","Missing: title",IF($C199="","Missing: type",IF($F199="","Missing: owner",IF($I199="","Missing: status",IF($J199="","Missing: link",IF(COUNTIF(Config!$S$15:$S$34,$C199)=0,"Unsupported type",IF(COUNTIF(Config!$T$15:$T$34,$I199)=0,"Unsupported status","OK"))))))))))</f>
        <v/>
      </c>
    </row>
    <row r="200">
      <c r="A200" s="46" t="n"/>
      <c r="B200" s="46" t="n"/>
      <c r="C200" s="46" t="n"/>
      <c r="D200" s="46" t="n"/>
      <c r="E200" s="46" t="n"/>
      <c r="F200" s="46" t="n"/>
      <c r="G200" s="54" t="n"/>
      <c r="H200" s="54" t="n"/>
      <c r="I200" s="46" t="n"/>
      <c r="J200" s="46" t="n"/>
      <c r="K200" s="46" t="n"/>
      <c r="L200" s="49" t="str">
        <f>IF($A200="","",IF(AND($I200="Current",ISNUMBER($H200)),IF($H200&lt;Config!$B$4,"Yes",""),""))</f>
        <v/>
      </c>
      <c r="M200" s="49" t="str">
        <f>IF(COUNTA($A200:$K200)=0,"",IF($A200="","Missing: document ID",IF(COUNTIF($A$2:$A$201,$A200)&gt;1,"Duplicate document ID",IF($B200="","Missing: title",IF($C200="","Missing: type",IF($F200="","Missing: owner",IF($I200="","Missing: status",IF($J200="","Missing: link",IF(COUNTIF(Config!$S$15:$S$34,$C200)=0,"Unsupported type",IF(COUNTIF(Config!$T$15:$T$34,$I200)=0,"Unsupported status","OK"))))))))))</f>
        <v/>
      </c>
    </row>
    <row r="201">
      <c r="A201" s="46" t="n"/>
      <c r="B201" s="46" t="n"/>
      <c r="C201" s="46" t="n"/>
      <c r="D201" s="46" t="n"/>
      <c r="E201" s="46" t="n"/>
      <c r="F201" s="46" t="n"/>
      <c r="G201" s="54" t="n"/>
      <c r="H201" s="54" t="n"/>
      <c r="I201" s="46" t="n"/>
      <c r="J201" s="46" t="n"/>
      <c r="K201" s="46" t="n"/>
      <c r="L201" s="49" t="str">
        <f>IF($A201="","",IF(AND($I201="Current",ISNUMBER($H201)),IF($H201&lt;Config!$B$4,"Yes",""),""))</f>
        <v/>
      </c>
      <c r="M201" s="49" t="str">
        <f>IF(COUNTA($A201:$K201)=0,"",IF($A201="","Missing: document ID",IF(COUNTIF($A$2:$A$201,$A201)&gt;1,"Duplicate document ID",IF($B201="","Missing: title",IF($C201="","Missing: type",IF($F201="","Missing: owner",IF($I201="","Missing: status",IF($J201="","Missing: link",IF(COUNTIF(Config!$S$15:$S$34,$C201)=0,"Unsupported type",IF(COUNTIF(Config!$T$15:$T$34,$I201)=0,"Unsupported status","OK"))))))))))</f>
        <v/>
      </c>
    </row>
  </sheetData>
  <sheetProtection selectLockedCells="0" selectUnlockedCells="0" sheet="1" objects="0" insertRows="1" insertHyperlinks="1" autoFilter="0" scenarios="0" formatColumns="0" deleteColumns="1" insertColumns="1" pivotTables="1" deleteRows="1" formatCells="1" formatRows="0" sort="0"/>
  <autoFilter ref="A1:M201"/>
  <conditionalFormatting sqref="M2:M201">
    <cfRule type="expression" priority="1" dxfId="4">
      <formula>AND($M2&lt;&gt;"",$M2&lt;&gt;"OK")</formula>
    </cfRule>
  </conditionalFormatting>
  <conditionalFormatting sqref="A2:M201">
    <cfRule type="expression" priority="2" dxfId="1">
      <formula>$L2="Yes"</formula>
    </cfRule>
  </conditionalFormatting>
  <dataValidations count="5">
    <dataValidation sqref="A2:A201" showDropDown="0" showInputMessage="1" showErrorMessage="1" allowBlank="1" errorTitle="Duplicate ID" error="This ID is already used in this sheet. IDs must be unique." promptTitle="Document ID" prompt="Required. Must be unique in this sheet." type="custom">
      <formula1>COUNTIF($A$2:$A$201,A2)&lt;=1</formula1>
    </dataValidation>
    <dataValidation sqref="C2:C201" showDropDown="0" showInputMessage="1" showErrorMessage="1" allowBlank="1" errorTitle="Not in the list" error="Pick a value from the dropdown list." promptTitle="Type" prompt="Required. Pick from the list." type="list">
      <formula1>Config!$S$15:$S$34</formula1>
    </dataValidation>
    <dataValidation sqref="G2:G201" showDropDown="0" showInputMessage="1" showErrorMessage="1" allowBlank="1" errorTitle="Date needed" error="Enter a date (yyyy-mm-dd)." promptTitle="Effective date" prompt="Optional. Date as yyyy-mm-dd." type="date" operator="greaterThan">
      <formula1>36526</formula1>
    </dataValidation>
    <dataValidation sqref="H2:H201" showDropDown="0" showInputMessage="1" showErrorMessage="1" allowBlank="1" errorTitle="Date needed" error="Enter a date (yyyy-mm-dd)." promptTitle="Review due" prompt="Optional. Date as yyyy-mm-dd." type="date" operator="greaterThan">
      <formula1>36526</formula1>
    </dataValidation>
    <dataValidation sqref="I2:I201" showDropDown="0" showInputMessage="1" showErrorMessage="1" allowBlank="1" errorTitle="Not in the list" error="Pick a value from the dropdown list." promptTitle="Status" prompt="Required. Pick from the list." type="list">
      <formula1>Config!$T$15:$T$34</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B7791F"/>
    <outlinePr summaryBelow="1" summaryRight="1"/>
    <pageSetUpPr/>
  </sheetPr>
  <dimension ref="A1:BV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13" customWidth="1" min="4" max="4"/>
    <col width="10" customWidth="1" min="5" max="5"/>
    <col width="10" customWidth="1" min="6" max="6"/>
    <col width="11" customWidth="1" min="7" max="7"/>
    <col width="7" customWidth="1" min="8" max="8"/>
    <col width="10" customWidth="1" min="9" max="9"/>
    <col width="18" customWidth="1" min="10" max="10"/>
    <col width="11" customWidth="1" min="11" max="11"/>
    <col width="30" customWidth="1" min="12" max="12"/>
    <col width="11" customWidth="1" min="13" max="13"/>
    <col width="11" customWidth="1" min="14" max="14"/>
    <col width="8" customWidth="1" min="15" max="15"/>
    <col width="8" customWidth="1" min="16" max="16"/>
    <col width="9" customWidth="1" min="17" max="17"/>
    <col width="9" customWidth="1" min="18" max="18"/>
    <col width="9" customWidth="1" min="19" max="19"/>
    <col width="7" customWidth="1" min="20" max="20"/>
    <col width="9" customWidth="1" min="21" max="21"/>
    <col width="30" customWidth="1" min="22" max="22"/>
    <col hidden="1" width="5" customWidth="1" min="23" max="23"/>
    <col hidden="1" width="5" customWidth="1" min="24" max="24"/>
    <col hidden="1" width="5" customWidth="1" min="25" max="25"/>
    <col hidden="1" width="5" customWidth="1" min="26" max="26"/>
    <col hidden="1" width="5" customWidth="1" min="27" max="27"/>
    <col hidden="1" width="5" customWidth="1" min="28" max="28"/>
    <col hidden="1" width="5" customWidth="1" min="29" max="29"/>
    <col hidden="1" width="5" customWidth="1" min="30" max="30"/>
    <col hidden="1" width="5" customWidth="1" min="31" max="31"/>
    <col hidden="1" width="5" customWidth="1" min="32" max="32"/>
    <col hidden="1" width="5" customWidth="1" min="33" max="33"/>
    <col hidden="1" width="5" customWidth="1" min="34" max="34"/>
    <col hidden="1" width="5" customWidth="1" min="35" max="35"/>
    <col hidden="1" width="5" customWidth="1" min="36" max="36"/>
    <col hidden="1" width="5" customWidth="1" min="37" max="37"/>
    <col hidden="1" width="5" customWidth="1" min="38" max="38"/>
    <col hidden="1" width="5" customWidth="1" min="39" max="39"/>
    <col hidden="1" width="5" customWidth="1" min="40" max="40"/>
    <col hidden="1" width="5" customWidth="1" min="41" max="41"/>
    <col hidden="1" width="5" customWidth="1" min="42" max="42"/>
    <col hidden="1" width="5" customWidth="1" min="43" max="43"/>
    <col hidden="1" width="5" customWidth="1" min="44" max="44"/>
    <col hidden="1" width="5" customWidth="1" min="45" max="45"/>
    <col hidden="1" width="5" customWidth="1" min="46" max="46"/>
    <col hidden="1" width="5" customWidth="1" min="47" max="47"/>
    <col hidden="1" width="5" customWidth="1" min="48" max="48"/>
    <col hidden="1" width="5" customWidth="1" min="49" max="49"/>
    <col hidden="1" width="5" customWidth="1" min="50" max="50"/>
    <col hidden="1" width="5" customWidth="1" min="51" max="51"/>
    <col hidden="1" width="5" customWidth="1" min="52" max="52"/>
    <col hidden="1" width="5" customWidth="1" min="53" max="53"/>
    <col hidden="1" width="5" customWidth="1" min="54" max="54"/>
    <col hidden="1" width="5" customWidth="1" min="55" max="55"/>
    <col hidden="1" width="5" customWidth="1" min="56" max="56"/>
    <col hidden="1" width="5" customWidth="1" min="57" max="57"/>
    <col hidden="1" width="5" customWidth="1" min="58" max="58"/>
    <col hidden="1" width="5" customWidth="1" min="59" max="59"/>
    <col hidden="1" width="5" customWidth="1" min="60" max="60"/>
    <col hidden="1" width="5" customWidth="1" min="61" max="61"/>
    <col hidden="1" width="5" customWidth="1" min="62" max="62"/>
    <col hidden="1" width="5" customWidth="1" min="63" max="63"/>
    <col hidden="1" width="5" customWidth="1" min="64" max="64"/>
    <col hidden="1" width="5" customWidth="1" min="65" max="65"/>
    <col hidden="1" width="5" customWidth="1" min="66" max="66"/>
    <col hidden="1" width="5" customWidth="1" min="67" max="67"/>
    <col hidden="1" width="5" customWidth="1" min="68" max="68"/>
    <col hidden="1" width="7" customWidth="1" min="69" max="69"/>
    <col hidden="1" width="7" customWidth="1" min="70" max="70"/>
    <col hidden="1" width="7" customWidth="1" min="71" max="71"/>
    <col hidden="1" width="7" customWidth="1" min="72" max="72"/>
    <col hidden="1" width="7" customWidth="1" min="73" max="73"/>
    <col hidden="1" width="7" customWidth="1" min="74" max="74"/>
  </cols>
  <sheetData>
    <row r="1" ht="42" customHeight="1">
      <c r="A1" s="41" t="inlineStr">
        <is>
          <t>movement_id</t>
        </is>
      </c>
      <c r="B1" s="41" t="inlineStr">
        <is>
          <t>date</t>
        </is>
      </c>
      <c r="C1" s="41" t="inlineStr">
        <is>
          <t>type</t>
        </is>
      </c>
      <c r="D1" s="41" t="inlineStr">
        <is>
          <t>sku</t>
        </is>
      </c>
      <c r="E1" s="41" t="inlineStr">
        <is>
          <t>supplier_id</t>
        </is>
      </c>
      <c r="F1" s="41" t="inlineStr">
        <is>
          <t>lot</t>
        </is>
      </c>
      <c r="G1" s="41" t="inlineStr">
        <is>
          <t>expiry</t>
        </is>
      </c>
      <c r="H1" s="41" t="inlineStr">
        <is>
          <t>qty</t>
        </is>
      </c>
      <c r="I1" s="41" t="inlineStr">
        <is>
          <t>lot_status</t>
        </is>
      </c>
      <c r="J1" s="41" t="inlineStr">
        <is>
          <t>reason</t>
        </is>
      </c>
      <c r="K1" s="41" t="inlineStr">
        <is>
          <t>reference</t>
        </is>
      </c>
      <c r="L1" s="41" t="inlineStr">
        <is>
          <t>source_link</t>
        </is>
      </c>
      <c r="M1" s="23" t="inlineStr">
        <is>
          <t>Parsed date</t>
        </is>
      </c>
      <c r="N1" s="23" t="inlineStr">
        <is>
          <t>Parsed expiry</t>
        </is>
      </c>
      <c r="O1" s="23" t="inlineStr">
        <is>
          <t>Parsed qty</t>
        </is>
      </c>
      <c r="P1" s="23" t="inlineStr">
        <is>
          <t>Signed qty</t>
        </is>
      </c>
      <c r="Q1" s="23" t="inlineStr">
        <is>
          <t>Recorded stock now</t>
        </is>
      </c>
      <c r="R1" s="23" t="inlineStr">
        <is>
          <t>Stock before row</t>
        </is>
      </c>
      <c r="S1" s="23" t="inlineStr">
        <is>
          <t>Stock after row</t>
        </is>
      </c>
      <c r="T1" s="23" t="inlineStr">
        <is>
          <t>Issues</t>
        </is>
      </c>
      <c r="U1" s="23" t="inlineStr">
        <is>
          <t>Result</t>
        </is>
      </c>
      <c r="V1" s="23" t="inlineStr">
        <is>
          <t>First issue</t>
        </is>
      </c>
      <c r="W1" s="45" t="inlineStr">
        <is>
          <t>check 1</t>
        </is>
      </c>
      <c r="X1" s="45" t="inlineStr">
        <is>
          <t>check 2</t>
        </is>
      </c>
      <c r="Y1" s="45" t="inlineStr">
        <is>
          <t>check 3</t>
        </is>
      </c>
      <c r="Z1" s="45" t="inlineStr">
        <is>
          <t>check 4</t>
        </is>
      </c>
      <c r="AA1" s="45" t="inlineStr">
        <is>
          <t>check 5</t>
        </is>
      </c>
      <c r="AB1" s="45" t="inlineStr">
        <is>
          <t>check 6</t>
        </is>
      </c>
      <c r="AC1" s="45" t="inlineStr">
        <is>
          <t>check 7</t>
        </is>
      </c>
      <c r="AD1" s="45" t="inlineStr">
        <is>
          <t>check 8</t>
        </is>
      </c>
      <c r="AE1" s="45" t="inlineStr">
        <is>
          <t>check 9</t>
        </is>
      </c>
      <c r="AF1" s="45" t="inlineStr">
        <is>
          <t>check 10</t>
        </is>
      </c>
      <c r="AG1" s="45" t="inlineStr">
        <is>
          <t>check 11</t>
        </is>
      </c>
      <c r="AH1" s="45" t="inlineStr">
        <is>
          <t>check 12</t>
        </is>
      </c>
      <c r="AI1" s="45" t="inlineStr">
        <is>
          <t>check 13</t>
        </is>
      </c>
      <c r="AJ1" s="45" t="inlineStr">
        <is>
          <t>check 14</t>
        </is>
      </c>
      <c r="AK1" s="45" t="inlineStr">
        <is>
          <t>check 15</t>
        </is>
      </c>
      <c r="AL1" s="45" t="inlineStr">
        <is>
          <t>check 16</t>
        </is>
      </c>
      <c r="AM1" s="45" t="inlineStr">
        <is>
          <t>check 17</t>
        </is>
      </c>
      <c r="AN1" s="45" t="inlineStr">
        <is>
          <t>check 18</t>
        </is>
      </c>
      <c r="AO1" s="45" t="inlineStr">
        <is>
          <t>check 19</t>
        </is>
      </c>
      <c r="AP1" s="45" t="inlineStr">
        <is>
          <t>check 20</t>
        </is>
      </c>
      <c r="AQ1" s="45" t="inlineStr">
        <is>
          <t>check 21</t>
        </is>
      </c>
      <c r="AR1" s="45" t="inlineStr">
        <is>
          <t>check 22</t>
        </is>
      </c>
      <c r="AS1" s="45" t="inlineStr">
        <is>
          <t>check 23</t>
        </is>
      </c>
      <c r="AT1" s="45" t="inlineStr">
        <is>
          <t>cum 1</t>
        </is>
      </c>
      <c r="AU1" s="45" t="inlineStr">
        <is>
          <t>cum 2</t>
        </is>
      </c>
      <c r="AV1" s="45" t="inlineStr">
        <is>
          <t>cum 3</t>
        </is>
      </c>
      <c r="AW1" s="45" t="inlineStr">
        <is>
          <t>cum 4</t>
        </is>
      </c>
      <c r="AX1" s="45" t="inlineStr">
        <is>
          <t>cum 5</t>
        </is>
      </c>
      <c r="AY1" s="45" t="inlineStr">
        <is>
          <t>cum 6</t>
        </is>
      </c>
      <c r="AZ1" s="45" t="inlineStr">
        <is>
          <t>cum 7</t>
        </is>
      </c>
      <c r="BA1" s="45" t="inlineStr">
        <is>
          <t>cum 8</t>
        </is>
      </c>
      <c r="BB1" s="45" t="inlineStr">
        <is>
          <t>cum 9</t>
        </is>
      </c>
      <c r="BC1" s="45" t="inlineStr">
        <is>
          <t>cum 10</t>
        </is>
      </c>
      <c r="BD1" s="45" t="inlineStr">
        <is>
          <t>cum 11</t>
        </is>
      </c>
      <c r="BE1" s="45" t="inlineStr">
        <is>
          <t>cum 12</t>
        </is>
      </c>
      <c r="BF1" s="45" t="inlineStr">
        <is>
          <t>cum 13</t>
        </is>
      </c>
      <c r="BG1" s="45" t="inlineStr">
        <is>
          <t>cum 14</t>
        </is>
      </c>
      <c r="BH1" s="45" t="inlineStr">
        <is>
          <t>cum 15</t>
        </is>
      </c>
      <c r="BI1" s="45" t="inlineStr">
        <is>
          <t>cum 16</t>
        </is>
      </c>
      <c r="BJ1" s="45" t="inlineStr">
        <is>
          <t>cum 17</t>
        </is>
      </c>
      <c r="BK1" s="45" t="inlineStr">
        <is>
          <t>cum 18</t>
        </is>
      </c>
      <c r="BL1" s="45" t="inlineStr">
        <is>
          <t>cum 19</t>
        </is>
      </c>
      <c r="BM1" s="45" t="inlineStr">
        <is>
          <t>cum 20</t>
        </is>
      </c>
      <c r="BN1" s="45" t="inlineStr">
        <is>
          <t>cum 21</t>
        </is>
      </c>
      <c r="BO1" s="45" t="inlineStr">
        <is>
          <t>cum 22</t>
        </is>
      </c>
      <c r="BP1" s="45" t="inlineStr">
        <is>
          <t>cum 23</t>
        </is>
      </c>
      <c r="BQ1" s="45" t="inlineStr">
        <is>
          <t>Exceptions before row</t>
        </is>
      </c>
      <c r="BR1" s="45" t="inlineStr">
        <is>
          <t>Row sequence</t>
        </is>
      </c>
      <c r="BS1" s="45" t="inlineStr">
        <is>
          <t>Last exception no.</t>
        </is>
      </c>
      <c r="BT1" s="45" t="inlineStr">
        <is>
          <t>Post order</t>
        </is>
      </c>
      <c r="BU1" s="45" t="inlineStr">
        <is>
          <t>New lot (1 = yes)</t>
        </is>
      </c>
      <c r="BV1" s="45" t="inlineStr">
        <is>
          <t>New lot order</t>
        </is>
      </c>
    </row>
    <row r="2">
      <c r="A2" s="61" t="inlineStr">
        <is>
          <t>MV-2610-014</t>
        </is>
      </c>
      <c r="B2" s="61" t="inlineStr">
        <is>
          <t>2026-10-09</t>
        </is>
      </c>
      <c r="C2" s="61" t="inlineStr">
        <is>
          <t>Shipment</t>
        </is>
      </c>
      <c r="D2" s="61" t="inlineStr">
        <is>
          <t>WPI-CHO-2LB</t>
        </is>
      </c>
      <c r="E2" s="61" t="n"/>
      <c r="F2" s="61" t="inlineStr">
        <is>
          <t>WCH2607A</t>
        </is>
      </c>
      <c r="G2" s="61" t="n"/>
      <c r="H2" s="61" t="inlineStr">
        <is>
          <t>64</t>
        </is>
      </c>
      <c r="I2" s="61" t="n"/>
      <c r="J2" s="61" t="n"/>
      <c r="K2" s="61" t="inlineStr">
        <is>
          <t>OB-1009</t>
        </is>
      </c>
      <c r="L2" s="61" t="inlineStr">
        <is>
          <t>https://example.com/3pl/movements/MV-2610-014</t>
        </is>
      </c>
      <c r="M2" s="62">
        <f>IF($B2="","",IF(ISNUMBER($B2),$B2,IF(AND(LEN($B2)=10,MID($B2,5,1)="-",MID($B2,8,1)="-"),IFERROR(IF(AND(MONTH(DATE(VALUE(LEFT($B2,4)),VALUE(MID($B2,6,2)),VALUE(RIGHT($B2,2))))=VALUE(MID($B2,6,2)),DAY(DATE(VALUE(LEFT($B2,4)),VALUE(MID($B2,6,2)),VALUE(RIGHT($B2,2))))=VALUE(RIGHT($B2,2))),DATE(VALUE(LEFT($B2,4)),VALUE(MID($B2,6,2)),VALUE(RIGHT($B2,2))),"ERR"),"ERR"),"ERR")))</f>
        <v>46304</v>
      </c>
      <c r="N2" s="62" t="str">
        <f>IF($G2="","",IF(ISNUMBER($G2),$G2,IF(AND(LEN($G2)=10,MID($G2,5,1)="-",MID($G2,8,1)="-"),IFERROR(IF(AND(MONTH(DATE(VALUE(LEFT($G2,4)),VALUE(MID($G2,6,2)),VALUE(RIGHT($G2,2))))=VALUE(MID($G2,6,2)),DAY(DATE(VALUE(LEFT($G2,4)),VALUE(MID($G2,6,2)),VALUE(RIGHT($G2,2))))=VALUE(RIGHT($G2,2))),DATE(VALUE(LEFT($G2,4)),VALUE(MID($G2,6,2)),VALUE(RIGHT($G2,2))),"ERR"),"ERR"),"ERR")))</f>
        <v/>
      </c>
      <c r="O2" s="51">
        <f>IF($H2="","",IF(ISNUMBER($H2),$H2,IFERROR(VALUE($H2),"ERR")))</f>
        <v>64</v>
      </c>
      <c r="P2" s="51">
        <f>IF(AND(ISNUMBER($O2),OR($C2="Receipt",$C2="Shipment",$C2="Adjustment")),IF($C2="Shipment",-$O2,$O2),"")</f>
        <v>-64</v>
      </c>
      <c r="Q2" s="51">
        <f>IF($D2="","",IFERROR(INDEX(Products!$R$2:$R$101,MATCH($D2,Products!$A$2:$A$101,0)),""))</f>
        <v>429</v>
      </c>
      <c r="R2" s="51">
        <f>IF(OR($Q2="",$P2=""),"",$Q2+SUMIFS($P$1:$P1,$D$1:$D1,$D2,$U$1:$U1,"Ready"))</f>
        <v>429</v>
      </c>
      <c r="S2" s="51">
        <f>IF($R2="","",$R2+$P2)</f>
        <v>365</v>
      </c>
      <c r="T2" s="52">
        <f>IF(COUNTA($A2:$L2)&gt;0,$BP2,"")</f>
        <v>0</v>
      </c>
      <c r="U2" s="49" t="str">
        <f>IF($T2="","",IF($T2=0,"Ready","Rejected"))</f>
        <v>Ready</v>
      </c>
      <c r="V2" s="49" t="str">
        <f>IF(OR($T2="",$T2=0),"",INDEX(Config!$D$39:$D$61,MATCH(1,$AT2:$BP2,0))&amp;IF($T2&gt;1," (+"&amp;($T2-1)&amp;" more)",""))</f>
        <v/>
      </c>
      <c r="W2" s="52">
        <f>IF(AND(COUNTA($A2:$L2)&gt;0,$A2=""),1,0)</f>
        <v>0</v>
      </c>
      <c r="X2" s="52">
        <f>IF(AND(COUNTA($A2:$L2)&gt;0,$A2&lt;&gt;""),IF(COUNTIF($A$1:$A1,$A2)&gt;0,1,0),0)</f>
        <v>0</v>
      </c>
      <c r="Y2" s="52">
        <f>IF(AND(COUNTA($A2:$L2)&gt;0,$A2&lt;&gt;""),IF(COUNTIF(Inventory_Ledger!$A$2:$A$2001,$A2)&gt;0,1,0),0)</f>
        <v>0</v>
      </c>
      <c r="Z2" s="52">
        <f>IF(AND(COUNTA($A2:$L2)&gt;0,$B2=""),1,0)</f>
        <v>0</v>
      </c>
      <c r="AA2" s="52">
        <f>IF(AND(COUNTA($A2:$L2)&gt;0,$B2&lt;&gt;""),IF($M2="ERR",1,0),0)</f>
        <v>0</v>
      </c>
      <c r="AB2" s="52">
        <f>IF(AND(COUNTA($A2:$L2)&gt;0,ISNUMBER($M2)),IF($M2&gt;Config!$B$4,1,0),0)</f>
        <v>0</v>
      </c>
      <c r="AC2" s="52">
        <f>IF(AND(COUNTA($A2:$L2)&gt;0,$C2=""),1,0)</f>
        <v>0</v>
      </c>
      <c r="AD2" s="52">
        <f>IF(AND(COUNTA($A2:$L2)&gt;0,$C2&lt;&gt;""),IF(COUNTIF(Config!$A$15:$A$34,$C2)=0,1,0),0)</f>
        <v>0</v>
      </c>
      <c r="AE2" s="52">
        <f>IF(AND(COUNTA($A2:$L2)&gt;0,$D2=""),1,0)</f>
        <v>0</v>
      </c>
      <c r="AF2" s="52">
        <f>IF(AND(COUNTA($A2:$L2)&gt;0,$D2&lt;&gt;""),IF(COUNTIF(Products!$A$2:$A$101,$D2)=0,1,0),0)</f>
        <v>0</v>
      </c>
      <c r="AG2" s="52">
        <f>IF(AND(COUNTA($A2:$L2)&gt;0,$C2="Receipt",$E2=""),1,0)</f>
        <v>0</v>
      </c>
      <c r="AH2" s="52">
        <f>IF(AND(COUNTA($A2:$L2)&gt;0,$E2&lt;&gt;""),IF(COUNTIF(Suppliers!$A$2:$A$51,$E2)=0,1,0),0)</f>
        <v>0</v>
      </c>
      <c r="AI2" s="52">
        <f>IF(AND(COUNTA($A2:$L2)&gt;0,$F2=""),1,0)</f>
        <v>0</v>
      </c>
      <c r="AJ2" s="52">
        <f>IF(AND(COUNTA($A2:$L2)&gt;0,$F2&lt;&gt;"",$D2&lt;&gt;"",OR($C2="Shipment",$C2="Adjustment")),IF($AF2=1,0,IF(COUNTIFS(Batches!$A$2:$A$301,$F2,Batches!$B$2:$B$301,$D2)+COUNTIFS($F$1:$F1,$F2,$D$1:$D1,$D2,$C$1:$C1,"Receipt")=0,1,0)),0)</f>
        <v>0</v>
      </c>
      <c r="AK2" s="52">
        <f>IF(AND(COUNTA($A2:$L2)&gt;0,$C2="Receipt",$G2=""),1,0)</f>
        <v>0</v>
      </c>
      <c r="AL2" s="52">
        <f>IF(AND(COUNTA($A2:$L2)&gt;0,$G2&lt;&gt;""),IF($N2="ERR",1,0),0)</f>
        <v>0</v>
      </c>
      <c r="AM2" s="52">
        <f>IF(AND(COUNTA($A2:$L2)&gt;0,$H2=""),1,0)</f>
        <v>0</v>
      </c>
      <c r="AN2" s="52">
        <f>IF(AND(COUNTA($A2:$L2)&gt;0,$H2&lt;&gt;""),IF($O2="ERR",1,IF(INT($O2)&lt;&gt;$O2,1,IF(AND(OR($C2="Receipt",$C2="Shipment"),$O2&lt;=0),1,IF(AND($C2="Adjustment",$O2=0),1,0)))),0)</f>
        <v>0</v>
      </c>
      <c r="AO2" s="52">
        <f>IF(AND(COUNTA($A2:$L2)&gt;0,$C2="Receipt",$I2=""),1,0)</f>
        <v>0</v>
      </c>
      <c r="AP2" s="52">
        <f>IF(AND(COUNTA($A2:$L2)&gt;0,$I2&lt;&gt;""),IF(IFERROR(INDEX(Config!$G$15:$G$34,MATCH($I2,Config!$E$15:$E$34,0)),"No")="Yes",0,1),0)</f>
        <v>0</v>
      </c>
      <c r="AQ2" s="52">
        <f>IF(AND(COUNTA($A2:$L2)&gt;0,$C2="Adjustment",$J2=""),1,0)</f>
        <v>0</v>
      </c>
      <c r="AR2" s="52">
        <f>IF(AND(COUNTA($A2:$L2)&gt;0,$L2=""),1,0)</f>
        <v>0</v>
      </c>
      <c r="AS2" s="52">
        <f>IF(AND(COUNTA($A2:$L2)&gt;0,ISNUMBER($S2)),IF($S2&lt;0,1,0),0)</f>
        <v>0</v>
      </c>
      <c r="AT2" s="52">
        <f>$W2</f>
        <v>0</v>
      </c>
      <c r="AU2" s="52">
        <f>$AT2+$X2</f>
        <v>0</v>
      </c>
      <c r="AV2" s="52">
        <f>$AU2+$Y2</f>
        <v>0</v>
      </c>
      <c r="AW2" s="52">
        <f>$AV2+$Z2</f>
        <v>0</v>
      </c>
      <c r="AX2" s="52">
        <f>$AW2+$AA2</f>
        <v>0</v>
      </c>
      <c r="AY2" s="52">
        <f>$AX2+$AB2</f>
        <v>0</v>
      </c>
      <c r="AZ2" s="52">
        <f>$AY2+$AC2</f>
        <v>0</v>
      </c>
      <c r="BA2" s="52">
        <f>$AZ2+$AD2</f>
        <v>0</v>
      </c>
      <c r="BB2" s="52">
        <f>$BA2+$AE2</f>
        <v>0</v>
      </c>
      <c r="BC2" s="52">
        <f>$BB2+$AF2</f>
        <v>0</v>
      </c>
      <c r="BD2" s="52">
        <f>$BC2+$AG2</f>
        <v>0</v>
      </c>
      <c r="BE2" s="52">
        <f>$BD2+$AH2</f>
        <v>0</v>
      </c>
      <c r="BF2" s="52">
        <f>$BE2+$AI2</f>
        <v>0</v>
      </c>
      <c r="BG2" s="52">
        <f>$BF2+$AJ2</f>
        <v>0</v>
      </c>
      <c r="BH2" s="52">
        <f>$BG2+$AK2</f>
        <v>0</v>
      </c>
      <c r="BI2" s="52">
        <f>$BH2+$AL2</f>
        <v>0</v>
      </c>
      <c r="BJ2" s="52">
        <f>$BI2+$AM2</f>
        <v>0</v>
      </c>
      <c r="BK2" s="52">
        <f>$BJ2+$AN2</f>
        <v>0</v>
      </c>
      <c r="BL2" s="52">
        <f>$BK2+$AO2</f>
        <v>0</v>
      </c>
      <c r="BM2" s="52">
        <f>$BL2+$AP2</f>
        <v>0</v>
      </c>
      <c r="BN2" s="52">
        <f>$BM2+$AQ2</f>
        <v>0</v>
      </c>
      <c r="BO2" s="52">
        <f>$BN2+$AR2</f>
        <v>0</v>
      </c>
      <c r="BP2" s="52">
        <f>$BO2+$AS2</f>
        <v>0</v>
      </c>
      <c r="BQ2" s="52">
        <f>SUM($T$1:$T1)</f>
        <v>0</v>
      </c>
      <c r="BR2" s="52" t="str">
        <f>IF(ISNUMBER($T2),IF($T2&gt;0,COUNTIF($T$2:$T2,"&gt;0"),""),"")</f>
        <v/>
      </c>
      <c r="BS2" s="52" t="str">
        <f>IF($BR2="","",$BQ2+$T2)</f>
        <v/>
      </c>
      <c r="BT2" s="52">
        <f>IF($U2="Ready",COUNTIF($U$2:$U2,"Ready"),"")</f>
        <v>1</v>
      </c>
      <c r="BU2" s="52">
        <f>IF(AND($U2="Ready",$C2="Receipt"),IF(COUNTIF(Batches!$A$2:$A$301,$F2)+COUNTIFS($F$1:$F1,$F2,$C$1:$C1,"Receipt",$U$1:$U1,"Ready")=0,1,0),0)</f>
        <v>0</v>
      </c>
      <c r="BV2" s="52" t="str">
        <f>IF($BU2=1,SUM($BU$2:$BU2),"")</f>
        <v/>
      </c>
    </row>
    <row r="3">
      <c r="A3" s="61" t="inlineStr">
        <is>
          <t>MV-2610-015</t>
        </is>
      </c>
      <c r="B3" s="61" t="inlineStr">
        <is>
          <t>2026-10-10</t>
        </is>
      </c>
      <c r="C3" s="61" t="inlineStr">
        <is>
          <t>Shipment</t>
        </is>
      </c>
      <c r="D3" s="61" t="inlineStr">
        <is>
          <t>BAR-PBC-12</t>
        </is>
      </c>
      <c r="E3" s="61" t="n"/>
      <c r="F3" s="61" t="inlineStr">
        <is>
          <t>PBC2511A</t>
        </is>
      </c>
      <c r="G3" s="61" t="n"/>
      <c r="H3" s="61" t="inlineStr">
        <is>
          <t>120</t>
        </is>
      </c>
      <c r="I3" s="61" t="n"/>
      <c r="J3" s="61" t="n"/>
      <c r="K3" s="61" t="inlineStr">
        <is>
          <t>OB-1010</t>
        </is>
      </c>
      <c r="L3" s="61" t="inlineStr">
        <is>
          <t>https://example.com/3pl/movements/MV-2610-015</t>
        </is>
      </c>
      <c r="M3" s="62">
        <f>IF($B3="","",IF(ISNUMBER($B3),$B3,IF(AND(LEN($B3)=10,MID($B3,5,1)="-",MID($B3,8,1)="-"),IFERROR(IF(AND(MONTH(DATE(VALUE(LEFT($B3,4)),VALUE(MID($B3,6,2)),VALUE(RIGHT($B3,2))))=VALUE(MID($B3,6,2)),DAY(DATE(VALUE(LEFT($B3,4)),VALUE(MID($B3,6,2)),VALUE(RIGHT($B3,2))))=VALUE(RIGHT($B3,2))),DATE(VALUE(LEFT($B3,4)),VALUE(MID($B3,6,2)),VALUE(RIGHT($B3,2))),"ERR"),"ERR"),"ERR")))</f>
        <v>46305</v>
      </c>
      <c r="N3" s="62" t="str">
        <f>IF($G3="","",IF(ISNUMBER($G3),$G3,IF(AND(LEN($G3)=10,MID($G3,5,1)="-",MID($G3,8,1)="-"),IFERROR(IF(AND(MONTH(DATE(VALUE(LEFT($G3,4)),VALUE(MID($G3,6,2)),VALUE(RIGHT($G3,2))))=VALUE(MID($G3,6,2)),DAY(DATE(VALUE(LEFT($G3,4)),VALUE(MID($G3,6,2)),VALUE(RIGHT($G3,2))))=VALUE(RIGHT($G3,2))),DATE(VALUE(LEFT($G3,4)),VALUE(MID($G3,6,2)),VALUE(RIGHT($G3,2))),"ERR"),"ERR"),"ERR")))</f>
        <v/>
      </c>
      <c r="O3" s="51">
        <f>IF($H3="","",IF(ISNUMBER($H3),$H3,IFERROR(VALUE($H3),"ERR")))</f>
        <v>120</v>
      </c>
      <c r="P3" s="51">
        <f>IF(AND(ISNUMBER($O3),OR($C3="Receipt",$C3="Shipment",$C3="Adjustment")),IF($C3="Shipment",-$O3,$O3),"")</f>
        <v>-120</v>
      </c>
      <c r="Q3" s="51">
        <f>IF($D3="","",IFERROR(INDEX(Products!$R$2:$R$101,MATCH($D3,Products!$A$2:$A$101,0)),""))</f>
        <v>2744</v>
      </c>
      <c r="R3" s="51">
        <f>IF(OR($Q3="",$P3=""),"",$Q3+SUMIFS($P$1:$P2,$D$1:$D2,$D3,$U$1:$U2,"Ready"))</f>
        <v>2744</v>
      </c>
      <c r="S3" s="51">
        <f>IF($R3="","",$R3+$P3)</f>
        <v>2624</v>
      </c>
      <c r="T3" s="52">
        <f>IF(COUNTA($A3:$L3)&gt;0,$BP3,"")</f>
        <v>0</v>
      </c>
      <c r="U3" s="49" t="str">
        <f>IF($T3="","",IF($T3=0,"Ready","Rejected"))</f>
        <v>Ready</v>
      </c>
      <c r="V3" s="49" t="str">
        <f>IF(OR($T3="",$T3=0),"",INDEX(Config!$D$39:$D$61,MATCH(1,$AT3:$BP3,0))&amp;IF($T3&gt;1," (+"&amp;($T3-1)&amp;" more)",""))</f>
        <v/>
      </c>
      <c r="W3" s="52">
        <f>IF(AND(COUNTA($A3:$L3)&gt;0,$A3=""),1,0)</f>
        <v>0</v>
      </c>
      <c r="X3" s="52">
        <f>IF(AND(COUNTA($A3:$L3)&gt;0,$A3&lt;&gt;""),IF(COUNTIF($A$1:$A2,$A3)&gt;0,1,0),0)</f>
        <v>0</v>
      </c>
      <c r="Y3" s="52">
        <f>IF(AND(COUNTA($A3:$L3)&gt;0,$A3&lt;&gt;""),IF(COUNTIF(Inventory_Ledger!$A$2:$A$2001,$A3)&gt;0,1,0),0)</f>
        <v>0</v>
      </c>
      <c r="Z3" s="52">
        <f>IF(AND(COUNTA($A3:$L3)&gt;0,$B3=""),1,0)</f>
        <v>0</v>
      </c>
      <c r="AA3" s="52">
        <f>IF(AND(COUNTA($A3:$L3)&gt;0,$B3&lt;&gt;""),IF($M3="ERR",1,0),0)</f>
        <v>0</v>
      </c>
      <c r="AB3" s="52">
        <f>IF(AND(COUNTA($A3:$L3)&gt;0,ISNUMBER($M3)),IF($M3&gt;Config!$B$4,1,0),0)</f>
        <v>0</v>
      </c>
      <c r="AC3" s="52">
        <f>IF(AND(COUNTA($A3:$L3)&gt;0,$C3=""),1,0)</f>
        <v>0</v>
      </c>
      <c r="AD3" s="52">
        <f>IF(AND(COUNTA($A3:$L3)&gt;0,$C3&lt;&gt;""),IF(COUNTIF(Config!$A$15:$A$34,$C3)=0,1,0),0)</f>
        <v>0</v>
      </c>
      <c r="AE3" s="52">
        <f>IF(AND(COUNTA($A3:$L3)&gt;0,$D3=""),1,0)</f>
        <v>0</v>
      </c>
      <c r="AF3" s="52">
        <f>IF(AND(COUNTA($A3:$L3)&gt;0,$D3&lt;&gt;""),IF(COUNTIF(Products!$A$2:$A$101,$D3)=0,1,0),0)</f>
        <v>0</v>
      </c>
      <c r="AG3" s="52">
        <f>IF(AND(COUNTA($A3:$L3)&gt;0,$C3="Receipt",$E3=""),1,0)</f>
        <v>0</v>
      </c>
      <c r="AH3" s="52">
        <f>IF(AND(COUNTA($A3:$L3)&gt;0,$E3&lt;&gt;""),IF(COUNTIF(Suppliers!$A$2:$A$51,$E3)=0,1,0),0)</f>
        <v>0</v>
      </c>
      <c r="AI3" s="52">
        <f>IF(AND(COUNTA($A3:$L3)&gt;0,$F3=""),1,0)</f>
        <v>0</v>
      </c>
      <c r="AJ3" s="52">
        <f>IF(AND(COUNTA($A3:$L3)&gt;0,$F3&lt;&gt;"",$D3&lt;&gt;"",OR($C3="Shipment",$C3="Adjustment")),IF($AF3=1,0,IF(COUNTIFS(Batches!$A$2:$A$301,$F3,Batches!$B$2:$B$301,$D3)+COUNTIFS($F$1:$F2,$F3,$D$1:$D2,$D3,$C$1:$C2,"Receipt")=0,1,0)),0)</f>
        <v>0</v>
      </c>
      <c r="AK3" s="52">
        <f>IF(AND(COUNTA($A3:$L3)&gt;0,$C3="Receipt",$G3=""),1,0)</f>
        <v>0</v>
      </c>
      <c r="AL3" s="52">
        <f>IF(AND(COUNTA($A3:$L3)&gt;0,$G3&lt;&gt;""),IF($N3="ERR",1,0),0)</f>
        <v>0</v>
      </c>
      <c r="AM3" s="52">
        <f>IF(AND(COUNTA($A3:$L3)&gt;0,$H3=""),1,0)</f>
        <v>0</v>
      </c>
      <c r="AN3" s="52">
        <f>IF(AND(COUNTA($A3:$L3)&gt;0,$H3&lt;&gt;""),IF($O3="ERR",1,IF(INT($O3)&lt;&gt;$O3,1,IF(AND(OR($C3="Receipt",$C3="Shipment"),$O3&lt;=0),1,IF(AND($C3="Adjustment",$O3=0),1,0)))),0)</f>
        <v>0</v>
      </c>
      <c r="AO3" s="52">
        <f>IF(AND(COUNTA($A3:$L3)&gt;0,$C3="Receipt",$I3=""),1,0)</f>
        <v>0</v>
      </c>
      <c r="AP3" s="52">
        <f>IF(AND(COUNTA($A3:$L3)&gt;0,$I3&lt;&gt;""),IF(IFERROR(INDEX(Config!$G$15:$G$34,MATCH($I3,Config!$E$15:$E$34,0)),"No")="Yes",0,1),0)</f>
        <v>0</v>
      </c>
      <c r="AQ3" s="52">
        <f>IF(AND(COUNTA($A3:$L3)&gt;0,$C3="Adjustment",$J3=""),1,0)</f>
        <v>0</v>
      </c>
      <c r="AR3" s="52">
        <f>IF(AND(COUNTA($A3:$L3)&gt;0,$L3=""),1,0)</f>
        <v>0</v>
      </c>
      <c r="AS3" s="52">
        <f>IF(AND(COUNTA($A3:$L3)&gt;0,ISNUMBER($S3)),IF($S3&lt;0,1,0),0)</f>
        <v>0</v>
      </c>
      <c r="AT3" s="52">
        <f>$W3</f>
        <v>0</v>
      </c>
      <c r="AU3" s="52">
        <f>$AT3+$X3</f>
        <v>0</v>
      </c>
      <c r="AV3" s="52">
        <f>$AU3+$Y3</f>
        <v>0</v>
      </c>
      <c r="AW3" s="52">
        <f>$AV3+$Z3</f>
        <v>0</v>
      </c>
      <c r="AX3" s="52">
        <f>$AW3+$AA3</f>
        <v>0</v>
      </c>
      <c r="AY3" s="52">
        <f>$AX3+$AB3</f>
        <v>0</v>
      </c>
      <c r="AZ3" s="52">
        <f>$AY3+$AC3</f>
        <v>0</v>
      </c>
      <c r="BA3" s="52">
        <f>$AZ3+$AD3</f>
        <v>0</v>
      </c>
      <c r="BB3" s="52">
        <f>$BA3+$AE3</f>
        <v>0</v>
      </c>
      <c r="BC3" s="52">
        <f>$BB3+$AF3</f>
        <v>0</v>
      </c>
      <c r="BD3" s="52">
        <f>$BC3+$AG3</f>
        <v>0</v>
      </c>
      <c r="BE3" s="52">
        <f>$BD3+$AH3</f>
        <v>0</v>
      </c>
      <c r="BF3" s="52">
        <f>$BE3+$AI3</f>
        <v>0</v>
      </c>
      <c r="BG3" s="52">
        <f>$BF3+$AJ3</f>
        <v>0</v>
      </c>
      <c r="BH3" s="52">
        <f>$BG3+$AK3</f>
        <v>0</v>
      </c>
      <c r="BI3" s="52">
        <f>$BH3+$AL3</f>
        <v>0</v>
      </c>
      <c r="BJ3" s="52">
        <f>$BI3+$AM3</f>
        <v>0</v>
      </c>
      <c r="BK3" s="52">
        <f>$BJ3+$AN3</f>
        <v>0</v>
      </c>
      <c r="BL3" s="52">
        <f>$BK3+$AO3</f>
        <v>0</v>
      </c>
      <c r="BM3" s="52">
        <f>$BL3+$AP3</f>
        <v>0</v>
      </c>
      <c r="BN3" s="52">
        <f>$BM3+$AQ3</f>
        <v>0</v>
      </c>
      <c r="BO3" s="52">
        <f>$BN3+$AR3</f>
        <v>0</v>
      </c>
      <c r="BP3" s="52">
        <f>$BO3+$AS3</f>
        <v>0</v>
      </c>
      <c r="BQ3" s="52">
        <f>SUM($T$1:$T2)</f>
        <v>0</v>
      </c>
      <c r="BR3" s="52" t="str">
        <f>IF(ISNUMBER($T3),IF($T3&gt;0,COUNTIF($T$2:$T3,"&gt;0"),""),"")</f>
        <v/>
      </c>
      <c r="BS3" s="52" t="str">
        <f>IF($BR3="","",$BQ3+$T3)</f>
        <v/>
      </c>
      <c r="BT3" s="52">
        <f>IF($U3="Ready",COUNTIF($U$2:$U3,"Ready"),"")</f>
        <v>2</v>
      </c>
      <c r="BU3" s="52">
        <f>IF(AND($U3="Ready",$C3="Receipt"),IF(COUNTIF(Batches!$A$2:$A$301,$F3)+COUNTIFS($F$1:$F2,$F3,$C$1:$C2,"Receipt",$U$1:$U2,"Ready")=0,1,0),0)</f>
        <v>0</v>
      </c>
      <c r="BV3" s="52" t="str">
        <f>IF($BU3=1,SUM($BU$2:$BU3),"")</f>
        <v/>
      </c>
    </row>
    <row r="4">
      <c r="A4" s="61" t="inlineStr">
        <is>
          <t>MV-2610-016</t>
        </is>
      </c>
      <c r="B4" s="61" t="inlineStr">
        <is>
          <t>2026-10-12</t>
        </is>
      </c>
      <c r="C4" s="61" t="inlineStr">
        <is>
          <t>Shipment</t>
        </is>
      </c>
      <c r="D4" s="61" t="inlineStr">
        <is>
          <t>CRE-UNF-300G</t>
        </is>
      </c>
      <c r="E4" s="61" t="n"/>
      <c r="F4" s="61" t="inlineStr">
        <is>
          <t>CRT2505A</t>
        </is>
      </c>
      <c r="G4" s="61" t="n"/>
      <c r="H4" s="61" t="inlineStr">
        <is>
          <t>75</t>
        </is>
      </c>
      <c r="I4" s="61" t="n"/>
      <c r="J4" s="61" t="n"/>
      <c r="K4" s="61" t="inlineStr">
        <is>
          <t>OB-1012</t>
        </is>
      </c>
      <c r="L4" s="61" t="inlineStr">
        <is>
          <t>https://example.com/3pl/movements/MV-2610-016</t>
        </is>
      </c>
      <c r="M4" s="62">
        <f>IF($B4="","",IF(ISNUMBER($B4),$B4,IF(AND(LEN($B4)=10,MID($B4,5,1)="-",MID($B4,8,1)="-"),IFERROR(IF(AND(MONTH(DATE(VALUE(LEFT($B4,4)),VALUE(MID($B4,6,2)),VALUE(RIGHT($B4,2))))=VALUE(MID($B4,6,2)),DAY(DATE(VALUE(LEFT($B4,4)),VALUE(MID($B4,6,2)),VALUE(RIGHT($B4,2))))=VALUE(RIGHT($B4,2))),DATE(VALUE(LEFT($B4,4)),VALUE(MID($B4,6,2)),VALUE(RIGHT($B4,2))),"ERR"),"ERR"),"ERR")))</f>
        <v>46307</v>
      </c>
      <c r="N4" s="62" t="str">
        <f>IF($G4="","",IF(ISNUMBER($G4),$G4,IF(AND(LEN($G4)=10,MID($G4,5,1)="-",MID($G4,8,1)="-"),IFERROR(IF(AND(MONTH(DATE(VALUE(LEFT($G4,4)),VALUE(MID($G4,6,2)),VALUE(RIGHT($G4,2))))=VALUE(MID($G4,6,2)),DAY(DATE(VALUE(LEFT($G4,4)),VALUE(MID($G4,6,2)),VALUE(RIGHT($G4,2))))=VALUE(RIGHT($G4,2))),DATE(VALUE(LEFT($G4,4)),VALUE(MID($G4,6,2)),VALUE(RIGHT($G4,2))),"ERR"),"ERR"),"ERR")))</f>
        <v/>
      </c>
      <c r="O4" s="51">
        <f>IF($H4="","",IF(ISNUMBER($H4),$H4,IFERROR(VALUE($H4),"ERR")))</f>
        <v>75</v>
      </c>
      <c r="P4" s="51">
        <f>IF(AND(ISNUMBER($O4),OR($C4="Receipt",$C4="Shipment",$C4="Adjustment")),IF($C4="Shipment",-$O4,$O4),"")</f>
        <v>-75</v>
      </c>
      <c r="Q4" s="51">
        <f>IF($D4="","",IFERROR(INDEX(Products!$R$2:$R$101,MATCH($D4,Products!$A$2:$A$101,0)),""))</f>
        <v>1119</v>
      </c>
      <c r="R4" s="51">
        <f>IF(OR($Q4="",$P4=""),"",$Q4+SUMIFS($P$1:$P3,$D$1:$D3,$D4,$U$1:$U3,"Ready"))</f>
        <v>1119</v>
      </c>
      <c r="S4" s="51">
        <f>IF($R4="","",$R4+$P4)</f>
        <v>1044</v>
      </c>
      <c r="T4" s="52">
        <f>IF(COUNTA($A4:$L4)&gt;0,$BP4,"")</f>
        <v>0</v>
      </c>
      <c r="U4" s="49" t="str">
        <f>IF($T4="","",IF($T4=0,"Ready","Rejected"))</f>
        <v>Ready</v>
      </c>
      <c r="V4" s="49" t="str">
        <f>IF(OR($T4="",$T4=0),"",INDEX(Config!$D$39:$D$61,MATCH(1,$AT4:$BP4,0))&amp;IF($T4&gt;1," (+"&amp;($T4-1)&amp;" more)",""))</f>
        <v/>
      </c>
      <c r="W4" s="52">
        <f>IF(AND(COUNTA($A4:$L4)&gt;0,$A4=""),1,0)</f>
        <v>0</v>
      </c>
      <c r="X4" s="52">
        <f>IF(AND(COUNTA($A4:$L4)&gt;0,$A4&lt;&gt;""),IF(COUNTIF($A$1:$A3,$A4)&gt;0,1,0),0)</f>
        <v>0</v>
      </c>
      <c r="Y4" s="52">
        <f>IF(AND(COUNTA($A4:$L4)&gt;0,$A4&lt;&gt;""),IF(COUNTIF(Inventory_Ledger!$A$2:$A$2001,$A4)&gt;0,1,0),0)</f>
        <v>0</v>
      </c>
      <c r="Z4" s="52">
        <f>IF(AND(COUNTA($A4:$L4)&gt;0,$B4=""),1,0)</f>
        <v>0</v>
      </c>
      <c r="AA4" s="52">
        <f>IF(AND(COUNTA($A4:$L4)&gt;0,$B4&lt;&gt;""),IF($M4="ERR",1,0),0)</f>
        <v>0</v>
      </c>
      <c r="AB4" s="52">
        <f>IF(AND(COUNTA($A4:$L4)&gt;0,ISNUMBER($M4)),IF($M4&gt;Config!$B$4,1,0),0)</f>
        <v>0</v>
      </c>
      <c r="AC4" s="52">
        <f>IF(AND(COUNTA($A4:$L4)&gt;0,$C4=""),1,0)</f>
        <v>0</v>
      </c>
      <c r="AD4" s="52">
        <f>IF(AND(COUNTA($A4:$L4)&gt;0,$C4&lt;&gt;""),IF(COUNTIF(Config!$A$15:$A$34,$C4)=0,1,0),0)</f>
        <v>0</v>
      </c>
      <c r="AE4" s="52">
        <f>IF(AND(COUNTA($A4:$L4)&gt;0,$D4=""),1,0)</f>
        <v>0</v>
      </c>
      <c r="AF4" s="52">
        <f>IF(AND(COUNTA($A4:$L4)&gt;0,$D4&lt;&gt;""),IF(COUNTIF(Products!$A$2:$A$101,$D4)=0,1,0),0)</f>
        <v>0</v>
      </c>
      <c r="AG4" s="52">
        <f>IF(AND(COUNTA($A4:$L4)&gt;0,$C4="Receipt",$E4=""),1,0)</f>
        <v>0</v>
      </c>
      <c r="AH4" s="52">
        <f>IF(AND(COUNTA($A4:$L4)&gt;0,$E4&lt;&gt;""),IF(COUNTIF(Suppliers!$A$2:$A$51,$E4)=0,1,0),0)</f>
        <v>0</v>
      </c>
      <c r="AI4" s="52">
        <f>IF(AND(COUNTA($A4:$L4)&gt;0,$F4=""),1,0)</f>
        <v>0</v>
      </c>
      <c r="AJ4" s="52">
        <f>IF(AND(COUNTA($A4:$L4)&gt;0,$F4&lt;&gt;"",$D4&lt;&gt;"",OR($C4="Shipment",$C4="Adjustment")),IF($AF4=1,0,IF(COUNTIFS(Batches!$A$2:$A$301,$F4,Batches!$B$2:$B$301,$D4)+COUNTIFS($F$1:$F3,$F4,$D$1:$D3,$D4,$C$1:$C3,"Receipt")=0,1,0)),0)</f>
        <v>0</v>
      </c>
      <c r="AK4" s="52">
        <f>IF(AND(COUNTA($A4:$L4)&gt;0,$C4="Receipt",$G4=""),1,0)</f>
        <v>0</v>
      </c>
      <c r="AL4" s="52">
        <f>IF(AND(COUNTA($A4:$L4)&gt;0,$G4&lt;&gt;""),IF($N4="ERR",1,0),0)</f>
        <v>0</v>
      </c>
      <c r="AM4" s="52">
        <f>IF(AND(COUNTA($A4:$L4)&gt;0,$H4=""),1,0)</f>
        <v>0</v>
      </c>
      <c r="AN4" s="52">
        <f>IF(AND(COUNTA($A4:$L4)&gt;0,$H4&lt;&gt;""),IF($O4="ERR",1,IF(INT($O4)&lt;&gt;$O4,1,IF(AND(OR($C4="Receipt",$C4="Shipment"),$O4&lt;=0),1,IF(AND($C4="Adjustment",$O4=0),1,0)))),0)</f>
        <v>0</v>
      </c>
      <c r="AO4" s="52">
        <f>IF(AND(COUNTA($A4:$L4)&gt;0,$C4="Receipt",$I4=""),1,0)</f>
        <v>0</v>
      </c>
      <c r="AP4" s="52">
        <f>IF(AND(COUNTA($A4:$L4)&gt;0,$I4&lt;&gt;""),IF(IFERROR(INDEX(Config!$G$15:$G$34,MATCH($I4,Config!$E$15:$E$34,0)),"No")="Yes",0,1),0)</f>
        <v>0</v>
      </c>
      <c r="AQ4" s="52">
        <f>IF(AND(COUNTA($A4:$L4)&gt;0,$C4="Adjustment",$J4=""),1,0)</f>
        <v>0</v>
      </c>
      <c r="AR4" s="52">
        <f>IF(AND(COUNTA($A4:$L4)&gt;0,$L4=""),1,0)</f>
        <v>0</v>
      </c>
      <c r="AS4" s="52">
        <f>IF(AND(COUNTA($A4:$L4)&gt;0,ISNUMBER($S4)),IF($S4&lt;0,1,0),0)</f>
        <v>0</v>
      </c>
      <c r="AT4" s="52">
        <f>$W4</f>
        <v>0</v>
      </c>
      <c r="AU4" s="52">
        <f>$AT4+$X4</f>
        <v>0</v>
      </c>
      <c r="AV4" s="52">
        <f>$AU4+$Y4</f>
        <v>0</v>
      </c>
      <c r="AW4" s="52">
        <f>$AV4+$Z4</f>
        <v>0</v>
      </c>
      <c r="AX4" s="52">
        <f>$AW4+$AA4</f>
        <v>0</v>
      </c>
      <c r="AY4" s="52">
        <f>$AX4+$AB4</f>
        <v>0</v>
      </c>
      <c r="AZ4" s="52">
        <f>$AY4+$AC4</f>
        <v>0</v>
      </c>
      <c r="BA4" s="52">
        <f>$AZ4+$AD4</f>
        <v>0</v>
      </c>
      <c r="BB4" s="52">
        <f>$BA4+$AE4</f>
        <v>0</v>
      </c>
      <c r="BC4" s="52">
        <f>$BB4+$AF4</f>
        <v>0</v>
      </c>
      <c r="BD4" s="52">
        <f>$BC4+$AG4</f>
        <v>0</v>
      </c>
      <c r="BE4" s="52">
        <f>$BD4+$AH4</f>
        <v>0</v>
      </c>
      <c r="BF4" s="52">
        <f>$BE4+$AI4</f>
        <v>0</v>
      </c>
      <c r="BG4" s="52">
        <f>$BF4+$AJ4</f>
        <v>0</v>
      </c>
      <c r="BH4" s="52">
        <f>$BG4+$AK4</f>
        <v>0</v>
      </c>
      <c r="BI4" s="52">
        <f>$BH4+$AL4</f>
        <v>0</v>
      </c>
      <c r="BJ4" s="52">
        <f>$BI4+$AM4</f>
        <v>0</v>
      </c>
      <c r="BK4" s="52">
        <f>$BJ4+$AN4</f>
        <v>0</v>
      </c>
      <c r="BL4" s="52">
        <f>$BK4+$AO4</f>
        <v>0</v>
      </c>
      <c r="BM4" s="52">
        <f>$BL4+$AP4</f>
        <v>0</v>
      </c>
      <c r="BN4" s="52">
        <f>$BM4+$AQ4</f>
        <v>0</v>
      </c>
      <c r="BO4" s="52">
        <f>$BN4+$AR4</f>
        <v>0</v>
      </c>
      <c r="BP4" s="52">
        <f>$BO4+$AS4</f>
        <v>0</v>
      </c>
      <c r="BQ4" s="52">
        <f>SUM($T$1:$T3)</f>
        <v>0</v>
      </c>
      <c r="BR4" s="52" t="str">
        <f>IF(ISNUMBER($T4),IF($T4&gt;0,COUNTIF($T$2:$T4,"&gt;0"),""),"")</f>
        <v/>
      </c>
      <c r="BS4" s="52" t="str">
        <f>IF($BR4="","",$BQ4+$T4)</f>
        <v/>
      </c>
      <c r="BT4" s="52">
        <f>IF($U4="Ready",COUNTIF($U$2:$U4,"Ready"),"")</f>
        <v>3</v>
      </c>
      <c r="BU4" s="52">
        <f>IF(AND($U4="Ready",$C4="Receipt"),IF(COUNTIF(Batches!$A$2:$A$301,$F4)+COUNTIFS($F$1:$F3,$F4,$C$1:$C3,"Receipt",$U$1:$U3,"Ready")=0,1,0),0)</f>
        <v>0</v>
      </c>
      <c r="BV4" s="52" t="str">
        <f>IF($BU4=1,SUM($BU$2:$BU4),"")</f>
        <v/>
      </c>
    </row>
    <row r="5">
      <c r="A5" s="61" t="inlineStr">
        <is>
          <t>MV-2610-017</t>
        </is>
      </c>
      <c r="B5" s="61" t="inlineStr">
        <is>
          <t>2026-10-13</t>
        </is>
      </c>
      <c r="C5" s="61" t="inlineStr">
        <is>
          <t>Receipt</t>
        </is>
      </c>
      <c r="D5" s="61" t="inlineStr">
        <is>
          <t>PRE-WTM-30</t>
        </is>
      </c>
      <c r="E5" s="61" t="inlineStr">
        <is>
          <t>SUP-04</t>
        </is>
      </c>
      <c r="F5" s="61" t="inlineStr">
        <is>
          <t>PWM2609A</t>
        </is>
      </c>
      <c r="G5" s="61" t="inlineStr">
        <is>
          <t>2028-09-28</t>
        </is>
      </c>
      <c r="H5" s="61" t="inlineStr">
        <is>
          <t>600</t>
        </is>
      </c>
      <c r="I5" s="61" t="inlineStr">
        <is>
          <t>Quarantine</t>
        </is>
      </c>
      <c r="J5" s="61" t="n"/>
      <c r="K5" s="61" t="inlineStr">
        <is>
          <t>PO-2026-031</t>
        </is>
      </c>
      <c r="L5" s="61" t="inlineStr">
        <is>
          <t>https://example.com/3pl/movements/MV-2610-017</t>
        </is>
      </c>
      <c r="M5" s="62">
        <f>IF($B5="","",IF(ISNUMBER($B5),$B5,IF(AND(LEN($B5)=10,MID($B5,5,1)="-",MID($B5,8,1)="-"),IFERROR(IF(AND(MONTH(DATE(VALUE(LEFT($B5,4)),VALUE(MID($B5,6,2)),VALUE(RIGHT($B5,2))))=VALUE(MID($B5,6,2)),DAY(DATE(VALUE(LEFT($B5,4)),VALUE(MID($B5,6,2)),VALUE(RIGHT($B5,2))))=VALUE(RIGHT($B5,2))),DATE(VALUE(LEFT($B5,4)),VALUE(MID($B5,6,2)),VALUE(RIGHT($B5,2))),"ERR"),"ERR"),"ERR")))</f>
        <v>46308</v>
      </c>
      <c r="N5" s="62">
        <f>IF($G5="","",IF(ISNUMBER($G5),$G5,IF(AND(LEN($G5)=10,MID($G5,5,1)="-",MID($G5,8,1)="-"),IFERROR(IF(AND(MONTH(DATE(VALUE(LEFT($G5,4)),VALUE(MID($G5,6,2)),VALUE(RIGHT($G5,2))))=VALUE(MID($G5,6,2)),DAY(DATE(VALUE(LEFT($G5,4)),VALUE(MID($G5,6,2)),VALUE(RIGHT($G5,2))))=VALUE(RIGHT($G5,2))),DATE(VALUE(LEFT($G5,4)),VALUE(MID($G5,6,2)),VALUE(RIGHT($G5,2))),"ERR"),"ERR"),"ERR")))</f>
        <v>47024</v>
      </c>
      <c r="O5" s="51">
        <f>IF($H5="","",IF(ISNUMBER($H5),$H5,IFERROR(VALUE($H5),"ERR")))</f>
        <v>600</v>
      </c>
      <c r="P5" s="51">
        <f>IF(AND(ISNUMBER($O5),OR($C5="Receipt",$C5="Shipment",$C5="Adjustment")),IF($C5="Shipment",-$O5,$O5),"")</f>
        <v>600</v>
      </c>
      <c r="Q5" s="51">
        <f>IF($D5="","",IFERROR(INDEX(Products!$R$2:$R$101,MATCH($D5,Products!$A$2:$A$101,0)),""))</f>
        <v>228</v>
      </c>
      <c r="R5" s="51">
        <f>IF(OR($Q5="",$P5=""),"",$Q5+SUMIFS($P$1:$P4,$D$1:$D4,$D5,$U$1:$U4,"Ready"))</f>
        <v>228</v>
      </c>
      <c r="S5" s="51">
        <f>IF($R5="","",$R5+$P5)</f>
        <v>828</v>
      </c>
      <c r="T5" s="52">
        <f>IF(COUNTA($A5:$L5)&gt;0,$BP5,"")</f>
        <v>0</v>
      </c>
      <c r="U5" s="49" t="str">
        <f>IF($T5="","",IF($T5=0,"Ready","Rejected"))</f>
        <v>Ready</v>
      </c>
      <c r="V5" s="49" t="str">
        <f>IF(OR($T5="",$T5=0),"",INDEX(Config!$D$39:$D$61,MATCH(1,$AT5:$BP5,0))&amp;IF($T5&gt;1," (+"&amp;($T5-1)&amp;" more)",""))</f>
        <v/>
      </c>
      <c r="W5" s="52">
        <f>IF(AND(COUNTA($A5:$L5)&gt;0,$A5=""),1,0)</f>
        <v>0</v>
      </c>
      <c r="X5" s="52">
        <f>IF(AND(COUNTA($A5:$L5)&gt;0,$A5&lt;&gt;""),IF(COUNTIF($A$1:$A4,$A5)&gt;0,1,0),0)</f>
        <v>0</v>
      </c>
      <c r="Y5" s="52">
        <f>IF(AND(COUNTA($A5:$L5)&gt;0,$A5&lt;&gt;""),IF(COUNTIF(Inventory_Ledger!$A$2:$A$2001,$A5)&gt;0,1,0),0)</f>
        <v>0</v>
      </c>
      <c r="Z5" s="52">
        <f>IF(AND(COUNTA($A5:$L5)&gt;0,$B5=""),1,0)</f>
        <v>0</v>
      </c>
      <c r="AA5" s="52">
        <f>IF(AND(COUNTA($A5:$L5)&gt;0,$B5&lt;&gt;""),IF($M5="ERR",1,0),0)</f>
        <v>0</v>
      </c>
      <c r="AB5" s="52">
        <f>IF(AND(COUNTA($A5:$L5)&gt;0,ISNUMBER($M5)),IF($M5&gt;Config!$B$4,1,0),0)</f>
        <v>0</v>
      </c>
      <c r="AC5" s="52">
        <f>IF(AND(COUNTA($A5:$L5)&gt;0,$C5=""),1,0)</f>
        <v>0</v>
      </c>
      <c r="AD5" s="52">
        <f>IF(AND(COUNTA($A5:$L5)&gt;0,$C5&lt;&gt;""),IF(COUNTIF(Config!$A$15:$A$34,$C5)=0,1,0),0)</f>
        <v>0</v>
      </c>
      <c r="AE5" s="52">
        <f>IF(AND(COUNTA($A5:$L5)&gt;0,$D5=""),1,0)</f>
        <v>0</v>
      </c>
      <c r="AF5" s="52">
        <f>IF(AND(COUNTA($A5:$L5)&gt;0,$D5&lt;&gt;""),IF(COUNTIF(Products!$A$2:$A$101,$D5)=0,1,0),0)</f>
        <v>0</v>
      </c>
      <c r="AG5" s="52">
        <f>IF(AND(COUNTA($A5:$L5)&gt;0,$C5="Receipt",$E5=""),1,0)</f>
        <v>0</v>
      </c>
      <c r="AH5" s="52">
        <f>IF(AND(COUNTA($A5:$L5)&gt;0,$E5&lt;&gt;""),IF(COUNTIF(Suppliers!$A$2:$A$51,$E5)=0,1,0),0)</f>
        <v>0</v>
      </c>
      <c r="AI5" s="52">
        <f>IF(AND(COUNTA($A5:$L5)&gt;0,$F5=""),1,0)</f>
        <v>0</v>
      </c>
      <c r="AJ5" s="52">
        <f>IF(AND(COUNTA($A5:$L5)&gt;0,$F5&lt;&gt;"",$D5&lt;&gt;"",OR($C5="Shipment",$C5="Adjustment")),IF($AF5=1,0,IF(COUNTIFS(Batches!$A$2:$A$301,$F5,Batches!$B$2:$B$301,$D5)+COUNTIFS($F$1:$F4,$F5,$D$1:$D4,$D5,$C$1:$C4,"Receipt")=0,1,0)),0)</f>
        <v>0</v>
      </c>
      <c r="AK5" s="52">
        <f>IF(AND(COUNTA($A5:$L5)&gt;0,$C5="Receipt",$G5=""),1,0)</f>
        <v>0</v>
      </c>
      <c r="AL5" s="52">
        <f>IF(AND(COUNTA($A5:$L5)&gt;0,$G5&lt;&gt;""),IF($N5="ERR",1,0),0)</f>
        <v>0</v>
      </c>
      <c r="AM5" s="52">
        <f>IF(AND(COUNTA($A5:$L5)&gt;0,$H5=""),1,0)</f>
        <v>0</v>
      </c>
      <c r="AN5" s="52">
        <f>IF(AND(COUNTA($A5:$L5)&gt;0,$H5&lt;&gt;""),IF($O5="ERR",1,IF(INT($O5)&lt;&gt;$O5,1,IF(AND(OR($C5="Receipt",$C5="Shipment"),$O5&lt;=0),1,IF(AND($C5="Adjustment",$O5=0),1,0)))),0)</f>
        <v>0</v>
      </c>
      <c r="AO5" s="52">
        <f>IF(AND(COUNTA($A5:$L5)&gt;0,$C5="Receipt",$I5=""),1,0)</f>
        <v>0</v>
      </c>
      <c r="AP5" s="52">
        <f>IF(AND(COUNTA($A5:$L5)&gt;0,$I5&lt;&gt;""),IF(IFERROR(INDEX(Config!$G$15:$G$34,MATCH($I5,Config!$E$15:$E$34,0)),"No")="Yes",0,1),0)</f>
        <v>0</v>
      </c>
      <c r="AQ5" s="52">
        <f>IF(AND(COUNTA($A5:$L5)&gt;0,$C5="Adjustment",$J5=""),1,0)</f>
        <v>0</v>
      </c>
      <c r="AR5" s="52">
        <f>IF(AND(COUNTA($A5:$L5)&gt;0,$L5=""),1,0)</f>
        <v>0</v>
      </c>
      <c r="AS5" s="52">
        <f>IF(AND(COUNTA($A5:$L5)&gt;0,ISNUMBER($S5)),IF($S5&lt;0,1,0),0)</f>
        <v>0</v>
      </c>
      <c r="AT5" s="52">
        <f>$W5</f>
        <v>0</v>
      </c>
      <c r="AU5" s="52">
        <f>$AT5+$X5</f>
        <v>0</v>
      </c>
      <c r="AV5" s="52">
        <f>$AU5+$Y5</f>
        <v>0</v>
      </c>
      <c r="AW5" s="52">
        <f>$AV5+$Z5</f>
        <v>0</v>
      </c>
      <c r="AX5" s="52">
        <f>$AW5+$AA5</f>
        <v>0</v>
      </c>
      <c r="AY5" s="52">
        <f>$AX5+$AB5</f>
        <v>0</v>
      </c>
      <c r="AZ5" s="52">
        <f>$AY5+$AC5</f>
        <v>0</v>
      </c>
      <c r="BA5" s="52">
        <f>$AZ5+$AD5</f>
        <v>0</v>
      </c>
      <c r="BB5" s="52">
        <f>$BA5+$AE5</f>
        <v>0</v>
      </c>
      <c r="BC5" s="52">
        <f>$BB5+$AF5</f>
        <v>0</v>
      </c>
      <c r="BD5" s="52">
        <f>$BC5+$AG5</f>
        <v>0</v>
      </c>
      <c r="BE5" s="52">
        <f>$BD5+$AH5</f>
        <v>0</v>
      </c>
      <c r="BF5" s="52">
        <f>$BE5+$AI5</f>
        <v>0</v>
      </c>
      <c r="BG5" s="52">
        <f>$BF5+$AJ5</f>
        <v>0</v>
      </c>
      <c r="BH5" s="52">
        <f>$BG5+$AK5</f>
        <v>0</v>
      </c>
      <c r="BI5" s="52">
        <f>$BH5+$AL5</f>
        <v>0</v>
      </c>
      <c r="BJ5" s="52">
        <f>$BI5+$AM5</f>
        <v>0</v>
      </c>
      <c r="BK5" s="52">
        <f>$BJ5+$AN5</f>
        <v>0</v>
      </c>
      <c r="BL5" s="52">
        <f>$BK5+$AO5</f>
        <v>0</v>
      </c>
      <c r="BM5" s="52">
        <f>$BL5+$AP5</f>
        <v>0</v>
      </c>
      <c r="BN5" s="52">
        <f>$BM5+$AQ5</f>
        <v>0</v>
      </c>
      <c r="BO5" s="52">
        <f>$BN5+$AR5</f>
        <v>0</v>
      </c>
      <c r="BP5" s="52">
        <f>$BO5+$AS5</f>
        <v>0</v>
      </c>
      <c r="BQ5" s="52">
        <f>SUM($T$1:$T4)</f>
        <v>0</v>
      </c>
      <c r="BR5" s="52" t="str">
        <f>IF(ISNUMBER($T5),IF($T5&gt;0,COUNTIF($T$2:$T5,"&gt;0"),""),"")</f>
        <v/>
      </c>
      <c r="BS5" s="52" t="str">
        <f>IF($BR5="","",$BQ5+$T5)</f>
        <v/>
      </c>
      <c r="BT5" s="52">
        <f>IF($U5="Ready",COUNTIF($U$2:$U5,"Ready"),"")</f>
        <v>4</v>
      </c>
      <c r="BU5" s="52">
        <f>IF(AND($U5="Ready",$C5="Receipt"),IF(COUNTIF(Batches!$A$2:$A$301,$F5)+COUNTIFS($F$1:$F4,$F5,$C$1:$C4,"Receipt",$U$1:$U4,"Ready")=0,1,0),0)</f>
        <v>1</v>
      </c>
      <c r="BV5" s="52">
        <f>IF($BU5=1,SUM($BU$2:$BU5),"")</f>
        <v>1</v>
      </c>
    </row>
    <row r="6">
      <c r="A6" s="61" t="inlineStr">
        <is>
          <t>MV-2610-017</t>
        </is>
      </c>
      <c r="B6" s="61" t="inlineStr">
        <is>
          <t>2026-10-13</t>
        </is>
      </c>
      <c r="C6" s="61" t="inlineStr">
        <is>
          <t>Shipment</t>
        </is>
      </c>
      <c r="D6" s="61" t="inlineStr">
        <is>
          <t>PRE-BRZ-30</t>
        </is>
      </c>
      <c r="E6" s="61" t="n"/>
      <c r="F6" s="61" t="inlineStr">
        <is>
          <t>PBZ2501A</t>
        </is>
      </c>
      <c r="G6" s="61" t="n"/>
      <c r="H6" s="61" t="inlineStr">
        <is>
          <t>40</t>
        </is>
      </c>
      <c r="I6" s="61" t="n"/>
      <c r="J6" s="61" t="n"/>
      <c r="K6" s="61" t="inlineStr">
        <is>
          <t>OB-1013</t>
        </is>
      </c>
      <c r="L6" s="61" t="inlineStr">
        <is>
          <t>https://example.com/3pl/movements/MV-2610-017-b</t>
        </is>
      </c>
      <c r="M6" s="62">
        <f>IF($B6="","",IF(ISNUMBER($B6),$B6,IF(AND(LEN($B6)=10,MID($B6,5,1)="-",MID($B6,8,1)="-"),IFERROR(IF(AND(MONTH(DATE(VALUE(LEFT($B6,4)),VALUE(MID($B6,6,2)),VALUE(RIGHT($B6,2))))=VALUE(MID($B6,6,2)),DAY(DATE(VALUE(LEFT($B6,4)),VALUE(MID($B6,6,2)),VALUE(RIGHT($B6,2))))=VALUE(RIGHT($B6,2))),DATE(VALUE(LEFT($B6,4)),VALUE(MID($B6,6,2)),VALUE(RIGHT($B6,2))),"ERR"),"ERR"),"ERR")))</f>
        <v>46308</v>
      </c>
      <c r="N6" s="62" t="str">
        <f>IF($G6="","",IF(ISNUMBER($G6),$G6,IF(AND(LEN($G6)=10,MID($G6,5,1)="-",MID($G6,8,1)="-"),IFERROR(IF(AND(MONTH(DATE(VALUE(LEFT($G6,4)),VALUE(MID($G6,6,2)),VALUE(RIGHT($G6,2))))=VALUE(MID($G6,6,2)),DAY(DATE(VALUE(LEFT($G6,4)),VALUE(MID($G6,6,2)),VALUE(RIGHT($G6,2))))=VALUE(RIGHT($G6,2))),DATE(VALUE(LEFT($G6,4)),VALUE(MID($G6,6,2)),VALUE(RIGHT($G6,2))),"ERR"),"ERR"),"ERR")))</f>
        <v/>
      </c>
      <c r="O6" s="51">
        <f>IF($H6="","",IF(ISNUMBER($H6),$H6,IFERROR(VALUE($H6),"ERR")))</f>
        <v>40</v>
      </c>
      <c r="P6" s="51">
        <f>IF(AND(ISNUMBER($O6),OR($C6="Receipt",$C6="Shipment",$C6="Adjustment")),IF($C6="Shipment",-$O6,$O6),"")</f>
        <v>-40</v>
      </c>
      <c r="Q6" s="51">
        <f>IF($D6="","",IFERROR(INDEX(Products!$R$2:$R$101,MATCH($D6,Products!$A$2:$A$101,0)),""))</f>
        <v>875</v>
      </c>
      <c r="R6" s="51">
        <f>IF(OR($Q6="",$P6=""),"",$Q6+SUMIFS($P$1:$P5,$D$1:$D5,$D6,$U$1:$U5,"Ready"))</f>
        <v>875</v>
      </c>
      <c r="S6" s="51">
        <f>IF($R6="","",$R6+$P6)</f>
        <v>835</v>
      </c>
      <c r="T6" s="52">
        <f>IF(COUNTA($A6:$L6)&gt;0,$BP6,"")</f>
        <v>1</v>
      </c>
      <c r="U6" s="49" t="str">
        <f>IF($T6="","",IF($T6=0,"Ready","Rejected"))</f>
        <v>Rejected</v>
      </c>
      <c r="V6" s="49" t="str">
        <f>IF(OR($T6="",$T6=0),"",INDEX(Config!$D$39:$D$61,MATCH(1,$AT6:$BP6,0))&amp;IF($T6&gt;1," (+"&amp;($T6-1)&amp;" more)",""))</f>
        <v>Duplicate ID</v>
      </c>
      <c r="W6" s="52">
        <f>IF(AND(COUNTA($A6:$L6)&gt;0,$A6=""),1,0)</f>
        <v>0</v>
      </c>
      <c r="X6" s="52">
        <f>IF(AND(COUNTA($A6:$L6)&gt;0,$A6&lt;&gt;""),IF(COUNTIF($A$1:$A5,$A6)&gt;0,1,0),0)</f>
        <v>1</v>
      </c>
      <c r="Y6" s="52">
        <f>IF(AND(COUNTA($A6:$L6)&gt;0,$A6&lt;&gt;""),IF(COUNTIF(Inventory_Ledger!$A$2:$A$2001,$A6)&gt;0,1,0),0)</f>
        <v>0</v>
      </c>
      <c r="Z6" s="52">
        <f>IF(AND(COUNTA($A6:$L6)&gt;0,$B6=""),1,0)</f>
        <v>0</v>
      </c>
      <c r="AA6" s="52">
        <f>IF(AND(COUNTA($A6:$L6)&gt;0,$B6&lt;&gt;""),IF($M6="ERR",1,0),0)</f>
        <v>0</v>
      </c>
      <c r="AB6" s="52">
        <f>IF(AND(COUNTA($A6:$L6)&gt;0,ISNUMBER($M6)),IF($M6&gt;Config!$B$4,1,0),0)</f>
        <v>0</v>
      </c>
      <c r="AC6" s="52">
        <f>IF(AND(COUNTA($A6:$L6)&gt;0,$C6=""),1,0)</f>
        <v>0</v>
      </c>
      <c r="AD6" s="52">
        <f>IF(AND(COUNTA($A6:$L6)&gt;0,$C6&lt;&gt;""),IF(COUNTIF(Config!$A$15:$A$34,$C6)=0,1,0),0)</f>
        <v>0</v>
      </c>
      <c r="AE6" s="52">
        <f>IF(AND(COUNTA($A6:$L6)&gt;0,$D6=""),1,0)</f>
        <v>0</v>
      </c>
      <c r="AF6" s="52">
        <f>IF(AND(COUNTA($A6:$L6)&gt;0,$D6&lt;&gt;""),IF(COUNTIF(Products!$A$2:$A$101,$D6)=0,1,0),0)</f>
        <v>0</v>
      </c>
      <c r="AG6" s="52">
        <f>IF(AND(COUNTA($A6:$L6)&gt;0,$C6="Receipt",$E6=""),1,0)</f>
        <v>0</v>
      </c>
      <c r="AH6" s="52">
        <f>IF(AND(COUNTA($A6:$L6)&gt;0,$E6&lt;&gt;""),IF(COUNTIF(Suppliers!$A$2:$A$51,$E6)=0,1,0),0)</f>
        <v>0</v>
      </c>
      <c r="AI6" s="52">
        <f>IF(AND(COUNTA($A6:$L6)&gt;0,$F6=""),1,0)</f>
        <v>0</v>
      </c>
      <c r="AJ6" s="52">
        <f>IF(AND(COUNTA($A6:$L6)&gt;0,$F6&lt;&gt;"",$D6&lt;&gt;"",OR($C6="Shipment",$C6="Adjustment")),IF($AF6=1,0,IF(COUNTIFS(Batches!$A$2:$A$301,$F6,Batches!$B$2:$B$301,$D6)+COUNTIFS($F$1:$F5,$F6,$D$1:$D5,$D6,$C$1:$C5,"Receipt")=0,1,0)),0)</f>
        <v>0</v>
      </c>
      <c r="AK6" s="52">
        <f>IF(AND(COUNTA($A6:$L6)&gt;0,$C6="Receipt",$G6=""),1,0)</f>
        <v>0</v>
      </c>
      <c r="AL6" s="52">
        <f>IF(AND(COUNTA($A6:$L6)&gt;0,$G6&lt;&gt;""),IF($N6="ERR",1,0),0)</f>
        <v>0</v>
      </c>
      <c r="AM6" s="52">
        <f>IF(AND(COUNTA($A6:$L6)&gt;0,$H6=""),1,0)</f>
        <v>0</v>
      </c>
      <c r="AN6" s="52">
        <f>IF(AND(COUNTA($A6:$L6)&gt;0,$H6&lt;&gt;""),IF($O6="ERR",1,IF(INT($O6)&lt;&gt;$O6,1,IF(AND(OR($C6="Receipt",$C6="Shipment"),$O6&lt;=0),1,IF(AND($C6="Adjustment",$O6=0),1,0)))),0)</f>
        <v>0</v>
      </c>
      <c r="AO6" s="52">
        <f>IF(AND(COUNTA($A6:$L6)&gt;0,$C6="Receipt",$I6=""),1,0)</f>
        <v>0</v>
      </c>
      <c r="AP6" s="52">
        <f>IF(AND(COUNTA($A6:$L6)&gt;0,$I6&lt;&gt;""),IF(IFERROR(INDEX(Config!$G$15:$G$34,MATCH($I6,Config!$E$15:$E$34,0)),"No")="Yes",0,1),0)</f>
        <v>0</v>
      </c>
      <c r="AQ6" s="52">
        <f>IF(AND(COUNTA($A6:$L6)&gt;0,$C6="Adjustment",$J6=""),1,0)</f>
        <v>0</v>
      </c>
      <c r="AR6" s="52">
        <f>IF(AND(COUNTA($A6:$L6)&gt;0,$L6=""),1,0)</f>
        <v>0</v>
      </c>
      <c r="AS6" s="52">
        <f>IF(AND(COUNTA($A6:$L6)&gt;0,ISNUMBER($S6)),IF($S6&lt;0,1,0),0)</f>
        <v>0</v>
      </c>
      <c r="AT6" s="52">
        <f>$W6</f>
        <v>0</v>
      </c>
      <c r="AU6" s="52">
        <f>$AT6+$X6</f>
        <v>1</v>
      </c>
      <c r="AV6" s="52">
        <f>$AU6+$Y6</f>
        <v>1</v>
      </c>
      <c r="AW6" s="52">
        <f>$AV6+$Z6</f>
        <v>1</v>
      </c>
      <c r="AX6" s="52">
        <f>$AW6+$AA6</f>
        <v>1</v>
      </c>
      <c r="AY6" s="52">
        <f>$AX6+$AB6</f>
        <v>1</v>
      </c>
      <c r="AZ6" s="52">
        <f>$AY6+$AC6</f>
        <v>1</v>
      </c>
      <c r="BA6" s="52">
        <f>$AZ6+$AD6</f>
        <v>1</v>
      </c>
      <c r="BB6" s="52">
        <f>$BA6+$AE6</f>
        <v>1</v>
      </c>
      <c r="BC6" s="52">
        <f>$BB6+$AF6</f>
        <v>1</v>
      </c>
      <c r="BD6" s="52">
        <f>$BC6+$AG6</f>
        <v>1</v>
      </c>
      <c r="BE6" s="52">
        <f>$BD6+$AH6</f>
        <v>1</v>
      </c>
      <c r="BF6" s="52">
        <f>$BE6+$AI6</f>
        <v>1</v>
      </c>
      <c r="BG6" s="52">
        <f>$BF6+$AJ6</f>
        <v>1</v>
      </c>
      <c r="BH6" s="52">
        <f>$BG6+$AK6</f>
        <v>1</v>
      </c>
      <c r="BI6" s="52">
        <f>$BH6+$AL6</f>
        <v>1</v>
      </c>
      <c r="BJ6" s="52">
        <f>$BI6+$AM6</f>
        <v>1</v>
      </c>
      <c r="BK6" s="52">
        <f>$BJ6+$AN6</f>
        <v>1</v>
      </c>
      <c r="BL6" s="52">
        <f>$BK6+$AO6</f>
        <v>1</v>
      </c>
      <c r="BM6" s="52">
        <f>$BL6+$AP6</f>
        <v>1</v>
      </c>
      <c r="BN6" s="52">
        <f>$BM6+$AQ6</f>
        <v>1</v>
      </c>
      <c r="BO6" s="52">
        <f>$BN6+$AR6</f>
        <v>1</v>
      </c>
      <c r="BP6" s="52">
        <f>$BO6+$AS6</f>
        <v>1</v>
      </c>
      <c r="BQ6" s="52">
        <f>SUM($T$1:$T5)</f>
        <v>0</v>
      </c>
      <c r="BR6" s="52">
        <f>IF(ISNUMBER($T6),IF($T6&gt;0,COUNTIF($T$2:$T6,"&gt;0"),""),"")</f>
        <v>1</v>
      </c>
      <c r="BS6" s="52">
        <f>IF($BR6="","",$BQ6+$T6)</f>
        <v>1</v>
      </c>
      <c r="BT6" s="52" t="str">
        <f>IF($U6="Ready",COUNTIF($U$2:$U6,"Ready"),"")</f>
        <v/>
      </c>
      <c r="BU6" s="52">
        <f>IF(AND($U6="Ready",$C6="Receipt"),IF(COUNTIF(Batches!$A$2:$A$301,$F6)+COUNTIFS($F$1:$F5,$F6,$C$1:$C5,"Receipt",$U$1:$U5,"Ready")=0,1,0),0)</f>
        <v>0</v>
      </c>
      <c r="BV6" s="52" t="str">
        <f>IF($BU6=1,SUM($BU$2:$BU6),"")</f>
        <v/>
      </c>
    </row>
    <row r="7">
      <c r="A7" s="61" t="inlineStr">
        <is>
          <t>MV-2610-004</t>
        </is>
      </c>
      <c r="B7" s="61" t="inlineStr">
        <is>
          <t>2026-10-08</t>
        </is>
      </c>
      <c r="C7" s="61" t="inlineStr">
        <is>
          <t>Shipment</t>
        </is>
      </c>
      <c r="D7" s="61" t="inlineStr">
        <is>
          <t>WPI-CHO-5LB</t>
        </is>
      </c>
      <c r="E7" s="61" t="n"/>
      <c r="F7" s="61" t="inlineStr">
        <is>
          <t>W5C2501A</t>
        </is>
      </c>
      <c r="G7" s="61" t="n"/>
      <c r="H7" s="61" t="inlineStr">
        <is>
          <t>16</t>
        </is>
      </c>
      <c r="I7" s="61" t="n"/>
      <c r="J7" s="61" t="n"/>
      <c r="K7" s="61" t="inlineStr">
        <is>
          <t>OB-2610</t>
        </is>
      </c>
      <c r="L7" s="61" t="inlineStr">
        <is>
          <t>https://example.com/3pl/outbound/2026-10</t>
        </is>
      </c>
      <c r="M7" s="62">
        <f>IF($B7="","",IF(ISNUMBER($B7),$B7,IF(AND(LEN($B7)=10,MID($B7,5,1)="-",MID($B7,8,1)="-"),IFERROR(IF(AND(MONTH(DATE(VALUE(LEFT($B7,4)),VALUE(MID($B7,6,2)),VALUE(RIGHT($B7,2))))=VALUE(MID($B7,6,2)),DAY(DATE(VALUE(LEFT($B7,4)),VALUE(MID($B7,6,2)),VALUE(RIGHT($B7,2))))=VALUE(RIGHT($B7,2))),DATE(VALUE(LEFT($B7,4)),VALUE(MID($B7,6,2)),VALUE(RIGHT($B7,2))),"ERR"),"ERR"),"ERR")))</f>
        <v>46303</v>
      </c>
      <c r="N7" s="62" t="str">
        <f>IF($G7="","",IF(ISNUMBER($G7),$G7,IF(AND(LEN($G7)=10,MID($G7,5,1)="-",MID($G7,8,1)="-"),IFERROR(IF(AND(MONTH(DATE(VALUE(LEFT($G7,4)),VALUE(MID($G7,6,2)),VALUE(RIGHT($G7,2))))=VALUE(MID($G7,6,2)),DAY(DATE(VALUE(LEFT($G7,4)),VALUE(MID($G7,6,2)),VALUE(RIGHT($G7,2))))=VALUE(RIGHT($G7,2))),DATE(VALUE(LEFT($G7,4)),VALUE(MID($G7,6,2)),VALUE(RIGHT($G7,2))),"ERR"),"ERR"),"ERR")))</f>
        <v/>
      </c>
      <c r="O7" s="51">
        <f>IF($H7="","",IF(ISNUMBER($H7),$H7,IFERROR(VALUE($H7),"ERR")))</f>
        <v>16</v>
      </c>
      <c r="P7" s="51">
        <f>IF(AND(ISNUMBER($O7),OR($C7="Receipt",$C7="Shipment",$C7="Adjustment")),IF($C7="Shipment",-$O7,$O7),"")</f>
        <v>-16</v>
      </c>
      <c r="Q7" s="51">
        <f>IF($D7="","",IFERROR(INDEX(Products!$R$2:$R$101,MATCH($D7,Products!$A$2:$A$101,0)),""))</f>
        <v>264</v>
      </c>
      <c r="R7" s="51">
        <f>IF(OR($Q7="",$P7=""),"",$Q7+SUMIFS($P$1:$P6,$D$1:$D6,$D7,$U$1:$U6,"Ready"))</f>
        <v>264</v>
      </c>
      <c r="S7" s="51">
        <f>IF($R7="","",$R7+$P7)</f>
        <v>248</v>
      </c>
      <c r="T7" s="52">
        <f>IF(COUNTA($A7:$L7)&gt;0,$BP7,"")</f>
        <v>1</v>
      </c>
      <c r="U7" s="49" t="str">
        <f>IF($T7="","",IF($T7=0,"Ready","Rejected"))</f>
        <v>Rejected</v>
      </c>
      <c r="V7" s="49" t="str">
        <f>IF(OR($T7="",$T7=0),"",INDEX(Config!$D$39:$D$61,MATCH(1,$AT7:$BP7,0))&amp;IF($T7&gt;1," (+"&amp;($T7-1)&amp;" more)",""))</f>
        <v>Duplicate ID</v>
      </c>
      <c r="W7" s="52">
        <f>IF(AND(COUNTA($A7:$L7)&gt;0,$A7=""),1,0)</f>
        <v>0</v>
      </c>
      <c r="X7" s="52">
        <f>IF(AND(COUNTA($A7:$L7)&gt;0,$A7&lt;&gt;""),IF(COUNTIF($A$1:$A6,$A7)&gt;0,1,0),0)</f>
        <v>0</v>
      </c>
      <c r="Y7" s="52">
        <f>IF(AND(COUNTA($A7:$L7)&gt;0,$A7&lt;&gt;""),IF(COUNTIF(Inventory_Ledger!$A$2:$A$2001,$A7)&gt;0,1,0),0)</f>
        <v>1</v>
      </c>
      <c r="Z7" s="52">
        <f>IF(AND(COUNTA($A7:$L7)&gt;0,$B7=""),1,0)</f>
        <v>0</v>
      </c>
      <c r="AA7" s="52">
        <f>IF(AND(COUNTA($A7:$L7)&gt;0,$B7&lt;&gt;""),IF($M7="ERR",1,0),0)</f>
        <v>0</v>
      </c>
      <c r="AB7" s="52">
        <f>IF(AND(COUNTA($A7:$L7)&gt;0,ISNUMBER($M7)),IF($M7&gt;Config!$B$4,1,0),0)</f>
        <v>0</v>
      </c>
      <c r="AC7" s="52">
        <f>IF(AND(COUNTA($A7:$L7)&gt;0,$C7=""),1,0)</f>
        <v>0</v>
      </c>
      <c r="AD7" s="52">
        <f>IF(AND(COUNTA($A7:$L7)&gt;0,$C7&lt;&gt;""),IF(COUNTIF(Config!$A$15:$A$34,$C7)=0,1,0),0)</f>
        <v>0</v>
      </c>
      <c r="AE7" s="52">
        <f>IF(AND(COUNTA($A7:$L7)&gt;0,$D7=""),1,0)</f>
        <v>0</v>
      </c>
      <c r="AF7" s="52">
        <f>IF(AND(COUNTA($A7:$L7)&gt;0,$D7&lt;&gt;""),IF(COUNTIF(Products!$A$2:$A$101,$D7)=0,1,0),0)</f>
        <v>0</v>
      </c>
      <c r="AG7" s="52">
        <f>IF(AND(COUNTA($A7:$L7)&gt;0,$C7="Receipt",$E7=""),1,0)</f>
        <v>0</v>
      </c>
      <c r="AH7" s="52">
        <f>IF(AND(COUNTA($A7:$L7)&gt;0,$E7&lt;&gt;""),IF(COUNTIF(Suppliers!$A$2:$A$51,$E7)=0,1,0),0)</f>
        <v>0</v>
      </c>
      <c r="AI7" s="52">
        <f>IF(AND(COUNTA($A7:$L7)&gt;0,$F7=""),1,0)</f>
        <v>0</v>
      </c>
      <c r="AJ7" s="52">
        <f>IF(AND(COUNTA($A7:$L7)&gt;0,$F7&lt;&gt;"",$D7&lt;&gt;"",OR($C7="Shipment",$C7="Adjustment")),IF($AF7=1,0,IF(COUNTIFS(Batches!$A$2:$A$301,$F7,Batches!$B$2:$B$301,$D7)+COUNTIFS($F$1:$F6,$F7,$D$1:$D6,$D7,$C$1:$C6,"Receipt")=0,1,0)),0)</f>
        <v>0</v>
      </c>
      <c r="AK7" s="52">
        <f>IF(AND(COUNTA($A7:$L7)&gt;0,$C7="Receipt",$G7=""),1,0)</f>
        <v>0</v>
      </c>
      <c r="AL7" s="52">
        <f>IF(AND(COUNTA($A7:$L7)&gt;0,$G7&lt;&gt;""),IF($N7="ERR",1,0),0)</f>
        <v>0</v>
      </c>
      <c r="AM7" s="52">
        <f>IF(AND(COUNTA($A7:$L7)&gt;0,$H7=""),1,0)</f>
        <v>0</v>
      </c>
      <c r="AN7" s="52">
        <f>IF(AND(COUNTA($A7:$L7)&gt;0,$H7&lt;&gt;""),IF($O7="ERR",1,IF(INT($O7)&lt;&gt;$O7,1,IF(AND(OR($C7="Receipt",$C7="Shipment"),$O7&lt;=0),1,IF(AND($C7="Adjustment",$O7=0),1,0)))),0)</f>
        <v>0</v>
      </c>
      <c r="AO7" s="52">
        <f>IF(AND(COUNTA($A7:$L7)&gt;0,$C7="Receipt",$I7=""),1,0)</f>
        <v>0</v>
      </c>
      <c r="AP7" s="52">
        <f>IF(AND(COUNTA($A7:$L7)&gt;0,$I7&lt;&gt;""),IF(IFERROR(INDEX(Config!$G$15:$G$34,MATCH($I7,Config!$E$15:$E$34,0)),"No")="Yes",0,1),0)</f>
        <v>0</v>
      </c>
      <c r="AQ7" s="52">
        <f>IF(AND(COUNTA($A7:$L7)&gt;0,$C7="Adjustment",$J7=""),1,0)</f>
        <v>0</v>
      </c>
      <c r="AR7" s="52">
        <f>IF(AND(COUNTA($A7:$L7)&gt;0,$L7=""),1,0)</f>
        <v>0</v>
      </c>
      <c r="AS7" s="52">
        <f>IF(AND(COUNTA($A7:$L7)&gt;0,ISNUMBER($S7)),IF($S7&lt;0,1,0),0)</f>
        <v>0</v>
      </c>
      <c r="AT7" s="52">
        <f>$W7</f>
        <v>0</v>
      </c>
      <c r="AU7" s="52">
        <f>$AT7+$X7</f>
        <v>0</v>
      </c>
      <c r="AV7" s="52">
        <f>$AU7+$Y7</f>
        <v>1</v>
      </c>
      <c r="AW7" s="52">
        <f>$AV7+$Z7</f>
        <v>1</v>
      </c>
      <c r="AX7" s="52">
        <f>$AW7+$AA7</f>
        <v>1</v>
      </c>
      <c r="AY7" s="52">
        <f>$AX7+$AB7</f>
        <v>1</v>
      </c>
      <c r="AZ7" s="52">
        <f>$AY7+$AC7</f>
        <v>1</v>
      </c>
      <c r="BA7" s="52">
        <f>$AZ7+$AD7</f>
        <v>1</v>
      </c>
      <c r="BB7" s="52">
        <f>$BA7+$AE7</f>
        <v>1</v>
      </c>
      <c r="BC7" s="52">
        <f>$BB7+$AF7</f>
        <v>1</v>
      </c>
      <c r="BD7" s="52">
        <f>$BC7+$AG7</f>
        <v>1</v>
      </c>
      <c r="BE7" s="52">
        <f>$BD7+$AH7</f>
        <v>1</v>
      </c>
      <c r="BF7" s="52">
        <f>$BE7+$AI7</f>
        <v>1</v>
      </c>
      <c r="BG7" s="52">
        <f>$BF7+$AJ7</f>
        <v>1</v>
      </c>
      <c r="BH7" s="52">
        <f>$BG7+$AK7</f>
        <v>1</v>
      </c>
      <c r="BI7" s="52">
        <f>$BH7+$AL7</f>
        <v>1</v>
      </c>
      <c r="BJ7" s="52">
        <f>$BI7+$AM7</f>
        <v>1</v>
      </c>
      <c r="BK7" s="52">
        <f>$BJ7+$AN7</f>
        <v>1</v>
      </c>
      <c r="BL7" s="52">
        <f>$BK7+$AO7</f>
        <v>1</v>
      </c>
      <c r="BM7" s="52">
        <f>$BL7+$AP7</f>
        <v>1</v>
      </c>
      <c r="BN7" s="52">
        <f>$BM7+$AQ7</f>
        <v>1</v>
      </c>
      <c r="BO7" s="52">
        <f>$BN7+$AR7</f>
        <v>1</v>
      </c>
      <c r="BP7" s="52">
        <f>$BO7+$AS7</f>
        <v>1</v>
      </c>
      <c r="BQ7" s="52">
        <f>SUM($T$1:$T6)</f>
        <v>1</v>
      </c>
      <c r="BR7" s="52">
        <f>IF(ISNUMBER($T7),IF($T7&gt;0,COUNTIF($T$2:$T7,"&gt;0"),""),"")</f>
        <v>2</v>
      </c>
      <c r="BS7" s="52">
        <f>IF($BR7="","",$BQ7+$T7)</f>
        <v>2</v>
      </c>
      <c r="BT7" s="52" t="str">
        <f>IF($U7="Ready",COUNTIF($U$2:$U7,"Ready"),"")</f>
        <v/>
      </c>
      <c r="BU7" s="52">
        <f>IF(AND($U7="Ready",$C7="Receipt"),IF(COUNTIF(Batches!$A$2:$A$301,$F7)+COUNTIFS($F$1:$F6,$F7,$C$1:$C6,"Receipt",$U$1:$U6,"Ready")=0,1,0),0)</f>
        <v>0</v>
      </c>
      <c r="BV7" s="52" t="str">
        <f>IF($BU7=1,SUM($BU$2:$BU7),"")</f>
        <v/>
      </c>
    </row>
    <row r="8">
      <c r="A8" s="61" t="inlineStr">
        <is>
          <t>MV-2610-018</t>
        </is>
      </c>
      <c r="B8" s="61" t="inlineStr">
        <is>
          <t>2026-10-13</t>
        </is>
      </c>
      <c r="C8" s="61" t="inlineStr">
        <is>
          <t>Shipment</t>
        </is>
      </c>
      <c r="D8" s="61" t="inlineStr">
        <is>
          <t>WPI-STR-2LB</t>
        </is>
      </c>
      <c r="E8" s="61" t="n"/>
      <c r="F8" s="61" t="inlineStr">
        <is>
          <t>WST2608A</t>
        </is>
      </c>
      <c r="G8" s="61" t="n"/>
      <c r="H8" s="61" t="inlineStr">
        <is>
          <t>30</t>
        </is>
      </c>
      <c r="I8" s="61" t="n"/>
      <c r="J8" s="61" t="n"/>
      <c r="K8" s="61" t="inlineStr">
        <is>
          <t>OB-1013</t>
        </is>
      </c>
      <c r="L8" s="61" t="inlineStr">
        <is>
          <t>https://example.com/3pl/movements/MV-2610-018</t>
        </is>
      </c>
      <c r="M8" s="62">
        <f>IF($B8="","",IF(ISNUMBER($B8),$B8,IF(AND(LEN($B8)=10,MID($B8,5,1)="-",MID($B8,8,1)="-"),IFERROR(IF(AND(MONTH(DATE(VALUE(LEFT($B8,4)),VALUE(MID($B8,6,2)),VALUE(RIGHT($B8,2))))=VALUE(MID($B8,6,2)),DAY(DATE(VALUE(LEFT($B8,4)),VALUE(MID($B8,6,2)),VALUE(RIGHT($B8,2))))=VALUE(RIGHT($B8,2))),DATE(VALUE(LEFT($B8,4)),VALUE(MID($B8,6,2)),VALUE(RIGHT($B8,2))),"ERR"),"ERR"),"ERR")))</f>
        <v>46308</v>
      </c>
      <c r="N8" s="62" t="str">
        <f>IF($G8="","",IF(ISNUMBER($G8),$G8,IF(AND(LEN($G8)=10,MID($G8,5,1)="-",MID($G8,8,1)="-"),IFERROR(IF(AND(MONTH(DATE(VALUE(LEFT($G8,4)),VALUE(MID($G8,6,2)),VALUE(RIGHT($G8,2))))=VALUE(MID($G8,6,2)),DAY(DATE(VALUE(LEFT($G8,4)),VALUE(MID($G8,6,2)),VALUE(RIGHT($G8,2))))=VALUE(RIGHT($G8,2))),DATE(VALUE(LEFT($G8,4)),VALUE(MID($G8,6,2)),VALUE(RIGHT($G8,2))),"ERR"),"ERR"),"ERR")))</f>
        <v/>
      </c>
      <c r="O8" s="51">
        <f>IF($H8="","",IF(ISNUMBER($H8),$H8,IFERROR(VALUE($H8),"ERR")))</f>
        <v>30</v>
      </c>
      <c r="P8" s="51">
        <f>IF(AND(ISNUMBER($O8),OR($C8="Receipt",$C8="Shipment",$C8="Adjustment")),IF($C8="Shipment",-$O8,$O8),"")</f>
        <v>-30</v>
      </c>
      <c r="Q8" s="51" t="str">
        <f>IF($D8="","",IFERROR(INDEX(Products!$R$2:$R$101,MATCH($D8,Products!$A$2:$A$101,0)),""))</f>
        <v/>
      </c>
      <c r="R8" s="51" t="str">
        <f>IF(OR($Q8="",$P8=""),"",$Q8+SUMIFS($P$1:$P7,$D$1:$D7,$D8,$U$1:$U7,"Ready"))</f>
        <v/>
      </c>
      <c r="S8" s="51" t="str">
        <f>IF($R8="","",$R8+$P8)</f>
        <v/>
      </c>
      <c r="T8" s="52">
        <f>IF(COUNTA($A8:$L8)&gt;0,$BP8,"")</f>
        <v>1</v>
      </c>
      <c r="U8" s="49" t="str">
        <f>IF($T8="","",IF($T8=0,"Ready","Rejected"))</f>
        <v>Rejected</v>
      </c>
      <c r="V8" s="49" t="str">
        <f>IF(OR($T8="",$T8=0),"",INDEX(Config!$D$39:$D$61,MATCH(1,$AT8:$BP8,0))&amp;IF($T8&gt;1," (+"&amp;($T8-1)&amp;" more)",""))</f>
        <v>Unknown product</v>
      </c>
      <c r="W8" s="52">
        <f>IF(AND(COUNTA($A8:$L8)&gt;0,$A8=""),1,0)</f>
        <v>0</v>
      </c>
      <c r="X8" s="52">
        <f>IF(AND(COUNTA($A8:$L8)&gt;0,$A8&lt;&gt;""),IF(COUNTIF($A$1:$A7,$A8)&gt;0,1,0),0)</f>
        <v>0</v>
      </c>
      <c r="Y8" s="52">
        <f>IF(AND(COUNTA($A8:$L8)&gt;0,$A8&lt;&gt;""),IF(COUNTIF(Inventory_Ledger!$A$2:$A$2001,$A8)&gt;0,1,0),0)</f>
        <v>0</v>
      </c>
      <c r="Z8" s="52">
        <f>IF(AND(COUNTA($A8:$L8)&gt;0,$B8=""),1,0)</f>
        <v>0</v>
      </c>
      <c r="AA8" s="52">
        <f>IF(AND(COUNTA($A8:$L8)&gt;0,$B8&lt;&gt;""),IF($M8="ERR",1,0),0)</f>
        <v>0</v>
      </c>
      <c r="AB8" s="52">
        <f>IF(AND(COUNTA($A8:$L8)&gt;0,ISNUMBER($M8)),IF($M8&gt;Config!$B$4,1,0),0)</f>
        <v>0</v>
      </c>
      <c r="AC8" s="52">
        <f>IF(AND(COUNTA($A8:$L8)&gt;0,$C8=""),1,0)</f>
        <v>0</v>
      </c>
      <c r="AD8" s="52">
        <f>IF(AND(COUNTA($A8:$L8)&gt;0,$C8&lt;&gt;""),IF(COUNTIF(Config!$A$15:$A$34,$C8)=0,1,0),0)</f>
        <v>0</v>
      </c>
      <c r="AE8" s="52">
        <f>IF(AND(COUNTA($A8:$L8)&gt;0,$D8=""),1,0)</f>
        <v>0</v>
      </c>
      <c r="AF8" s="52">
        <f>IF(AND(COUNTA($A8:$L8)&gt;0,$D8&lt;&gt;""),IF(COUNTIF(Products!$A$2:$A$101,$D8)=0,1,0),0)</f>
        <v>1</v>
      </c>
      <c r="AG8" s="52">
        <f>IF(AND(COUNTA($A8:$L8)&gt;0,$C8="Receipt",$E8=""),1,0)</f>
        <v>0</v>
      </c>
      <c r="AH8" s="52">
        <f>IF(AND(COUNTA($A8:$L8)&gt;0,$E8&lt;&gt;""),IF(COUNTIF(Suppliers!$A$2:$A$51,$E8)=0,1,0),0)</f>
        <v>0</v>
      </c>
      <c r="AI8" s="52">
        <f>IF(AND(COUNTA($A8:$L8)&gt;0,$F8=""),1,0)</f>
        <v>0</v>
      </c>
      <c r="AJ8" s="52">
        <f>IF(AND(COUNTA($A8:$L8)&gt;0,$F8&lt;&gt;"",$D8&lt;&gt;"",OR($C8="Shipment",$C8="Adjustment")),IF($AF8=1,0,IF(COUNTIFS(Batches!$A$2:$A$301,$F8,Batches!$B$2:$B$301,$D8)+COUNTIFS($F$1:$F7,$F8,$D$1:$D7,$D8,$C$1:$C7,"Receipt")=0,1,0)),0)</f>
        <v>0</v>
      </c>
      <c r="AK8" s="52">
        <f>IF(AND(COUNTA($A8:$L8)&gt;0,$C8="Receipt",$G8=""),1,0)</f>
        <v>0</v>
      </c>
      <c r="AL8" s="52">
        <f>IF(AND(COUNTA($A8:$L8)&gt;0,$G8&lt;&gt;""),IF($N8="ERR",1,0),0)</f>
        <v>0</v>
      </c>
      <c r="AM8" s="52">
        <f>IF(AND(COUNTA($A8:$L8)&gt;0,$H8=""),1,0)</f>
        <v>0</v>
      </c>
      <c r="AN8" s="52">
        <f>IF(AND(COUNTA($A8:$L8)&gt;0,$H8&lt;&gt;""),IF($O8="ERR",1,IF(INT($O8)&lt;&gt;$O8,1,IF(AND(OR($C8="Receipt",$C8="Shipment"),$O8&lt;=0),1,IF(AND($C8="Adjustment",$O8=0),1,0)))),0)</f>
        <v>0</v>
      </c>
      <c r="AO8" s="52">
        <f>IF(AND(COUNTA($A8:$L8)&gt;0,$C8="Receipt",$I8=""),1,0)</f>
        <v>0</v>
      </c>
      <c r="AP8" s="52">
        <f>IF(AND(COUNTA($A8:$L8)&gt;0,$I8&lt;&gt;""),IF(IFERROR(INDEX(Config!$G$15:$G$34,MATCH($I8,Config!$E$15:$E$34,0)),"No")="Yes",0,1),0)</f>
        <v>0</v>
      </c>
      <c r="AQ8" s="52">
        <f>IF(AND(COUNTA($A8:$L8)&gt;0,$C8="Adjustment",$J8=""),1,0)</f>
        <v>0</v>
      </c>
      <c r="AR8" s="52">
        <f>IF(AND(COUNTA($A8:$L8)&gt;0,$L8=""),1,0)</f>
        <v>0</v>
      </c>
      <c r="AS8" s="52">
        <f>IF(AND(COUNTA($A8:$L8)&gt;0,ISNUMBER($S8)),IF($S8&lt;0,1,0),0)</f>
        <v>0</v>
      </c>
      <c r="AT8" s="52">
        <f>$W8</f>
        <v>0</v>
      </c>
      <c r="AU8" s="52">
        <f>$AT8+$X8</f>
        <v>0</v>
      </c>
      <c r="AV8" s="52">
        <f>$AU8+$Y8</f>
        <v>0</v>
      </c>
      <c r="AW8" s="52">
        <f>$AV8+$Z8</f>
        <v>0</v>
      </c>
      <c r="AX8" s="52">
        <f>$AW8+$AA8</f>
        <v>0</v>
      </c>
      <c r="AY8" s="52">
        <f>$AX8+$AB8</f>
        <v>0</v>
      </c>
      <c r="AZ8" s="52">
        <f>$AY8+$AC8</f>
        <v>0</v>
      </c>
      <c r="BA8" s="52">
        <f>$AZ8+$AD8</f>
        <v>0</v>
      </c>
      <c r="BB8" s="52">
        <f>$BA8+$AE8</f>
        <v>0</v>
      </c>
      <c r="BC8" s="52">
        <f>$BB8+$AF8</f>
        <v>1</v>
      </c>
      <c r="BD8" s="52">
        <f>$BC8+$AG8</f>
        <v>1</v>
      </c>
      <c r="BE8" s="52">
        <f>$BD8+$AH8</f>
        <v>1</v>
      </c>
      <c r="BF8" s="52">
        <f>$BE8+$AI8</f>
        <v>1</v>
      </c>
      <c r="BG8" s="52">
        <f>$BF8+$AJ8</f>
        <v>1</v>
      </c>
      <c r="BH8" s="52">
        <f>$BG8+$AK8</f>
        <v>1</v>
      </c>
      <c r="BI8" s="52">
        <f>$BH8+$AL8</f>
        <v>1</v>
      </c>
      <c r="BJ8" s="52">
        <f>$BI8+$AM8</f>
        <v>1</v>
      </c>
      <c r="BK8" s="52">
        <f>$BJ8+$AN8</f>
        <v>1</v>
      </c>
      <c r="BL8" s="52">
        <f>$BK8+$AO8</f>
        <v>1</v>
      </c>
      <c r="BM8" s="52">
        <f>$BL8+$AP8</f>
        <v>1</v>
      </c>
      <c r="BN8" s="52">
        <f>$BM8+$AQ8</f>
        <v>1</v>
      </c>
      <c r="BO8" s="52">
        <f>$BN8+$AR8</f>
        <v>1</v>
      </c>
      <c r="BP8" s="52">
        <f>$BO8+$AS8</f>
        <v>1</v>
      </c>
      <c r="BQ8" s="52">
        <f>SUM($T$1:$T7)</f>
        <v>2</v>
      </c>
      <c r="BR8" s="52">
        <f>IF(ISNUMBER($T8),IF($T8&gt;0,COUNTIF($T$2:$T8,"&gt;0"),""),"")</f>
        <v>3</v>
      </c>
      <c r="BS8" s="52">
        <f>IF($BR8="","",$BQ8+$T8)</f>
        <v>3</v>
      </c>
      <c r="BT8" s="52" t="str">
        <f>IF($U8="Ready",COUNTIF($U$2:$U8,"Ready"),"")</f>
        <v/>
      </c>
      <c r="BU8" s="52">
        <f>IF(AND($U8="Ready",$C8="Receipt"),IF(COUNTIF(Batches!$A$2:$A$301,$F8)+COUNTIFS($F$1:$F7,$F8,$C$1:$C7,"Receipt",$U$1:$U7,"Ready")=0,1,0),0)</f>
        <v>0</v>
      </c>
      <c r="BV8" s="52" t="str">
        <f>IF($BU8=1,SUM($BU$2:$BU8),"")</f>
        <v/>
      </c>
    </row>
    <row r="9">
      <c r="A9" s="61" t="inlineStr">
        <is>
          <t>MV-2610-019</t>
        </is>
      </c>
      <c r="B9" s="61" t="inlineStr">
        <is>
          <t>2026-10-14</t>
        </is>
      </c>
      <c r="C9" s="61" t="inlineStr">
        <is>
          <t>Receipt</t>
        </is>
      </c>
      <c r="D9" s="61" t="inlineStr">
        <is>
          <t>CAS-CHO-2LB</t>
        </is>
      </c>
      <c r="E9" s="61" t="inlineStr">
        <is>
          <t>SUP-09</t>
        </is>
      </c>
      <c r="F9" s="61" t="inlineStr">
        <is>
          <t>CCA2610A</t>
        </is>
      </c>
      <c r="G9" s="61" t="inlineStr">
        <is>
          <t>2028-02-30</t>
        </is>
      </c>
      <c r="H9" s="61" t="inlineStr">
        <is>
          <t>360</t>
        </is>
      </c>
      <c r="I9" s="61" t="inlineStr">
        <is>
          <t>Released</t>
        </is>
      </c>
      <c r="J9" s="61" t="n"/>
      <c r="K9" s="61" t="inlineStr">
        <is>
          <t>PO-2026-032</t>
        </is>
      </c>
      <c r="L9" s="61" t="inlineStr">
        <is>
          <t>https://example.com/3pl/movements/MV-2610-019</t>
        </is>
      </c>
      <c r="M9" s="62">
        <f>IF($B9="","",IF(ISNUMBER($B9),$B9,IF(AND(LEN($B9)=10,MID($B9,5,1)="-",MID($B9,8,1)="-"),IFERROR(IF(AND(MONTH(DATE(VALUE(LEFT($B9,4)),VALUE(MID($B9,6,2)),VALUE(RIGHT($B9,2))))=VALUE(MID($B9,6,2)),DAY(DATE(VALUE(LEFT($B9,4)),VALUE(MID($B9,6,2)),VALUE(RIGHT($B9,2))))=VALUE(RIGHT($B9,2))),DATE(VALUE(LEFT($B9,4)),VALUE(MID($B9,6,2)),VALUE(RIGHT($B9,2))),"ERR"),"ERR"),"ERR")))</f>
        <v>46309</v>
      </c>
      <c r="N9" s="62" t="str">
        <f>IF($G9="","",IF(ISNUMBER($G9),$G9,IF(AND(LEN($G9)=10,MID($G9,5,1)="-",MID($G9,8,1)="-"),IFERROR(IF(AND(MONTH(DATE(VALUE(LEFT($G9,4)),VALUE(MID($G9,6,2)),VALUE(RIGHT($G9,2))))=VALUE(MID($G9,6,2)),DAY(DATE(VALUE(LEFT($G9,4)),VALUE(MID($G9,6,2)),VALUE(RIGHT($G9,2))))=VALUE(RIGHT($G9,2))),DATE(VALUE(LEFT($G9,4)),VALUE(MID($G9,6,2)),VALUE(RIGHT($G9,2))),"ERR"),"ERR"),"ERR")))</f>
        <v>ERR</v>
      </c>
      <c r="O9" s="51">
        <f>IF($H9="","",IF(ISNUMBER($H9),$H9,IFERROR(VALUE($H9),"ERR")))</f>
        <v>360</v>
      </c>
      <c r="P9" s="51">
        <f>IF(AND(ISNUMBER($O9),OR($C9="Receipt",$C9="Shipment",$C9="Adjustment")),IF($C9="Shipment",-$O9,$O9),"")</f>
        <v>360</v>
      </c>
      <c r="Q9" s="51">
        <f>IF($D9="","",IFERROR(INDEX(Products!$R$2:$R$101,MATCH($D9,Products!$A$2:$A$101,0)),""))</f>
        <v>200</v>
      </c>
      <c r="R9" s="51">
        <f>IF(OR($Q9="",$P9=""),"",$Q9+SUMIFS($P$1:$P8,$D$1:$D8,$D9,$U$1:$U8,"Ready"))</f>
        <v>200</v>
      </c>
      <c r="S9" s="51">
        <f>IF($R9="","",$R9+$P9)</f>
        <v>560</v>
      </c>
      <c r="T9" s="52">
        <f>IF(COUNTA($A9:$L9)&gt;0,$BP9,"")</f>
        <v>2</v>
      </c>
      <c r="U9" s="49" t="str">
        <f>IF($T9="","",IF($T9=0,"Ready","Rejected"))</f>
        <v>Rejected</v>
      </c>
      <c r="V9" s="49" t="str">
        <f>IF(OR($T9="",$T9=0),"",INDEX(Config!$D$39:$D$61,MATCH(1,$AT9:$BP9,0))&amp;IF($T9&gt;1," (+"&amp;($T9-1)&amp;" more)",""))</f>
        <v>Unknown supplier (+1 more)</v>
      </c>
      <c r="W9" s="52">
        <f>IF(AND(COUNTA($A9:$L9)&gt;0,$A9=""),1,0)</f>
        <v>0</v>
      </c>
      <c r="X9" s="52">
        <f>IF(AND(COUNTA($A9:$L9)&gt;0,$A9&lt;&gt;""),IF(COUNTIF($A$1:$A8,$A9)&gt;0,1,0),0)</f>
        <v>0</v>
      </c>
      <c r="Y9" s="52">
        <f>IF(AND(COUNTA($A9:$L9)&gt;0,$A9&lt;&gt;""),IF(COUNTIF(Inventory_Ledger!$A$2:$A$2001,$A9)&gt;0,1,0),0)</f>
        <v>0</v>
      </c>
      <c r="Z9" s="52">
        <f>IF(AND(COUNTA($A9:$L9)&gt;0,$B9=""),1,0)</f>
        <v>0</v>
      </c>
      <c r="AA9" s="52">
        <f>IF(AND(COUNTA($A9:$L9)&gt;0,$B9&lt;&gt;""),IF($M9="ERR",1,0),0)</f>
        <v>0</v>
      </c>
      <c r="AB9" s="52">
        <f>IF(AND(COUNTA($A9:$L9)&gt;0,ISNUMBER($M9)),IF($M9&gt;Config!$B$4,1,0),0)</f>
        <v>0</v>
      </c>
      <c r="AC9" s="52">
        <f>IF(AND(COUNTA($A9:$L9)&gt;0,$C9=""),1,0)</f>
        <v>0</v>
      </c>
      <c r="AD9" s="52">
        <f>IF(AND(COUNTA($A9:$L9)&gt;0,$C9&lt;&gt;""),IF(COUNTIF(Config!$A$15:$A$34,$C9)=0,1,0),0)</f>
        <v>0</v>
      </c>
      <c r="AE9" s="52">
        <f>IF(AND(COUNTA($A9:$L9)&gt;0,$D9=""),1,0)</f>
        <v>0</v>
      </c>
      <c r="AF9" s="52">
        <f>IF(AND(COUNTA($A9:$L9)&gt;0,$D9&lt;&gt;""),IF(COUNTIF(Products!$A$2:$A$101,$D9)=0,1,0),0)</f>
        <v>0</v>
      </c>
      <c r="AG9" s="52">
        <f>IF(AND(COUNTA($A9:$L9)&gt;0,$C9="Receipt",$E9=""),1,0)</f>
        <v>0</v>
      </c>
      <c r="AH9" s="52">
        <f>IF(AND(COUNTA($A9:$L9)&gt;0,$E9&lt;&gt;""),IF(COUNTIF(Suppliers!$A$2:$A$51,$E9)=0,1,0),0)</f>
        <v>1</v>
      </c>
      <c r="AI9" s="52">
        <f>IF(AND(COUNTA($A9:$L9)&gt;0,$F9=""),1,0)</f>
        <v>0</v>
      </c>
      <c r="AJ9" s="52">
        <f>IF(AND(COUNTA($A9:$L9)&gt;0,$F9&lt;&gt;"",$D9&lt;&gt;"",OR($C9="Shipment",$C9="Adjustment")),IF($AF9=1,0,IF(COUNTIFS(Batches!$A$2:$A$301,$F9,Batches!$B$2:$B$301,$D9)+COUNTIFS($F$1:$F8,$F9,$D$1:$D8,$D9,$C$1:$C8,"Receipt")=0,1,0)),0)</f>
        <v>0</v>
      </c>
      <c r="AK9" s="52">
        <f>IF(AND(COUNTA($A9:$L9)&gt;0,$C9="Receipt",$G9=""),1,0)</f>
        <v>0</v>
      </c>
      <c r="AL9" s="52">
        <f>IF(AND(COUNTA($A9:$L9)&gt;0,$G9&lt;&gt;""),IF($N9="ERR",1,0),0)</f>
        <v>1</v>
      </c>
      <c r="AM9" s="52">
        <f>IF(AND(COUNTA($A9:$L9)&gt;0,$H9=""),1,0)</f>
        <v>0</v>
      </c>
      <c r="AN9" s="52">
        <f>IF(AND(COUNTA($A9:$L9)&gt;0,$H9&lt;&gt;""),IF($O9="ERR",1,IF(INT($O9)&lt;&gt;$O9,1,IF(AND(OR($C9="Receipt",$C9="Shipment"),$O9&lt;=0),1,IF(AND($C9="Adjustment",$O9=0),1,0)))),0)</f>
        <v>0</v>
      </c>
      <c r="AO9" s="52">
        <f>IF(AND(COUNTA($A9:$L9)&gt;0,$C9="Receipt",$I9=""),1,0)</f>
        <v>0</v>
      </c>
      <c r="AP9" s="52">
        <f>IF(AND(COUNTA($A9:$L9)&gt;0,$I9&lt;&gt;""),IF(IFERROR(INDEX(Config!$G$15:$G$34,MATCH($I9,Config!$E$15:$E$34,0)),"No")="Yes",0,1),0)</f>
        <v>0</v>
      </c>
      <c r="AQ9" s="52">
        <f>IF(AND(COUNTA($A9:$L9)&gt;0,$C9="Adjustment",$J9=""),1,0)</f>
        <v>0</v>
      </c>
      <c r="AR9" s="52">
        <f>IF(AND(COUNTA($A9:$L9)&gt;0,$L9=""),1,0)</f>
        <v>0</v>
      </c>
      <c r="AS9" s="52">
        <f>IF(AND(COUNTA($A9:$L9)&gt;0,ISNUMBER($S9)),IF($S9&lt;0,1,0),0)</f>
        <v>0</v>
      </c>
      <c r="AT9" s="52">
        <f>$W9</f>
        <v>0</v>
      </c>
      <c r="AU9" s="52">
        <f>$AT9+$X9</f>
        <v>0</v>
      </c>
      <c r="AV9" s="52">
        <f>$AU9+$Y9</f>
        <v>0</v>
      </c>
      <c r="AW9" s="52">
        <f>$AV9+$Z9</f>
        <v>0</v>
      </c>
      <c r="AX9" s="52">
        <f>$AW9+$AA9</f>
        <v>0</v>
      </c>
      <c r="AY9" s="52">
        <f>$AX9+$AB9</f>
        <v>0</v>
      </c>
      <c r="AZ9" s="52">
        <f>$AY9+$AC9</f>
        <v>0</v>
      </c>
      <c r="BA9" s="52">
        <f>$AZ9+$AD9</f>
        <v>0</v>
      </c>
      <c r="BB9" s="52">
        <f>$BA9+$AE9</f>
        <v>0</v>
      </c>
      <c r="BC9" s="52">
        <f>$BB9+$AF9</f>
        <v>0</v>
      </c>
      <c r="BD9" s="52">
        <f>$BC9+$AG9</f>
        <v>0</v>
      </c>
      <c r="BE9" s="52">
        <f>$BD9+$AH9</f>
        <v>1</v>
      </c>
      <c r="BF9" s="52">
        <f>$BE9+$AI9</f>
        <v>1</v>
      </c>
      <c r="BG9" s="52">
        <f>$BF9+$AJ9</f>
        <v>1</v>
      </c>
      <c r="BH9" s="52">
        <f>$BG9+$AK9</f>
        <v>1</v>
      </c>
      <c r="BI9" s="52">
        <f>$BH9+$AL9</f>
        <v>2</v>
      </c>
      <c r="BJ9" s="52">
        <f>$BI9+$AM9</f>
        <v>2</v>
      </c>
      <c r="BK9" s="52">
        <f>$BJ9+$AN9</f>
        <v>2</v>
      </c>
      <c r="BL9" s="52">
        <f>$BK9+$AO9</f>
        <v>2</v>
      </c>
      <c r="BM9" s="52">
        <f>$BL9+$AP9</f>
        <v>2</v>
      </c>
      <c r="BN9" s="52">
        <f>$BM9+$AQ9</f>
        <v>2</v>
      </c>
      <c r="BO9" s="52">
        <f>$BN9+$AR9</f>
        <v>2</v>
      </c>
      <c r="BP9" s="52">
        <f>$BO9+$AS9</f>
        <v>2</v>
      </c>
      <c r="BQ9" s="52">
        <f>SUM($T$1:$T8)</f>
        <v>3</v>
      </c>
      <c r="BR9" s="52">
        <f>IF(ISNUMBER($T9),IF($T9&gt;0,COUNTIF($T$2:$T9,"&gt;0"),""),"")</f>
        <v>4</v>
      </c>
      <c r="BS9" s="52">
        <f>IF($BR9="","",$BQ9+$T9)</f>
        <v>5</v>
      </c>
      <c r="BT9" s="52" t="str">
        <f>IF($U9="Ready",COUNTIF($U$2:$U9,"Ready"),"")</f>
        <v/>
      </c>
      <c r="BU9" s="52">
        <f>IF(AND($U9="Ready",$C9="Receipt"),IF(COUNTIF(Batches!$A$2:$A$301,$F9)+COUNTIFS($F$1:$F8,$F9,$C$1:$C8,"Receipt",$U$1:$U8,"Ready")=0,1,0),0)</f>
        <v>0</v>
      </c>
      <c r="BV9" s="52" t="str">
        <f>IF($BU9=1,SUM($BU$2:$BU9),"")</f>
        <v/>
      </c>
    </row>
    <row r="10">
      <c r="A10" s="61" t="inlineStr">
        <is>
          <t>MV-2610-020</t>
        </is>
      </c>
      <c r="B10" s="61" t="inlineStr">
        <is>
          <t>2026-09-31</t>
        </is>
      </c>
      <c r="C10" s="61" t="inlineStr">
        <is>
          <t>Shipment</t>
        </is>
      </c>
      <c r="D10" s="61" t="inlineStr">
        <is>
          <t>PLT-VAN-2LB</t>
        </is>
      </c>
      <c r="E10" s="61" t="n"/>
      <c r="F10" s="61" t="inlineStr">
        <is>
          <t>PVA2411A</t>
        </is>
      </c>
      <c r="G10" s="61" t="n"/>
      <c r="H10" s="61" t="inlineStr">
        <is>
          <t>25</t>
        </is>
      </c>
      <c r="I10" s="61" t="n"/>
      <c r="J10" s="61" t="n"/>
      <c r="K10" s="61" t="inlineStr">
        <is>
          <t>OB-0931</t>
        </is>
      </c>
      <c r="L10" s="61" t="inlineStr">
        <is>
          <t>https://example.com/3pl/movements/MV-2610-020</t>
        </is>
      </c>
      <c r="M10" s="62" t="str">
        <f>IF($B10="","",IF(ISNUMBER($B10),$B10,IF(AND(LEN($B10)=10,MID($B10,5,1)="-",MID($B10,8,1)="-"),IFERROR(IF(AND(MONTH(DATE(VALUE(LEFT($B10,4)),VALUE(MID($B10,6,2)),VALUE(RIGHT($B10,2))))=VALUE(MID($B10,6,2)),DAY(DATE(VALUE(LEFT($B10,4)),VALUE(MID($B10,6,2)),VALUE(RIGHT($B10,2))))=VALUE(RIGHT($B10,2))),DATE(VALUE(LEFT($B10,4)),VALUE(MID($B10,6,2)),VALUE(RIGHT($B10,2))),"ERR"),"ERR"),"ERR")))</f>
        <v>ERR</v>
      </c>
      <c r="N10" s="62" t="str">
        <f>IF($G10="","",IF(ISNUMBER($G10),$G10,IF(AND(LEN($G10)=10,MID($G10,5,1)="-",MID($G10,8,1)="-"),IFERROR(IF(AND(MONTH(DATE(VALUE(LEFT($G10,4)),VALUE(MID($G10,6,2)),VALUE(RIGHT($G10,2))))=VALUE(MID($G10,6,2)),DAY(DATE(VALUE(LEFT($G10,4)),VALUE(MID($G10,6,2)),VALUE(RIGHT($G10,2))))=VALUE(RIGHT($G10,2))),DATE(VALUE(LEFT($G10,4)),VALUE(MID($G10,6,2)),VALUE(RIGHT($G10,2))),"ERR"),"ERR"),"ERR")))</f>
        <v/>
      </c>
      <c r="O10" s="51">
        <f>IF($H10="","",IF(ISNUMBER($H10),$H10,IFERROR(VALUE($H10),"ERR")))</f>
        <v>25</v>
      </c>
      <c r="P10" s="51">
        <f>IF(AND(ISNUMBER($O10),OR($C10="Receipt",$C10="Shipment",$C10="Adjustment")),IF($C10="Shipment",-$O10,$O10),"")</f>
        <v>-25</v>
      </c>
      <c r="Q10" s="51">
        <f>IF($D10="","",IFERROR(INDEX(Products!$R$2:$R$101,MATCH($D10,Products!$A$2:$A$101,0)),""))</f>
        <v>133</v>
      </c>
      <c r="R10" s="51">
        <f>IF(OR($Q10="",$P10=""),"",$Q10+SUMIFS($P$1:$P9,$D$1:$D9,$D10,$U$1:$U9,"Ready"))</f>
        <v>133</v>
      </c>
      <c r="S10" s="51">
        <f>IF($R10="","",$R10+$P10)</f>
        <v>108</v>
      </c>
      <c r="T10" s="52">
        <f>IF(COUNTA($A10:$L10)&gt;0,$BP10,"")</f>
        <v>1</v>
      </c>
      <c r="U10" s="49" t="str">
        <f>IF($T10="","",IF($T10=0,"Ready","Rejected"))</f>
        <v>Rejected</v>
      </c>
      <c r="V10" s="49" t="str">
        <f>IF(OR($T10="",$T10=0),"",INDEX(Config!$D$39:$D$61,MATCH(1,$AT10:$BP10,0))&amp;IF($T10&gt;1," (+"&amp;($T10-1)&amp;" more)",""))</f>
        <v>Invalid date</v>
      </c>
      <c r="W10" s="52">
        <f>IF(AND(COUNTA($A10:$L10)&gt;0,$A10=""),1,0)</f>
        <v>0</v>
      </c>
      <c r="X10" s="52">
        <f>IF(AND(COUNTA($A10:$L10)&gt;0,$A10&lt;&gt;""),IF(COUNTIF($A$1:$A9,$A10)&gt;0,1,0),0)</f>
        <v>0</v>
      </c>
      <c r="Y10" s="52">
        <f>IF(AND(COUNTA($A10:$L10)&gt;0,$A10&lt;&gt;""),IF(COUNTIF(Inventory_Ledger!$A$2:$A$2001,$A10)&gt;0,1,0),0)</f>
        <v>0</v>
      </c>
      <c r="Z10" s="52">
        <f>IF(AND(COUNTA($A10:$L10)&gt;0,$B10=""),1,0)</f>
        <v>0</v>
      </c>
      <c r="AA10" s="52">
        <f>IF(AND(COUNTA($A10:$L10)&gt;0,$B10&lt;&gt;""),IF($M10="ERR",1,0),0)</f>
        <v>1</v>
      </c>
      <c r="AB10" s="52">
        <f>IF(AND(COUNTA($A10:$L10)&gt;0,ISNUMBER($M10)),IF($M10&gt;Config!$B$4,1,0),0)</f>
        <v>0</v>
      </c>
      <c r="AC10" s="52">
        <f>IF(AND(COUNTA($A10:$L10)&gt;0,$C10=""),1,0)</f>
        <v>0</v>
      </c>
      <c r="AD10" s="52">
        <f>IF(AND(COUNTA($A10:$L10)&gt;0,$C10&lt;&gt;""),IF(COUNTIF(Config!$A$15:$A$34,$C10)=0,1,0),0)</f>
        <v>0</v>
      </c>
      <c r="AE10" s="52">
        <f>IF(AND(COUNTA($A10:$L10)&gt;0,$D10=""),1,0)</f>
        <v>0</v>
      </c>
      <c r="AF10" s="52">
        <f>IF(AND(COUNTA($A10:$L10)&gt;0,$D10&lt;&gt;""),IF(COUNTIF(Products!$A$2:$A$101,$D10)=0,1,0),0)</f>
        <v>0</v>
      </c>
      <c r="AG10" s="52">
        <f>IF(AND(COUNTA($A10:$L10)&gt;0,$C10="Receipt",$E10=""),1,0)</f>
        <v>0</v>
      </c>
      <c r="AH10" s="52">
        <f>IF(AND(COUNTA($A10:$L10)&gt;0,$E10&lt;&gt;""),IF(COUNTIF(Suppliers!$A$2:$A$51,$E10)=0,1,0),0)</f>
        <v>0</v>
      </c>
      <c r="AI10" s="52">
        <f>IF(AND(COUNTA($A10:$L10)&gt;0,$F10=""),1,0)</f>
        <v>0</v>
      </c>
      <c r="AJ10" s="52">
        <f>IF(AND(COUNTA($A10:$L10)&gt;0,$F10&lt;&gt;"",$D10&lt;&gt;"",OR($C10="Shipment",$C10="Adjustment")),IF($AF10=1,0,IF(COUNTIFS(Batches!$A$2:$A$301,$F10,Batches!$B$2:$B$301,$D10)+COUNTIFS($F$1:$F9,$F10,$D$1:$D9,$D10,$C$1:$C9,"Receipt")=0,1,0)),0)</f>
        <v>0</v>
      </c>
      <c r="AK10" s="52">
        <f>IF(AND(COUNTA($A10:$L10)&gt;0,$C10="Receipt",$G10=""),1,0)</f>
        <v>0</v>
      </c>
      <c r="AL10" s="52">
        <f>IF(AND(COUNTA($A10:$L10)&gt;0,$G10&lt;&gt;""),IF($N10="ERR",1,0),0)</f>
        <v>0</v>
      </c>
      <c r="AM10" s="52">
        <f>IF(AND(COUNTA($A10:$L10)&gt;0,$H10=""),1,0)</f>
        <v>0</v>
      </c>
      <c r="AN10" s="52">
        <f>IF(AND(COUNTA($A10:$L10)&gt;0,$H10&lt;&gt;""),IF($O10="ERR",1,IF(INT($O10)&lt;&gt;$O10,1,IF(AND(OR($C10="Receipt",$C10="Shipment"),$O10&lt;=0),1,IF(AND($C10="Adjustment",$O10=0),1,0)))),0)</f>
        <v>0</v>
      </c>
      <c r="AO10" s="52">
        <f>IF(AND(COUNTA($A10:$L10)&gt;0,$C10="Receipt",$I10=""),1,0)</f>
        <v>0</v>
      </c>
      <c r="AP10" s="52">
        <f>IF(AND(COUNTA($A10:$L10)&gt;0,$I10&lt;&gt;""),IF(IFERROR(INDEX(Config!$G$15:$G$34,MATCH($I10,Config!$E$15:$E$34,0)),"No")="Yes",0,1),0)</f>
        <v>0</v>
      </c>
      <c r="AQ10" s="52">
        <f>IF(AND(COUNTA($A10:$L10)&gt;0,$C10="Adjustment",$J10=""),1,0)</f>
        <v>0</v>
      </c>
      <c r="AR10" s="52">
        <f>IF(AND(COUNTA($A10:$L10)&gt;0,$L10=""),1,0)</f>
        <v>0</v>
      </c>
      <c r="AS10" s="52">
        <f>IF(AND(COUNTA($A10:$L10)&gt;0,ISNUMBER($S10)),IF($S10&lt;0,1,0),0)</f>
        <v>0</v>
      </c>
      <c r="AT10" s="52">
        <f>$W10</f>
        <v>0</v>
      </c>
      <c r="AU10" s="52">
        <f>$AT10+$X10</f>
        <v>0</v>
      </c>
      <c r="AV10" s="52">
        <f>$AU10+$Y10</f>
        <v>0</v>
      </c>
      <c r="AW10" s="52">
        <f>$AV10+$Z10</f>
        <v>0</v>
      </c>
      <c r="AX10" s="52">
        <f>$AW10+$AA10</f>
        <v>1</v>
      </c>
      <c r="AY10" s="52">
        <f>$AX10+$AB10</f>
        <v>1</v>
      </c>
      <c r="AZ10" s="52">
        <f>$AY10+$AC10</f>
        <v>1</v>
      </c>
      <c r="BA10" s="52">
        <f>$AZ10+$AD10</f>
        <v>1</v>
      </c>
      <c r="BB10" s="52">
        <f>$BA10+$AE10</f>
        <v>1</v>
      </c>
      <c r="BC10" s="52">
        <f>$BB10+$AF10</f>
        <v>1</v>
      </c>
      <c r="BD10" s="52">
        <f>$BC10+$AG10</f>
        <v>1</v>
      </c>
      <c r="BE10" s="52">
        <f>$BD10+$AH10</f>
        <v>1</v>
      </c>
      <c r="BF10" s="52">
        <f>$BE10+$AI10</f>
        <v>1</v>
      </c>
      <c r="BG10" s="52">
        <f>$BF10+$AJ10</f>
        <v>1</v>
      </c>
      <c r="BH10" s="52">
        <f>$BG10+$AK10</f>
        <v>1</v>
      </c>
      <c r="BI10" s="52">
        <f>$BH10+$AL10</f>
        <v>1</v>
      </c>
      <c r="BJ10" s="52">
        <f>$BI10+$AM10</f>
        <v>1</v>
      </c>
      <c r="BK10" s="52">
        <f>$BJ10+$AN10</f>
        <v>1</v>
      </c>
      <c r="BL10" s="52">
        <f>$BK10+$AO10</f>
        <v>1</v>
      </c>
      <c r="BM10" s="52">
        <f>$BL10+$AP10</f>
        <v>1</v>
      </c>
      <c r="BN10" s="52">
        <f>$BM10+$AQ10</f>
        <v>1</v>
      </c>
      <c r="BO10" s="52">
        <f>$BN10+$AR10</f>
        <v>1</v>
      </c>
      <c r="BP10" s="52">
        <f>$BO10+$AS10</f>
        <v>1</v>
      </c>
      <c r="BQ10" s="52">
        <f>SUM($T$1:$T9)</f>
        <v>5</v>
      </c>
      <c r="BR10" s="52">
        <f>IF(ISNUMBER($T10),IF($T10&gt;0,COUNTIF($T$2:$T10,"&gt;0"),""),"")</f>
        <v>5</v>
      </c>
      <c r="BS10" s="52">
        <f>IF($BR10="","",$BQ10+$T10)</f>
        <v>6</v>
      </c>
      <c r="BT10" s="52" t="str">
        <f>IF($U10="Ready",COUNTIF($U$2:$U10,"Ready"),"")</f>
        <v/>
      </c>
      <c r="BU10" s="52">
        <f>IF(AND($U10="Ready",$C10="Receipt"),IF(COUNTIF(Batches!$A$2:$A$301,$F10)+COUNTIFS($F$1:$F9,$F10,$C$1:$C9,"Receipt",$U$1:$U9,"Ready")=0,1,0),0)</f>
        <v>0</v>
      </c>
      <c r="BV10" s="52" t="str">
        <f>IF($BU10=1,SUM($BU$2:$BU10),"")</f>
        <v/>
      </c>
    </row>
    <row r="11">
      <c r="A11" s="61" t="inlineStr">
        <is>
          <t>MV-2610-021</t>
        </is>
      </c>
      <c r="B11" s="61" t="inlineStr">
        <is>
          <t>2026-10-14</t>
        </is>
      </c>
      <c r="C11" s="61" t="inlineStr">
        <is>
          <t>Adjustment</t>
        </is>
      </c>
      <c r="D11" s="61" t="inlineStr">
        <is>
          <t>CRE-UNF-500G</t>
        </is>
      </c>
      <c r="E11" s="61" t="n"/>
      <c r="F11" s="61" t="inlineStr">
        <is>
          <t>CRL2504A</t>
        </is>
      </c>
      <c r="G11" s="61" t="n"/>
      <c r="H11" s="61" t="inlineStr">
        <is>
          <t>-900</t>
        </is>
      </c>
      <c r="I11" s="61" t="n"/>
      <c r="J11" s="61" t="inlineStr">
        <is>
          <t>Cycle count</t>
        </is>
      </c>
      <c r="K11" s="61" t="inlineStr">
        <is>
          <t>CC-1014</t>
        </is>
      </c>
      <c r="L11" s="61" t="inlineStr">
        <is>
          <t>https://example.com/3pl/movements/MV-2610-021</t>
        </is>
      </c>
      <c r="M11" s="62">
        <f>IF($B11="","",IF(ISNUMBER($B11),$B11,IF(AND(LEN($B11)=10,MID($B11,5,1)="-",MID($B11,8,1)="-"),IFERROR(IF(AND(MONTH(DATE(VALUE(LEFT($B11,4)),VALUE(MID($B11,6,2)),VALUE(RIGHT($B11,2))))=VALUE(MID($B11,6,2)),DAY(DATE(VALUE(LEFT($B11,4)),VALUE(MID($B11,6,2)),VALUE(RIGHT($B11,2))))=VALUE(RIGHT($B11,2))),DATE(VALUE(LEFT($B11,4)),VALUE(MID($B11,6,2)),VALUE(RIGHT($B11,2))),"ERR"),"ERR"),"ERR")))</f>
        <v>46309</v>
      </c>
      <c r="N11" s="62" t="str">
        <f>IF($G11="","",IF(ISNUMBER($G11),$G11,IF(AND(LEN($G11)=10,MID($G11,5,1)="-",MID($G11,8,1)="-"),IFERROR(IF(AND(MONTH(DATE(VALUE(LEFT($G11,4)),VALUE(MID($G11,6,2)),VALUE(RIGHT($G11,2))))=VALUE(MID($G11,6,2)),DAY(DATE(VALUE(LEFT($G11,4)),VALUE(MID($G11,6,2)),VALUE(RIGHT($G11,2))))=VALUE(RIGHT($G11,2))),DATE(VALUE(LEFT($G11,4)),VALUE(MID($G11,6,2)),VALUE(RIGHT($G11,2))),"ERR"),"ERR"),"ERR")))</f>
        <v/>
      </c>
      <c r="O11" s="51">
        <f>IF($H11="","",IF(ISNUMBER($H11),$H11,IFERROR(VALUE($H11),"ERR")))</f>
        <v>-900</v>
      </c>
      <c r="P11" s="51">
        <f>IF(AND(ISNUMBER($O11),OR($C11="Receipt",$C11="Shipment",$C11="Adjustment")),IF($C11="Shipment",-$O11,$O11),"")</f>
        <v>-900</v>
      </c>
      <c r="Q11" s="51">
        <f>IF($D11="","",IFERROR(INDEX(Products!$R$2:$R$101,MATCH($D11,Products!$A$2:$A$101,0)),""))</f>
        <v>290</v>
      </c>
      <c r="R11" s="51">
        <f>IF(OR($Q11="",$P11=""),"",$Q11+SUMIFS($P$1:$P10,$D$1:$D10,$D11,$U$1:$U10,"Ready"))</f>
        <v>290</v>
      </c>
      <c r="S11" s="51">
        <f>IF($R11="","",$R11+$P11)</f>
        <v>-610</v>
      </c>
      <c r="T11" s="52">
        <f>IF(COUNTA($A11:$L11)&gt;0,$BP11,"")</f>
        <v>1</v>
      </c>
      <c r="U11" s="49" t="str">
        <f>IF($T11="","",IF($T11=0,"Ready","Rejected"))</f>
        <v>Rejected</v>
      </c>
      <c r="V11" s="49" t="str">
        <f>IF(OR($T11="",$T11=0),"",INDEX(Config!$D$39:$D$61,MATCH(1,$AT11:$BP11,0))&amp;IF($T11&gt;1," (+"&amp;($T11-1)&amp;" more)",""))</f>
        <v>Negative inventory</v>
      </c>
      <c r="W11" s="52">
        <f>IF(AND(COUNTA($A11:$L11)&gt;0,$A11=""),1,0)</f>
        <v>0</v>
      </c>
      <c r="X11" s="52">
        <f>IF(AND(COUNTA($A11:$L11)&gt;0,$A11&lt;&gt;""),IF(COUNTIF($A$1:$A10,$A11)&gt;0,1,0),0)</f>
        <v>0</v>
      </c>
      <c r="Y11" s="52">
        <f>IF(AND(COUNTA($A11:$L11)&gt;0,$A11&lt;&gt;""),IF(COUNTIF(Inventory_Ledger!$A$2:$A$2001,$A11)&gt;0,1,0),0)</f>
        <v>0</v>
      </c>
      <c r="Z11" s="52">
        <f>IF(AND(COUNTA($A11:$L11)&gt;0,$B11=""),1,0)</f>
        <v>0</v>
      </c>
      <c r="AA11" s="52">
        <f>IF(AND(COUNTA($A11:$L11)&gt;0,$B11&lt;&gt;""),IF($M11="ERR",1,0),0)</f>
        <v>0</v>
      </c>
      <c r="AB11" s="52">
        <f>IF(AND(COUNTA($A11:$L11)&gt;0,ISNUMBER($M11)),IF($M11&gt;Config!$B$4,1,0),0)</f>
        <v>0</v>
      </c>
      <c r="AC11" s="52">
        <f>IF(AND(COUNTA($A11:$L11)&gt;0,$C11=""),1,0)</f>
        <v>0</v>
      </c>
      <c r="AD11" s="52">
        <f>IF(AND(COUNTA($A11:$L11)&gt;0,$C11&lt;&gt;""),IF(COUNTIF(Config!$A$15:$A$34,$C11)=0,1,0),0)</f>
        <v>0</v>
      </c>
      <c r="AE11" s="52">
        <f>IF(AND(COUNTA($A11:$L11)&gt;0,$D11=""),1,0)</f>
        <v>0</v>
      </c>
      <c r="AF11" s="52">
        <f>IF(AND(COUNTA($A11:$L11)&gt;0,$D11&lt;&gt;""),IF(COUNTIF(Products!$A$2:$A$101,$D11)=0,1,0),0)</f>
        <v>0</v>
      </c>
      <c r="AG11" s="52">
        <f>IF(AND(COUNTA($A11:$L11)&gt;0,$C11="Receipt",$E11=""),1,0)</f>
        <v>0</v>
      </c>
      <c r="AH11" s="52">
        <f>IF(AND(COUNTA($A11:$L11)&gt;0,$E11&lt;&gt;""),IF(COUNTIF(Suppliers!$A$2:$A$51,$E11)=0,1,0),0)</f>
        <v>0</v>
      </c>
      <c r="AI11" s="52">
        <f>IF(AND(COUNTA($A11:$L11)&gt;0,$F11=""),1,0)</f>
        <v>0</v>
      </c>
      <c r="AJ11" s="52">
        <f>IF(AND(COUNTA($A11:$L11)&gt;0,$F11&lt;&gt;"",$D11&lt;&gt;"",OR($C11="Shipment",$C11="Adjustment")),IF($AF11=1,0,IF(COUNTIFS(Batches!$A$2:$A$301,$F11,Batches!$B$2:$B$301,$D11)+COUNTIFS($F$1:$F10,$F11,$D$1:$D10,$D11,$C$1:$C10,"Receipt")=0,1,0)),0)</f>
        <v>0</v>
      </c>
      <c r="AK11" s="52">
        <f>IF(AND(COUNTA($A11:$L11)&gt;0,$C11="Receipt",$G11=""),1,0)</f>
        <v>0</v>
      </c>
      <c r="AL11" s="52">
        <f>IF(AND(COUNTA($A11:$L11)&gt;0,$G11&lt;&gt;""),IF($N11="ERR",1,0),0)</f>
        <v>0</v>
      </c>
      <c r="AM11" s="52">
        <f>IF(AND(COUNTA($A11:$L11)&gt;0,$H11=""),1,0)</f>
        <v>0</v>
      </c>
      <c r="AN11" s="52">
        <f>IF(AND(COUNTA($A11:$L11)&gt;0,$H11&lt;&gt;""),IF($O11="ERR",1,IF(INT($O11)&lt;&gt;$O11,1,IF(AND(OR($C11="Receipt",$C11="Shipment"),$O11&lt;=0),1,IF(AND($C11="Adjustment",$O11=0),1,0)))),0)</f>
        <v>0</v>
      </c>
      <c r="AO11" s="52">
        <f>IF(AND(COUNTA($A11:$L11)&gt;0,$C11="Receipt",$I11=""),1,0)</f>
        <v>0</v>
      </c>
      <c r="AP11" s="52">
        <f>IF(AND(COUNTA($A11:$L11)&gt;0,$I11&lt;&gt;""),IF(IFERROR(INDEX(Config!$G$15:$G$34,MATCH($I11,Config!$E$15:$E$34,0)),"No")="Yes",0,1),0)</f>
        <v>0</v>
      </c>
      <c r="AQ11" s="52">
        <f>IF(AND(COUNTA($A11:$L11)&gt;0,$C11="Adjustment",$J11=""),1,0)</f>
        <v>0</v>
      </c>
      <c r="AR11" s="52">
        <f>IF(AND(COUNTA($A11:$L11)&gt;0,$L11=""),1,0)</f>
        <v>0</v>
      </c>
      <c r="AS11" s="52">
        <f>IF(AND(COUNTA($A11:$L11)&gt;0,ISNUMBER($S11)),IF($S11&lt;0,1,0),0)</f>
        <v>1</v>
      </c>
      <c r="AT11" s="52">
        <f>$W11</f>
        <v>0</v>
      </c>
      <c r="AU11" s="52">
        <f>$AT11+$X11</f>
        <v>0</v>
      </c>
      <c r="AV11" s="52">
        <f>$AU11+$Y11</f>
        <v>0</v>
      </c>
      <c r="AW11" s="52">
        <f>$AV11+$Z11</f>
        <v>0</v>
      </c>
      <c r="AX11" s="52">
        <f>$AW11+$AA11</f>
        <v>0</v>
      </c>
      <c r="AY11" s="52">
        <f>$AX11+$AB11</f>
        <v>0</v>
      </c>
      <c r="AZ11" s="52">
        <f>$AY11+$AC11</f>
        <v>0</v>
      </c>
      <c r="BA11" s="52">
        <f>$AZ11+$AD11</f>
        <v>0</v>
      </c>
      <c r="BB11" s="52">
        <f>$BA11+$AE11</f>
        <v>0</v>
      </c>
      <c r="BC11" s="52">
        <f>$BB11+$AF11</f>
        <v>0</v>
      </c>
      <c r="BD11" s="52">
        <f>$BC11+$AG11</f>
        <v>0</v>
      </c>
      <c r="BE11" s="52">
        <f>$BD11+$AH11</f>
        <v>0</v>
      </c>
      <c r="BF11" s="52">
        <f>$BE11+$AI11</f>
        <v>0</v>
      </c>
      <c r="BG11" s="52">
        <f>$BF11+$AJ11</f>
        <v>0</v>
      </c>
      <c r="BH11" s="52">
        <f>$BG11+$AK11</f>
        <v>0</v>
      </c>
      <c r="BI11" s="52">
        <f>$BH11+$AL11</f>
        <v>0</v>
      </c>
      <c r="BJ11" s="52">
        <f>$BI11+$AM11</f>
        <v>0</v>
      </c>
      <c r="BK11" s="52">
        <f>$BJ11+$AN11</f>
        <v>0</v>
      </c>
      <c r="BL11" s="52">
        <f>$BK11+$AO11</f>
        <v>0</v>
      </c>
      <c r="BM11" s="52">
        <f>$BL11+$AP11</f>
        <v>0</v>
      </c>
      <c r="BN11" s="52">
        <f>$BM11+$AQ11</f>
        <v>0</v>
      </c>
      <c r="BO11" s="52">
        <f>$BN11+$AR11</f>
        <v>0</v>
      </c>
      <c r="BP11" s="52">
        <f>$BO11+$AS11</f>
        <v>1</v>
      </c>
      <c r="BQ11" s="52">
        <f>SUM($T$1:$T10)</f>
        <v>6</v>
      </c>
      <c r="BR11" s="52">
        <f>IF(ISNUMBER($T11),IF($T11&gt;0,COUNTIF($T$2:$T11,"&gt;0"),""),"")</f>
        <v>6</v>
      </c>
      <c r="BS11" s="52">
        <f>IF($BR11="","",$BQ11+$T11)</f>
        <v>7</v>
      </c>
      <c r="BT11" s="52" t="str">
        <f>IF($U11="Ready",COUNTIF($U$2:$U11,"Ready"),"")</f>
        <v/>
      </c>
      <c r="BU11" s="52">
        <f>IF(AND($U11="Ready",$C11="Receipt"),IF(COUNTIF(Batches!$A$2:$A$301,$F11)+COUNTIFS($F$1:$F10,$F11,$C$1:$C10,"Receipt",$U$1:$U10,"Ready")=0,1,0),0)</f>
        <v>0</v>
      </c>
      <c r="BV11" s="52" t="str">
        <f>IF($BU11=1,SUM($BU$2:$BU11),"")</f>
        <v/>
      </c>
    </row>
    <row r="12">
      <c r="A12" s="61" t="inlineStr">
        <is>
          <t>MV-2610-022</t>
        </is>
      </c>
      <c r="B12" s="61" t="inlineStr">
        <is>
          <t>2026-10-14</t>
        </is>
      </c>
      <c r="C12" s="61" t="inlineStr">
        <is>
          <t>Receipt</t>
        </is>
      </c>
      <c r="D12" s="61" t="inlineStr">
        <is>
          <t>PLT-VAN-2LB</t>
        </is>
      </c>
      <c r="E12" s="61" t="inlineStr">
        <is>
          <t>SUP-03</t>
        </is>
      </c>
      <c r="F12" s="61" t="inlineStr">
        <is>
          <t>PVA2609A</t>
        </is>
      </c>
      <c r="G12" s="61" t="inlineStr">
        <is>
          <t>2028-09-17</t>
        </is>
      </c>
      <c r="H12" s="61" t="inlineStr">
        <is>
          <t>500</t>
        </is>
      </c>
      <c r="I12" s="61" t="inlineStr">
        <is>
          <t>Approved</t>
        </is>
      </c>
      <c r="J12" s="61" t="n"/>
      <c r="K12" s="61" t="inlineStr">
        <is>
          <t>PO-2026-029</t>
        </is>
      </c>
      <c r="L12" s="61" t="inlineStr">
        <is>
          <t>https://example.com/3pl/movements/MV-2610-022</t>
        </is>
      </c>
      <c r="M12" s="62">
        <f>IF($B12="","",IF(ISNUMBER($B12),$B12,IF(AND(LEN($B12)=10,MID($B12,5,1)="-",MID($B12,8,1)="-"),IFERROR(IF(AND(MONTH(DATE(VALUE(LEFT($B12,4)),VALUE(MID($B12,6,2)),VALUE(RIGHT($B12,2))))=VALUE(MID($B12,6,2)),DAY(DATE(VALUE(LEFT($B12,4)),VALUE(MID($B12,6,2)),VALUE(RIGHT($B12,2))))=VALUE(RIGHT($B12,2))),DATE(VALUE(LEFT($B12,4)),VALUE(MID($B12,6,2)),VALUE(RIGHT($B12,2))),"ERR"),"ERR"),"ERR")))</f>
        <v>46309</v>
      </c>
      <c r="N12" s="62">
        <f>IF($G12="","",IF(ISNUMBER($G12),$G12,IF(AND(LEN($G12)=10,MID($G12,5,1)="-",MID($G12,8,1)="-"),IFERROR(IF(AND(MONTH(DATE(VALUE(LEFT($G12,4)),VALUE(MID($G12,6,2)),VALUE(RIGHT($G12,2))))=VALUE(MID($G12,6,2)),DAY(DATE(VALUE(LEFT($G12,4)),VALUE(MID($G12,6,2)),VALUE(RIGHT($G12,2))))=VALUE(RIGHT($G12,2))),DATE(VALUE(LEFT($G12,4)),VALUE(MID($G12,6,2)),VALUE(RIGHT($G12,2))),"ERR"),"ERR"),"ERR")))</f>
        <v>47013</v>
      </c>
      <c r="O12" s="51">
        <f>IF($H12="","",IF(ISNUMBER($H12),$H12,IFERROR(VALUE($H12),"ERR")))</f>
        <v>500</v>
      </c>
      <c r="P12" s="51">
        <f>IF(AND(ISNUMBER($O12),OR($C12="Receipt",$C12="Shipment",$C12="Adjustment")),IF($C12="Shipment",-$O12,$O12),"")</f>
        <v>500</v>
      </c>
      <c r="Q12" s="51">
        <f>IF($D12="","",IFERROR(INDEX(Products!$R$2:$R$101,MATCH($D12,Products!$A$2:$A$101,0)),""))</f>
        <v>133</v>
      </c>
      <c r="R12" s="51">
        <f>IF(OR($Q12="",$P12=""),"",$Q12+SUMIFS($P$1:$P11,$D$1:$D11,$D12,$U$1:$U11,"Ready"))</f>
        <v>133</v>
      </c>
      <c r="S12" s="51">
        <f>IF($R12="","",$R12+$P12)</f>
        <v>633</v>
      </c>
      <c r="T12" s="52">
        <f>IF(COUNTA($A12:$L12)&gt;0,$BP12,"")</f>
        <v>1</v>
      </c>
      <c r="U12" s="49" t="str">
        <f>IF($T12="","",IF($T12=0,"Ready","Rejected"))</f>
        <v>Rejected</v>
      </c>
      <c r="V12" s="49" t="str">
        <f>IF(OR($T12="",$T12=0),"",INDEX(Config!$D$39:$D$61,MATCH(1,$AT12:$BP12,0))&amp;IF($T12&gt;1," (+"&amp;($T12-1)&amp;" more)",""))</f>
        <v>Unsupported status</v>
      </c>
      <c r="W12" s="52">
        <f>IF(AND(COUNTA($A12:$L12)&gt;0,$A12=""),1,0)</f>
        <v>0</v>
      </c>
      <c r="X12" s="52">
        <f>IF(AND(COUNTA($A12:$L12)&gt;0,$A12&lt;&gt;""),IF(COUNTIF($A$1:$A11,$A12)&gt;0,1,0),0)</f>
        <v>0</v>
      </c>
      <c r="Y12" s="52">
        <f>IF(AND(COUNTA($A12:$L12)&gt;0,$A12&lt;&gt;""),IF(COUNTIF(Inventory_Ledger!$A$2:$A$2001,$A12)&gt;0,1,0),0)</f>
        <v>0</v>
      </c>
      <c r="Z12" s="52">
        <f>IF(AND(COUNTA($A12:$L12)&gt;0,$B12=""),1,0)</f>
        <v>0</v>
      </c>
      <c r="AA12" s="52">
        <f>IF(AND(COUNTA($A12:$L12)&gt;0,$B12&lt;&gt;""),IF($M12="ERR",1,0),0)</f>
        <v>0</v>
      </c>
      <c r="AB12" s="52">
        <f>IF(AND(COUNTA($A12:$L12)&gt;0,ISNUMBER($M12)),IF($M12&gt;Config!$B$4,1,0),0)</f>
        <v>0</v>
      </c>
      <c r="AC12" s="52">
        <f>IF(AND(COUNTA($A12:$L12)&gt;0,$C12=""),1,0)</f>
        <v>0</v>
      </c>
      <c r="AD12" s="52">
        <f>IF(AND(COUNTA($A12:$L12)&gt;0,$C12&lt;&gt;""),IF(COUNTIF(Config!$A$15:$A$34,$C12)=0,1,0),0)</f>
        <v>0</v>
      </c>
      <c r="AE12" s="52">
        <f>IF(AND(COUNTA($A12:$L12)&gt;0,$D12=""),1,0)</f>
        <v>0</v>
      </c>
      <c r="AF12" s="52">
        <f>IF(AND(COUNTA($A12:$L12)&gt;0,$D12&lt;&gt;""),IF(COUNTIF(Products!$A$2:$A$101,$D12)=0,1,0),0)</f>
        <v>0</v>
      </c>
      <c r="AG12" s="52">
        <f>IF(AND(COUNTA($A12:$L12)&gt;0,$C12="Receipt",$E12=""),1,0)</f>
        <v>0</v>
      </c>
      <c r="AH12" s="52">
        <f>IF(AND(COUNTA($A12:$L12)&gt;0,$E12&lt;&gt;""),IF(COUNTIF(Suppliers!$A$2:$A$51,$E12)=0,1,0),0)</f>
        <v>0</v>
      </c>
      <c r="AI12" s="52">
        <f>IF(AND(COUNTA($A12:$L12)&gt;0,$F12=""),1,0)</f>
        <v>0</v>
      </c>
      <c r="AJ12" s="52">
        <f>IF(AND(COUNTA($A12:$L12)&gt;0,$F12&lt;&gt;"",$D12&lt;&gt;"",OR($C12="Shipment",$C12="Adjustment")),IF($AF12=1,0,IF(COUNTIFS(Batches!$A$2:$A$301,$F12,Batches!$B$2:$B$301,$D12)+COUNTIFS($F$1:$F11,$F12,$D$1:$D11,$D12,$C$1:$C11,"Receipt")=0,1,0)),0)</f>
        <v>0</v>
      </c>
      <c r="AK12" s="52">
        <f>IF(AND(COUNTA($A12:$L12)&gt;0,$C12="Receipt",$G12=""),1,0)</f>
        <v>0</v>
      </c>
      <c r="AL12" s="52">
        <f>IF(AND(COUNTA($A12:$L12)&gt;0,$G12&lt;&gt;""),IF($N12="ERR",1,0),0)</f>
        <v>0</v>
      </c>
      <c r="AM12" s="52">
        <f>IF(AND(COUNTA($A12:$L12)&gt;0,$H12=""),1,0)</f>
        <v>0</v>
      </c>
      <c r="AN12" s="52">
        <f>IF(AND(COUNTA($A12:$L12)&gt;0,$H12&lt;&gt;""),IF($O12="ERR",1,IF(INT($O12)&lt;&gt;$O12,1,IF(AND(OR($C12="Receipt",$C12="Shipment"),$O12&lt;=0),1,IF(AND($C12="Adjustment",$O12=0),1,0)))),0)</f>
        <v>0</v>
      </c>
      <c r="AO12" s="52">
        <f>IF(AND(COUNTA($A12:$L12)&gt;0,$C12="Receipt",$I12=""),1,0)</f>
        <v>0</v>
      </c>
      <c r="AP12" s="52">
        <f>IF(AND(COUNTA($A12:$L12)&gt;0,$I12&lt;&gt;""),IF(IFERROR(INDEX(Config!$G$15:$G$34,MATCH($I12,Config!$E$15:$E$34,0)),"No")="Yes",0,1),0)</f>
        <v>1</v>
      </c>
      <c r="AQ12" s="52">
        <f>IF(AND(COUNTA($A12:$L12)&gt;0,$C12="Adjustment",$J12=""),1,0)</f>
        <v>0</v>
      </c>
      <c r="AR12" s="52">
        <f>IF(AND(COUNTA($A12:$L12)&gt;0,$L12=""),1,0)</f>
        <v>0</v>
      </c>
      <c r="AS12" s="52">
        <f>IF(AND(COUNTA($A12:$L12)&gt;0,ISNUMBER($S12)),IF($S12&lt;0,1,0),0)</f>
        <v>0</v>
      </c>
      <c r="AT12" s="52">
        <f>$W12</f>
        <v>0</v>
      </c>
      <c r="AU12" s="52">
        <f>$AT12+$X12</f>
        <v>0</v>
      </c>
      <c r="AV12" s="52">
        <f>$AU12+$Y12</f>
        <v>0</v>
      </c>
      <c r="AW12" s="52">
        <f>$AV12+$Z12</f>
        <v>0</v>
      </c>
      <c r="AX12" s="52">
        <f>$AW12+$AA12</f>
        <v>0</v>
      </c>
      <c r="AY12" s="52">
        <f>$AX12+$AB12</f>
        <v>0</v>
      </c>
      <c r="AZ12" s="52">
        <f>$AY12+$AC12</f>
        <v>0</v>
      </c>
      <c r="BA12" s="52">
        <f>$AZ12+$AD12</f>
        <v>0</v>
      </c>
      <c r="BB12" s="52">
        <f>$BA12+$AE12</f>
        <v>0</v>
      </c>
      <c r="BC12" s="52">
        <f>$BB12+$AF12</f>
        <v>0</v>
      </c>
      <c r="BD12" s="52">
        <f>$BC12+$AG12</f>
        <v>0</v>
      </c>
      <c r="BE12" s="52">
        <f>$BD12+$AH12</f>
        <v>0</v>
      </c>
      <c r="BF12" s="52">
        <f>$BE12+$AI12</f>
        <v>0</v>
      </c>
      <c r="BG12" s="52">
        <f>$BF12+$AJ12</f>
        <v>0</v>
      </c>
      <c r="BH12" s="52">
        <f>$BG12+$AK12</f>
        <v>0</v>
      </c>
      <c r="BI12" s="52">
        <f>$BH12+$AL12</f>
        <v>0</v>
      </c>
      <c r="BJ12" s="52">
        <f>$BI12+$AM12</f>
        <v>0</v>
      </c>
      <c r="BK12" s="52">
        <f>$BJ12+$AN12</f>
        <v>0</v>
      </c>
      <c r="BL12" s="52">
        <f>$BK12+$AO12</f>
        <v>0</v>
      </c>
      <c r="BM12" s="52">
        <f>$BL12+$AP12</f>
        <v>1</v>
      </c>
      <c r="BN12" s="52">
        <f>$BM12+$AQ12</f>
        <v>1</v>
      </c>
      <c r="BO12" s="52">
        <f>$BN12+$AR12</f>
        <v>1</v>
      </c>
      <c r="BP12" s="52">
        <f>$BO12+$AS12</f>
        <v>1</v>
      </c>
      <c r="BQ12" s="52">
        <f>SUM($T$1:$T11)</f>
        <v>7</v>
      </c>
      <c r="BR12" s="52">
        <f>IF(ISNUMBER($T12),IF($T12&gt;0,COUNTIF($T$2:$T12,"&gt;0"),""),"")</f>
        <v>7</v>
      </c>
      <c r="BS12" s="52">
        <f>IF($BR12="","",$BQ12+$T12)</f>
        <v>8</v>
      </c>
      <c r="BT12" s="52" t="str">
        <f>IF($U12="Ready",COUNTIF($U$2:$U12,"Ready"),"")</f>
        <v/>
      </c>
      <c r="BU12" s="52">
        <f>IF(AND($U12="Ready",$C12="Receipt"),IF(COUNTIF(Batches!$A$2:$A$301,$F12)+COUNTIFS($F$1:$F11,$F12,$C$1:$C11,"Receipt",$U$1:$U11,"Ready")=0,1,0),0)</f>
        <v>0</v>
      </c>
      <c r="BV12" s="52" t="str">
        <f>IF($BU12=1,SUM($BU$2:$BU12),"")</f>
        <v/>
      </c>
    </row>
    <row r="13">
      <c r="A13" s="61" t="inlineStr">
        <is>
          <t>MV-2610-023</t>
        </is>
      </c>
      <c r="B13" s="61" t="inlineStr">
        <is>
          <t>2026-10-14</t>
        </is>
      </c>
      <c r="C13" s="61" t="inlineStr">
        <is>
          <t>Shipment</t>
        </is>
      </c>
      <c r="D13" s="61" t="inlineStr">
        <is>
          <t>PRE-BRZ-30</t>
        </is>
      </c>
      <c r="E13" s="61" t="n"/>
      <c r="F13" s="61" t="inlineStr">
        <is>
          <t>PBZ2501A</t>
        </is>
      </c>
      <c r="G13" s="61" t="n"/>
      <c r="H13" s="61" t="inlineStr">
        <is>
          <t>55</t>
        </is>
      </c>
      <c r="I13" s="61" t="n"/>
      <c r="J13" s="61" t="n"/>
      <c r="K13" s="61" t="inlineStr">
        <is>
          <t>OB-1014</t>
        </is>
      </c>
      <c r="L13" s="61" t="n"/>
      <c r="M13" s="62">
        <f>IF($B13="","",IF(ISNUMBER($B13),$B13,IF(AND(LEN($B13)=10,MID($B13,5,1)="-",MID($B13,8,1)="-"),IFERROR(IF(AND(MONTH(DATE(VALUE(LEFT($B13,4)),VALUE(MID($B13,6,2)),VALUE(RIGHT($B13,2))))=VALUE(MID($B13,6,2)),DAY(DATE(VALUE(LEFT($B13,4)),VALUE(MID($B13,6,2)),VALUE(RIGHT($B13,2))))=VALUE(RIGHT($B13,2))),DATE(VALUE(LEFT($B13,4)),VALUE(MID($B13,6,2)),VALUE(RIGHT($B13,2))),"ERR"),"ERR"),"ERR")))</f>
        <v>46309</v>
      </c>
      <c r="N13" s="62" t="str">
        <f>IF($G13="","",IF(ISNUMBER($G13),$G13,IF(AND(LEN($G13)=10,MID($G13,5,1)="-",MID($G13,8,1)="-"),IFERROR(IF(AND(MONTH(DATE(VALUE(LEFT($G13,4)),VALUE(MID($G13,6,2)),VALUE(RIGHT($G13,2))))=VALUE(MID($G13,6,2)),DAY(DATE(VALUE(LEFT($G13,4)),VALUE(MID($G13,6,2)),VALUE(RIGHT($G13,2))))=VALUE(RIGHT($G13,2))),DATE(VALUE(LEFT($G13,4)),VALUE(MID($G13,6,2)),VALUE(RIGHT($G13,2))),"ERR"),"ERR"),"ERR")))</f>
        <v/>
      </c>
      <c r="O13" s="51">
        <f>IF($H13="","",IF(ISNUMBER($H13),$H13,IFERROR(VALUE($H13),"ERR")))</f>
        <v>55</v>
      </c>
      <c r="P13" s="51">
        <f>IF(AND(ISNUMBER($O13),OR($C13="Receipt",$C13="Shipment",$C13="Adjustment")),IF($C13="Shipment",-$O13,$O13),"")</f>
        <v>-55</v>
      </c>
      <c r="Q13" s="51">
        <f>IF($D13="","",IFERROR(INDEX(Products!$R$2:$R$101,MATCH($D13,Products!$A$2:$A$101,0)),""))</f>
        <v>875</v>
      </c>
      <c r="R13" s="51">
        <f>IF(OR($Q13="",$P13=""),"",$Q13+SUMIFS($P$1:$P12,$D$1:$D12,$D13,$U$1:$U12,"Ready"))</f>
        <v>875</v>
      </c>
      <c r="S13" s="51">
        <f>IF($R13="","",$R13+$P13)</f>
        <v>820</v>
      </c>
      <c r="T13" s="52">
        <f>IF(COUNTA($A13:$L13)&gt;0,$BP13,"")</f>
        <v>1</v>
      </c>
      <c r="U13" s="49" t="str">
        <f>IF($T13="","",IF($T13=0,"Ready","Rejected"))</f>
        <v>Rejected</v>
      </c>
      <c r="V13" s="49" t="str">
        <f>IF(OR($T13="",$T13=0),"",INDEX(Config!$D$39:$D$61,MATCH(1,$AT13:$BP13,0))&amp;IF($T13&gt;1," (+"&amp;($T13-1)&amp;" more)",""))</f>
        <v>Missing source link</v>
      </c>
      <c r="W13" s="52">
        <f>IF(AND(COUNTA($A13:$L13)&gt;0,$A13=""),1,0)</f>
        <v>0</v>
      </c>
      <c r="X13" s="52">
        <f>IF(AND(COUNTA($A13:$L13)&gt;0,$A13&lt;&gt;""),IF(COUNTIF($A$1:$A12,$A13)&gt;0,1,0),0)</f>
        <v>0</v>
      </c>
      <c r="Y13" s="52">
        <f>IF(AND(COUNTA($A13:$L13)&gt;0,$A13&lt;&gt;""),IF(COUNTIF(Inventory_Ledger!$A$2:$A$2001,$A13)&gt;0,1,0),0)</f>
        <v>0</v>
      </c>
      <c r="Z13" s="52">
        <f>IF(AND(COUNTA($A13:$L13)&gt;0,$B13=""),1,0)</f>
        <v>0</v>
      </c>
      <c r="AA13" s="52">
        <f>IF(AND(COUNTA($A13:$L13)&gt;0,$B13&lt;&gt;""),IF($M13="ERR",1,0),0)</f>
        <v>0</v>
      </c>
      <c r="AB13" s="52">
        <f>IF(AND(COUNTA($A13:$L13)&gt;0,ISNUMBER($M13)),IF($M13&gt;Config!$B$4,1,0),0)</f>
        <v>0</v>
      </c>
      <c r="AC13" s="52">
        <f>IF(AND(COUNTA($A13:$L13)&gt;0,$C13=""),1,0)</f>
        <v>0</v>
      </c>
      <c r="AD13" s="52">
        <f>IF(AND(COUNTA($A13:$L13)&gt;0,$C13&lt;&gt;""),IF(COUNTIF(Config!$A$15:$A$34,$C13)=0,1,0),0)</f>
        <v>0</v>
      </c>
      <c r="AE13" s="52">
        <f>IF(AND(COUNTA($A13:$L13)&gt;0,$D13=""),1,0)</f>
        <v>0</v>
      </c>
      <c r="AF13" s="52">
        <f>IF(AND(COUNTA($A13:$L13)&gt;0,$D13&lt;&gt;""),IF(COUNTIF(Products!$A$2:$A$101,$D13)=0,1,0),0)</f>
        <v>0</v>
      </c>
      <c r="AG13" s="52">
        <f>IF(AND(COUNTA($A13:$L13)&gt;0,$C13="Receipt",$E13=""),1,0)</f>
        <v>0</v>
      </c>
      <c r="AH13" s="52">
        <f>IF(AND(COUNTA($A13:$L13)&gt;0,$E13&lt;&gt;""),IF(COUNTIF(Suppliers!$A$2:$A$51,$E13)=0,1,0),0)</f>
        <v>0</v>
      </c>
      <c r="AI13" s="52">
        <f>IF(AND(COUNTA($A13:$L13)&gt;0,$F13=""),1,0)</f>
        <v>0</v>
      </c>
      <c r="AJ13" s="52">
        <f>IF(AND(COUNTA($A13:$L13)&gt;0,$F13&lt;&gt;"",$D13&lt;&gt;"",OR($C13="Shipment",$C13="Adjustment")),IF($AF13=1,0,IF(COUNTIFS(Batches!$A$2:$A$301,$F13,Batches!$B$2:$B$301,$D13)+COUNTIFS($F$1:$F12,$F13,$D$1:$D12,$D13,$C$1:$C12,"Receipt")=0,1,0)),0)</f>
        <v>0</v>
      </c>
      <c r="AK13" s="52">
        <f>IF(AND(COUNTA($A13:$L13)&gt;0,$C13="Receipt",$G13=""),1,0)</f>
        <v>0</v>
      </c>
      <c r="AL13" s="52">
        <f>IF(AND(COUNTA($A13:$L13)&gt;0,$G13&lt;&gt;""),IF($N13="ERR",1,0),0)</f>
        <v>0</v>
      </c>
      <c r="AM13" s="52">
        <f>IF(AND(COUNTA($A13:$L13)&gt;0,$H13=""),1,0)</f>
        <v>0</v>
      </c>
      <c r="AN13" s="52">
        <f>IF(AND(COUNTA($A13:$L13)&gt;0,$H13&lt;&gt;""),IF($O13="ERR",1,IF(INT($O13)&lt;&gt;$O13,1,IF(AND(OR($C13="Receipt",$C13="Shipment"),$O13&lt;=0),1,IF(AND($C13="Adjustment",$O13=0),1,0)))),0)</f>
        <v>0</v>
      </c>
      <c r="AO13" s="52">
        <f>IF(AND(COUNTA($A13:$L13)&gt;0,$C13="Receipt",$I13=""),1,0)</f>
        <v>0</v>
      </c>
      <c r="AP13" s="52">
        <f>IF(AND(COUNTA($A13:$L13)&gt;0,$I13&lt;&gt;""),IF(IFERROR(INDEX(Config!$G$15:$G$34,MATCH($I13,Config!$E$15:$E$34,0)),"No")="Yes",0,1),0)</f>
        <v>0</v>
      </c>
      <c r="AQ13" s="52">
        <f>IF(AND(COUNTA($A13:$L13)&gt;0,$C13="Adjustment",$J13=""),1,0)</f>
        <v>0</v>
      </c>
      <c r="AR13" s="52">
        <f>IF(AND(COUNTA($A13:$L13)&gt;0,$L13=""),1,0)</f>
        <v>1</v>
      </c>
      <c r="AS13" s="52">
        <f>IF(AND(COUNTA($A13:$L13)&gt;0,ISNUMBER($S13)),IF($S13&lt;0,1,0),0)</f>
        <v>0</v>
      </c>
      <c r="AT13" s="52">
        <f>$W13</f>
        <v>0</v>
      </c>
      <c r="AU13" s="52">
        <f>$AT13+$X13</f>
        <v>0</v>
      </c>
      <c r="AV13" s="52">
        <f>$AU13+$Y13</f>
        <v>0</v>
      </c>
      <c r="AW13" s="52">
        <f>$AV13+$Z13</f>
        <v>0</v>
      </c>
      <c r="AX13" s="52">
        <f>$AW13+$AA13</f>
        <v>0</v>
      </c>
      <c r="AY13" s="52">
        <f>$AX13+$AB13</f>
        <v>0</v>
      </c>
      <c r="AZ13" s="52">
        <f>$AY13+$AC13</f>
        <v>0</v>
      </c>
      <c r="BA13" s="52">
        <f>$AZ13+$AD13</f>
        <v>0</v>
      </c>
      <c r="BB13" s="52">
        <f>$BA13+$AE13</f>
        <v>0</v>
      </c>
      <c r="BC13" s="52">
        <f>$BB13+$AF13</f>
        <v>0</v>
      </c>
      <c r="BD13" s="52">
        <f>$BC13+$AG13</f>
        <v>0</v>
      </c>
      <c r="BE13" s="52">
        <f>$BD13+$AH13</f>
        <v>0</v>
      </c>
      <c r="BF13" s="52">
        <f>$BE13+$AI13</f>
        <v>0</v>
      </c>
      <c r="BG13" s="52">
        <f>$BF13+$AJ13</f>
        <v>0</v>
      </c>
      <c r="BH13" s="52">
        <f>$BG13+$AK13</f>
        <v>0</v>
      </c>
      <c r="BI13" s="52">
        <f>$BH13+$AL13</f>
        <v>0</v>
      </c>
      <c r="BJ13" s="52">
        <f>$BI13+$AM13</f>
        <v>0</v>
      </c>
      <c r="BK13" s="52">
        <f>$BJ13+$AN13</f>
        <v>0</v>
      </c>
      <c r="BL13" s="52">
        <f>$BK13+$AO13</f>
        <v>0</v>
      </c>
      <c r="BM13" s="52">
        <f>$BL13+$AP13</f>
        <v>0</v>
      </c>
      <c r="BN13" s="52">
        <f>$BM13+$AQ13</f>
        <v>0</v>
      </c>
      <c r="BO13" s="52">
        <f>$BN13+$AR13</f>
        <v>1</v>
      </c>
      <c r="BP13" s="52">
        <f>$BO13+$AS13</f>
        <v>1</v>
      </c>
      <c r="BQ13" s="52">
        <f>SUM($T$1:$T12)</f>
        <v>8</v>
      </c>
      <c r="BR13" s="52">
        <f>IF(ISNUMBER($T13),IF($T13&gt;0,COUNTIF($T$2:$T13,"&gt;0"),""),"")</f>
        <v>8</v>
      </c>
      <c r="BS13" s="52">
        <f>IF($BR13="","",$BQ13+$T13)</f>
        <v>9</v>
      </c>
      <c r="BT13" s="52" t="str">
        <f>IF($U13="Ready",COUNTIF($U$2:$U13,"Ready"),"")</f>
        <v/>
      </c>
      <c r="BU13" s="52">
        <f>IF(AND($U13="Ready",$C13="Receipt"),IF(COUNTIF(Batches!$A$2:$A$301,$F13)+COUNTIFS($F$1:$F12,$F13,$C$1:$C12,"Receipt",$U$1:$U12,"Ready")=0,1,0),0)</f>
        <v>0</v>
      </c>
      <c r="BV13" s="52" t="str">
        <f>IF($BU13=1,SUM($BU$2:$BU13),"")</f>
        <v/>
      </c>
    </row>
    <row r="14">
      <c r="A14" s="61" t="inlineStr">
        <is>
          <t>MV-2610-024</t>
        </is>
      </c>
      <c r="B14" s="61" t="inlineStr">
        <is>
          <t>2026-10-14</t>
        </is>
      </c>
      <c r="C14" s="61" t="inlineStr">
        <is>
          <t>Shipment</t>
        </is>
      </c>
      <c r="D14" s="61" t="inlineStr">
        <is>
          <t>PLT-CHO-2LB</t>
        </is>
      </c>
      <c r="E14" s="61" t="n"/>
      <c r="F14" s="61" t="n"/>
      <c r="G14" s="61" t="n"/>
      <c r="H14" s="61" t="inlineStr">
        <is>
          <t>30</t>
        </is>
      </c>
      <c r="I14" s="61" t="n"/>
      <c r="J14" s="61" t="n"/>
      <c r="K14" s="61" t="inlineStr">
        <is>
          <t>OB-1014</t>
        </is>
      </c>
      <c r="L14" s="61" t="inlineStr">
        <is>
          <t>https://example.com/3pl/movements/MV-2610-024</t>
        </is>
      </c>
      <c r="M14" s="62">
        <f>IF($B14="","",IF(ISNUMBER($B14),$B14,IF(AND(LEN($B14)=10,MID($B14,5,1)="-",MID($B14,8,1)="-"),IFERROR(IF(AND(MONTH(DATE(VALUE(LEFT($B14,4)),VALUE(MID($B14,6,2)),VALUE(RIGHT($B14,2))))=VALUE(MID($B14,6,2)),DAY(DATE(VALUE(LEFT($B14,4)),VALUE(MID($B14,6,2)),VALUE(RIGHT($B14,2))))=VALUE(RIGHT($B14,2))),DATE(VALUE(LEFT($B14,4)),VALUE(MID($B14,6,2)),VALUE(RIGHT($B14,2))),"ERR"),"ERR"),"ERR")))</f>
        <v>46309</v>
      </c>
      <c r="N14" s="62" t="str">
        <f>IF($G14="","",IF(ISNUMBER($G14),$G14,IF(AND(LEN($G14)=10,MID($G14,5,1)="-",MID($G14,8,1)="-"),IFERROR(IF(AND(MONTH(DATE(VALUE(LEFT($G14,4)),VALUE(MID($G14,6,2)),VALUE(RIGHT($G14,2))))=VALUE(MID($G14,6,2)),DAY(DATE(VALUE(LEFT($G14,4)),VALUE(MID($G14,6,2)),VALUE(RIGHT($G14,2))))=VALUE(RIGHT($G14,2))),DATE(VALUE(LEFT($G14,4)),VALUE(MID($G14,6,2)),VALUE(RIGHT($G14,2))),"ERR"),"ERR"),"ERR")))</f>
        <v/>
      </c>
      <c r="O14" s="51">
        <f>IF($H14="","",IF(ISNUMBER($H14),$H14,IFERROR(VALUE($H14),"ERR")))</f>
        <v>30</v>
      </c>
      <c r="P14" s="51">
        <f>IF(AND(ISNUMBER($O14),OR($C14="Receipt",$C14="Shipment",$C14="Adjustment")),IF($C14="Shipment",-$O14,$O14),"")</f>
        <v>-30</v>
      </c>
      <c r="Q14" s="51">
        <f>IF($D14="","",IFERROR(INDEX(Products!$R$2:$R$101,MATCH($D14,Products!$A$2:$A$101,0)),""))</f>
        <v>396</v>
      </c>
      <c r="R14" s="51">
        <f>IF(OR($Q14="",$P14=""),"",$Q14+SUMIFS($P$1:$P13,$D$1:$D13,$D14,$U$1:$U13,"Ready"))</f>
        <v>396</v>
      </c>
      <c r="S14" s="51">
        <f>IF($R14="","",$R14+$P14)</f>
        <v>366</v>
      </c>
      <c r="T14" s="52">
        <f>IF(COUNTA($A14:$L14)&gt;0,$BP14,"")</f>
        <v>1</v>
      </c>
      <c r="U14" s="49" t="str">
        <f>IF($T14="","",IF($T14=0,"Ready","Rejected"))</f>
        <v>Rejected</v>
      </c>
      <c r="V14" s="49" t="str">
        <f>IF(OR($T14="",$T14=0),"",INDEX(Config!$D$39:$D$61,MATCH(1,$AT14:$BP14,0))&amp;IF($T14&gt;1," (+"&amp;($T14-1)&amp;" more)",""))</f>
        <v>Missing required field</v>
      </c>
      <c r="W14" s="52">
        <f>IF(AND(COUNTA($A14:$L14)&gt;0,$A14=""),1,0)</f>
        <v>0</v>
      </c>
      <c r="X14" s="52">
        <f>IF(AND(COUNTA($A14:$L14)&gt;0,$A14&lt;&gt;""),IF(COUNTIF($A$1:$A13,$A14)&gt;0,1,0),0)</f>
        <v>0</v>
      </c>
      <c r="Y14" s="52">
        <f>IF(AND(COUNTA($A14:$L14)&gt;0,$A14&lt;&gt;""),IF(COUNTIF(Inventory_Ledger!$A$2:$A$2001,$A14)&gt;0,1,0),0)</f>
        <v>0</v>
      </c>
      <c r="Z14" s="52">
        <f>IF(AND(COUNTA($A14:$L14)&gt;0,$B14=""),1,0)</f>
        <v>0</v>
      </c>
      <c r="AA14" s="52">
        <f>IF(AND(COUNTA($A14:$L14)&gt;0,$B14&lt;&gt;""),IF($M14="ERR",1,0),0)</f>
        <v>0</v>
      </c>
      <c r="AB14" s="52">
        <f>IF(AND(COUNTA($A14:$L14)&gt;0,ISNUMBER($M14)),IF($M14&gt;Config!$B$4,1,0),0)</f>
        <v>0</v>
      </c>
      <c r="AC14" s="52">
        <f>IF(AND(COUNTA($A14:$L14)&gt;0,$C14=""),1,0)</f>
        <v>0</v>
      </c>
      <c r="AD14" s="52">
        <f>IF(AND(COUNTA($A14:$L14)&gt;0,$C14&lt;&gt;""),IF(COUNTIF(Config!$A$15:$A$34,$C14)=0,1,0),0)</f>
        <v>0</v>
      </c>
      <c r="AE14" s="52">
        <f>IF(AND(COUNTA($A14:$L14)&gt;0,$D14=""),1,0)</f>
        <v>0</v>
      </c>
      <c r="AF14" s="52">
        <f>IF(AND(COUNTA($A14:$L14)&gt;0,$D14&lt;&gt;""),IF(COUNTIF(Products!$A$2:$A$101,$D14)=0,1,0),0)</f>
        <v>0</v>
      </c>
      <c r="AG14" s="52">
        <f>IF(AND(COUNTA($A14:$L14)&gt;0,$C14="Receipt",$E14=""),1,0)</f>
        <v>0</v>
      </c>
      <c r="AH14" s="52">
        <f>IF(AND(COUNTA($A14:$L14)&gt;0,$E14&lt;&gt;""),IF(COUNTIF(Suppliers!$A$2:$A$51,$E14)=0,1,0),0)</f>
        <v>0</v>
      </c>
      <c r="AI14" s="52">
        <f>IF(AND(COUNTA($A14:$L14)&gt;0,$F14=""),1,0)</f>
        <v>1</v>
      </c>
      <c r="AJ14" s="52">
        <f>IF(AND(COUNTA($A14:$L14)&gt;0,$F14&lt;&gt;"",$D14&lt;&gt;"",OR($C14="Shipment",$C14="Adjustment")),IF($AF14=1,0,IF(COUNTIFS(Batches!$A$2:$A$301,$F14,Batches!$B$2:$B$301,$D14)+COUNTIFS($F$1:$F13,$F14,$D$1:$D13,$D14,$C$1:$C13,"Receipt")=0,1,0)),0)</f>
        <v>0</v>
      </c>
      <c r="AK14" s="52">
        <f>IF(AND(COUNTA($A14:$L14)&gt;0,$C14="Receipt",$G14=""),1,0)</f>
        <v>0</v>
      </c>
      <c r="AL14" s="52">
        <f>IF(AND(COUNTA($A14:$L14)&gt;0,$G14&lt;&gt;""),IF($N14="ERR",1,0),0)</f>
        <v>0</v>
      </c>
      <c r="AM14" s="52">
        <f>IF(AND(COUNTA($A14:$L14)&gt;0,$H14=""),1,0)</f>
        <v>0</v>
      </c>
      <c r="AN14" s="52">
        <f>IF(AND(COUNTA($A14:$L14)&gt;0,$H14&lt;&gt;""),IF($O14="ERR",1,IF(INT($O14)&lt;&gt;$O14,1,IF(AND(OR($C14="Receipt",$C14="Shipment"),$O14&lt;=0),1,IF(AND($C14="Adjustment",$O14=0),1,0)))),0)</f>
        <v>0</v>
      </c>
      <c r="AO14" s="52">
        <f>IF(AND(COUNTA($A14:$L14)&gt;0,$C14="Receipt",$I14=""),1,0)</f>
        <v>0</v>
      </c>
      <c r="AP14" s="52">
        <f>IF(AND(COUNTA($A14:$L14)&gt;0,$I14&lt;&gt;""),IF(IFERROR(INDEX(Config!$G$15:$G$34,MATCH($I14,Config!$E$15:$E$34,0)),"No")="Yes",0,1),0)</f>
        <v>0</v>
      </c>
      <c r="AQ14" s="52">
        <f>IF(AND(COUNTA($A14:$L14)&gt;0,$C14="Adjustment",$J14=""),1,0)</f>
        <v>0</v>
      </c>
      <c r="AR14" s="52">
        <f>IF(AND(COUNTA($A14:$L14)&gt;0,$L14=""),1,0)</f>
        <v>0</v>
      </c>
      <c r="AS14" s="52">
        <f>IF(AND(COUNTA($A14:$L14)&gt;0,ISNUMBER($S14)),IF($S14&lt;0,1,0),0)</f>
        <v>0</v>
      </c>
      <c r="AT14" s="52">
        <f>$W14</f>
        <v>0</v>
      </c>
      <c r="AU14" s="52">
        <f>$AT14+$X14</f>
        <v>0</v>
      </c>
      <c r="AV14" s="52">
        <f>$AU14+$Y14</f>
        <v>0</v>
      </c>
      <c r="AW14" s="52">
        <f>$AV14+$Z14</f>
        <v>0</v>
      </c>
      <c r="AX14" s="52">
        <f>$AW14+$AA14</f>
        <v>0</v>
      </c>
      <c r="AY14" s="52">
        <f>$AX14+$AB14</f>
        <v>0</v>
      </c>
      <c r="AZ14" s="52">
        <f>$AY14+$AC14</f>
        <v>0</v>
      </c>
      <c r="BA14" s="52">
        <f>$AZ14+$AD14</f>
        <v>0</v>
      </c>
      <c r="BB14" s="52">
        <f>$BA14+$AE14</f>
        <v>0</v>
      </c>
      <c r="BC14" s="52">
        <f>$BB14+$AF14</f>
        <v>0</v>
      </c>
      <c r="BD14" s="52">
        <f>$BC14+$AG14</f>
        <v>0</v>
      </c>
      <c r="BE14" s="52">
        <f>$BD14+$AH14</f>
        <v>0</v>
      </c>
      <c r="BF14" s="52">
        <f>$BE14+$AI14</f>
        <v>1</v>
      </c>
      <c r="BG14" s="52">
        <f>$BF14+$AJ14</f>
        <v>1</v>
      </c>
      <c r="BH14" s="52">
        <f>$BG14+$AK14</f>
        <v>1</v>
      </c>
      <c r="BI14" s="52">
        <f>$BH14+$AL14</f>
        <v>1</v>
      </c>
      <c r="BJ14" s="52">
        <f>$BI14+$AM14</f>
        <v>1</v>
      </c>
      <c r="BK14" s="52">
        <f>$BJ14+$AN14</f>
        <v>1</v>
      </c>
      <c r="BL14" s="52">
        <f>$BK14+$AO14</f>
        <v>1</v>
      </c>
      <c r="BM14" s="52">
        <f>$BL14+$AP14</f>
        <v>1</v>
      </c>
      <c r="BN14" s="52">
        <f>$BM14+$AQ14</f>
        <v>1</v>
      </c>
      <c r="BO14" s="52">
        <f>$BN14+$AR14</f>
        <v>1</v>
      </c>
      <c r="BP14" s="52">
        <f>$BO14+$AS14</f>
        <v>1</v>
      </c>
      <c r="BQ14" s="52">
        <f>SUM($T$1:$T13)</f>
        <v>9</v>
      </c>
      <c r="BR14" s="52">
        <f>IF(ISNUMBER($T14),IF($T14&gt;0,COUNTIF($T$2:$T14,"&gt;0"),""),"")</f>
        <v>9</v>
      </c>
      <c r="BS14" s="52">
        <f>IF($BR14="","",$BQ14+$T14)</f>
        <v>10</v>
      </c>
      <c r="BT14" s="52" t="str">
        <f>IF($U14="Ready",COUNTIF($U$2:$U14,"Ready"),"")</f>
        <v/>
      </c>
      <c r="BU14" s="52">
        <f>IF(AND($U14="Ready",$C14="Receipt"),IF(COUNTIF(Batches!$A$2:$A$301,$F14)+COUNTIFS($F$1:$F13,$F14,$C$1:$C13,"Receipt",$U$1:$U13,"Ready")=0,1,0),0)</f>
        <v>0</v>
      </c>
      <c r="BV14" s="52" t="str">
        <f>IF($BU14=1,SUM($BU$2:$BU14),"")</f>
        <v/>
      </c>
    </row>
    <row r="15">
      <c r="A15" s="61" t="inlineStr">
        <is>
          <t>MV-2610-025</t>
        </is>
      </c>
      <c r="B15" s="61" t="inlineStr">
        <is>
          <t>2026-10-14</t>
        </is>
      </c>
      <c r="C15" s="61" t="inlineStr">
        <is>
          <t>Shipment</t>
        </is>
      </c>
      <c r="D15" s="61" t="inlineStr">
        <is>
          <t>BAR-CKD-12</t>
        </is>
      </c>
      <c r="E15" s="61" t="n"/>
      <c r="F15" s="61" t="inlineStr">
        <is>
          <t>CKD2511A</t>
        </is>
      </c>
      <c r="G15" s="61" t="n"/>
      <c r="H15" s="61" t="inlineStr">
        <is>
          <t>96</t>
        </is>
      </c>
      <c r="I15" s="61" t="n"/>
      <c r="J15" s="61" t="n"/>
      <c r="K15" s="61" t="inlineStr">
        <is>
          <t>OB-1014</t>
        </is>
      </c>
      <c r="L15" s="61" t="inlineStr">
        <is>
          <t>https://example.com/3pl/movements/MV-2610-025</t>
        </is>
      </c>
      <c r="M15" s="62">
        <f>IF($B15="","",IF(ISNUMBER($B15),$B15,IF(AND(LEN($B15)=10,MID($B15,5,1)="-",MID($B15,8,1)="-"),IFERROR(IF(AND(MONTH(DATE(VALUE(LEFT($B15,4)),VALUE(MID($B15,6,2)),VALUE(RIGHT($B15,2))))=VALUE(MID($B15,6,2)),DAY(DATE(VALUE(LEFT($B15,4)),VALUE(MID($B15,6,2)),VALUE(RIGHT($B15,2))))=VALUE(RIGHT($B15,2))),DATE(VALUE(LEFT($B15,4)),VALUE(MID($B15,6,2)),VALUE(RIGHT($B15,2))),"ERR"),"ERR"),"ERR")))</f>
        <v>46309</v>
      </c>
      <c r="N15" s="62" t="str">
        <f>IF($G15="","",IF(ISNUMBER($G15),$G15,IF(AND(LEN($G15)=10,MID($G15,5,1)="-",MID($G15,8,1)="-"),IFERROR(IF(AND(MONTH(DATE(VALUE(LEFT($G15,4)),VALUE(MID($G15,6,2)),VALUE(RIGHT($G15,2))))=VALUE(MID($G15,6,2)),DAY(DATE(VALUE(LEFT($G15,4)),VALUE(MID($G15,6,2)),VALUE(RIGHT($G15,2))))=VALUE(RIGHT($G15,2))),DATE(VALUE(LEFT($G15,4)),VALUE(MID($G15,6,2)),VALUE(RIGHT($G15,2))),"ERR"),"ERR"),"ERR")))</f>
        <v/>
      </c>
      <c r="O15" s="51">
        <f>IF($H15="","",IF(ISNUMBER($H15),$H15,IFERROR(VALUE($H15),"ERR")))</f>
        <v>96</v>
      </c>
      <c r="P15" s="51">
        <f>IF(AND(ISNUMBER($O15),OR($C15="Receipt",$C15="Shipment",$C15="Adjustment")),IF($C15="Shipment",-$O15,$O15),"")</f>
        <v>-96</v>
      </c>
      <c r="Q15" s="51">
        <f>IF($D15="","",IFERROR(INDEX(Products!$R$2:$R$101,MATCH($D15,Products!$A$2:$A$101,0)),""))</f>
        <v>1748</v>
      </c>
      <c r="R15" s="51">
        <f>IF(OR($Q15="",$P15=""),"",$Q15+SUMIFS($P$1:$P14,$D$1:$D14,$D15,$U$1:$U14,"Ready"))</f>
        <v>1748</v>
      </c>
      <c r="S15" s="51">
        <f>IF($R15="","",$R15+$P15)</f>
        <v>1652</v>
      </c>
      <c r="T15" s="52">
        <f>IF(COUNTA($A15:$L15)&gt;0,$BP15,"")</f>
        <v>0</v>
      </c>
      <c r="U15" s="49" t="str">
        <f>IF($T15="","",IF($T15=0,"Ready","Rejected"))</f>
        <v>Ready</v>
      </c>
      <c r="V15" s="49" t="str">
        <f>IF(OR($T15="",$T15=0),"",INDEX(Config!$D$39:$D$61,MATCH(1,$AT15:$BP15,0))&amp;IF($T15&gt;1," (+"&amp;($T15-1)&amp;" more)",""))</f>
        <v/>
      </c>
      <c r="W15" s="52">
        <f>IF(AND(COUNTA($A15:$L15)&gt;0,$A15=""),1,0)</f>
        <v>0</v>
      </c>
      <c r="X15" s="52">
        <f>IF(AND(COUNTA($A15:$L15)&gt;0,$A15&lt;&gt;""),IF(COUNTIF($A$1:$A14,$A15)&gt;0,1,0),0)</f>
        <v>0</v>
      </c>
      <c r="Y15" s="52">
        <f>IF(AND(COUNTA($A15:$L15)&gt;0,$A15&lt;&gt;""),IF(COUNTIF(Inventory_Ledger!$A$2:$A$2001,$A15)&gt;0,1,0),0)</f>
        <v>0</v>
      </c>
      <c r="Z15" s="52">
        <f>IF(AND(COUNTA($A15:$L15)&gt;0,$B15=""),1,0)</f>
        <v>0</v>
      </c>
      <c r="AA15" s="52">
        <f>IF(AND(COUNTA($A15:$L15)&gt;0,$B15&lt;&gt;""),IF($M15="ERR",1,0),0)</f>
        <v>0</v>
      </c>
      <c r="AB15" s="52">
        <f>IF(AND(COUNTA($A15:$L15)&gt;0,ISNUMBER($M15)),IF($M15&gt;Config!$B$4,1,0),0)</f>
        <v>0</v>
      </c>
      <c r="AC15" s="52">
        <f>IF(AND(COUNTA($A15:$L15)&gt;0,$C15=""),1,0)</f>
        <v>0</v>
      </c>
      <c r="AD15" s="52">
        <f>IF(AND(COUNTA($A15:$L15)&gt;0,$C15&lt;&gt;""),IF(COUNTIF(Config!$A$15:$A$34,$C15)=0,1,0),0)</f>
        <v>0</v>
      </c>
      <c r="AE15" s="52">
        <f>IF(AND(COUNTA($A15:$L15)&gt;0,$D15=""),1,0)</f>
        <v>0</v>
      </c>
      <c r="AF15" s="52">
        <f>IF(AND(COUNTA($A15:$L15)&gt;0,$D15&lt;&gt;""),IF(COUNTIF(Products!$A$2:$A$101,$D15)=0,1,0),0)</f>
        <v>0</v>
      </c>
      <c r="AG15" s="52">
        <f>IF(AND(COUNTA($A15:$L15)&gt;0,$C15="Receipt",$E15=""),1,0)</f>
        <v>0</v>
      </c>
      <c r="AH15" s="52">
        <f>IF(AND(COUNTA($A15:$L15)&gt;0,$E15&lt;&gt;""),IF(COUNTIF(Suppliers!$A$2:$A$51,$E15)=0,1,0),0)</f>
        <v>0</v>
      </c>
      <c r="AI15" s="52">
        <f>IF(AND(COUNTA($A15:$L15)&gt;0,$F15=""),1,0)</f>
        <v>0</v>
      </c>
      <c r="AJ15" s="52">
        <f>IF(AND(COUNTA($A15:$L15)&gt;0,$F15&lt;&gt;"",$D15&lt;&gt;"",OR($C15="Shipment",$C15="Adjustment")),IF($AF15=1,0,IF(COUNTIFS(Batches!$A$2:$A$301,$F15,Batches!$B$2:$B$301,$D15)+COUNTIFS($F$1:$F14,$F15,$D$1:$D14,$D15,$C$1:$C14,"Receipt")=0,1,0)),0)</f>
        <v>0</v>
      </c>
      <c r="AK15" s="52">
        <f>IF(AND(COUNTA($A15:$L15)&gt;0,$C15="Receipt",$G15=""),1,0)</f>
        <v>0</v>
      </c>
      <c r="AL15" s="52">
        <f>IF(AND(COUNTA($A15:$L15)&gt;0,$G15&lt;&gt;""),IF($N15="ERR",1,0),0)</f>
        <v>0</v>
      </c>
      <c r="AM15" s="52">
        <f>IF(AND(COUNTA($A15:$L15)&gt;0,$H15=""),1,0)</f>
        <v>0</v>
      </c>
      <c r="AN15" s="52">
        <f>IF(AND(COUNTA($A15:$L15)&gt;0,$H15&lt;&gt;""),IF($O15="ERR",1,IF(INT($O15)&lt;&gt;$O15,1,IF(AND(OR($C15="Receipt",$C15="Shipment"),$O15&lt;=0),1,IF(AND($C15="Adjustment",$O15=0),1,0)))),0)</f>
        <v>0</v>
      </c>
      <c r="AO15" s="52">
        <f>IF(AND(COUNTA($A15:$L15)&gt;0,$C15="Receipt",$I15=""),1,0)</f>
        <v>0</v>
      </c>
      <c r="AP15" s="52">
        <f>IF(AND(COUNTA($A15:$L15)&gt;0,$I15&lt;&gt;""),IF(IFERROR(INDEX(Config!$G$15:$G$34,MATCH($I15,Config!$E$15:$E$34,0)),"No")="Yes",0,1),0)</f>
        <v>0</v>
      </c>
      <c r="AQ15" s="52">
        <f>IF(AND(COUNTA($A15:$L15)&gt;0,$C15="Adjustment",$J15=""),1,0)</f>
        <v>0</v>
      </c>
      <c r="AR15" s="52">
        <f>IF(AND(COUNTA($A15:$L15)&gt;0,$L15=""),1,0)</f>
        <v>0</v>
      </c>
      <c r="AS15" s="52">
        <f>IF(AND(COUNTA($A15:$L15)&gt;0,ISNUMBER($S15)),IF($S15&lt;0,1,0),0)</f>
        <v>0</v>
      </c>
      <c r="AT15" s="52">
        <f>$W15</f>
        <v>0</v>
      </c>
      <c r="AU15" s="52">
        <f>$AT15+$X15</f>
        <v>0</v>
      </c>
      <c r="AV15" s="52">
        <f>$AU15+$Y15</f>
        <v>0</v>
      </c>
      <c r="AW15" s="52">
        <f>$AV15+$Z15</f>
        <v>0</v>
      </c>
      <c r="AX15" s="52">
        <f>$AW15+$AA15</f>
        <v>0</v>
      </c>
      <c r="AY15" s="52">
        <f>$AX15+$AB15</f>
        <v>0</v>
      </c>
      <c r="AZ15" s="52">
        <f>$AY15+$AC15</f>
        <v>0</v>
      </c>
      <c r="BA15" s="52">
        <f>$AZ15+$AD15</f>
        <v>0</v>
      </c>
      <c r="BB15" s="52">
        <f>$BA15+$AE15</f>
        <v>0</v>
      </c>
      <c r="BC15" s="52">
        <f>$BB15+$AF15</f>
        <v>0</v>
      </c>
      <c r="BD15" s="52">
        <f>$BC15+$AG15</f>
        <v>0</v>
      </c>
      <c r="BE15" s="52">
        <f>$BD15+$AH15</f>
        <v>0</v>
      </c>
      <c r="BF15" s="52">
        <f>$BE15+$AI15</f>
        <v>0</v>
      </c>
      <c r="BG15" s="52">
        <f>$BF15+$AJ15</f>
        <v>0</v>
      </c>
      <c r="BH15" s="52">
        <f>$BG15+$AK15</f>
        <v>0</v>
      </c>
      <c r="BI15" s="52">
        <f>$BH15+$AL15</f>
        <v>0</v>
      </c>
      <c r="BJ15" s="52">
        <f>$BI15+$AM15</f>
        <v>0</v>
      </c>
      <c r="BK15" s="52">
        <f>$BJ15+$AN15</f>
        <v>0</v>
      </c>
      <c r="BL15" s="52">
        <f>$BK15+$AO15</f>
        <v>0</v>
      </c>
      <c r="BM15" s="52">
        <f>$BL15+$AP15</f>
        <v>0</v>
      </c>
      <c r="BN15" s="52">
        <f>$BM15+$AQ15</f>
        <v>0</v>
      </c>
      <c r="BO15" s="52">
        <f>$BN15+$AR15</f>
        <v>0</v>
      </c>
      <c r="BP15" s="52">
        <f>$BO15+$AS15</f>
        <v>0</v>
      </c>
      <c r="BQ15" s="52">
        <f>SUM($T$1:$T14)</f>
        <v>10</v>
      </c>
      <c r="BR15" s="52" t="str">
        <f>IF(ISNUMBER($T15),IF($T15&gt;0,COUNTIF($T$2:$T15,"&gt;0"),""),"")</f>
        <v/>
      </c>
      <c r="BS15" s="52" t="str">
        <f>IF($BR15="","",$BQ15+$T15)</f>
        <v/>
      </c>
      <c r="BT15" s="52">
        <f>IF($U15="Ready",COUNTIF($U$2:$U15,"Ready"),"")</f>
        <v>5</v>
      </c>
      <c r="BU15" s="52">
        <f>IF(AND($U15="Ready",$C15="Receipt"),IF(COUNTIF(Batches!$A$2:$A$301,$F15)+COUNTIFS($F$1:$F14,$F15,$C$1:$C14,"Receipt",$U$1:$U14,"Ready")=0,1,0),0)</f>
        <v>0</v>
      </c>
      <c r="BV15" s="52" t="str">
        <f>IF($BU15=1,SUM($BU$2:$BU15),"")</f>
        <v/>
      </c>
    </row>
    <row r="16">
      <c r="A16" s="61" t="inlineStr">
        <is>
          <t>MV-2610-026</t>
        </is>
      </c>
      <c r="B16" s="61" t="inlineStr">
        <is>
          <t>2026-10-14</t>
        </is>
      </c>
      <c r="C16" s="61" t="inlineStr">
        <is>
          <t>Adjustment</t>
        </is>
      </c>
      <c r="D16" s="61" t="inlineStr">
        <is>
          <t>WPI-CHO-5LB</t>
        </is>
      </c>
      <c r="E16" s="61" t="n"/>
      <c r="F16" s="61" t="inlineStr">
        <is>
          <t>W5C2501A</t>
        </is>
      </c>
      <c r="G16" s="61" t="n"/>
      <c r="H16" s="61" t="inlineStr">
        <is>
          <t>-3</t>
        </is>
      </c>
      <c r="I16" s="61" t="n"/>
      <c r="J16" s="61" t="inlineStr">
        <is>
          <t>Damaged in warehouse</t>
        </is>
      </c>
      <c r="K16" s="61" t="inlineStr">
        <is>
          <t>CC-1014</t>
        </is>
      </c>
      <c r="L16" s="61" t="inlineStr">
        <is>
          <t>https://example.com/3pl/movements/MV-2610-026</t>
        </is>
      </c>
      <c r="M16" s="62">
        <f>IF($B16="","",IF(ISNUMBER($B16),$B16,IF(AND(LEN($B16)=10,MID($B16,5,1)="-",MID($B16,8,1)="-"),IFERROR(IF(AND(MONTH(DATE(VALUE(LEFT($B16,4)),VALUE(MID($B16,6,2)),VALUE(RIGHT($B16,2))))=VALUE(MID($B16,6,2)),DAY(DATE(VALUE(LEFT($B16,4)),VALUE(MID($B16,6,2)),VALUE(RIGHT($B16,2))))=VALUE(RIGHT($B16,2))),DATE(VALUE(LEFT($B16,4)),VALUE(MID($B16,6,2)),VALUE(RIGHT($B16,2))),"ERR"),"ERR"),"ERR")))</f>
        <v>46309</v>
      </c>
      <c r="N16" s="62" t="str">
        <f>IF($G16="","",IF(ISNUMBER($G16),$G16,IF(AND(LEN($G16)=10,MID($G16,5,1)="-",MID($G16,8,1)="-"),IFERROR(IF(AND(MONTH(DATE(VALUE(LEFT($G16,4)),VALUE(MID($G16,6,2)),VALUE(RIGHT($G16,2))))=VALUE(MID($G16,6,2)),DAY(DATE(VALUE(LEFT($G16,4)),VALUE(MID($G16,6,2)),VALUE(RIGHT($G16,2))))=VALUE(RIGHT($G16,2))),DATE(VALUE(LEFT($G16,4)),VALUE(MID($G16,6,2)),VALUE(RIGHT($G16,2))),"ERR"),"ERR"),"ERR")))</f>
        <v/>
      </c>
      <c r="O16" s="51">
        <f>IF($H16="","",IF(ISNUMBER($H16),$H16,IFERROR(VALUE($H16),"ERR")))</f>
        <v>-3</v>
      </c>
      <c r="P16" s="51">
        <f>IF(AND(ISNUMBER($O16),OR($C16="Receipt",$C16="Shipment",$C16="Adjustment")),IF($C16="Shipment",-$O16,$O16),"")</f>
        <v>-3</v>
      </c>
      <c r="Q16" s="51">
        <f>IF($D16="","",IFERROR(INDEX(Products!$R$2:$R$101,MATCH($D16,Products!$A$2:$A$101,0)),""))</f>
        <v>264</v>
      </c>
      <c r="R16" s="51">
        <f>IF(OR($Q16="",$P16=""),"",$Q16+SUMIFS($P$1:$P15,$D$1:$D15,$D16,$U$1:$U15,"Ready"))</f>
        <v>264</v>
      </c>
      <c r="S16" s="51">
        <f>IF($R16="","",$R16+$P16)</f>
        <v>261</v>
      </c>
      <c r="T16" s="52">
        <f>IF(COUNTA($A16:$L16)&gt;0,$BP16,"")</f>
        <v>0</v>
      </c>
      <c r="U16" s="49" t="str">
        <f>IF($T16="","",IF($T16=0,"Ready","Rejected"))</f>
        <v>Ready</v>
      </c>
      <c r="V16" s="49" t="str">
        <f>IF(OR($T16="",$T16=0),"",INDEX(Config!$D$39:$D$61,MATCH(1,$AT16:$BP16,0))&amp;IF($T16&gt;1," (+"&amp;($T16-1)&amp;" more)",""))</f>
        <v/>
      </c>
      <c r="W16" s="52">
        <f>IF(AND(COUNTA($A16:$L16)&gt;0,$A16=""),1,0)</f>
        <v>0</v>
      </c>
      <c r="X16" s="52">
        <f>IF(AND(COUNTA($A16:$L16)&gt;0,$A16&lt;&gt;""),IF(COUNTIF($A$1:$A15,$A16)&gt;0,1,0),0)</f>
        <v>0</v>
      </c>
      <c r="Y16" s="52">
        <f>IF(AND(COUNTA($A16:$L16)&gt;0,$A16&lt;&gt;""),IF(COUNTIF(Inventory_Ledger!$A$2:$A$2001,$A16)&gt;0,1,0),0)</f>
        <v>0</v>
      </c>
      <c r="Z16" s="52">
        <f>IF(AND(COUNTA($A16:$L16)&gt;0,$B16=""),1,0)</f>
        <v>0</v>
      </c>
      <c r="AA16" s="52">
        <f>IF(AND(COUNTA($A16:$L16)&gt;0,$B16&lt;&gt;""),IF($M16="ERR",1,0),0)</f>
        <v>0</v>
      </c>
      <c r="AB16" s="52">
        <f>IF(AND(COUNTA($A16:$L16)&gt;0,ISNUMBER($M16)),IF($M16&gt;Config!$B$4,1,0),0)</f>
        <v>0</v>
      </c>
      <c r="AC16" s="52">
        <f>IF(AND(COUNTA($A16:$L16)&gt;0,$C16=""),1,0)</f>
        <v>0</v>
      </c>
      <c r="AD16" s="52">
        <f>IF(AND(COUNTA($A16:$L16)&gt;0,$C16&lt;&gt;""),IF(COUNTIF(Config!$A$15:$A$34,$C16)=0,1,0),0)</f>
        <v>0</v>
      </c>
      <c r="AE16" s="52">
        <f>IF(AND(COUNTA($A16:$L16)&gt;0,$D16=""),1,0)</f>
        <v>0</v>
      </c>
      <c r="AF16" s="52">
        <f>IF(AND(COUNTA($A16:$L16)&gt;0,$D16&lt;&gt;""),IF(COUNTIF(Products!$A$2:$A$101,$D16)=0,1,0),0)</f>
        <v>0</v>
      </c>
      <c r="AG16" s="52">
        <f>IF(AND(COUNTA($A16:$L16)&gt;0,$C16="Receipt",$E16=""),1,0)</f>
        <v>0</v>
      </c>
      <c r="AH16" s="52">
        <f>IF(AND(COUNTA($A16:$L16)&gt;0,$E16&lt;&gt;""),IF(COUNTIF(Suppliers!$A$2:$A$51,$E16)=0,1,0),0)</f>
        <v>0</v>
      </c>
      <c r="AI16" s="52">
        <f>IF(AND(COUNTA($A16:$L16)&gt;0,$F16=""),1,0)</f>
        <v>0</v>
      </c>
      <c r="AJ16" s="52">
        <f>IF(AND(COUNTA($A16:$L16)&gt;0,$F16&lt;&gt;"",$D16&lt;&gt;"",OR($C16="Shipment",$C16="Adjustment")),IF($AF16=1,0,IF(COUNTIFS(Batches!$A$2:$A$301,$F16,Batches!$B$2:$B$301,$D16)+COUNTIFS($F$1:$F15,$F16,$D$1:$D15,$D16,$C$1:$C15,"Receipt")=0,1,0)),0)</f>
        <v>0</v>
      </c>
      <c r="AK16" s="52">
        <f>IF(AND(COUNTA($A16:$L16)&gt;0,$C16="Receipt",$G16=""),1,0)</f>
        <v>0</v>
      </c>
      <c r="AL16" s="52">
        <f>IF(AND(COUNTA($A16:$L16)&gt;0,$G16&lt;&gt;""),IF($N16="ERR",1,0),0)</f>
        <v>0</v>
      </c>
      <c r="AM16" s="52">
        <f>IF(AND(COUNTA($A16:$L16)&gt;0,$H16=""),1,0)</f>
        <v>0</v>
      </c>
      <c r="AN16" s="52">
        <f>IF(AND(COUNTA($A16:$L16)&gt;0,$H16&lt;&gt;""),IF($O16="ERR",1,IF(INT($O16)&lt;&gt;$O16,1,IF(AND(OR($C16="Receipt",$C16="Shipment"),$O16&lt;=0),1,IF(AND($C16="Adjustment",$O16=0),1,0)))),0)</f>
        <v>0</v>
      </c>
      <c r="AO16" s="52">
        <f>IF(AND(COUNTA($A16:$L16)&gt;0,$C16="Receipt",$I16=""),1,0)</f>
        <v>0</v>
      </c>
      <c r="AP16" s="52">
        <f>IF(AND(COUNTA($A16:$L16)&gt;0,$I16&lt;&gt;""),IF(IFERROR(INDEX(Config!$G$15:$G$34,MATCH($I16,Config!$E$15:$E$34,0)),"No")="Yes",0,1),0)</f>
        <v>0</v>
      </c>
      <c r="AQ16" s="52">
        <f>IF(AND(COUNTA($A16:$L16)&gt;0,$C16="Adjustment",$J16=""),1,0)</f>
        <v>0</v>
      </c>
      <c r="AR16" s="52">
        <f>IF(AND(COUNTA($A16:$L16)&gt;0,$L16=""),1,0)</f>
        <v>0</v>
      </c>
      <c r="AS16" s="52">
        <f>IF(AND(COUNTA($A16:$L16)&gt;0,ISNUMBER($S16)),IF($S16&lt;0,1,0),0)</f>
        <v>0</v>
      </c>
      <c r="AT16" s="52">
        <f>$W16</f>
        <v>0</v>
      </c>
      <c r="AU16" s="52">
        <f>$AT16+$X16</f>
        <v>0</v>
      </c>
      <c r="AV16" s="52">
        <f>$AU16+$Y16</f>
        <v>0</v>
      </c>
      <c r="AW16" s="52">
        <f>$AV16+$Z16</f>
        <v>0</v>
      </c>
      <c r="AX16" s="52">
        <f>$AW16+$AA16</f>
        <v>0</v>
      </c>
      <c r="AY16" s="52">
        <f>$AX16+$AB16</f>
        <v>0</v>
      </c>
      <c r="AZ16" s="52">
        <f>$AY16+$AC16</f>
        <v>0</v>
      </c>
      <c r="BA16" s="52">
        <f>$AZ16+$AD16</f>
        <v>0</v>
      </c>
      <c r="BB16" s="52">
        <f>$BA16+$AE16</f>
        <v>0</v>
      </c>
      <c r="BC16" s="52">
        <f>$BB16+$AF16</f>
        <v>0</v>
      </c>
      <c r="BD16" s="52">
        <f>$BC16+$AG16</f>
        <v>0</v>
      </c>
      <c r="BE16" s="52">
        <f>$BD16+$AH16</f>
        <v>0</v>
      </c>
      <c r="BF16" s="52">
        <f>$BE16+$AI16</f>
        <v>0</v>
      </c>
      <c r="BG16" s="52">
        <f>$BF16+$AJ16</f>
        <v>0</v>
      </c>
      <c r="BH16" s="52">
        <f>$BG16+$AK16</f>
        <v>0</v>
      </c>
      <c r="BI16" s="52">
        <f>$BH16+$AL16</f>
        <v>0</v>
      </c>
      <c r="BJ16" s="52">
        <f>$BI16+$AM16</f>
        <v>0</v>
      </c>
      <c r="BK16" s="52">
        <f>$BJ16+$AN16</f>
        <v>0</v>
      </c>
      <c r="BL16" s="52">
        <f>$BK16+$AO16</f>
        <v>0</v>
      </c>
      <c r="BM16" s="52">
        <f>$BL16+$AP16</f>
        <v>0</v>
      </c>
      <c r="BN16" s="52">
        <f>$BM16+$AQ16</f>
        <v>0</v>
      </c>
      <c r="BO16" s="52">
        <f>$BN16+$AR16</f>
        <v>0</v>
      </c>
      <c r="BP16" s="52">
        <f>$BO16+$AS16</f>
        <v>0</v>
      </c>
      <c r="BQ16" s="52">
        <f>SUM($T$1:$T15)</f>
        <v>10</v>
      </c>
      <c r="BR16" s="52" t="str">
        <f>IF(ISNUMBER($T16),IF($T16&gt;0,COUNTIF($T$2:$T16,"&gt;0"),""),"")</f>
        <v/>
      </c>
      <c r="BS16" s="52" t="str">
        <f>IF($BR16="","",$BQ16+$T16)</f>
        <v/>
      </c>
      <c r="BT16" s="52">
        <f>IF($U16="Ready",COUNTIF($U$2:$U16,"Ready"),"")</f>
        <v>6</v>
      </c>
      <c r="BU16" s="52">
        <f>IF(AND($U16="Ready",$C16="Receipt"),IF(COUNTIF(Batches!$A$2:$A$301,$F16)+COUNTIFS($F$1:$F15,$F16,$C$1:$C15,"Receipt",$U$1:$U15,"Ready")=0,1,0),0)</f>
        <v>0</v>
      </c>
      <c r="BV16" s="52" t="str">
        <f>IF($BU16=1,SUM($BU$2:$BU16),"")</f>
        <v/>
      </c>
    </row>
    <row r="17">
      <c r="A17" s="61" t="inlineStr">
        <is>
          <t>MV-2610-027</t>
        </is>
      </c>
      <c r="B17" s="61" t="inlineStr">
        <is>
          <t>2026-10-14</t>
        </is>
      </c>
      <c r="C17" s="61" t="inlineStr">
        <is>
          <t>Shipment</t>
        </is>
      </c>
      <c r="D17" s="61" t="inlineStr">
        <is>
          <t>CAS-CHO-2LB</t>
        </is>
      </c>
      <c r="E17" s="61" t="n"/>
      <c r="F17" s="61" t="inlineStr">
        <is>
          <t>CCA2412A</t>
        </is>
      </c>
      <c r="G17" s="61" t="n"/>
      <c r="H17" s="61" t="inlineStr">
        <is>
          <t>18</t>
        </is>
      </c>
      <c r="I17" s="61" t="n"/>
      <c r="J17" s="61" t="n"/>
      <c r="K17" s="61" t="inlineStr">
        <is>
          <t>OB-1014</t>
        </is>
      </c>
      <c r="L17" s="61" t="inlineStr">
        <is>
          <t>https://example.com/3pl/movements/MV-2610-027</t>
        </is>
      </c>
      <c r="M17" s="62">
        <f>IF($B17="","",IF(ISNUMBER($B17),$B17,IF(AND(LEN($B17)=10,MID($B17,5,1)="-",MID($B17,8,1)="-"),IFERROR(IF(AND(MONTH(DATE(VALUE(LEFT($B17,4)),VALUE(MID($B17,6,2)),VALUE(RIGHT($B17,2))))=VALUE(MID($B17,6,2)),DAY(DATE(VALUE(LEFT($B17,4)),VALUE(MID($B17,6,2)),VALUE(RIGHT($B17,2))))=VALUE(RIGHT($B17,2))),DATE(VALUE(LEFT($B17,4)),VALUE(MID($B17,6,2)),VALUE(RIGHT($B17,2))),"ERR"),"ERR"),"ERR")))</f>
        <v>46309</v>
      </c>
      <c r="N17" s="62" t="str">
        <f>IF($G17="","",IF(ISNUMBER($G17),$G17,IF(AND(LEN($G17)=10,MID($G17,5,1)="-",MID($G17,8,1)="-"),IFERROR(IF(AND(MONTH(DATE(VALUE(LEFT($G17,4)),VALUE(MID($G17,6,2)),VALUE(RIGHT($G17,2))))=VALUE(MID($G17,6,2)),DAY(DATE(VALUE(LEFT($G17,4)),VALUE(MID($G17,6,2)),VALUE(RIGHT($G17,2))))=VALUE(RIGHT($G17,2))),DATE(VALUE(LEFT($G17,4)),VALUE(MID($G17,6,2)),VALUE(RIGHT($G17,2))),"ERR"),"ERR"),"ERR")))</f>
        <v/>
      </c>
      <c r="O17" s="51">
        <f>IF($H17="","",IF(ISNUMBER($H17),$H17,IFERROR(VALUE($H17),"ERR")))</f>
        <v>18</v>
      </c>
      <c r="P17" s="51">
        <f>IF(AND(ISNUMBER($O17),OR($C17="Receipt",$C17="Shipment",$C17="Adjustment")),IF($C17="Shipment",-$O17,$O17),"")</f>
        <v>-18</v>
      </c>
      <c r="Q17" s="51">
        <f>IF($D17="","",IFERROR(INDEX(Products!$R$2:$R$101,MATCH($D17,Products!$A$2:$A$101,0)),""))</f>
        <v>200</v>
      </c>
      <c r="R17" s="51">
        <f>IF(OR($Q17="",$P17=""),"",$Q17+SUMIFS($P$1:$P16,$D$1:$D16,$D17,$U$1:$U16,"Ready"))</f>
        <v>200</v>
      </c>
      <c r="S17" s="51">
        <f>IF($R17="","",$R17+$P17)</f>
        <v>182</v>
      </c>
      <c r="T17" s="52">
        <f>IF(COUNTA($A17:$L17)&gt;0,$BP17,"")</f>
        <v>0</v>
      </c>
      <c r="U17" s="49" t="str">
        <f>IF($T17="","",IF($T17=0,"Ready","Rejected"))</f>
        <v>Ready</v>
      </c>
      <c r="V17" s="49" t="str">
        <f>IF(OR($T17="",$T17=0),"",INDEX(Config!$D$39:$D$61,MATCH(1,$AT17:$BP17,0))&amp;IF($T17&gt;1," (+"&amp;($T17-1)&amp;" more)",""))</f>
        <v/>
      </c>
      <c r="W17" s="52">
        <f>IF(AND(COUNTA($A17:$L17)&gt;0,$A17=""),1,0)</f>
        <v>0</v>
      </c>
      <c r="X17" s="52">
        <f>IF(AND(COUNTA($A17:$L17)&gt;0,$A17&lt;&gt;""),IF(COUNTIF($A$1:$A16,$A17)&gt;0,1,0),0)</f>
        <v>0</v>
      </c>
      <c r="Y17" s="52">
        <f>IF(AND(COUNTA($A17:$L17)&gt;0,$A17&lt;&gt;""),IF(COUNTIF(Inventory_Ledger!$A$2:$A$2001,$A17)&gt;0,1,0),0)</f>
        <v>0</v>
      </c>
      <c r="Z17" s="52">
        <f>IF(AND(COUNTA($A17:$L17)&gt;0,$B17=""),1,0)</f>
        <v>0</v>
      </c>
      <c r="AA17" s="52">
        <f>IF(AND(COUNTA($A17:$L17)&gt;0,$B17&lt;&gt;""),IF($M17="ERR",1,0),0)</f>
        <v>0</v>
      </c>
      <c r="AB17" s="52">
        <f>IF(AND(COUNTA($A17:$L17)&gt;0,ISNUMBER($M17)),IF($M17&gt;Config!$B$4,1,0),0)</f>
        <v>0</v>
      </c>
      <c r="AC17" s="52">
        <f>IF(AND(COUNTA($A17:$L17)&gt;0,$C17=""),1,0)</f>
        <v>0</v>
      </c>
      <c r="AD17" s="52">
        <f>IF(AND(COUNTA($A17:$L17)&gt;0,$C17&lt;&gt;""),IF(COUNTIF(Config!$A$15:$A$34,$C17)=0,1,0),0)</f>
        <v>0</v>
      </c>
      <c r="AE17" s="52">
        <f>IF(AND(COUNTA($A17:$L17)&gt;0,$D17=""),1,0)</f>
        <v>0</v>
      </c>
      <c r="AF17" s="52">
        <f>IF(AND(COUNTA($A17:$L17)&gt;0,$D17&lt;&gt;""),IF(COUNTIF(Products!$A$2:$A$101,$D17)=0,1,0),0)</f>
        <v>0</v>
      </c>
      <c r="AG17" s="52">
        <f>IF(AND(COUNTA($A17:$L17)&gt;0,$C17="Receipt",$E17=""),1,0)</f>
        <v>0</v>
      </c>
      <c r="AH17" s="52">
        <f>IF(AND(COUNTA($A17:$L17)&gt;0,$E17&lt;&gt;""),IF(COUNTIF(Suppliers!$A$2:$A$51,$E17)=0,1,0),0)</f>
        <v>0</v>
      </c>
      <c r="AI17" s="52">
        <f>IF(AND(COUNTA($A17:$L17)&gt;0,$F17=""),1,0)</f>
        <v>0</v>
      </c>
      <c r="AJ17" s="52">
        <f>IF(AND(COUNTA($A17:$L17)&gt;0,$F17&lt;&gt;"",$D17&lt;&gt;"",OR($C17="Shipment",$C17="Adjustment")),IF($AF17=1,0,IF(COUNTIFS(Batches!$A$2:$A$301,$F17,Batches!$B$2:$B$301,$D17)+COUNTIFS($F$1:$F16,$F17,$D$1:$D16,$D17,$C$1:$C16,"Receipt")=0,1,0)),0)</f>
        <v>0</v>
      </c>
      <c r="AK17" s="52">
        <f>IF(AND(COUNTA($A17:$L17)&gt;0,$C17="Receipt",$G17=""),1,0)</f>
        <v>0</v>
      </c>
      <c r="AL17" s="52">
        <f>IF(AND(COUNTA($A17:$L17)&gt;0,$G17&lt;&gt;""),IF($N17="ERR",1,0),0)</f>
        <v>0</v>
      </c>
      <c r="AM17" s="52">
        <f>IF(AND(COUNTA($A17:$L17)&gt;0,$H17=""),1,0)</f>
        <v>0</v>
      </c>
      <c r="AN17" s="52">
        <f>IF(AND(COUNTA($A17:$L17)&gt;0,$H17&lt;&gt;""),IF($O17="ERR",1,IF(INT($O17)&lt;&gt;$O17,1,IF(AND(OR($C17="Receipt",$C17="Shipment"),$O17&lt;=0),1,IF(AND($C17="Adjustment",$O17=0),1,0)))),0)</f>
        <v>0</v>
      </c>
      <c r="AO17" s="52">
        <f>IF(AND(COUNTA($A17:$L17)&gt;0,$C17="Receipt",$I17=""),1,0)</f>
        <v>0</v>
      </c>
      <c r="AP17" s="52">
        <f>IF(AND(COUNTA($A17:$L17)&gt;0,$I17&lt;&gt;""),IF(IFERROR(INDEX(Config!$G$15:$G$34,MATCH($I17,Config!$E$15:$E$34,0)),"No")="Yes",0,1),0)</f>
        <v>0</v>
      </c>
      <c r="AQ17" s="52">
        <f>IF(AND(COUNTA($A17:$L17)&gt;0,$C17="Adjustment",$J17=""),1,0)</f>
        <v>0</v>
      </c>
      <c r="AR17" s="52">
        <f>IF(AND(COUNTA($A17:$L17)&gt;0,$L17=""),1,0)</f>
        <v>0</v>
      </c>
      <c r="AS17" s="52">
        <f>IF(AND(COUNTA($A17:$L17)&gt;0,ISNUMBER($S17)),IF($S17&lt;0,1,0),0)</f>
        <v>0</v>
      </c>
      <c r="AT17" s="52">
        <f>$W17</f>
        <v>0</v>
      </c>
      <c r="AU17" s="52">
        <f>$AT17+$X17</f>
        <v>0</v>
      </c>
      <c r="AV17" s="52">
        <f>$AU17+$Y17</f>
        <v>0</v>
      </c>
      <c r="AW17" s="52">
        <f>$AV17+$Z17</f>
        <v>0</v>
      </c>
      <c r="AX17" s="52">
        <f>$AW17+$AA17</f>
        <v>0</v>
      </c>
      <c r="AY17" s="52">
        <f>$AX17+$AB17</f>
        <v>0</v>
      </c>
      <c r="AZ17" s="52">
        <f>$AY17+$AC17</f>
        <v>0</v>
      </c>
      <c r="BA17" s="52">
        <f>$AZ17+$AD17</f>
        <v>0</v>
      </c>
      <c r="BB17" s="52">
        <f>$BA17+$AE17</f>
        <v>0</v>
      </c>
      <c r="BC17" s="52">
        <f>$BB17+$AF17</f>
        <v>0</v>
      </c>
      <c r="BD17" s="52">
        <f>$BC17+$AG17</f>
        <v>0</v>
      </c>
      <c r="BE17" s="52">
        <f>$BD17+$AH17</f>
        <v>0</v>
      </c>
      <c r="BF17" s="52">
        <f>$BE17+$AI17</f>
        <v>0</v>
      </c>
      <c r="BG17" s="52">
        <f>$BF17+$AJ17</f>
        <v>0</v>
      </c>
      <c r="BH17" s="52">
        <f>$BG17+$AK17</f>
        <v>0</v>
      </c>
      <c r="BI17" s="52">
        <f>$BH17+$AL17</f>
        <v>0</v>
      </c>
      <c r="BJ17" s="52">
        <f>$BI17+$AM17</f>
        <v>0</v>
      </c>
      <c r="BK17" s="52">
        <f>$BJ17+$AN17</f>
        <v>0</v>
      </c>
      <c r="BL17" s="52">
        <f>$BK17+$AO17</f>
        <v>0</v>
      </c>
      <c r="BM17" s="52">
        <f>$BL17+$AP17</f>
        <v>0</v>
      </c>
      <c r="BN17" s="52">
        <f>$BM17+$AQ17</f>
        <v>0</v>
      </c>
      <c r="BO17" s="52">
        <f>$BN17+$AR17</f>
        <v>0</v>
      </c>
      <c r="BP17" s="52">
        <f>$BO17+$AS17</f>
        <v>0</v>
      </c>
      <c r="BQ17" s="52">
        <f>SUM($T$1:$T16)</f>
        <v>10</v>
      </c>
      <c r="BR17" s="52" t="str">
        <f>IF(ISNUMBER($T17),IF($T17&gt;0,COUNTIF($T$2:$T17,"&gt;0"),""),"")</f>
        <v/>
      </c>
      <c r="BS17" s="52" t="str">
        <f>IF($BR17="","",$BQ17+$T17)</f>
        <v/>
      </c>
      <c r="BT17" s="52">
        <f>IF($U17="Ready",COUNTIF($U$2:$U17,"Ready"),"")</f>
        <v>7</v>
      </c>
      <c r="BU17" s="52">
        <f>IF(AND($U17="Ready",$C17="Receipt"),IF(COUNTIF(Batches!$A$2:$A$301,$F17)+COUNTIFS($F$1:$F16,$F17,$C$1:$C16,"Receipt",$U$1:$U16,"Ready")=0,1,0),0)</f>
        <v>0</v>
      </c>
      <c r="BV17" s="52" t="str">
        <f>IF($BU17=1,SUM($BU$2:$BU17),"")</f>
        <v/>
      </c>
    </row>
    <row r="18">
      <c r="A18" s="61" t="inlineStr">
        <is>
          <t>MV-2610-028</t>
        </is>
      </c>
      <c r="B18" s="61" t="inlineStr">
        <is>
          <t>2026-10-14</t>
        </is>
      </c>
      <c r="C18" s="61" t="inlineStr">
        <is>
          <t>Shipment</t>
        </is>
      </c>
      <c r="D18" s="61" t="inlineStr">
        <is>
          <t>PLT-VAN-2LB</t>
        </is>
      </c>
      <c r="E18" s="61" t="n"/>
      <c r="F18" s="61" t="inlineStr">
        <is>
          <t>PVA2411A</t>
        </is>
      </c>
      <c r="G18" s="61" t="n"/>
      <c r="H18" s="61" t="inlineStr">
        <is>
          <t>12 cs</t>
        </is>
      </c>
      <c r="I18" s="61" t="n"/>
      <c r="J18" s="61" t="n"/>
      <c r="K18" s="61" t="inlineStr">
        <is>
          <t>OB-1014</t>
        </is>
      </c>
      <c r="L18" s="61" t="inlineStr">
        <is>
          <t>https://example.com/3pl/movements/MV-2610-028</t>
        </is>
      </c>
      <c r="M18" s="62">
        <f>IF($B18="","",IF(ISNUMBER($B18),$B18,IF(AND(LEN($B18)=10,MID($B18,5,1)="-",MID($B18,8,1)="-"),IFERROR(IF(AND(MONTH(DATE(VALUE(LEFT($B18,4)),VALUE(MID($B18,6,2)),VALUE(RIGHT($B18,2))))=VALUE(MID($B18,6,2)),DAY(DATE(VALUE(LEFT($B18,4)),VALUE(MID($B18,6,2)),VALUE(RIGHT($B18,2))))=VALUE(RIGHT($B18,2))),DATE(VALUE(LEFT($B18,4)),VALUE(MID($B18,6,2)),VALUE(RIGHT($B18,2))),"ERR"),"ERR"),"ERR")))</f>
        <v>46309</v>
      </c>
      <c r="N18" s="62" t="str">
        <f>IF($G18="","",IF(ISNUMBER($G18),$G18,IF(AND(LEN($G18)=10,MID($G18,5,1)="-",MID($G18,8,1)="-"),IFERROR(IF(AND(MONTH(DATE(VALUE(LEFT($G18,4)),VALUE(MID($G18,6,2)),VALUE(RIGHT($G18,2))))=VALUE(MID($G18,6,2)),DAY(DATE(VALUE(LEFT($G18,4)),VALUE(MID($G18,6,2)),VALUE(RIGHT($G18,2))))=VALUE(RIGHT($G18,2))),DATE(VALUE(LEFT($G18,4)),VALUE(MID($G18,6,2)),VALUE(RIGHT($G18,2))),"ERR"),"ERR"),"ERR")))</f>
        <v/>
      </c>
      <c r="O18" s="51" t="str">
        <f>IF($H18="","",IF(ISNUMBER($H18),$H18,IFERROR(VALUE($H18),"ERR")))</f>
        <v>ERR</v>
      </c>
      <c r="P18" s="51" t="str">
        <f>IF(AND(ISNUMBER($O18),OR($C18="Receipt",$C18="Shipment",$C18="Adjustment")),IF($C18="Shipment",-$O18,$O18),"")</f>
        <v/>
      </c>
      <c r="Q18" s="51">
        <f>IF($D18="","",IFERROR(INDEX(Products!$R$2:$R$101,MATCH($D18,Products!$A$2:$A$101,0)),""))</f>
        <v>133</v>
      </c>
      <c r="R18" s="51" t="str">
        <f>IF(OR($Q18="",$P18=""),"",$Q18+SUMIFS($P$1:$P17,$D$1:$D17,$D18,$U$1:$U17,"Ready"))</f>
        <v/>
      </c>
      <c r="S18" s="51" t="str">
        <f>IF($R18="","",$R18+$P18)</f>
        <v/>
      </c>
      <c r="T18" s="52">
        <f>IF(COUNTA($A18:$L18)&gt;0,$BP18,"")</f>
        <v>1</v>
      </c>
      <c r="U18" s="49" t="str">
        <f>IF($T18="","",IF($T18=0,"Ready","Rejected"))</f>
        <v>Rejected</v>
      </c>
      <c r="V18" s="49" t="str">
        <f>IF(OR($T18="",$T18=0),"",INDEX(Config!$D$39:$D$61,MATCH(1,$AT18:$BP18,0))&amp;IF($T18&gt;1," (+"&amp;($T18-1)&amp;" more)",""))</f>
        <v>Invalid quantity</v>
      </c>
      <c r="W18" s="52">
        <f>IF(AND(COUNTA($A18:$L18)&gt;0,$A18=""),1,0)</f>
        <v>0</v>
      </c>
      <c r="X18" s="52">
        <f>IF(AND(COUNTA($A18:$L18)&gt;0,$A18&lt;&gt;""),IF(COUNTIF($A$1:$A17,$A18)&gt;0,1,0),0)</f>
        <v>0</v>
      </c>
      <c r="Y18" s="52">
        <f>IF(AND(COUNTA($A18:$L18)&gt;0,$A18&lt;&gt;""),IF(COUNTIF(Inventory_Ledger!$A$2:$A$2001,$A18)&gt;0,1,0),0)</f>
        <v>0</v>
      </c>
      <c r="Z18" s="52">
        <f>IF(AND(COUNTA($A18:$L18)&gt;0,$B18=""),1,0)</f>
        <v>0</v>
      </c>
      <c r="AA18" s="52">
        <f>IF(AND(COUNTA($A18:$L18)&gt;0,$B18&lt;&gt;""),IF($M18="ERR",1,0),0)</f>
        <v>0</v>
      </c>
      <c r="AB18" s="52">
        <f>IF(AND(COUNTA($A18:$L18)&gt;0,ISNUMBER($M18)),IF($M18&gt;Config!$B$4,1,0),0)</f>
        <v>0</v>
      </c>
      <c r="AC18" s="52">
        <f>IF(AND(COUNTA($A18:$L18)&gt;0,$C18=""),1,0)</f>
        <v>0</v>
      </c>
      <c r="AD18" s="52">
        <f>IF(AND(COUNTA($A18:$L18)&gt;0,$C18&lt;&gt;""),IF(COUNTIF(Config!$A$15:$A$34,$C18)=0,1,0),0)</f>
        <v>0</v>
      </c>
      <c r="AE18" s="52">
        <f>IF(AND(COUNTA($A18:$L18)&gt;0,$D18=""),1,0)</f>
        <v>0</v>
      </c>
      <c r="AF18" s="52">
        <f>IF(AND(COUNTA($A18:$L18)&gt;0,$D18&lt;&gt;""),IF(COUNTIF(Products!$A$2:$A$101,$D18)=0,1,0),0)</f>
        <v>0</v>
      </c>
      <c r="AG18" s="52">
        <f>IF(AND(COUNTA($A18:$L18)&gt;0,$C18="Receipt",$E18=""),1,0)</f>
        <v>0</v>
      </c>
      <c r="AH18" s="52">
        <f>IF(AND(COUNTA($A18:$L18)&gt;0,$E18&lt;&gt;""),IF(COUNTIF(Suppliers!$A$2:$A$51,$E18)=0,1,0),0)</f>
        <v>0</v>
      </c>
      <c r="AI18" s="52">
        <f>IF(AND(COUNTA($A18:$L18)&gt;0,$F18=""),1,0)</f>
        <v>0</v>
      </c>
      <c r="AJ18" s="52">
        <f>IF(AND(COUNTA($A18:$L18)&gt;0,$F18&lt;&gt;"",$D18&lt;&gt;"",OR($C18="Shipment",$C18="Adjustment")),IF($AF18=1,0,IF(COUNTIFS(Batches!$A$2:$A$301,$F18,Batches!$B$2:$B$301,$D18)+COUNTIFS($F$1:$F17,$F18,$D$1:$D17,$D18,$C$1:$C17,"Receipt")=0,1,0)),0)</f>
        <v>0</v>
      </c>
      <c r="AK18" s="52">
        <f>IF(AND(COUNTA($A18:$L18)&gt;0,$C18="Receipt",$G18=""),1,0)</f>
        <v>0</v>
      </c>
      <c r="AL18" s="52">
        <f>IF(AND(COUNTA($A18:$L18)&gt;0,$G18&lt;&gt;""),IF($N18="ERR",1,0),0)</f>
        <v>0</v>
      </c>
      <c r="AM18" s="52">
        <f>IF(AND(COUNTA($A18:$L18)&gt;0,$H18=""),1,0)</f>
        <v>0</v>
      </c>
      <c r="AN18" s="52">
        <f>IF(AND(COUNTA($A18:$L18)&gt;0,$H18&lt;&gt;""),IF($O18="ERR",1,IF(INT($O18)&lt;&gt;$O18,1,IF(AND(OR($C18="Receipt",$C18="Shipment"),$O18&lt;=0),1,IF(AND($C18="Adjustment",$O18=0),1,0)))),0)</f>
        <v>1</v>
      </c>
      <c r="AO18" s="52">
        <f>IF(AND(COUNTA($A18:$L18)&gt;0,$C18="Receipt",$I18=""),1,0)</f>
        <v>0</v>
      </c>
      <c r="AP18" s="52">
        <f>IF(AND(COUNTA($A18:$L18)&gt;0,$I18&lt;&gt;""),IF(IFERROR(INDEX(Config!$G$15:$G$34,MATCH($I18,Config!$E$15:$E$34,0)),"No")="Yes",0,1),0)</f>
        <v>0</v>
      </c>
      <c r="AQ18" s="52">
        <f>IF(AND(COUNTA($A18:$L18)&gt;0,$C18="Adjustment",$J18=""),1,0)</f>
        <v>0</v>
      </c>
      <c r="AR18" s="52">
        <f>IF(AND(COUNTA($A18:$L18)&gt;0,$L18=""),1,0)</f>
        <v>0</v>
      </c>
      <c r="AS18" s="52">
        <f>IF(AND(COUNTA($A18:$L18)&gt;0,ISNUMBER($S18)),IF($S18&lt;0,1,0),0)</f>
        <v>0</v>
      </c>
      <c r="AT18" s="52">
        <f>$W18</f>
        <v>0</v>
      </c>
      <c r="AU18" s="52">
        <f>$AT18+$X18</f>
        <v>0</v>
      </c>
      <c r="AV18" s="52">
        <f>$AU18+$Y18</f>
        <v>0</v>
      </c>
      <c r="AW18" s="52">
        <f>$AV18+$Z18</f>
        <v>0</v>
      </c>
      <c r="AX18" s="52">
        <f>$AW18+$AA18</f>
        <v>0</v>
      </c>
      <c r="AY18" s="52">
        <f>$AX18+$AB18</f>
        <v>0</v>
      </c>
      <c r="AZ18" s="52">
        <f>$AY18+$AC18</f>
        <v>0</v>
      </c>
      <c r="BA18" s="52">
        <f>$AZ18+$AD18</f>
        <v>0</v>
      </c>
      <c r="BB18" s="52">
        <f>$BA18+$AE18</f>
        <v>0</v>
      </c>
      <c r="BC18" s="52">
        <f>$BB18+$AF18</f>
        <v>0</v>
      </c>
      <c r="BD18" s="52">
        <f>$BC18+$AG18</f>
        <v>0</v>
      </c>
      <c r="BE18" s="52">
        <f>$BD18+$AH18</f>
        <v>0</v>
      </c>
      <c r="BF18" s="52">
        <f>$BE18+$AI18</f>
        <v>0</v>
      </c>
      <c r="BG18" s="52">
        <f>$BF18+$AJ18</f>
        <v>0</v>
      </c>
      <c r="BH18" s="52">
        <f>$BG18+$AK18</f>
        <v>0</v>
      </c>
      <c r="BI18" s="52">
        <f>$BH18+$AL18</f>
        <v>0</v>
      </c>
      <c r="BJ18" s="52">
        <f>$BI18+$AM18</f>
        <v>0</v>
      </c>
      <c r="BK18" s="52">
        <f>$BJ18+$AN18</f>
        <v>1</v>
      </c>
      <c r="BL18" s="52">
        <f>$BK18+$AO18</f>
        <v>1</v>
      </c>
      <c r="BM18" s="52">
        <f>$BL18+$AP18</f>
        <v>1</v>
      </c>
      <c r="BN18" s="52">
        <f>$BM18+$AQ18</f>
        <v>1</v>
      </c>
      <c r="BO18" s="52">
        <f>$BN18+$AR18</f>
        <v>1</v>
      </c>
      <c r="BP18" s="52">
        <f>$BO18+$AS18</f>
        <v>1</v>
      </c>
      <c r="BQ18" s="52">
        <f>SUM($T$1:$T17)</f>
        <v>10</v>
      </c>
      <c r="BR18" s="52">
        <f>IF(ISNUMBER($T18),IF($T18&gt;0,COUNTIF($T$2:$T18,"&gt;0"),""),"")</f>
        <v>10</v>
      </c>
      <c r="BS18" s="52">
        <f>IF($BR18="","",$BQ18+$T18)</f>
        <v>11</v>
      </c>
      <c r="BT18" s="52" t="str">
        <f>IF($U18="Ready",COUNTIF($U$2:$U18,"Ready"),"")</f>
        <v/>
      </c>
      <c r="BU18" s="52">
        <f>IF(AND($U18="Ready",$C18="Receipt"),IF(COUNTIF(Batches!$A$2:$A$301,$F18)+COUNTIFS($F$1:$F17,$F18,$C$1:$C17,"Receipt",$U$1:$U17,"Ready")=0,1,0),0)</f>
        <v>0</v>
      </c>
      <c r="BV18" s="52" t="str">
        <f>IF($BU18=1,SUM($BU$2:$BU18),"")</f>
        <v/>
      </c>
    </row>
    <row r="19">
      <c r="A19" s="61" t="inlineStr">
        <is>
          <t>MV-2610-029</t>
        </is>
      </c>
      <c r="B19" s="61" t="inlineStr">
        <is>
          <t>2026-10-14</t>
        </is>
      </c>
      <c r="C19" s="61" t="inlineStr">
        <is>
          <t>Shipment</t>
        </is>
      </c>
      <c r="D19" s="61" t="inlineStr">
        <is>
          <t>WPI-VAN-2LB</t>
        </is>
      </c>
      <c r="E19" s="61" t="n"/>
      <c r="F19" s="61" t="inlineStr">
        <is>
          <t>WVA2411A</t>
        </is>
      </c>
      <c r="G19" s="61" t="n"/>
      <c r="H19" s="61" t="inlineStr">
        <is>
          <t>40</t>
        </is>
      </c>
      <c r="I19" s="61" t="n"/>
      <c r="J19" s="61" t="n"/>
      <c r="K19" s="61" t="inlineStr">
        <is>
          <t>OB-1014</t>
        </is>
      </c>
      <c r="L19" s="61" t="inlineStr">
        <is>
          <t>https://example.com/3pl/movements/MV-2610-029</t>
        </is>
      </c>
      <c r="M19" s="62">
        <f>IF($B19="","",IF(ISNUMBER($B19),$B19,IF(AND(LEN($B19)=10,MID($B19,5,1)="-",MID($B19,8,1)="-"),IFERROR(IF(AND(MONTH(DATE(VALUE(LEFT($B19,4)),VALUE(MID($B19,6,2)),VALUE(RIGHT($B19,2))))=VALUE(MID($B19,6,2)),DAY(DATE(VALUE(LEFT($B19,4)),VALUE(MID($B19,6,2)),VALUE(RIGHT($B19,2))))=VALUE(RIGHT($B19,2))),DATE(VALUE(LEFT($B19,4)),VALUE(MID($B19,6,2)),VALUE(RIGHT($B19,2))),"ERR"),"ERR"),"ERR")))</f>
        <v>46309</v>
      </c>
      <c r="N19" s="62" t="str">
        <f>IF($G19="","",IF(ISNUMBER($G19),$G19,IF(AND(LEN($G19)=10,MID($G19,5,1)="-",MID($G19,8,1)="-"),IFERROR(IF(AND(MONTH(DATE(VALUE(LEFT($G19,4)),VALUE(MID($G19,6,2)),VALUE(RIGHT($G19,2))))=VALUE(MID($G19,6,2)),DAY(DATE(VALUE(LEFT($G19,4)),VALUE(MID($G19,6,2)),VALUE(RIGHT($G19,2))))=VALUE(RIGHT($G19,2))),DATE(VALUE(LEFT($G19,4)),VALUE(MID($G19,6,2)),VALUE(RIGHT($G19,2))),"ERR"),"ERR"),"ERR")))</f>
        <v/>
      </c>
      <c r="O19" s="51">
        <f>IF($H19="","",IF(ISNUMBER($H19),$H19,IFERROR(VALUE($H19),"ERR")))</f>
        <v>40</v>
      </c>
      <c r="P19" s="51">
        <f>IF(AND(ISNUMBER($O19),OR($C19="Receipt",$C19="Shipment",$C19="Adjustment")),IF($C19="Shipment",-$O19,$O19),"")</f>
        <v>-40</v>
      </c>
      <c r="Q19" s="51">
        <f>IF($D19="","",IFERROR(INDEX(Products!$R$2:$R$101,MATCH($D19,Products!$A$2:$A$101,0)),""))</f>
        <v>808</v>
      </c>
      <c r="R19" s="51">
        <f>IF(OR($Q19="",$P19=""),"",$Q19+SUMIFS($P$1:$P18,$D$1:$D18,$D19,$U$1:$U18,"Ready"))</f>
        <v>808</v>
      </c>
      <c r="S19" s="51">
        <f>IF($R19="","",$R19+$P19)</f>
        <v>768</v>
      </c>
      <c r="T19" s="52">
        <f>IF(COUNTA($A19:$L19)&gt;0,$BP19,"")</f>
        <v>0</v>
      </c>
      <c r="U19" s="49" t="str">
        <f>IF($T19="","",IF($T19=0,"Ready","Rejected"))</f>
        <v>Ready</v>
      </c>
      <c r="V19" s="49" t="str">
        <f>IF(OR($T19="",$T19=0),"",INDEX(Config!$D$39:$D$61,MATCH(1,$AT19:$BP19,0))&amp;IF($T19&gt;1," (+"&amp;($T19-1)&amp;" more)",""))</f>
        <v/>
      </c>
      <c r="W19" s="52">
        <f>IF(AND(COUNTA($A19:$L19)&gt;0,$A19=""),1,0)</f>
        <v>0</v>
      </c>
      <c r="X19" s="52">
        <f>IF(AND(COUNTA($A19:$L19)&gt;0,$A19&lt;&gt;""),IF(COUNTIF($A$1:$A18,$A19)&gt;0,1,0),0)</f>
        <v>0</v>
      </c>
      <c r="Y19" s="52">
        <f>IF(AND(COUNTA($A19:$L19)&gt;0,$A19&lt;&gt;""),IF(COUNTIF(Inventory_Ledger!$A$2:$A$2001,$A19)&gt;0,1,0),0)</f>
        <v>0</v>
      </c>
      <c r="Z19" s="52">
        <f>IF(AND(COUNTA($A19:$L19)&gt;0,$B19=""),1,0)</f>
        <v>0</v>
      </c>
      <c r="AA19" s="52">
        <f>IF(AND(COUNTA($A19:$L19)&gt;0,$B19&lt;&gt;""),IF($M19="ERR",1,0),0)</f>
        <v>0</v>
      </c>
      <c r="AB19" s="52">
        <f>IF(AND(COUNTA($A19:$L19)&gt;0,ISNUMBER($M19)),IF($M19&gt;Config!$B$4,1,0),0)</f>
        <v>0</v>
      </c>
      <c r="AC19" s="52">
        <f>IF(AND(COUNTA($A19:$L19)&gt;0,$C19=""),1,0)</f>
        <v>0</v>
      </c>
      <c r="AD19" s="52">
        <f>IF(AND(COUNTA($A19:$L19)&gt;0,$C19&lt;&gt;""),IF(COUNTIF(Config!$A$15:$A$34,$C19)=0,1,0),0)</f>
        <v>0</v>
      </c>
      <c r="AE19" s="52">
        <f>IF(AND(COUNTA($A19:$L19)&gt;0,$D19=""),1,0)</f>
        <v>0</v>
      </c>
      <c r="AF19" s="52">
        <f>IF(AND(COUNTA($A19:$L19)&gt;0,$D19&lt;&gt;""),IF(COUNTIF(Products!$A$2:$A$101,$D19)=0,1,0),0)</f>
        <v>0</v>
      </c>
      <c r="AG19" s="52">
        <f>IF(AND(COUNTA($A19:$L19)&gt;0,$C19="Receipt",$E19=""),1,0)</f>
        <v>0</v>
      </c>
      <c r="AH19" s="52">
        <f>IF(AND(COUNTA($A19:$L19)&gt;0,$E19&lt;&gt;""),IF(COUNTIF(Suppliers!$A$2:$A$51,$E19)=0,1,0),0)</f>
        <v>0</v>
      </c>
      <c r="AI19" s="52">
        <f>IF(AND(COUNTA($A19:$L19)&gt;0,$F19=""),1,0)</f>
        <v>0</v>
      </c>
      <c r="AJ19" s="52">
        <f>IF(AND(COUNTA($A19:$L19)&gt;0,$F19&lt;&gt;"",$D19&lt;&gt;"",OR($C19="Shipment",$C19="Adjustment")),IF($AF19=1,0,IF(COUNTIFS(Batches!$A$2:$A$301,$F19,Batches!$B$2:$B$301,$D19)+COUNTIFS($F$1:$F18,$F19,$D$1:$D18,$D19,$C$1:$C18,"Receipt")=0,1,0)),0)</f>
        <v>0</v>
      </c>
      <c r="AK19" s="52">
        <f>IF(AND(COUNTA($A19:$L19)&gt;0,$C19="Receipt",$G19=""),1,0)</f>
        <v>0</v>
      </c>
      <c r="AL19" s="52">
        <f>IF(AND(COUNTA($A19:$L19)&gt;0,$G19&lt;&gt;""),IF($N19="ERR",1,0),0)</f>
        <v>0</v>
      </c>
      <c r="AM19" s="52">
        <f>IF(AND(COUNTA($A19:$L19)&gt;0,$H19=""),1,0)</f>
        <v>0</v>
      </c>
      <c r="AN19" s="52">
        <f>IF(AND(COUNTA($A19:$L19)&gt;0,$H19&lt;&gt;""),IF($O19="ERR",1,IF(INT($O19)&lt;&gt;$O19,1,IF(AND(OR($C19="Receipt",$C19="Shipment"),$O19&lt;=0),1,IF(AND($C19="Adjustment",$O19=0),1,0)))),0)</f>
        <v>0</v>
      </c>
      <c r="AO19" s="52">
        <f>IF(AND(COUNTA($A19:$L19)&gt;0,$C19="Receipt",$I19=""),1,0)</f>
        <v>0</v>
      </c>
      <c r="AP19" s="52">
        <f>IF(AND(COUNTA($A19:$L19)&gt;0,$I19&lt;&gt;""),IF(IFERROR(INDEX(Config!$G$15:$G$34,MATCH($I19,Config!$E$15:$E$34,0)),"No")="Yes",0,1),0)</f>
        <v>0</v>
      </c>
      <c r="AQ19" s="52">
        <f>IF(AND(COUNTA($A19:$L19)&gt;0,$C19="Adjustment",$J19=""),1,0)</f>
        <v>0</v>
      </c>
      <c r="AR19" s="52">
        <f>IF(AND(COUNTA($A19:$L19)&gt;0,$L19=""),1,0)</f>
        <v>0</v>
      </c>
      <c r="AS19" s="52">
        <f>IF(AND(COUNTA($A19:$L19)&gt;0,ISNUMBER($S19)),IF($S19&lt;0,1,0),0)</f>
        <v>0</v>
      </c>
      <c r="AT19" s="52">
        <f>$W19</f>
        <v>0</v>
      </c>
      <c r="AU19" s="52">
        <f>$AT19+$X19</f>
        <v>0</v>
      </c>
      <c r="AV19" s="52">
        <f>$AU19+$Y19</f>
        <v>0</v>
      </c>
      <c r="AW19" s="52">
        <f>$AV19+$Z19</f>
        <v>0</v>
      </c>
      <c r="AX19" s="52">
        <f>$AW19+$AA19</f>
        <v>0</v>
      </c>
      <c r="AY19" s="52">
        <f>$AX19+$AB19</f>
        <v>0</v>
      </c>
      <c r="AZ19" s="52">
        <f>$AY19+$AC19</f>
        <v>0</v>
      </c>
      <c r="BA19" s="52">
        <f>$AZ19+$AD19</f>
        <v>0</v>
      </c>
      <c r="BB19" s="52">
        <f>$BA19+$AE19</f>
        <v>0</v>
      </c>
      <c r="BC19" s="52">
        <f>$BB19+$AF19</f>
        <v>0</v>
      </c>
      <c r="BD19" s="52">
        <f>$BC19+$AG19</f>
        <v>0</v>
      </c>
      <c r="BE19" s="52">
        <f>$BD19+$AH19</f>
        <v>0</v>
      </c>
      <c r="BF19" s="52">
        <f>$BE19+$AI19</f>
        <v>0</v>
      </c>
      <c r="BG19" s="52">
        <f>$BF19+$AJ19</f>
        <v>0</v>
      </c>
      <c r="BH19" s="52">
        <f>$BG19+$AK19</f>
        <v>0</v>
      </c>
      <c r="BI19" s="52">
        <f>$BH19+$AL19</f>
        <v>0</v>
      </c>
      <c r="BJ19" s="52">
        <f>$BI19+$AM19</f>
        <v>0</v>
      </c>
      <c r="BK19" s="52">
        <f>$BJ19+$AN19</f>
        <v>0</v>
      </c>
      <c r="BL19" s="52">
        <f>$BK19+$AO19</f>
        <v>0</v>
      </c>
      <c r="BM19" s="52">
        <f>$BL19+$AP19</f>
        <v>0</v>
      </c>
      <c r="BN19" s="52">
        <f>$BM19+$AQ19</f>
        <v>0</v>
      </c>
      <c r="BO19" s="52">
        <f>$BN19+$AR19</f>
        <v>0</v>
      </c>
      <c r="BP19" s="52">
        <f>$BO19+$AS19</f>
        <v>0</v>
      </c>
      <c r="BQ19" s="52">
        <f>SUM($T$1:$T18)</f>
        <v>11</v>
      </c>
      <c r="BR19" s="52" t="str">
        <f>IF(ISNUMBER($T19),IF($T19&gt;0,COUNTIF($T$2:$T19,"&gt;0"),""),"")</f>
        <v/>
      </c>
      <c r="BS19" s="52" t="str">
        <f>IF($BR19="","",$BQ19+$T19)</f>
        <v/>
      </c>
      <c r="BT19" s="52">
        <f>IF($U19="Ready",COUNTIF($U$2:$U19,"Ready"),"")</f>
        <v>8</v>
      </c>
      <c r="BU19" s="52">
        <f>IF(AND($U19="Ready",$C19="Receipt"),IF(COUNTIF(Batches!$A$2:$A$301,$F19)+COUNTIFS($F$1:$F18,$F19,$C$1:$C18,"Receipt",$U$1:$U18,"Ready")=0,1,0),0)</f>
        <v>0</v>
      </c>
      <c r="BV19" s="52" t="str">
        <f>IF($BU19=1,SUM($BU$2:$BU19),"")</f>
        <v/>
      </c>
    </row>
    <row r="20">
      <c r="A20" s="46" t="n"/>
      <c r="B20" s="46" t="n"/>
      <c r="C20" s="46" t="n"/>
      <c r="D20" s="46" t="n"/>
      <c r="E20" s="46" t="n"/>
      <c r="F20" s="46" t="n"/>
      <c r="G20" s="46" t="n"/>
      <c r="H20" s="46" t="n"/>
      <c r="I20" s="46" t="n"/>
      <c r="J20" s="46" t="n"/>
      <c r="K20" s="46" t="n"/>
      <c r="L20" s="46" t="n"/>
      <c r="M20" s="62" t="str">
        <f>IF($B20="","",IF(ISNUMBER($B20),$B20,IF(AND(LEN($B20)=10,MID($B20,5,1)="-",MID($B20,8,1)="-"),IFERROR(IF(AND(MONTH(DATE(VALUE(LEFT($B20,4)),VALUE(MID($B20,6,2)),VALUE(RIGHT($B20,2))))=VALUE(MID($B20,6,2)),DAY(DATE(VALUE(LEFT($B20,4)),VALUE(MID($B20,6,2)),VALUE(RIGHT($B20,2))))=VALUE(RIGHT($B20,2))),DATE(VALUE(LEFT($B20,4)),VALUE(MID($B20,6,2)),VALUE(RIGHT($B20,2))),"ERR"),"ERR"),"ERR")))</f>
        <v/>
      </c>
      <c r="N20" s="62" t="str">
        <f>IF($G20="","",IF(ISNUMBER($G20),$G20,IF(AND(LEN($G20)=10,MID($G20,5,1)="-",MID($G20,8,1)="-"),IFERROR(IF(AND(MONTH(DATE(VALUE(LEFT($G20,4)),VALUE(MID($G20,6,2)),VALUE(RIGHT($G20,2))))=VALUE(MID($G20,6,2)),DAY(DATE(VALUE(LEFT($G20,4)),VALUE(MID($G20,6,2)),VALUE(RIGHT($G20,2))))=VALUE(RIGHT($G20,2))),DATE(VALUE(LEFT($G20,4)),VALUE(MID($G20,6,2)),VALUE(RIGHT($G20,2))),"ERR"),"ERR"),"ERR")))</f>
        <v/>
      </c>
      <c r="O20" s="51" t="str">
        <f>IF($H20="","",IF(ISNUMBER($H20),$H20,IFERROR(VALUE($H20),"ERR")))</f>
        <v/>
      </c>
      <c r="P20" s="51" t="str">
        <f>IF(AND(ISNUMBER($O20),OR($C20="Receipt",$C20="Shipment",$C20="Adjustment")),IF($C20="Shipment",-$O20,$O20),"")</f>
        <v/>
      </c>
      <c r="Q20" s="51" t="str">
        <f>IF($D20="","",IFERROR(INDEX(Products!$R$2:$R$101,MATCH($D20,Products!$A$2:$A$101,0)),""))</f>
        <v/>
      </c>
      <c r="R20" s="51" t="str">
        <f>IF(OR($Q20="",$P20=""),"",$Q20+SUMIFS($P$1:$P19,$D$1:$D19,$D20,$U$1:$U19,"Ready"))</f>
        <v/>
      </c>
      <c r="S20" s="51" t="str">
        <f>IF($R20="","",$R20+$P20)</f>
        <v/>
      </c>
      <c r="T20" s="52" t="str">
        <f>IF(COUNTA($A20:$L20)&gt;0,$BP20,"")</f>
        <v/>
      </c>
      <c r="U20" s="49" t="str">
        <f>IF($T20="","",IF($T20=0,"Ready","Rejected"))</f>
        <v/>
      </c>
      <c r="V20" s="49" t="str">
        <f>IF(OR($T20="",$T20=0),"",INDEX(Config!$D$39:$D$61,MATCH(1,$AT20:$BP20,0))&amp;IF($T20&gt;1," (+"&amp;($T20-1)&amp;" more)",""))</f>
        <v/>
      </c>
      <c r="W20" s="52">
        <f>IF(AND(COUNTA($A20:$L20)&gt;0,$A20=""),1,0)</f>
        <v>0</v>
      </c>
      <c r="X20" s="52">
        <f>IF(AND(COUNTA($A20:$L20)&gt;0,$A20&lt;&gt;""),IF(COUNTIF($A$1:$A19,$A20)&gt;0,1,0),0)</f>
        <v>0</v>
      </c>
      <c r="Y20" s="52">
        <f>IF(AND(COUNTA($A20:$L20)&gt;0,$A20&lt;&gt;""),IF(COUNTIF(Inventory_Ledger!$A$2:$A$2001,$A20)&gt;0,1,0),0)</f>
        <v>0</v>
      </c>
      <c r="Z20" s="52">
        <f>IF(AND(COUNTA($A20:$L20)&gt;0,$B20=""),1,0)</f>
        <v>0</v>
      </c>
      <c r="AA20" s="52">
        <f>IF(AND(COUNTA($A20:$L20)&gt;0,$B20&lt;&gt;""),IF($M20="ERR",1,0),0)</f>
        <v>0</v>
      </c>
      <c r="AB20" s="52">
        <f>IF(AND(COUNTA($A20:$L20)&gt;0,ISNUMBER($M20)),IF($M20&gt;Config!$B$4,1,0),0)</f>
        <v>0</v>
      </c>
      <c r="AC20" s="52">
        <f>IF(AND(COUNTA($A20:$L20)&gt;0,$C20=""),1,0)</f>
        <v>0</v>
      </c>
      <c r="AD20" s="52">
        <f>IF(AND(COUNTA($A20:$L20)&gt;0,$C20&lt;&gt;""),IF(COUNTIF(Config!$A$15:$A$34,$C20)=0,1,0),0)</f>
        <v>0</v>
      </c>
      <c r="AE20" s="52">
        <f>IF(AND(COUNTA($A20:$L20)&gt;0,$D20=""),1,0)</f>
        <v>0</v>
      </c>
      <c r="AF20" s="52">
        <f>IF(AND(COUNTA($A20:$L20)&gt;0,$D20&lt;&gt;""),IF(COUNTIF(Products!$A$2:$A$101,$D20)=0,1,0),0)</f>
        <v>0</v>
      </c>
      <c r="AG20" s="52">
        <f>IF(AND(COUNTA($A20:$L20)&gt;0,$C20="Receipt",$E20=""),1,0)</f>
        <v>0</v>
      </c>
      <c r="AH20" s="52">
        <f>IF(AND(COUNTA($A20:$L20)&gt;0,$E20&lt;&gt;""),IF(COUNTIF(Suppliers!$A$2:$A$51,$E20)=0,1,0),0)</f>
        <v>0</v>
      </c>
      <c r="AI20" s="52">
        <f>IF(AND(COUNTA($A20:$L20)&gt;0,$F20=""),1,0)</f>
        <v>0</v>
      </c>
      <c r="AJ20" s="52">
        <f>IF(AND(COUNTA($A20:$L20)&gt;0,$F20&lt;&gt;"",$D20&lt;&gt;"",OR($C20="Shipment",$C20="Adjustment")),IF($AF20=1,0,IF(COUNTIFS(Batches!$A$2:$A$301,$F20,Batches!$B$2:$B$301,$D20)+COUNTIFS($F$1:$F19,$F20,$D$1:$D19,$D20,$C$1:$C19,"Receipt")=0,1,0)),0)</f>
        <v>0</v>
      </c>
      <c r="AK20" s="52">
        <f>IF(AND(COUNTA($A20:$L20)&gt;0,$C20="Receipt",$G20=""),1,0)</f>
        <v>0</v>
      </c>
      <c r="AL20" s="52">
        <f>IF(AND(COUNTA($A20:$L20)&gt;0,$G20&lt;&gt;""),IF($N20="ERR",1,0),0)</f>
        <v>0</v>
      </c>
      <c r="AM20" s="52">
        <f>IF(AND(COUNTA($A20:$L20)&gt;0,$H20=""),1,0)</f>
        <v>0</v>
      </c>
      <c r="AN20" s="52">
        <f>IF(AND(COUNTA($A20:$L20)&gt;0,$H20&lt;&gt;""),IF($O20="ERR",1,IF(INT($O20)&lt;&gt;$O20,1,IF(AND(OR($C20="Receipt",$C20="Shipment"),$O20&lt;=0),1,IF(AND($C20="Adjustment",$O20=0),1,0)))),0)</f>
        <v>0</v>
      </c>
      <c r="AO20" s="52">
        <f>IF(AND(COUNTA($A20:$L20)&gt;0,$C20="Receipt",$I20=""),1,0)</f>
        <v>0</v>
      </c>
      <c r="AP20" s="52">
        <f>IF(AND(COUNTA($A20:$L20)&gt;0,$I20&lt;&gt;""),IF(IFERROR(INDEX(Config!$G$15:$G$34,MATCH($I20,Config!$E$15:$E$34,0)),"No")="Yes",0,1),0)</f>
        <v>0</v>
      </c>
      <c r="AQ20" s="52">
        <f>IF(AND(COUNTA($A20:$L20)&gt;0,$C20="Adjustment",$J20=""),1,0)</f>
        <v>0</v>
      </c>
      <c r="AR20" s="52">
        <f>IF(AND(COUNTA($A20:$L20)&gt;0,$L20=""),1,0)</f>
        <v>0</v>
      </c>
      <c r="AS20" s="52">
        <f>IF(AND(COUNTA($A20:$L20)&gt;0,ISNUMBER($S20)),IF($S20&lt;0,1,0),0)</f>
        <v>0</v>
      </c>
      <c r="AT20" s="52">
        <f>$W20</f>
        <v>0</v>
      </c>
      <c r="AU20" s="52">
        <f>$AT20+$X20</f>
        <v>0</v>
      </c>
      <c r="AV20" s="52">
        <f>$AU20+$Y20</f>
        <v>0</v>
      </c>
      <c r="AW20" s="52">
        <f>$AV20+$Z20</f>
        <v>0</v>
      </c>
      <c r="AX20" s="52">
        <f>$AW20+$AA20</f>
        <v>0</v>
      </c>
      <c r="AY20" s="52">
        <f>$AX20+$AB20</f>
        <v>0</v>
      </c>
      <c r="AZ20" s="52">
        <f>$AY20+$AC20</f>
        <v>0</v>
      </c>
      <c r="BA20" s="52">
        <f>$AZ20+$AD20</f>
        <v>0</v>
      </c>
      <c r="BB20" s="52">
        <f>$BA20+$AE20</f>
        <v>0</v>
      </c>
      <c r="BC20" s="52">
        <f>$BB20+$AF20</f>
        <v>0</v>
      </c>
      <c r="BD20" s="52">
        <f>$BC20+$AG20</f>
        <v>0</v>
      </c>
      <c r="BE20" s="52">
        <f>$BD20+$AH20</f>
        <v>0</v>
      </c>
      <c r="BF20" s="52">
        <f>$BE20+$AI20</f>
        <v>0</v>
      </c>
      <c r="BG20" s="52">
        <f>$BF20+$AJ20</f>
        <v>0</v>
      </c>
      <c r="BH20" s="52">
        <f>$BG20+$AK20</f>
        <v>0</v>
      </c>
      <c r="BI20" s="52">
        <f>$BH20+$AL20</f>
        <v>0</v>
      </c>
      <c r="BJ20" s="52">
        <f>$BI20+$AM20</f>
        <v>0</v>
      </c>
      <c r="BK20" s="52">
        <f>$BJ20+$AN20</f>
        <v>0</v>
      </c>
      <c r="BL20" s="52">
        <f>$BK20+$AO20</f>
        <v>0</v>
      </c>
      <c r="BM20" s="52">
        <f>$BL20+$AP20</f>
        <v>0</v>
      </c>
      <c r="BN20" s="52">
        <f>$BM20+$AQ20</f>
        <v>0</v>
      </c>
      <c r="BO20" s="52">
        <f>$BN20+$AR20</f>
        <v>0</v>
      </c>
      <c r="BP20" s="52">
        <f>$BO20+$AS20</f>
        <v>0</v>
      </c>
      <c r="BQ20" s="52">
        <f>SUM($T$1:$T19)</f>
        <v>11</v>
      </c>
      <c r="BR20" s="52" t="str">
        <f>IF(ISNUMBER($T20),IF($T20&gt;0,COUNTIF($T$2:$T20,"&gt;0"),""),"")</f>
        <v/>
      </c>
      <c r="BS20" s="52" t="str">
        <f>IF($BR20="","",$BQ20+$T20)</f>
        <v/>
      </c>
      <c r="BT20" s="52" t="str">
        <f>IF($U20="Ready",COUNTIF($U$2:$U20,"Ready"),"")</f>
        <v/>
      </c>
      <c r="BU20" s="52">
        <f>IF(AND($U20="Ready",$C20="Receipt"),IF(COUNTIF(Batches!$A$2:$A$301,$F20)+COUNTIFS($F$1:$F19,$F20,$C$1:$C19,"Receipt",$U$1:$U19,"Ready")=0,1,0),0)</f>
        <v>0</v>
      </c>
      <c r="BV20" s="52" t="str">
        <f>IF($BU20=1,SUM($BU$2:$BU20),"")</f>
        <v/>
      </c>
    </row>
    <row r="21">
      <c r="A21" s="46" t="n"/>
      <c r="B21" s="46" t="n"/>
      <c r="C21" s="46" t="n"/>
      <c r="D21" s="46" t="n"/>
      <c r="E21" s="46" t="n"/>
      <c r="F21" s="46" t="n"/>
      <c r="G21" s="46" t="n"/>
      <c r="H21" s="46" t="n"/>
      <c r="I21" s="46" t="n"/>
      <c r="J21" s="46" t="n"/>
      <c r="K21" s="46" t="n"/>
      <c r="L21" s="46" t="n"/>
      <c r="M21" s="62" t="str">
        <f>IF($B21="","",IF(ISNUMBER($B21),$B21,IF(AND(LEN($B21)=10,MID($B21,5,1)="-",MID($B21,8,1)="-"),IFERROR(IF(AND(MONTH(DATE(VALUE(LEFT($B21,4)),VALUE(MID($B21,6,2)),VALUE(RIGHT($B21,2))))=VALUE(MID($B21,6,2)),DAY(DATE(VALUE(LEFT($B21,4)),VALUE(MID($B21,6,2)),VALUE(RIGHT($B21,2))))=VALUE(RIGHT($B21,2))),DATE(VALUE(LEFT($B21,4)),VALUE(MID($B21,6,2)),VALUE(RIGHT($B21,2))),"ERR"),"ERR"),"ERR")))</f>
        <v/>
      </c>
      <c r="N21" s="62" t="str">
        <f>IF($G21="","",IF(ISNUMBER($G21),$G21,IF(AND(LEN($G21)=10,MID($G21,5,1)="-",MID($G21,8,1)="-"),IFERROR(IF(AND(MONTH(DATE(VALUE(LEFT($G21,4)),VALUE(MID($G21,6,2)),VALUE(RIGHT($G21,2))))=VALUE(MID($G21,6,2)),DAY(DATE(VALUE(LEFT($G21,4)),VALUE(MID($G21,6,2)),VALUE(RIGHT($G21,2))))=VALUE(RIGHT($G21,2))),DATE(VALUE(LEFT($G21,4)),VALUE(MID($G21,6,2)),VALUE(RIGHT($G21,2))),"ERR"),"ERR"),"ERR")))</f>
        <v/>
      </c>
      <c r="O21" s="51" t="str">
        <f>IF($H21="","",IF(ISNUMBER($H21),$H21,IFERROR(VALUE($H21),"ERR")))</f>
        <v/>
      </c>
      <c r="P21" s="51" t="str">
        <f>IF(AND(ISNUMBER($O21),OR($C21="Receipt",$C21="Shipment",$C21="Adjustment")),IF($C21="Shipment",-$O21,$O21),"")</f>
        <v/>
      </c>
      <c r="Q21" s="51" t="str">
        <f>IF($D21="","",IFERROR(INDEX(Products!$R$2:$R$101,MATCH($D21,Products!$A$2:$A$101,0)),""))</f>
        <v/>
      </c>
      <c r="R21" s="51" t="str">
        <f>IF(OR($Q21="",$P21=""),"",$Q21+SUMIFS($P$1:$P20,$D$1:$D20,$D21,$U$1:$U20,"Ready"))</f>
        <v/>
      </c>
      <c r="S21" s="51" t="str">
        <f>IF($R21="","",$R21+$P21)</f>
        <v/>
      </c>
      <c r="T21" s="52" t="str">
        <f>IF(COUNTA($A21:$L21)&gt;0,$BP21,"")</f>
        <v/>
      </c>
      <c r="U21" s="49" t="str">
        <f>IF($T21="","",IF($T21=0,"Ready","Rejected"))</f>
        <v/>
      </c>
      <c r="V21" s="49" t="str">
        <f>IF(OR($T21="",$T21=0),"",INDEX(Config!$D$39:$D$61,MATCH(1,$AT21:$BP21,0))&amp;IF($T21&gt;1," (+"&amp;($T21-1)&amp;" more)",""))</f>
        <v/>
      </c>
      <c r="W21" s="52">
        <f>IF(AND(COUNTA($A21:$L21)&gt;0,$A21=""),1,0)</f>
        <v>0</v>
      </c>
      <c r="X21" s="52">
        <f>IF(AND(COUNTA($A21:$L21)&gt;0,$A21&lt;&gt;""),IF(COUNTIF($A$1:$A20,$A21)&gt;0,1,0),0)</f>
        <v>0</v>
      </c>
      <c r="Y21" s="52">
        <f>IF(AND(COUNTA($A21:$L21)&gt;0,$A21&lt;&gt;""),IF(COUNTIF(Inventory_Ledger!$A$2:$A$2001,$A21)&gt;0,1,0),0)</f>
        <v>0</v>
      </c>
      <c r="Z21" s="52">
        <f>IF(AND(COUNTA($A21:$L21)&gt;0,$B21=""),1,0)</f>
        <v>0</v>
      </c>
      <c r="AA21" s="52">
        <f>IF(AND(COUNTA($A21:$L21)&gt;0,$B21&lt;&gt;""),IF($M21="ERR",1,0),0)</f>
        <v>0</v>
      </c>
      <c r="AB21" s="52">
        <f>IF(AND(COUNTA($A21:$L21)&gt;0,ISNUMBER($M21)),IF($M21&gt;Config!$B$4,1,0),0)</f>
        <v>0</v>
      </c>
      <c r="AC21" s="52">
        <f>IF(AND(COUNTA($A21:$L21)&gt;0,$C21=""),1,0)</f>
        <v>0</v>
      </c>
      <c r="AD21" s="52">
        <f>IF(AND(COUNTA($A21:$L21)&gt;0,$C21&lt;&gt;""),IF(COUNTIF(Config!$A$15:$A$34,$C21)=0,1,0),0)</f>
        <v>0</v>
      </c>
      <c r="AE21" s="52">
        <f>IF(AND(COUNTA($A21:$L21)&gt;0,$D21=""),1,0)</f>
        <v>0</v>
      </c>
      <c r="AF21" s="52">
        <f>IF(AND(COUNTA($A21:$L21)&gt;0,$D21&lt;&gt;""),IF(COUNTIF(Products!$A$2:$A$101,$D21)=0,1,0),0)</f>
        <v>0</v>
      </c>
      <c r="AG21" s="52">
        <f>IF(AND(COUNTA($A21:$L21)&gt;0,$C21="Receipt",$E21=""),1,0)</f>
        <v>0</v>
      </c>
      <c r="AH21" s="52">
        <f>IF(AND(COUNTA($A21:$L21)&gt;0,$E21&lt;&gt;""),IF(COUNTIF(Suppliers!$A$2:$A$51,$E21)=0,1,0),0)</f>
        <v>0</v>
      </c>
      <c r="AI21" s="52">
        <f>IF(AND(COUNTA($A21:$L21)&gt;0,$F21=""),1,0)</f>
        <v>0</v>
      </c>
      <c r="AJ21" s="52">
        <f>IF(AND(COUNTA($A21:$L21)&gt;0,$F21&lt;&gt;"",$D21&lt;&gt;"",OR($C21="Shipment",$C21="Adjustment")),IF($AF21=1,0,IF(COUNTIFS(Batches!$A$2:$A$301,$F21,Batches!$B$2:$B$301,$D21)+COUNTIFS($F$1:$F20,$F21,$D$1:$D20,$D21,$C$1:$C20,"Receipt")=0,1,0)),0)</f>
        <v>0</v>
      </c>
      <c r="AK21" s="52">
        <f>IF(AND(COUNTA($A21:$L21)&gt;0,$C21="Receipt",$G21=""),1,0)</f>
        <v>0</v>
      </c>
      <c r="AL21" s="52">
        <f>IF(AND(COUNTA($A21:$L21)&gt;0,$G21&lt;&gt;""),IF($N21="ERR",1,0),0)</f>
        <v>0</v>
      </c>
      <c r="AM21" s="52">
        <f>IF(AND(COUNTA($A21:$L21)&gt;0,$H21=""),1,0)</f>
        <v>0</v>
      </c>
      <c r="AN21" s="52">
        <f>IF(AND(COUNTA($A21:$L21)&gt;0,$H21&lt;&gt;""),IF($O21="ERR",1,IF(INT($O21)&lt;&gt;$O21,1,IF(AND(OR($C21="Receipt",$C21="Shipment"),$O21&lt;=0),1,IF(AND($C21="Adjustment",$O21=0),1,0)))),0)</f>
        <v>0</v>
      </c>
      <c r="AO21" s="52">
        <f>IF(AND(COUNTA($A21:$L21)&gt;0,$C21="Receipt",$I21=""),1,0)</f>
        <v>0</v>
      </c>
      <c r="AP21" s="52">
        <f>IF(AND(COUNTA($A21:$L21)&gt;0,$I21&lt;&gt;""),IF(IFERROR(INDEX(Config!$G$15:$G$34,MATCH($I21,Config!$E$15:$E$34,0)),"No")="Yes",0,1),0)</f>
        <v>0</v>
      </c>
      <c r="AQ21" s="52">
        <f>IF(AND(COUNTA($A21:$L21)&gt;0,$C21="Adjustment",$J21=""),1,0)</f>
        <v>0</v>
      </c>
      <c r="AR21" s="52">
        <f>IF(AND(COUNTA($A21:$L21)&gt;0,$L21=""),1,0)</f>
        <v>0</v>
      </c>
      <c r="AS21" s="52">
        <f>IF(AND(COUNTA($A21:$L21)&gt;0,ISNUMBER($S21)),IF($S21&lt;0,1,0),0)</f>
        <v>0</v>
      </c>
      <c r="AT21" s="52">
        <f>$W21</f>
        <v>0</v>
      </c>
      <c r="AU21" s="52">
        <f>$AT21+$X21</f>
        <v>0</v>
      </c>
      <c r="AV21" s="52">
        <f>$AU21+$Y21</f>
        <v>0</v>
      </c>
      <c r="AW21" s="52">
        <f>$AV21+$Z21</f>
        <v>0</v>
      </c>
      <c r="AX21" s="52">
        <f>$AW21+$AA21</f>
        <v>0</v>
      </c>
      <c r="AY21" s="52">
        <f>$AX21+$AB21</f>
        <v>0</v>
      </c>
      <c r="AZ21" s="52">
        <f>$AY21+$AC21</f>
        <v>0</v>
      </c>
      <c r="BA21" s="52">
        <f>$AZ21+$AD21</f>
        <v>0</v>
      </c>
      <c r="BB21" s="52">
        <f>$BA21+$AE21</f>
        <v>0</v>
      </c>
      <c r="BC21" s="52">
        <f>$BB21+$AF21</f>
        <v>0</v>
      </c>
      <c r="BD21" s="52">
        <f>$BC21+$AG21</f>
        <v>0</v>
      </c>
      <c r="BE21" s="52">
        <f>$BD21+$AH21</f>
        <v>0</v>
      </c>
      <c r="BF21" s="52">
        <f>$BE21+$AI21</f>
        <v>0</v>
      </c>
      <c r="BG21" s="52">
        <f>$BF21+$AJ21</f>
        <v>0</v>
      </c>
      <c r="BH21" s="52">
        <f>$BG21+$AK21</f>
        <v>0</v>
      </c>
      <c r="BI21" s="52">
        <f>$BH21+$AL21</f>
        <v>0</v>
      </c>
      <c r="BJ21" s="52">
        <f>$BI21+$AM21</f>
        <v>0</v>
      </c>
      <c r="BK21" s="52">
        <f>$BJ21+$AN21</f>
        <v>0</v>
      </c>
      <c r="BL21" s="52">
        <f>$BK21+$AO21</f>
        <v>0</v>
      </c>
      <c r="BM21" s="52">
        <f>$BL21+$AP21</f>
        <v>0</v>
      </c>
      <c r="BN21" s="52">
        <f>$BM21+$AQ21</f>
        <v>0</v>
      </c>
      <c r="BO21" s="52">
        <f>$BN21+$AR21</f>
        <v>0</v>
      </c>
      <c r="BP21" s="52">
        <f>$BO21+$AS21</f>
        <v>0</v>
      </c>
      <c r="BQ21" s="52">
        <f>SUM($T$1:$T20)</f>
        <v>11</v>
      </c>
      <c r="BR21" s="52" t="str">
        <f>IF(ISNUMBER($T21),IF($T21&gt;0,COUNTIF($T$2:$T21,"&gt;0"),""),"")</f>
        <v/>
      </c>
      <c r="BS21" s="52" t="str">
        <f>IF($BR21="","",$BQ21+$T21)</f>
        <v/>
      </c>
      <c r="BT21" s="52" t="str">
        <f>IF($U21="Ready",COUNTIF($U$2:$U21,"Ready"),"")</f>
        <v/>
      </c>
      <c r="BU21" s="52">
        <f>IF(AND($U21="Ready",$C21="Receipt"),IF(COUNTIF(Batches!$A$2:$A$301,$F21)+COUNTIFS($F$1:$F20,$F21,$C$1:$C20,"Receipt",$U$1:$U20,"Ready")=0,1,0),0)</f>
        <v>0</v>
      </c>
      <c r="BV21" s="52" t="str">
        <f>IF($BU21=1,SUM($BU$2:$BU21),"")</f>
        <v/>
      </c>
    </row>
    <row r="22">
      <c r="A22" s="46" t="n"/>
      <c r="B22" s="46" t="n"/>
      <c r="C22" s="46" t="n"/>
      <c r="D22" s="46" t="n"/>
      <c r="E22" s="46" t="n"/>
      <c r="F22" s="46" t="n"/>
      <c r="G22" s="46" t="n"/>
      <c r="H22" s="46" t="n"/>
      <c r="I22" s="46" t="n"/>
      <c r="J22" s="46" t="n"/>
      <c r="K22" s="46" t="n"/>
      <c r="L22" s="46" t="n"/>
      <c r="M22" s="62" t="str">
        <f>IF($B22="","",IF(ISNUMBER($B22),$B22,IF(AND(LEN($B22)=10,MID($B22,5,1)="-",MID($B22,8,1)="-"),IFERROR(IF(AND(MONTH(DATE(VALUE(LEFT($B22,4)),VALUE(MID($B22,6,2)),VALUE(RIGHT($B22,2))))=VALUE(MID($B22,6,2)),DAY(DATE(VALUE(LEFT($B22,4)),VALUE(MID($B22,6,2)),VALUE(RIGHT($B22,2))))=VALUE(RIGHT($B22,2))),DATE(VALUE(LEFT($B22,4)),VALUE(MID($B22,6,2)),VALUE(RIGHT($B22,2))),"ERR"),"ERR"),"ERR")))</f>
        <v/>
      </c>
      <c r="N22" s="62" t="str">
        <f>IF($G22="","",IF(ISNUMBER($G22),$G22,IF(AND(LEN($G22)=10,MID($G22,5,1)="-",MID($G22,8,1)="-"),IFERROR(IF(AND(MONTH(DATE(VALUE(LEFT($G22,4)),VALUE(MID($G22,6,2)),VALUE(RIGHT($G22,2))))=VALUE(MID($G22,6,2)),DAY(DATE(VALUE(LEFT($G22,4)),VALUE(MID($G22,6,2)),VALUE(RIGHT($G22,2))))=VALUE(RIGHT($G22,2))),DATE(VALUE(LEFT($G22,4)),VALUE(MID($G22,6,2)),VALUE(RIGHT($G22,2))),"ERR"),"ERR"),"ERR")))</f>
        <v/>
      </c>
      <c r="O22" s="51" t="str">
        <f>IF($H22="","",IF(ISNUMBER($H22),$H22,IFERROR(VALUE($H22),"ERR")))</f>
        <v/>
      </c>
      <c r="P22" s="51" t="str">
        <f>IF(AND(ISNUMBER($O22),OR($C22="Receipt",$C22="Shipment",$C22="Adjustment")),IF($C22="Shipment",-$O22,$O22),"")</f>
        <v/>
      </c>
      <c r="Q22" s="51" t="str">
        <f>IF($D22="","",IFERROR(INDEX(Products!$R$2:$R$101,MATCH($D22,Products!$A$2:$A$101,0)),""))</f>
        <v/>
      </c>
      <c r="R22" s="51" t="str">
        <f>IF(OR($Q22="",$P22=""),"",$Q22+SUMIFS($P$1:$P21,$D$1:$D21,$D22,$U$1:$U21,"Ready"))</f>
        <v/>
      </c>
      <c r="S22" s="51" t="str">
        <f>IF($R22="","",$R22+$P22)</f>
        <v/>
      </c>
      <c r="T22" s="52" t="str">
        <f>IF(COUNTA($A22:$L22)&gt;0,$BP22,"")</f>
        <v/>
      </c>
      <c r="U22" s="49" t="str">
        <f>IF($T22="","",IF($T22=0,"Ready","Rejected"))</f>
        <v/>
      </c>
      <c r="V22" s="49" t="str">
        <f>IF(OR($T22="",$T22=0),"",INDEX(Config!$D$39:$D$61,MATCH(1,$AT22:$BP22,0))&amp;IF($T22&gt;1," (+"&amp;($T22-1)&amp;" more)",""))</f>
        <v/>
      </c>
      <c r="W22" s="52">
        <f>IF(AND(COUNTA($A22:$L22)&gt;0,$A22=""),1,0)</f>
        <v>0</v>
      </c>
      <c r="X22" s="52">
        <f>IF(AND(COUNTA($A22:$L22)&gt;0,$A22&lt;&gt;""),IF(COUNTIF($A$1:$A21,$A22)&gt;0,1,0),0)</f>
        <v>0</v>
      </c>
      <c r="Y22" s="52">
        <f>IF(AND(COUNTA($A22:$L22)&gt;0,$A22&lt;&gt;""),IF(COUNTIF(Inventory_Ledger!$A$2:$A$2001,$A22)&gt;0,1,0),0)</f>
        <v>0</v>
      </c>
      <c r="Z22" s="52">
        <f>IF(AND(COUNTA($A22:$L22)&gt;0,$B22=""),1,0)</f>
        <v>0</v>
      </c>
      <c r="AA22" s="52">
        <f>IF(AND(COUNTA($A22:$L22)&gt;0,$B22&lt;&gt;""),IF($M22="ERR",1,0),0)</f>
        <v>0</v>
      </c>
      <c r="AB22" s="52">
        <f>IF(AND(COUNTA($A22:$L22)&gt;0,ISNUMBER($M22)),IF($M22&gt;Config!$B$4,1,0),0)</f>
        <v>0</v>
      </c>
      <c r="AC22" s="52">
        <f>IF(AND(COUNTA($A22:$L22)&gt;0,$C22=""),1,0)</f>
        <v>0</v>
      </c>
      <c r="AD22" s="52">
        <f>IF(AND(COUNTA($A22:$L22)&gt;0,$C22&lt;&gt;""),IF(COUNTIF(Config!$A$15:$A$34,$C22)=0,1,0),0)</f>
        <v>0</v>
      </c>
      <c r="AE22" s="52">
        <f>IF(AND(COUNTA($A22:$L22)&gt;0,$D22=""),1,0)</f>
        <v>0</v>
      </c>
      <c r="AF22" s="52">
        <f>IF(AND(COUNTA($A22:$L22)&gt;0,$D22&lt;&gt;""),IF(COUNTIF(Products!$A$2:$A$101,$D22)=0,1,0),0)</f>
        <v>0</v>
      </c>
      <c r="AG22" s="52">
        <f>IF(AND(COUNTA($A22:$L22)&gt;0,$C22="Receipt",$E22=""),1,0)</f>
        <v>0</v>
      </c>
      <c r="AH22" s="52">
        <f>IF(AND(COUNTA($A22:$L22)&gt;0,$E22&lt;&gt;""),IF(COUNTIF(Suppliers!$A$2:$A$51,$E22)=0,1,0),0)</f>
        <v>0</v>
      </c>
      <c r="AI22" s="52">
        <f>IF(AND(COUNTA($A22:$L22)&gt;0,$F22=""),1,0)</f>
        <v>0</v>
      </c>
      <c r="AJ22" s="52">
        <f>IF(AND(COUNTA($A22:$L22)&gt;0,$F22&lt;&gt;"",$D22&lt;&gt;"",OR($C22="Shipment",$C22="Adjustment")),IF($AF22=1,0,IF(COUNTIFS(Batches!$A$2:$A$301,$F22,Batches!$B$2:$B$301,$D22)+COUNTIFS($F$1:$F21,$F22,$D$1:$D21,$D22,$C$1:$C21,"Receipt")=0,1,0)),0)</f>
        <v>0</v>
      </c>
      <c r="AK22" s="52">
        <f>IF(AND(COUNTA($A22:$L22)&gt;0,$C22="Receipt",$G22=""),1,0)</f>
        <v>0</v>
      </c>
      <c r="AL22" s="52">
        <f>IF(AND(COUNTA($A22:$L22)&gt;0,$G22&lt;&gt;""),IF($N22="ERR",1,0),0)</f>
        <v>0</v>
      </c>
      <c r="AM22" s="52">
        <f>IF(AND(COUNTA($A22:$L22)&gt;0,$H22=""),1,0)</f>
        <v>0</v>
      </c>
      <c r="AN22" s="52">
        <f>IF(AND(COUNTA($A22:$L22)&gt;0,$H22&lt;&gt;""),IF($O22="ERR",1,IF(INT($O22)&lt;&gt;$O22,1,IF(AND(OR($C22="Receipt",$C22="Shipment"),$O22&lt;=0),1,IF(AND($C22="Adjustment",$O22=0),1,0)))),0)</f>
        <v>0</v>
      </c>
      <c r="AO22" s="52">
        <f>IF(AND(COUNTA($A22:$L22)&gt;0,$C22="Receipt",$I22=""),1,0)</f>
        <v>0</v>
      </c>
      <c r="AP22" s="52">
        <f>IF(AND(COUNTA($A22:$L22)&gt;0,$I22&lt;&gt;""),IF(IFERROR(INDEX(Config!$G$15:$G$34,MATCH($I22,Config!$E$15:$E$34,0)),"No")="Yes",0,1),0)</f>
        <v>0</v>
      </c>
      <c r="AQ22" s="52">
        <f>IF(AND(COUNTA($A22:$L22)&gt;0,$C22="Adjustment",$J22=""),1,0)</f>
        <v>0</v>
      </c>
      <c r="AR22" s="52">
        <f>IF(AND(COUNTA($A22:$L22)&gt;0,$L22=""),1,0)</f>
        <v>0</v>
      </c>
      <c r="AS22" s="52">
        <f>IF(AND(COUNTA($A22:$L22)&gt;0,ISNUMBER($S22)),IF($S22&lt;0,1,0),0)</f>
        <v>0</v>
      </c>
      <c r="AT22" s="52">
        <f>$W22</f>
        <v>0</v>
      </c>
      <c r="AU22" s="52">
        <f>$AT22+$X22</f>
        <v>0</v>
      </c>
      <c r="AV22" s="52">
        <f>$AU22+$Y22</f>
        <v>0</v>
      </c>
      <c r="AW22" s="52">
        <f>$AV22+$Z22</f>
        <v>0</v>
      </c>
      <c r="AX22" s="52">
        <f>$AW22+$AA22</f>
        <v>0</v>
      </c>
      <c r="AY22" s="52">
        <f>$AX22+$AB22</f>
        <v>0</v>
      </c>
      <c r="AZ22" s="52">
        <f>$AY22+$AC22</f>
        <v>0</v>
      </c>
      <c r="BA22" s="52">
        <f>$AZ22+$AD22</f>
        <v>0</v>
      </c>
      <c r="BB22" s="52">
        <f>$BA22+$AE22</f>
        <v>0</v>
      </c>
      <c r="BC22" s="52">
        <f>$BB22+$AF22</f>
        <v>0</v>
      </c>
      <c r="BD22" s="52">
        <f>$BC22+$AG22</f>
        <v>0</v>
      </c>
      <c r="BE22" s="52">
        <f>$BD22+$AH22</f>
        <v>0</v>
      </c>
      <c r="BF22" s="52">
        <f>$BE22+$AI22</f>
        <v>0</v>
      </c>
      <c r="BG22" s="52">
        <f>$BF22+$AJ22</f>
        <v>0</v>
      </c>
      <c r="BH22" s="52">
        <f>$BG22+$AK22</f>
        <v>0</v>
      </c>
      <c r="BI22" s="52">
        <f>$BH22+$AL22</f>
        <v>0</v>
      </c>
      <c r="BJ22" s="52">
        <f>$BI22+$AM22</f>
        <v>0</v>
      </c>
      <c r="BK22" s="52">
        <f>$BJ22+$AN22</f>
        <v>0</v>
      </c>
      <c r="BL22" s="52">
        <f>$BK22+$AO22</f>
        <v>0</v>
      </c>
      <c r="BM22" s="52">
        <f>$BL22+$AP22</f>
        <v>0</v>
      </c>
      <c r="BN22" s="52">
        <f>$BM22+$AQ22</f>
        <v>0</v>
      </c>
      <c r="BO22" s="52">
        <f>$BN22+$AR22</f>
        <v>0</v>
      </c>
      <c r="BP22" s="52">
        <f>$BO22+$AS22</f>
        <v>0</v>
      </c>
      <c r="BQ22" s="52">
        <f>SUM($T$1:$T21)</f>
        <v>11</v>
      </c>
      <c r="BR22" s="52" t="str">
        <f>IF(ISNUMBER($T22),IF($T22&gt;0,COUNTIF($T$2:$T22,"&gt;0"),""),"")</f>
        <v/>
      </c>
      <c r="BS22" s="52" t="str">
        <f>IF($BR22="","",$BQ22+$T22)</f>
        <v/>
      </c>
      <c r="BT22" s="52" t="str">
        <f>IF($U22="Ready",COUNTIF($U$2:$U22,"Ready"),"")</f>
        <v/>
      </c>
      <c r="BU22" s="52">
        <f>IF(AND($U22="Ready",$C22="Receipt"),IF(COUNTIF(Batches!$A$2:$A$301,$F22)+COUNTIFS($F$1:$F21,$F22,$C$1:$C21,"Receipt",$U$1:$U21,"Ready")=0,1,0),0)</f>
        <v>0</v>
      </c>
      <c r="BV22" s="52" t="str">
        <f>IF($BU22=1,SUM($BU$2:$BU22),"")</f>
        <v/>
      </c>
    </row>
    <row r="23">
      <c r="A23" s="46" t="n"/>
      <c r="B23" s="46" t="n"/>
      <c r="C23" s="46" t="n"/>
      <c r="D23" s="46" t="n"/>
      <c r="E23" s="46" t="n"/>
      <c r="F23" s="46" t="n"/>
      <c r="G23" s="46" t="n"/>
      <c r="H23" s="46" t="n"/>
      <c r="I23" s="46" t="n"/>
      <c r="J23" s="46" t="n"/>
      <c r="K23" s="46" t="n"/>
      <c r="L23" s="46" t="n"/>
      <c r="M23" s="62" t="str">
        <f>IF($B23="","",IF(ISNUMBER($B23),$B23,IF(AND(LEN($B23)=10,MID($B23,5,1)="-",MID($B23,8,1)="-"),IFERROR(IF(AND(MONTH(DATE(VALUE(LEFT($B23,4)),VALUE(MID($B23,6,2)),VALUE(RIGHT($B23,2))))=VALUE(MID($B23,6,2)),DAY(DATE(VALUE(LEFT($B23,4)),VALUE(MID($B23,6,2)),VALUE(RIGHT($B23,2))))=VALUE(RIGHT($B23,2))),DATE(VALUE(LEFT($B23,4)),VALUE(MID($B23,6,2)),VALUE(RIGHT($B23,2))),"ERR"),"ERR"),"ERR")))</f>
        <v/>
      </c>
      <c r="N23" s="62" t="str">
        <f>IF($G23="","",IF(ISNUMBER($G23),$G23,IF(AND(LEN($G23)=10,MID($G23,5,1)="-",MID($G23,8,1)="-"),IFERROR(IF(AND(MONTH(DATE(VALUE(LEFT($G23,4)),VALUE(MID($G23,6,2)),VALUE(RIGHT($G23,2))))=VALUE(MID($G23,6,2)),DAY(DATE(VALUE(LEFT($G23,4)),VALUE(MID($G23,6,2)),VALUE(RIGHT($G23,2))))=VALUE(RIGHT($G23,2))),DATE(VALUE(LEFT($G23,4)),VALUE(MID($G23,6,2)),VALUE(RIGHT($G23,2))),"ERR"),"ERR"),"ERR")))</f>
        <v/>
      </c>
      <c r="O23" s="51" t="str">
        <f>IF($H23="","",IF(ISNUMBER($H23),$H23,IFERROR(VALUE($H23),"ERR")))</f>
        <v/>
      </c>
      <c r="P23" s="51" t="str">
        <f>IF(AND(ISNUMBER($O23),OR($C23="Receipt",$C23="Shipment",$C23="Adjustment")),IF($C23="Shipment",-$O23,$O23),"")</f>
        <v/>
      </c>
      <c r="Q23" s="51" t="str">
        <f>IF($D23="","",IFERROR(INDEX(Products!$R$2:$R$101,MATCH($D23,Products!$A$2:$A$101,0)),""))</f>
        <v/>
      </c>
      <c r="R23" s="51" t="str">
        <f>IF(OR($Q23="",$P23=""),"",$Q23+SUMIFS($P$1:$P22,$D$1:$D22,$D23,$U$1:$U22,"Ready"))</f>
        <v/>
      </c>
      <c r="S23" s="51" t="str">
        <f>IF($R23="","",$R23+$P23)</f>
        <v/>
      </c>
      <c r="T23" s="52" t="str">
        <f>IF(COUNTA($A23:$L23)&gt;0,$BP23,"")</f>
        <v/>
      </c>
      <c r="U23" s="49" t="str">
        <f>IF($T23="","",IF($T23=0,"Ready","Rejected"))</f>
        <v/>
      </c>
      <c r="V23" s="49" t="str">
        <f>IF(OR($T23="",$T23=0),"",INDEX(Config!$D$39:$D$61,MATCH(1,$AT23:$BP23,0))&amp;IF($T23&gt;1," (+"&amp;($T23-1)&amp;" more)",""))</f>
        <v/>
      </c>
      <c r="W23" s="52">
        <f>IF(AND(COUNTA($A23:$L23)&gt;0,$A23=""),1,0)</f>
        <v>0</v>
      </c>
      <c r="X23" s="52">
        <f>IF(AND(COUNTA($A23:$L23)&gt;0,$A23&lt;&gt;""),IF(COUNTIF($A$1:$A22,$A23)&gt;0,1,0),0)</f>
        <v>0</v>
      </c>
      <c r="Y23" s="52">
        <f>IF(AND(COUNTA($A23:$L23)&gt;0,$A23&lt;&gt;""),IF(COUNTIF(Inventory_Ledger!$A$2:$A$2001,$A23)&gt;0,1,0),0)</f>
        <v>0</v>
      </c>
      <c r="Z23" s="52">
        <f>IF(AND(COUNTA($A23:$L23)&gt;0,$B23=""),1,0)</f>
        <v>0</v>
      </c>
      <c r="AA23" s="52">
        <f>IF(AND(COUNTA($A23:$L23)&gt;0,$B23&lt;&gt;""),IF($M23="ERR",1,0),0)</f>
        <v>0</v>
      </c>
      <c r="AB23" s="52">
        <f>IF(AND(COUNTA($A23:$L23)&gt;0,ISNUMBER($M23)),IF($M23&gt;Config!$B$4,1,0),0)</f>
        <v>0</v>
      </c>
      <c r="AC23" s="52">
        <f>IF(AND(COUNTA($A23:$L23)&gt;0,$C23=""),1,0)</f>
        <v>0</v>
      </c>
      <c r="AD23" s="52">
        <f>IF(AND(COUNTA($A23:$L23)&gt;0,$C23&lt;&gt;""),IF(COUNTIF(Config!$A$15:$A$34,$C23)=0,1,0),0)</f>
        <v>0</v>
      </c>
      <c r="AE23" s="52">
        <f>IF(AND(COUNTA($A23:$L23)&gt;0,$D23=""),1,0)</f>
        <v>0</v>
      </c>
      <c r="AF23" s="52">
        <f>IF(AND(COUNTA($A23:$L23)&gt;0,$D23&lt;&gt;""),IF(COUNTIF(Products!$A$2:$A$101,$D23)=0,1,0),0)</f>
        <v>0</v>
      </c>
      <c r="AG23" s="52">
        <f>IF(AND(COUNTA($A23:$L23)&gt;0,$C23="Receipt",$E23=""),1,0)</f>
        <v>0</v>
      </c>
      <c r="AH23" s="52">
        <f>IF(AND(COUNTA($A23:$L23)&gt;0,$E23&lt;&gt;""),IF(COUNTIF(Suppliers!$A$2:$A$51,$E23)=0,1,0),0)</f>
        <v>0</v>
      </c>
      <c r="AI23" s="52">
        <f>IF(AND(COUNTA($A23:$L23)&gt;0,$F23=""),1,0)</f>
        <v>0</v>
      </c>
      <c r="AJ23" s="52">
        <f>IF(AND(COUNTA($A23:$L23)&gt;0,$F23&lt;&gt;"",$D23&lt;&gt;"",OR($C23="Shipment",$C23="Adjustment")),IF($AF23=1,0,IF(COUNTIFS(Batches!$A$2:$A$301,$F23,Batches!$B$2:$B$301,$D23)+COUNTIFS($F$1:$F22,$F23,$D$1:$D22,$D23,$C$1:$C22,"Receipt")=0,1,0)),0)</f>
        <v>0</v>
      </c>
      <c r="AK23" s="52">
        <f>IF(AND(COUNTA($A23:$L23)&gt;0,$C23="Receipt",$G23=""),1,0)</f>
        <v>0</v>
      </c>
      <c r="AL23" s="52">
        <f>IF(AND(COUNTA($A23:$L23)&gt;0,$G23&lt;&gt;""),IF($N23="ERR",1,0),0)</f>
        <v>0</v>
      </c>
      <c r="AM23" s="52">
        <f>IF(AND(COUNTA($A23:$L23)&gt;0,$H23=""),1,0)</f>
        <v>0</v>
      </c>
      <c r="AN23" s="52">
        <f>IF(AND(COUNTA($A23:$L23)&gt;0,$H23&lt;&gt;""),IF($O23="ERR",1,IF(INT($O23)&lt;&gt;$O23,1,IF(AND(OR($C23="Receipt",$C23="Shipment"),$O23&lt;=0),1,IF(AND($C23="Adjustment",$O23=0),1,0)))),0)</f>
        <v>0</v>
      </c>
      <c r="AO23" s="52">
        <f>IF(AND(COUNTA($A23:$L23)&gt;0,$C23="Receipt",$I23=""),1,0)</f>
        <v>0</v>
      </c>
      <c r="AP23" s="52">
        <f>IF(AND(COUNTA($A23:$L23)&gt;0,$I23&lt;&gt;""),IF(IFERROR(INDEX(Config!$G$15:$G$34,MATCH($I23,Config!$E$15:$E$34,0)),"No")="Yes",0,1),0)</f>
        <v>0</v>
      </c>
      <c r="AQ23" s="52">
        <f>IF(AND(COUNTA($A23:$L23)&gt;0,$C23="Adjustment",$J23=""),1,0)</f>
        <v>0</v>
      </c>
      <c r="AR23" s="52">
        <f>IF(AND(COUNTA($A23:$L23)&gt;0,$L23=""),1,0)</f>
        <v>0</v>
      </c>
      <c r="AS23" s="52">
        <f>IF(AND(COUNTA($A23:$L23)&gt;0,ISNUMBER($S23)),IF($S23&lt;0,1,0),0)</f>
        <v>0</v>
      </c>
      <c r="AT23" s="52">
        <f>$W23</f>
        <v>0</v>
      </c>
      <c r="AU23" s="52">
        <f>$AT23+$X23</f>
        <v>0</v>
      </c>
      <c r="AV23" s="52">
        <f>$AU23+$Y23</f>
        <v>0</v>
      </c>
      <c r="AW23" s="52">
        <f>$AV23+$Z23</f>
        <v>0</v>
      </c>
      <c r="AX23" s="52">
        <f>$AW23+$AA23</f>
        <v>0</v>
      </c>
      <c r="AY23" s="52">
        <f>$AX23+$AB23</f>
        <v>0</v>
      </c>
      <c r="AZ23" s="52">
        <f>$AY23+$AC23</f>
        <v>0</v>
      </c>
      <c r="BA23" s="52">
        <f>$AZ23+$AD23</f>
        <v>0</v>
      </c>
      <c r="BB23" s="52">
        <f>$BA23+$AE23</f>
        <v>0</v>
      </c>
      <c r="BC23" s="52">
        <f>$BB23+$AF23</f>
        <v>0</v>
      </c>
      <c r="BD23" s="52">
        <f>$BC23+$AG23</f>
        <v>0</v>
      </c>
      <c r="BE23" s="52">
        <f>$BD23+$AH23</f>
        <v>0</v>
      </c>
      <c r="BF23" s="52">
        <f>$BE23+$AI23</f>
        <v>0</v>
      </c>
      <c r="BG23" s="52">
        <f>$BF23+$AJ23</f>
        <v>0</v>
      </c>
      <c r="BH23" s="52">
        <f>$BG23+$AK23</f>
        <v>0</v>
      </c>
      <c r="BI23" s="52">
        <f>$BH23+$AL23</f>
        <v>0</v>
      </c>
      <c r="BJ23" s="52">
        <f>$BI23+$AM23</f>
        <v>0</v>
      </c>
      <c r="BK23" s="52">
        <f>$BJ23+$AN23</f>
        <v>0</v>
      </c>
      <c r="BL23" s="52">
        <f>$BK23+$AO23</f>
        <v>0</v>
      </c>
      <c r="BM23" s="52">
        <f>$BL23+$AP23</f>
        <v>0</v>
      </c>
      <c r="BN23" s="52">
        <f>$BM23+$AQ23</f>
        <v>0</v>
      </c>
      <c r="BO23" s="52">
        <f>$BN23+$AR23</f>
        <v>0</v>
      </c>
      <c r="BP23" s="52">
        <f>$BO23+$AS23</f>
        <v>0</v>
      </c>
      <c r="BQ23" s="52">
        <f>SUM($T$1:$T22)</f>
        <v>11</v>
      </c>
      <c r="BR23" s="52" t="str">
        <f>IF(ISNUMBER($T23),IF($T23&gt;0,COUNTIF($T$2:$T23,"&gt;0"),""),"")</f>
        <v/>
      </c>
      <c r="BS23" s="52" t="str">
        <f>IF($BR23="","",$BQ23+$T23)</f>
        <v/>
      </c>
      <c r="BT23" s="52" t="str">
        <f>IF($U23="Ready",COUNTIF($U$2:$U23,"Ready"),"")</f>
        <v/>
      </c>
      <c r="BU23" s="52">
        <f>IF(AND($U23="Ready",$C23="Receipt"),IF(COUNTIF(Batches!$A$2:$A$301,$F23)+COUNTIFS($F$1:$F22,$F23,$C$1:$C22,"Receipt",$U$1:$U22,"Ready")=0,1,0),0)</f>
        <v>0</v>
      </c>
      <c r="BV23" s="52" t="str">
        <f>IF($BU23=1,SUM($BU$2:$BU23),"")</f>
        <v/>
      </c>
    </row>
    <row r="24">
      <c r="A24" s="46" t="n"/>
      <c r="B24" s="46" t="n"/>
      <c r="C24" s="46" t="n"/>
      <c r="D24" s="46" t="n"/>
      <c r="E24" s="46" t="n"/>
      <c r="F24" s="46" t="n"/>
      <c r="G24" s="46" t="n"/>
      <c r="H24" s="46" t="n"/>
      <c r="I24" s="46" t="n"/>
      <c r="J24" s="46" t="n"/>
      <c r="K24" s="46" t="n"/>
      <c r="L24" s="46" t="n"/>
      <c r="M24" s="62" t="str">
        <f>IF($B24="","",IF(ISNUMBER($B24),$B24,IF(AND(LEN($B24)=10,MID($B24,5,1)="-",MID($B24,8,1)="-"),IFERROR(IF(AND(MONTH(DATE(VALUE(LEFT($B24,4)),VALUE(MID($B24,6,2)),VALUE(RIGHT($B24,2))))=VALUE(MID($B24,6,2)),DAY(DATE(VALUE(LEFT($B24,4)),VALUE(MID($B24,6,2)),VALUE(RIGHT($B24,2))))=VALUE(RIGHT($B24,2))),DATE(VALUE(LEFT($B24,4)),VALUE(MID($B24,6,2)),VALUE(RIGHT($B24,2))),"ERR"),"ERR"),"ERR")))</f>
        <v/>
      </c>
      <c r="N24" s="62" t="str">
        <f>IF($G24="","",IF(ISNUMBER($G24),$G24,IF(AND(LEN($G24)=10,MID($G24,5,1)="-",MID($G24,8,1)="-"),IFERROR(IF(AND(MONTH(DATE(VALUE(LEFT($G24,4)),VALUE(MID($G24,6,2)),VALUE(RIGHT($G24,2))))=VALUE(MID($G24,6,2)),DAY(DATE(VALUE(LEFT($G24,4)),VALUE(MID($G24,6,2)),VALUE(RIGHT($G24,2))))=VALUE(RIGHT($G24,2))),DATE(VALUE(LEFT($G24,4)),VALUE(MID($G24,6,2)),VALUE(RIGHT($G24,2))),"ERR"),"ERR"),"ERR")))</f>
        <v/>
      </c>
      <c r="O24" s="51" t="str">
        <f>IF($H24="","",IF(ISNUMBER($H24),$H24,IFERROR(VALUE($H24),"ERR")))</f>
        <v/>
      </c>
      <c r="P24" s="51" t="str">
        <f>IF(AND(ISNUMBER($O24),OR($C24="Receipt",$C24="Shipment",$C24="Adjustment")),IF($C24="Shipment",-$O24,$O24),"")</f>
        <v/>
      </c>
      <c r="Q24" s="51" t="str">
        <f>IF($D24="","",IFERROR(INDEX(Products!$R$2:$R$101,MATCH($D24,Products!$A$2:$A$101,0)),""))</f>
        <v/>
      </c>
      <c r="R24" s="51" t="str">
        <f>IF(OR($Q24="",$P24=""),"",$Q24+SUMIFS($P$1:$P23,$D$1:$D23,$D24,$U$1:$U23,"Ready"))</f>
        <v/>
      </c>
      <c r="S24" s="51" t="str">
        <f>IF($R24="","",$R24+$P24)</f>
        <v/>
      </c>
      <c r="T24" s="52" t="str">
        <f>IF(COUNTA($A24:$L24)&gt;0,$BP24,"")</f>
        <v/>
      </c>
      <c r="U24" s="49" t="str">
        <f>IF($T24="","",IF($T24=0,"Ready","Rejected"))</f>
        <v/>
      </c>
      <c r="V24" s="49" t="str">
        <f>IF(OR($T24="",$T24=0),"",INDEX(Config!$D$39:$D$61,MATCH(1,$AT24:$BP24,0))&amp;IF($T24&gt;1," (+"&amp;($T24-1)&amp;" more)",""))</f>
        <v/>
      </c>
      <c r="W24" s="52">
        <f>IF(AND(COUNTA($A24:$L24)&gt;0,$A24=""),1,0)</f>
        <v>0</v>
      </c>
      <c r="X24" s="52">
        <f>IF(AND(COUNTA($A24:$L24)&gt;0,$A24&lt;&gt;""),IF(COUNTIF($A$1:$A23,$A24)&gt;0,1,0),0)</f>
        <v>0</v>
      </c>
      <c r="Y24" s="52">
        <f>IF(AND(COUNTA($A24:$L24)&gt;0,$A24&lt;&gt;""),IF(COUNTIF(Inventory_Ledger!$A$2:$A$2001,$A24)&gt;0,1,0),0)</f>
        <v>0</v>
      </c>
      <c r="Z24" s="52">
        <f>IF(AND(COUNTA($A24:$L24)&gt;0,$B24=""),1,0)</f>
        <v>0</v>
      </c>
      <c r="AA24" s="52">
        <f>IF(AND(COUNTA($A24:$L24)&gt;0,$B24&lt;&gt;""),IF($M24="ERR",1,0),0)</f>
        <v>0</v>
      </c>
      <c r="AB24" s="52">
        <f>IF(AND(COUNTA($A24:$L24)&gt;0,ISNUMBER($M24)),IF($M24&gt;Config!$B$4,1,0),0)</f>
        <v>0</v>
      </c>
      <c r="AC24" s="52">
        <f>IF(AND(COUNTA($A24:$L24)&gt;0,$C24=""),1,0)</f>
        <v>0</v>
      </c>
      <c r="AD24" s="52">
        <f>IF(AND(COUNTA($A24:$L24)&gt;0,$C24&lt;&gt;""),IF(COUNTIF(Config!$A$15:$A$34,$C24)=0,1,0),0)</f>
        <v>0</v>
      </c>
      <c r="AE24" s="52">
        <f>IF(AND(COUNTA($A24:$L24)&gt;0,$D24=""),1,0)</f>
        <v>0</v>
      </c>
      <c r="AF24" s="52">
        <f>IF(AND(COUNTA($A24:$L24)&gt;0,$D24&lt;&gt;""),IF(COUNTIF(Products!$A$2:$A$101,$D24)=0,1,0),0)</f>
        <v>0</v>
      </c>
      <c r="AG24" s="52">
        <f>IF(AND(COUNTA($A24:$L24)&gt;0,$C24="Receipt",$E24=""),1,0)</f>
        <v>0</v>
      </c>
      <c r="AH24" s="52">
        <f>IF(AND(COUNTA($A24:$L24)&gt;0,$E24&lt;&gt;""),IF(COUNTIF(Suppliers!$A$2:$A$51,$E24)=0,1,0),0)</f>
        <v>0</v>
      </c>
      <c r="AI24" s="52">
        <f>IF(AND(COUNTA($A24:$L24)&gt;0,$F24=""),1,0)</f>
        <v>0</v>
      </c>
      <c r="AJ24" s="52">
        <f>IF(AND(COUNTA($A24:$L24)&gt;0,$F24&lt;&gt;"",$D24&lt;&gt;"",OR($C24="Shipment",$C24="Adjustment")),IF($AF24=1,0,IF(COUNTIFS(Batches!$A$2:$A$301,$F24,Batches!$B$2:$B$301,$D24)+COUNTIFS($F$1:$F23,$F24,$D$1:$D23,$D24,$C$1:$C23,"Receipt")=0,1,0)),0)</f>
        <v>0</v>
      </c>
      <c r="AK24" s="52">
        <f>IF(AND(COUNTA($A24:$L24)&gt;0,$C24="Receipt",$G24=""),1,0)</f>
        <v>0</v>
      </c>
      <c r="AL24" s="52">
        <f>IF(AND(COUNTA($A24:$L24)&gt;0,$G24&lt;&gt;""),IF($N24="ERR",1,0),0)</f>
        <v>0</v>
      </c>
      <c r="AM24" s="52">
        <f>IF(AND(COUNTA($A24:$L24)&gt;0,$H24=""),1,0)</f>
        <v>0</v>
      </c>
      <c r="AN24" s="52">
        <f>IF(AND(COUNTA($A24:$L24)&gt;0,$H24&lt;&gt;""),IF($O24="ERR",1,IF(INT($O24)&lt;&gt;$O24,1,IF(AND(OR($C24="Receipt",$C24="Shipment"),$O24&lt;=0),1,IF(AND($C24="Adjustment",$O24=0),1,0)))),0)</f>
        <v>0</v>
      </c>
      <c r="AO24" s="52">
        <f>IF(AND(COUNTA($A24:$L24)&gt;0,$C24="Receipt",$I24=""),1,0)</f>
        <v>0</v>
      </c>
      <c r="AP24" s="52">
        <f>IF(AND(COUNTA($A24:$L24)&gt;0,$I24&lt;&gt;""),IF(IFERROR(INDEX(Config!$G$15:$G$34,MATCH($I24,Config!$E$15:$E$34,0)),"No")="Yes",0,1),0)</f>
        <v>0</v>
      </c>
      <c r="AQ24" s="52">
        <f>IF(AND(COUNTA($A24:$L24)&gt;0,$C24="Adjustment",$J24=""),1,0)</f>
        <v>0</v>
      </c>
      <c r="AR24" s="52">
        <f>IF(AND(COUNTA($A24:$L24)&gt;0,$L24=""),1,0)</f>
        <v>0</v>
      </c>
      <c r="AS24" s="52">
        <f>IF(AND(COUNTA($A24:$L24)&gt;0,ISNUMBER($S24)),IF($S24&lt;0,1,0),0)</f>
        <v>0</v>
      </c>
      <c r="AT24" s="52">
        <f>$W24</f>
        <v>0</v>
      </c>
      <c r="AU24" s="52">
        <f>$AT24+$X24</f>
        <v>0</v>
      </c>
      <c r="AV24" s="52">
        <f>$AU24+$Y24</f>
        <v>0</v>
      </c>
      <c r="AW24" s="52">
        <f>$AV24+$Z24</f>
        <v>0</v>
      </c>
      <c r="AX24" s="52">
        <f>$AW24+$AA24</f>
        <v>0</v>
      </c>
      <c r="AY24" s="52">
        <f>$AX24+$AB24</f>
        <v>0</v>
      </c>
      <c r="AZ24" s="52">
        <f>$AY24+$AC24</f>
        <v>0</v>
      </c>
      <c r="BA24" s="52">
        <f>$AZ24+$AD24</f>
        <v>0</v>
      </c>
      <c r="BB24" s="52">
        <f>$BA24+$AE24</f>
        <v>0</v>
      </c>
      <c r="BC24" s="52">
        <f>$BB24+$AF24</f>
        <v>0</v>
      </c>
      <c r="BD24" s="52">
        <f>$BC24+$AG24</f>
        <v>0</v>
      </c>
      <c r="BE24" s="52">
        <f>$BD24+$AH24</f>
        <v>0</v>
      </c>
      <c r="BF24" s="52">
        <f>$BE24+$AI24</f>
        <v>0</v>
      </c>
      <c r="BG24" s="52">
        <f>$BF24+$AJ24</f>
        <v>0</v>
      </c>
      <c r="BH24" s="52">
        <f>$BG24+$AK24</f>
        <v>0</v>
      </c>
      <c r="BI24" s="52">
        <f>$BH24+$AL24</f>
        <v>0</v>
      </c>
      <c r="BJ24" s="52">
        <f>$BI24+$AM24</f>
        <v>0</v>
      </c>
      <c r="BK24" s="52">
        <f>$BJ24+$AN24</f>
        <v>0</v>
      </c>
      <c r="BL24" s="52">
        <f>$BK24+$AO24</f>
        <v>0</v>
      </c>
      <c r="BM24" s="52">
        <f>$BL24+$AP24</f>
        <v>0</v>
      </c>
      <c r="BN24" s="52">
        <f>$BM24+$AQ24</f>
        <v>0</v>
      </c>
      <c r="BO24" s="52">
        <f>$BN24+$AR24</f>
        <v>0</v>
      </c>
      <c r="BP24" s="52">
        <f>$BO24+$AS24</f>
        <v>0</v>
      </c>
      <c r="BQ24" s="52">
        <f>SUM($T$1:$T23)</f>
        <v>11</v>
      </c>
      <c r="BR24" s="52" t="str">
        <f>IF(ISNUMBER($T24),IF($T24&gt;0,COUNTIF($T$2:$T24,"&gt;0"),""),"")</f>
        <v/>
      </c>
      <c r="BS24" s="52" t="str">
        <f>IF($BR24="","",$BQ24+$T24)</f>
        <v/>
      </c>
      <c r="BT24" s="52" t="str">
        <f>IF($U24="Ready",COUNTIF($U$2:$U24,"Ready"),"")</f>
        <v/>
      </c>
      <c r="BU24" s="52">
        <f>IF(AND($U24="Ready",$C24="Receipt"),IF(COUNTIF(Batches!$A$2:$A$301,$F24)+COUNTIFS($F$1:$F23,$F24,$C$1:$C23,"Receipt",$U$1:$U23,"Ready")=0,1,0),0)</f>
        <v>0</v>
      </c>
      <c r="BV24" s="52" t="str">
        <f>IF($BU24=1,SUM($BU$2:$BU24),"")</f>
        <v/>
      </c>
    </row>
    <row r="25">
      <c r="A25" s="46" t="n"/>
      <c r="B25" s="46" t="n"/>
      <c r="C25" s="46" t="n"/>
      <c r="D25" s="46" t="n"/>
      <c r="E25" s="46" t="n"/>
      <c r="F25" s="46" t="n"/>
      <c r="G25" s="46" t="n"/>
      <c r="H25" s="46" t="n"/>
      <c r="I25" s="46" t="n"/>
      <c r="J25" s="46" t="n"/>
      <c r="K25" s="46" t="n"/>
      <c r="L25" s="46" t="n"/>
      <c r="M25" s="62" t="str">
        <f>IF($B25="","",IF(ISNUMBER($B25),$B25,IF(AND(LEN($B25)=10,MID($B25,5,1)="-",MID($B25,8,1)="-"),IFERROR(IF(AND(MONTH(DATE(VALUE(LEFT($B25,4)),VALUE(MID($B25,6,2)),VALUE(RIGHT($B25,2))))=VALUE(MID($B25,6,2)),DAY(DATE(VALUE(LEFT($B25,4)),VALUE(MID($B25,6,2)),VALUE(RIGHT($B25,2))))=VALUE(RIGHT($B25,2))),DATE(VALUE(LEFT($B25,4)),VALUE(MID($B25,6,2)),VALUE(RIGHT($B25,2))),"ERR"),"ERR"),"ERR")))</f>
        <v/>
      </c>
      <c r="N25" s="62" t="str">
        <f>IF($G25="","",IF(ISNUMBER($G25),$G25,IF(AND(LEN($G25)=10,MID($G25,5,1)="-",MID($G25,8,1)="-"),IFERROR(IF(AND(MONTH(DATE(VALUE(LEFT($G25,4)),VALUE(MID($G25,6,2)),VALUE(RIGHT($G25,2))))=VALUE(MID($G25,6,2)),DAY(DATE(VALUE(LEFT($G25,4)),VALUE(MID($G25,6,2)),VALUE(RIGHT($G25,2))))=VALUE(RIGHT($G25,2))),DATE(VALUE(LEFT($G25,4)),VALUE(MID($G25,6,2)),VALUE(RIGHT($G25,2))),"ERR"),"ERR"),"ERR")))</f>
        <v/>
      </c>
      <c r="O25" s="51" t="str">
        <f>IF($H25="","",IF(ISNUMBER($H25),$H25,IFERROR(VALUE($H25),"ERR")))</f>
        <v/>
      </c>
      <c r="P25" s="51" t="str">
        <f>IF(AND(ISNUMBER($O25),OR($C25="Receipt",$C25="Shipment",$C25="Adjustment")),IF($C25="Shipment",-$O25,$O25),"")</f>
        <v/>
      </c>
      <c r="Q25" s="51" t="str">
        <f>IF($D25="","",IFERROR(INDEX(Products!$R$2:$R$101,MATCH($D25,Products!$A$2:$A$101,0)),""))</f>
        <v/>
      </c>
      <c r="R25" s="51" t="str">
        <f>IF(OR($Q25="",$P25=""),"",$Q25+SUMIFS($P$1:$P24,$D$1:$D24,$D25,$U$1:$U24,"Ready"))</f>
        <v/>
      </c>
      <c r="S25" s="51" t="str">
        <f>IF($R25="","",$R25+$P25)</f>
        <v/>
      </c>
      <c r="T25" s="52" t="str">
        <f>IF(COUNTA($A25:$L25)&gt;0,$BP25,"")</f>
        <v/>
      </c>
      <c r="U25" s="49" t="str">
        <f>IF($T25="","",IF($T25=0,"Ready","Rejected"))</f>
        <v/>
      </c>
      <c r="V25" s="49" t="str">
        <f>IF(OR($T25="",$T25=0),"",INDEX(Config!$D$39:$D$61,MATCH(1,$AT25:$BP25,0))&amp;IF($T25&gt;1," (+"&amp;($T25-1)&amp;" more)",""))</f>
        <v/>
      </c>
      <c r="W25" s="52">
        <f>IF(AND(COUNTA($A25:$L25)&gt;0,$A25=""),1,0)</f>
        <v>0</v>
      </c>
      <c r="X25" s="52">
        <f>IF(AND(COUNTA($A25:$L25)&gt;0,$A25&lt;&gt;""),IF(COUNTIF($A$1:$A24,$A25)&gt;0,1,0),0)</f>
        <v>0</v>
      </c>
      <c r="Y25" s="52">
        <f>IF(AND(COUNTA($A25:$L25)&gt;0,$A25&lt;&gt;""),IF(COUNTIF(Inventory_Ledger!$A$2:$A$2001,$A25)&gt;0,1,0),0)</f>
        <v>0</v>
      </c>
      <c r="Z25" s="52">
        <f>IF(AND(COUNTA($A25:$L25)&gt;0,$B25=""),1,0)</f>
        <v>0</v>
      </c>
      <c r="AA25" s="52">
        <f>IF(AND(COUNTA($A25:$L25)&gt;0,$B25&lt;&gt;""),IF($M25="ERR",1,0),0)</f>
        <v>0</v>
      </c>
      <c r="AB25" s="52">
        <f>IF(AND(COUNTA($A25:$L25)&gt;0,ISNUMBER($M25)),IF($M25&gt;Config!$B$4,1,0),0)</f>
        <v>0</v>
      </c>
      <c r="AC25" s="52">
        <f>IF(AND(COUNTA($A25:$L25)&gt;0,$C25=""),1,0)</f>
        <v>0</v>
      </c>
      <c r="AD25" s="52">
        <f>IF(AND(COUNTA($A25:$L25)&gt;0,$C25&lt;&gt;""),IF(COUNTIF(Config!$A$15:$A$34,$C25)=0,1,0),0)</f>
        <v>0</v>
      </c>
      <c r="AE25" s="52">
        <f>IF(AND(COUNTA($A25:$L25)&gt;0,$D25=""),1,0)</f>
        <v>0</v>
      </c>
      <c r="AF25" s="52">
        <f>IF(AND(COUNTA($A25:$L25)&gt;0,$D25&lt;&gt;""),IF(COUNTIF(Products!$A$2:$A$101,$D25)=0,1,0),0)</f>
        <v>0</v>
      </c>
      <c r="AG25" s="52">
        <f>IF(AND(COUNTA($A25:$L25)&gt;0,$C25="Receipt",$E25=""),1,0)</f>
        <v>0</v>
      </c>
      <c r="AH25" s="52">
        <f>IF(AND(COUNTA($A25:$L25)&gt;0,$E25&lt;&gt;""),IF(COUNTIF(Suppliers!$A$2:$A$51,$E25)=0,1,0),0)</f>
        <v>0</v>
      </c>
      <c r="AI25" s="52">
        <f>IF(AND(COUNTA($A25:$L25)&gt;0,$F25=""),1,0)</f>
        <v>0</v>
      </c>
      <c r="AJ25" s="52">
        <f>IF(AND(COUNTA($A25:$L25)&gt;0,$F25&lt;&gt;"",$D25&lt;&gt;"",OR($C25="Shipment",$C25="Adjustment")),IF($AF25=1,0,IF(COUNTIFS(Batches!$A$2:$A$301,$F25,Batches!$B$2:$B$301,$D25)+COUNTIFS($F$1:$F24,$F25,$D$1:$D24,$D25,$C$1:$C24,"Receipt")=0,1,0)),0)</f>
        <v>0</v>
      </c>
      <c r="AK25" s="52">
        <f>IF(AND(COUNTA($A25:$L25)&gt;0,$C25="Receipt",$G25=""),1,0)</f>
        <v>0</v>
      </c>
      <c r="AL25" s="52">
        <f>IF(AND(COUNTA($A25:$L25)&gt;0,$G25&lt;&gt;""),IF($N25="ERR",1,0),0)</f>
        <v>0</v>
      </c>
      <c r="AM25" s="52">
        <f>IF(AND(COUNTA($A25:$L25)&gt;0,$H25=""),1,0)</f>
        <v>0</v>
      </c>
      <c r="AN25" s="52">
        <f>IF(AND(COUNTA($A25:$L25)&gt;0,$H25&lt;&gt;""),IF($O25="ERR",1,IF(INT($O25)&lt;&gt;$O25,1,IF(AND(OR($C25="Receipt",$C25="Shipment"),$O25&lt;=0),1,IF(AND($C25="Adjustment",$O25=0),1,0)))),0)</f>
        <v>0</v>
      </c>
      <c r="AO25" s="52">
        <f>IF(AND(COUNTA($A25:$L25)&gt;0,$C25="Receipt",$I25=""),1,0)</f>
        <v>0</v>
      </c>
      <c r="AP25" s="52">
        <f>IF(AND(COUNTA($A25:$L25)&gt;0,$I25&lt;&gt;""),IF(IFERROR(INDEX(Config!$G$15:$G$34,MATCH($I25,Config!$E$15:$E$34,0)),"No")="Yes",0,1),0)</f>
        <v>0</v>
      </c>
      <c r="AQ25" s="52">
        <f>IF(AND(COUNTA($A25:$L25)&gt;0,$C25="Adjustment",$J25=""),1,0)</f>
        <v>0</v>
      </c>
      <c r="AR25" s="52">
        <f>IF(AND(COUNTA($A25:$L25)&gt;0,$L25=""),1,0)</f>
        <v>0</v>
      </c>
      <c r="AS25" s="52">
        <f>IF(AND(COUNTA($A25:$L25)&gt;0,ISNUMBER($S25)),IF($S25&lt;0,1,0),0)</f>
        <v>0</v>
      </c>
      <c r="AT25" s="52">
        <f>$W25</f>
        <v>0</v>
      </c>
      <c r="AU25" s="52">
        <f>$AT25+$X25</f>
        <v>0</v>
      </c>
      <c r="AV25" s="52">
        <f>$AU25+$Y25</f>
        <v>0</v>
      </c>
      <c r="AW25" s="52">
        <f>$AV25+$Z25</f>
        <v>0</v>
      </c>
      <c r="AX25" s="52">
        <f>$AW25+$AA25</f>
        <v>0</v>
      </c>
      <c r="AY25" s="52">
        <f>$AX25+$AB25</f>
        <v>0</v>
      </c>
      <c r="AZ25" s="52">
        <f>$AY25+$AC25</f>
        <v>0</v>
      </c>
      <c r="BA25" s="52">
        <f>$AZ25+$AD25</f>
        <v>0</v>
      </c>
      <c r="BB25" s="52">
        <f>$BA25+$AE25</f>
        <v>0</v>
      </c>
      <c r="BC25" s="52">
        <f>$BB25+$AF25</f>
        <v>0</v>
      </c>
      <c r="BD25" s="52">
        <f>$BC25+$AG25</f>
        <v>0</v>
      </c>
      <c r="BE25" s="52">
        <f>$BD25+$AH25</f>
        <v>0</v>
      </c>
      <c r="BF25" s="52">
        <f>$BE25+$AI25</f>
        <v>0</v>
      </c>
      <c r="BG25" s="52">
        <f>$BF25+$AJ25</f>
        <v>0</v>
      </c>
      <c r="BH25" s="52">
        <f>$BG25+$AK25</f>
        <v>0</v>
      </c>
      <c r="BI25" s="52">
        <f>$BH25+$AL25</f>
        <v>0</v>
      </c>
      <c r="BJ25" s="52">
        <f>$BI25+$AM25</f>
        <v>0</v>
      </c>
      <c r="BK25" s="52">
        <f>$BJ25+$AN25</f>
        <v>0</v>
      </c>
      <c r="BL25" s="52">
        <f>$BK25+$AO25</f>
        <v>0</v>
      </c>
      <c r="BM25" s="52">
        <f>$BL25+$AP25</f>
        <v>0</v>
      </c>
      <c r="BN25" s="52">
        <f>$BM25+$AQ25</f>
        <v>0</v>
      </c>
      <c r="BO25" s="52">
        <f>$BN25+$AR25</f>
        <v>0</v>
      </c>
      <c r="BP25" s="52">
        <f>$BO25+$AS25</f>
        <v>0</v>
      </c>
      <c r="BQ25" s="52">
        <f>SUM($T$1:$T24)</f>
        <v>11</v>
      </c>
      <c r="BR25" s="52" t="str">
        <f>IF(ISNUMBER($T25),IF($T25&gt;0,COUNTIF($T$2:$T25,"&gt;0"),""),"")</f>
        <v/>
      </c>
      <c r="BS25" s="52" t="str">
        <f>IF($BR25="","",$BQ25+$T25)</f>
        <v/>
      </c>
      <c r="BT25" s="52" t="str">
        <f>IF($U25="Ready",COUNTIF($U$2:$U25,"Ready"),"")</f>
        <v/>
      </c>
      <c r="BU25" s="52">
        <f>IF(AND($U25="Ready",$C25="Receipt"),IF(COUNTIF(Batches!$A$2:$A$301,$F25)+COUNTIFS($F$1:$F24,$F25,$C$1:$C24,"Receipt",$U$1:$U24,"Ready")=0,1,0),0)</f>
        <v>0</v>
      </c>
      <c r="BV25" s="52" t="str">
        <f>IF($BU25=1,SUM($BU$2:$BU25),"")</f>
        <v/>
      </c>
    </row>
    <row r="26">
      <c r="A26" s="46" t="n"/>
      <c r="B26" s="46" t="n"/>
      <c r="C26" s="46" t="n"/>
      <c r="D26" s="46" t="n"/>
      <c r="E26" s="46" t="n"/>
      <c r="F26" s="46" t="n"/>
      <c r="G26" s="46" t="n"/>
      <c r="H26" s="46" t="n"/>
      <c r="I26" s="46" t="n"/>
      <c r="J26" s="46" t="n"/>
      <c r="K26" s="46" t="n"/>
      <c r="L26" s="46" t="n"/>
      <c r="M26" s="62" t="str">
        <f>IF($B26="","",IF(ISNUMBER($B26),$B26,IF(AND(LEN($B26)=10,MID($B26,5,1)="-",MID($B26,8,1)="-"),IFERROR(IF(AND(MONTH(DATE(VALUE(LEFT($B26,4)),VALUE(MID($B26,6,2)),VALUE(RIGHT($B26,2))))=VALUE(MID($B26,6,2)),DAY(DATE(VALUE(LEFT($B26,4)),VALUE(MID($B26,6,2)),VALUE(RIGHT($B26,2))))=VALUE(RIGHT($B26,2))),DATE(VALUE(LEFT($B26,4)),VALUE(MID($B26,6,2)),VALUE(RIGHT($B26,2))),"ERR"),"ERR"),"ERR")))</f>
        <v/>
      </c>
      <c r="N26" s="62" t="str">
        <f>IF($G26="","",IF(ISNUMBER($G26),$G26,IF(AND(LEN($G26)=10,MID($G26,5,1)="-",MID($G26,8,1)="-"),IFERROR(IF(AND(MONTH(DATE(VALUE(LEFT($G26,4)),VALUE(MID($G26,6,2)),VALUE(RIGHT($G26,2))))=VALUE(MID($G26,6,2)),DAY(DATE(VALUE(LEFT($G26,4)),VALUE(MID($G26,6,2)),VALUE(RIGHT($G26,2))))=VALUE(RIGHT($G26,2))),DATE(VALUE(LEFT($G26,4)),VALUE(MID($G26,6,2)),VALUE(RIGHT($G26,2))),"ERR"),"ERR"),"ERR")))</f>
        <v/>
      </c>
      <c r="O26" s="51" t="str">
        <f>IF($H26="","",IF(ISNUMBER($H26),$H26,IFERROR(VALUE($H26),"ERR")))</f>
        <v/>
      </c>
      <c r="P26" s="51" t="str">
        <f>IF(AND(ISNUMBER($O26),OR($C26="Receipt",$C26="Shipment",$C26="Adjustment")),IF($C26="Shipment",-$O26,$O26),"")</f>
        <v/>
      </c>
      <c r="Q26" s="51" t="str">
        <f>IF($D26="","",IFERROR(INDEX(Products!$R$2:$R$101,MATCH($D26,Products!$A$2:$A$101,0)),""))</f>
        <v/>
      </c>
      <c r="R26" s="51" t="str">
        <f>IF(OR($Q26="",$P26=""),"",$Q26+SUMIFS($P$1:$P25,$D$1:$D25,$D26,$U$1:$U25,"Ready"))</f>
        <v/>
      </c>
      <c r="S26" s="51" t="str">
        <f>IF($R26="","",$R26+$P26)</f>
        <v/>
      </c>
      <c r="T26" s="52" t="str">
        <f>IF(COUNTA($A26:$L26)&gt;0,$BP26,"")</f>
        <v/>
      </c>
      <c r="U26" s="49" t="str">
        <f>IF($T26="","",IF($T26=0,"Ready","Rejected"))</f>
        <v/>
      </c>
      <c r="V26" s="49" t="str">
        <f>IF(OR($T26="",$T26=0),"",INDEX(Config!$D$39:$D$61,MATCH(1,$AT26:$BP26,0))&amp;IF($T26&gt;1," (+"&amp;($T26-1)&amp;" more)",""))</f>
        <v/>
      </c>
      <c r="W26" s="52">
        <f>IF(AND(COUNTA($A26:$L26)&gt;0,$A26=""),1,0)</f>
        <v>0</v>
      </c>
      <c r="X26" s="52">
        <f>IF(AND(COUNTA($A26:$L26)&gt;0,$A26&lt;&gt;""),IF(COUNTIF($A$1:$A25,$A26)&gt;0,1,0),0)</f>
        <v>0</v>
      </c>
      <c r="Y26" s="52">
        <f>IF(AND(COUNTA($A26:$L26)&gt;0,$A26&lt;&gt;""),IF(COUNTIF(Inventory_Ledger!$A$2:$A$2001,$A26)&gt;0,1,0),0)</f>
        <v>0</v>
      </c>
      <c r="Z26" s="52">
        <f>IF(AND(COUNTA($A26:$L26)&gt;0,$B26=""),1,0)</f>
        <v>0</v>
      </c>
      <c r="AA26" s="52">
        <f>IF(AND(COUNTA($A26:$L26)&gt;0,$B26&lt;&gt;""),IF($M26="ERR",1,0),0)</f>
        <v>0</v>
      </c>
      <c r="AB26" s="52">
        <f>IF(AND(COUNTA($A26:$L26)&gt;0,ISNUMBER($M26)),IF($M26&gt;Config!$B$4,1,0),0)</f>
        <v>0</v>
      </c>
      <c r="AC26" s="52">
        <f>IF(AND(COUNTA($A26:$L26)&gt;0,$C26=""),1,0)</f>
        <v>0</v>
      </c>
      <c r="AD26" s="52">
        <f>IF(AND(COUNTA($A26:$L26)&gt;0,$C26&lt;&gt;""),IF(COUNTIF(Config!$A$15:$A$34,$C26)=0,1,0),0)</f>
        <v>0</v>
      </c>
      <c r="AE26" s="52">
        <f>IF(AND(COUNTA($A26:$L26)&gt;0,$D26=""),1,0)</f>
        <v>0</v>
      </c>
      <c r="AF26" s="52">
        <f>IF(AND(COUNTA($A26:$L26)&gt;0,$D26&lt;&gt;""),IF(COUNTIF(Products!$A$2:$A$101,$D26)=0,1,0),0)</f>
        <v>0</v>
      </c>
      <c r="AG26" s="52">
        <f>IF(AND(COUNTA($A26:$L26)&gt;0,$C26="Receipt",$E26=""),1,0)</f>
        <v>0</v>
      </c>
      <c r="AH26" s="52">
        <f>IF(AND(COUNTA($A26:$L26)&gt;0,$E26&lt;&gt;""),IF(COUNTIF(Suppliers!$A$2:$A$51,$E26)=0,1,0),0)</f>
        <v>0</v>
      </c>
      <c r="AI26" s="52">
        <f>IF(AND(COUNTA($A26:$L26)&gt;0,$F26=""),1,0)</f>
        <v>0</v>
      </c>
      <c r="AJ26" s="52">
        <f>IF(AND(COUNTA($A26:$L26)&gt;0,$F26&lt;&gt;"",$D26&lt;&gt;"",OR($C26="Shipment",$C26="Adjustment")),IF($AF26=1,0,IF(COUNTIFS(Batches!$A$2:$A$301,$F26,Batches!$B$2:$B$301,$D26)+COUNTIFS($F$1:$F25,$F26,$D$1:$D25,$D26,$C$1:$C25,"Receipt")=0,1,0)),0)</f>
        <v>0</v>
      </c>
      <c r="AK26" s="52">
        <f>IF(AND(COUNTA($A26:$L26)&gt;0,$C26="Receipt",$G26=""),1,0)</f>
        <v>0</v>
      </c>
      <c r="AL26" s="52">
        <f>IF(AND(COUNTA($A26:$L26)&gt;0,$G26&lt;&gt;""),IF($N26="ERR",1,0),0)</f>
        <v>0</v>
      </c>
      <c r="AM26" s="52">
        <f>IF(AND(COUNTA($A26:$L26)&gt;0,$H26=""),1,0)</f>
        <v>0</v>
      </c>
      <c r="AN26" s="52">
        <f>IF(AND(COUNTA($A26:$L26)&gt;0,$H26&lt;&gt;""),IF($O26="ERR",1,IF(INT($O26)&lt;&gt;$O26,1,IF(AND(OR($C26="Receipt",$C26="Shipment"),$O26&lt;=0),1,IF(AND($C26="Adjustment",$O26=0),1,0)))),0)</f>
        <v>0</v>
      </c>
      <c r="AO26" s="52">
        <f>IF(AND(COUNTA($A26:$L26)&gt;0,$C26="Receipt",$I26=""),1,0)</f>
        <v>0</v>
      </c>
      <c r="AP26" s="52">
        <f>IF(AND(COUNTA($A26:$L26)&gt;0,$I26&lt;&gt;""),IF(IFERROR(INDEX(Config!$G$15:$G$34,MATCH($I26,Config!$E$15:$E$34,0)),"No")="Yes",0,1),0)</f>
        <v>0</v>
      </c>
      <c r="AQ26" s="52">
        <f>IF(AND(COUNTA($A26:$L26)&gt;0,$C26="Adjustment",$J26=""),1,0)</f>
        <v>0</v>
      </c>
      <c r="AR26" s="52">
        <f>IF(AND(COUNTA($A26:$L26)&gt;0,$L26=""),1,0)</f>
        <v>0</v>
      </c>
      <c r="AS26" s="52">
        <f>IF(AND(COUNTA($A26:$L26)&gt;0,ISNUMBER($S26)),IF($S26&lt;0,1,0),0)</f>
        <v>0</v>
      </c>
      <c r="AT26" s="52">
        <f>$W26</f>
        <v>0</v>
      </c>
      <c r="AU26" s="52">
        <f>$AT26+$X26</f>
        <v>0</v>
      </c>
      <c r="AV26" s="52">
        <f>$AU26+$Y26</f>
        <v>0</v>
      </c>
      <c r="AW26" s="52">
        <f>$AV26+$Z26</f>
        <v>0</v>
      </c>
      <c r="AX26" s="52">
        <f>$AW26+$AA26</f>
        <v>0</v>
      </c>
      <c r="AY26" s="52">
        <f>$AX26+$AB26</f>
        <v>0</v>
      </c>
      <c r="AZ26" s="52">
        <f>$AY26+$AC26</f>
        <v>0</v>
      </c>
      <c r="BA26" s="52">
        <f>$AZ26+$AD26</f>
        <v>0</v>
      </c>
      <c r="BB26" s="52">
        <f>$BA26+$AE26</f>
        <v>0</v>
      </c>
      <c r="BC26" s="52">
        <f>$BB26+$AF26</f>
        <v>0</v>
      </c>
      <c r="BD26" s="52">
        <f>$BC26+$AG26</f>
        <v>0</v>
      </c>
      <c r="BE26" s="52">
        <f>$BD26+$AH26</f>
        <v>0</v>
      </c>
      <c r="BF26" s="52">
        <f>$BE26+$AI26</f>
        <v>0</v>
      </c>
      <c r="BG26" s="52">
        <f>$BF26+$AJ26</f>
        <v>0</v>
      </c>
      <c r="BH26" s="52">
        <f>$BG26+$AK26</f>
        <v>0</v>
      </c>
      <c r="BI26" s="52">
        <f>$BH26+$AL26</f>
        <v>0</v>
      </c>
      <c r="BJ26" s="52">
        <f>$BI26+$AM26</f>
        <v>0</v>
      </c>
      <c r="BK26" s="52">
        <f>$BJ26+$AN26</f>
        <v>0</v>
      </c>
      <c r="BL26" s="52">
        <f>$BK26+$AO26</f>
        <v>0</v>
      </c>
      <c r="BM26" s="52">
        <f>$BL26+$AP26</f>
        <v>0</v>
      </c>
      <c r="BN26" s="52">
        <f>$BM26+$AQ26</f>
        <v>0</v>
      </c>
      <c r="BO26" s="52">
        <f>$BN26+$AR26</f>
        <v>0</v>
      </c>
      <c r="BP26" s="52">
        <f>$BO26+$AS26</f>
        <v>0</v>
      </c>
      <c r="BQ26" s="52">
        <f>SUM($T$1:$T25)</f>
        <v>11</v>
      </c>
      <c r="BR26" s="52" t="str">
        <f>IF(ISNUMBER($T26),IF($T26&gt;0,COUNTIF($T$2:$T26,"&gt;0"),""),"")</f>
        <v/>
      </c>
      <c r="BS26" s="52" t="str">
        <f>IF($BR26="","",$BQ26+$T26)</f>
        <v/>
      </c>
      <c r="BT26" s="52" t="str">
        <f>IF($U26="Ready",COUNTIF($U$2:$U26,"Ready"),"")</f>
        <v/>
      </c>
      <c r="BU26" s="52">
        <f>IF(AND($U26="Ready",$C26="Receipt"),IF(COUNTIF(Batches!$A$2:$A$301,$F26)+COUNTIFS($F$1:$F25,$F26,$C$1:$C25,"Receipt",$U$1:$U25,"Ready")=0,1,0),0)</f>
        <v>0</v>
      </c>
      <c r="BV26" s="52" t="str">
        <f>IF($BU26=1,SUM($BU$2:$BU26),"")</f>
        <v/>
      </c>
    </row>
    <row r="27">
      <c r="A27" s="46" t="n"/>
      <c r="B27" s="46" t="n"/>
      <c r="C27" s="46" t="n"/>
      <c r="D27" s="46" t="n"/>
      <c r="E27" s="46" t="n"/>
      <c r="F27" s="46" t="n"/>
      <c r="G27" s="46" t="n"/>
      <c r="H27" s="46" t="n"/>
      <c r="I27" s="46" t="n"/>
      <c r="J27" s="46" t="n"/>
      <c r="K27" s="46" t="n"/>
      <c r="L27" s="46" t="n"/>
      <c r="M27" s="62" t="str">
        <f>IF($B27="","",IF(ISNUMBER($B27),$B27,IF(AND(LEN($B27)=10,MID($B27,5,1)="-",MID($B27,8,1)="-"),IFERROR(IF(AND(MONTH(DATE(VALUE(LEFT($B27,4)),VALUE(MID($B27,6,2)),VALUE(RIGHT($B27,2))))=VALUE(MID($B27,6,2)),DAY(DATE(VALUE(LEFT($B27,4)),VALUE(MID($B27,6,2)),VALUE(RIGHT($B27,2))))=VALUE(RIGHT($B27,2))),DATE(VALUE(LEFT($B27,4)),VALUE(MID($B27,6,2)),VALUE(RIGHT($B27,2))),"ERR"),"ERR"),"ERR")))</f>
        <v/>
      </c>
      <c r="N27" s="62" t="str">
        <f>IF($G27="","",IF(ISNUMBER($G27),$G27,IF(AND(LEN($G27)=10,MID($G27,5,1)="-",MID($G27,8,1)="-"),IFERROR(IF(AND(MONTH(DATE(VALUE(LEFT($G27,4)),VALUE(MID($G27,6,2)),VALUE(RIGHT($G27,2))))=VALUE(MID($G27,6,2)),DAY(DATE(VALUE(LEFT($G27,4)),VALUE(MID($G27,6,2)),VALUE(RIGHT($G27,2))))=VALUE(RIGHT($G27,2))),DATE(VALUE(LEFT($G27,4)),VALUE(MID($G27,6,2)),VALUE(RIGHT($G27,2))),"ERR"),"ERR"),"ERR")))</f>
        <v/>
      </c>
      <c r="O27" s="51" t="str">
        <f>IF($H27="","",IF(ISNUMBER($H27),$H27,IFERROR(VALUE($H27),"ERR")))</f>
        <v/>
      </c>
      <c r="P27" s="51" t="str">
        <f>IF(AND(ISNUMBER($O27),OR($C27="Receipt",$C27="Shipment",$C27="Adjustment")),IF($C27="Shipment",-$O27,$O27),"")</f>
        <v/>
      </c>
      <c r="Q27" s="51" t="str">
        <f>IF($D27="","",IFERROR(INDEX(Products!$R$2:$R$101,MATCH($D27,Products!$A$2:$A$101,0)),""))</f>
        <v/>
      </c>
      <c r="R27" s="51" t="str">
        <f>IF(OR($Q27="",$P27=""),"",$Q27+SUMIFS($P$1:$P26,$D$1:$D26,$D27,$U$1:$U26,"Ready"))</f>
        <v/>
      </c>
      <c r="S27" s="51" t="str">
        <f>IF($R27="","",$R27+$P27)</f>
        <v/>
      </c>
      <c r="T27" s="52" t="str">
        <f>IF(COUNTA($A27:$L27)&gt;0,$BP27,"")</f>
        <v/>
      </c>
      <c r="U27" s="49" t="str">
        <f>IF($T27="","",IF($T27=0,"Ready","Rejected"))</f>
        <v/>
      </c>
      <c r="V27" s="49" t="str">
        <f>IF(OR($T27="",$T27=0),"",INDEX(Config!$D$39:$D$61,MATCH(1,$AT27:$BP27,0))&amp;IF($T27&gt;1," (+"&amp;($T27-1)&amp;" more)",""))</f>
        <v/>
      </c>
      <c r="W27" s="52">
        <f>IF(AND(COUNTA($A27:$L27)&gt;0,$A27=""),1,0)</f>
        <v>0</v>
      </c>
      <c r="X27" s="52">
        <f>IF(AND(COUNTA($A27:$L27)&gt;0,$A27&lt;&gt;""),IF(COUNTIF($A$1:$A26,$A27)&gt;0,1,0),0)</f>
        <v>0</v>
      </c>
      <c r="Y27" s="52">
        <f>IF(AND(COUNTA($A27:$L27)&gt;0,$A27&lt;&gt;""),IF(COUNTIF(Inventory_Ledger!$A$2:$A$2001,$A27)&gt;0,1,0),0)</f>
        <v>0</v>
      </c>
      <c r="Z27" s="52">
        <f>IF(AND(COUNTA($A27:$L27)&gt;0,$B27=""),1,0)</f>
        <v>0</v>
      </c>
      <c r="AA27" s="52">
        <f>IF(AND(COUNTA($A27:$L27)&gt;0,$B27&lt;&gt;""),IF($M27="ERR",1,0),0)</f>
        <v>0</v>
      </c>
      <c r="AB27" s="52">
        <f>IF(AND(COUNTA($A27:$L27)&gt;0,ISNUMBER($M27)),IF($M27&gt;Config!$B$4,1,0),0)</f>
        <v>0</v>
      </c>
      <c r="AC27" s="52">
        <f>IF(AND(COUNTA($A27:$L27)&gt;0,$C27=""),1,0)</f>
        <v>0</v>
      </c>
      <c r="AD27" s="52">
        <f>IF(AND(COUNTA($A27:$L27)&gt;0,$C27&lt;&gt;""),IF(COUNTIF(Config!$A$15:$A$34,$C27)=0,1,0),0)</f>
        <v>0</v>
      </c>
      <c r="AE27" s="52">
        <f>IF(AND(COUNTA($A27:$L27)&gt;0,$D27=""),1,0)</f>
        <v>0</v>
      </c>
      <c r="AF27" s="52">
        <f>IF(AND(COUNTA($A27:$L27)&gt;0,$D27&lt;&gt;""),IF(COUNTIF(Products!$A$2:$A$101,$D27)=0,1,0),0)</f>
        <v>0</v>
      </c>
      <c r="AG27" s="52">
        <f>IF(AND(COUNTA($A27:$L27)&gt;0,$C27="Receipt",$E27=""),1,0)</f>
        <v>0</v>
      </c>
      <c r="AH27" s="52">
        <f>IF(AND(COUNTA($A27:$L27)&gt;0,$E27&lt;&gt;""),IF(COUNTIF(Suppliers!$A$2:$A$51,$E27)=0,1,0),0)</f>
        <v>0</v>
      </c>
      <c r="AI27" s="52">
        <f>IF(AND(COUNTA($A27:$L27)&gt;0,$F27=""),1,0)</f>
        <v>0</v>
      </c>
      <c r="AJ27" s="52">
        <f>IF(AND(COUNTA($A27:$L27)&gt;0,$F27&lt;&gt;"",$D27&lt;&gt;"",OR($C27="Shipment",$C27="Adjustment")),IF($AF27=1,0,IF(COUNTIFS(Batches!$A$2:$A$301,$F27,Batches!$B$2:$B$301,$D27)+COUNTIFS($F$1:$F26,$F27,$D$1:$D26,$D27,$C$1:$C26,"Receipt")=0,1,0)),0)</f>
        <v>0</v>
      </c>
      <c r="AK27" s="52">
        <f>IF(AND(COUNTA($A27:$L27)&gt;0,$C27="Receipt",$G27=""),1,0)</f>
        <v>0</v>
      </c>
      <c r="AL27" s="52">
        <f>IF(AND(COUNTA($A27:$L27)&gt;0,$G27&lt;&gt;""),IF($N27="ERR",1,0),0)</f>
        <v>0</v>
      </c>
      <c r="AM27" s="52">
        <f>IF(AND(COUNTA($A27:$L27)&gt;0,$H27=""),1,0)</f>
        <v>0</v>
      </c>
      <c r="AN27" s="52">
        <f>IF(AND(COUNTA($A27:$L27)&gt;0,$H27&lt;&gt;""),IF($O27="ERR",1,IF(INT($O27)&lt;&gt;$O27,1,IF(AND(OR($C27="Receipt",$C27="Shipment"),$O27&lt;=0),1,IF(AND($C27="Adjustment",$O27=0),1,0)))),0)</f>
        <v>0</v>
      </c>
      <c r="AO27" s="52">
        <f>IF(AND(COUNTA($A27:$L27)&gt;0,$C27="Receipt",$I27=""),1,0)</f>
        <v>0</v>
      </c>
      <c r="AP27" s="52">
        <f>IF(AND(COUNTA($A27:$L27)&gt;0,$I27&lt;&gt;""),IF(IFERROR(INDEX(Config!$G$15:$G$34,MATCH($I27,Config!$E$15:$E$34,0)),"No")="Yes",0,1),0)</f>
        <v>0</v>
      </c>
      <c r="AQ27" s="52">
        <f>IF(AND(COUNTA($A27:$L27)&gt;0,$C27="Adjustment",$J27=""),1,0)</f>
        <v>0</v>
      </c>
      <c r="AR27" s="52">
        <f>IF(AND(COUNTA($A27:$L27)&gt;0,$L27=""),1,0)</f>
        <v>0</v>
      </c>
      <c r="AS27" s="52">
        <f>IF(AND(COUNTA($A27:$L27)&gt;0,ISNUMBER($S27)),IF($S27&lt;0,1,0),0)</f>
        <v>0</v>
      </c>
      <c r="AT27" s="52">
        <f>$W27</f>
        <v>0</v>
      </c>
      <c r="AU27" s="52">
        <f>$AT27+$X27</f>
        <v>0</v>
      </c>
      <c r="AV27" s="52">
        <f>$AU27+$Y27</f>
        <v>0</v>
      </c>
      <c r="AW27" s="52">
        <f>$AV27+$Z27</f>
        <v>0</v>
      </c>
      <c r="AX27" s="52">
        <f>$AW27+$AA27</f>
        <v>0</v>
      </c>
      <c r="AY27" s="52">
        <f>$AX27+$AB27</f>
        <v>0</v>
      </c>
      <c r="AZ27" s="52">
        <f>$AY27+$AC27</f>
        <v>0</v>
      </c>
      <c r="BA27" s="52">
        <f>$AZ27+$AD27</f>
        <v>0</v>
      </c>
      <c r="BB27" s="52">
        <f>$BA27+$AE27</f>
        <v>0</v>
      </c>
      <c r="BC27" s="52">
        <f>$BB27+$AF27</f>
        <v>0</v>
      </c>
      <c r="BD27" s="52">
        <f>$BC27+$AG27</f>
        <v>0</v>
      </c>
      <c r="BE27" s="52">
        <f>$BD27+$AH27</f>
        <v>0</v>
      </c>
      <c r="BF27" s="52">
        <f>$BE27+$AI27</f>
        <v>0</v>
      </c>
      <c r="BG27" s="52">
        <f>$BF27+$AJ27</f>
        <v>0</v>
      </c>
      <c r="BH27" s="52">
        <f>$BG27+$AK27</f>
        <v>0</v>
      </c>
      <c r="BI27" s="52">
        <f>$BH27+$AL27</f>
        <v>0</v>
      </c>
      <c r="BJ27" s="52">
        <f>$BI27+$AM27</f>
        <v>0</v>
      </c>
      <c r="BK27" s="52">
        <f>$BJ27+$AN27</f>
        <v>0</v>
      </c>
      <c r="BL27" s="52">
        <f>$BK27+$AO27</f>
        <v>0</v>
      </c>
      <c r="BM27" s="52">
        <f>$BL27+$AP27</f>
        <v>0</v>
      </c>
      <c r="BN27" s="52">
        <f>$BM27+$AQ27</f>
        <v>0</v>
      </c>
      <c r="BO27" s="52">
        <f>$BN27+$AR27</f>
        <v>0</v>
      </c>
      <c r="BP27" s="52">
        <f>$BO27+$AS27</f>
        <v>0</v>
      </c>
      <c r="BQ27" s="52">
        <f>SUM($T$1:$T26)</f>
        <v>11</v>
      </c>
      <c r="BR27" s="52" t="str">
        <f>IF(ISNUMBER($T27),IF($T27&gt;0,COUNTIF($T$2:$T27,"&gt;0"),""),"")</f>
        <v/>
      </c>
      <c r="BS27" s="52" t="str">
        <f>IF($BR27="","",$BQ27+$T27)</f>
        <v/>
      </c>
      <c r="BT27" s="52" t="str">
        <f>IF($U27="Ready",COUNTIF($U$2:$U27,"Ready"),"")</f>
        <v/>
      </c>
      <c r="BU27" s="52">
        <f>IF(AND($U27="Ready",$C27="Receipt"),IF(COUNTIF(Batches!$A$2:$A$301,$F27)+COUNTIFS($F$1:$F26,$F27,$C$1:$C26,"Receipt",$U$1:$U26,"Ready")=0,1,0),0)</f>
        <v>0</v>
      </c>
      <c r="BV27" s="52" t="str">
        <f>IF($BU27=1,SUM($BU$2:$BU27),"")</f>
        <v/>
      </c>
    </row>
    <row r="28">
      <c r="A28" s="46" t="n"/>
      <c r="B28" s="46" t="n"/>
      <c r="C28" s="46" t="n"/>
      <c r="D28" s="46" t="n"/>
      <c r="E28" s="46" t="n"/>
      <c r="F28" s="46" t="n"/>
      <c r="G28" s="46" t="n"/>
      <c r="H28" s="46" t="n"/>
      <c r="I28" s="46" t="n"/>
      <c r="J28" s="46" t="n"/>
      <c r="K28" s="46" t="n"/>
      <c r="L28" s="46" t="n"/>
      <c r="M28" s="62" t="str">
        <f>IF($B28="","",IF(ISNUMBER($B28),$B28,IF(AND(LEN($B28)=10,MID($B28,5,1)="-",MID($B28,8,1)="-"),IFERROR(IF(AND(MONTH(DATE(VALUE(LEFT($B28,4)),VALUE(MID($B28,6,2)),VALUE(RIGHT($B28,2))))=VALUE(MID($B28,6,2)),DAY(DATE(VALUE(LEFT($B28,4)),VALUE(MID($B28,6,2)),VALUE(RIGHT($B28,2))))=VALUE(RIGHT($B28,2))),DATE(VALUE(LEFT($B28,4)),VALUE(MID($B28,6,2)),VALUE(RIGHT($B28,2))),"ERR"),"ERR"),"ERR")))</f>
        <v/>
      </c>
      <c r="N28" s="62" t="str">
        <f>IF($G28="","",IF(ISNUMBER($G28),$G28,IF(AND(LEN($G28)=10,MID($G28,5,1)="-",MID($G28,8,1)="-"),IFERROR(IF(AND(MONTH(DATE(VALUE(LEFT($G28,4)),VALUE(MID($G28,6,2)),VALUE(RIGHT($G28,2))))=VALUE(MID($G28,6,2)),DAY(DATE(VALUE(LEFT($G28,4)),VALUE(MID($G28,6,2)),VALUE(RIGHT($G28,2))))=VALUE(RIGHT($G28,2))),DATE(VALUE(LEFT($G28,4)),VALUE(MID($G28,6,2)),VALUE(RIGHT($G28,2))),"ERR"),"ERR"),"ERR")))</f>
        <v/>
      </c>
      <c r="O28" s="51" t="str">
        <f>IF($H28="","",IF(ISNUMBER($H28),$H28,IFERROR(VALUE($H28),"ERR")))</f>
        <v/>
      </c>
      <c r="P28" s="51" t="str">
        <f>IF(AND(ISNUMBER($O28),OR($C28="Receipt",$C28="Shipment",$C28="Adjustment")),IF($C28="Shipment",-$O28,$O28),"")</f>
        <v/>
      </c>
      <c r="Q28" s="51" t="str">
        <f>IF($D28="","",IFERROR(INDEX(Products!$R$2:$R$101,MATCH($D28,Products!$A$2:$A$101,0)),""))</f>
        <v/>
      </c>
      <c r="R28" s="51" t="str">
        <f>IF(OR($Q28="",$P28=""),"",$Q28+SUMIFS($P$1:$P27,$D$1:$D27,$D28,$U$1:$U27,"Ready"))</f>
        <v/>
      </c>
      <c r="S28" s="51" t="str">
        <f>IF($R28="","",$R28+$P28)</f>
        <v/>
      </c>
      <c r="T28" s="52" t="str">
        <f>IF(COUNTA($A28:$L28)&gt;0,$BP28,"")</f>
        <v/>
      </c>
      <c r="U28" s="49" t="str">
        <f>IF($T28="","",IF($T28=0,"Ready","Rejected"))</f>
        <v/>
      </c>
      <c r="V28" s="49" t="str">
        <f>IF(OR($T28="",$T28=0),"",INDEX(Config!$D$39:$D$61,MATCH(1,$AT28:$BP28,0))&amp;IF($T28&gt;1," (+"&amp;($T28-1)&amp;" more)",""))</f>
        <v/>
      </c>
      <c r="W28" s="52">
        <f>IF(AND(COUNTA($A28:$L28)&gt;0,$A28=""),1,0)</f>
        <v>0</v>
      </c>
      <c r="X28" s="52">
        <f>IF(AND(COUNTA($A28:$L28)&gt;0,$A28&lt;&gt;""),IF(COUNTIF($A$1:$A27,$A28)&gt;0,1,0),0)</f>
        <v>0</v>
      </c>
      <c r="Y28" s="52">
        <f>IF(AND(COUNTA($A28:$L28)&gt;0,$A28&lt;&gt;""),IF(COUNTIF(Inventory_Ledger!$A$2:$A$2001,$A28)&gt;0,1,0),0)</f>
        <v>0</v>
      </c>
      <c r="Z28" s="52">
        <f>IF(AND(COUNTA($A28:$L28)&gt;0,$B28=""),1,0)</f>
        <v>0</v>
      </c>
      <c r="AA28" s="52">
        <f>IF(AND(COUNTA($A28:$L28)&gt;0,$B28&lt;&gt;""),IF($M28="ERR",1,0),0)</f>
        <v>0</v>
      </c>
      <c r="AB28" s="52">
        <f>IF(AND(COUNTA($A28:$L28)&gt;0,ISNUMBER($M28)),IF($M28&gt;Config!$B$4,1,0),0)</f>
        <v>0</v>
      </c>
      <c r="AC28" s="52">
        <f>IF(AND(COUNTA($A28:$L28)&gt;0,$C28=""),1,0)</f>
        <v>0</v>
      </c>
      <c r="AD28" s="52">
        <f>IF(AND(COUNTA($A28:$L28)&gt;0,$C28&lt;&gt;""),IF(COUNTIF(Config!$A$15:$A$34,$C28)=0,1,0),0)</f>
        <v>0</v>
      </c>
      <c r="AE28" s="52">
        <f>IF(AND(COUNTA($A28:$L28)&gt;0,$D28=""),1,0)</f>
        <v>0</v>
      </c>
      <c r="AF28" s="52">
        <f>IF(AND(COUNTA($A28:$L28)&gt;0,$D28&lt;&gt;""),IF(COUNTIF(Products!$A$2:$A$101,$D28)=0,1,0),0)</f>
        <v>0</v>
      </c>
      <c r="AG28" s="52">
        <f>IF(AND(COUNTA($A28:$L28)&gt;0,$C28="Receipt",$E28=""),1,0)</f>
        <v>0</v>
      </c>
      <c r="AH28" s="52">
        <f>IF(AND(COUNTA($A28:$L28)&gt;0,$E28&lt;&gt;""),IF(COUNTIF(Suppliers!$A$2:$A$51,$E28)=0,1,0),0)</f>
        <v>0</v>
      </c>
      <c r="AI28" s="52">
        <f>IF(AND(COUNTA($A28:$L28)&gt;0,$F28=""),1,0)</f>
        <v>0</v>
      </c>
      <c r="AJ28" s="52">
        <f>IF(AND(COUNTA($A28:$L28)&gt;0,$F28&lt;&gt;"",$D28&lt;&gt;"",OR($C28="Shipment",$C28="Adjustment")),IF($AF28=1,0,IF(COUNTIFS(Batches!$A$2:$A$301,$F28,Batches!$B$2:$B$301,$D28)+COUNTIFS($F$1:$F27,$F28,$D$1:$D27,$D28,$C$1:$C27,"Receipt")=0,1,0)),0)</f>
        <v>0</v>
      </c>
      <c r="AK28" s="52">
        <f>IF(AND(COUNTA($A28:$L28)&gt;0,$C28="Receipt",$G28=""),1,0)</f>
        <v>0</v>
      </c>
      <c r="AL28" s="52">
        <f>IF(AND(COUNTA($A28:$L28)&gt;0,$G28&lt;&gt;""),IF($N28="ERR",1,0),0)</f>
        <v>0</v>
      </c>
      <c r="AM28" s="52">
        <f>IF(AND(COUNTA($A28:$L28)&gt;0,$H28=""),1,0)</f>
        <v>0</v>
      </c>
      <c r="AN28" s="52">
        <f>IF(AND(COUNTA($A28:$L28)&gt;0,$H28&lt;&gt;""),IF($O28="ERR",1,IF(INT($O28)&lt;&gt;$O28,1,IF(AND(OR($C28="Receipt",$C28="Shipment"),$O28&lt;=0),1,IF(AND($C28="Adjustment",$O28=0),1,0)))),0)</f>
        <v>0</v>
      </c>
      <c r="AO28" s="52">
        <f>IF(AND(COUNTA($A28:$L28)&gt;0,$C28="Receipt",$I28=""),1,0)</f>
        <v>0</v>
      </c>
      <c r="AP28" s="52">
        <f>IF(AND(COUNTA($A28:$L28)&gt;0,$I28&lt;&gt;""),IF(IFERROR(INDEX(Config!$G$15:$G$34,MATCH($I28,Config!$E$15:$E$34,0)),"No")="Yes",0,1),0)</f>
        <v>0</v>
      </c>
      <c r="AQ28" s="52">
        <f>IF(AND(COUNTA($A28:$L28)&gt;0,$C28="Adjustment",$J28=""),1,0)</f>
        <v>0</v>
      </c>
      <c r="AR28" s="52">
        <f>IF(AND(COUNTA($A28:$L28)&gt;0,$L28=""),1,0)</f>
        <v>0</v>
      </c>
      <c r="AS28" s="52">
        <f>IF(AND(COUNTA($A28:$L28)&gt;0,ISNUMBER($S28)),IF($S28&lt;0,1,0),0)</f>
        <v>0</v>
      </c>
      <c r="AT28" s="52">
        <f>$W28</f>
        <v>0</v>
      </c>
      <c r="AU28" s="52">
        <f>$AT28+$X28</f>
        <v>0</v>
      </c>
      <c r="AV28" s="52">
        <f>$AU28+$Y28</f>
        <v>0</v>
      </c>
      <c r="AW28" s="52">
        <f>$AV28+$Z28</f>
        <v>0</v>
      </c>
      <c r="AX28" s="52">
        <f>$AW28+$AA28</f>
        <v>0</v>
      </c>
      <c r="AY28" s="52">
        <f>$AX28+$AB28</f>
        <v>0</v>
      </c>
      <c r="AZ28" s="52">
        <f>$AY28+$AC28</f>
        <v>0</v>
      </c>
      <c r="BA28" s="52">
        <f>$AZ28+$AD28</f>
        <v>0</v>
      </c>
      <c r="BB28" s="52">
        <f>$BA28+$AE28</f>
        <v>0</v>
      </c>
      <c r="BC28" s="52">
        <f>$BB28+$AF28</f>
        <v>0</v>
      </c>
      <c r="BD28" s="52">
        <f>$BC28+$AG28</f>
        <v>0</v>
      </c>
      <c r="BE28" s="52">
        <f>$BD28+$AH28</f>
        <v>0</v>
      </c>
      <c r="BF28" s="52">
        <f>$BE28+$AI28</f>
        <v>0</v>
      </c>
      <c r="BG28" s="52">
        <f>$BF28+$AJ28</f>
        <v>0</v>
      </c>
      <c r="BH28" s="52">
        <f>$BG28+$AK28</f>
        <v>0</v>
      </c>
      <c r="BI28" s="52">
        <f>$BH28+$AL28</f>
        <v>0</v>
      </c>
      <c r="BJ28" s="52">
        <f>$BI28+$AM28</f>
        <v>0</v>
      </c>
      <c r="BK28" s="52">
        <f>$BJ28+$AN28</f>
        <v>0</v>
      </c>
      <c r="BL28" s="52">
        <f>$BK28+$AO28</f>
        <v>0</v>
      </c>
      <c r="BM28" s="52">
        <f>$BL28+$AP28</f>
        <v>0</v>
      </c>
      <c r="BN28" s="52">
        <f>$BM28+$AQ28</f>
        <v>0</v>
      </c>
      <c r="BO28" s="52">
        <f>$BN28+$AR28</f>
        <v>0</v>
      </c>
      <c r="BP28" s="52">
        <f>$BO28+$AS28</f>
        <v>0</v>
      </c>
      <c r="BQ28" s="52">
        <f>SUM($T$1:$T27)</f>
        <v>11</v>
      </c>
      <c r="BR28" s="52" t="str">
        <f>IF(ISNUMBER($T28),IF($T28&gt;0,COUNTIF($T$2:$T28,"&gt;0"),""),"")</f>
        <v/>
      </c>
      <c r="BS28" s="52" t="str">
        <f>IF($BR28="","",$BQ28+$T28)</f>
        <v/>
      </c>
      <c r="BT28" s="52" t="str">
        <f>IF($U28="Ready",COUNTIF($U$2:$U28,"Ready"),"")</f>
        <v/>
      </c>
      <c r="BU28" s="52">
        <f>IF(AND($U28="Ready",$C28="Receipt"),IF(COUNTIF(Batches!$A$2:$A$301,$F28)+COUNTIFS($F$1:$F27,$F28,$C$1:$C27,"Receipt",$U$1:$U27,"Ready")=0,1,0),0)</f>
        <v>0</v>
      </c>
      <c r="BV28" s="52" t="str">
        <f>IF($BU28=1,SUM($BU$2:$BU28),"")</f>
        <v/>
      </c>
    </row>
    <row r="29">
      <c r="A29" s="46" t="n"/>
      <c r="B29" s="46" t="n"/>
      <c r="C29" s="46" t="n"/>
      <c r="D29" s="46" t="n"/>
      <c r="E29" s="46" t="n"/>
      <c r="F29" s="46" t="n"/>
      <c r="G29" s="46" t="n"/>
      <c r="H29" s="46" t="n"/>
      <c r="I29" s="46" t="n"/>
      <c r="J29" s="46" t="n"/>
      <c r="K29" s="46" t="n"/>
      <c r="L29" s="46" t="n"/>
      <c r="M29" s="62" t="str">
        <f>IF($B29="","",IF(ISNUMBER($B29),$B29,IF(AND(LEN($B29)=10,MID($B29,5,1)="-",MID($B29,8,1)="-"),IFERROR(IF(AND(MONTH(DATE(VALUE(LEFT($B29,4)),VALUE(MID($B29,6,2)),VALUE(RIGHT($B29,2))))=VALUE(MID($B29,6,2)),DAY(DATE(VALUE(LEFT($B29,4)),VALUE(MID($B29,6,2)),VALUE(RIGHT($B29,2))))=VALUE(RIGHT($B29,2))),DATE(VALUE(LEFT($B29,4)),VALUE(MID($B29,6,2)),VALUE(RIGHT($B29,2))),"ERR"),"ERR"),"ERR")))</f>
        <v/>
      </c>
      <c r="N29" s="62" t="str">
        <f>IF($G29="","",IF(ISNUMBER($G29),$G29,IF(AND(LEN($G29)=10,MID($G29,5,1)="-",MID($G29,8,1)="-"),IFERROR(IF(AND(MONTH(DATE(VALUE(LEFT($G29,4)),VALUE(MID($G29,6,2)),VALUE(RIGHT($G29,2))))=VALUE(MID($G29,6,2)),DAY(DATE(VALUE(LEFT($G29,4)),VALUE(MID($G29,6,2)),VALUE(RIGHT($G29,2))))=VALUE(RIGHT($G29,2))),DATE(VALUE(LEFT($G29,4)),VALUE(MID($G29,6,2)),VALUE(RIGHT($G29,2))),"ERR"),"ERR"),"ERR")))</f>
        <v/>
      </c>
      <c r="O29" s="51" t="str">
        <f>IF($H29="","",IF(ISNUMBER($H29),$H29,IFERROR(VALUE($H29),"ERR")))</f>
        <v/>
      </c>
      <c r="P29" s="51" t="str">
        <f>IF(AND(ISNUMBER($O29),OR($C29="Receipt",$C29="Shipment",$C29="Adjustment")),IF($C29="Shipment",-$O29,$O29),"")</f>
        <v/>
      </c>
      <c r="Q29" s="51" t="str">
        <f>IF($D29="","",IFERROR(INDEX(Products!$R$2:$R$101,MATCH($D29,Products!$A$2:$A$101,0)),""))</f>
        <v/>
      </c>
      <c r="R29" s="51" t="str">
        <f>IF(OR($Q29="",$P29=""),"",$Q29+SUMIFS($P$1:$P28,$D$1:$D28,$D29,$U$1:$U28,"Ready"))</f>
        <v/>
      </c>
      <c r="S29" s="51" t="str">
        <f>IF($R29="","",$R29+$P29)</f>
        <v/>
      </c>
      <c r="T29" s="52" t="str">
        <f>IF(COUNTA($A29:$L29)&gt;0,$BP29,"")</f>
        <v/>
      </c>
      <c r="U29" s="49" t="str">
        <f>IF($T29="","",IF($T29=0,"Ready","Rejected"))</f>
        <v/>
      </c>
      <c r="V29" s="49" t="str">
        <f>IF(OR($T29="",$T29=0),"",INDEX(Config!$D$39:$D$61,MATCH(1,$AT29:$BP29,0))&amp;IF($T29&gt;1," (+"&amp;($T29-1)&amp;" more)",""))</f>
        <v/>
      </c>
      <c r="W29" s="52">
        <f>IF(AND(COUNTA($A29:$L29)&gt;0,$A29=""),1,0)</f>
        <v>0</v>
      </c>
      <c r="X29" s="52">
        <f>IF(AND(COUNTA($A29:$L29)&gt;0,$A29&lt;&gt;""),IF(COUNTIF($A$1:$A28,$A29)&gt;0,1,0),0)</f>
        <v>0</v>
      </c>
      <c r="Y29" s="52">
        <f>IF(AND(COUNTA($A29:$L29)&gt;0,$A29&lt;&gt;""),IF(COUNTIF(Inventory_Ledger!$A$2:$A$2001,$A29)&gt;0,1,0),0)</f>
        <v>0</v>
      </c>
      <c r="Z29" s="52">
        <f>IF(AND(COUNTA($A29:$L29)&gt;0,$B29=""),1,0)</f>
        <v>0</v>
      </c>
      <c r="AA29" s="52">
        <f>IF(AND(COUNTA($A29:$L29)&gt;0,$B29&lt;&gt;""),IF($M29="ERR",1,0),0)</f>
        <v>0</v>
      </c>
      <c r="AB29" s="52">
        <f>IF(AND(COUNTA($A29:$L29)&gt;0,ISNUMBER($M29)),IF($M29&gt;Config!$B$4,1,0),0)</f>
        <v>0</v>
      </c>
      <c r="AC29" s="52">
        <f>IF(AND(COUNTA($A29:$L29)&gt;0,$C29=""),1,0)</f>
        <v>0</v>
      </c>
      <c r="AD29" s="52">
        <f>IF(AND(COUNTA($A29:$L29)&gt;0,$C29&lt;&gt;""),IF(COUNTIF(Config!$A$15:$A$34,$C29)=0,1,0),0)</f>
        <v>0</v>
      </c>
      <c r="AE29" s="52">
        <f>IF(AND(COUNTA($A29:$L29)&gt;0,$D29=""),1,0)</f>
        <v>0</v>
      </c>
      <c r="AF29" s="52">
        <f>IF(AND(COUNTA($A29:$L29)&gt;0,$D29&lt;&gt;""),IF(COUNTIF(Products!$A$2:$A$101,$D29)=0,1,0),0)</f>
        <v>0</v>
      </c>
      <c r="AG29" s="52">
        <f>IF(AND(COUNTA($A29:$L29)&gt;0,$C29="Receipt",$E29=""),1,0)</f>
        <v>0</v>
      </c>
      <c r="AH29" s="52">
        <f>IF(AND(COUNTA($A29:$L29)&gt;0,$E29&lt;&gt;""),IF(COUNTIF(Suppliers!$A$2:$A$51,$E29)=0,1,0),0)</f>
        <v>0</v>
      </c>
      <c r="AI29" s="52">
        <f>IF(AND(COUNTA($A29:$L29)&gt;0,$F29=""),1,0)</f>
        <v>0</v>
      </c>
      <c r="AJ29" s="52">
        <f>IF(AND(COUNTA($A29:$L29)&gt;0,$F29&lt;&gt;"",$D29&lt;&gt;"",OR($C29="Shipment",$C29="Adjustment")),IF($AF29=1,0,IF(COUNTIFS(Batches!$A$2:$A$301,$F29,Batches!$B$2:$B$301,$D29)+COUNTIFS($F$1:$F28,$F29,$D$1:$D28,$D29,$C$1:$C28,"Receipt")=0,1,0)),0)</f>
        <v>0</v>
      </c>
      <c r="AK29" s="52">
        <f>IF(AND(COUNTA($A29:$L29)&gt;0,$C29="Receipt",$G29=""),1,0)</f>
        <v>0</v>
      </c>
      <c r="AL29" s="52">
        <f>IF(AND(COUNTA($A29:$L29)&gt;0,$G29&lt;&gt;""),IF($N29="ERR",1,0),0)</f>
        <v>0</v>
      </c>
      <c r="AM29" s="52">
        <f>IF(AND(COUNTA($A29:$L29)&gt;0,$H29=""),1,0)</f>
        <v>0</v>
      </c>
      <c r="AN29" s="52">
        <f>IF(AND(COUNTA($A29:$L29)&gt;0,$H29&lt;&gt;""),IF($O29="ERR",1,IF(INT($O29)&lt;&gt;$O29,1,IF(AND(OR($C29="Receipt",$C29="Shipment"),$O29&lt;=0),1,IF(AND($C29="Adjustment",$O29=0),1,0)))),0)</f>
        <v>0</v>
      </c>
      <c r="AO29" s="52">
        <f>IF(AND(COUNTA($A29:$L29)&gt;0,$C29="Receipt",$I29=""),1,0)</f>
        <v>0</v>
      </c>
      <c r="AP29" s="52">
        <f>IF(AND(COUNTA($A29:$L29)&gt;0,$I29&lt;&gt;""),IF(IFERROR(INDEX(Config!$G$15:$G$34,MATCH($I29,Config!$E$15:$E$34,0)),"No")="Yes",0,1),0)</f>
        <v>0</v>
      </c>
      <c r="AQ29" s="52">
        <f>IF(AND(COUNTA($A29:$L29)&gt;0,$C29="Adjustment",$J29=""),1,0)</f>
        <v>0</v>
      </c>
      <c r="AR29" s="52">
        <f>IF(AND(COUNTA($A29:$L29)&gt;0,$L29=""),1,0)</f>
        <v>0</v>
      </c>
      <c r="AS29" s="52">
        <f>IF(AND(COUNTA($A29:$L29)&gt;0,ISNUMBER($S29)),IF($S29&lt;0,1,0),0)</f>
        <v>0</v>
      </c>
      <c r="AT29" s="52">
        <f>$W29</f>
        <v>0</v>
      </c>
      <c r="AU29" s="52">
        <f>$AT29+$X29</f>
        <v>0</v>
      </c>
      <c r="AV29" s="52">
        <f>$AU29+$Y29</f>
        <v>0</v>
      </c>
      <c r="AW29" s="52">
        <f>$AV29+$Z29</f>
        <v>0</v>
      </c>
      <c r="AX29" s="52">
        <f>$AW29+$AA29</f>
        <v>0</v>
      </c>
      <c r="AY29" s="52">
        <f>$AX29+$AB29</f>
        <v>0</v>
      </c>
      <c r="AZ29" s="52">
        <f>$AY29+$AC29</f>
        <v>0</v>
      </c>
      <c r="BA29" s="52">
        <f>$AZ29+$AD29</f>
        <v>0</v>
      </c>
      <c r="BB29" s="52">
        <f>$BA29+$AE29</f>
        <v>0</v>
      </c>
      <c r="BC29" s="52">
        <f>$BB29+$AF29</f>
        <v>0</v>
      </c>
      <c r="BD29" s="52">
        <f>$BC29+$AG29</f>
        <v>0</v>
      </c>
      <c r="BE29" s="52">
        <f>$BD29+$AH29</f>
        <v>0</v>
      </c>
      <c r="BF29" s="52">
        <f>$BE29+$AI29</f>
        <v>0</v>
      </c>
      <c r="BG29" s="52">
        <f>$BF29+$AJ29</f>
        <v>0</v>
      </c>
      <c r="BH29" s="52">
        <f>$BG29+$AK29</f>
        <v>0</v>
      </c>
      <c r="BI29" s="52">
        <f>$BH29+$AL29</f>
        <v>0</v>
      </c>
      <c r="BJ29" s="52">
        <f>$BI29+$AM29</f>
        <v>0</v>
      </c>
      <c r="BK29" s="52">
        <f>$BJ29+$AN29</f>
        <v>0</v>
      </c>
      <c r="BL29" s="52">
        <f>$BK29+$AO29</f>
        <v>0</v>
      </c>
      <c r="BM29" s="52">
        <f>$BL29+$AP29</f>
        <v>0</v>
      </c>
      <c r="BN29" s="52">
        <f>$BM29+$AQ29</f>
        <v>0</v>
      </c>
      <c r="BO29" s="52">
        <f>$BN29+$AR29</f>
        <v>0</v>
      </c>
      <c r="BP29" s="52">
        <f>$BO29+$AS29</f>
        <v>0</v>
      </c>
      <c r="BQ29" s="52">
        <f>SUM($T$1:$T28)</f>
        <v>11</v>
      </c>
      <c r="BR29" s="52" t="str">
        <f>IF(ISNUMBER($T29),IF($T29&gt;0,COUNTIF($T$2:$T29,"&gt;0"),""),"")</f>
        <v/>
      </c>
      <c r="BS29" s="52" t="str">
        <f>IF($BR29="","",$BQ29+$T29)</f>
        <v/>
      </c>
      <c r="BT29" s="52" t="str">
        <f>IF($U29="Ready",COUNTIF($U$2:$U29,"Ready"),"")</f>
        <v/>
      </c>
      <c r="BU29" s="52">
        <f>IF(AND($U29="Ready",$C29="Receipt"),IF(COUNTIF(Batches!$A$2:$A$301,$F29)+COUNTIFS($F$1:$F28,$F29,$C$1:$C28,"Receipt",$U$1:$U28,"Ready")=0,1,0),0)</f>
        <v>0</v>
      </c>
      <c r="BV29" s="52" t="str">
        <f>IF($BU29=1,SUM($BU$2:$BU29),"")</f>
        <v/>
      </c>
    </row>
    <row r="30">
      <c r="A30" s="46" t="n"/>
      <c r="B30" s="46" t="n"/>
      <c r="C30" s="46" t="n"/>
      <c r="D30" s="46" t="n"/>
      <c r="E30" s="46" t="n"/>
      <c r="F30" s="46" t="n"/>
      <c r="G30" s="46" t="n"/>
      <c r="H30" s="46" t="n"/>
      <c r="I30" s="46" t="n"/>
      <c r="J30" s="46" t="n"/>
      <c r="K30" s="46" t="n"/>
      <c r="L30" s="46" t="n"/>
      <c r="M30" s="62" t="str">
        <f>IF($B30="","",IF(ISNUMBER($B30),$B30,IF(AND(LEN($B30)=10,MID($B30,5,1)="-",MID($B30,8,1)="-"),IFERROR(IF(AND(MONTH(DATE(VALUE(LEFT($B30,4)),VALUE(MID($B30,6,2)),VALUE(RIGHT($B30,2))))=VALUE(MID($B30,6,2)),DAY(DATE(VALUE(LEFT($B30,4)),VALUE(MID($B30,6,2)),VALUE(RIGHT($B30,2))))=VALUE(RIGHT($B30,2))),DATE(VALUE(LEFT($B30,4)),VALUE(MID($B30,6,2)),VALUE(RIGHT($B30,2))),"ERR"),"ERR"),"ERR")))</f>
        <v/>
      </c>
      <c r="N30" s="62" t="str">
        <f>IF($G30="","",IF(ISNUMBER($G30),$G30,IF(AND(LEN($G30)=10,MID($G30,5,1)="-",MID($G30,8,1)="-"),IFERROR(IF(AND(MONTH(DATE(VALUE(LEFT($G30,4)),VALUE(MID($G30,6,2)),VALUE(RIGHT($G30,2))))=VALUE(MID($G30,6,2)),DAY(DATE(VALUE(LEFT($G30,4)),VALUE(MID($G30,6,2)),VALUE(RIGHT($G30,2))))=VALUE(RIGHT($G30,2))),DATE(VALUE(LEFT($G30,4)),VALUE(MID($G30,6,2)),VALUE(RIGHT($G30,2))),"ERR"),"ERR"),"ERR")))</f>
        <v/>
      </c>
      <c r="O30" s="51" t="str">
        <f>IF($H30="","",IF(ISNUMBER($H30),$H30,IFERROR(VALUE($H30),"ERR")))</f>
        <v/>
      </c>
      <c r="P30" s="51" t="str">
        <f>IF(AND(ISNUMBER($O30),OR($C30="Receipt",$C30="Shipment",$C30="Adjustment")),IF($C30="Shipment",-$O30,$O30),"")</f>
        <v/>
      </c>
      <c r="Q30" s="51" t="str">
        <f>IF($D30="","",IFERROR(INDEX(Products!$R$2:$R$101,MATCH($D30,Products!$A$2:$A$101,0)),""))</f>
        <v/>
      </c>
      <c r="R30" s="51" t="str">
        <f>IF(OR($Q30="",$P30=""),"",$Q30+SUMIFS($P$1:$P29,$D$1:$D29,$D30,$U$1:$U29,"Ready"))</f>
        <v/>
      </c>
      <c r="S30" s="51" t="str">
        <f>IF($R30="","",$R30+$P30)</f>
        <v/>
      </c>
      <c r="T30" s="52" t="str">
        <f>IF(COUNTA($A30:$L30)&gt;0,$BP30,"")</f>
        <v/>
      </c>
      <c r="U30" s="49" t="str">
        <f>IF($T30="","",IF($T30=0,"Ready","Rejected"))</f>
        <v/>
      </c>
      <c r="V30" s="49" t="str">
        <f>IF(OR($T30="",$T30=0),"",INDEX(Config!$D$39:$D$61,MATCH(1,$AT30:$BP30,0))&amp;IF($T30&gt;1," (+"&amp;($T30-1)&amp;" more)",""))</f>
        <v/>
      </c>
      <c r="W30" s="52">
        <f>IF(AND(COUNTA($A30:$L30)&gt;0,$A30=""),1,0)</f>
        <v>0</v>
      </c>
      <c r="X30" s="52">
        <f>IF(AND(COUNTA($A30:$L30)&gt;0,$A30&lt;&gt;""),IF(COUNTIF($A$1:$A29,$A30)&gt;0,1,0),0)</f>
        <v>0</v>
      </c>
      <c r="Y30" s="52">
        <f>IF(AND(COUNTA($A30:$L30)&gt;0,$A30&lt;&gt;""),IF(COUNTIF(Inventory_Ledger!$A$2:$A$2001,$A30)&gt;0,1,0),0)</f>
        <v>0</v>
      </c>
      <c r="Z30" s="52">
        <f>IF(AND(COUNTA($A30:$L30)&gt;0,$B30=""),1,0)</f>
        <v>0</v>
      </c>
      <c r="AA30" s="52">
        <f>IF(AND(COUNTA($A30:$L30)&gt;0,$B30&lt;&gt;""),IF($M30="ERR",1,0),0)</f>
        <v>0</v>
      </c>
      <c r="AB30" s="52">
        <f>IF(AND(COUNTA($A30:$L30)&gt;0,ISNUMBER($M30)),IF($M30&gt;Config!$B$4,1,0),0)</f>
        <v>0</v>
      </c>
      <c r="AC30" s="52">
        <f>IF(AND(COUNTA($A30:$L30)&gt;0,$C30=""),1,0)</f>
        <v>0</v>
      </c>
      <c r="AD30" s="52">
        <f>IF(AND(COUNTA($A30:$L30)&gt;0,$C30&lt;&gt;""),IF(COUNTIF(Config!$A$15:$A$34,$C30)=0,1,0),0)</f>
        <v>0</v>
      </c>
      <c r="AE30" s="52">
        <f>IF(AND(COUNTA($A30:$L30)&gt;0,$D30=""),1,0)</f>
        <v>0</v>
      </c>
      <c r="AF30" s="52">
        <f>IF(AND(COUNTA($A30:$L30)&gt;0,$D30&lt;&gt;""),IF(COUNTIF(Products!$A$2:$A$101,$D30)=0,1,0),0)</f>
        <v>0</v>
      </c>
      <c r="AG30" s="52">
        <f>IF(AND(COUNTA($A30:$L30)&gt;0,$C30="Receipt",$E30=""),1,0)</f>
        <v>0</v>
      </c>
      <c r="AH30" s="52">
        <f>IF(AND(COUNTA($A30:$L30)&gt;0,$E30&lt;&gt;""),IF(COUNTIF(Suppliers!$A$2:$A$51,$E30)=0,1,0),0)</f>
        <v>0</v>
      </c>
      <c r="AI30" s="52">
        <f>IF(AND(COUNTA($A30:$L30)&gt;0,$F30=""),1,0)</f>
        <v>0</v>
      </c>
      <c r="AJ30" s="52">
        <f>IF(AND(COUNTA($A30:$L30)&gt;0,$F30&lt;&gt;"",$D30&lt;&gt;"",OR($C30="Shipment",$C30="Adjustment")),IF($AF30=1,0,IF(COUNTIFS(Batches!$A$2:$A$301,$F30,Batches!$B$2:$B$301,$D30)+COUNTIFS($F$1:$F29,$F30,$D$1:$D29,$D30,$C$1:$C29,"Receipt")=0,1,0)),0)</f>
        <v>0</v>
      </c>
      <c r="AK30" s="52">
        <f>IF(AND(COUNTA($A30:$L30)&gt;0,$C30="Receipt",$G30=""),1,0)</f>
        <v>0</v>
      </c>
      <c r="AL30" s="52">
        <f>IF(AND(COUNTA($A30:$L30)&gt;0,$G30&lt;&gt;""),IF($N30="ERR",1,0),0)</f>
        <v>0</v>
      </c>
      <c r="AM30" s="52">
        <f>IF(AND(COUNTA($A30:$L30)&gt;0,$H30=""),1,0)</f>
        <v>0</v>
      </c>
      <c r="AN30" s="52">
        <f>IF(AND(COUNTA($A30:$L30)&gt;0,$H30&lt;&gt;""),IF($O30="ERR",1,IF(INT($O30)&lt;&gt;$O30,1,IF(AND(OR($C30="Receipt",$C30="Shipment"),$O30&lt;=0),1,IF(AND($C30="Adjustment",$O30=0),1,0)))),0)</f>
        <v>0</v>
      </c>
      <c r="AO30" s="52">
        <f>IF(AND(COUNTA($A30:$L30)&gt;0,$C30="Receipt",$I30=""),1,0)</f>
        <v>0</v>
      </c>
      <c r="AP30" s="52">
        <f>IF(AND(COUNTA($A30:$L30)&gt;0,$I30&lt;&gt;""),IF(IFERROR(INDEX(Config!$G$15:$G$34,MATCH($I30,Config!$E$15:$E$34,0)),"No")="Yes",0,1),0)</f>
        <v>0</v>
      </c>
      <c r="AQ30" s="52">
        <f>IF(AND(COUNTA($A30:$L30)&gt;0,$C30="Adjustment",$J30=""),1,0)</f>
        <v>0</v>
      </c>
      <c r="AR30" s="52">
        <f>IF(AND(COUNTA($A30:$L30)&gt;0,$L30=""),1,0)</f>
        <v>0</v>
      </c>
      <c r="AS30" s="52">
        <f>IF(AND(COUNTA($A30:$L30)&gt;0,ISNUMBER($S30)),IF($S30&lt;0,1,0),0)</f>
        <v>0</v>
      </c>
      <c r="AT30" s="52">
        <f>$W30</f>
        <v>0</v>
      </c>
      <c r="AU30" s="52">
        <f>$AT30+$X30</f>
        <v>0</v>
      </c>
      <c r="AV30" s="52">
        <f>$AU30+$Y30</f>
        <v>0</v>
      </c>
      <c r="AW30" s="52">
        <f>$AV30+$Z30</f>
        <v>0</v>
      </c>
      <c r="AX30" s="52">
        <f>$AW30+$AA30</f>
        <v>0</v>
      </c>
      <c r="AY30" s="52">
        <f>$AX30+$AB30</f>
        <v>0</v>
      </c>
      <c r="AZ30" s="52">
        <f>$AY30+$AC30</f>
        <v>0</v>
      </c>
      <c r="BA30" s="52">
        <f>$AZ30+$AD30</f>
        <v>0</v>
      </c>
      <c r="BB30" s="52">
        <f>$BA30+$AE30</f>
        <v>0</v>
      </c>
      <c r="BC30" s="52">
        <f>$BB30+$AF30</f>
        <v>0</v>
      </c>
      <c r="BD30" s="52">
        <f>$BC30+$AG30</f>
        <v>0</v>
      </c>
      <c r="BE30" s="52">
        <f>$BD30+$AH30</f>
        <v>0</v>
      </c>
      <c r="BF30" s="52">
        <f>$BE30+$AI30</f>
        <v>0</v>
      </c>
      <c r="BG30" s="52">
        <f>$BF30+$AJ30</f>
        <v>0</v>
      </c>
      <c r="BH30" s="52">
        <f>$BG30+$AK30</f>
        <v>0</v>
      </c>
      <c r="BI30" s="52">
        <f>$BH30+$AL30</f>
        <v>0</v>
      </c>
      <c r="BJ30" s="52">
        <f>$BI30+$AM30</f>
        <v>0</v>
      </c>
      <c r="BK30" s="52">
        <f>$BJ30+$AN30</f>
        <v>0</v>
      </c>
      <c r="BL30" s="52">
        <f>$BK30+$AO30</f>
        <v>0</v>
      </c>
      <c r="BM30" s="52">
        <f>$BL30+$AP30</f>
        <v>0</v>
      </c>
      <c r="BN30" s="52">
        <f>$BM30+$AQ30</f>
        <v>0</v>
      </c>
      <c r="BO30" s="52">
        <f>$BN30+$AR30</f>
        <v>0</v>
      </c>
      <c r="BP30" s="52">
        <f>$BO30+$AS30</f>
        <v>0</v>
      </c>
      <c r="BQ30" s="52">
        <f>SUM($T$1:$T29)</f>
        <v>11</v>
      </c>
      <c r="BR30" s="52" t="str">
        <f>IF(ISNUMBER($T30),IF($T30&gt;0,COUNTIF($T$2:$T30,"&gt;0"),""),"")</f>
        <v/>
      </c>
      <c r="BS30" s="52" t="str">
        <f>IF($BR30="","",$BQ30+$T30)</f>
        <v/>
      </c>
      <c r="BT30" s="52" t="str">
        <f>IF($U30="Ready",COUNTIF($U$2:$U30,"Ready"),"")</f>
        <v/>
      </c>
      <c r="BU30" s="52">
        <f>IF(AND($U30="Ready",$C30="Receipt"),IF(COUNTIF(Batches!$A$2:$A$301,$F30)+COUNTIFS($F$1:$F29,$F30,$C$1:$C29,"Receipt",$U$1:$U29,"Ready")=0,1,0),0)</f>
        <v>0</v>
      </c>
      <c r="BV30" s="52" t="str">
        <f>IF($BU30=1,SUM($BU$2:$BU30),"")</f>
        <v/>
      </c>
    </row>
    <row r="31">
      <c r="A31" s="46" t="n"/>
      <c r="B31" s="46" t="n"/>
      <c r="C31" s="46" t="n"/>
      <c r="D31" s="46" t="n"/>
      <c r="E31" s="46" t="n"/>
      <c r="F31" s="46" t="n"/>
      <c r="G31" s="46" t="n"/>
      <c r="H31" s="46" t="n"/>
      <c r="I31" s="46" t="n"/>
      <c r="J31" s="46" t="n"/>
      <c r="K31" s="46" t="n"/>
      <c r="L31" s="46" t="n"/>
      <c r="M31" s="62" t="str">
        <f>IF($B31="","",IF(ISNUMBER($B31),$B31,IF(AND(LEN($B31)=10,MID($B31,5,1)="-",MID($B31,8,1)="-"),IFERROR(IF(AND(MONTH(DATE(VALUE(LEFT($B31,4)),VALUE(MID($B31,6,2)),VALUE(RIGHT($B31,2))))=VALUE(MID($B31,6,2)),DAY(DATE(VALUE(LEFT($B31,4)),VALUE(MID($B31,6,2)),VALUE(RIGHT($B31,2))))=VALUE(RIGHT($B31,2))),DATE(VALUE(LEFT($B31,4)),VALUE(MID($B31,6,2)),VALUE(RIGHT($B31,2))),"ERR"),"ERR"),"ERR")))</f>
        <v/>
      </c>
      <c r="N31" s="62" t="str">
        <f>IF($G31="","",IF(ISNUMBER($G31),$G31,IF(AND(LEN($G31)=10,MID($G31,5,1)="-",MID($G31,8,1)="-"),IFERROR(IF(AND(MONTH(DATE(VALUE(LEFT($G31,4)),VALUE(MID($G31,6,2)),VALUE(RIGHT($G31,2))))=VALUE(MID($G31,6,2)),DAY(DATE(VALUE(LEFT($G31,4)),VALUE(MID($G31,6,2)),VALUE(RIGHT($G31,2))))=VALUE(RIGHT($G31,2))),DATE(VALUE(LEFT($G31,4)),VALUE(MID($G31,6,2)),VALUE(RIGHT($G31,2))),"ERR"),"ERR"),"ERR")))</f>
        <v/>
      </c>
      <c r="O31" s="51" t="str">
        <f>IF($H31="","",IF(ISNUMBER($H31),$H31,IFERROR(VALUE($H31),"ERR")))</f>
        <v/>
      </c>
      <c r="P31" s="51" t="str">
        <f>IF(AND(ISNUMBER($O31),OR($C31="Receipt",$C31="Shipment",$C31="Adjustment")),IF($C31="Shipment",-$O31,$O31),"")</f>
        <v/>
      </c>
      <c r="Q31" s="51" t="str">
        <f>IF($D31="","",IFERROR(INDEX(Products!$R$2:$R$101,MATCH($D31,Products!$A$2:$A$101,0)),""))</f>
        <v/>
      </c>
      <c r="R31" s="51" t="str">
        <f>IF(OR($Q31="",$P31=""),"",$Q31+SUMIFS($P$1:$P30,$D$1:$D30,$D31,$U$1:$U30,"Ready"))</f>
        <v/>
      </c>
      <c r="S31" s="51" t="str">
        <f>IF($R31="","",$R31+$P31)</f>
        <v/>
      </c>
      <c r="T31" s="52" t="str">
        <f>IF(COUNTA($A31:$L31)&gt;0,$BP31,"")</f>
        <v/>
      </c>
      <c r="U31" s="49" t="str">
        <f>IF($T31="","",IF($T31=0,"Ready","Rejected"))</f>
        <v/>
      </c>
      <c r="V31" s="49" t="str">
        <f>IF(OR($T31="",$T31=0),"",INDEX(Config!$D$39:$D$61,MATCH(1,$AT31:$BP31,0))&amp;IF($T31&gt;1," (+"&amp;($T31-1)&amp;" more)",""))</f>
        <v/>
      </c>
      <c r="W31" s="52">
        <f>IF(AND(COUNTA($A31:$L31)&gt;0,$A31=""),1,0)</f>
        <v>0</v>
      </c>
      <c r="X31" s="52">
        <f>IF(AND(COUNTA($A31:$L31)&gt;0,$A31&lt;&gt;""),IF(COUNTIF($A$1:$A30,$A31)&gt;0,1,0),0)</f>
        <v>0</v>
      </c>
      <c r="Y31" s="52">
        <f>IF(AND(COUNTA($A31:$L31)&gt;0,$A31&lt;&gt;""),IF(COUNTIF(Inventory_Ledger!$A$2:$A$2001,$A31)&gt;0,1,0),0)</f>
        <v>0</v>
      </c>
      <c r="Z31" s="52">
        <f>IF(AND(COUNTA($A31:$L31)&gt;0,$B31=""),1,0)</f>
        <v>0</v>
      </c>
      <c r="AA31" s="52">
        <f>IF(AND(COUNTA($A31:$L31)&gt;0,$B31&lt;&gt;""),IF($M31="ERR",1,0),0)</f>
        <v>0</v>
      </c>
      <c r="AB31" s="52">
        <f>IF(AND(COUNTA($A31:$L31)&gt;0,ISNUMBER($M31)),IF($M31&gt;Config!$B$4,1,0),0)</f>
        <v>0</v>
      </c>
      <c r="AC31" s="52">
        <f>IF(AND(COUNTA($A31:$L31)&gt;0,$C31=""),1,0)</f>
        <v>0</v>
      </c>
      <c r="AD31" s="52">
        <f>IF(AND(COUNTA($A31:$L31)&gt;0,$C31&lt;&gt;""),IF(COUNTIF(Config!$A$15:$A$34,$C31)=0,1,0),0)</f>
        <v>0</v>
      </c>
      <c r="AE31" s="52">
        <f>IF(AND(COUNTA($A31:$L31)&gt;0,$D31=""),1,0)</f>
        <v>0</v>
      </c>
      <c r="AF31" s="52">
        <f>IF(AND(COUNTA($A31:$L31)&gt;0,$D31&lt;&gt;""),IF(COUNTIF(Products!$A$2:$A$101,$D31)=0,1,0),0)</f>
        <v>0</v>
      </c>
      <c r="AG31" s="52">
        <f>IF(AND(COUNTA($A31:$L31)&gt;0,$C31="Receipt",$E31=""),1,0)</f>
        <v>0</v>
      </c>
      <c r="AH31" s="52">
        <f>IF(AND(COUNTA($A31:$L31)&gt;0,$E31&lt;&gt;""),IF(COUNTIF(Suppliers!$A$2:$A$51,$E31)=0,1,0),0)</f>
        <v>0</v>
      </c>
      <c r="AI31" s="52">
        <f>IF(AND(COUNTA($A31:$L31)&gt;0,$F31=""),1,0)</f>
        <v>0</v>
      </c>
      <c r="AJ31" s="52">
        <f>IF(AND(COUNTA($A31:$L31)&gt;0,$F31&lt;&gt;"",$D31&lt;&gt;"",OR($C31="Shipment",$C31="Adjustment")),IF($AF31=1,0,IF(COUNTIFS(Batches!$A$2:$A$301,$F31,Batches!$B$2:$B$301,$D31)+COUNTIFS($F$1:$F30,$F31,$D$1:$D30,$D31,$C$1:$C30,"Receipt")=0,1,0)),0)</f>
        <v>0</v>
      </c>
      <c r="AK31" s="52">
        <f>IF(AND(COUNTA($A31:$L31)&gt;0,$C31="Receipt",$G31=""),1,0)</f>
        <v>0</v>
      </c>
      <c r="AL31" s="52">
        <f>IF(AND(COUNTA($A31:$L31)&gt;0,$G31&lt;&gt;""),IF($N31="ERR",1,0),0)</f>
        <v>0</v>
      </c>
      <c r="AM31" s="52">
        <f>IF(AND(COUNTA($A31:$L31)&gt;0,$H31=""),1,0)</f>
        <v>0</v>
      </c>
      <c r="AN31" s="52">
        <f>IF(AND(COUNTA($A31:$L31)&gt;0,$H31&lt;&gt;""),IF($O31="ERR",1,IF(INT($O31)&lt;&gt;$O31,1,IF(AND(OR($C31="Receipt",$C31="Shipment"),$O31&lt;=0),1,IF(AND($C31="Adjustment",$O31=0),1,0)))),0)</f>
        <v>0</v>
      </c>
      <c r="AO31" s="52">
        <f>IF(AND(COUNTA($A31:$L31)&gt;0,$C31="Receipt",$I31=""),1,0)</f>
        <v>0</v>
      </c>
      <c r="AP31" s="52">
        <f>IF(AND(COUNTA($A31:$L31)&gt;0,$I31&lt;&gt;""),IF(IFERROR(INDEX(Config!$G$15:$G$34,MATCH($I31,Config!$E$15:$E$34,0)),"No")="Yes",0,1),0)</f>
        <v>0</v>
      </c>
      <c r="AQ31" s="52">
        <f>IF(AND(COUNTA($A31:$L31)&gt;0,$C31="Adjustment",$J31=""),1,0)</f>
        <v>0</v>
      </c>
      <c r="AR31" s="52">
        <f>IF(AND(COUNTA($A31:$L31)&gt;0,$L31=""),1,0)</f>
        <v>0</v>
      </c>
      <c r="AS31" s="52">
        <f>IF(AND(COUNTA($A31:$L31)&gt;0,ISNUMBER($S31)),IF($S31&lt;0,1,0),0)</f>
        <v>0</v>
      </c>
      <c r="AT31" s="52">
        <f>$W31</f>
        <v>0</v>
      </c>
      <c r="AU31" s="52">
        <f>$AT31+$X31</f>
        <v>0</v>
      </c>
      <c r="AV31" s="52">
        <f>$AU31+$Y31</f>
        <v>0</v>
      </c>
      <c r="AW31" s="52">
        <f>$AV31+$Z31</f>
        <v>0</v>
      </c>
      <c r="AX31" s="52">
        <f>$AW31+$AA31</f>
        <v>0</v>
      </c>
      <c r="AY31" s="52">
        <f>$AX31+$AB31</f>
        <v>0</v>
      </c>
      <c r="AZ31" s="52">
        <f>$AY31+$AC31</f>
        <v>0</v>
      </c>
      <c r="BA31" s="52">
        <f>$AZ31+$AD31</f>
        <v>0</v>
      </c>
      <c r="BB31" s="52">
        <f>$BA31+$AE31</f>
        <v>0</v>
      </c>
      <c r="BC31" s="52">
        <f>$BB31+$AF31</f>
        <v>0</v>
      </c>
      <c r="BD31" s="52">
        <f>$BC31+$AG31</f>
        <v>0</v>
      </c>
      <c r="BE31" s="52">
        <f>$BD31+$AH31</f>
        <v>0</v>
      </c>
      <c r="BF31" s="52">
        <f>$BE31+$AI31</f>
        <v>0</v>
      </c>
      <c r="BG31" s="52">
        <f>$BF31+$AJ31</f>
        <v>0</v>
      </c>
      <c r="BH31" s="52">
        <f>$BG31+$AK31</f>
        <v>0</v>
      </c>
      <c r="BI31" s="52">
        <f>$BH31+$AL31</f>
        <v>0</v>
      </c>
      <c r="BJ31" s="52">
        <f>$BI31+$AM31</f>
        <v>0</v>
      </c>
      <c r="BK31" s="52">
        <f>$BJ31+$AN31</f>
        <v>0</v>
      </c>
      <c r="BL31" s="52">
        <f>$BK31+$AO31</f>
        <v>0</v>
      </c>
      <c r="BM31" s="52">
        <f>$BL31+$AP31</f>
        <v>0</v>
      </c>
      <c r="BN31" s="52">
        <f>$BM31+$AQ31</f>
        <v>0</v>
      </c>
      <c r="BO31" s="52">
        <f>$BN31+$AR31</f>
        <v>0</v>
      </c>
      <c r="BP31" s="52">
        <f>$BO31+$AS31</f>
        <v>0</v>
      </c>
      <c r="BQ31" s="52">
        <f>SUM($T$1:$T30)</f>
        <v>11</v>
      </c>
      <c r="BR31" s="52" t="str">
        <f>IF(ISNUMBER($T31),IF($T31&gt;0,COUNTIF($T$2:$T31,"&gt;0"),""),"")</f>
        <v/>
      </c>
      <c r="BS31" s="52" t="str">
        <f>IF($BR31="","",$BQ31+$T31)</f>
        <v/>
      </c>
      <c r="BT31" s="52" t="str">
        <f>IF($U31="Ready",COUNTIF($U$2:$U31,"Ready"),"")</f>
        <v/>
      </c>
      <c r="BU31" s="52">
        <f>IF(AND($U31="Ready",$C31="Receipt"),IF(COUNTIF(Batches!$A$2:$A$301,$F31)+COUNTIFS($F$1:$F30,$F31,$C$1:$C30,"Receipt",$U$1:$U30,"Ready")=0,1,0),0)</f>
        <v>0</v>
      </c>
      <c r="BV31" s="52" t="str">
        <f>IF($BU31=1,SUM($BU$2:$BU31),"")</f>
        <v/>
      </c>
    </row>
    <row r="32">
      <c r="A32" s="46" t="n"/>
      <c r="B32" s="46" t="n"/>
      <c r="C32" s="46" t="n"/>
      <c r="D32" s="46" t="n"/>
      <c r="E32" s="46" t="n"/>
      <c r="F32" s="46" t="n"/>
      <c r="G32" s="46" t="n"/>
      <c r="H32" s="46" t="n"/>
      <c r="I32" s="46" t="n"/>
      <c r="J32" s="46" t="n"/>
      <c r="K32" s="46" t="n"/>
      <c r="L32" s="46" t="n"/>
      <c r="M32" s="62" t="str">
        <f>IF($B32="","",IF(ISNUMBER($B32),$B32,IF(AND(LEN($B32)=10,MID($B32,5,1)="-",MID($B32,8,1)="-"),IFERROR(IF(AND(MONTH(DATE(VALUE(LEFT($B32,4)),VALUE(MID($B32,6,2)),VALUE(RIGHT($B32,2))))=VALUE(MID($B32,6,2)),DAY(DATE(VALUE(LEFT($B32,4)),VALUE(MID($B32,6,2)),VALUE(RIGHT($B32,2))))=VALUE(RIGHT($B32,2))),DATE(VALUE(LEFT($B32,4)),VALUE(MID($B32,6,2)),VALUE(RIGHT($B32,2))),"ERR"),"ERR"),"ERR")))</f>
        <v/>
      </c>
      <c r="N32" s="62" t="str">
        <f>IF($G32="","",IF(ISNUMBER($G32),$G32,IF(AND(LEN($G32)=10,MID($G32,5,1)="-",MID($G32,8,1)="-"),IFERROR(IF(AND(MONTH(DATE(VALUE(LEFT($G32,4)),VALUE(MID($G32,6,2)),VALUE(RIGHT($G32,2))))=VALUE(MID($G32,6,2)),DAY(DATE(VALUE(LEFT($G32,4)),VALUE(MID($G32,6,2)),VALUE(RIGHT($G32,2))))=VALUE(RIGHT($G32,2))),DATE(VALUE(LEFT($G32,4)),VALUE(MID($G32,6,2)),VALUE(RIGHT($G32,2))),"ERR"),"ERR"),"ERR")))</f>
        <v/>
      </c>
      <c r="O32" s="51" t="str">
        <f>IF($H32="","",IF(ISNUMBER($H32),$H32,IFERROR(VALUE($H32),"ERR")))</f>
        <v/>
      </c>
      <c r="P32" s="51" t="str">
        <f>IF(AND(ISNUMBER($O32),OR($C32="Receipt",$C32="Shipment",$C32="Adjustment")),IF($C32="Shipment",-$O32,$O32),"")</f>
        <v/>
      </c>
      <c r="Q32" s="51" t="str">
        <f>IF($D32="","",IFERROR(INDEX(Products!$R$2:$R$101,MATCH($D32,Products!$A$2:$A$101,0)),""))</f>
        <v/>
      </c>
      <c r="R32" s="51" t="str">
        <f>IF(OR($Q32="",$P32=""),"",$Q32+SUMIFS($P$1:$P31,$D$1:$D31,$D32,$U$1:$U31,"Ready"))</f>
        <v/>
      </c>
      <c r="S32" s="51" t="str">
        <f>IF($R32="","",$R32+$P32)</f>
        <v/>
      </c>
      <c r="T32" s="52" t="str">
        <f>IF(COUNTA($A32:$L32)&gt;0,$BP32,"")</f>
        <v/>
      </c>
      <c r="U32" s="49" t="str">
        <f>IF($T32="","",IF($T32=0,"Ready","Rejected"))</f>
        <v/>
      </c>
      <c r="V32" s="49" t="str">
        <f>IF(OR($T32="",$T32=0),"",INDEX(Config!$D$39:$D$61,MATCH(1,$AT32:$BP32,0))&amp;IF($T32&gt;1," (+"&amp;($T32-1)&amp;" more)",""))</f>
        <v/>
      </c>
      <c r="W32" s="52">
        <f>IF(AND(COUNTA($A32:$L32)&gt;0,$A32=""),1,0)</f>
        <v>0</v>
      </c>
      <c r="X32" s="52">
        <f>IF(AND(COUNTA($A32:$L32)&gt;0,$A32&lt;&gt;""),IF(COUNTIF($A$1:$A31,$A32)&gt;0,1,0),0)</f>
        <v>0</v>
      </c>
      <c r="Y32" s="52">
        <f>IF(AND(COUNTA($A32:$L32)&gt;0,$A32&lt;&gt;""),IF(COUNTIF(Inventory_Ledger!$A$2:$A$2001,$A32)&gt;0,1,0),0)</f>
        <v>0</v>
      </c>
      <c r="Z32" s="52">
        <f>IF(AND(COUNTA($A32:$L32)&gt;0,$B32=""),1,0)</f>
        <v>0</v>
      </c>
      <c r="AA32" s="52">
        <f>IF(AND(COUNTA($A32:$L32)&gt;0,$B32&lt;&gt;""),IF($M32="ERR",1,0),0)</f>
        <v>0</v>
      </c>
      <c r="AB32" s="52">
        <f>IF(AND(COUNTA($A32:$L32)&gt;0,ISNUMBER($M32)),IF($M32&gt;Config!$B$4,1,0),0)</f>
        <v>0</v>
      </c>
      <c r="AC32" s="52">
        <f>IF(AND(COUNTA($A32:$L32)&gt;0,$C32=""),1,0)</f>
        <v>0</v>
      </c>
      <c r="AD32" s="52">
        <f>IF(AND(COUNTA($A32:$L32)&gt;0,$C32&lt;&gt;""),IF(COUNTIF(Config!$A$15:$A$34,$C32)=0,1,0),0)</f>
        <v>0</v>
      </c>
      <c r="AE32" s="52">
        <f>IF(AND(COUNTA($A32:$L32)&gt;0,$D32=""),1,0)</f>
        <v>0</v>
      </c>
      <c r="AF32" s="52">
        <f>IF(AND(COUNTA($A32:$L32)&gt;0,$D32&lt;&gt;""),IF(COUNTIF(Products!$A$2:$A$101,$D32)=0,1,0),0)</f>
        <v>0</v>
      </c>
      <c r="AG32" s="52">
        <f>IF(AND(COUNTA($A32:$L32)&gt;0,$C32="Receipt",$E32=""),1,0)</f>
        <v>0</v>
      </c>
      <c r="AH32" s="52">
        <f>IF(AND(COUNTA($A32:$L32)&gt;0,$E32&lt;&gt;""),IF(COUNTIF(Suppliers!$A$2:$A$51,$E32)=0,1,0),0)</f>
        <v>0</v>
      </c>
      <c r="AI32" s="52">
        <f>IF(AND(COUNTA($A32:$L32)&gt;0,$F32=""),1,0)</f>
        <v>0</v>
      </c>
      <c r="AJ32" s="52">
        <f>IF(AND(COUNTA($A32:$L32)&gt;0,$F32&lt;&gt;"",$D32&lt;&gt;"",OR($C32="Shipment",$C32="Adjustment")),IF($AF32=1,0,IF(COUNTIFS(Batches!$A$2:$A$301,$F32,Batches!$B$2:$B$301,$D32)+COUNTIFS($F$1:$F31,$F32,$D$1:$D31,$D32,$C$1:$C31,"Receipt")=0,1,0)),0)</f>
        <v>0</v>
      </c>
      <c r="AK32" s="52">
        <f>IF(AND(COUNTA($A32:$L32)&gt;0,$C32="Receipt",$G32=""),1,0)</f>
        <v>0</v>
      </c>
      <c r="AL32" s="52">
        <f>IF(AND(COUNTA($A32:$L32)&gt;0,$G32&lt;&gt;""),IF($N32="ERR",1,0),0)</f>
        <v>0</v>
      </c>
      <c r="AM32" s="52">
        <f>IF(AND(COUNTA($A32:$L32)&gt;0,$H32=""),1,0)</f>
        <v>0</v>
      </c>
      <c r="AN32" s="52">
        <f>IF(AND(COUNTA($A32:$L32)&gt;0,$H32&lt;&gt;""),IF($O32="ERR",1,IF(INT($O32)&lt;&gt;$O32,1,IF(AND(OR($C32="Receipt",$C32="Shipment"),$O32&lt;=0),1,IF(AND($C32="Adjustment",$O32=0),1,0)))),0)</f>
        <v>0</v>
      </c>
      <c r="AO32" s="52">
        <f>IF(AND(COUNTA($A32:$L32)&gt;0,$C32="Receipt",$I32=""),1,0)</f>
        <v>0</v>
      </c>
      <c r="AP32" s="52">
        <f>IF(AND(COUNTA($A32:$L32)&gt;0,$I32&lt;&gt;""),IF(IFERROR(INDEX(Config!$G$15:$G$34,MATCH($I32,Config!$E$15:$E$34,0)),"No")="Yes",0,1),0)</f>
        <v>0</v>
      </c>
      <c r="AQ32" s="52">
        <f>IF(AND(COUNTA($A32:$L32)&gt;0,$C32="Adjustment",$J32=""),1,0)</f>
        <v>0</v>
      </c>
      <c r="AR32" s="52">
        <f>IF(AND(COUNTA($A32:$L32)&gt;0,$L32=""),1,0)</f>
        <v>0</v>
      </c>
      <c r="AS32" s="52">
        <f>IF(AND(COUNTA($A32:$L32)&gt;0,ISNUMBER($S32)),IF($S32&lt;0,1,0),0)</f>
        <v>0</v>
      </c>
      <c r="AT32" s="52">
        <f>$W32</f>
        <v>0</v>
      </c>
      <c r="AU32" s="52">
        <f>$AT32+$X32</f>
        <v>0</v>
      </c>
      <c r="AV32" s="52">
        <f>$AU32+$Y32</f>
        <v>0</v>
      </c>
      <c r="AW32" s="52">
        <f>$AV32+$Z32</f>
        <v>0</v>
      </c>
      <c r="AX32" s="52">
        <f>$AW32+$AA32</f>
        <v>0</v>
      </c>
      <c r="AY32" s="52">
        <f>$AX32+$AB32</f>
        <v>0</v>
      </c>
      <c r="AZ32" s="52">
        <f>$AY32+$AC32</f>
        <v>0</v>
      </c>
      <c r="BA32" s="52">
        <f>$AZ32+$AD32</f>
        <v>0</v>
      </c>
      <c r="BB32" s="52">
        <f>$BA32+$AE32</f>
        <v>0</v>
      </c>
      <c r="BC32" s="52">
        <f>$BB32+$AF32</f>
        <v>0</v>
      </c>
      <c r="BD32" s="52">
        <f>$BC32+$AG32</f>
        <v>0</v>
      </c>
      <c r="BE32" s="52">
        <f>$BD32+$AH32</f>
        <v>0</v>
      </c>
      <c r="BF32" s="52">
        <f>$BE32+$AI32</f>
        <v>0</v>
      </c>
      <c r="BG32" s="52">
        <f>$BF32+$AJ32</f>
        <v>0</v>
      </c>
      <c r="BH32" s="52">
        <f>$BG32+$AK32</f>
        <v>0</v>
      </c>
      <c r="BI32" s="52">
        <f>$BH32+$AL32</f>
        <v>0</v>
      </c>
      <c r="BJ32" s="52">
        <f>$BI32+$AM32</f>
        <v>0</v>
      </c>
      <c r="BK32" s="52">
        <f>$BJ32+$AN32</f>
        <v>0</v>
      </c>
      <c r="BL32" s="52">
        <f>$BK32+$AO32</f>
        <v>0</v>
      </c>
      <c r="BM32" s="52">
        <f>$BL32+$AP32</f>
        <v>0</v>
      </c>
      <c r="BN32" s="52">
        <f>$BM32+$AQ32</f>
        <v>0</v>
      </c>
      <c r="BO32" s="52">
        <f>$BN32+$AR32</f>
        <v>0</v>
      </c>
      <c r="BP32" s="52">
        <f>$BO32+$AS32</f>
        <v>0</v>
      </c>
      <c r="BQ32" s="52">
        <f>SUM($T$1:$T31)</f>
        <v>11</v>
      </c>
      <c r="BR32" s="52" t="str">
        <f>IF(ISNUMBER($T32),IF($T32&gt;0,COUNTIF($T$2:$T32,"&gt;0"),""),"")</f>
        <v/>
      </c>
      <c r="BS32" s="52" t="str">
        <f>IF($BR32="","",$BQ32+$T32)</f>
        <v/>
      </c>
      <c r="BT32" s="52" t="str">
        <f>IF($U32="Ready",COUNTIF($U$2:$U32,"Ready"),"")</f>
        <v/>
      </c>
      <c r="BU32" s="52">
        <f>IF(AND($U32="Ready",$C32="Receipt"),IF(COUNTIF(Batches!$A$2:$A$301,$F32)+COUNTIFS($F$1:$F31,$F32,$C$1:$C31,"Receipt",$U$1:$U31,"Ready")=0,1,0),0)</f>
        <v>0</v>
      </c>
      <c r="BV32" s="52" t="str">
        <f>IF($BU32=1,SUM($BU$2:$BU32),"")</f>
        <v/>
      </c>
    </row>
    <row r="33">
      <c r="A33" s="46" t="n"/>
      <c r="B33" s="46" t="n"/>
      <c r="C33" s="46" t="n"/>
      <c r="D33" s="46" t="n"/>
      <c r="E33" s="46" t="n"/>
      <c r="F33" s="46" t="n"/>
      <c r="G33" s="46" t="n"/>
      <c r="H33" s="46" t="n"/>
      <c r="I33" s="46" t="n"/>
      <c r="J33" s="46" t="n"/>
      <c r="K33" s="46" t="n"/>
      <c r="L33" s="46" t="n"/>
      <c r="M33" s="62" t="str">
        <f>IF($B33="","",IF(ISNUMBER($B33),$B33,IF(AND(LEN($B33)=10,MID($B33,5,1)="-",MID($B33,8,1)="-"),IFERROR(IF(AND(MONTH(DATE(VALUE(LEFT($B33,4)),VALUE(MID($B33,6,2)),VALUE(RIGHT($B33,2))))=VALUE(MID($B33,6,2)),DAY(DATE(VALUE(LEFT($B33,4)),VALUE(MID($B33,6,2)),VALUE(RIGHT($B33,2))))=VALUE(RIGHT($B33,2))),DATE(VALUE(LEFT($B33,4)),VALUE(MID($B33,6,2)),VALUE(RIGHT($B33,2))),"ERR"),"ERR"),"ERR")))</f>
        <v/>
      </c>
      <c r="N33" s="62" t="str">
        <f>IF($G33="","",IF(ISNUMBER($G33),$G33,IF(AND(LEN($G33)=10,MID($G33,5,1)="-",MID($G33,8,1)="-"),IFERROR(IF(AND(MONTH(DATE(VALUE(LEFT($G33,4)),VALUE(MID($G33,6,2)),VALUE(RIGHT($G33,2))))=VALUE(MID($G33,6,2)),DAY(DATE(VALUE(LEFT($G33,4)),VALUE(MID($G33,6,2)),VALUE(RIGHT($G33,2))))=VALUE(RIGHT($G33,2))),DATE(VALUE(LEFT($G33,4)),VALUE(MID($G33,6,2)),VALUE(RIGHT($G33,2))),"ERR"),"ERR"),"ERR")))</f>
        <v/>
      </c>
      <c r="O33" s="51" t="str">
        <f>IF($H33="","",IF(ISNUMBER($H33),$H33,IFERROR(VALUE($H33),"ERR")))</f>
        <v/>
      </c>
      <c r="P33" s="51" t="str">
        <f>IF(AND(ISNUMBER($O33),OR($C33="Receipt",$C33="Shipment",$C33="Adjustment")),IF($C33="Shipment",-$O33,$O33),"")</f>
        <v/>
      </c>
      <c r="Q33" s="51" t="str">
        <f>IF($D33="","",IFERROR(INDEX(Products!$R$2:$R$101,MATCH($D33,Products!$A$2:$A$101,0)),""))</f>
        <v/>
      </c>
      <c r="R33" s="51" t="str">
        <f>IF(OR($Q33="",$P33=""),"",$Q33+SUMIFS($P$1:$P32,$D$1:$D32,$D33,$U$1:$U32,"Ready"))</f>
        <v/>
      </c>
      <c r="S33" s="51" t="str">
        <f>IF($R33="","",$R33+$P33)</f>
        <v/>
      </c>
      <c r="T33" s="52" t="str">
        <f>IF(COUNTA($A33:$L33)&gt;0,$BP33,"")</f>
        <v/>
      </c>
      <c r="U33" s="49" t="str">
        <f>IF($T33="","",IF($T33=0,"Ready","Rejected"))</f>
        <v/>
      </c>
      <c r="V33" s="49" t="str">
        <f>IF(OR($T33="",$T33=0),"",INDEX(Config!$D$39:$D$61,MATCH(1,$AT33:$BP33,0))&amp;IF($T33&gt;1," (+"&amp;($T33-1)&amp;" more)",""))</f>
        <v/>
      </c>
      <c r="W33" s="52">
        <f>IF(AND(COUNTA($A33:$L33)&gt;0,$A33=""),1,0)</f>
        <v>0</v>
      </c>
      <c r="X33" s="52">
        <f>IF(AND(COUNTA($A33:$L33)&gt;0,$A33&lt;&gt;""),IF(COUNTIF($A$1:$A32,$A33)&gt;0,1,0),0)</f>
        <v>0</v>
      </c>
      <c r="Y33" s="52">
        <f>IF(AND(COUNTA($A33:$L33)&gt;0,$A33&lt;&gt;""),IF(COUNTIF(Inventory_Ledger!$A$2:$A$2001,$A33)&gt;0,1,0),0)</f>
        <v>0</v>
      </c>
      <c r="Z33" s="52">
        <f>IF(AND(COUNTA($A33:$L33)&gt;0,$B33=""),1,0)</f>
        <v>0</v>
      </c>
      <c r="AA33" s="52">
        <f>IF(AND(COUNTA($A33:$L33)&gt;0,$B33&lt;&gt;""),IF($M33="ERR",1,0),0)</f>
        <v>0</v>
      </c>
      <c r="AB33" s="52">
        <f>IF(AND(COUNTA($A33:$L33)&gt;0,ISNUMBER($M33)),IF($M33&gt;Config!$B$4,1,0),0)</f>
        <v>0</v>
      </c>
      <c r="AC33" s="52">
        <f>IF(AND(COUNTA($A33:$L33)&gt;0,$C33=""),1,0)</f>
        <v>0</v>
      </c>
      <c r="AD33" s="52">
        <f>IF(AND(COUNTA($A33:$L33)&gt;0,$C33&lt;&gt;""),IF(COUNTIF(Config!$A$15:$A$34,$C33)=0,1,0),0)</f>
        <v>0</v>
      </c>
      <c r="AE33" s="52">
        <f>IF(AND(COUNTA($A33:$L33)&gt;0,$D33=""),1,0)</f>
        <v>0</v>
      </c>
      <c r="AF33" s="52">
        <f>IF(AND(COUNTA($A33:$L33)&gt;0,$D33&lt;&gt;""),IF(COUNTIF(Products!$A$2:$A$101,$D33)=0,1,0),0)</f>
        <v>0</v>
      </c>
      <c r="AG33" s="52">
        <f>IF(AND(COUNTA($A33:$L33)&gt;0,$C33="Receipt",$E33=""),1,0)</f>
        <v>0</v>
      </c>
      <c r="AH33" s="52">
        <f>IF(AND(COUNTA($A33:$L33)&gt;0,$E33&lt;&gt;""),IF(COUNTIF(Suppliers!$A$2:$A$51,$E33)=0,1,0),0)</f>
        <v>0</v>
      </c>
      <c r="AI33" s="52">
        <f>IF(AND(COUNTA($A33:$L33)&gt;0,$F33=""),1,0)</f>
        <v>0</v>
      </c>
      <c r="AJ33" s="52">
        <f>IF(AND(COUNTA($A33:$L33)&gt;0,$F33&lt;&gt;"",$D33&lt;&gt;"",OR($C33="Shipment",$C33="Adjustment")),IF($AF33=1,0,IF(COUNTIFS(Batches!$A$2:$A$301,$F33,Batches!$B$2:$B$301,$D33)+COUNTIFS($F$1:$F32,$F33,$D$1:$D32,$D33,$C$1:$C32,"Receipt")=0,1,0)),0)</f>
        <v>0</v>
      </c>
      <c r="AK33" s="52">
        <f>IF(AND(COUNTA($A33:$L33)&gt;0,$C33="Receipt",$G33=""),1,0)</f>
        <v>0</v>
      </c>
      <c r="AL33" s="52">
        <f>IF(AND(COUNTA($A33:$L33)&gt;0,$G33&lt;&gt;""),IF($N33="ERR",1,0),0)</f>
        <v>0</v>
      </c>
      <c r="AM33" s="52">
        <f>IF(AND(COUNTA($A33:$L33)&gt;0,$H33=""),1,0)</f>
        <v>0</v>
      </c>
      <c r="AN33" s="52">
        <f>IF(AND(COUNTA($A33:$L33)&gt;0,$H33&lt;&gt;""),IF($O33="ERR",1,IF(INT($O33)&lt;&gt;$O33,1,IF(AND(OR($C33="Receipt",$C33="Shipment"),$O33&lt;=0),1,IF(AND($C33="Adjustment",$O33=0),1,0)))),0)</f>
        <v>0</v>
      </c>
      <c r="AO33" s="52">
        <f>IF(AND(COUNTA($A33:$L33)&gt;0,$C33="Receipt",$I33=""),1,0)</f>
        <v>0</v>
      </c>
      <c r="AP33" s="52">
        <f>IF(AND(COUNTA($A33:$L33)&gt;0,$I33&lt;&gt;""),IF(IFERROR(INDEX(Config!$G$15:$G$34,MATCH($I33,Config!$E$15:$E$34,0)),"No")="Yes",0,1),0)</f>
        <v>0</v>
      </c>
      <c r="AQ33" s="52">
        <f>IF(AND(COUNTA($A33:$L33)&gt;0,$C33="Adjustment",$J33=""),1,0)</f>
        <v>0</v>
      </c>
      <c r="AR33" s="52">
        <f>IF(AND(COUNTA($A33:$L33)&gt;0,$L33=""),1,0)</f>
        <v>0</v>
      </c>
      <c r="AS33" s="52">
        <f>IF(AND(COUNTA($A33:$L33)&gt;0,ISNUMBER($S33)),IF($S33&lt;0,1,0),0)</f>
        <v>0</v>
      </c>
      <c r="AT33" s="52">
        <f>$W33</f>
        <v>0</v>
      </c>
      <c r="AU33" s="52">
        <f>$AT33+$X33</f>
        <v>0</v>
      </c>
      <c r="AV33" s="52">
        <f>$AU33+$Y33</f>
        <v>0</v>
      </c>
      <c r="AW33" s="52">
        <f>$AV33+$Z33</f>
        <v>0</v>
      </c>
      <c r="AX33" s="52">
        <f>$AW33+$AA33</f>
        <v>0</v>
      </c>
      <c r="AY33" s="52">
        <f>$AX33+$AB33</f>
        <v>0</v>
      </c>
      <c r="AZ33" s="52">
        <f>$AY33+$AC33</f>
        <v>0</v>
      </c>
      <c r="BA33" s="52">
        <f>$AZ33+$AD33</f>
        <v>0</v>
      </c>
      <c r="BB33" s="52">
        <f>$BA33+$AE33</f>
        <v>0</v>
      </c>
      <c r="BC33" s="52">
        <f>$BB33+$AF33</f>
        <v>0</v>
      </c>
      <c r="BD33" s="52">
        <f>$BC33+$AG33</f>
        <v>0</v>
      </c>
      <c r="BE33" s="52">
        <f>$BD33+$AH33</f>
        <v>0</v>
      </c>
      <c r="BF33" s="52">
        <f>$BE33+$AI33</f>
        <v>0</v>
      </c>
      <c r="BG33" s="52">
        <f>$BF33+$AJ33</f>
        <v>0</v>
      </c>
      <c r="BH33" s="52">
        <f>$BG33+$AK33</f>
        <v>0</v>
      </c>
      <c r="BI33" s="52">
        <f>$BH33+$AL33</f>
        <v>0</v>
      </c>
      <c r="BJ33" s="52">
        <f>$BI33+$AM33</f>
        <v>0</v>
      </c>
      <c r="BK33" s="52">
        <f>$BJ33+$AN33</f>
        <v>0</v>
      </c>
      <c r="BL33" s="52">
        <f>$BK33+$AO33</f>
        <v>0</v>
      </c>
      <c r="BM33" s="52">
        <f>$BL33+$AP33</f>
        <v>0</v>
      </c>
      <c r="BN33" s="52">
        <f>$BM33+$AQ33</f>
        <v>0</v>
      </c>
      <c r="BO33" s="52">
        <f>$BN33+$AR33</f>
        <v>0</v>
      </c>
      <c r="BP33" s="52">
        <f>$BO33+$AS33</f>
        <v>0</v>
      </c>
      <c r="BQ33" s="52">
        <f>SUM($T$1:$T32)</f>
        <v>11</v>
      </c>
      <c r="BR33" s="52" t="str">
        <f>IF(ISNUMBER($T33),IF($T33&gt;0,COUNTIF($T$2:$T33,"&gt;0"),""),"")</f>
        <v/>
      </c>
      <c r="BS33" s="52" t="str">
        <f>IF($BR33="","",$BQ33+$T33)</f>
        <v/>
      </c>
      <c r="BT33" s="52" t="str">
        <f>IF($U33="Ready",COUNTIF($U$2:$U33,"Ready"),"")</f>
        <v/>
      </c>
      <c r="BU33" s="52">
        <f>IF(AND($U33="Ready",$C33="Receipt"),IF(COUNTIF(Batches!$A$2:$A$301,$F33)+COUNTIFS($F$1:$F32,$F33,$C$1:$C32,"Receipt",$U$1:$U32,"Ready")=0,1,0),0)</f>
        <v>0</v>
      </c>
      <c r="BV33" s="52" t="str">
        <f>IF($BU33=1,SUM($BU$2:$BU33),"")</f>
        <v/>
      </c>
    </row>
    <row r="34">
      <c r="A34" s="46" t="n"/>
      <c r="B34" s="46" t="n"/>
      <c r="C34" s="46" t="n"/>
      <c r="D34" s="46" t="n"/>
      <c r="E34" s="46" t="n"/>
      <c r="F34" s="46" t="n"/>
      <c r="G34" s="46" t="n"/>
      <c r="H34" s="46" t="n"/>
      <c r="I34" s="46" t="n"/>
      <c r="J34" s="46" t="n"/>
      <c r="K34" s="46" t="n"/>
      <c r="L34" s="46" t="n"/>
      <c r="M34" s="62" t="str">
        <f>IF($B34="","",IF(ISNUMBER($B34),$B34,IF(AND(LEN($B34)=10,MID($B34,5,1)="-",MID($B34,8,1)="-"),IFERROR(IF(AND(MONTH(DATE(VALUE(LEFT($B34,4)),VALUE(MID($B34,6,2)),VALUE(RIGHT($B34,2))))=VALUE(MID($B34,6,2)),DAY(DATE(VALUE(LEFT($B34,4)),VALUE(MID($B34,6,2)),VALUE(RIGHT($B34,2))))=VALUE(RIGHT($B34,2))),DATE(VALUE(LEFT($B34,4)),VALUE(MID($B34,6,2)),VALUE(RIGHT($B34,2))),"ERR"),"ERR"),"ERR")))</f>
        <v/>
      </c>
      <c r="N34" s="62" t="str">
        <f>IF($G34="","",IF(ISNUMBER($G34),$G34,IF(AND(LEN($G34)=10,MID($G34,5,1)="-",MID($G34,8,1)="-"),IFERROR(IF(AND(MONTH(DATE(VALUE(LEFT($G34,4)),VALUE(MID($G34,6,2)),VALUE(RIGHT($G34,2))))=VALUE(MID($G34,6,2)),DAY(DATE(VALUE(LEFT($G34,4)),VALUE(MID($G34,6,2)),VALUE(RIGHT($G34,2))))=VALUE(RIGHT($G34,2))),DATE(VALUE(LEFT($G34,4)),VALUE(MID($G34,6,2)),VALUE(RIGHT($G34,2))),"ERR"),"ERR"),"ERR")))</f>
        <v/>
      </c>
      <c r="O34" s="51" t="str">
        <f>IF($H34="","",IF(ISNUMBER($H34),$H34,IFERROR(VALUE($H34),"ERR")))</f>
        <v/>
      </c>
      <c r="P34" s="51" t="str">
        <f>IF(AND(ISNUMBER($O34),OR($C34="Receipt",$C34="Shipment",$C34="Adjustment")),IF($C34="Shipment",-$O34,$O34),"")</f>
        <v/>
      </c>
      <c r="Q34" s="51" t="str">
        <f>IF($D34="","",IFERROR(INDEX(Products!$R$2:$R$101,MATCH($D34,Products!$A$2:$A$101,0)),""))</f>
        <v/>
      </c>
      <c r="R34" s="51" t="str">
        <f>IF(OR($Q34="",$P34=""),"",$Q34+SUMIFS($P$1:$P33,$D$1:$D33,$D34,$U$1:$U33,"Ready"))</f>
        <v/>
      </c>
      <c r="S34" s="51" t="str">
        <f>IF($R34="","",$R34+$P34)</f>
        <v/>
      </c>
      <c r="T34" s="52" t="str">
        <f>IF(COUNTA($A34:$L34)&gt;0,$BP34,"")</f>
        <v/>
      </c>
      <c r="U34" s="49" t="str">
        <f>IF($T34="","",IF($T34=0,"Ready","Rejected"))</f>
        <v/>
      </c>
      <c r="V34" s="49" t="str">
        <f>IF(OR($T34="",$T34=0),"",INDEX(Config!$D$39:$D$61,MATCH(1,$AT34:$BP34,0))&amp;IF($T34&gt;1," (+"&amp;($T34-1)&amp;" more)",""))</f>
        <v/>
      </c>
      <c r="W34" s="52">
        <f>IF(AND(COUNTA($A34:$L34)&gt;0,$A34=""),1,0)</f>
        <v>0</v>
      </c>
      <c r="X34" s="52">
        <f>IF(AND(COUNTA($A34:$L34)&gt;0,$A34&lt;&gt;""),IF(COUNTIF($A$1:$A33,$A34)&gt;0,1,0),0)</f>
        <v>0</v>
      </c>
      <c r="Y34" s="52">
        <f>IF(AND(COUNTA($A34:$L34)&gt;0,$A34&lt;&gt;""),IF(COUNTIF(Inventory_Ledger!$A$2:$A$2001,$A34)&gt;0,1,0),0)</f>
        <v>0</v>
      </c>
      <c r="Z34" s="52">
        <f>IF(AND(COUNTA($A34:$L34)&gt;0,$B34=""),1,0)</f>
        <v>0</v>
      </c>
      <c r="AA34" s="52">
        <f>IF(AND(COUNTA($A34:$L34)&gt;0,$B34&lt;&gt;""),IF($M34="ERR",1,0),0)</f>
        <v>0</v>
      </c>
      <c r="AB34" s="52">
        <f>IF(AND(COUNTA($A34:$L34)&gt;0,ISNUMBER($M34)),IF($M34&gt;Config!$B$4,1,0),0)</f>
        <v>0</v>
      </c>
      <c r="AC34" s="52">
        <f>IF(AND(COUNTA($A34:$L34)&gt;0,$C34=""),1,0)</f>
        <v>0</v>
      </c>
      <c r="AD34" s="52">
        <f>IF(AND(COUNTA($A34:$L34)&gt;0,$C34&lt;&gt;""),IF(COUNTIF(Config!$A$15:$A$34,$C34)=0,1,0),0)</f>
        <v>0</v>
      </c>
      <c r="AE34" s="52">
        <f>IF(AND(COUNTA($A34:$L34)&gt;0,$D34=""),1,0)</f>
        <v>0</v>
      </c>
      <c r="AF34" s="52">
        <f>IF(AND(COUNTA($A34:$L34)&gt;0,$D34&lt;&gt;""),IF(COUNTIF(Products!$A$2:$A$101,$D34)=0,1,0),0)</f>
        <v>0</v>
      </c>
      <c r="AG34" s="52">
        <f>IF(AND(COUNTA($A34:$L34)&gt;0,$C34="Receipt",$E34=""),1,0)</f>
        <v>0</v>
      </c>
      <c r="AH34" s="52">
        <f>IF(AND(COUNTA($A34:$L34)&gt;0,$E34&lt;&gt;""),IF(COUNTIF(Suppliers!$A$2:$A$51,$E34)=0,1,0),0)</f>
        <v>0</v>
      </c>
      <c r="AI34" s="52">
        <f>IF(AND(COUNTA($A34:$L34)&gt;0,$F34=""),1,0)</f>
        <v>0</v>
      </c>
      <c r="AJ34" s="52">
        <f>IF(AND(COUNTA($A34:$L34)&gt;0,$F34&lt;&gt;"",$D34&lt;&gt;"",OR($C34="Shipment",$C34="Adjustment")),IF($AF34=1,0,IF(COUNTIFS(Batches!$A$2:$A$301,$F34,Batches!$B$2:$B$301,$D34)+COUNTIFS($F$1:$F33,$F34,$D$1:$D33,$D34,$C$1:$C33,"Receipt")=0,1,0)),0)</f>
        <v>0</v>
      </c>
      <c r="AK34" s="52">
        <f>IF(AND(COUNTA($A34:$L34)&gt;0,$C34="Receipt",$G34=""),1,0)</f>
        <v>0</v>
      </c>
      <c r="AL34" s="52">
        <f>IF(AND(COUNTA($A34:$L34)&gt;0,$G34&lt;&gt;""),IF($N34="ERR",1,0),0)</f>
        <v>0</v>
      </c>
      <c r="AM34" s="52">
        <f>IF(AND(COUNTA($A34:$L34)&gt;0,$H34=""),1,0)</f>
        <v>0</v>
      </c>
      <c r="AN34" s="52">
        <f>IF(AND(COUNTA($A34:$L34)&gt;0,$H34&lt;&gt;""),IF($O34="ERR",1,IF(INT($O34)&lt;&gt;$O34,1,IF(AND(OR($C34="Receipt",$C34="Shipment"),$O34&lt;=0),1,IF(AND($C34="Adjustment",$O34=0),1,0)))),0)</f>
        <v>0</v>
      </c>
      <c r="AO34" s="52">
        <f>IF(AND(COUNTA($A34:$L34)&gt;0,$C34="Receipt",$I34=""),1,0)</f>
        <v>0</v>
      </c>
      <c r="AP34" s="52">
        <f>IF(AND(COUNTA($A34:$L34)&gt;0,$I34&lt;&gt;""),IF(IFERROR(INDEX(Config!$G$15:$G$34,MATCH($I34,Config!$E$15:$E$34,0)),"No")="Yes",0,1),0)</f>
        <v>0</v>
      </c>
      <c r="AQ34" s="52">
        <f>IF(AND(COUNTA($A34:$L34)&gt;0,$C34="Adjustment",$J34=""),1,0)</f>
        <v>0</v>
      </c>
      <c r="AR34" s="52">
        <f>IF(AND(COUNTA($A34:$L34)&gt;0,$L34=""),1,0)</f>
        <v>0</v>
      </c>
      <c r="AS34" s="52">
        <f>IF(AND(COUNTA($A34:$L34)&gt;0,ISNUMBER($S34)),IF($S34&lt;0,1,0),0)</f>
        <v>0</v>
      </c>
      <c r="AT34" s="52">
        <f>$W34</f>
        <v>0</v>
      </c>
      <c r="AU34" s="52">
        <f>$AT34+$X34</f>
        <v>0</v>
      </c>
      <c r="AV34" s="52">
        <f>$AU34+$Y34</f>
        <v>0</v>
      </c>
      <c r="AW34" s="52">
        <f>$AV34+$Z34</f>
        <v>0</v>
      </c>
      <c r="AX34" s="52">
        <f>$AW34+$AA34</f>
        <v>0</v>
      </c>
      <c r="AY34" s="52">
        <f>$AX34+$AB34</f>
        <v>0</v>
      </c>
      <c r="AZ34" s="52">
        <f>$AY34+$AC34</f>
        <v>0</v>
      </c>
      <c r="BA34" s="52">
        <f>$AZ34+$AD34</f>
        <v>0</v>
      </c>
      <c r="BB34" s="52">
        <f>$BA34+$AE34</f>
        <v>0</v>
      </c>
      <c r="BC34" s="52">
        <f>$BB34+$AF34</f>
        <v>0</v>
      </c>
      <c r="BD34" s="52">
        <f>$BC34+$AG34</f>
        <v>0</v>
      </c>
      <c r="BE34" s="52">
        <f>$BD34+$AH34</f>
        <v>0</v>
      </c>
      <c r="BF34" s="52">
        <f>$BE34+$AI34</f>
        <v>0</v>
      </c>
      <c r="BG34" s="52">
        <f>$BF34+$AJ34</f>
        <v>0</v>
      </c>
      <c r="BH34" s="52">
        <f>$BG34+$AK34</f>
        <v>0</v>
      </c>
      <c r="BI34" s="52">
        <f>$BH34+$AL34</f>
        <v>0</v>
      </c>
      <c r="BJ34" s="52">
        <f>$BI34+$AM34</f>
        <v>0</v>
      </c>
      <c r="BK34" s="52">
        <f>$BJ34+$AN34</f>
        <v>0</v>
      </c>
      <c r="BL34" s="52">
        <f>$BK34+$AO34</f>
        <v>0</v>
      </c>
      <c r="BM34" s="52">
        <f>$BL34+$AP34</f>
        <v>0</v>
      </c>
      <c r="BN34" s="52">
        <f>$BM34+$AQ34</f>
        <v>0</v>
      </c>
      <c r="BO34" s="52">
        <f>$BN34+$AR34</f>
        <v>0</v>
      </c>
      <c r="BP34" s="52">
        <f>$BO34+$AS34</f>
        <v>0</v>
      </c>
      <c r="BQ34" s="52">
        <f>SUM($T$1:$T33)</f>
        <v>11</v>
      </c>
      <c r="BR34" s="52" t="str">
        <f>IF(ISNUMBER($T34),IF($T34&gt;0,COUNTIF($T$2:$T34,"&gt;0"),""),"")</f>
        <v/>
      </c>
      <c r="BS34" s="52" t="str">
        <f>IF($BR34="","",$BQ34+$T34)</f>
        <v/>
      </c>
      <c r="BT34" s="52" t="str">
        <f>IF($U34="Ready",COUNTIF($U$2:$U34,"Ready"),"")</f>
        <v/>
      </c>
      <c r="BU34" s="52">
        <f>IF(AND($U34="Ready",$C34="Receipt"),IF(COUNTIF(Batches!$A$2:$A$301,$F34)+COUNTIFS($F$1:$F33,$F34,$C$1:$C33,"Receipt",$U$1:$U33,"Ready")=0,1,0),0)</f>
        <v>0</v>
      </c>
      <c r="BV34" s="52" t="str">
        <f>IF($BU34=1,SUM($BU$2:$BU34),"")</f>
        <v/>
      </c>
    </row>
    <row r="35">
      <c r="A35" s="46" t="n"/>
      <c r="B35" s="46" t="n"/>
      <c r="C35" s="46" t="n"/>
      <c r="D35" s="46" t="n"/>
      <c r="E35" s="46" t="n"/>
      <c r="F35" s="46" t="n"/>
      <c r="G35" s="46" t="n"/>
      <c r="H35" s="46" t="n"/>
      <c r="I35" s="46" t="n"/>
      <c r="J35" s="46" t="n"/>
      <c r="K35" s="46" t="n"/>
      <c r="L35" s="46" t="n"/>
      <c r="M35" s="62" t="str">
        <f>IF($B35="","",IF(ISNUMBER($B35),$B35,IF(AND(LEN($B35)=10,MID($B35,5,1)="-",MID($B35,8,1)="-"),IFERROR(IF(AND(MONTH(DATE(VALUE(LEFT($B35,4)),VALUE(MID($B35,6,2)),VALUE(RIGHT($B35,2))))=VALUE(MID($B35,6,2)),DAY(DATE(VALUE(LEFT($B35,4)),VALUE(MID($B35,6,2)),VALUE(RIGHT($B35,2))))=VALUE(RIGHT($B35,2))),DATE(VALUE(LEFT($B35,4)),VALUE(MID($B35,6,2)),VALUE(RIGHT($B35,2))),"ERR"),"ERR"),"ERR")))</f>
        <v/>
      </c>
      <c r="N35" s="62" t="str">
        <f>IF($G35="","",IF(ISNUMBER($G35),$G35,IF(AND(LEN($G35)=10,MID($G35,5,1)="-",MID($G35,8,1)="-"),IFERROR(IF(AND(MONTH(DATE(VALUE(LEFT($G35,4)),VALUE(MID($G35,6,2)),VALUE(RIGHT($G35,2))))=VALUE(MID($G35,6,2)),DAY(DATE(VALUE(LEFT($G35,4)),VALUE(MID($G35,6,2)),VALUE(RIGHT($G35,2))))=VALUE(RIGHT($G35,2))),DATE(VALUE(LEFT($G35,4)),VALUE(MID($G35,6,2)),VALUE(RIGHT($G35,2))),"ERR"),"ERR"),"ERR")))</f>
        <v/>
      </c>
      <c r="O35" s="51" t="str">
        <f>IF($H35="","",IF(ISNUMBER($H35),$H35,IFERROR(VALUE($H35),"ERR")))</f>
        <v/>
      </c>
      <c r="P35" s="51" t="str">
        <f>IF(AND(ISNUMBER($O35),OR($C35="Receipt",$C35="Shipment",$C35="Adjustment")),IF($C35="Shipment",-$O35,$O35),"")</f>
        <v/>
      </c>
      <c r="Q35" s="51" t="str">
        <f>IF($D35="","",IFERROR(INDEX(Products!$R$2:$R$101,MATCH($D35,Products!$A$2:$A$101,0)),""))</f>
        <v/>
      </c>
      <c r="R35" s="51" t="str">
        <f>IF(OR($Q35="",$P35=""),"",$Q35+SUMIFS($P$1:$P34,$D$1:$D34,$D35,$U$1:$U34,"Ready"))</f>
        <v/>
      </c>
      <c r="S35" s="51" t="str">
        <f>IF($R35="","",$R35+$P35)</f>
        <v/>
      </c>
      <c r="T35" s="52" t="str">
        <f>IF(COUNTA($A35:$L35)&gt;0,$BP35,"")</f>
        <v/>
      </c>
      <c r="U35" s="49" t="str">
        <f>IF($T35="","",IF($T35=0,"Ready","Rejected"))</f>
        <v/>
      </c>
      <c r="V35" s="49" t="str">
        <f>IF(OR($T35="",$T35=0),"",INDEX(Config!$D$39:$D$61,MATCH(1,$AT35:$BP35,0))&amp;IF($T35&gt;1," (+"&amp;($T35-1)&amp;" more)",""))</f>
        <v/>
      </c>
      <c r="W35" s="52">
        <f>IF(AND(COUNTA($A35:$L35)&gt;0,$A35=""),1,0)</f>
        <v>0</v>
      </c>
      <c r="X35" s="52">
        <f>IF(AND(COUNTA($A35:$L35)&gt;0,$A35&lt;&gt;""),IF(COUNTIF($A$1:$A34,$A35)&gt;0,1,0),0)</f>
        <v>0</v>
      </c>
      <c r="Y35" s="52">
        <f>IF(AND(COUNTA($A35:$L35)&gt;0,$A35&lt;&gt;""),IF(COUNTIF(Inventory_Ledger!$A$2:$A$2001,$A35)&gt;0,1,0),0)</f>
        <v>0</v>
      </c>
      <c r="Z35" s="52">
        <f>IF(AND(COUNTA($A35:$L35)&gt;0,$B35=""),1,0)</f>
        <v>0</v>
      </c>
      <c r="AA35" s="52">
        <f>IF(AND(COUNTA($A35:$L35)&gt;0,$B35&lt;&gt;""),IF($M35="ERR",1,0),0)</f>
        <v>0</v>
      </c>
      <c r="AB35" s="52">
        <f>IF(AND(COUNTA($A35:$L35)&gt;0,ISNUMBER($M35)),IF($M35&gt;Config!$B$4,1,0),0)</f>
        <v>0</v>
      </c>
      <c r="AC35" s="52">
        <f>IF(AND(COUNTA($A35:$L35)&gt;0,$C35=""),1,0)</f>
        <v>0</v>
      </c>
      <c r="AD35" s="52">
        <f>IF(AND(COUNTA($A35:$L35)&gt;0,$C35&lt;&gt;""),IF(COUNTIF(Config!$A$15:$A$34,$C35)=0,1,0),0)</f>
        <v>0</v>
      </c>
      <c r="AE35" s="52">
        <f>IF(AND(COUNTA($A35:$L35)&gt;0,$D35=""),1,0)</f>
        <v>0</v>
      </c>
      <c r="AF35" s="52">
        <f>IF(AND(COUNTA($A35:$L35)&gt;0,$D35&lt;&gt;""),IF(COUNTIF(Products!$A$2:$A$101,$D35)=0,1,0),0)</f>
        <v>0</v>
      </c>
      <c r="AG35" s="52">
        <f>IF(AND(COUNTA($A35:$L35)&gt;0,$C35="Receipt",$E35=""),1,0)</f>
        <v>0</v>
      </c>
      <c r="AH35" s="52">
        <f>IF(AND(COUNTA($A35:$L35)&gt;0,$E35&lt;&gt;""),IF(COUNTIF(Suppliers!$A$2:$A$51,$E35)=0,1,0),0)</f>
        <v>0</v>
      </c>
      <c r="AI35" s="52">
        <f>IF(AND(COUNTA($A35:$L35)&gt;0,$F35=""),1,0)</f>
        <v>0</v>
      </c>
      <c r="AJ35" s="52">
        <f>IF(AND(COUNTA($A35:$L35)&gt;0,$F35&lt;&gt;"",$D35&lt;&gt;"",OR($C35="Shipment",$C35="Adjustment")),IF($AF35=1,0,IF(COUNTIFS(Batches!$A$2:$A$301,$F35,Batches!$B$2:$B$301,$D35)+COUNTIFS($F$1:$F34,$F35,$D$1:$D34,$D35,$C$1:$C34,"Receipt")=0,1,0)),0)</f>
        <v>0</v>
      </c>
      <c r="AK35" s="52">
        <f>IF(AND(COUNTA($A35:$L35)&gt;0,$C35="Receipt",$G35=""),1,0)</f>
        <v>0</v>
      </c>
      <c r="AL35" s="52">
        <f>IF(AND(COUNTA($A35:$L35)&gt;0,$G35&lt;&gt;""),IF($N35="ERR",1,0),0)</f>
        <v>0</v>
      </c>
      <c r="AM35" s="52">
        <f>IF(AND(COUNTA($A35:$L35)&gt;0,$H35=""),1,0)</f>
        <v>0</v>
      </c>
      <c r="AN35" s="52">
        <f>IF(AND(COUNTA($A35:$L35)&gt;0,$H35&lt;&gt;""),IF($O35="ERR",1,IF(INT($O35)&lt;&gt;$O35,1,IF(AND(OR($C35="Receipt",$C35="Shipment"),$O35&lt;=0),1,IF(AND($C35="Adjustment",$O35=0),1,0)))),0)</f>
        <v>0</v>
      </c>
      <c r="AO35" s="52">
        <f>IF(AND(COUNTA($A35:$L35)&gt;0,$C35="Receipt",$I35=""),1,0)</f>
        <v>0</v>
      </c>
      <c r="AP35" s="52">
        <f>IF(AND(COUNTA($A35:$L35)&gt;0,$I35&lt;&gt;""),IF(IFERROR(INDEX(Config!$G$15:$G$34,MATCH($I35,Config!$E$15:$E$34,0)),"No")="Yes",0,1),0)</f>
        <v>0</v>
      </c>
      <c r="AQ35" s="52">
        <f>IF(AND(COUNTA($A35:$L35)&gt;0,$C35="Adjustment",$J35=""),1,0)</f>
        <v>0</v>
      </c>
      <c r="AR35" s="52">
        <f>IF(AND(COUNTA($A35:$L35)&gt;0,$L35=""),1,0)</f>
        <v>0</v>
      </c>
      <c r="AS35" s="52">
        <f>IF(AND(COUNTA($A35:$L35)&gt;0,ISNUMBER($S35)),IF($S35&lt;0,1,0),0)</f>
        <v>0</v>
      </c>
      <c r="AT35" s="52">
        <f>$W35</f>
        <v>0</v>
      </c>
      <c r="AU35" s="52">
        <f>$AT35+$X35</f>
        <v>0</v>
      </c>
      <c r="AV35" s="52">
        <f>$AU35+$Y35</f>
        <v>0</v>
      </c>
      <c r="AW35" s="52">
        <f>$AV35+$Z35</f>
        <v>0</v>
      </c>
      <c r="AX35" s="52">
        <f>$AW35+$AA35</f>
        <v>0</v>
      </c>
      <c r="AY35" s="52">
        <f>$AX35+$AB35</f>
        <v>0</v>
      </c>
      <c r="AZ35" s="52">
        <f>$AY35+$AC35</f>
        <v>0</v>
      </c>
      <c r="BA35" s="52">
        <f>$AZ35+$AD35</f>
        <v>0</v>
      </c>
      <c r="BB35" s="52">
        <f>$BA35+$AE35</f>
        <v>0</v>
      </c>
      <c r="BC35" s="52">
        <f>$BB35+$AF35</f>
        <v>0</v>
      </c>
      <c r="BD35" s="52">
        <f>$BC35+$AG35</f>
        <v>0</v>
      </c>
      <c r="BE35" s="52">
        <f>$BD35+$AH35</f>
        <v>0</v>
      </c>
      <c r="BF35" s="52">
        <f>$BE35+$AI35</f>
        <v>0</v>
      </c>
      <c r="BG35" s="52">
        <f>$BF35+$AJ35</f>
        <v>0</v>
      </c>
      <c r="BH35" s="52">
        <f>$BG35+$AK35</f>
        <v>0</v>
      </c>
      <c r="BI35" s="52">
        <f>$BH35+$AL35</f>
        <v>0</v>
      </c>
      <c r="BJ35" s="52">
        <f>$BI35+$AM35</f>
        <v>0</v>
      </c>
      <c r="BK35" s="52">
        <f>$BJ35+$AN35</f>
        <v>0</v>
      </c>
      <c r="BL35" s="52">
        <f>$BK35+$AO35</f>
        <v>0</v>
      </c>
      <c r="BM35" s="52">
        <f>$BL35+$AP35</f>
        <v>0</v>
      </c>
      <c r="BN35" s="52">
        <f>$BM35+$AQ35</f>
        <v>0</v>
      </c>
      <c r="BO35" s="52">
        <f>$BN35+$AR35</f>
        <v>0</v>
      </c>
      <c r="BP35" s="52">
        <f>$BO35+$AS35</f>
        <v>0</v>
      </c>
      <c r="BQ35" s="52">
        <f>SUM($T$1:$T34)</f>
        <v>11</v>
      </c>
      <c r="BR35" s="52" t="str">
        <f>IF(ISNUMBER($T35),IF($T35&gt;0,COUNTIF($T$2:$T35,"&gt;0"),""),"")</f>
        <v/>
      </c>
      <c r="BS35" s="52" t="str">
        <f>IF($BR35="","",$BQ35+$T35)</f>
        <v/>
      </c>
      <c r="BT35" s="52" t="str">
        <f>IF($U35="Ready",COUNTIF($U$2:$U35,"Ready"),"")</f>
        <v/>
      </c>
      <c r="BU35" s="52">
        <f>IF(AND($U35="Ready",$C35="Receipt"),IF(COUNTIF(Batches!$A$2:$A$301,$F35)+COUNTIFS($F$1:$F34,$F35,$C$1:$C34,"Receipt",$U$1:$U34,"Ready")=0,1,0),0)</f>
        <v>0</v>
      </c>
      <c r="BV35" s="52" t="str">
        <f>IF($BU35=1,SUM($BU$2:$BU35),"")</f>
        <v/>
      </c>
    </row>
    <row r="36">
      <c r="A36" s="46" t="n"/>
      <c r="B36" s="46" t="n"/>
      <c r="C36" s="46" t="n"/>
      <c r="D36" s="46" t="n"/>
      <c r="E36" s="46" t="n"/>
      <c r="F36" s="46" t="n"/>
      <c r="G36" s="46" t="n"/>
      <c r="H36" s="46" t="n"/>
      <c r="I36" s="46" t="n"/>
      <c r="J36" s="46" t="n"/>
      <c r="K36" s="46" t="n"/>
      <c r="L36" s="46" t="n"/>
      <c r="M36" s="62" t="str">
        <f>IF($B36="","",IF(ISNUMBER($B36),$B36,IF(AND(LEN($B36)=10,MID($B36,5,1)="-",MID($B36,8,1)="-"),IFERROR(IF(AND(MONTH(DATE(VALUE(LEFT($B36,4)),VALUE(MID($B36,6,2)),VALUE(RIGHT($B36,2))))=VALUE(MID($B36,6,2)),DAY(DATE(VALUE(LEFT($B36,4)),VALUE(MID($B36,6,2)),VALUE(RIGHT($B36,2))))=VALUE(RIGHT($B36,2))),DATE(VALUE(LEFT($B36,4)),VALUE(MID($B36,6,2)),VALUE(RIGHT($B36,2))),"ERR"),"ERR"),"ERR")))</f>
        <v/>
      </c>
      <c r="N36" s="62" t="str">
        <f>IF($G36="","",IF(ISNUMBER($G36),$G36,IF(AND(LEN($G36)=10,MID($G36,5,1)="-",MID($G36,8,1)="-"),IFERROR(IF(AND(MONTH(DATE(VALUE(LEFT($G36,4)),VALUE(MID($G36,6,2)),VALUE(RIGHT($G36,2))))=VALUE(MID($G36,6,2)),DAY(DATE(VALUE(LEFT($G36,4)),VALUE(MID($G36,6,2)),VALUE(RIGHT($G36,2))))=VALUE(RIGHT($G36,2))),DATE(VALUE(LEFT($G36,4)),VALUE(MID($G36,6,2)),VALUE(RIGHT($G36,2))),"ERR"),"ERR"),"ERR")))</f>
        <v/>
      </c>
      <c r="O36" s="51" t="str">
        <f>IF($H36="","",IF(ISNUMBER($H36),$H36,IFERROR(VALUE($H36),"ERR")))</f>
        <v/>
      </c>
      <c r="P36" s="51" t="str">
        <f>IF(AND(ISNUMBER($O36),OR($C36="Receipt",$C36="Shipment",$C36="Adjustment")),IF($C36="Shipment",-$O36,$O36),"")</f>
        <v/>
      </c>
      <c r="Q36" s="51" t="str">
        <f>IF($D36="","",IFERROR(INDEX(Products!$R$2:$R$101,MATCH($D36,Products!$A$2:$A$101,0)),""))</f>
        <v/>
      </c>
      <c r="R36" s="51" t="str">
        <f>IF(OR($Q36="",$P36=""),"",$Q36+SUMIFS($P$1:$P35,$D$1:$D35,$D36,$U$1:$U35,"Ready"))</f>
        <v/>
      </c>
      <c r="S36" s="51" t="str">
        <f>IF($R36="","",$R36+$P36)</f>
        <v/>
      </c>
      <c r="T36" s="52" t="str">
        <f>IF(COUNTA($A36:$L36)&gt;0,$BP36,"")</f>
        <v/>
      </c>
      <c r="U36" s="49" t="str">
        <f>IF($T36="","",IF($T36=0,"Ready","Rejected"))</f>
        <v/>
      </c>
      <c r="V36" s="49" t="str">
        <f>IF(OR($T36="",$T36=0),"",INDEX(Config!$D$39:$D$61,MATCH(1,$AT36:$BP36,0))&amp;IF($T36&gt;1," (+"&amp;($T36-1)&amp;" more)",""))</f>
        <v/>
      </c>
      <c r="W36" s="52">
        <f>IF(AND(COUNTA($A36:$L36)&gt;0,$A36=""),1,0)</f>
        <v>0</v>
      </c>
      <c r="X36" s="52">
        <f>IF(AND(COUNTA($A36:$L36)&gt;0,$A36&lt;&gt;""),IF(COUNTIF($A$1:$A35,$A36)&gt;0,1,0),0)</f>
        <v>0</v>
      </c>
      <c r="Y36" s="52">
        <f>IF(AND(COUNTA($A36:$L36)&gt;0,$A36&lt;&gt;""),IF(COUNTIF(Inventory_Ledger!$A$2:$A$2001,$A36)&gt;0,1,0),0)</f>
        <v>0</v>
      </c>
      <c r="Z36" s="52">
        <f>IF(AND(COUNTA($A36:$L36)&gt;0,$B36=""),1,0)</f>
        <v>0</v>
      </c>
      <c r="AA36" s="52">
        <f>IF(AND(COUNTA($A36:$L36)&gt;0,$B36&lt;&gt;""),IF($M36="ERR",1,0),0)</f>
        <v>0</v>
      </c>
      <c r="AB36" s="52">
        <f>IF(AND(COUNTA($A36:$L36)&gt;0,ISNUMBER($M36)),IF($M36&gt;Config!$B$4,1,0),0)</f>
        <v>0</v>
      </c>
      <c r="AC36" s="52">
        <f>IF(AND(COUNTA($A36:$L36)&gt;0,$C36=""),1,0)</f>
        <v>0</v>
      </c>
      <c r="AD36" s="52">
        <f>IF(AND(COUNTA($A36:$L36)&gt;0,$C36&lt;&gt;""),IF(COUNTIF(Config!$A$15:$A$34,$C36)=0,1,0),0)</f>
        <v>0</v>
      </c>
      <c r="AE36" s="52">
        <f>IF(AND(COUNTA($A36:$L36)&gt;0,$D36=""),1,0)</f>
        <v>0</v>
      </c>
      <c r="AF36" s="52">
        <f>IF(AND(COUNTA($A36:$L36)&gt;0,$D36&lt;&gt;""),IF(COUNTIF(Products!$A$2:$A$101,$D36)=0,1,0),0)</f>
        <v>0</v>
      </c>
      <c r="AG36" s="52">
        <f>IF(AND(COUNTA($A36:$L36)&gt;0,$C36="Receipt",$E36=""),1,0)</f>
        <v>0</v>
      </c>
      <c r="AH36" s="52">
        <f>IF(AND(COUNTA($A36:$L36)&gt;0,$E36&lt;&gt;""),IF(COUNTIF(Suppliers!$A$2:$A$51,$E36)=0,1,0),0)</f>
        <v>0</v>
      </c>
      <c r="AI36" s="52">
        <f>IF(AND(COUNTA($A36:$L36)&gt;0,$F36=""),1,0)</f>
        <v>0</v>
      </c>
      <c r="AJ36" s="52">
        <f>IF(AND(COUNTA($A36:$L36)&gt;0,$F36&lt;&gt;"",$D36&lt;&gt;"",OR($C36="Shipment",$C36="Adjustment")),IF($AF36=1,0,IF(COUNTIFS(Batches!$A$2:$A$301,$F36,Batches!$B$2:$B$301,$D36)+COUNTIFS($F$1:$F35,$F36,$D$1:$D35,$D36,$C$1:$C35,"Receipt")=0,1,0)),0)</f>
        <v>0</v>
      </c>
      <c r="AK36" s="52">
        <f>IF(AND(COUNTA($A36:$L36)&gt;0,$C36="Receipt",$G36=""),1,0)</f>
        <v>0</v>
      </c>
      <c r="AL36" s="52">
        <f>IF(AND(COUNTA($A36:$L36)&gt;0,$G36&lt;&gt;""),IF($N36="ERR",1,0),0)</f>
        <v>0</v>
      </c>
      <c r="AM36" s="52">
        <f>IF(AND(COUNTA($A36:$L36)&gt;0,$H36=""),1,0)</f>
        <v>0</v>
      </c>
      <c r="AN36" s="52">
        <f>IF(AND(COUNTA($A36:$L36)&gt;0,$H36&lt;&gt;""),IF($O36="ERR",1,IF(INT($O36)&lt;&gt;$O36,1,IF(AND(OR($C36="Receipt",$C36="Shipment"),$O36&lt;=0),1,IF(AND($C36="Adjustment",$O36=0),1,0)))),0)</f>
        <v>0</v>
      </c>
      <c r="AO36" s="52">
        <f>IF(AND(COUNTA($A36:$L36)&gt;0,$C36="Receipt",$I36=""),1,0)</f>
        <v>0</v>
      </c>
      <c r="AP36" s="52">
        <f>IF(AND(COUNTA($A36:$L36)&gt;0,$I36&lt;&gt;""),IF(IFERROR(INDEX(Config!$G$15:$G$34,MATCH($I36,Config!$E$15:$E$34,0)),"No")="Yes",0,1),0)</f>
        <v>0</v>
      </c>
      <c r="AQ36" s="52">
        <f>IF(AND(COUNTA($A36:$L36)&gt;0,$C36="Adjustment",$J36=""),1,0)</f>
        <v>0</v>
      </c>
      <c r="AR36" s="52">
        <f>IF(AND(COUNTA($A36:$L36)&gt;0,$L36=""),1,0)</f>
        <v>0</v>
      </c>
      <c r="AS36" s="52">
        <f>IF(AND(COUNTA($A36:$L36)&gt;0,ISNUMBER($S36)),IF($S36&lt;0,1,0),0)</f>
        <v>0</v>
      </c>
      <c r="AT36" s="52">
        <f>$W36</f>
        <v>0</v>
      </c>
      <c r="AU36" s="52">
        <f>$AT36+$X36</f>
        <v>0</v>
      </c>
      <c r="AV36" s="52">
        <f>$AU36+$Y36</f>
        <v>0</v>
      </c>
      <c r="AW36" s="52">
        <f>$AV36+$Z36</f>
        <v>0</v>
      </c>
      <c r="AX36" s="52">
        <f>$AW36+$AA36</f>
        <v>0</v>
      </c>
      <c r="AY36" s="52">
        <f>$AX36+$AB36</f>
        <v>0</v>
      </c>
      <c r="AZ36" s="52">
        <f>$AY36+$AC36</f>
        <v>0</v>
      </c>
      <c r="BA36" s="52">
        <f>$AZ36+$AD36</f>
        <v>0</v>
      </c>
      <c r="BB36" s="52">
        <f>$BA36+$AE36</f>
        <v>0</v>
      </c>
      <c r="BC36" s="52">
        <f>$BB36+$AF36</f>
        <v>0</v>
      </c>
      <c r="BD36" s="52">
        <f>$BC36+$AG36</f>
        <v>0</v>
      </c>
      <c r="BE36" s="52">
        <f>$BD36+$AH36</f>
        <v>0</v>
      </c>
      <c r="BF36" s="52">
        <f>$BE36+$AI36</f>
        <v>0</v>
      </c>
      <c r="BG36" s="52">
        <f>$BF36+$AJ36</f>
        <v>0</v>
      </c>
      <c r="BH36" s="52">
        <f>$BG36+$AK36</f>
        <v>0</v>
      </c>
      <c r="BI36" s="52">
        <f>$BH36+$AL36</f>
        <v>0</v>
      </c>
      <c r="BJ36" s="52">
        <f>$BI36+$AM36</f>
        <v>0</v>
      </c>
      <c r="BK36" s="52">
        <f>$BJ36+$AN36</f>
        <v>0</v>
      </c>
      <c r="BL36" s="52">
        <f>$BK36+$AO36</f>
        <v>0</v>
      </c>
      <c r="BM36" s="52">
        <f>$BL36+$AP36</f>
        <v>0</v>
      </c>
      <c r="BN36" s="52">
        <f>$BM36+$AQ36</f>
        <v>0</v>
      </c>
      <c r="BO36" s="52">
        <f>$BN36+$AR36</f>
        <v>0</v>
      </c>
      <c r="BP36" s="52">
        <f>$BO36+$AS36</f>
        <v>0</v>
      </c>
      <c r="BQ36" s="52">
        <f>SUM($T$1:$T35)</f>
        <v>11</v>
      </c>
      <c r="BR36" s="52" t="str">
        <f>IF(ISNUMBER($T36),IF($T36&gt;0,COUNTIF($T$2:$T36,"&gt;0"),""),"")</f>
        <v/>
      </c>
      <c r="BS36" s="52" t="str">
        <f>IF($BR36="","",$BQ36+$T36)</f>
        <v/>
      </c>
      <c r="BT36" s="52" t="str">
        <f>IF($U36="Ready",COUNTIF($U$2:$U36,"Ready"),"")</f>
        <v/>
      </c>
      <c r="BU36" s="52">
        <f>IF(AND($U36="Ready",$C36="Receipt"),IF(COUNTIF(Batches!$A$2:$A$301,$F36)+COUNTIFS($F$1:$F35,$F36,$C$1:$C35,"Receipt",$U$1:$U35,"Ready")=0,1,0),0)</f>
        <v>0</v>
      </c>
      <c r="BV36" s="52" t="str">
        <f>IF($BU36=1,SUM($BU$2:$BU36),"")</f>
        <v/>
      </c>
    </row>
    <row r="37">
      <c r="A37" s="46" t="n"/>
      <c r="B37" s="46" t="n"/>
      <c r="C37" s="46" t="n"/>
      <c r="D37" s="46" t="n"/>
      <c r="E37" s="46" t="n"/>
      <c r="F37" s="46" t="n"/>
      <c r="G37" s="46" t="n"/>
      <c r="H37" s="46" t="n"/>
      <c r="I37" s="46" t="n"/>
      <c r="J37" s="46" t="n"/>
      <c r="K37" s="46" t="n"/>
      <c r="L37" s="46" t="n"/>
      <c r="M37" s="62" t="str">
        <f>IF($B37="","",IF(ISNUMBER($B37),$B37,IF(AND(LEN($B37)=10,MID($B37,5,1)="-",MID($B37,8,1)="-"),IFERROR(IF(AND(MONTH(DATE(VALUE(LEFT($B37,4)),VALUE(MID($B37,6,2)),VALUE(RIGHT($B37,2))))=VALUE(MID($B37,6,2)),DAY(DATE(VALUE(LEFT($B37,4)),VALUE(MID($B37,6,2)),VALUE(RIGHT($B37,2))))=VALUE(RIGHT($B37,2))),DATE(VALUE(LEFT($B37,4)),VALUE(MID($B37,6,2)),VALUE(RIGHT($B37,2))),"ERR"),"ERR"),"ERR")))</f>
        <v/>
      </c>
      <c r="N37" s="62" t="str">
        <f>IF($G37="","",IF(ISNUMBER($G37),$G37,IF(AND(LEN($G37)=10,MID($G37,5,1)="-",MID($G37,8,1)="-"),IFERROR(IF(AND(MONTH(DATE(VALUE(LEFT($G37,4)),VALUE(MID($G37,6,2)),VALUE(RIGHT($G37,2))))=VALUE(MID($G37,6,2)),DAY(DATE(VALUE(LEFT($G37,4)),VALUE(MID($G37,6,2)),VALUE(RIGHT($G37,2))))=VALUE(RIGHT($G37,2))),DATE(VALUE(LEFT($G37,4)),VALUE(MID($G37,6,2)),VALUE(RIGHT($G37,2))),"ERR"),"ERR"),"ERR")))</f>
        <v/>
      </c>
      <c r="O37" s="51" t="str">
        <f>IF($H37="","",IF(ISNUMBER($H37),$H37,IFERROR(VALUE($H37),"ERR")))</f>
        <v/>
      </c>
      <c r="P37" s="51" t="str">
        <f>IF(AND(ISNUMBER($O37),OR($C37="Receipt",$C37="Shipment",$C37="Adjustment")),IF($C37="Shipment",-$O37,$O37),"")</f>
        <v/>
      </c>
      <c r="Q37" s="51" t="str">
        <f>IF($D37="","",IFERROR(INDEX(Products!$R$2:$R$101,MATCH($D37,Products!$A$2:$A$101,0)),""))</f>
        <v/>
      </c>
      <c r="R37" s="51" t="str">
        <f>IF(OR($Q37="",$P37=""),"",$Q37+SUMIFS($P$1:$P36,$D$1:$D36,$D37,$U$1:$U36,"Ready"))</f>
        <v/>
      </c>
      <c r="S37" s="51" t="str">
        <f>IF($R37="","",$R37+$P37)</f>
        <v/>
      </c>
      <c r="T37" s="52" t="str">
        <f>IF(COUNTA($A37:$L37)&gt;0,$BP37,"")</f>
        <v/>
      </c>
      <c r="U37" s="49" t="str">
        <f>IF($T37="","",IF($T37=0,"Ready","Rejected"))</f>
        <v/>
      </c>
      <c r="V37" s="49" t="str">
        <f>IF(OR($T37="",$T37=0),"",INDEX(Config!$D$39:$D$61,MATCH(1,$AT37:$BP37,0))&amp;IF($T37&gt;1," (+"&amp;($T37-1)&amp;" more)",""))</f>
        <v/>
      </c>
      <c r="W37" s="52">
        <f>IF(AND(COUNTA($A37:$L37)&gt;0,$A37=""),1,0)</f>
        <v>0</v>
      </c>
      <c r="X37" s="52">
        <f>IF(AND(COUNTA($A37:$L37)&gt;0,$A37&lt;&gt;""),IF(COUNTIF($A$1:$A36,$A37)&gt;0,1,0),0)</f>
        <v>0</v>
      </c>
      <c r="Y37" s="52">
        <f>IF(AND(COUNTA($A37:$L37)&gt;0,$A37&lt;&gt;""),IF(COUNTIF(Inventory_Ledger!$A$2:$A$2001,$A37)&gt;0,1,0),0)</f>
        <v>0</v>
      </c>
      <c r="Z37" s="52">
        <f>IF(AND(COUNTA($A37:$L37)&gt;0,$B37=""),1,0)</f>
        <v>0</v>
      </c>
      <c r="AA37" s="52">
        <f>IF(AND(COUNTA($A37:$L37)&gt;0,$B37&lt;&gt;""),IF($M37="ERR",1,0),0)</f>
        <v>0</v>
      </c>
      <c r="AB37" s="52">
        <f>IF(AND(COUNTA($A37:$L37)&gt;0,ISNUMBER($M37)),IF($M37&gt;Config!$B$4,1,0),0)</f>
        <v>0</v>
      </c>
      <c r="AC37" s="52">
        <f>IF(AND(COUNTA($A37:$L37)&gt;0,$C37=""),1,0)</f>
        <v>0</v>
      </c>
      <c r="AD37" s="52">
        <f>IF(AND(COUNTA($A37:$L37)&gt;0,$C37&lt;&gt;""),IF(COUNTIF(Config!$A$15:$A$34,$C37)=0,1,0),0)</f>
        <v>0</v>
      </c>
      <c r="AE37" s="52">
        <f>IF(AND(COUNTA($A37:$L37)&gt;0,$D37=""),1,0)</f>
        <v>0</v>
      </c>
      <c r="AF37" s="52">
        <f>IF(AND(COUNTA($A37:$L37)&gt;0,$D37&lt;&gt;""),IF(COUNTIF(Products!$A$2:$A$101,$D37)=0,1,0),0)</f>
        <v>0</v>
      </c>
      <c r="AG37" s="52">
        <f>IF(AND(COUNTA($A37:$L37)&gt;0,$C37="Receipt",$E37=""),1,0)</f>
        <v>0</v>
      </c>
      <c r="AH37" s="52">
        <f>IF(AND(COUNTA($A37:$L37)&gt;0,$E37&lt;&gt;""),IF(COUNTIF(Suppliers!$A$2:$A$51,$E37)=0,1,0),0)</f>
        <v>0</v>
      </c>
      <c r="AI37" s="52">
        <f>IF(AND(COUNTA($A37:$L37)&gt;0,$F37=""),1,0)</f>
        <v>0</v>
      </c>
      <c r="AJ37" s="52">
        <f>IF(AND(COUNTA($A37:$L37)&gt;0,$F37&lt;&gt;"",$D37&lt;&gt;"",OR($C37="Shipment",$C37="Adjustment")),IF($AF37=1,0,IF(COUNTIFS(Batches!$A$2:$A$301,$F37,Batches!$B$2:$B$301,$D37)+COUNTIFS($F$1:$F36,$F37,$D$1:$D36,$D37,$C$1:$C36,"Receipt")=0,1,0)),0)</f>
        <v>0</v>
      </c>
      <c r="AK37" s="52">
        <f>IF(AND(COUNTA($A37:$L37)&gt;0,$C37="Receipt",$G37=""),1,0)</f>
        <v>0</v>
      </c>
      <c r="AL37" s="52">
        <f>IF(AND(COUNTA($A37:$L37)&gt;0,$G37&lt;&gt;""),IF($N37="ERR",1,0),0)</f>
        <v>0</v>
      </c>
      <c r="AM37" s="52">
        <f>IF(AND(COUNTA($A37:$L37)&gt;0,$H37=""),1,0)</f>
        <v>0</v>
      </c>
      <c r="AN37" s="52">
        <f>IF(AND(COUNTA($A37:$L37)&gt;0,$H37&lt;&gt;""),IF($O37="ERR",1,IF(INT($O37)&lt;&gt;$O37,1,IF(AND(OR($C37="Receipt",$C37="Shipment"),$O37&lt;=0),1,IF(AND($C37="Adjustment",$O37=0),1,0)))),0)</f>
        <v>0</v>
      </c>
      <c r="AO37" s="52">
        <f>IF(AND(COUNTA($A37:$L37)&gt;0,$C37="Receipt",$I37=""),1,0)</f>
        <v>0</v>
      </c>
      <c r="AP37" s="52">
        <f>IF(AND(COUNTA($A37:$L37)&gt;0,$I37&lt;&gt;""),IF(IFERROR(INDEX(Config!$G$15:$G$34,MATCH($I37,Config!$E$15:$E$34,0)),"No")="Yes",0,1),0)</f>
        <v>0</v>
      </c>
      <c r="AQ37" s="52">
        <f>IF(AND(COUNTA($A37:$L37)&gt;0,$C37="Adjustment",$J37=""),1,0)</f>
        <v>0</v>
      </c>
      <c r="AR37" s="52">
        <f>IF(AND(COUNTA($A37:$L37)&gt;0,$L37=""),1,0)</f>
        <v>0</v>
      </c>
      <c r="AS37" s="52">
        <f>IF(AND(COUNTA($A37:$L37)&gt;0,ISNUMBER($S37)),IF($S37&lt;0,1,0),0)</f>
        <v>0</v>
      </c>
      <c r="AT37" s="52">
        <f>$W37</f>
        <v>0</v>
      </c>
      <c r="AU37" s="52">
        <f>$AT37+$X37</f>
        <v>0</v>
      </c>
      <c r="AV37" s="52">
        <f>$AU37+$Y37</f>
        <v>0</v>
      </c>
      <c r="AW37" s="52">
        <f>$AV37+$Z37</f>
        <v>0</v>
      </c>
      <c r="AX37" s="52">
        <f>$AW37+$AA37</f>
        <v>0</v>
      </c>
      <c r="AY37" s="52">
        <f>$AX37+$AB37</f>
        <v>0</v>
      </c>
      <c r="AZ37" s="52">
        <f>$AY37+$AC37</f>
        <v>0</v>
      </c>
      <c r="BA37" s="52">
        <f>$AZ37+$AD37</f>
        <v>0</v>
      </c>
      <c r="BB37" s="52">
        <f>$BA37+$AE37</f>
        <v>0</v>
      </c>
      <c r="BC37" s="52">
        <f>$BB37+$AF37</f>
        <v>0</v>
      </c>
      <c r="BD37" s="52">
        <f>$BC37+$AG37</f>
        <v>0</v>
      </c>
      <c r="BE37" s="52">
        <f>$BD37+$AH37</f>
        <v>0</v>
      </c>
      <c r="BF37" s="52">
        <f>$BE37+$AI37</f>
        <v>0</v>
      </c>
      <c r="BG37" s="52">
        <f>$BF37+$AJ37</f>
        <v>0</v>
      </c>
      <c r="BH37" s="52">
        <f>$BG37+$AK37</f>
        <v>0</v>
      </c>
      <c r="BI37" s="52">
        <f>$BH37+$AL37</f>
        <v>0</v>
      </c>
      <c r="BJ37" s="52">
        <f>$BI37+$AM37</f>
        <v>0</v>
      </c>
      <c r="BK37" s="52">
        <f>$BJ37+$AN37</f>
        <v>0</v>
      </c>
      <c r="BL37" s="52">
        <f>$BK37+$AO37</f>
        <v>0</v>
      </c>
      <c r="BM37" s="52">
        <f>$BL37+$AP37</f>
        <v>0</v>
      </c>
      <c r="BN37" s="52">
        <f>$BM37+$AQ37</f>
        <v>0</v>
      </c>
      <c r="BO37" s="52">
        <f>$BN37+$AR37</f>
        <v>0</v>
      </c>
      <c r="BP37" s="52">
        <f>$BO37+$AS37</f>
        <v>0</v>
      </c>
      <c r="BQ37" s="52">
        <f>SUM($T$1:$T36)</f>
        <v>11</v>
      </c>
      <c r="BR37" s="52" t="str">
        <f>IF(ISNUMBER($T37),IF($T37&gt;0,COUNTIF($T$2:$T37,"&gt;0"),""),"")</f>
        <v/>
      </c>
      <c r="BS37" s="52" t="str">
        <f>IF($BR37="","",$BQ37+$T37)</f>
        <v/>
      </c>
      <c r="BT37" s="52" t="str">
        <f>IF($U37="Ready",COUNTIF($U$2:$U37,"Ready"),"")</f>
        <v/>
      </c>
      <c r="BU37" s="52">
        <f>IF(AND($U37="Ready",$C37="Receipt"),IF(COUNTIF(Batches!$A$2:$A$301,$F37)+COUNTIFS($F$1:$F36,$F37,$C$1:$C36,"Receipt",$U$1:$U36,"Ready")=0,1,0),0)</f>
        <v>0</v>
      </c>
      <c r="BV37" s="52" t="str">
        <f>IF($BU37=1,SUM($BU$2:$BU37),"")</f>
        <v/>
      </c>
    </row>
    <row r="38">
      <c r="A38" s="46" t="n"/>
      <c r="B38" s="46" t="n"/>
      <c r="C38" s="46" t="n"/>
      <c r="D38" s="46" t="n"/>
      <c r="E38" s="46" t="n"/>
      <c r="F38" s="46" t="n"/>
      <c r="G38" s="46" t="n"/>
      <c r="H38" s="46" t="n"/>
      <c r="I38" s="46" t="n"/>
      <c r="J38" s="46" t="n"/>
      <c r="K38" s="46" t="n"/>
      <c r="L38" s="46" t="n"/>
      <c r="M38" s="62" t="str">
        <f>IF($B38="","",IF(ISNUMBER($B38),$B38,IF(AND(LEN($B38)=10,MID($B38,5,1)="-",MID($B38,8,1)="-"),IFERROR(IF(AND(MONTH(DATE(VALUE(LEFT($B38,4)),VALUE(MID($B38,6,2)),VALUE(RIGHT($B38,2))))=VALUE(MID($B38,6,2)),DAY(DATE(VALUE(LEFT($B38,4)),VALUE(MID($B38,6,2)),VALUE(RIGHT($B38,2))))=VALUE(RIGHT($B38,2))),DATE(VALUE(LEFT($B38,4)),VALUE(MID($B38,6,2)),VALUE(RIGHT($B38,2))),"ERR"),"ERR"),"ERR")))</f>
        <v/>
      </c>
      <c r="N38" s="62" t="str">
        <f>IF($G38="","",IF(ISNUMBER($G38),$G38,IF(AND(LEN($G38)=10,MID($G38,5,1)="-",MID($G38,8,1)="-"),IFERROR(IF(AND(MONTH(DATE(VALUE(LEFT($G38,4)),VALUE(MID($G38,6,2)),VALUE(RIGHT($G38,2))))=VALUE(MID($G38,6,2)),DAY(DATE(VALUE(LEFT($G38,4)),VALUE(MID($G38,6,2)),VALUE(RIGHT($G38,2))))=VALUE(RIGHT($G38,2))),DATE(VALUE(LEFT($G38,4)),VALUE(MID($G38,6,2)),VALUE(RIGHT($G38,2))),"ERR"),"ERR"),"ERR")))</f>
        <v/>
      </c>
      <c r="O38" s="51" t="str">
        <f>IF($H38="","",IF(ISNUMBER($H38),$H38,IFERROR(VALUE($H38),"ERR")))</f>
        <v/>
      </c>
      <c r="P38" s="51" t="str">
        <f>IF(AND(ISNUMBER($O38),OR($C38="Receipt",$C38="Shipment",$C38="Adjustment")),IF($C38="Shipment",-$O38,$O38),"")</f>
        <v/>
      </c>
      <c r="Q38" s="51" t="str">
        <f>IF($D38="","",IFERROR(INDEX(Products!$R$2:$R$101,MATCH($D38,Products!$A$2:$A$101,0)),""))</f>
        <v/>
      </c>
      <c r="R38" s="51" t="str">
        <f>IF(OR($Q38="",$P38=""),"",$Q38+SUMIFS($P$1:$P37,$D$1:$D37,$D38,$U$1:$U37,"Ready"))</f>
        <v/>
      </c>
      <c r="S38" s="51" t="str">
        <f>IF($R38="","",$R38+$P38)</f>
        <v/>
      </c>
      <c r="T38" s="52" t="str">
        <f>IF(COUNTA($A38:$L38)&gt;0,$BP38,"")</f>
        <v/>
      </c>
      <c r="U38" s="49" t="str">
        <f>IF($T38="","",IF($T38=0,"Ready","Rejected"))</f>
        <v/>
      </c>
      <c r="V38" s="49" t="str">
        <f>IF(OR($T38="",$T38=0),"",INDEX(Config!$D$39:$D$61,MATCH(1,$AT38:$BP38,0))&amp;IF($T38&gt;1," (+"&amp;($T38-1)&amp;" more)",""))</f>
        <v/>
      </c>
      <c r="W38" s="52">
        <f>IF(AND(COUNTA($A38:$L38)&gt;0,$A38=""),1,0)</f>
        <v>0</v>
      </c>
      <c r="X38" s="52">
        <f>IF(AND(COUNTA($A38:$L38)&gt;0,$A38&lt;&gt;""),IF(COUNTIF($A$1:$A37,$A38)&gt;0,1,0),0)</f>
        <v>0</v>
      </c>
      <c r="Y38" s="52">
        <f>IF(AND(COUNTA($A38:$L38)&gt;0,$A38&lt;&gt;""),IF(COUNTIF(Inventory_Ledger!$A$2:$A$2001,$A38)&gt;0,1,0),0)</f>
        <v>0</v>
      </c>
      <c r="Z38" s="52">
        <f>IF(AND(COUNTA($A38:$L38)&gt;0,$B38=""),1,0)</f>
        <v>0</v>
      </c>
      <c r="AA38" s="52">
        <f>IF(AND(COUNTA($A38:$L38)&gt;0,$B38&lt;&gt;""),IF($M38="ERR",1,0),0)</f>
        <v>0</v>
      </c>
      <c r="AB38" s="52">
        <f>IF(AND(COUNTA($A38:$L38)&gt;0,ISNUMBER($M38)),IF($M38&gt;Config!$B$4,1,0),0)</f>
        <v>0</v>
      </c>
      <c r="AC38" s="52">
        <f>IF(AND(COUNTA($A38:$L38)&gt;0,$C38=""),1,0)</f>
        <v>0</v>
      </c>
      <c r="AD38" s="52">
        <f>IF(AND(COUNTA($A38:$L38)&gt;0,$C38&lt;&gt;""),IF(COUNTIF(Config!$A$15:$A$34,$C38)=0,1,0),0)</f>
        <v>0</v>
      </c>
      <c r="AE38" s="52">
        <f>IF(AND(COUNTA($A38:$L38)&gt;0,$D38=""),1,0)</f>
        <v>0</v>
      </c>
      <c r="AF38" s="52">
        <f>IF(AND(COUNTA($A38:$L38)&gt;0,$D38&lt;&gt;""),IF(COUNTIF(Products!$A$2:$A$101,$D38)=0,1,0),0)</f>
        <v>0</v>
      </c>
      <c r="AG38" s="52">
        <f>IF(AND(COUNTA($A38:$L38)&gt;0,$C38="Receipt",$E38=""),1,0)</f>
        <v>0</v>
      </c>
      <c r="AH38" s="52">
        <f>IF(AND(COUNTA($A38:$L38)&gt;0,$E38&lt;&gt;""),IF(COUNTIF(Suppliers!$A$2:$A$51,$E38)=0,1,0),0)</f>
        <v>0</v>
      </c>
      <c r="AI38" s="52">
        <f>IF(AND(COUNTA($A38:$L38)&gt;0,$F38=""),1,0)</f>
        <v>0</v>
      </c>
      <c r="AJ38" s="52">
        <f>IF(AND(COUNTA($A38:$L38)&gt;0,$F38&lt;&gt;"",$D38&lt;&gt;"",OR($C38="Shipment",$C38="Adjustment")),IF($AF38=1,0,IF(COUNTIFS(Batches!$A$2:$A$301,$F38,Batches!$B$2:$B$301,$D38)+COUNTIFS($F$1:$F37,$F38,$D$1:$D37,$D38,$C$1:$C37,"Receipt")=0,1,0)),0)</f>
        <v>0</v>
      </c>
      <c r="AK38" s="52">
        <f>IF(AND(COUNTA($A38:$L38)&gt;0,$C38="Receipt",$G38=""),1,0)</f>
        <v>0</v>
      </c>
      <c r="AL38" s="52">
        <f>IF(AND(COUNTA($A38:$L38)&gt;0,$G38&lt;&gt;""),IF($N38="ERR",1,0),0)</f>
        <v>0</v>
      </c>
      <c r="AM38" s="52">
        <f>IF(AND(COUNTA($A38:$L38)&gt;0,$H38=""),1,0)</f>
        <v>0</v>
      </c>
      <c r="AN38" s="52">
        <f>IF(AND(COUNTA($A38:$L38)&gt;0,$H38&lt;&gt;""),IF($O38="ERR",1,IF(INT($O38)&lt;&gt;$O38,1,IF(AND(OR($C38="Receipt",$C38="Shipment"),$O38&lt;=0),1,IF(AND($C38="Adjustment",$O38=0),1,0)))),0)</f>
        <v>0</v>
      </c>
      <c r="AO38" s="52">
        <f>IF(AND(COUNTA($A38:$L38)&gt;0,$C38="Receipt",$I38=""),1,0)</f>
        <v>0</v>
      </c>
      <c r="AP38" s="52">
        <f>IF(AND(COUNTA($A38:$L38)&gt;0,$I38&lt;&gt;""),IF(IFERROR(INDEX(Config!$G$15:$G$34,MATCH($I38,Config!$E$15:$E$34,0)),"No")="Yes",0,1),0)</f>
        <v>0</v>
      </c>
      <c r="AQ38" s="52">
        <f>IF(AND(COUNTA($A38:$L38)&gt;0,$C38="Adjustment",$J38=""),1,0)</f>
        <v>0</v>
      </c>
      <c r="AR38" s="52">
        <f>IF(AND(COUNTA($A38:$L38)&gt;0,$L38=""),1,0)</f>
        <v>0</v>
      </c>
      <c r="AS38" s="52">
        <f>IF(AND(COUNTA($A38:$L38)&gt;0,ISNUMBER($S38)),IF($S38&lt;0,1,0),0)</f>
        <v>0</v>
      </c>
      <c r="AT38" s="52">
        <f>$W38</f>
        <v>0</v>
      </c>
      <c r="AU38" s="52">
        <f>$AT38+$X38</f>
        <v>0</v>
      </c>
      <c r="AV38" s="52">
        <f>$AU38+$Y38</f>
        <v>0</v>
      </c>
      <c r="AW38" s="52">
        <f>$AV38+$Z38</f>
        <v>0</v>
      </c>
      <c r="AX38" s="52">
        <f>$AW38+$AA38</f>
        <v>0</v>
      </c>
      <c r="AY38" s="52">
        <f>$AX38+$AB38</f>
        <v>0</v>
      </c>
      <c r="AZ38" s="52">
        <f>$AY38+$AC38</f>
        <v>0</v>
      </c>
      <c r="BA38" s="52">
        <f>$AZ38+$AD38</f>
        <v>0</v>
      </c>
      <c r="BB38" s="52">
        <f>$BA38+$AE38</f>
        <v>0</v>
      </c>
      <c r="BC38" s="52">
        <f>$BB38+$AF38</f>
        <v>0</v>
      </c>
      <c r="BD38" s="52">
        <f>$BC38+$AG38</f>
        <v>0</v>
      </c>
      <c r="BE38" s="52">
        <f>$BD38+$AH38</f>
        <v>0</v>
      </c>
      <c r="BF38" s="52">
        <f>$BE38+$AI38</f>
        <v>0</v>
      </c>
      <c r="BG38" s="52">
        <f>$BF38+$AJ38</f>
        <v>0</v>
      </c>
      <c r="BH38" s="52">
        <f>$BG38+$AK38</f>
        <v>0</v>
      </c>
      <c r="BI38" s="52">
        <f>$BH38+$AL38</f>
        <v>0</v>
      </c>
      <c r="BJ38" s="52">
        <f>$BI38+$AM38</f>
        <v>0</v>
      </c>
      <c r="BK38" s="52">
        <f>$BJ38+$AN38</f>
        <v>0</v>
      </c>
      <c r="BL38" s="52">
        <f>$BK38+$AO38</f>
        <v>0</v>
      </c>
      <c r="BM38" s="52">
        <f>$BL38+$AP38</f>
        <v>0</v>
      </c>
      <c r="BN38" s="52">
        <f>$BM38+$AQ38</f>
        <v>0</v>
      </c>
      <c r="BO38" s="52">
        <f>$BN38+$AR38</f>
        <v>0</v>
      </c>
      <c r="BP38" s="52">
        <f>$BO38+$AS38</f>
        <v>0</v>
      </c>
      <c r="BQ38" s="52">
        <f>SUM($T$1:$T37)</f>
        <v>11</v>
      </c>
      <c r="BR38" s="52" t="str">
        <f>IF(ISNUMBER($T38),IF($T38&gt;0,COUNTIF($T$2:$T38,"&gt;0"),""),"")</f>
        <v/>
      </c>
      <c r="BS38" s="52" t="str">
        <f>IF($BR38="","",$BQ38+$T38)</f>
        <v/>
      </c>
      <c r="BT38" s="52" t="str">
        <f>IF($U38="Ready",COUNTIF($U$2:$U38,"Ready"),"")</f>
        <v/>
      </c>
      <c r="BU38" s="52">
        <f>IF(AND($U38="Ready",$C38="Receipt"),IF(COUNTIF(Batches!$A$2:$A$301,$F38)+COUNTIFS($F$1:$F37,$F38,$C$1:$C37,"Receipt",$U$1:$U37,"Ready")=0,1,0),0)</f>
        <v>0</v>
      </c>
      <c r="BV38" s="52" t="str">
        <f>IF($BU38=1,SUM($BU$2:$BU38),"")</f>
        <v/>
      </c>
    </row>
    <row r="39">
      <c r="A39" s="46" t="n"/>
      <c r="B39" s="46" t="n"/>
      <c r="C39" s="46" t="n"/>
      <c r="D39" s="46" t="n"/>
      <c r="E39" s="46" t="n"/>
      <c r="F39" s="46" t="n"/>
      <c r="G39" s="46" t="n"/>
      <c r="H39" s="46" t="n"/>
      <c r="I39" s="46" t="n"/>
      <c r="J39" s="46" t="n"/>
      <c r="K39" s="46" t="n"/>
      <c r="L39" s="46" t="n"/>
      <c r="M39" s="62" t="str">
        <f>IF($B39="","",IF(ISNUMBER($B39),$B39,IF(AND(LEN($B39)=10,MID($B39,5,1)="-",MID($B39,8,1)="-"),IFERROR(IF(AND(MONTH(DATE(VALUE(LEFT($B39,4)),VALUE(MID($B39,6,2)),VALUE(RIGHT($B39,2))))=VALUE(MID($B39,6,2)),DAY(DATE(VALUE(LEFT($B39,4)),VALUE(MID($B39,6,2)),VALUE(RIGHT($B39,2))))=VALUE(RIGHT($B39,2))),DATE(VALUE(LEFT($B39,4)),VALUE(MID($B39,6,2)),VALUE(RIGHT($B39,2))),"ERR"),"ERR"),"ERR")))</f>
        <v/>
      </c>
      <c r="N39" s="62" t="str">
        <f>IF($G39="","",IF(ISNUMBER($G39),$G39,IF(AND(LEN($G39)=10,MID($G39,5,1)="-",MID($G39,8,1)="-"),IFERROR(IF(AND(MONTH(DATE(VALUE(LEFT($G39,4)),VALUE(MID($G39,6,2)),VALUE(RIGHT($G39,2))))=VALUE(MID($G39,6,2)),DAY(DATE(VALUE(LEFT($G39,4)),VALUE(MID($G39,6,2)),VALUE(RIGHT($G39,2))))=VALUE(RIGHT($G39,2))),DATE(VALUE(LEFT($G39,4)),VALUE(MID($G39,6,2)),VALUE(RIGHT($G39,2))),"ERR"),"ERR"),"ERR")))</f>
        <v/>
      </c>
      <c r="O39" s="51" t="str">
        <f>IF($H39="","",IF(ISNUMBER($H39),$H39,IFERROR(VALUE($H39),"ERR")))</f>
        <v/>
      </c>
      <c r="P39" s="51" t="str">
        <f>IF(AND(ISNUMBER($O39),OR($C39="Receipt",$C39="Shipment",$C39="Adjustment")),IF($C39="Shipment",-$O39,$O39),"")</f>
        <v/>
      </c>
      <c r="Q39" s="51" t="str">
        <f>IF($D39="","",IFERROR(INDEX(Products!$R$2:$R$101,MATCH($D39,Products!$A$2:$A$101,0)),""))</f>
        <v/>
      </c>
      <c r="R39" s="51" t="str">
        <f>IF(OR($Q39="",$P39=""),"",$Q39+SUMIFS($P$1:$P38,$D$1:$D38,$D39,$U$1:$U38,"Ready"))</f>
        <v/>
      </c>
      <c r="S39" s="51" t="str">
        <f>IF($R39="","",$R39+$P39)</f>
        <v/>
      </c>
      <c r="T39" s="52" t="str">
        <f>IF(COUNTA($A39:$L39)&gt;0,$BP39,"")</f>
        <v/>
      </c>
      <c r="U39" s="49" t="str">
        <f>IF($T39="","",IF($T39=0,"Ready","Rejected"))</f>
        <v/>
      </c>
      <c r="V39" s="49" t="str">
        <f>IF(OR($T39="",$T39=0),"",INDEX(Config!$D$39:$D$61,MATCH(1,$AT39:$BP39,0))&amp;IF($T39&gt;1," (+"&amp;($T39-1)&amp;" more)",""))</f>
        <v/>
      </c>
      <c r="W39" s="52">
        <f>IF(AND(COUNTA($A39:$L39)&gt;0,$A39=""),1,0)</f>
        <v>0</v>
      </c>
      <c r="X39" s="52">
        <f>IF(AND(COUNTA($A39:$L39)&gt;0,$A39&lt;&gt;""),IF(COUNTIF($A$1:$A38,$A39)&gt;0,1,0),0)</f>
        <v>0</v>
      </c>
      <c r="Y39" s="52">
        <f>IF(AND(COUNTA($A39:$L39)&gt;0,$A39&lt;&gt;""),IF(COUNTIF(Inventory_Ledger!$A$2:$A$2001,$A39)&gt;0,1,0),0)</f>
        <v>0</v>
      </c>
      <c r="Z39" s="52">
        <f>IF(AND(COUNTA($A39:$L39)&gt;0,$B39=""),1,0)</f>
        <v>0</v>
      </c>
      <c r="AA39" s="52">
        <f>IF(AND(COUNTA($A39:$L39)&gt;0,$B39&lt;&gt;""),IF($M39="ERR",1,0),0)</f>
        <v>0</v>
      </c>
      <c r="AB39" s="52">
        <f>IF(AND(COUNTA($A39:$L39)&gt;0,ISNUMBER($M39)),IF($M39&gt;Config!$B$4,1,0),0)</f>
        <v>0</v>
      </c>
      <c r="AC39" s="52">
        <f>IF(AND(COUNTA($A39:$L39)&gt;0,$C39=""),1,0)</f>
        <v>0</v>
      </c>
      <c r="AD39" s="52">
        <f>IF(AND(COUNTA($A39:$L39)&gt;0,$C39&lt;&gt;""),IF(COUNTIF(Config!$A$15:$A$34,$C39)=0,1,0),0)</f>
        <v>0</v>
      </c>
      <c r="AE39" s="52">
        <f>IF(AND(COUNTA($A39:$L39)&gt;0,$D39=""),1,0)</f>
        <v>0</v>
      </c>
      <c r="AF39" s="52">
        <f>IF(AND(COUNTA($A39:$L39)&gt;0,$D39&lt;&gt;""),IF(COUNTIF(Products!$A$2:$A$101,$D39)=0,1,0),0)</f>
        <v>0</v>
      </c>
      <c r="AG39" s="52">
        <f>IF(AND(COUNTA($A39:$L39)&gt;0,$C39="Receipt",$E39=""),1,0)</f>
        <v>0</v>
      </c>
      <c r="AH39" s="52">
        <f>IF(AND(COUNTA($A39:$L39)&gt;0,$E39&lt;&gt;""),IF(COUNTIF(Suppliers!$A$2:$A$51,$E39)=0,1,0),0)</f>
        <v>0</v>
      </c>
      <c r="AI39" s="52">
        <f>IF(AND(COUNTA($A39:$L39)&gt;0,$F39=""),1,0)</f>
        <v>0</v>
      </c>
      <c r="AJ39" s="52">
        <f>IF(AND(COUNTA($A39:$L39)&gt;0,$F39&lt;&gt;"",$D39&lt;&gt;"",OR($C39="Shipment",$C39="Adjustment")),IF($AF39=1,0,IF(COUNTIFS(Batches!$A$2:$A$301,$F39,Batches!$B$2:$B$301,$D39)+COUNTIFS($F$1:$F38,$F39,$D$1:$D38,$D39,$C$1:$C38,"Receipt")=0,1,0)),0)</f>
        <v>0</v>
      </c>
      <c r="AK39" s="52">
        <f>IF(AND(COUNTA($A39:$L39)&gt;0,$C39="Receipt",$G39=""),1,0)</f>
        <v>0</v>
      </c>
      <c r="AL39" s="52">
        <f>IF(AND(COUNTA($A39:$L39)&gt;0,$G39&lt;&gt;""),IF($N39="ERR",1,0),0)</f>
        <v>0</v>
      </c>
      <c r="AM39" s="52">
        <f>IF(AND(COUNTA($A39:$L39)&gt;0,$H39=""),1,0)</f>
        <v>0</v>
      </c>
      <c r="AN39" s="52">
        <f>IF(AND(COUNTA($A39:$L39)&gt;0,$H39&lt;&gt;""),IF($O39="ERR",1,IF(INT($O39)&lt;&gt;$O39,1,IF(AND(OR($C39="Receipt",$C39="Shipment"),$O39&lt;=0),1,IF(AND($C39="Adjustment",$O39=0),1,0)))),0)</f>
        <v>0</v>
      </c>
      <c r="AO39" s="52">
        <f>IF(AND(COUNTA($A39:$L39)&gt;0,$C39="Receipt",$I39=""),1,0)</f>
        <v>0</v>
      </c>
      <c r="AP39" s="52">
        <f>IF(AND(COUNTA($A39:$L39)&gt;0,$I39&lt;&gt;""),IF(IFERROR(INDEX(Config!$G$15:$G$34,MATCH($I39,Config!$E$15:$E$34,0)),"No")="Yes",0,1),0)</f>
        <v>0</v>
      </c>
      <c r="AQ39" s="52">
        <f>IF(AND(COUNTA($A39:$L39)&gt;0,$C39="Adjustment",$J39=""),1,0)</f>
        <v>0</v>
      </c>
      <c r="AR39" s="52">
        <f>IF(AND(COUNTA($A39:$L39)&gt;0,$L39=""),1,0)</f>
        <v>0</v>
      </c>
      <c r="AS39" s="52">
        <f>IF(AND(COUNTA($A39:$L39)&gt;0,ISNUMBER($S39)),IF($S39&lt;0,1,0),0)</f>
        <v>0</v>
      </c>
      <c r="AT39" s="52">
        <f>$W39</f>
        <v>0</v>
      </c>
      <c r="AU39" s="52">
        <f>$AT39+$X39</f>
        <v>0</v>
      </c>
      <c r="AV39" s="52">
        <f>$AU39+$Y39</f>
        <v>0</v>
      </c>
      <c r="AW39" s="52">
        <f>$AV39+$Z39</f>
        <v>0</v>
      </c>
      <c r="AX39" s="52">
        <f>$AW39+$AA39</f>
        <v>0</v>
      </c>
      <c r="AY39" s="52">
        <f>$AX39+$AB39</f>
        <v>0</v>
      </c>
      <c r="AZ39" s="52">
        <f>$AY39+$AC39</f>
        <v>0</v>
      </c>
      <c r="BA39" s="52">
        <f>$AZ39+$AD39</f>
        <v>0</v>
      </c>
      <c r="BB39" s="52">
        <f>$BA39+$AE39</f>
        <v>0</v>
      </c>
      <c r="BC39" s="52">
        <f>$BB39+$AF39</f>
        <v>0</v>
      </c>
      <c r="BD39" s="52">
        <f>$BC39+$AG39</f>
        <v>0</v>
      </c>
      <c r="BE39" s="52">
        <f>$BD39+$AH39</f>
        <v>0</v>
      </c>
      <c r="BF39" s="52">
        <f>$BE39+$AI39</f>
        <v>0</v>
      </c>
      <c r="BG39" s="52">
        <f>$BF39+$AJ39</f>
        <v>0</v>
      </c>
      <c r="BH39" s="52">
        <f>$BG39+$AK39</f>
        <v>0</v>
      </c>
      <c r="BI39" s="52">
        <f>$BH39+$AL39</f>
        <v>0</v>
      </c>
      <c r="BJ39" s="52">
        <f>$BI39+$AM39</f>
        <v>0</v>
      </c>
      <c r="BK39" s="52">
        <f>$BJ39+$AN39</f>
        <v>0</v>
      </c>
      <c r="BL39" s="52">
        <f>$BK39+$AO39</f>
        <v>0</v>
      </c>
      <c r="BM39" s="52">
        <f>$BL39+$AP39</f>
        <v>0</v>
      </c>
      <c r="BN39" s="52">
        <f>$BM39+$AQ39</f>
        <v>0</v>
      </c>
      <c r="BO39" s="52">
        <f>$BN39+$AR39</f>
        <v>0</v>
      </c>
      <c r="BP39" s="52">
        <f>$BO39+$AS39</f>
        <v>0</v>
      </c>
      <c r="BQ39" s="52">
        <f>SUM($T$1:$T38)</f>
        <v>11</v>
      </c>
      <c r="BR39" s="52" t="str">
        <f>IF(ISNUMBER($T39),IF($T39&gt;0,COUNTIF($T$2:$T39,"&gt;0"),""),"")</f>
        <v/>
      </c>
      <c r="BS39" s="52" t="str">
        <f>IF($BR39="","",$BQ39+$T39)</f>
        <v/>
      </c>
      <c r="BT39" s="52" t="str">
        <f>IF($U39="Ready",COUNTIF($U$2:$U39,"Ready"),"")</f>
        <v/>
      </c>
      <c r="BU39" s="52">
        <f>IF(AND($U39="Ready",$C39="Receipt"),IF(COUNTIF(Batches!$A$2:$A$301,$F39)+COUNTIFS($F$1:$F38,$F39,$C$1:$C38,"Receipt",$U$1:$U38,"Ready")=0,1,0),0)</f>
        <v>0</v>
      </c>
      <c r="BV39" s="52" t="str">
        <f>IF($BU39=1,SUM($BU$2:$BU39),"")</f>
        <v/>
      </c>
    </row>
    <row r="40">
      <c r="A40" s="46" t="n"/>
      <c r="B40" s="46" t="n"/>
      <c r="C40" s="46" t="n"/>
      <c r="D40" s="46" t="n"/>
      <c r="E40" s="46" t="n"/>
      <c r="F40" s="46" t="n"/>
      <c r="G40" s="46" t="n"/>
      <c r="H40" s="46" t="n"/>
      <c r="I40" s="46" t="n"/>
      <c r="J40" s="46" t="n"/>
      <c r="K40" s="46" t="n"/>
      <c r="L40" s="46" t="n"/>
      <c r="M40" s="62" t="str">
        <f>IF($B40="","",IF(ISNUMBER($B40),$B40,IF(AND(LEN($B40)=10,MID($B40,5,1)="-",MID($B40,8,1)="-"),IFERROR(IF(AND(MONTH(DATE(VALUE(LEFT($B40,4)),VALUE(MID($B40,6,2)),VALUE(RIGHT($B40,2))))=VALUE(MID($B40,6,2)),DAY(DATE(VALUE(LEFT($B40,4)),VALUE(MID($B40,6,2)),VALUE(RIGHT($B40,2))))=VALUE(RIGHT($B40,2))),DATE(VALUE(LEFT($B40,4)),VALUE(MID($B40,6,2)),VALUE(RIGHT($B40,2))),"ERR"),"ERR"),"ERR")))</f>
        <v/>
      </c>
      <c r="N40" s="62" t="str">
        <f>IF($G40="","",IF(ISNUMBER($G40),$G40,IF(AND(LEN($G40)=10,MID($G40,5,1)="-",MID($G40,8,1)="-"),IFERROR(IF(AND(MONTH(DATE(VALUE(LEFT($G40,4)),VALUE(MID($G40,6,2)),VALUE(RIGHT($G40,2))))=VALUE(MID($G40,6,2)),DAY(DATE(VALUE(LEFT($G40,4)),VALUE(MID($G40,6,2)),VALUE(RIGHT($G40,2))))=VALUE(RIGHT($G40,2))),DATE(VALUE(LEFT($G40,4)),VALUE(MID($G40,6,2)),VALUE(RIGHT($G40,2))),"ERR"),"ERR"),"ERR")))</f>
        <v/>
      </c>
      <c r="O40" s="51" t="str">
        <f>IF($H40="","",IF(ISNUMBER($H40),$H40,IFERROR(VALUE($H40),"ERR")))</f>
        <v/>
      </c>
      <c r="P40" s="51" t="str">
        <f>IF(AND(ISNUMBER($O40),OR($C40="Receipt",$C40="Shipment",$C40="Adjustment")),IF($C40="Shipment",-$O40,$O40),"")</f>
        <v/>
      </c>
      <c r="Q40" s="51" t="str">
        <f>IF($D40="","",IFERROR(INDEX(Products!$R$2:$R$101,MATCH($D40,Products!$A$2:$A$101,0)),""))</f>
        <v/>
      </c>
      <c r="R40" s="51" t="str">
        <f>IF(OR($Q40="",$P40=""),"",$Q40+SUMIFS($P$1:$P39,$D$1:$D39,$D40,$U$1:$U39,"Ready"))</f>
        <v/>
      </c>
      <c r="S40" s="51" t="str">
        <f>IF($R40="","",$R40+$P40)</f>
        <v/>
      </c>
      <c r="T40" s="52" t="str">
        <f>IF(COUNTA($A40:$L40)&gt;0,$BP40,"")</f>
        <v/>
      </c>
      <c r="U40" s="49" t="str">
        <f>IF($T40="","",IF($T40=0,"Ready","Rejected"))</f>
        <v/>
      </c>
      <c r="V40" s="49" t="str">
        <f>IF(OR($T40="",$T40=0),"",INDEX(Config!$D$39:$D$61,MATCH(1,$AT40:$BP40,0))&amp;IF($T40&gt;1," (+"&amp;($T40-1)&amp;" more)",""))</f>
        <v/>
      </c>
      <c r="W40" s="52">
        <f>IF(AND(COUNTA($A40:$L40)&gt;0,$A40=""),1,0)</f>
        <v>0</v>
      </c>
      <c r="X40" s="52">
        <f>IF(AND(COUNTA($A40:$L40)&gt;0,$A40&lt;&gt;""),IF(COUNTIF($A$1:$A39,$A40)&gt;0,1,0),0)</f>
        <v>0</v>
      </c>
      <c r="Y40" s="52">
        <f>IF(AND(COUNTA($A40:$L40)&gt;0,$A40&lt;&gt;""),IF(COUNTIF(Inventory_Ledger!$A$2:$A$2001,$A40)&gt;0,1,0),0)</f>
        <v>0</v>
      </c>
      <c r="Z40" s="52">
        <f>IF(AND(COUNTA($A40:$L40)&gt;0,$B40=""),1,0)</f>
        <v>0</v>
      </c>
      <c r="AA40" s="52">
        <f>IF(AND(COUNTA($A40:$L40)&gt;0,$B40&lt;&gt;""),IF($M40="ERR",1,0),0)</f>
        <v>0</v>
      </c>
      <c r="AB40" s="52">
        <f>IF(AND(COUNTA($A40:$L40)&gt;0,ISNUMBER($M40)),IF($M40&gt;Config!$B$4,1,0),0)</f>
        <v>0</v>
      </c>
      <c r="AC40" s="52">
        <f>IF(AND(COUNTA($A40:$L40)&gt;0,$C40=""),1,0)</f>
        <v>0</v>
      </c>
      <c r="AD40" s="52">
        <f>IF(AND(COUNTA($A40:$L40)&gt;0,$C40&lt;&gt;""),IF(COUNTIF(Config!$A$15:$A$34,$C40)=0,1,0),0)</f>
        <v>0</v>
      </c>
      <c r="AE40" s="52">
        <f>IF(AND(COUNTA($A40:$L40)&gt;0,$D40=""),1,0)</f>
        <v>0</v>
      </c>
      <c r="AF40" s="52">
        <f>IF(AND(COUNTA($A40:$L40)&gt;0,$D40&lt;&gt;""),IF(COUNTIF(Products!$A$2:$A$101,$D40)=0,1,0),0)</f>
        <v>0</v>
      </c>
      <c r="AG40" s="52">
        <f>IF(AND(COUNTA($A40:$L40)&gt;0,$C40="Receipt",$E40=""),1,0)</f>
        <v>0</v>
      </c>
      <c r="AH40" s="52">
        <f>IF(AND(COUNTA($A40:$L40)&gt;0,$E40&lt;&gt;""),IF(COUNTIF(Suppliers!$A$2:$A$51,$E40)=0,1,0),0)</f>
        <v>0</v>
      </c>
      <c r="AI40" s="52">
        <f>IF(AND(COUNTA($A40:$L40)&gt;0,$F40=""),1,0)</f>
        <v>0</v>
      </c>
      <c r="AJ40" s="52">
        <f>IF(AND(COUNTA($A40:$L40)&gt;0,$F40&lt;&gt;"",$D40&lt;&gt;"",OR($C40="Shipment",$C40="Adjustment")),IF($AF40=1,0,IF(COUNTIFS(Batches!$A$2:$A$301,$F40,Batches!$B$2:$B$301,$D40)+COUNTIFS($F$1:$F39,$F40,$D$1:$D39,$D40,$C$1:$C39,"Receipt")=0,1,0)),0)</f>
        <v>0</v>
      </c>
      <c r="AK40" s="52">
        <f>IF(AND(COUNTA($A40:$L40)&gt;0,$C40="Receipt",$G40=""),1,0)</f>
        <v>0</v>
      </c>
      <c r="AL40" s="52">
        <f>IF(AND(COUNTA($A40:$L40)&gt;0,$G40&lt;&gt;""),IF($N40="ERR",1,0),0)</f>
        <v>0</v>
      </c>
      <c r="AM40" s="52">
        <f>IF(AND(COUNTA($A40:$L40)&gt;0,$H40=""),1,0)</f>
        <v>0</v>
      </c>
      <c r="AN40" s="52">
        <f>IF(AND(COUNTA($A40:$L40)&gt;0,$H40&lt;&gt;""),IF($O40="ERR",1,IF(INT($O40)&lt;&gt;$O40,1,IF(AND(OR($C40="Receipt",$C40="Shipment"),$O40&lt;=0),1,IF(AND($C40="Adjustment",$O40=0),1,0)))),0)</f>
        <v>0</v>
      </c>
      <c r="AO40" s="52">
        <f>IF(AND(COUNTA($A40:$L40)&gt;0,$C40="Receipt",$I40=""),1,0)</f>
        <v>0</v>
      </c>
      <c r="AP40" s="52">
        <f>IF(AND(COUNTA($A40:$L40)&gt;0,$I40&lt;&gt;""),IF(IFERROR(INDEX(Config!$G$15:$G$34,MATCH($I40,Config!$E$15:$E$34,0)),"No")="Yes",0,1),0)</f>
        <v>0</v>
      </c>
      <c r="AQ40" s="52">
        <f>IF(AND(COUNTA($A40:$L40)&gt;0,$C40="Adjustment",$J40=""),1,0)</f>
        <v>0</v>
      </c>
      <c r="AR40" s="52">
        <f>IF(AND(COUNTA($A40:$L40)&gt;0,$L40=""),1,0)</f>
        <v>0</v>
      </c>
      <c r="AS40" s="52">
        <f>IF(AND(COUNTA($A40:$L40)&gt;0,ISNUMBER($S40)),IF($S40&lt;0,1,0),0)</f>
        <v>0</v>
      </c>
      <c r="AT40" s="52">
        <f>$W40</f>
        <v>0</v>
      </c>
      <c r="AU40" s="52">
        <f>$AT40+$X40</f>
        <v>0</v>
      </c>
      <c r="AV40" s="52">
        <f>$AU40+$Y40</f>
        <v>0</v>
      </c>
      <c r="AW40" s="52">
        <f>$AV40+$Z40</f>
        <v>0</v>
      </c>
      <c r="AX40" s="52">
        <f>$AW40+$AA40</f>
        <v>0</v>
      </c>
      <c r="AY40" s="52">
        <f>$AX40+$AB40</f>
        <v>0</v>
      </c>
      <c r="AZ40" s="52">
        <f>$AY40+$AC40</f>
        <v>0</v>
      </c>
      <c r="BA40" s="52">
        <f>$AZ40+$AD40</f>
        <v>0</v>
      </c>
      <c r="BB40" s="52">
        <f>$BA40+$AE40</f>
        <v>0</v>
      </c>
      <c r="BC40" s="52">
        <f>$BB40+$AF40</f>
        <v>0</v>
      </c>
      <c r="BD40" s="52">
        <f>$BC40+$AG40</f>
        <v>0</v>
      </c>
      <c r="BE40" s="52">
        <f>$BD40+$AH40</f>
        <v>0</v>
      </c>
      <c r="BF40" s="52">
        <f>$BE40+$AI40</f>
        <v>0</v>
      </c>
      <c r="BG40" s="52">
        <f>$BF40+$AJ40</f>
        <v>0</v>
      </c>
      <c r="BH40" s="52">
        <f>$BG40+$AK40</f>
        <v>0</v>
      </c>
      <c r="BI40" s="52">
        <f>$BH40+$AL40</f>
        <v>0</v>
      </c>
      <c r="BJ40" s="52">
        <f>$BI40+$AM40</f>
        <v>0</v>
      </c>
      <c r="BK40" s="52">
        <f>$BJ40+$AN40</f>
        <v>0</v>
      </c>
      <c r="BL40" s="52">
        <f>$BK40+$AO40</f>
        <v>0</v>
      </c>
      <c r="BM40" s="52">
        <f>$BL40+$AP40</f>
        <v>0</v>
      </c>
      <c r="BN40" s="52">
        <f>$BM40+$AQ40</f>
        <v>0</v>
      </c>
      <c r="BO40" s="52">
        <f>$BN40+$AR40</f>
        <v>0</v>
      </c>
      <c r="BP40" s="52">
        <f>$BO40+$AS40</f>
        <v>0</v>
      </c>
      <c r="BQ40" s="52">
        <f>SUM($T$1:$T39)</f>
        <v>11</v>
      </c>
      <c r="BR40" s="52" t="str">
        <f>IF(ISNUMBER($T40),IF($T40&gt;0,COUNTIF($T$2:$T40,"&gt;0"),""),"")</f>
        <v/>
      </c>
      <c r="BS40" s="52" t="str">
        <f>IF($BR40="","",$BQ40+$T40)</f>
        <v/>
      </c>
      <c r="BT40" s="52" t="str">
        <f>IF($U40="Ready",COUNTIF($U$2:$U40,"Ready"),"")</f>
        <v/>
      </c>
      <c r="BU40" s="52">
        <f>IF(AND($U40="Ready",$C40="Receipt"),IF(COUNTIF(Batches!$A$2:$A$301,$F40)+COUNTIFS($F$1:$F39,$F40,$C$1:$C39,"Receipt",$U$1:$U39,"Ready")=0,1,0),0)</f>
        <v>0</v>
      </c>
      <c r="BV40" s="52" t="str">
        <f>IF($BU40=1,SUM($BU$2:$BU40),"")</f>
        <v/>
      </c>
    </row>
    <row r="41">
      <c r="A41" s="46" t="n"/>
      <c r="B41" s="46" t="n"/>
      <c r="C41" s="46" t="n"/>
      <c r="D41" s="46" t="n"/>
      <c r="E41" s="46" t="n"/>
      <c r="F41" s="46" t="n"/>
      <c r="G41" s="46" t="n"/>
      <c r="H41" s="46" t="n"/>
      <c r="I41" s="46" t="n"/>
      <c r="J41" s="46" t="n"/>
      <c r="K41" s="46" t="n"/>
      <c r="L41" s="46" t="n"/>
      <c r="M41" s="62" t="str">
        <f>IF($B41="","",IF(ISNUMBER($B41),$B41,IF(AND(LEN($B41)=10,MID($B41,5,1)="-",MID($B41,8,1)="-"),IFERROR(IF(AND(MONTH(DATE(VALUE(LEFT($B41,4)),VALUE(MID($B41,6,2)),VALUE(RIGHT($B41,2))))=VALUE(MID($B41,6,2)),DAY(DATE(VALUE(LEFT($B41,4)),VALUE(MID($B41,6,2)),VALUE(RIGHT($B41,2))))=VALUE(RIGHT($B41,2))),DATE(VALUE(LEFT($B41,4)),VALUE(MID($B41,6,2)),VALUE(RIGHT($B41,2))),"ERR"),"ERR"),"ERR")))</f>
        <v/>
      </c>
      <c r="N41" s="62" t="str">
        <f>IF($G41="","",IF(ISNUMBER($G41),$G41,IF(AND(LEN($G41)=10,MID($G41,5,1)="-",MID($G41,8,1)="-"),IFERROR(IF(AND(MONTH(DATE(VALUE(LEFT($G41,4)),VALUE(MID($G41,6,2)),VALUE(RIGHT($G41,2))))=VALUE(MID($G41,6,2)),DAY(DATE(VALUE(LEFT($G41,4)),VALUE(MID($G41,6,2)),VALUE(RIGHT($G41,2))))=VALUE(RIGHT($G41,2))),DATE(VALUE(LEFT($G41,4)),VALUE(MID($G41,6,2)),VALUE(RIGHT($G41,2))),"ERR"),"ERR"),"ERR")))</f>
        <v/>
      </c>
      <c r="O41" s="51" t="str">
        <f>IF($H41="","",IF(ISNUMBER($H41),$H41,IFERROR(VALUE($H41),"ERR")))</f>
        <v/>
      </c>
      <c r="P41" s="51" t="str">
        <f>IF(AND(ISNUMBER($O41),OR($C41="Receipt",$C41="Shipment",$C41="Adjustment")),IF($C41="Shipment",-$O41,$O41),"")</f>
        <v/>
      </c>
      <c r="Q41" s="51" t="str">
        <f>IF($D41="","",IFERROR(INDEX(Products!$R$2:$R$101,MATCH($D41,Products!$A$2:$A$101,0)),""))</f>
        <v/>
      </c>
      <c r="R41" s="51" t="str">
        <f>IF(OR($Q41="",$P41=""),"",$Q41+SUMIFS($P$1:$P40,$D$1:$D40,$D41,$U$1:$U40,"Ready"))</f>
        <v/>
      </c>
      <c r="S41" s="51" t="str">
        <f>IF($R41="","",$R41+$P41)</f>
        <v/>
      </c>
      <c r="T41" s="52" t="str">
        <f>IF(COUNTA($A41:$L41)&gt;0,$BP41,"")</f>
        <v/>
      </c>
      <c r="U41" s="49" t="str">
        <f>IF($T41="","",IF($T41=0,"Ready","Rejected"))</f>
        <v/>
      </c>
      <c r="V41" s="49" t="str">
        <f>IF(OR($T41="",$T41=0),"",INDEX(Config!$D$39:$D$61,MATCH(1,$AT41:$BP41,0))&amp;IF($T41&gt;1," (+"&amp;($T41-1)&amp;" more)",""))</f>
        <v/>
      </c>
      <c r="W41" s="52">
        <f>IF(AND(COUNTA($A41:$L41)&gt;0,$A41=""),1,0)</f>
        <v>0</v>
      </c>
      <c r="X41" s="52">
        <f>IF(AND(COUNTA($A41:$L41)&gt;0,$A41&lt;&gt;""),IF(COUNTIF($A$1:$A40,$A41)&gt;0,1,0),0)</f>
        <v>0</v>
      </c>
      <c r="Y41" s="52">
        <f>IF(AND(COUNTA($A41:$L41)&gt;0,$A41&lt;&gt;""),IF(COUNTIF(Inventory_Ledger!$A$2:$A$2001,$A41)&gt;0,1,0),0)</f>
        <v>0</v>
      </c>
      <c r="Z41" s="52">
        <f>IF(AND(COUNTA($A41:$L41)&gt;0,$B41=""),1,0)</f>
        <v>0</v>
      </c>
      <c r="AA41" s="52">
        <f>IF(AND(COUNTA($A41:$L41)&gt;0,$B41&lt;&gt;""),IF($M41="ERR",1,0),0)</f>
        <v>0</v>
      </c>
      <c r="AB41" s="52">
        <f>IF(AND(COUNTA($A41:$L41)&gt;0,ISNUMBER($M41)),IF($M41&gt;Config!$B$4,1,0),0)</f>
        <v>0</v>
      </c>
      <c r="AC41" s="52">
        <f>IF(AND(COUNTA($A41:$L41)&gt;0,$C41=""),1,0)</f>
        <v>0</v>
      </c>
      <c r="AD41" s="52">
        <f>IF(AND(COUNTA($A41:$L41)&gt;0,$C41&lt;&gt;""),IF(COUNTIF(Config!$A$15:$A$34,$C41)=0,1,0),0)</f>
        <v>0</v>
      </c>
      <c r="AE41" s="52">
        <f>IF(AND(COUNTA($A41:$L41)&gt;0,$D41=""),1,0)</f>
        <v>0</v>
      </c>
      <c r="AF41" s="52">
        <f>IF(AND(COUNTA($A41:$L41)&gt;0,$D41&lt;&gt;""),IF(COUNTIF(Products!$A$2:$A$101,$D41)=0,1,0),0)</f>
        <v>0</v>
      </c>
      <c r="AG41" s="52">
        <f>IF(AND(COUNTA($A41:$L41)&gt;0,$C41="Receipt",$E41=""),1,0)</f>
        <v>0</v>
      </c>
      <c r="AH41" s="52">
        <f>IF(AND(COUNTA($A41:$L41)&gt;0,$E41&lt;&gt;""),IF(COUNTIF(Suppliers!$A$2:$A$51,$E41)=0,1,0),0)</f>
        <v>0</v>
      </c>
      <c r="AI41" s="52">
        <f>IF(AND(COUNTA($A41:$L41)&gt;0,$F41=""),1,0)</f>
        <v>0</v>
      </c>
      <c r="AJ41" s="52">
        <f>IF(AND(COUNTA($A41:$L41)&gt;0,$F41&lt;&gt;"",$D41&lt;&gt;"",OR($C41="Shipment",$C41="Adjustment")),IF($AF41=1,0,IF(COUNTIFS(Batches!$A$2:$A$301,$F41,Batches!$B$2:$B$301,$D41)+COUNTIFS($F$1:$F40,$F41,$D$1:$D40,$D41,$C$1:$C40,"Receipt")=0,1,0)),0)</f>
        <v>0</v>
      </c>
      <c r="AK41" s="52">
        <f>IF(AND(COUNTA($A41:$L41)&gt;0,$C41="Receipt",$G41=""),1,0)</f>
        <v>0</v>
      </c>
      <c r="AL41" s="52">
        <f>IF(AND(COUNTA($A41:$L41)&gt;0,$G41&lt;&gt;""),IF($N41="ERR",1,0),0)</f>
        <v>0</v>
      </c>
      <c r="AM41" s="52">
        <f>IF(AND(COUNTA($A41:$L41)&gt;0,$H41=""),1,0)</f>
        <v>0</v>
      </c>
      <c r="AN41" s="52">
        <f>IF(AND(COUNTA($A41:$L41)&gt;0,$H41&lt;&gt;""),IF($O41="ERR",1,IF(INT($O41)&lt;&gt;$O41,1,IF(AND(OR($C41="Receipt",$C41="Shipment"),$O41&lt;=0),1,IF(AND($C41="Adjustment",$O41=0),1,0)))),0)</f>
        <v>0</v>
      </c>
      <c r="AO41" s="52">
        <f>IF(AND(COUNTA($A41:$L41)&gt;0,$C41="Receipt",$I41=""),1,0)</f>
        <v>0</v>
      </c>
      <c r="AP41" s="52">
        <f>IF(AND(COUNTA($A41:$L41)&gt;0,$I41&lt;&gt;""),IF(IFERROR(INDEX(Config!$G$15:$G$34,MATCH($I41,Config!$E$15:$E$34,0)),"No")="Yes",0,1),0)</f>
        <v>0</v>
      </c>
      <c r="AQ41" s="52">
        <f>IF(AND(COUNTA($A41:$L41)&gt;0,$C41="Adjustment",$J41=""),1,0)</f>
        <v>0</v>
      </c>
      <c r="AR41" s="52">
        <f>IF(AND(COUNTA($A41:$L41)&gt;0,$L41=""),1,0)</f>
        <v>0</v>
      </c>
      <c r="AS41" s="52">
        <f>IF(AND(COUNTA($A41:$L41)&gt;0,ISNUMBER($S41)),IF($S41&lt;0,1,0),0)</f>
        <v>0</v>
      </c>
      <c r="AT41" s="52">
        <f>$W41</f>
        <v>0</v>
      </c>
      <c r="AU41" s="52">
        <f>$AT41+$X41</f>
        <v>0</v>
      </c>
      <c r="AV41" s="52">
        <f>$AU41+$Y41</f>
        <v>0</v>
      </c>
      <c r="AW41" s="52">
        <f>$AV41+$Z41</f>
        <v>0</v>
      </c>
      <c r="AX41" s="52">
        <f>$AW41+$AA41</f>
        <v>0</v>
      </c>
      <c r="AY41" s="52">
        <f>$AX41+$AB41</f>
        <v>0</v>
      </c>
      <c r="AZ41" s="52">
        <f>$AY41+$AC41</f>
        <v>0</v>
      </c>
      <c r="BA41" s="52">
        <f>$AZ41+$AD41</f>
        <v>0</v>
      </c>
      <c r="BB41" s="52">
        <f>$BA41+$AE41</f>
        <v>0</v>
      </c>
      <c r="BC41" s="52">
        <f>$BB41+$AF41</f>
        <v>0</v>
      </c>
      <c r="BD41" s="52">
        <f>$BC41+$AG41</f>
        <v>0</v>
      </c>
      <c r="BE41" s="52">
        <f>$BD41+$AH41</f>
        <v>0</v>
      </c>
      <c r="BF41" s="52">
        <f>$BE41+$AI41</f>
        <v>0</v>
      </c>
      <c r="BG41" s="52">
        <f>$BF41+$AJ41</f>
        <v>0</v>
      </c>
      <c r="BH41" s="52">
        <f>$BG41+$AK41</f>
        <v>0</v>
      </c>
      <c r="BI41" s="52">
        <f>$BH41+$AL41</f>
        <v>0</v>
      </c>
      <c r="BJ41" s="52">
        <f>$BI41+$AM41</f>
        <v>0</v>
      </c>
      <c r="BK41" s="52">
        <f>$BJ41+$AN41</f>
        <v>0</v>
      </c>
      <c r="BL41" s="52">
        <f>$BK41+$AO41</f>
        <v>0</v>
      </c>
      <c r="BM41" s="52">
        <f>$BL41+$AP41</f>
        <v>0</v>
      </c>
      <c r="BN41" s="52">
        <f>$BM41+$AQ41</f>
        <v>0</v>
      </c>
      <c r="BO41" s="52">
        <f>$BN41+$AR41</f>
        <v>0</v>
      </c>
      <c r="BP41" s="52">
        <f>$BO41+$AS41</f>
        <v>0</v>
      </c>
      <c r="BQ41" s="52">
        <f>SUM($T$1:$T40)</f>
        <v>11</v>
      </c>
      <c r="BR41" s="52" t="str">
        <f>IF(ISNUMBER($T41),IF($T41&gt;0,COUNTIF($T$2:$T41,"&gt;0"),""),"")</f>
        <v/>
      </c>
      <c r="BS41" s="52" t="str">
        <f>IF($BR41="","",$BQ41+$T41)</f>
        <v/>
      </c>
      <c r="BT41" s="52" t="str">
        <f>IF($U41="Ready",COUNTIF($U$2:$U41,"Ready"),"")</f>
        <v/>
      </c>
      <c r="BU41" s="52">
        <f>IF(AND($U41="Ready",$C41="Receipt"),IF(COUNTIF(Batches!$A$2:$A$301,$F41)+COUNTIFS($F$1:$F40,$F41,$C$1:$C40,"Receipt",$U$1:$U40,"Ready")=0,1,0),0)</f>
        <v>0</v>
      </c>
      <c r="BV41" s="52" t="str">
        <f>IF($BU41=1,SUM($BU$2:$BU41),"")</f>
        <v/>
      </c>
    </row>
    <row r="42">
      <c r="A42" s="46" t="n"/>
      <c r="B42" s="46" t="n"/>
      <c r="C42" s="46" t="n"/>
      <c r="D42" s="46" t="n"/>
      <c r="E42" s="46" t="n"/>
      <c r="F42" s="46" t="n"/>
      <c r="G42" s="46" t="n"/>
      <c r="H42" s="46" t="n"/>
      <c r="I42" s="46" t="n"/>
      <c r="J42" s="46" t="n"/>
      <c r="K42" s="46" t="n"/>
      <c r="L42" s="46" t="n"/>
      <c r="M42" s="62" t="str">
        <f>IF($B42="","",IF(ISNUMBER($B42),$B42,IF(AND(LEN($B42)=10,MID($B42,5,1)="-",MID($B42,8,1)="-"),IFERROR(IF(AND(MONTH(DATE(VALUE(LEFT($B42,4)),VALUE(MID($B42,6,2)),VALUE(RIGHT($B42,2))))=VALUE(MID($B42,6,2)),DAY(DATE(VALUE(LEFT($B42,4)),VALUE(MID($B42,6,2)),VALUE(RIGHT($B42,2))))=VALUE(RIGHT($B42,2))),DATE(VALUE(LEFT($B42,4)),VALUE(MID($B42,6,2)),VALUE(RIGHT($B42,2))),"ERR"),"ERR"),"ERR")))</f>
        <v/>
      </c>
      <c r="N42" s="62" t="str">
        <f>IF($G42="","",IF(ISNUMBER($G42),$G42,IF(AND(LEN($G42)=10,MID($G42,5,1)="-",MID($G42,8,1)="-"),IFERROR(IF(AND(MONTH(DATE(VALUE(LEFT($G42,4)),VALUE(MID($G42,6,2)),VALUE(RIGHT($G42,2))))=VALUE(MID($G42,6,2)),DAY(DATE(VALUE(LEFT($G42,4)),VALUE(MID($G42,6,2)),VALUE(RIGHT($G42,2))))=VALUE(RIGHT($G42,2))),DATE(VALUE(LEFT($G42,4)),VALUE(MID($G42,6,2)),VALUE(RIGHT($G42,2))),"ERR"),"ERR"),"ERR")))</f>
        <v/>
      </c>
      <c r="O42" s="51" t="str">
        <f>IF($H42="","",IF(ISNUMBER($H42),$H42,IFERROR(VALUE($H42),"ERR")))</f>
        <v/>
      </c>
      <c r="P42" s="51" t="str">
        <f>IF(AND(ISNUMBER($O42),OR($C42="Receipt",$C42="Shipment",$C42="Adjustment")),IF($C42="Shipment",-$O42,$O42),"")</f>
        <v/>
      </c>
      <c r="Q42" s="51" t="str">
        <f>IF($D42="","",IFERROR(INDEX(Products!$R$2:$R$101,MATCH($D42,Products!$A$2:$A$101,0)),""))</f>
        <v/>
      </c>
      <c r="R42" s="51" t="str">
        <f>IF(OR($Q42="",$P42=""),"",$Q42+SUMIFS($P$1:$P41,$D$1:$D41,$D42,$U$1:$U41,"Ready"))</f>
        <v/>
      </c>
      <c r="S42" s="51" t="str">
        <f>IF($R42="","",$R42+$P42)</f>
        <v/>
      </c>
      <c r="T42" s="52" t="str">
        <f>IF(COUNTA($A42:$L42)&gt;0,$BP42,"")</f>
        <v/>
      </c>
      <c r="U42" s="49" t="str">
        <f>IF($T42="","",IF($T42=0,"Ready","Rejected"))</f>
        <v/>
      </c>
      <c r="V42" s="49" t="str">
        <f>IF(OR($T42="",$T42=0),"",INDEX(Config!$D$39:$D$61,MATCH(1,$AT42:$BP42,0))&amp;IF($T42&gt;1," (+"&amp;($T42-1)&amp;" more)",""))</f>
        <v/>
      </c>
      <c r="W42" s="52">
        <f>IF(AND(COUNTA($A42:$L42)&gt;0,$A42=""),1,0)</f>
        <v>0</v>
      </c>
      <c r="X42" s="52">
        <f>IF(AND(COUNTA($A42:$L42)&gt;0,$A42&lt;&gt;""),IF(COUNTIF($A$1:$A41,$A42)&gt;0,1,0),0)</f>
        <v>0</v>
      </c>
      <c r="Y42" s="52">
        <f>IF(AND(COUNTA($A42:$L42)&gt;0,$A42&lt;&gt;""),IF(COUNTIF(Inventory_Ledger!$A$2:$A$2001,$A42)&gt;0,1,0),0)</f>
        <v>0</v>
      </c>
      <c r="Z42" s="52">
        <f>IF(AND(COUNTA($A42:$L42)&gt;0,$B42=""),1,0)</f>
        <v>0</v>
      </c>
      <c r="AA42" s="52">
        <f>IF(AND(COUNTA($A42:$L42)&gt;0,$B42&lt;&gt;""),IF($M42="ERR",1,0),0)</f>
        <v>0</v>
      </c>
      <c r="AB42" s="52">
        <f>IF(AND(COUNTA($A42:$L42)&gt;0,ISNUMBER($M42)),IF($M42&gt;Config!$B$4,1,0),0)</f>
        <v>0</v>
      </c>
      <c r="AC42" s="52">
        <f>IF(AND(COUNTA($A42:$L42)&gt;0,$C42=""),1,0)</f>
        <v>0</v>
      </c>
      <c r="AD42" s="52">
        <f>IF(AND(COUNTA($A42:$L42)&gt;0,$C42&lt;&gt;""),IF(COUNTIF(Config!$A$15:$A$34,$C42)=0,1,0),0)</f>
        <v>0</v>
      </c>
      <c r="AE42" s="52">
        <f>IF(AND(COUNTA($A42:$L42)&gt;0,$D42=""),1,0)</f>
        <v>0</v>
      </c>
      <c r="AF42" s="52">
        <f>IF(AND(COUNTA($A42:$L42)&gt;0,$D42&lt;&gt;""),IF(COUNTIF(Products!$A$2:$A$101,$D42)=0,1,0),0)</f>
        <v>0</v>
      </c>
      <c r="AG42" s="52">
        <f>IF(AND(COUNTA($A42:$L42)&gt;0,$C42="Receipt",$E42=""),1,0)</f>
        <v>0</v>
      </c>
      <c r="AH42" s="52">
        <f>IF(AND(COUNTA($A42:$L42)&gt;0,$E42&lt;&gt;""),IF(COUNTIF(Suppliers!$A$2:$A$51,$E42)=0,1,0),0)</f>
        <v>0</v>
      </c>
      <c r="AI42" s="52">
        <f>IF(AND(COUNTA($A42:$L42)&gt;0,$F42=""),1,0)</f>
        <v>0</v>
      </c>
      <c r="AJ42" s="52">
        <f>IF(AND(COUNTA($A42:$L42)&gt;0,$F42&lt;&gt;"",$D42&lt;&gt;"",OR($C42="Shipment",$C42="Adjustment")),IF($AF42=1,0,IF(COUNTIFS(Batches!$A$2:$A$301,$F42,Batches!$B$2:$B$301,$D42)+COUNTIFS($F$1:$F41,$F42,$D$1:$D41,$D42,$C$1:$C41,"Receipt")=0,1,0)),0)</f>
        <v>0</v>
      </c>
      <c r="AK42" s="52">
        <f>IF(AND(COUNTA($A42:$L42)&gt;0,$C42="Receipt",$G42=""),1,0)</f>
        <v>0</v>
      </c>
      <c r="AL42" s="52">
        <f>IF(AND(COUNTA($A42:$L42)&gt;0,$G42&lt;&gt;""),IF($N42="ERR",1,0),0)</f>
        <v>0</v>
      </c>
      <c r="AM42" s="52">
        <f>IF(AND(COUNTA($A42:$L42)&gt;0,$H42=""),1,0)</f>
        <v>0</v>
      </c>
      <c r="AN42" s="52">
        <f>IF(AND(COUNTA($A42:$L42)&gt;0,$H42&lt;&gt;""),IF($O42="ERR",1,IF(INT($O42)&lt;&gt;$O42,1,IF(AND(OR($C42="Receipt",$C42="Shipment"),$O42&lt;=0),1,IF(AND($C42="Adjustment",$O42=0),1,0)))),0)</f>
        <v>0</v>
      </c>
      <c r="AO42" s="52">
        <f>IF(AND(COUNTA($A42:$L42)&gt;0,$C42="Receipt",$I42=""),1,0)</f>
        <v>0</v>
      </c>
      <c r="AP42" s="52">
        <f>IF(AND(COUNTA($A42:$L42)&gt;0,$I42&lt;&gt;""),IF(IFERROR(INDEX(Config!$G$15:$G$34,MATCH($I42,Config!$E$15:$E$34,0)),"No")="Yes",0,1),0)</f>
        <v>0</v>
      </c>
      <c r="AQ42" s="52">
        <f>IF(AND(COUNTA($A42:$L42)&gt;0,$C42="Adjustment",$J42=""),1,0)</f>
        <v>0</v>
      </c>
      <c r="AR42" s="52">
        <f>IF(AND(COUNTA($A42:$L42)&gt;0,$L42=""),1,0)</f>
        <v>0</v>
      </c>
      <c r="AS42" s="52">
        <f>IF(AND(COUNTA($A42:$L42)&gt;0,ISNUMBER($S42)),IF($S42&lt;0,1,0),0)</f>
        <v>0</v>
      </c>
      <c r="AT42" s="52">
        <f>$W42</f>
        <v>0</v>
      </c>
      <c r="AU42" s="52">
        <f>$AT42+$X42</f>
        <v>0</v>
      </c>
      <c r="AV42" s="52">
        <f>$AU42+$Y42</f>
        <v>0</v>
      </c>
      <c r="AW42" s="52">
        <f>$AV42+$Z42</f>
        <v>0</v>
      </c>
      <c r="AX42" s="52">
        <f>$AW42+$AA42</f>
        <v>0</v>
      </c>
      <c r="AY42" s="52">
        <f>$AX42+$AB42</f>
        <v>0</v>
      </c>
      <c r="AZ42" s="52">
        <f>$AY42+$AC42</f>
        <v>0</v>
      </c>
      <c r="BA42" s="52">
        <f>$AZ42+$AD42</f>
        <v>0</v>
      </c>
      <c r="BB42" s="52">
        <f>$BA42+$AE42</f>
        <v>0</v>
      </c>
      <c r="BC42" s="52">
        <f>$BB42+$AF42</f>
        <v>0</v>
      </c>
      <c r="BD42" s="52">
        <f>$BC42+$AG42</f>
        <v>0</v>
      </c>
      <c r="BE42" s="52">
        <f>$BD42+$AH42</f>
        <v>0</v>
      </c>
      <c r="BF42" s="52">
        <f>$BE42+$AI42</f>
        <v>0</v>
      </c>
      <c r="BG42" s="52">
        <f>$BF42+$AJ42</f>
        <v>0</v>
      </c>
      <c r="BH42" s="52">
        <f>$BG42+$AK42</f>
        <v>0</v>
      </c>
      <c r="BI42" s="52">
        <f>$BH42+$AL42</f>
        <v>0</v>
      </c>
      <c r="BJ42" s="52">
        <f>$BI42+$AM42</f>
        <v>0</v>
      </c>
      <c r="BK42" s="52">
        <f>$BJ42+$AN42</f>
        <v>0</v>
      </c>
      <c r="BL42" s="52">
        <f>$BK42+$AO42</f>
        <v>0</v>
      </c>
      <c r="BM42" s="52">
        <f>$BL42+$AP42</f>
        <v>0</v>
      </c>
      <c r="BN42" s="52">
        <f>$BM42+$AQ42</f>
        <v>0</v>
      </c>
      <c r="BO42" s="52">
        <f>$BN42+$AR42</f>
        <v>0</v>
      </c>
      <c r="BP42" s="52">
        <f>$BO42+$AS42</f>
        <v>0</v>
      </c>
      <c r="BQ42" s="52">
        <f>SUM($T$1:$T41)</f>
        <v>11</v>
      </c>
      <c r="BR42" s="52" t="str">
        <f>IF(ISNUMBER($T42),IF($T42&gt;0,COUNTIF($T$2:$T42,"&gt;0"),""),"")</f>
        <v/>
      </c>
      <c r="BS42" s="52" t="str">
        <f>IF($BR42="","",$BQ42+$T42)</f>
        <v/>
      </c>
      <c r="BT42" s="52" t="str">
        <f>IF($U42="Ready",COUNTIF($U$2:$U42,"Ready"),"")</f>
        <v/>
      </c>
      <c r="BU42" s="52">
        <f>IF(AND($U42="Ready",$C42="Receipt"),IF(COUNTIF(Batches!$A$2:$A$301,$F42)+COUNTIFS($F$1:$F41,$F42,$C$1:$C41,"Receipt",$U$1:$U41,"Ready")=0,1,0),0)</f>
        <v>0</v>
      </c>
      <c r="BV42" s="52" t="str">
        <f>IF($BU42=1,SUM($BU$2:$BU42),"")</f>
        <v/>
      </c>
    </row>
    <row r="43">
      <c r="A43" s="46" t="n"/>
      <c r="B43" s="46" t="n"/>
      <c r="C43" s="46" t="n"/>
      <c r="D43" s="46" t="n"/>
      <c r="E43" s="46" t="n"/>
      <c r="F43" s="46" t="n"/>
      <c r="G43" s="46" t="n"/>
      <c r="H43" s="46" t="n"/>
      <c r="I43" s="46" t="n"/>
      <c r="J43" s="46" t="n"/>
      <c r="K43" s="46" t="n"/>
      <c r="L43" s="46" t="n"/>
      <c r="M43" s="62" t="str">
        <f>IF($B43="","",IF(ISNUMBER($B43),$B43,IF(AND(LEN($B43)=10,MID($B43,5,1)="-",MID($B43,8,1)="-"),IFERROR(IF(AND(MONTH(DATE(VALUE(LEFT($B43,4)),VALUE(MID($B43,6,2)),VALUE(RIGHT($B43,2))))=VALUE(MID($B43,6,2)),DAY(DATE(VALUE(LEFT($B43,4)),VALUE(MID($B43,6,2)),VALUE(RIGHT($B43,2))))=VALUE(RIGHT($B43,2))),DATE(VALUE(LEFT($B43,4)),VALUE(MID($B43,6,2)),VALUE(RIGHT($B43,2))),"ERR"),"ERR"),"ERR")))</f>
        <v/>
      </c>
      <c r="N43" s="62" t="str">
        <f>IF($G43="","",IF(ISNUMBER($G43),$G43,IF(AND(LEN($G43)=10,MID($G43,5,1)="-",MID($G43,8,1)="-"),IFERROR(IF(AND(MONTH(DATE(VALUE(LEFT($G43,4)),VALUE(MID($G43,6,2)),VALUE(RIGHT($G43,2))))=VALUE(MID($G43,6,2)),DAY(DATE(VALUE(LEFT($G43,4)),VALUE(MID($G43,6,2)),VALUE(RIGHT($G43,2))))=VALUE(RIGHT($G43,2))),DATE(VALUE(LEFT($G43,4)),VALUE(MID($G43,6,2)),VALUE(RIGHT($G43,2))),"ERR"),"ERR"),"ERR")))</f>
        <v/>
      </c>
      <c r="O43" s="51" t="str">
        <f>IF($H43="","",IF(ISNUMBER($H43),$H43,IFERROR(VALUE($H43),"ERR")))</f>
        <v/>
      </c>
      <c r="P43" s="51" t="str">
        <f>IF(AND(ISNUMBER($O43),OR($C43="Receipt",$C43="Shipment",$C43="Adjustment")),IF($C43="Shipment",-$O43,$O43),"")</f>
        <v/>
      </c>
      <c r="Q43" s="51" t="str">
        <f>IF($D43="","",IFERROR(INDEX(Products!$R$2:$R$101,MATCH($D43,Products!$A$2:$A$101,0)),""))</f>
        <v/>
      </c>
      <c r="R43" s="51" t="str">
        <f>IF(OR($Q43="",$P43=""),"",$Q43+SUMIFS($P$1:$P42,$D$1:$D42,$D43,$U$1:$U42,"Ready"))</f>
        <v/>
      </c>
      <c r="S43" s="51" t="str">
        <f>IF($R43="","",$R43+$P43)</f>
        <v/>
      </c>
      <c r="T43" s="52" t="str">
        <f>IF(COUNTA($A43:$L43)&gt;0,$BP43,"")</f>
        <v/>
      </c>
      <c r="U43" s="49" t="str">
        <f>IF($T43="","",IF($T43=0,"Ready","Rejected"))</f>
        <v/>
      </c>
      <c r="V43" s="49" t="str">
        <f>IF(OR($T43="",$T43=0),"",INDEX(Config!$D$39:$D$61,MATCH(1,$AT43:$BP43,0))&amp;IF($T43&gt;1," (+"&amp;($T43-1)&amp;" more)",""))</f>
        <v/>
      </c>
      <c r="W43" s="52">
        <f>IF(AND(COUNTA($A43:$L43)&gt;0,$A43=""),1,0)</f>
        <v>0</v>
      </c>
      <c r="X43" s="52">
        <f>IF(AND(COUNTA($A43:$L43)&gt;0,$A43&lt;&gt;""),IF(COUNTIF($A$1:$A42,$A43)&gt;0,1,0),0)</f>
        <v>0</v>
      </c>
      <c r="Y43" s="52">
        <f>IF(AND(COUNTA($A43:$L43)&gt;0,$A43&lt;&gt;""),IF(COUNTIF(Inventory_Ledger!$A$2:$A$2001,$A43)&gt;0,1,0),0)</f>
        <v>0</v>
      </c>
      <c r="Z43" s="52">
        <f>IF(AND(COUNTA($A43:$L43)&gt;0,$B43=""),1,0)</f>
        <v>0</v>
      </c>
      <c r="AA43" s="52">
        <f>IF(AND(COUNTA($A43:$L43)&gt;0,$B43&lt;&gt;""),IF($M43="ERR",1,0),0)</f>
        <v>0</v>
      </c>
      <c r="AB43" s="52">
        <f>IF(AND(COUNTA($A43:$L43)&gt;0,ISNUMBER($M43)),IF($M43&gt;Config!$B$4,1,0),0)</f>
        <v>0</v>
      </c>
      <c r="AC43" s="52">
        <f>IF(AND(COUNTA($A43:$L43)&gt;0,$C43=""),1,0)</f>
        <v>0</v>
      </c>
      <c r="AD43" s="52">
        <f>IF(AND(COUNTA($A43:$L43)&gt;0,$C43&lt;&gt;""),IF(COUNTIF(Config!$A$15:$A$34,$C43)=0,1,0),0)</f>
        <v>0</v>
      </c>
      <c r="AE43" s="52">
        <f>IF(AND(COUNTA($A43:$L43)&gt;0,$D43=""),1,0)</f>
        <v>0</v>
      </c>
      <c r="AF43" s="52">
        <f>IF(AND(COUNTA($A43:$L43)&gt;0,$D43&lt;&gt;""),IF(COUNTIF(Products!$A$2:$A$101,$D43)=0,1,0),0)</f>
        <v>0</v>
      </c>
      <c r="AG43" s="52">
        <f>IF(AND(COUNTA($A43:$L43)&gt;0,$C43="Receipt",$E43=""),1,0)</f>
        <v>0</v>
      </c>
      <c r="AH43" s="52">
        <f>IF(AND(COUNTA($A43:$L43)&gt;0,$E43&lt;&gt;""),IF(COUNTIF(Suppliers!$A$2:$A$51,$E43)=0,1,0),0)</f>
        <v>0</v>
      </c>
      <c r="AI43" s="52">
        <f>IF(AND(COUNTA($A43:$L43)&gt;0,$F43=""),1,0)</f>
        <v>0</v>
      </c>
      <c r="AJ43" s="52">
        <f>IF(AND(COUNTA($A43:$L43)&gt;0,$F43&lt;&gt;"",$D43&lt;&gt;"",OR($C43="Shipment",$C43="Adjustment")),IF($AF43=1,0,IF(COUNTIFS(Batches!$A$2:$A$301,$F43,Batches!$B$2:$B$301,$D43)+COUNTIFS($F$1:$F42,$F43,$D$1:$D42,$D43,$C$1:$C42,"Receipt")=0,1,0)),0)</f>
        <v>0</v>
      </c>
      <c r="AK43" s="52">
        <f>IF(AND(COUNTA($A43:$L43)&gt;0,$C43="Receipt",$G43=""),1,0)</f>
        <v>0</v>
      </c>
      <c r="AL43" s="52">
        <f>IF(AND(COUNTA($A43:$L43)&gt;0,$G43&lt;&gt;""),IF($N43="ERR",1,0),0)</f>
        <v>0</v>
      </c>
      <c r="AM43" s="52">
        <f>IF(AND(COUNTA($A43:$L43)&gt;0,$H43=""),1,0)</f>
        <v>0</v>
      </c>
      <c r="AN43" s="52">
        <f>IF(AND(COUNTA($A43:$L43)&gt;0,$H43&lt;&gt;""),IF($O43="ERR",1,IF(INT($O43)&lt;&gt;$O43,1,IF(AND(OR($C43="Receipt",$C43="Shipment"),$O43&lt;=0),1,IF(AND($C43="Adjustment",$O43=0),1,0)))),0)</f>
        <v>0</v>
      </c>
      <c r="AO43" s="52">
        <f>IF(AND(COUNTA($A43:$L43)&gt;0,$C43="Receipt",$I43=""),1,0)</f>
        <v>0</v>
      </c>
      <c r="AP43" s="52">
        <f>IF(AND(COUNTA($A43:$L43)&gt;0,$I43&lt;&gt;""),IF(IFERROR(INDEX(Config!$G$15:$G$34,MATCH($I43,Config!$E$15:$E$34,0)),"No")="Yes",0,1),0)</f>
        <v>0</v>
      </c>
      <c r="AQ43" s="52">
        <f>IF(AND(COUNTA($A43:$L43)&gt;0,$C43="Adjustment",$J43=""),1,0)</f>
        <v>0</v>
      </c>
      <c r="AR43" s="52">
        <f>IF(AND(COUNTA($A43:$L43)&gt;0,$L43=""),1,0)</f>
        <v>0</v>
      </c>
      <c r="AS43" s="52">
        <f>IF(AND(COUNTA($A43:$L43)&gt;0,ISNUMBER($S43)),IF($S43&lt;0,1,0),0)</f>
        <v>0</v>
      </c>
      <c r="AT43" s="52">
        <f>$W43</f>
        <v>0</v>
      </c>
      <c r="AU43" s="52">
        <f>$AT43+$X43</f>
        <v>0</v>
      </c>
      <c r="AV43" s="52">
        <f>$AU43+$Y43</f>
        <v>0</v>
      </c>
      <c r="AW43" s="52">
        <f>$AV43+$Z43</f>
        <v>0</v>
      </c>
      <c r="AX43" s="52">
        <f>$AW43+$AA43</f>
        <v>0</v>
      </c>
      <c r="AY43" s="52">
        <f>$AX43+$AB43</f>
        <v>0</v>
      </c>
      <c r="AZ43" s="52">
        <f>$AY43+$AC43</f>
        <v>0</v>
      </c>
      <c r="BA43" s="52">
        <f>$AZ43+$AD43</f>
        <v>0</v>
      </c>
      <c r="BB43" s="52">
        <f>$BA43+$AE43</f>
        <v>0</v>
      </c>
      <c r="BC43" s="52">
        <f>$BB43+$AF43</f>
        <v>0</v>
      </c>
      <c r="BD43" s="52">
        <f>$BC43+$AG43</f>
        <v>0</v>
      </c>
      <c r="BE43" s="52">
        <f>$BD43+$AH43</f>
        <v>0</v>
      </c>
      <c r="BF43" s="52">
        <f>$BE43+$AI43</f>
        <v>0</v>
      </c>
      <c r="BG43" s="52">
        <f>$BF43+$AJ43</f>
        <v>0</v>
      </c>
      <c r="BH43" s="52">
        <f>$BG43+$AK43</f>
        <v>0</v>
      </c>
      <c r="BI43" s="52">
        <f>$BH43+$AL43</f>
        <v>0</v>
      </c>
      <c r="BJ43" s="52">
        <f>$BI43+$AM43</f>
        <v>0</v>
      </c>
      <c r="BK43" s="52">
        <f>$BJ43+$AN43</f>
        <v>0</v>
      </c>
      <c r="BL43" s="52">
        <f>$BK43+$AO43</f>
        <v>0</v>
      </c>
      <c r="BM43" s="52">
        <f>$BL43+$AP43</f>
        <v>0</v>
      </c>
      <c r="BN43" s="52">
        <f>$BM43+$AQ43</f>
        <v>0</v>
      </c>
      <c r="BO43" s="52">
        <f>$BN43+$AR43</f>
        <v>0</v>
      </c>
      <c r="BP43" s="52">
        <f>$BO43+$AS43</f>
        <v>0</v>
      </c>
      <c r="BQ43" s="52">
        <f>SUM($T$1:$T42)</f>
        <v>11</v>
      </c>
      <c r="BR43" s="52" t="str">
        <f>IF(ISNUMBER($T43),IF($T43&gt;0,COUNTIF($T$2:$T43,"&gt;0"),""),"")</f>
        <v/>
      </c>
      <c r="BS43" s="52" t="str">
        <f>IF($BR43="","",$BQ43+$T43)</f>
        <v/>
      </c>
      <c r="BT43" s="52" t="str">
        <f>IF($U43="Ready",COUNTIF($U$2:$U43,"Ready"),"")</f>
        <v/>
      </c>
      <c r="BU43" s="52">
        <f>IF(AND($U43="Ready",$C43="Receipt"),IF(COUNTIF(Batches!$A$2:$A$301,$F43)+COUNTIFS($F$1:$F42,$F43,$C$1:$C42,"Receipt",$U$1:$U42,"Ready")=0,1,0),0)</f>
        <v>0</v>
      </c>
      <c r="BV43" s="52" t="str">
        <f>IF($BU43=1,SUM($BU$2:$BU43),"")</f>
        <v/>
      </c>
    </row>
    <row r="44">
      <c r="A44" s="46" t="n"/>
      <c r="B44" s="46" t="n"/>
      <c r="C44" s="46" t="n"/>
      <c r="D44" s="46" t="n"/>
      <c r="E44" s="46" t="n"/>
      <c r="F44" s="46" t="n"/>
      <c r="G44" s="46" t="n"/>
      <c r="H44" s="46" t="n"/>
      <c r="I44" s="46" t="n"/>
      <c r="J44" s="46" t="n"/>
      <c r="K44" s="46" t="n"/>
      <c r="L44" s="46" t="n"/>
      <c r="M44" s="62" t="str">
        <f>IF($B44="","",IF(ISNUMBER($B44),$B44,IF(AND(LEN($B44)=10,MID($B44,5,1)="-",MID($B44,8,1)="-"),IFERROR(IF(AND(MONTH(DATE(VALUE(LEFT($B44,4)),VALUE(MID($B44,6,2)),VALUE(RIGHT($B44,2))))=VALUE(MID($B44,6,2)),DAY(DATE(VALUE(LEFT($B44,4)),VALUE(MID($B44,6,2)),VALUE(RIGHT($B44,2))))=VALUE(RIGHT($B44,2))),DATE(VALUE(LEFT($B44,4)),VALUE(MID($B44,6,2)),VALUE(RIGHT($B44,2))),"ERR"),"ERR"),"ERR")))</f>
        <v/>
      </c>
      <c r="N44" s="62" t="str">
        <f>IF($G44="","",IF(ISNUMBER($G44),$G44,IF(AND(LEN($G44)=10,MID($G44,5,1)="-",MID($G44,8,1)="-"),IFERROR(IF(AND(MONTH(DATE(VALUE(LEFT($G44,4)),VALUE(MID($G44,6,2)),VALUE(RIGHT($G44,2))))=VALUE(MID($G44,6,2)),DAY(DATE(VALUE(LEFT($G44,4)),VALUE(MID($G44,6,2)),VALUE(RIGHT($G44,2))))=VALUE(RIGHT($G44,2))),DATE(VALUE(LEFT($G44,4)),VALUE(MID($G44,6,2)),VALUE(RIGHT($G44,2))),"ERR"),"ERR"),"ERR")))</f>
        <v/>
      </c>
      <c r="O44" s="51" t="str">
        <f>IF($H44="","",IF(ISNUMBER($H44),$H44,IFERROR(VALUE($H44),"ERR")))</f>
        <v/>
      </c>
      <c r="P44" s="51" t="str">
        <f>IF(AND(ISNUMBER($O44),OR($C44="Receipt",$C44="Shipment",$C44="Adjustment")),IF($C44="Shipment",-$O44,$O44),"")</f>
        <v/>
      </c>
      <c r="Q44" s="51" t="str">
        <f>IF($D44="","",IFERROR(INDEX(Products!$R$2:$R$101,MATCH($D44,Products!$A$2:$A$101,0)),""))</f>
        <v/>
      </c>
      <c r="R44" s="51" t="str">
        <f>IF(OR($Q44="",$P44=""),"",$Q44+SUMIFS($P$1:$P43,$D$1:$D43,$D44,$U$1:$U43,"Ready"))</f>
        <v/>
      </c>
      <c r="S44" s="51" t="str">
        <f>IF($R44="","",$R44+$P44)</f>
        <v/>
      </c>
      <c r="T44" s="52" t="str">
        <f>IF(COUNTA($A44:$L44)&gt;0,$BP44,"")</f>
        <v/>
      </c>
      <c r="U44" s="49" t="str">
        <f>IF($T44="","",IF($T44=0,"Ready","Rejected"))</f>
        <v/>
      </c>
      <c r="V44" s="49" t="str">
        <f>IF(OR($T44="",$T44=0),"",INDEX(Config!$D$39:$D$61,MATCH(1,$AT44:$BP44,0))&amp;IF($T44&gt;1," (+"&amp;($T44-1)&amp;" more)",""))</f>
        <v/>
      </c>
      <c r="W44" s="52">
        <f>IF(AND(COUNTA($A44:$L44)&gt;0,$A44=""),1,0)</f>
        <v>0</v>
      </c>
      <c r="X44" s="52">
        <f>IF(AND(COUNTA($A44:$L44)&gt;0,$A44&lt;&gt;""),IF(COUNTIF($A$1:$A43,$A44)&gt;0,1,0),0)</f>
        <v>0</v>
      </c>
      <c r="Y44" s="52">
        <f>IF(AND(COUNTA($A44:$L44)&gt;0,$A44&lt;&gt;""),IF(COUNTIF(Inventory_Ledger!$A$2:$A$2001,$A44)&gt;0,1,0),0)</f>
        <v>0</v>
      </c>
      <c r="Z44" s="52">
        <f>IF(AND(COUNTA($A44:$L44)&gt;0,$B44=""),1,0)</f>
        <v>0</v>
      </c>
      <c r="AA44" s="52">
        <f>IF(AND(COUNTA($A44:$L44)&gt;0,$B44&lt;&gt;""),IF($M44="ERR",1,0),0)</f>
        <v>0</v>
      </c>
      <c r="AB44" s="52">
        <f>IF(AND(COUNTA($A44:$L44)&gt;0,ISNUMBER($M44)),IF($M44&gt;Config!$B$4,1,0),0)</f>
        <v>0</v>
      </c>
      <c r="AC44" s="52">
        <f>IF(AND(COUNTA($A44:$L44)&gt;0,$C44=""),1,0)</f>
        <v>0</v>
      </c>
      <c r="AD44" s="52">
        <f>IF(AND(COUNTA($A44:$L44)&gt;0,$C44&lt;&gt;""),IF(COUNTIF(Config!$A$15:$A$34,$C44)=0,1,0),0)</f>
        <v>0</v>
      </c>
      <c r="AE44" s="52">
        <f>IF(AND(COUNTA($A44:$L44)&gt;0,$D44=""),1,0)</f>
        <v>0</v>
      </c>
      <c r="AF44" s="52">
        <f>IF(AND(COUNTA($A44:$L44)&gt;0,$D44&lt;&gt;""),IF(COUNTIF(Products!$A$2:$A$101,$D44)=0,1,0),0)</f>
        <v>0</v>
      </c>
      <c r="AG44" s="52">
        <f>IF(AND(COUNTA($A44:$L44)&gt;0,$C44="Receipt",$E44=""),1,0)</f>
        <v>0</v>
      </c>
      <c r="AH44" s="52">
        <f>IF(AND(COUNTA($A44:$L44)&gt;0,$E44&lt;&gt;""),IF(COUNTIF(Suppliers!$A$2:$A$51,$E44)=0,1,0),0)</f>
        <v>0</v>
      </c>
      <c r="AI44" s="52">
        <f>IF(AND(COUNTA($A44:$L44)&gt;0,$F44=""),1,0)</f>
        <v>0</v>
      </c>
      <c r="AJ44" s="52">
        <f>IF(AND(COUNTA($A44:$L44)&gt;0,$F44&lt;&gt;"",$D44&lt;&gt;"",OR($C44="Shipment",$C44="Adjustment")),IF($AF44=1,0,IF(COUNTIFS(Batches!$A$2:$A$301,$F44,Batches!$B$2:$B$301,$D44)+COUNTIFS($F$1:$F43,$F44,$D$1:$D43,$D44,$C$1:$C43,"Receipt")=0,1,0)),0)</f>
        <v>0</v>
      </c>
      <c r="AK44" s="52">
        <f>IF(AND(COUNTA($A44:$L44)&gt;0,$C44="Receipt",$G44=""),1,0)</f>
        <v>0</v>
      </c>
      <c r="AL44" s="52">
        <f>IF(AND(COUNTA($A44:$L44)&gt;0,$G44&lt;&gt;""),IF($N44="ERR",1,0),0)</f>
        <v>0</v>
      </c>
      <c r="AM44" s="52">
        <f>IF(AND(COUNTA($A44:$L44)&gt;0,$H44=""),1,0)</f>
        <v>0</v>
      </c>
      <c r="AN44" s="52">
        <f>IF(AND(COUNTA($A44:$L44)&gt;0,$H44&lt;&gt;""),IF($O44="ERR",1,IF(INT($O44)&lt;&gt;$O44,1,IF(AND(OR($C44="Receipt",$C44="Shipment"),$O44&lt;=0),1,IF(AND($C44="Adjustment",$O44=0),1,0)))),0)</f>
        <v>0</v>
      </c>
      <c r="AO44" s="52">
        <f>IF(AND(COUNTA($A44:$L44)&gt;0,$C44="Receipt",$I44=""),1,0)</f>
        <v>0</v>
      </c>
      <c r="AP44" s="52">
        <f>IF(AND(COUNTA($A44:$L44)&gt;0,$I44&lt;&gt;""),IF(IFERROR(INDEX(Config!$G$15:$G$34,MATCH($I44,Config!$E$15:$E$34,0)),"No")="Yes",0,1),0)</f>
        <v>0</v>
      </c>
      <c r="AQ44" s="52">
        <f>IF(AND(COUNTA($A44:$L44)&gt;0,$C44="Adjustment",$J44=""),1,0)</f>
        <v>0</v>
      </c>
      <c r="AR44" s="52">
        <f>IF(AND(COUNTA($A44:$L44)&gt;0,$L44=""),1,0)</f>
        <v>0</v>
      </c>
      <c r="AS44" s="52">
        <f>IF(AND(COUNTA($A44:$L44)&gt;0,ISNUMBER($S44)),IF($S44&lt;0,1,0),0)</f>
        <v>0</v>
      </c>
      <c r="AT44" s="52">
        <f>$W44</f>
        <v>0</v>
      </c>
      <c r="AU44" s="52">
        <f>$AT44+$X44</f>
        <v>0</v>
      </c>
      <c r="AV44" s="52">
        <f>$AU44+$Y44</f>
        <v>0</v>
      </c>
      <c r="AW44" s="52">
        <f>$AV44+$Z44</f>
        <v>0</v>
      </c>
      <c r="AX44" s="52">
        <f>$AW44+$AA44</f>
        <v>0</v>
      </c>
      <c r="AY44" s="52">
        <f>$AX44+$AB44</f>
        <v>0</v>
      </c>
      <c r="AZ44" s="52">
        <f>$AY44+$AC44</f>
        <v>0</v>
      </c>
      <c r="BA44" s="52">
        <f>$AZ44+$AD44</f>
        <v>0</v>
      </c>
      <c r="BB44" s="52">
        <f>$BA44+$AE44</f>
        <v>0</v>
      </c>
      <c r="BC44" s="52">
        <f>$BB44+$AF44</f>
        <v>0</v>
      </c>
      <c r="BD44" s="52">
        <f>$BC44+$AG44</f>
        <v>0</v>
      </c>
      <c r="BE44" s="52">
        <f>$BD44+$AH44</f>
        <v>0</v>
      </c>
      <c r="BF44" s="52">
        <f>$BE44+$AI44</f>
        <v>0</v>
      </c>
      <c r="BG44" s="52">
        <f>$BF44+$AJ44</f>
        <v>0</v>
      </c>
      <c r="BH44" s="52">
        <f>$BG44+$AK44</f>
        <v>0</v>
      </c>
      <c r="BI44" s="52">
        <f>$BH44+$AL44</f>
        <v>0</v>
      </c>
      <c r="BJ44" s="52">
        <f>$BI44+$AM44</f>
        <v>0</v>
      </c>
      <c r="BK44" s="52">
        <f>$BJ44+$AN44</f>
        <v>0</v>
      </c>
      <c r="BL44" s="52">
        <f>$BK44+$AO44</f>
        <v>0</v>
      </c>
      <c r="BM44" s="52">
        <f>$BL44+$AP44</f>
        <v>0</v>
      </c>
      <c r="BN44" s="52">
        <f>$BM44+$AQ44</f>
        <v>0</v>
      </c>
      <c r="BO44" s="52">
        <f>$BN44+$AR44</f>
        <v>0</v>
      </c>
      <c r="BP44" s="52">
        <f>$BO44+$AS44</f>
        <v>0</v>
      </c>
      <c r="BQ44" s="52">
        <f>SUM($T$1:$T43)</f>
        <v>11</v>
      </c>
      <c r="BR44" s="52" t="str">
        <f>IF(ISNUMBER($T44),IF($T44&gt;0,COUNTIF($T$2:$T44,"&gt;0"),""),"")</f>
        <v/>
      </c>
      <c r="BS44" s="52" t="str">
        <f>IF($BR44="","",$BQ44+$T44)</f>
        <v/>
      </c>
      <c r="BT44" s="52" t="str">
        <f>IF($U44="Ready",COUNTIF($U$2:$U44,"Ready"),"")</f>
        <v/>
      </c>
      <c r="BU44" s="52">
        <f>IF(AND($U44="Ready",$C44="Receipt"),IF(COUNTIF(Batches!$A$2:$A$301,$F44)+COUNTIFS($F$1:$F43,$F44,$C$1:$C43,"Receipt",$U$1:$U43,"Ready")=0,1,0),0)</f>
        <v>0</v>
      </c>
      <c r="BV44" s="52" t="str">
        <f>IF($BU44=1,SUM($BU$2:$BU44),"")</f>
        <v/>
      </c>
    </row>
    <row r="45">
      <c r="A45" s="46" t="n"/>
      <c r="B45" s="46" t="n"/>
      <c r="C45" s="46" t="n"/>
      <c r="D45" s="46" t="n"/>
      <c r="E45" s="46" t="n"/>
      <c r="F45" s="46" t="n"/>
      <c r="G45" s="46" t="n"/>
      <c r="H45" s="46" t="n"/>
      <c r="I45" s="46" t="n"/>
      <c r="J45" s="46" t="n"/>
      <c r="K45" s="46" t="n"/>
      <c r="L45" s="46" t="n"/>
      <c r="M45" s="62" t="str">
        <f>IF($B45="","",IF(ISNUMBER($B45),$B45,IF(AND(LEN($B45)=10,MID($B45,5,1)="-",MID($B45,8,1)="-"),IFERROR(IF(AND(MONTH(DATE(VALUE(LEFT($B45,4)),VALUE(MID($B45,6,2)),VALUE(RIGHT($B45,2))))=VALUE(MID($B45,6,2)),DAY(DATE(VALUE(LEFT($B45,4)),VALUE(MID($B45,6,2)),VALUE(RIGHT($B45,2))))=VALUE(RIGHT($B45,2))),DATE(VALUE(LEFT($B45,4)),VALUE(MID($B45,6,2)),VALUE(RIGHT($B45,2))),"ERR"),"ERR"),"ERR")))</f>
        <v/>
      </c>
      <c r="N45" s="62" t="str">
        <f>IF($G45="","",IF(ISNUMBER($G45),$G45,IF(AND(LEN($G45)=10,MID($G45,5,1)="-",MID($G45,8,1)="-"),IFERROR(IF(AND(MONTH(DATE(VALUE(LEFT($G45,4)),VALUE(MID($G45,6,2)),VALUE(RIGHT($G45,2))))=VALUE(MID($G45,6,2)),DAY(DATE(VALUE(LEFT($G45,4)),VALUE(MID($G45,6,2)),VALUE(RIGHT($G45,2))))=VALUE(RIGHT($G45,2))),DATE(VALUE(LEFT($G45,4)),VALUE(MID($G45,6,2)),VALUE(RIGHT($G45,2))),"ERR"),"ERR"),"ERR")))</f>
        <v/>
      </c>
      <c r="O45" s="51" t="str">
        <f>IF($H45="","",IF(ISNUMBER($H45),$H45,IFERROR(VALUE($H45),"ERR")))</f>
        <v/>
      </c>
      <c r="P45" s="51" t="str">
        <f>IF(AND(ISNUMBER($O45),OR($C45="Receipt",$C45="Shipment",$C45="Adjustment")),IF($C45="Shipment",-$O45,$O45),"")</f>
        <v/>
      </c>
      <c r="Q45" s="51" t="str">
        <f>IF($D45="","",IFERROR(INDEX(Products!$R$2:$R$101,MATCH($D45,Products!$A$2:$A$101,0)),""))</f>
        <v/>
      </c>
      <c r="R45" s="51" t="str">
        <f>IF(OR($Q45="",$P45=""),"",$Q45+SUMIFS($P$1:$P44,$D$1:$D44,$D45,$U$1:$U44,"Ready"))</f>
        <v/>
      </c>
      <c r="S45" s="51" t="str">
        <f>IF($R45="","",$R45+$P45)</f>
        <v/>
      </c>
      <c r="T45" s="52" t="str">
        <f>IF(COUNTA($A45:$L45)&gt;0,$BP45,"")</f>
        <v/>
      </c>
      <c r="U45" s="49" t="str">
        <f>IF($T45="","",IF($T45=0,"Ready","Rejected"))</f>
        <v/>
      </c>
      <c r="V45" s="49" t="str">
        <f>IF(OR($T45="",$T45=0),"",INDEX(Config!$D$39:$D$61,MATCH(1,$AT45:$BP45,0))&amp;IF($T45&gt;1," (+"&amp;($T45-1)&amp;" more)",""))</f>
        <v/>
      </c>
      <c r="W45" s="52">
        <f>IF(AND(COUNTA($A45:$L45)&gt;0,$A45=""),1,0)</f>
        <v>0</v>
      </c>
      <c r="X45" s="52">
        <f>IF(AND(COUNTA($A45:$L45)&gt;0,$A45&lt;&gt;""),IF(COUNTIF($A$1:$A44,$A45)&gt;0,1,0),0)</f>
        <v>0</v>
      </c>
      <c r="Y45" s="52">
        <f>IF(AND(COUNTA($A45:$L45)&gt;0,$A45&lt;&gt;""),IF(COUNTIF(Inventory_Ledger!$A$2:$A$2001,$A45)&gt;0,1,0),0)</f>
        <v>0</v>
      </c>
      <c r="Z45" s="52">
        <f>IF(AND(COUNTA($A45:$L45)&gt;0,$B45=""),1,0)</f>
        <v>0</v>
      </c>
      <c r="AA45" s="52">
        <f>IF(AND(COUNTA($A45:$L45)&gt;0,$B45&lt;&gt;""),IF($M45="ERR",1,0),0)</f>
        <v>0</v>
      </c>
      <c r="AB45" s="52">
        <f>IF(AND(COUNTA($A45:$L45)&gt;0,ISNUMBER($M45)),IF($M45&gt;Config!$B$4,1,0),0)</f>
        <v>0</v>
      </c>
      <c r="AC45" s="52">
        <f>IF(AND(COUNTA($A45:$L45)&gt;0,$C45=""),1,0)</f>
        <v>0</v>
      </c>
      <c r="AD45" s="52">
        <f>IF(AND(COUNTA($A45:$L45)&gt;0,$C45&lt;&gt;""),IF(COUNTIF(Config!$A$15:$A$34,$C45)=0,1,0),0)</f>
        <v>0</v>
      </c>
      <c r="AE45" s="52">
        <f>IF(AND(COUNTA($A45:$L45)&gt;0,$D45=""),1,0)</f>
        <v>0</v>
      </c>
      <c r="AF45" s="52">
        <f>IF(AND(COUNTA($A45:$L45)&gt;0,$D45&lt;&gt;""),IF(COUNTIF(Products!$A$2:$A$101,$D45)=0,1,0),0)</f>
        <v>0</v>
      </c>
      <c r="AG45" s="52">
        <f>IF(AND(COUNTA($A45:$L45)&gt;0,$C45="Receipt",$E45=""),1,0)</f>
        <v>0</v>
      </c>
      <c r="AH45" s="52">
        <f>IF(AND(COUNTA($A45:$L45)&gt;0,$E45&lt;&gt;""),IF(COUNTIF(Suppliers!$A$2:$A$51,$E45)=0,1,0),0)</f>
        <v>0</v>
      </c>
      <c r="AI45" s="52">
        <f>IF(AND(COUNTA($A45:$L45)&gt;0,$F45=""),1,0)</f>
        <v>0</v>
      </c>
      <c r="AJ45" s="52">
        <f>IF(AND(COUNTA($A45:$L45)&gt;0,$F45&lt;&gt;"",$D45&lt;&gt;"",OR($C45="Shipment",$C45="Adjustment")),IF($AF45=1,0,IF(COUNTIFS(Batches!$A$2:$A$301,$F45,Batches!$B$2:$B$301,$D45)+COUNTIFS($F$1:$F44,$F45,$D$1:$D44,$D45,$C$1:$C44,"Receipt")=0,1,0)),0)</f>
        <v>0</v>
      </c>
      <c r="AK45" s="52">
        <f>IF(AND(COUNTA($A45:$L45)&gt;0,$C45="Receipt",$G45=""),1,0)</f>
        <v>0</v>
      </c>
      <c r="AL45" s="52">
        <f>IF(AND(COUNTA($A45:$L45)&gt;0,$G45&lt;&gt;""),IF($N45="ERR",1,0),0)</f>
        <v>0</v>
      </c>
      <c r="AM45" s="52">
        <f>IF(AND(COUNTA($A45:$L45)&gt;0,$H45=""),1,0)</f>
        <v>0</v>
      </c>
      <c r="AN45" s="52">
        <f>IF(AND(COUNTA($A45:$L45)&gt;0,$H45&lt;&gt;""),IF($O45="ERR",1,IF(INT($O45)&lt;&gt;$O45,1,IF(AND(OR($C45="Receipt",$C45="Shipment"),$O45&lt;=0),1,IF(AND($C45="Adjustment",$O45=0),1,0)))),0)</f>
        <v>0</v>
      </c>
      <c r="AO45" s="52">
        <f>IF(AND(COUNTA($A45:$L45)&gt;0,$C45="Receipt",$I45=""),1,0)</f>
        <v>0</v>
      </c>
      <c r="AP45" s="52">
        <f>IF(AND(COUNTA($A45:$L45)&gt;0,$I45&lt;&gt;""),IF(IFERROR(INDEX(Config!$G$15:$G$34,MATCH($I45,Config!$E$15:$E$34,0)),"No")="Yes",0,1),0)</f>
        <v>0</v>
      </c>
      <c r="AQ45" s="52">
        <f>IF(AND(COUNTA($A45:$L45)&gt;0,$C45="Adjustment",$J45=""),1,0)</f>
        <v>0</v>
      </c>
      <c r="AR45" s="52">
        <f>IF(AND(COUNTA($A45:$L45)&gt;0,$L45=""),1,0)</f>
        <v>0</v>
      </c>
      <c r="AS45" s="52">
        <f>IF(AND(COUNTA($A45:$L45)&gt;0,ISNUMBER($S45)),IF($S45&lt;0,1,0),0)</f>
        <v>0</v>
      </c>
      <c r="AT45" s="52">
        <f>$W45</f>
        <v>0</v>
      </c>
      <c r="AU45" s="52">
        <f>$AT45+$X45</f>
        <v>0</v>
      </c>
      <c r="AV45" s="52">
        <f>$AU45+$Y45</f>
        <v>0</v>
      </c>
      <c r="AW45" s="52">
        <f>$AV45+$Z45</f>
        <v>0</v>
      </c>
      <c r="AX45" s="52">
        <f>$AW45+$AA45</f>
        <v>0</v>
      </c>
      <c r="AY45" s="52">
        <f>$AX45+$AB45</f>
        <v>0</v>
      </c>
      <c r="AZ45" s="52">
        <f>$AY45+$AC45</f>
        <v>0</v>
      </c>
      <c r="BA45" s="52">
        <f>$AZ45+$AD45</f>
        <v>0</v>
      </c>
      <c r="BB45" s="52">
        <f>$BA45+$AE45</f>
        <v>0</v>
      </c>
      <c r="BC45" s="52">
        <f>$BB45+$AF45</f>
        <v>0</v>
      </c>
      <c r="BD45" s="52">
        <f>$BC45+$AG45</f>
        <v>0</v>
      </c>
      <c r="BE45" s="52">
        <f>$BD45+$AH45</f>
        <v>0</v>
      </c>
      <c r="BF45" s="52">
        <f>$BE45+$AI45</f>
        <v>0</v>
      </c>
      <c r="BG45" s="52">
        <f>$BF45+$AJ45</f>
        <v>0</v>
      </c>
      <c r="BH45" s="52">
        <f>$BG45+$AK45</f>
        <v>0</v>
      </c>
      <c r="BI45" s="52">
        <f>$BH45+$AL45</f>
        <v>0</v>
      </c>
      <c r="BJ45" s="52">
        <f>$BI45+$AM45</f>
        <v>0</v>
      </c>
      <c r="BK45" s="52">
        <f>$BJ45+$AN45</f>
        <v>0</v>
      </c>
      <c r="BL45" s="52">
        <f>$BK45+$AO45</f>
        <v>0</v>
      </c>
      <c r="BM45" s="52">
        <f>$BL45+$AP45</f>
        <v>0</v>
      </c>
      <c r="BN45" s="52">
        <f>$BM45+$AQ45</f>
        <v>0</v>
      </c>
      <c r="BO45" s="52">
        <f>$BN45+$AR45</f>
        <v>0</v>
      </c>
      <c r="BP45" s="52">
        <f>$BO45+$AS45</f>
        <v>0</v>
      </c>
      <c r="BQ45" s="52">
        <f>SUM($T$1:$T44)</f>
        <v>11</v>
      </c>
      <c r="BR45" s="52" t="str">
        <f>IF(ISNUMBER($T45),IF($T45&gt;0,COUNTIF($T$2:$T45,"&gt;0"),""),"")</f>
        <v/>
      </c>
      <c r="BS45" s="52" t="str">
        <f>IF($BR45="","",$BQ45+$T45)</f>
        <v/>
      </c>
      <c r="BT45" s="52" t="str">
        <f>IF($U45="Ready",COUNTIF($U$2:$U45,"Ready"),"")</f>
        <v/>
      </c>
      <c r="BU45" s="52">
        <f>IF(AND($U45="Ready",$C45="Receipt"),IF(COUNTIF(Batches!$A$2:$A$301,$F45)+COUNTIFS($F$1:$F44,$F45,$C$1:$C44,"Receipt",$U$1:$U44,"Ready")=0,1,0),0)</f>
        <v>0</v>
      </c>
      <c r="BV45" s="52" t="str">
        <f>IF($BU45=1,SUM($BU$2:$BU45),"")</f>
        <v/>
      </c>
    </row>
    <row r="46">
      <c r="A46" s="46" t="n"/>
      <c r="B46" s="46" t="n"/>
      <c r="C46" s="46" t="n"/>
      <c r="D46" s="46" t="n"/>
      <c r="E46" s="46" t="n"/>
      <c r="F46" s="46" t="n"/>
      <c r="G46" s="46" t="n"/>
      <c r="H46" s="46" t="n"/>
      <c r="I46" s="46" t="n"/>
      <c r="J46" s="46" t="n"/>
      <c r="K46" s="46" t="n"/>
      <c r="L46" s="46" t="n"/>
      <c r="M46" s="62" t="str">
        <f>IF($B46="","",IF(ISNUMBER($B46),$B46,IF(AND(LEN($B46)=10,MID($B46,5,1)="-",MID($B46,8,1)="-"),IFERROR(IF(AND(MONTH(DATE(VALUE(LEFT($B46,4)),VALUE(MID($B46,6,2)),VALUE(RIGHT($B46,2))))=VALUE(MID($B46,6,2)),DAY(DATE(VALUE(LEFT($B46,4)),VALUE(MID($B46,6,2)),VALUE(RIGHT($B46,2))))=VALUE(RIGHT($B46,2))),DATE(VALUE(LEFT($B46,4)),VALUE(MID($B46,6,2)),VALUE(RIGHT($B46,2))),"ERR"),"ERR"),"ERR")))</f>
        <v/>
      </c>
      <c r="N46" s="62" t="str">
        <f>IF($G46="","",IF(ISNUMBER($G46),$G46,IF(AND(LEN($G46)=10,MID($G46,5,1)="-",MID($G46,8,1)="-"),IFERROR(IF(AND(MONTH(DATE(VALUE(LEFT($G46,4)),VALUE(MID($G46,6,2)),VALUE(RIGHT($G46,2))))=VALUE(MID($G46,6,2)),DAY(DATE(VALUE(LEFT($G46,4)),VALUE(MID($G46,6,2)),VALUE(RIGHT($G46,2))))=VALUE(RIGHT($G46,2))),DATE(VALUE(LEFT($G46,4)),VALUE(MID($G46,6,2)),VALUE(RIGHT($G46,2))),"ERR"),"ERR"),"ERR")))</f>
        <v/>
      </c>
      <c r="O46" s="51" t="str">
        <f>IF($H46="","",IF(ISNUMBER($H46),$H46,IFERROR(VALUE($H46),"ERR")))</f>
        <v/>
      </c>
      <c r="P46" s="51" t="str">
        <f>IF(AND(ISNUMBER($O46),OR($C46="Receipt",$C46="Shipment",$C46="Adjustment")),IF($C46="Shipment",-$O46,$O46),"")</f>
        <v/>
      </c>
      <c r="Q46" s="51" t="str">
        <f>IF($D46="","",IFERROR(INDEX(Products!$R$2:$R$101,MATCH($D46,Products!$A$2:$A$101,0)),""))</f>
        <v/>
      </c>
      <c r="R46" s="51" t="str">
        <f>IF(OR($Q46="",$P46=""),"",$Q46+SUMIFS($P$1:$P45,$D$1:$D45,$D46,$U$1:$U45,"Ready"))</f>
        <v/>
      </c>
      <c r="S46" s="51" t="str">
        <f>IF($R46="","",$R46+$P46)</f>
        <v/>
      </c>
      <c r="T46" s="52" t="str">
        <f>IF(COUNTA($A46:$L46)&gt;0,$BP46,"")</f>
        <v/>
      </c>
      <c r="U46" s="49" t="str">
        <f>IF($T46="","",IF($T46=0,"Ready","Rejected"))</f>
        <v/>
      </c>
      <c r="V46" s="49" t="str">
        <f>IF(OR($T46="",$T46=0),"",INDEX(Config!$D$39:$D$61,MATCH(1,$AT46:$BP46,0))&amp;IF($T46&gt;1," (+"&amp;($T46-1)&amp;" more)",""))</f>
        <v/>
      </c>
      <c r="W46" s="52">
        <f>IF(AND(COUNTA($A46:$L46)&gt;0,$A46=""),1,0)</f>
        <v>0</v>
      </c>
      <c r="X46" s="52">
        <f>IF(AND(COUNTA($A46:$L46)&gt;0,$A46&lt;&gt;""),IF(COUNTIF($A$1:$A45,$A46)&gt;0,1,0),0)</f>
        <v>0</v>
      </c>
      <c r="Y46" s="52">
        <f>IF(AND(COUNTA($A46:$L46)&gt;0,$A46&lt;&gt;""),IF(COUNTIF(Inventory_Ledger!$A$2:$A$2001,$A46)&gt;0,1,0),0)</f>
        <v>0</v>
      </c>
      <c r="Z46" s="52">
        <f>IF(AND(COUNTA($A46:$L46)&gt;0,$B46=""),1,0)</f>
        <v>0</v>
      </c>
      <c r="AA46" s="52">
        <f>IF(AND(COUNTA($A46:$L46)&gt;0,$B46&lt;&gt;""),IF($M46="ERR",1,0),0)</f>
        <v>0</v>
      </c>
      <c r="AB46" s="52">
        <f>IF(AND(COUNTA($A46:$L46)&gt;0,ISNUMBER($M46)),IF($M46&gt;Config!$B$4,1,0),0)</f>
        <v>0</v>
      </c>
      <c r="AC46" s="52">
        <f>IF(AND(COUNTA($A46:$L46)&gt;0,$C46=""),1,0)</f>
        <v>0</v>
      </c>
      <c r="AD46" s="52">
        <f>IF(AND(COUNTA($A46:$L46)&gt;0,$C46&lt;&gt;""),IF(COUNTIF(Config!$A$15:$A$34,$C46)=0,1,0),0)</f>
        <v>0</v>
      </c>
      <c r="AE46" s="52">
        <f>IF(AND(COUNTA($A46:$L46)&gt;0,$D46=""),1,0)</f>
        <v>0</v>
      </c>
      <c r="AF46" s="52">
        <f>IF(AND(COUNTA($A46:$L46)&gt;0,$D46&lt;&gt;""),IF(COUNTIF(Products!$A$2:$A$101,$D46)=0,1,0),0)</f>
        <v>0</v>
      </c>
      <c r="AG46" s="52">
        <f>IF(AND(COUNTA($A46:$L46)&gt;0,$C46="Receipt",$E46=""),1,0)</f>
        <v>0</v>
      </c>
      <c r="AH46" s="52">
        <f>IF(AND(COUNTA($A46:$L46)&gt;0,$E46&lt;&gt;""),IF(COUNTIF(Suppliers!$A$2:$A$51,$E46)=0,1,0),0)</f>
        <v>0</v>
      </c>
      <c r="AI46" s="52">
        <f>IF(AND(COUNTA($A46:$L46)&gt;0,$F46=""),1,0)</f>
        <v>0</v>
      </c>
      <c r="AJ46" s="52">
        <f>IF(AND(COUNTA($A46:$L46)&gt;0,$F46&lt;&gt;"",$D46&lt;&gt;"",OR($C46="Shipment",$C46="Adjustment")),IF($AF46=1,0,IF(COUNTIFS(Batches!$A$2:$A$301,$F46,Batches!$B$2:$B$301,$D46)+COUNTIFS($F$1:$F45,$F46,$D$1:$D45,$D46,$C$1:$C45,"Receipt")=0,1,0)),0)</f>
        <v>0</v>
      </c>
      <c r="AK46" s="52">
        <f>IF(AND(COUNTA($A46:$L46)&gt;0,$C46="Receipt",$G46=""),1,0)</f>
        <v>0</v>
      </c>
      <c r="AL46" s="52">
        <f>IF(AND(COUNTA($A46:$L46)&gt;0,$G46&lt;&gt;""),IF($N46="ERR",1,0),0)</f>
        <v>0</v>
      </c>
      <c r="AM46" s="52">
        <f>IF(AND(COUNTA($A46:$L46)&gt;0,$H46=""),1,0)</f>
        <v>0</v>
      </c>
      <c r="AN46" s="52">
        <f>IF(AND(COUNTA($A46:$L46)&gt;0,$H46&lt;&gt;""),IF($O46="ERR",1,IF(INT($O46)&lt;&gt;$O46,1,IF(AND(OR($C46="Receipt",$C46="Shipment"),$O46&lt;=0),1,IF(AND($C46="Adjustment",$O46=0),1,0)))),0)</f>
        <v>0</v>
      </c>
      <c r="AO46" s="52">
        <f>IF(AND(COUNTA($A46:$L46)&gt;0,$C46="Receipt",$I46=""),1,0)</f>
        <v>0</v>
      </c>
      <c r="AP46" s="52">
        <f>IF(AND(COUNTA($A46:$L46)&gt;0,$I46&lt;&gt;""),IF(IFERROR(INDEX(Config!$G$15:$G$34,MATCH($I46,Config!$E$15:$E$34,0)),"No")="Yes",0,1),0)</f>
        <v>0</v>
      </c>
      <c r="AQ46" s="52">
        <f>IF(AND(COUNTA($A46:$L46)&gt;0,$C46="Adjustment",$J46=""),1,0)</f>
        <v>0</v>
      </c>
      <c r="AR46" s="52">
        <f>IF(AND(COUNTA($A46:$L46)&gt;0,$L46=""),1,0)</f>
        <v>0</v>
      </c>
      <c r="AS46" s="52">
        <f>IF(AND(COUNTA($A46:$L46)&gt;0,ISNUMBER($S46)),IF($S46&lt;0,1,0),0)</f>
        <v>0</v>
      </c>
      <c r="AT46" s="52">
        <f>$W46</f>
        <v>0</v>
      </c>
      <c r="AU46" s="52">
        <f>$AT46+$X46</f>
        <v>0</v>
      </c>
      <c r="AV46" s="52">
        <f>$AU46+$Y46</f>
        <v>0</v>
      </c>
      <c r="AW46" s="52">
        <f>$AV46+$Z46</f>
        <v>0</v>
      </c>
      <c r="AX46" s="52">
        <f>$AW46+$AA46</f>
        <v>0</v>
      </c>
      <c r="AY46" s="52">
        <f>$AX46+$AB46</f>
        <v>0</v>
      </c>
      <c r="AZ46" s="52">
        <f>$AY46+$AC46</f>
        <v>0</v>
      </c>
      <c r="BA46" s="52">
        <f>$AZ46+$AD46</f>
        <v>0</v>
      </c>
      <c r="BB46" s="52">
        <f>$BA46+$AE46</f>
        <v>0</v>
      </c>
      <c r="BC46" s="52">
        <f>$BB46+$AF46</f>
        <v>0</v>
      </c>
      <c r="BD46" s="52">
        <f>$BC46+$AG46</f>
        <v>0</v>
      </c>
      <c r="BE46" s="52">
        <f>$BD46+$AH46</f>
        <v>0</v>
      </c>
      <c r="BF46" s="52">
        <f>$BE46+$AI46</f>
        <v>0</v>
      </c>
      <c r="BG46" s="52">
        <f>$BF46+$AJ46</f>
        <v>0</v>
      </c>
      <c r="BH46" s="52">
        <f>$BG46+$AK46</f>
        <v>0</v>
      </c>
      <c r="BI46" s="52">
        <f>$BH46+$AL46</f>
        <v>0</v>
      </c>
      <c r="BJ46" s="52">
        <f>$BI46+$AM46</f>
        <v>0</v>
      </c>
      <c r="BK46" s="52">
        <f>$BJ46+$AN46</f>
        <v>0</v>
      </c>
      <c r="BL46" s="52">
        <f>$BK46+$AO46</f>
        <v>0</v>
      </c>
      <c r="BM46" s="52">
        <f>$BL46+$AP46</f>
        <v>0</v>
      </c>
      <c r="BN46" s="52">
        <f>$BM46+$AQ46</f>
        <v>0</v>
      </c>
      <c r="BO46" s="52">
        <f>$BN46+$AR46</f>
        <v>0</v>
      </c>
      <c r="BP46" s="52">
        <f>$BO46+$AS46</f>
        <v>0</v>
      </c>
      <c r="BQ46" s="52">
        <f>SUM($T$1:$T45)</f>
        <v>11</v>
      </c>
      <c r="BR46" s="52" t="str">
        <f>IF(ISNUMBER($T46),IF($T46&gt;0,COUNTIF($T$2:$T46,"&gt;0"),""),"")</f>
        <v/>
      </c>
      <c r="BS46" s="52" t="str">
        <f>IF($BR46="","",$BQ46+$T46)</f>
        <v/>
      </c>
      <c r="BT46" s="52" t="str">
        <f>IF($U46="Ready",COUNTIF($U$2:$U46,"Ready"),"")</f>
        <v/>
      </c>
      <c r="BU46" s="52">
        <f>IF(AND($U46="Ready",$C46="Receipt"),IF(COUNTIF(Batches!$A$2:$A$301,$F46)+COUNTIFS($F$1:$F45,$F46,$C$1:$C45,"Receipt",$U$1:$U45,"Ready")=0,1,0),0)</f>
        <v>0</v>
      </c>
      <c r="BV46" s="52" t="str">
        <f>IF($BU46=1,SUM($BU$2:$BU46),"")</f>
        <v/>
      </c>
    </row>
    <row r="47">
      <c r="A47" s="46" t="n"/>
      <c r="B47" s="46" t="n"/>
      <c r="C47" s="46" t="n"/>
      <c r="D47" s="46" t="n"/>
      <c r="E47" s="46" t="n"/>
      <c r="F47" s="46" t="n"/>
      <c r="G47" s="46" t="n"/>
      <c r="H47" s="46" t="n"/>
      <c r="I47" s="46" t="n"/>
      <c r="J47" s="46" t="n"/>
      <c r="K47" s="46" t="n"/>
      <c r="L47" s="46" t="n"/>
      <c r="M47" s="62" t="str">
        <f>IF($B47="","",IF(ISNUMBER($B47),$B47,IF(AND(LEN($B47)=10,MID($B47,5,1)="-",MID($B47,8,1)="-"),IFERROR(IF(AND(MONTH(DATE(VALUE(LEFT($B47,4)),VALUE(MID($B47,6,2)),VALUE(RIGHT($B47,2))))=VALUE(MID($B47,6,2)),DAY(DATE(VALUE(LEFT($B47,4)),VALUE(MID($B47,6,2)),VALUE(RIGHT($B47,2))))=VALUE(RIGHT($B47,2))),DATE(VALUE(LEFT($B47,4)),VALUE(MID($B47,6,2)),VALUE(RIGHT($B47,2))),"ERR"),"ERR"),"ERR")))</f>
        <v/>
      </c>
      <c r="N47" s="62" t="str">
        <f>IF($G47="","",IF(ISNUMBER($G47),$G47,IF(AND(LEN($G47)=10,MID($G47,5,1)="-",MID($G47,8,1)="-"),IFERROR(IF(AND(MONTH(DATE(VALUE(LEFT($G47,4)),VALUE(MID($G47,6,2)),VALUE(RIGHT($G47,2))))=VALUE(MID($G47,6,2)),DAY(DATE(VALUE(LEFT($G47,4)),VALUE(MID($G47,6,2)),VALUE(RIGHT($G47,2))))=VALUE(RIGHT($G47,2))),DATE(VALUE(LEFT($G47,4)),VALUE(MID($G47,6,2)),VALUE(RIGHT($G47,2))),"ERR"),"ERR"),"ERR")))</f>
        <v/>
      </c>
      <c r="O47" s="51" t="str">
        <f>IF($H47="","",IF(ISNUMBER($H47),$H47,IFERROR(VALUE($H47),"ERR")))</f>
        <v/>
      </c>
      <c r="P47" s="51" t="str">
        <f>IF(AND(ISNUMBER($O47),OR($C47="Receipt",$C47="Shipment",$C47="Adjustment")),IF($C47="Shipment",-$O47,$O47),"")</f>
        <v/>
      </c>
      <c r="Q47" s="51" t="str">
        <f>IF($D47="","",IFERROR(INDEX(Products!$R$2:$R$101,MATCH($D47,Products!$A$2:$A$101,0)),""))</f>
        <v/>
      </c>
      <c r="R47" s="51" t="str">
        <f>IF(OR($Q47="",$P47=""),"",$Q47+SUMIFS($P$1:$P46,$D$1:$D46,$D47,$U$1:$U46,"Ready"))</f>
        <v/>
      </c>
      <c r="S47" s="51" t="str">
        <f>IF($R47="","",$R47+$P47)</f>
        <v/>
      </c>
      <c r="T47" s="52" t="str">
        <f>IF(COUNTA($A47:$L47)&gt;0,$BP47,"")</f>
        <v/>
      </c>
      <c r="U47" s="49" t="str">
        <f>IF($T47="","",IF($T47=0,"Ready","Rejected"))</f>
        <v/>
      </c>
      <c r="V47" s="49" t="str">
        <f>IF(OR($T47="",$T47=0),"",INDEX(Config!$D$39:$D$61,MATCH(1,$AT47:$BP47,0))&amp;IF($T47&gt;1," (+"&amp;($T47-1)&amp;" more)",""))</f>
        <v/>
      </c>
      <c r="W47" s="52">
        <f>IF(AND(COUNTA($A47:$L47)&gt;0,$A47=""),1,0)</f>
        <v>0</v>
      </c>
      <c r="X47" s="52">
        <f>IF(AND(COUNTA($A47:$L47)&gt;0,$A47&lt;&gt;""),IF(COUNTIF($A$1:$A46,$A47)&gt;0,1,0),0)</f>
        <v>0</v>
      </c>
      <c r="Y47" s="52">
        <f>IF(AND(COUNTA($A47:$L47)&gt;0,$A47&lt;&gt;""),IF(COUNTIF(Inventory_Ledger!$A$2:$A$2001,$A47)&gt;0,1,0),0)</f>
        <v>0</v>
      </c>
      <c r="Z47" s="52">
        <f>IF(AND(COUNTA($A47:$L47)&gt;0,$B47=""),1,0)</f>
        <v>0</v>
      </c>
      <c r="AA47" s="52">
        <f>IF(AND(COUNTA($A47:$L47)&gt;0,$B47&lt;&gt;""),IF($M47="ERR",1,0),0)</f>
        <v>0</v>
      </c>
      <c r="AB47" s="52">
        <f>IF(AND(COUNTA($A47:$L47)&gt;0,ISNUMBER($M47)),IF($M47&gt;Config!$B$4,1,0),0)</f>
        <v>0</v>
      </c>
      <c r="AC47" s="52">
        <f>IF(AND(COUNTA($A47:$L47)&gt;0,$C47=""),1,0)</f>
        <v>0</v>
      </c>
      <c r="AD47" s="52">
        <f>IF(AND(COUNTA($A47:$L47)&gt;0,$C47&lt;&gt;""),IF(COUNTIF(Config!$A$15:$A$34,$C47)=0,1,0),0)</f>
        <v>0</v>
      </c>
      <c r="AE47" s="52">
        <f>IF(AND(COUNTA($A47:$L47)&gt;0,$D47=""),1,0)</f>
        <v>0</v>
      </c>
      <c r="AF47" s="52">
        <f>IF(AND(COUNTA($A47:$L47)&gt;0,$D47&lt;&gt;""),IF(COUNTIF(Products!$A$2:$A$101,$D47)=0,1,0),0)</f>
        <v>0</v>
      </c>
      <c r="AG47" s="52">
        <f>IF(AND(COUNTA($A47:$L47)&gt;0,$C47="Receipt",$E47=""),1,0)</f>
        <v>0</v>
      </c>
      <c r="AH47" s="52">
        <f>IF(AND(COUNTA($A47:$L47)&gt;0,$E47&lt;&gt;""),IF(COUNTIF(Suppliers!$A$2:$A$51,$E47)=0,1,0),0)</f>
        <v>0</v>
      </c>
      <c r="AI47" s="52">
        <f>IF(AND(COUNTA($A47:$L47)&gt;0,$F47=""),1,0)</f>
        <v>0</v>
      </c>
      <c r="AJ47" s="52">
        <f>IF(AND(COUNTA($A47:$L47)&gt;0,$F47&lt;&gt;"",$D47&lt;&gt;"",OR($C47="Shipment",$C47="Adjustment")),IF($AF47=1,0,IF(COUNTIFS(Batches!$A$2:$A$301,$F47,Batches!$B$2:$B$301,$D47)+COUNTIFS($F$1:$F46,$F47,$D$1:$D46,$D47,$C$1:$C46,"Receipt")=0,1,0)),0)</f>
        <v>0</v>
      </c>
      <c r="AK47" s="52">
        <f>IF(AND(COUNTA($A47:$L47)&gt;0,$C47="Receipt",$G47=""),1,0)</f>
        <v>0</v>
      </c>
      <c r="AL47" s="52">
        <f>IF(AND(COUNTA($A47:$L47)&gt;0,$G47&lt;&gt;""),IF($N47="ERR",1,0),0)</f>
        <v>0</v>
      </c>
      <c r="AM47" s="52">
        <f>IF(AND(COUNTA($A47:$L47)&gt;0,$H47=""),1,0)</f>
        <v>0</v>
      </c>
      <c r="AN47" s="52">
        <f>IF(AND(COUNTA($A47:$L47)&gt;0,$H47&lt;&gt;""),IF($O47="ERR",1,IF(INT($O47)&lt;&gt;$O47,1,IF(AND(OR($C47="Receipt",$C47="Shipment"),$O47&lt;=0),1,IF(AND($C47="Adjustment",$O47=0),1,0)))),0)</f>
        <v>0</v>
      </c>
      <c r="AO47" s="52">
        <f>IF(AND(COUNTA($A47:$L47)&gt;0,$C47="Receipt",$I47=""),1,0)</f>
        <v>0</v>
      </c>
      <c r="AP47" s="52">
        <f>IF(AND(COUNTA($A47:$L47)&gt;0,$I47&lt;&gt;""),IF(IFERROR(INDEX(Config!$G$15:$G$34,MATCH($I47,Config!$E$15:$E$34,0)),"No")="Yes",0,1),0)</f>
        <v>0</v>
      </c>
      <c r="AQ47" s="52">
        <f>IF(AND(COUNTA($A47:$L47)&gt;0,$C47="Adjustment",$J47=""),1,0)</f>
        <v>0</v>
      </c>
      <c r="AR47" s="52">
        <f>IF(AND(COUNTA($A47:$L47)&gt;0,$L47=""),1,0)</f>
        <v>0</v>
      </c>
      <c r="AS47" s="52">
        <f>IF(AND(COUNTA($A47:$L47)&gt;0,ISNUMBER($S47)),IF($S47&lt;0,1,0),0)</f>
        <v>0</v>
      </c>
      <c r="AT47" s="52">
        <f>$W47</f>
        <v>0</v>
      </c>
      <c r="AU47" s="52">
        <f>$AT47+$X47</f>
        <v>0</v>
      </c>
      <c r="AV47" s="52">
        <f>$AU47+$Y47</f>
        <v>0</v>
      </c>
      <c r="AW47" s="52">
        <f>$AV47+$Z47</f>
        <v>0</v>
      </c>
      <c r="AX47" s="52">
        <f>$AW47+$AA47</f>
        <v>0</v>
      </c>
      <c r="AY47" s="52">
        <f>$AX47+$AB47</f>
        <v>0</v>
      </c>
      <c r="AZ47" s="52">
        <f>$AY47+$AC47</f>
        <v>0</v>
      </c>
      <c r="BA47" s="52">
        <f>$AZ47+$AD47</f>
        <v>0</v>
      </c>
      <c r="BB47" s="52">
        <f>$BA47+$AE47</f>
        <v>0</v>
      </c>
      <c r="BC47" s="52">
        <f>$BB47+$AF47</f>
        <v>0</v>
      </c>
      <c r="BD47" s="52">
        <f>$BC47+$AG47</f>
        <v>0</v>
      </c>
      <c r="BE47" s="52">
        <f>$BD47+$AH47</f>
        <v>0</v>
      </c>
      <c r="BF47" s="52">
        <f>$BE47+$AI47</f>
        <v>0</v>
      </c>
      <c r="BG47" s="52">
        <f>$BF47+$AJ47</f>
        <v>0</v>
      </c>
      <c r="BH47" s="52">
        <f>$BG47+$AK47</f>
        <v>0</v>
      </c>
      <c r="BI47" s="52">
        <f>$BH47+$AL47</f>
        <v>0</v>
      </c>
      <c r="BJ47" s="52">
        <f>$BI47+$AM47</f>
        <v>0</v>
      </c>
      <c r="BK47" s="52">
        <f>$BJ47+$AN47</f>
        <v>0</v>
      </c>
      <c r="BL47" s="52">
        <f>$BK47+$AO47</f>
        <v>0</v>
      </c>
      <c r="BM47" s="52">
        <f>$BL47+$AP47</f>
        <v>0</v>
      </c>
      <c r="BN47" s="52">
        <f>$BM47+$AQ47</f>
        <v>0</v>
      </c>
      <c r="BO47" s="52">
        <f>$BN47+$AR47</f>
        <v>0</v>
      </c>
      <c r="BP47" s="52">
        <f>$BO47+$AS47</f>
        <v>0</v>
      </c>
      <c r="BQ47" s="52">
        <f>SUM($T$1:$T46)</f>
        <v>11</v>
      </c>
      <c r="BR47" s="52" t="str">
        <f>IF(ISNUMBER($T47),IF($T47&gt;0,COUNTIF($T$2:$T47,"&gt;0"),""),"")</f>
        <v/>
      </c>
      <c r="BS47" s="52" t="str">
        <f>IF($BR47="","",$BQ47+$T47)</f>
        <v/>
      </c>
      <c r="BT47" s="52" t="str">
        <f>IF($U47="Ready",COUNTIF($U$2:$U47,"Ready"),"")</f>
        <v/>
      </c>
      <c r="BU47" s="52">
        <f>IF(AND($U47="Ready",$C47="Receipt"),IF(COUNTIF(Batches!$A$2:$A$301,$F47)+COUNTIFS($F$1:$F46,$F47,$C$1:$C46,"Receipt",$U$1:$U46,"Ready")=0,1,0),0)</f>
        <v>0</v>
      </c>
      <c r="BV47" s="52" t="str">
        <f>IF($BU47=1,SUM($BU$2:$BU47),"")</f>
        <v/>
      </c>
    </row>
    <row r="48">
      <c r="A48" s="46" t="n"/>
      <c r="B48" s="46" t="n"/>
      <c r="C48" s="46" t="n"/>
      <c r="D48" s="46" t="n"/>
      <c r="E48" s="46" t="n"/>
      <c r="F48" s="46" t="n"/>
      <c r="G48" s="46" t="n"/>
      <c r="H48" s="46" t="n"/>
      <c r="I48" s="46" t="n"/>
      <c r="J48" s="46" t="n"/>
      <c r="K48" s="46" t="n"/>
      <c r="L48" s="46" t="n"/>
      <c r="M48" s="62" t="str">
        <f>IF($B48="","",IF(ISNUMBER($B48),$B48,IF(AND(LEN($B48)=10,MID($B48,5,1)="-",MID($B48,8,1)="-"),IFERROR(IF(AND(MONTH(DATE(VALUE(LEFT($B48,4)),VALUE(MID($B48,6,2)),VALUE(RIGHT($B48,2))))=VALUE(MID($B48,6,2)),DAY(DATE(VALUE(LEFT($B48,4)),VALUE(MID($B48,6,2)),VALUE(RIGHT($B48,2))))=VALUE(RIGHT($B48,2))),DATE(VALUE(LEFT($B48,4)),VALUE(MID($B48,6,2)),VALUE(RIGHT($B48,2))),"ERR"),"ERR"),"ERR")))</f>
        <v/>
      </c>
      <c r="N48" s="62" t="str">
        <f>IF($G48="","",IF(ISNUMBER($G48),$G48,IF(AND(LEN($G48)=10,MID($G48,5,1)="-",MID($G48,8,1)="-"),IFERROR(IF(AND(MONTH(DATE(VALUE(LEFT($G48,4)),VALUE(MID($G48,6,2)),VALUE(RIGHT($G48,2))))=VALUE(MID($G48,6,2)),DAY(DATE(VALUE(LEFT($G48,4)),VALUE(MID($G48,6,2)),VALUE(RIGHT($G48,2))))=VALUE(RIGHT($G48,2))),DATE(VALUE(LEFT($G48,4)),VALUE(MID($G48,6,2)),VALUE(RIGHT($G48,2))),"ERR"),"ERR"),"ERR")))</f>
        <v/>
      </c>
      <c r="O48" s="51" t="str">
        <f>IF($H48="","",IF(ISNUMBER($H48),$H48,IFERROR(VALUE($H48),"ERR")))</f>
        <v/>
      </c>
      <c r="P48" s="51" t="str">
        <f>IF(AND(ISNUMBER($O48),OR($C48="Receipt",$C48="Shipment",$C48="Adjustment")),IF($C48="Shipment",-$O48,$O48),"")</f>
        <v/>
      </c>
      <c r="Q48" s="51" t="str">
        <f>IF($D48="","",IFERROR(INDEX(Products!$R$2:$R$101,MATCH($D48,Products!$A$2:$A$101,0)),""))</f>
        <v/>
      </c>
      <c r="R48" s="51" t="str">
        <f>IF(OR($Q48="",$P48=""),"",$Q48+SUMIFS($P$1:$P47,$D$1:$D47,$D48,$U$1:$U47,"Ready"))</f>
        <v/>
      </c>
      <c r="S48" s="51" t="str">
        <f>IF($R48="","",$R48+$P48)</f>
        <v/>
      </c>
      <c r="T48" s="52" t="str">
        <f>IF(COUNTA($A48:$L48)&gt;0,$BP48,"")</f>
        <v/>
      </c>
      <c r="U48" s="49" t="str">
        <f>IF($T48="","",IF($T48=0,"Ready","Rejected"))</f>
        <v/>
      </c>
      <c r="V48" s="49" t="str">
        <f>IF(OR($T48="",$T48=0),"",INDEX(Config!$D$39:$D$61,MATCH(1,$AT48:$BP48,0))&amp;IF($T48&gt;1," (+"&amp;($T48-1)&amp;" more)",""))</f>
        <v/>
      </c>
      <c r="W48" s="52">
        <f>IF(AND(COUNTA($A48:$L48)&gt;0,$A48=""),1,0)</f>
        <v>0</v>
      </c>
      <c r="X48" s="52">
        <f>IF(AND(COUNTA($A48:$L48)&gt;0,$A48&lt;&gt;""),IF(COUNTIF($A$1:$A47,$A48)&gt;0,1,0),0)</f>
        <v>0</v>
      </c>
      <c r="Y48" s="52">
        <f>IF(AND(COUNTA($A48:$L48)&gt;0,$A48&lt;&gt;""),IF(COUNTIF(Inventory_Ledger!$A$2:$A$2001,$A48)&gt;0,1,0),0)</f>
        <v>0</v>
      </c>
      <c r="Z48" s="52">
        <f>IF(AND(COUNTA($A48:$L48)&gt;0,$B48=""),1,0)</f>
        <v>0</v>
      </c>
      <c r="AA48" s="52">
        <f>IF(AND(COUNTA($A48:$L48)&gt;0,$B48&lt;&gt;""),IF($M48="ERR",1,0),0)</f>
        <v>0</v>
      </c>
      <c r="AB48" s="52">
        <f>IF(AND(COUNTA($A48:$L48)&gt;0,ISNUMBER($M48)),IF($M48&gt;Config!$B$4,1,0),0)</f>
        <v>0</v>
      </c>
      <c r="AC48" s="52">
        <f>IF(AND(COUNTA($A48:$L48)&gt;0,$C48=""),1,0)</f>
        <v>0</v>
      </c>
      <c r="AD48" s="52">
        <f>IF(AND(COUNTA($A48:$L48)&gt;0,$C48&lt;&gt;""),IF(COUNTIF(Config!$A$15:$A$34,$C48)=0,1,0),0)</f>
        <v>0</v>
      </c>
      <c r="AE48" s="52">
        <f>IF(AND(COUNTA($A48:$L48)&gt;0,$D48=""),1,0)</f>
        <v>0</v>
      </c>
      <c r="AF48" s="52">
        <f>IF(AND(COUNTA($A48:$L48)&gt;0,$D48&lt;&gt;""),IF(COUNTIF(Products!$A$2:$A$101,$D48)=0,1,0),0)</f>
        <v>0</v>
      </c>
      <c r="AG48" s="52">
        <f>IF(AND(COUNTA($A48:$L48)&gt;0,$C48="Receipt",$E48=""),1,0)</f>
        <v>0</v>
      </c>
      <c r="AH48" s="52">
        <f>IF(AND(COUNTA($A48:$L48)&gt;0,$E48&lt;&gt;""),IF(COUNTIF(Suppliers!$A$2:$A$51,$E48)=0,1,0),0)</f>
        <v>0</v>
      </c>
      <c r="AI48" s="52">
        <f>IF(AND(COUNTA($A48:$L48)&gt;0,$F48=""),1,0)</f>
        <v>0</v>
      </c>
      <c r="AJ48" s="52">
        <f>IF(AND(COUNTA($A48:$L48)&gt;0,$F48&lt;&gt;"",$D48&lt;&gt;"",OR($C48="Shipment",$C48="Adjustment")),IF($AF48=1,0,IF(COUNTIFS(Batches!$A$2:$A$301,$F48,Batches!$B$2:$B$301,$D48)+COUNTIFS($F$1:$F47,$F48,$D$1:$D47,$D48,$C$1:$C47,"Receipt")=0,1,0)),0)</f>
        <v>0</v>
      </c>
      <c r="AK48" s="52">
        <f>IF(AND(COUNTA($A48:$L48)&gt;0,$C48="Receipt",$G48=""),1,0)</f>
        <v>0</v>
      </c>
      <c r="AL48" s="52">
        <f>IF(AND(COUNTA($A48:$L48)&gt;0,$G48&lt;&gt;""),IF($N48="ERR",1,0),0)</f>
        <v>0</v>
      </c>
      <c r="AM48" s="52">
        <f>IF(AND(COUNTA($A48:$L48)&gt;0,$H48=""),1,0)</f>
        <v>0</v>
      </c>
      <c r="AN48" s="52">
        <f>IF(AND(COUNTA($A48:$L48)&gt;0,$H48&lt;&gt;""),IF($O48="ERR",1,IF(INT($O48)&lt;&gt;$O48,1,IF(AND(OR($C48="Receipt",$C48="Shipment"),$O48&lt;=0),1,IF(AND($C48="Adjustment",$O48=0),1,0)))),0)</f>
        <v>0</v>
      </c>
      <c r="AO48" s="52">
        <f>IF(AND(COUNTA($A48:$L48)&gt;0,$C48="Receipt",$I48=""),1,0)</f>
        <v>0</v>
      </c>
      <c r="AP48" s="52">
        <f>IF(AND(COUNTA($A48:$L48)&gt;0,$I48&lt;&gt;""),IF(IFERROR(INDEX(Config!$G$15:$G$34,MATCH($I48,Config!$E$15:$E$34,0)),"No")="Yes",0,1),0)</f>
        <v>0</v>
      </c>
      <c r="AQ48" s="52">
        <f>IF(AND(COUNTA($A48:$L48)&gt;0,$C48="Adjustment",$J48=""),1,0)</f>
        <v>0</v>
      </c>
      <c r="AR48" s="52">
        <f>IF(AND(COUNTA($A48:$L48)&gt;0,$L48=""),1,0)</f>
        <v>0</v>
      </c>
      <c r="AS48" s="52">
        <f>IF(AND(COUNTA($A48:$L48)&gt;0,ISNUMBER($S48)),IF($S48&lt;0,1,0),0)</f>
        <v>0</v>
      </c>
      <c r="AT48" s="52">
        <f>$W48</f>
        <v>0</v>
      </c>
      <c r="AU48" s="52">
        <f>$AT48+$X48</f>
        <v>0</v>
      </c>
      <c r="AV48" s="52">
        <f>$AU48+$Y48</f>
        <v>0</v>
      </c>
      <c r="AW48" s="52">
        <f>$AV48+$Z48</f>
        <v>0</v>
      </c>
      <c r="AX48" s="52">
        <f>$AW48+$AA48</f>
        <v>0</v>
      </c>
      <c r="AY48" s="52">
        <f>$AX48+$AB48</f>
        <v>0</v>
      </c>
      <c r="AZ48" s="52">
        <f>$AY48+$AC48</f>
        <v>0</v>
      </c>
      <c r="BA48" s="52">
        <f>$AZ48+$AD48</f>
        <v>0</v>
      </c>
      <c r="BB48" s="52">
        <f>$BA48+$AE48</f>
        <v>0</v>
      </c>
      <c r="BC48" s="52">
        <f>$BB48+$AF48</f>
        <v>0</v>
      </c>
      <c r="BD48" s="52">
        <f>$BC48+$AG48</f>
        <v>0</v>
      </c>
      <c r="BE48" s="52">
        <f>$BD48+$AH48</f>
        <v>0</v>
      </c>
      <c r="BF48" s="52">
        <f>$BE48+$AI48</f>
        <v>0</v>
      </c>
      <c r="BG48" s="52">
        <f>$BF48+$AJ48</f>
        <v>0</v>
      </c>
      <c r="BH48" s="52">
        <f>$BG48+$AK48</f>
        <v>0</v>
      </c>
      <c r="BI48" s="52">
        <f>$BH48+$AL48</f>
        <v>0</v>
      </c>
      <c r="BJ48" s="52">
        <f>$BI48+$AM48</f>
        <v>0</v>
      </c>
      <c r="BK48" s="52">
        <f>$BJ48+$AN48</f>
        <v>0</v>
      </c>
      <c r="BL48" s="52">
        <f>$BK48+$AO48</f>
        <v>0</v>
      </c>
      <c r="BM48" s="52">
        <f>$BL48+$AP48</f>
        <v>0</v>
      </c>
      <c r="BN48" s="52">
        <f>$BM48+$AQ48</f>
        <v>0</v>
      </c>
      <c r="BO48" s="52">
        <f>$BN48+$AR48</f>
        <v>0</v>
      </c>
      <c r="BP48" s="52">
        <f>$BO48+$AS48</f>
        <v>0</v>
      </c>
      <c r="BQ48" s="52">
        <f>SUM($T$1:$T47)</f>
        <v>11</v>
      </c>
      <c r="BR48" s="52" t="str">
        <f>IF(ISNUMBER($T48),IF($T48&gt;0,COUNTIF($T$2:$T48,"&gt;0"),""),"")</f>
        <v/>
      </c>
      <c r="BS48" s="52" t="str">
        <f>IF($BR48="","",$BQ48+$T48)</f>
        <v/>
      </c>
      <c r="BT48" s="52" t="str">
        <f>IF($U48="Ready",COUNTIF($U$2:$U48,"Ready"),"")</f>
        <v/>
      </c>
      <c r="BU48" s="52">
        <f>IF(AND($U48="Ready",$C48="Receipt"),IF(COUNTIF(Batches!$A$2:$A$301,$F48)+COUNTIFS($F$1:$F47,$F48,$C$1:$C47,"Receipt",$U$1:$U47,"Ready")=0,1,0),0)</f>
        <v>0</v>
      </c>
      <c r="BV48" s="52" t="str">
        <f>IF($BU48=1,SUM($BU$2:$BU48),"")</f>
        <v/>
      </c>
    </row>
    <row r="49">
      <c r="A49" s="46" t="n"/>
      <c r="B49" s="46" t="n"/>
      <c r="C49" s="46" t="n"/>
      <c r="D49" s="46" t="n"/>
      <c r="E49" s="46" t="n"/>
      <c r="F49" s="46" t="n"/>
      <c r="G49" s="46" t="n"/>
      <c r="H49" s="46" t="n"/>
      <c r="I49" s="46" t="n"/>
      <c r="J49" s="46" t="n"/>
      <c r="K49" s="46" t="n"/>
      <c r="L49" s="46" t="n"/>
      <c r="M49" s="62" t="str">
        <f>IF($B49="","",IF(ISNUMBER($B49),$B49,IF(AND(LEN($B49)=10,MID($B49,5,1)="-",MID($B49,8,1)="-"),IFERROR(IF(AND(MONTH(DATE(VALUE(LEFT($B49,4)),VALUE(MID($B49,6,2)),VALUE(RIGHT($B49,2))))=VALUE(MID($B49,6,2)),DAY(DATE(VALUE(LEFT($B49,4)),VALUE(MID($B49,6,2)),VALUE(RIGHT($B49,2))))=VALUE(RIGHT($B49,2))),DATE(VALUE(LEFT($B49,4)),VALUE(MID($B49,6,2)),VALUE(RIGHT($B49,2))),"ERR"),"ERR"),"ERR")))</f>
        <v/>
      </c>
      <c r="N49" s="62" t="str">
        <f>IF($G49="","",IF(ISNUMBER($G49),$G49,IF(AND(LEN($G49)=10,MID($G49,5,1)="-",MID($G49,8,1)="-"),IFERROR(IF(AND(MONTH(DATE(VALUE(LEFT($G49,4)),VALUE(MID($G49,6,2)),VALUE(RIGHT($G49,2))))=VALUE(MID($G49,6,2)),DAY(DATE(VALUE(LEFT($G49,4)),VALUE(MID($G49,6,2)),VALUE(RIGHT($G49,2))))=VALUE(RIGHT($G49,2))),DATE(VALUE(LEFT($G49,4)),VALUE(MID($G49,6,2)),VALUE(RIGHT($G49,2))),"ERR"),"ERR"),"ERR")))</f>
        <v/>
      </c>
      <c r="O49" s="51" t="str">
        <f>IF($H49="","",IF(ISNUMBER($H49),$H49,IFERROR(VALUE($H49),"ERR")))</f>
        <v/>
      </c>
      <c r="P49" s="51" t="str">
        <f>IF(AND(ISNUMBER($O49),OR($C49="Receipt",$C49="Shipment",$C49="Adjustment")),IF($C49="Shipment",-$O49,$O49),"")</f>
        <v/>
      </c>
      <c r="Q49" s="51" t="str">
        <f>IF($D49="","",IFERROR(INDEX(Products!$R$2:$R$101,MATCH($D49,Products!$A$2:$A$101,0)),""))</f>
        <v/>
      </c>
      <c r="R49" s="51" t="str">
        <f>IF(OR($Q49="",$P49=""),"",$Q49+SUMIFS($P$1:$P48,$D$1:$D48,$D49,$U$1:$U48,"Ready"))</f>
        <v/>
      </c>
      <c r="S49" s="51" t="str">
        <f>IF($R49="","",$R49+$P49)</f>
        <v/>
      </c>
      <c r="T49" s="52" t="str">
        <f>IF(COUNTA($A49:$L49)&gt;0,$BP49,"")</f>
        <v/>
      </c>
      <c r="U49" s="49" t="str">
        <f>IF($T49="","",IF($T49=0,"Ready","Rejected"))</f>
        <v/>
      </c>
      <c r="V49" s="49" t="str">
        <f>IF(OR($T49="",$T49=0),"",INDEX(Config!$D$39:$D$61,MATCH(1,$AT49:$BP49,0))&amp;IF($T49&gt;1," (+"&amp;($T49-1)&amp;" more)",""))</f>
        <v/>
      </c>
      <c r="W49" s="52">
        <f>IF(AND(COUNTA($A49:$L49)&gt;0,$A49=""),1,0)</f>
        <v>0</v>
      </c>
      <c r="X49" s="52">
        <f>IF(AND(COUNTA($A49:$L49)&gt;0,$A49&lt;&gt;""),IF(COUNTIF($A$1:$A48,$A49)&gt;0,1,0),0)</f>
        <v>0</v>
      </c>
      <c r="Y49" s="52">
        <f>IF(AND(COUNTA($A49:$L49)&gt;0,$A49&lt;&gt;""),IF(COUNTIF(Inventory_Ledger!$A$2:$A$2001,$A49)&gt;0,1,0),0)</f>
        <v>0</v>
      </c>
      <c r="Z49" s="52">
        <f>IF(AND(COUNTA($A49:$L49)&gt;0,$B49=""),1,0)</f>
        <v>0</v>
      </c>
      <c r="AA49" s="52">
        <f>IF(AND(COUNTA($A49:$L49)&gt;0,$B49&lt;&gt;""),IF($M49="ERR",1,0),0)</f>
        <v>0</v>
      </c>
      <c r="AB49" s="52">
        <f>IF(AND(COUNTA($A49:$L49)&gt;0,ISNUMBER($M49)),IF($M49&gt;Config!$B$4,1,0),0)</f>
        <v>0</v>
      </c>
      <c r="AC49" s="52">
        <f>IF(AND(COUNTA($A49:$L49)&gt;0,$C49=""),1,0)</f>
        <v>0</v>
      </c>
      <c r="AD49" s="52">
        <f>IF(AND(COUNTA($A49:$L49)&gt;0,$C49&lt;&gt;""),IF(COUNTIF(Config!$A$15:$A$34,$C49)=0,1,0),0)</f>
        <v>0</v>
      </c>
      <c r="AE49" s="52">
        <f>IF(AND(COUNTA($A49:$L49)&gt;0,$D49=""),1,0)</f>
        <v>0</v>
      </c>
      <c r="AF49" s="52">
        <f>IF(AND(COUNTA($A49:$L49)&gt;0,$D49&lt;&gt;""),IF(COUNTIF(Products!$A$2:$A$101,$D49)=0,1,0),0)</f>
        <v>0</v>
      </c>
      <c r="AG49" s="52">
        <f>IF(AND(COUNTA($A49:$L49)&gt;0,$C49="Receipt",$E49=""),1,0)</f>
        <v>0</v>
      </c>
      <c r="AH49" s="52">
        <f>IF(AND(COUNTA($A49:$L49)&gt;0,$E49&lt;&gt;""),IF(COUNTIF(Suppliers!$A$2:$A$51,$E49)=0,1,0),0)</f>
        <v>0</v>
      </c>
      <c r="AI49" s="52">
        <f>IF(AND(COUNTA($A49:$L49)&gt;0,$F49=""),1,0)</f>
        <v>0</v>
      </c>
      <c r="AJ49" s="52">
        <f>IF(AND(COUNTA($A49:$L49)&gt;0,$F49&lt;&gt;"",$D49&lt;&gt;"",OR($C49="Shipment",$C49="Adjustment")),IF($AF49=1,0,IF(COUNTIFS(Batches!$A$2:$A$301,$F49,Batches!$B$2:$B$301,$D49)+COUNTIFS($F$1:$F48,$F49,$D$1:$D48,$D49,$C$1:$C48,"Receipt")=0,1,0)),0)</f>
        <v>0</v>
      </c>
      <c r="AK49" s="52">
        <f>IF(AND(COUNTA($A49:$L49)&gt;0,$C49="Receipt",$G49=""),1,0)</f>
        <v>0</v>
      </c>
      <c r="AL49" s="52">
        <f>IF(AND(COUNTA($A49:$L49)&gt;0,$G49&lt;&gt;""),IF($N49="ERR",1,0),0)</f>
        <v>0</v>
      </c>
      <c r="AM49" s="52">
        <f>IF(AND(COUNTA($A49:$L49)&gt;0,$H49=""),1,0)</f>
        <v>0</v>
      </c>
      <c r="AN49" s="52">
        <f>IF(AND(COUNTA($A49:$L49)&gt;0,$H49&lt;&gt;""),IF($O49="ERR",1,IF(INT($O49)&lt;&gt;$O49,1,IF(AND(OR($C49="Receipt",$C49="Shipment"),$O49&lt;=0),1,IF(AND($C49="Adjustment",$O49=0),1,0)))),0)</f>
        <v>0</v>
      </c>
      <c r="AO49" s="52">
        <f>IF(AND(COUNTA($A49:$L49)&gt;0,$C49="Receipt",$I49=""),1,0)</f>
        <v>0</v>
      </c>
      <c r="AP49" s="52">
        <f>IF(AND(COUNTA($A49:$L49)&gt;0,$I49&lt;&gt;""),IF(IFERROR(INDEX(Config!$G$15:$G$34,MATCH($I49,Config!$E$15:$E$34,0)),"No")="Yes",0,1),0)</f>
        <v>0</v>
      </c>
      <c r="AQ49" s="52">
        <f>IF(AND(COUNTA($A49:$L49)&gt;0,$C49="Adjustment",$J49=""),1,0)</f>
        <v>0</v>
      </c>
      <c r="AR49" s="52">
        <f>IF(AND(COUNTA($A49:$L49)&gt;0,$L49=""),1,0)</f>
        <v>0</v>
      </c>
      <c r="AS49" s="52">
        <f>IF(AND(COUNTA($A49:$L49)&gt;0,ISNUMBER($S49)),IF($S49&lt;0,1,0),0)</f>
        <v>0</v>
      </c>
      <c r="AT49" s="52">
        <f>$W49</f>
        <v>0</v>
      </c>
      <c r="AU49" s="52">
        <f>$AT49+$X49</f>
        <v>0</v>
      </c>
      <c r="AV49" s="52">
        <f>$AU49+$Y49</f>
        <v>0</v>
      </c>
      <c r="AW49" s="52">
        <f>$AV49+$Z49</f>
        <v>0</v>
      </c>
      <c r="AX49" s="52">
        <f>$AW49+$AA49</f>
        <v>0</v>
      </c>
      <c r="AY49" s="52">
        <f>$AX49+$AB49</f>
        <v>0</v>
      </c>
      <c r="AZ49" s="52">
        <f>$AY49+$AC49</f>
        <v>0</v>
      </c>
      <c r="BA49" s="52">
        <f>$AZ49+$AD49</f>
        <v>0</v>
      </c>
      <c r="BB49" s="52">
        <f>$BA49+$AE49</f>
        <v>0</v>
      </c>
      <c r="BC49" s="52">
        <f>$BB49+$AF49</f>
        <v>0</v>
      </c>
      <c r="BD49" s="52">
        <f>$BC49+$AG49</f>
        <v>0</v>
      </c>
      <c r="BE49" s="52">
        <f>$BD49+$AH49</f>
        <v>0</v>
      </c>
      <c r="BF49" s="52">
        <f>$BE49+$AI49</f>
        <v>0</v>
      </c>
      <c r="BG49" s="52">
        <f>$BF49+$AJ49</f>
        <v>0</v>
      </c>
      <c r="BH49" s="52">
        <f>$BG49+$AK49</f>
        <v>0</v>
      </c>
      <c r="BI49" s="52">
        <f>$BH49+$AL49</f>
        <v>0</v>
      </c>
      <c r="BJ49" s="52">
        <f>$BI49+$AM49</f>
        <v>0</v>
      </c>
      <c r="BK49" s="52">
        <f>$BJ49+$AN49</f>
        <v>0</v>
      </c>
      <c r="BL49" s="52">
        <f>$BK49+$AO49</f>
        <v>0</v>
      </c>
      <c r="BM49" s="52">
        <f>$BL49+$AP49</f>
        <v>0</v>
      </c>
      <c r="BN49" s="52">
        <f>$BM49+$AQ49</f>
        <v>0</v>
      </c>
      <c r="BO49" s="52">
        <f>$BN49+$AR49</f>
        <v>0</v>
      </c>
      <c r="BP49" s="52">
        <f>$BO49+$AS49</f>
        <v>0</v>
      </c>
      <c r="BQ49" s="52">
        <f>SUM($T$1:$T48)</f>
        <v>11</v>
      </c>
      <c r="BR49" s="52" t="str">
        <f>IF(ISNUMBER($T49),IF($T49&gt;0,COUNTIF($T$2:$T49,"&gt;0"),""),"")</f>
        <v/>
      </c>
      <c r="BS49" s="52" t="str">
        <f>IF($BR49="","",$BQ49+$T49)</f>
        <v/>
      </c>
      <c r="BT49" s="52" t="str">
        <f>IF($U49="Ready",COUNTIF($U$2:$U49,"Ready"),"")</f>
        <v/>
      </c>
      <c r="BU49" s="52">
        <f>IF(AND($U49="Ready",$C49="Receipt"),IF(COUNTIF(Batches!$A$2:$A$301,$F49)+COUNTIFS($F$1:$F48,$F49,$C$1:$C48,"Receipt",$U$1:$U48,"Ready")=0,1,0),0)</f>
        <v>0</v>
      </c>
      <c r="BV49" s="52" t="str">
        <f>IF($BU49=1,SUM($BU$2:$BU49),"")</f>
        <v/>
      </c>
    </row>
    <row r="50">
      <c r="A50" s="46" t="n"/>
      <c r="B50" s="46" t="n"/>
      <c r="C50" s="46" t="n"/>
      <c r="D50" s="46" t="n"/>
      <c r="E50" s="46" t="n"/>
      <c r="F50" s="46" t="n"/>
      <c r="G50" s="46" t="n"/>
      <c r="H50" s="46" t="n"/>
      <c r="I50" s="46" t="n"/>
      <c r="J50" s="46" t="n"/>
      <c r="K50" s="46" t="n"/>
      <c r="L50" s="46" t="n"/>
      <c r="M50" s="62" t="str">
        <f>IF($B50="","",IF(ISNUMBER($B50),$B50,IF(AND(LEN($B50)=10,MID($B50,5,1)="-",MID($B50,8,1)="-"),IFERROR(IF(AND(MONTH(DATE(VALUE(LEFT($B50,4)),VALUE(MID($B50,6,2)),VALUE(RIGHT($B50,2))))=VALUE(MID($B50,6,2)),DAY(DATE(VALUE(LEFT($B50,4)),VALUE(MID($B50,6,2)),VALUE(RIGHT($B50,2))))=VALUE(RIGHT($B50,2))),DATE(VALUE(LEFT($B50,4)),VALUE(MID($B50,6,2)),VALUE(RIGHT($B50,2))),"ERR"),"ERR"),"ERR")))</f>
        <v/>
      </c>
      <c r="N50" s="62" t="str">
        <f>IF($G50="","",IF(ISNUMBER($G50),$G50,IF(AND(LEN($G50)=10,MID($G50,5,1)="-",MID($G50,8,1)="-"),IFERROR(IF(AND(MONTH(DATE(VALUE(LEFT($G50,4)),VALUE(MID($G50,6,2)),VALUE(RIGHT($G50,2))))=VALUE(MID($G50,6,2)),DAY(DATE(VALUE(LEFT($G50,4)),VALUE(MID($G50,6,2)),VALUE(RIGHT($G50,2))))=VALUE(RIGHT($G50,2))),DATE(VALUE(LEFT($G50,4)),VALUE(MID($G50,6,2)),VALUE(RIGHT($G50,2))),"ERR"),"ERR"),"ERR")))</f>
        <v/>
      </c>
      <c r="O50" s="51" t="str">
        <f>IF($H50="","",IF(ISNUMBER($H50),$H50,IFERROR(VALUE($H50),"ERR")))</f>
        <v/>
      </c>
      <c r="P50" s="51" t="str">
        <f>IF(AND(ISNUMBER($O50),OR($C50="Receipt",$C50="Shipment",$C50="Adjustment")),IF($C50="Shipment",-$O50,$O50),"")</f>
        <v/>
      </c>
      <c r="Q50" s="51" t="str">
        <f>IF($D50="","",IFERROR(INDEX(Products!$R$2:$R$101,MATCH($D50,Products!$A$2:$A$101,0)),""))</f>
        <v/>
      </c>
      <c r="R50" s="51" t="str">
        <f>IF(OR($Q50="",$P50=""),"",$Q50+SUMIFS($P$1:$P49,$D$1:$D49,$D50,$U$1:$U49,"Ready"))</f>
        <v/>
      </c>
      <c r="S50" s="51" t="str">
        <f>IF($R50="","",$R50+$P50)</f>
        <v/>
      </c>
      <c r="T50" s="52" t="str">
        <f>IF(COUNTA($A50:$L50)&gt;0,$BP50,"")</f>
        <v/>
      </c>
      <c r="U50" s="49" t="str">
        <f>IF($T50="","",IF($T50=0,"Ready","Rejected"))</f>
        <v/>
      </c>
      <c r="V50" s="49" t="str">
        <f>IF(OR($T50="",$T50=0),"",INDEX(Config!$D$39:$D$61,MATCH(1,$AT50:$BP50,0))&amp;IF($T50&gt;1," (+"&amp;($T50-1)&amp;" more)",""))</f>
        <v/>
      </c>
      <c r="W50" s="52">
        <f>IF(AND(COUNTA($A50:$L50)&gt;0,$A50=""),1,0)</f>
        <v>0</v>
      </c>
      <c r="X50" s="52">
        <f>IF(AND(COUNTA($A50:$L50)&gt;0,$A50&lt;&gt;""),IF(COUNTIF($A$1:$A49,$A50)&gt;0,1,0),0)</f>
        <v>0</v>
      </c>
      <c r="Y50" s="52">
        <f>IF(AND(COUNTA($A50:$L50)&gt;0,$A50&lt;&gt;""),IF(COUNTIF(Inventory_Ledger!$A$2:$A$2001,$A50)&gt;0,1,0),0)</f>
        <v>0</v>
      </c>
      <c r="Z50" s="52">
        <f>IF(AND(COUNTA($A50:$L50)&gt;0,$B50=""),1,0)</f>
        <v>0</v>
      </c>
      <c r="AA50" s="52">
        <f>IF(AND(COUNTA($A50:$L50)&gt;0,$B50&lt;&gt;""),IF($M50="ERR",1,0),0)</f>
        <v>0</v>
      </c>
      <c r="AB50" s="52">
        <f>IF(AND(COUNTA($A50:$L50)&gt;0,ISNUMBER($M50)),IF($M50&gt;Config!$B$4,1,0),0)</f>
        <v>0</v>
      </c>
      <c r="AC50" s="52">
        <f>IF(AND(COUNTA($A50:$L50)&gt;0,$C50=""),1,0)</f>
        <v>0</v>
      </c>
      <c r="AD50" s="52">
        <f>IF(AND(COUNTA($A50:$L50)&gt;0,$C50&lt;&gt;""),IF(COUNTIF(Config!$A$15:$A$34,$C50)=0,1,0),0)</f>
        <v>0</v>
      </c>
      <c r="AE50" s="52">
        <f>IF(AND(COUNTA($A50:$L50)&gt;0,$D50=""),1,0)</f>
        <v>0</v>
      </c>
      <c r="AF50" s="52">
        <f>IF(AND(COUNTA($A50:$L50)&gt;0,$D50&lt;&gt;""),IF(COUNTIF(Products!$A$2:$A$101,$D50)=0,1,0),0)</f>
        <v>0</v>
      </c>
      <c r="AG50" s="52">
        <f>IF(AND(COUNTA($A50:$L50)&gt;0,$C50="Receipt",$E50=""),1,0)</f>
        <v>0</v>
      </c>
      <c r="AH50" s="52">
        <f>IF(AND(COUNTA($A50:$L50)&gt;0,$E50&lt;&gt;""),IF(COUNTIF(Suppliers!$A$2:$A$51,$E50)=0,1,0),0)</f>
        <v>0</v>
      </c>
      <c r="AI50" s="52">
        <f>IF(AND(COUNTA($A50:$L50)&gt;0,$F50=""),1,0)</f>
        <v>0</v>
      </c>
      <c r="AJ50" s="52">
        <f>IF(AND(COUNTA($A50:$L50)&gt;0,$F50&lt;&gt;"",$D50&lt;&gt;"",OR($C50="Shipment",$C50="Adjustment")),IF($AF50=1,0,IF(COUNTIFS(Batches!$A$2:$A$301,$F50,Batches!$B$2:$B$301,$D50)+COUNTIFS($F$1:$F49,$F50,$D$1:$D49,$D50,$C$1:$C49,"Receipt")=0,1,0)),0)</f>
        <v>0</v>
      </c>
      <c r="AK50" s="52">
        <f>IF(AND(COUNTA($A50:$L50)&gt;0,$C50="Receipt",$G50=""),1,0)</f>
        <v>0</v>
      </c>
      <c r="AL50" s="52">
        <f>IF(AND(COUNTA($A50:$L50)&gt;0,$G50&lt;&gt;""),IF($N50="ERR",1,0),0)</f>
        <v>0</v>
      </c>
      <c r="AM50" s="52">
        <f>IF(AND(COUNTA($A50:$L50)&gt;0,$H50=""),1,0)</f>
        <v>0</v>
      </c>
      <c r="AN50" s="52">
        <f>IF(AND(COUNTA($A50:$L50)&gt;0,$H50&lt;&gt;""),IF($O50="ERR",1,IF(INT($O50)&lt;&gt;$O50,1,IF(AND(OR($C50="Receipt",$C50="Shipment"),$O50&lt;=0),1,IF(AND($C50="Adjustment",$O50=0),1,0)))),0)</f>
        <v>0</v>
      </c>
      <c r="AO50" s="52">
        <f>IF(AND(COUNTA($A50:$L50)&gt;0,$C50="Receipt",$I50=""),1,0)</f>
        <v>0</v>
      </c>
      <c r="AP50" s="52">
        <f>IF(AND(COUNTA($A50:$L50)&gt;0,$I50&lt;&gt;""),IF(IFERROR(INDEX(Config!$G$15:$G$34,MATCH($I50,Config!$E$15:$E$34,0)),"No")="Yes",0,1),0)</f>
        <v>0</v>
      </c>
      <c r="AQ50" s="52">
        <f>IF(AND(COUNTA($A50:$L50)&gt;0,$C50="Adjustment",$J50=""),1,0)</f>
        <v>0</v>
      </c>
      <c r="AR50" s="52">
        <f>IF(AND(COUNTA($A50:$L50)&gt;0,$L50=""),1,0)</f>
        <v>0</v>
      </c>
      <c r="AS50" s="52">
        <f>IF(AND(COUNTA($A50:$L50)&gt;0,ISNUMBER($S50)),IF($S50&lt;0,1,0),0)</f>
        <v>0</v>
      </c>
      <c r="AT50" s="52">
        <f>$W50</f>
        <v>0</v>
      </c>
      <c r="AU50" s="52">
        <f>$AT50+$X50</f>
        <v>0</v>
      </c>
      <c r="AV50" s="52">
        <f>$AU50+$Y50</f>
        <v>0</v>
      </c>
      <c r="AW50" s="52">
        <f>$AV50+$Z50</f>
        <v>0</v>
      </c>
      <c r="AX50" s="52">
        <f>$AW50+$AA50</f>
        <v>0</v>
      </c>
      <c r="AY50" s="52">
        <f>$AX50+$AB50</f>
        <v>0</v>
      </c>
      <c r="AZ50" s="52">
        <f>$AY50+$AC50</f>
        <v>0</v>
      </c>
      <c r="BA50" s="52">
        <f>$AZ50+$AD50</f>
        <v>0</v>
      </c>
      <c r="BB50" s="52">
        <f>$BA50+$AE50</f>
        <v>0</v>
      </c>
      <c r="BC50" s="52">
        <f>$BB50+$AF50</f>
        <v>0</v>
      </c>
      <c r="BD50" s="52">
        <f>$BC50+$AG50</f>
        <v>0</v>
      </c>
      <c r="BE50" s="52">
        <f>$BD50+$AH50</f>
        <v>0</v>
      </c>
      <c r="BF50" s="52">
        <f>$BE50+$AI50</f>
        <v>0</v>
      </c>
      <c r="BG50" s="52">
        <f>$BF50+$AJ50</f>
        <v>0</v>
      </c>
      <c r="BH50" s="52">
        <f>$BG50+$AK50</f>
        <v>0</v>
      </c>
      <c r="BI50" s="52">
        <f>$BH50+$AL50</f>
        <v>0</v>
      </c>
      <c r="BJ50" s="52">
        <f>$BI50+$AM50</f>
        <v>0</v>
      </c>
      <c r="BK50" s="52">
        <f>$BJ50+$AN50</f>
        <v>0</v>
      </c>
      <c r="BL50" s="52">
        <f>$BK50+$AO50</f>
        <v>0</v>
      </c>
      <c r="BM50" s="52">
        <f>$BL50+$AP50</f>
        <v>0</v>
      </c>
      <c r="BN50" s="52">
        <f>$BM50+$AQ50</f>
        <v>0</v>
      </c>
      <c r="BO50" s="52">
        <f>$BN50+$AR50</f>
        <v>0</v>
      </c>
      <c r="BP50" s="52">
        <f>$BO50+$AS50</f>
        <v>0</v>
      </c>
      <c r="BQ50" s="52">
        <f>SUM($T$1:$T49)</f>
        <v>11</v>
      </c>
      <c r="BR50" s="52" t="str">
        <f>IF(ISNUMBER($T50),IF($T50&gt;0,COUNTIF($T$2:$T50,"&gt;0"),""),"")</f>
        <v/>
      </c>
      <c r="BS50" s="52" t="str">
        <f>IF($BR50="","",$BQ50+$T50)</f>
        <v/>
      </c>
      <c r="BT50" s="52" t="str">
        <f>IF($U50="Ready",COUNTIF($U$2:$U50,"Ready"),"")</f>
        <v/>
      </c>
      <c r="BU50" s="52">
        <f>IF(AND($U50="Ready",$C50="Receipt"),IF(COUNTIF(Batches!$A$2:$A$301,$F50)+COUNTIFS($F$1:$F49,$F50,$C$1:$C49,"Receipt",$U$1:$U49,"Ready")=0,1,0),0)</f>
        <v>0</v>
      </c>
      <c r="BV50" s="52" t="str">
        <f>IF($BU50=1,SUM($BU$2:$BU50),"")</f>
        <v/>
      </c>
    </row>
    <row r="51">
      <c r="A51" s="46" t="n"/>
      <c r="B51" s="46" t="n"/>
      <c r="C51" s="46" t="n"/>
      <c r="D51" s="46" t="n"/>
      <c r="E51" s="46" t="n"/>
      <c r="F51" s="46" t="n"/>
      <c r="G51" s="46" t="n"/>
      <c r="H51" s="46" t="n"/>
      <c r="I51" s="46" t="n"/>
      <c r="J51" s="46" t="n"/>
      <c r="K51" s="46" t="n"/>
      <c r="L51" s="46" t="n"/>
      <c r="M51" s="62" t="str">
        <f>IF($B51="","",IF(ISNUMBER($B51),$B51,IF(AND(LEN($B51)=10,MID($B51,5,1)="-",MID($B51,8,1)="-"),IFERROR(IF(AND(MONTH(DATE(VALUE(LEFT($B51,4)),VALUE(MID($B51,6,2)),VALUE(RIGHT($B51,2))))=VALUE(MID($B51,6,2)),DAY(DATE(VALUE(LEFT($B51,4)),VALUE(MID($B51,6,2)),VALUE(RIGHT($B51,2))))=VALUE(RIGHT($B51,2))),DATE(VALUE(LEFT($B51,4)),VALUE(MID($B51,6,2)),VALUE(RIGHT($B51,2))),"ERR"),"ERR"),"ERR")))</f>
        <v/>
      </c>
      <c r="N51" s="62" t="str">
        <f>IF($G51="","",IF(ISNUMBER($G51),$G51,IF(AND(LEN($G51)=10,MID($G51,5,1)="-",MID($G51,8,1)="-"),IFERROR(IF(AND(MONTH(DATE(VALUE(LEFT($G51,4)),VALUE(MID($G51,6,2)),VALUE(RIGHT($G51,2))))=VALUE(MID($G51,6,2)),DAY(DATE(VALUE(LEFT($G51,4)),VALUE(MID($G51,6,2)),VALUE(RIGHT($G51,2))))=VALUE(RIGHT($G51,2))),DATE(VALUE(LEFT($G51,4)),VALUE(MID($G51,6,2)),VALUE(RIGHT($G51,2))),"ERR"),"ERR"),"ERR")))</f>
        <v/>
      </c>
      <c r="O51" s="51" t="str">
        <f>IF($H51="","",IF(ISNUMBER($H51),$H51,IFERROR(VALUE($H51),"ERR")))</f>
        <v/>
      </c>
      <c r="P51" s="51" t="str">
        <f>IF(AND(ISNUMBER($O51),OR($C51="Receipt",$C51="Shipment",$C51="Adjustment")),IF($C51="Shipment",-$O51,$O51),"")</f>
        <v/>
      </c>
      <c r="Q51" s="51" t="str">
        <f>IF($D51="","",IFERROR(INDEX(Products!$R$2:$R$101,MATCH($D51,Products!$A$2:$A$101,0)),""))</f>
        <v/>
      </c>
      <c r="R51" s="51" t="str">
        <f>IF(OR($Q51="",$P51=""),"",$Q51+SUMIFS($P$1:$P50,$D$1:$D50,$D51,$U$1:$U50,"Ready"))</f>
        <v/>
      </c>
      <c r="S51" s="51" t="str">
        <f>IF($R51="","",$R51+$P51)</f>
        <v/>
      </c>
      <c r="T51" s="52" t="str">
        <f>IF(COUNTA($A51:$L51)&gt;0,$BP51,"")</f>
        <v/>
      </c>
      <c r="U51" s="49" t="str">
        <f>IF($T51="","",IF($T51=0,"Ready","Rejected"))</f>
        <v/>
      </c>
      <c r="V51" s="49" t="str">
        <f>IF(OR($T51="",$T51=0),"",INDEX(Config!$D$39:$D$61,MATCH(1,$AT51:$BP51,0))&amp;IF($T51&gt;1," (+"&amp;($T51-1)&amp;" more)",""))</f>
        <v/>
      </c>
      <c r="W51" s="52">
        <f>IF(AND(COUNTA($A51:$L51)&gt;0,$A51=""),1,0)</f>
        <v>0</v>
      </c>
      <c r="X51" s="52">
        <f>IF(AND(COUNTA($A51:$L51)&gt;0,$A51&lt;&gt;""),IF(COUNTIF($A$1:$A50,$A51)&gt;0,1,0),0)</f>
        <v>0</v>
      </c>
      <c r="Y51" s="52">
        <f>IF(AND(COUNTA($A51:$L51)&gt;0,$A51&lt;&gt;""),IF(COUNTIF(Inventory_Ledger!$A$2:$A$2001,$A51)&gt;0,1,0),0)</f>
        <v>0</v>
      </c>
      <c r="Z51" s="52">
        <f>IF(AND(COUNTA($A51:$L51)&gt;0,$B51=""),1,0)</f>
        <v>0</v>
      </c>
      <c r="AA51" s="52">
        <f>IF(AND(COUNTA($A51:$L51)&gt;0,$B51&lt;&gt;""),IF($M51="ERR",1,0),0)</f>
        <v>0</v>
      </c>
      <c r="AB51" s="52">
        <f>IF(AND(COUNTA($A51:$L51)&gt;0,ISNUMBER($M51)),IF($M51&gt;Config!$B$4,1,0),0)</f>
        <v>0</v>
      </c>
      <c r="AC51" s="52">
        <f>IF(AND(COUNTA($A51:$L51)&gt;0,$C51=""),1,0)</f>
        <v>0</v>
      </c>
      <c r="AD51" s="52">
        <f>IF(AND(COUNTA($A51:$L51)&gt;0,$C51&lt;&gt;""),IF(COUNTIF(Config!$A$15:$A$34,$C51)=0,1,0),0)</f>
        <v>0</v>
      </c>
      <c r="AE51" s="52">
        <f>IF(AND(COUNTA($A51:$L51)&gt;0,$D51=""),1,0)</f>
        <v>0</v>
      </c>
      <c r="AF51" s="52">
        <f>IF(AND(COUNTA($A51:$L51)&gt;0,$D51&lt;&gt;""),IF(COUNTIF(Products!$A$2:$A$101,$D51)=0,1,0),0)</f>
        <v>0</v>
      </c>
      <c r="AG51" s="52">
        <f>IF(AND(COUNTA($A51:$L51)&gt;0,$C51="Receipt",$E51=""),1,0)</f>
        <v>0</v>
      </c>
      <c r="AH51" s="52">
        <f>IF(AND(COUNTA($A51:$L51)&gt;0,$E51&lt;&gt;""),IF(COUNTIF(Suppliers!$A$2:$A$51,$E51)=0,1,0),0)</f>
        <v>0</v>
      </c>
      <c r="AI51" s="52">
        <f>IF(AND(COUNTA($A51:$L51)&gt;0,$F51=""),1,0)</f>
        <v>0</v>
      </c>
      <c r="AJ51" s="52">
        <f>IF(AND(COUNTA($A51:$L51)&gt;0,$F51&lt;&gt;"",$D51&lt;&gt;"",OR($C51="Shipment",$C51="Adjustment")),IF($AF51=1,0,IF(COUNTIFS(Batches!$A$2:$A$301,$F51,Batches!$B$2:$B$301,$D51)+COUNTIFS($F$1:$F50,$F51,$D$1:$D50,$D51,$C$1:$C50,"Receipt")=0,1,0)),0)</f>
        <v>0</v>
      </c>
      <c r="AK51" s="52">
        <f>IF(AND(COUNTA($A51:$L51)&gt;0,$C51="Receipt",$G51=""),1,0)</f>
        <v>0</v>
      </c>
      <c r="AL51" s="52">
        <f>IF(AND(COUNTA($A51:$L51)&gt;0,$G51&lt;&gt;""),IF($N51="ERR",1,0),0)</f>
        <v>0</v>
      </c>
      <c r="AM51" s="52">
        <f>IF(AND(COUNTA($A51:$L51)&gt;0,$H51=""),1,0)</f>
        <v>0</v>
      </c>
      <c r="AN51" s="52">
        <f>IF(AND(COUNTA($A51:$L51)&gt;0,$H51&lt;&gt;""),IF($O51="ERR",1,IF(INT($O51)&lt;&gt;$O51,1,IF(AND(OR($C51="Receipt",$C51="Shipment"),$O51&lt;=0),1,IF(AND($C51="Adjustment",$O51=0),1,0)))),0)</f>
        <v>0</v>
      </c>
      <c r="AO51" s="52">
        <f>IF(AND(COUNTA($A51:$L51)&gt;0,$C51="Receipt",$I51=""),1,0)</f>
        <v>0</v>
      </c>
      <c r="AP51" s="52">
        <f>IF(AND(COUNTA($A51:$L51)&gt;0,$I51&lt;&gt;""),IF(IFERROR(INDEX(Config!$G$15:$G$34,MATCH($I51,Config!$E$15:$E$34,0)),"No")="Yes",0,1),0)</f>
        <v>0</v>
      </c>
      <c r="AQ51" s="52">
        <f>IF(AND(COUNTA($A51:$L51)&gt;0,$C51="Adjustment",$J51=""),1,0)</f>
        <v>0</v>
      </c>
      <c r="AR51" s="52">
        <f>IF(AND(COUNTA($A51:$L51)&gt;0,$L51=""),1,0)</f>
        <v>0</v>
      </c>
      <c r="AS51" s="52">
        <f>IF(AND(COUNTA($A51:$L51)&gt;0,ISNUMBER($S51)),IF($S51&lt;0,1,0),0)</f>
        <v>0</v>
      </c>
      <c r="AT51" s="52">
        <f>$W51</f>
        <v>0</v>
      </c>
      <c r="AU51" s="52">
        <f>$AT51+$X51</f>
        <v>0</v>
      </c>
      <c r="AV51" s="52">
        <f>$AU51+$Y51</f>
        <v>0</v>
      </c>
      <c r="AW51" s="52">
        <f>$AV51+$Z51</f>
        <v>0</v>
      </c>
      <c r="AX51" s="52">
        <f>$AW51+$AA51</f>
        <v>0</v>
      </c>
      <c r="AY51" s="52">
        <f>$AX51+$AB51</f>
        <v>0</v>
      </c>
      <c r="AZ51" s="52">
        <f>$AY51+$AC51</f>
        <v>0</v>
      </c>
      <c r="BA51" s="52">
        <f>$AZ51+$AD51</f>
        <v>0</v>
      </c>
      <c r="BB51" s="52">
        <f>$BA51+$AE51</f>
        <v>0</v>
      </c>
      <c r="BC51" s="52">
        <f>$BB51+$AF51</f>
        <v>0</v>
      </c>
      <c r="BD51" s="52">
        <f>$BC51+$AG51</f>
        <v>0</v>
      </c>
      <c r="BE51" s="52">
        <f>$BD51+$AH51</f>
        <v>0</v>
      </c>
      <c r="BF51" s="52">
        <f>$BE51+$AI51</f>
        <v>0</v>
      </c>
      <c r="BG51" s="52">
        <f>$BF51+$AJ51</f>
        <v>0</v>
      </c>
      <c r="BH51" s="52">
        <f>$BG51+$AK51</f>
        <v>0</v>
      </c>
      <c r="BI51" s="52">
        <f>$BH51+$AL51</f>
        <v>0</v>
      </c>
      <c r="BJ51" s="52">
        <f>$BI51+$AM51</f>
        <v>0</v>
      </c>
      <c r="BK51" s="52">
        <f>$BJ51+$AN51</f>
        <v>0</v>
      </c>
      <c r="BL51" s="52">
        <f>$BK51+$AO51</f>
        <v>0</v>
      </c>
      <c r="BM51" s="52">
        <f>$BL51+$AP51</f>
        <v>0</v>
      </c>
      <c r="BN51" s="52">
        <f>$BM51+$AQ51</f>
        <v>0</v>
      </c>
      <c r="BO51" s="52">
        <f>$BN51+$AR51</f>
        <v>0</v>
      </c>
      <c r="BP51" s="52">
        <f>$BO51+$AS51</f>
        <v>0</v>
      </c>
      <c r="BQ51" s="52">
        <f>SUM($T$1:$T50)</f>
        <v>11</v>
      </c>
      <c r="BR51" s="52" t="str">
        <f>IF(ISNUMBER($T51),IF($T51&gt;0,COUNTIF($T$2:$T51,"&gt;0"),""),"")</f>
        <v/>
      </c>
      <c r="BS51" s="52" t="str">
        <f>IF($BR51="","",$BQ51+$T51)</f>
        <v/>
      </c>
      <c r="BT51" s="52" t="str">
        <f>IF($U51="Ready",COUNTIF($U$2:$U51,"Ready"),"")</f>
        <v/>
      </c>
      <c r="BU51" s="52">
        <f>IF(AND($U51="Ready",$C51="Receipt"),IF(COUNTIF(Batches!$A$2:$A$301,$F51)+COUNTIFS($F$1:$F50,$F51,$C$1:$C50,"Receipt",$U$1:$U50,"Ready")=0,1,0),0)</f>
        <v>0</v>
      </c>
      <c r="BV51" s="52" t="str">
        <f>IF($BU51=1,SUM($BU$2:$BU51),"")</f>
        <v/>
      </c>
    </row>
    <row r="52">
      <c r="A52" s="46" t="n"/>
      <c r="B52" s="46" t="n"/>
      <c r="C52" s="46" t="n"/>
      <c r="D52" s="46" t="n"/>
      <c r="E52" s="46" t="n"/>
      <c r="F52" s="46" t="n"/>
      <c r="G52" s="46" t="n"/>
      <c r="H52" s="46" t="n"/>
      <c r="I52" s="46" t="n"/>
      <c r="J52" s="46" t="n"/>
      <c r="K52" s="46" t="n"/>
      <c r="L52" s="46" t="n"/>
      <c r="M52" s="62" t="str">
        <f>IF($B52="","",IF(ISNUMBER($B52),$B52,IF(AND(LEN($B52)=10,MID($B52,5,1)="-",MID($B52,8,1)="-"),IFERROR(IF(AND(MONTH(DATE(VALUE(LEFT($B52,4)),VALUE(MID($B52,6,2)),VALUE(RIGHT($B52,2))))=VALUE(MID($B52,6,2)),DAY(DATE(VALUE(LEFT($B52,4)),VALUE(MID($B52,6,2)),VALUE(RIGHT($B52,2))))=VALUE(RIGHT($B52,2))),DATE(VALUE(LEFT($B52,4)),VALUE(MID($B52,6,2)),VALUE(RIGHT($B52,2))),"ERR"),"ERR"),"ERR")))</f>
        <v/>
      </c>
      <c r="N52" s="62" t="str">
        <f>IF($G52="","",IF(ISNUMBER($G52),$G52,IF(AND(LEN($G52)=10,MID($G52,5,1)="-",MID($G52,8,1)="-"),IFERROR(IF(AND(MONTH(DATE(VALUE(LEFT($G52,4)),VALUE(MID($G52,6,2)),VALUE(RIGHT($G52,2))))=VALUE(MID($G52,6,2)),DAY(DATE(VALUE(LEFT($G52,4)),VALUE(MID($G52,6,2)),VALUE(RIGHT($G52,2))))=VALUE(RIGHT($G52,2))),DATE(VALUE(LEFT($G52,4)),VALUE(MID($G52,6,2)),VALUE(RIGHT($G52,2))),"ERR"),"ERR"),"ERR")))</f>
        <v/>
      </c>
      <c r="O52" s="51" t="str">
        <f>IF($H52="","",IF(ISNUMBER($H52),$H52,IFERROR(VALUE($H52),"ERR")))</f>
        <v/>
      </c>
      <c r="P52" s="51" t="str">
        <f>IF(AND(ISNUMBER($O52),OR($C52="Receipt",$C52="Shipment",$C52="Adjustment")),IF($C52="Shipment",-$O52,$O52),"")</f>
        <v/>
      </c>
      <c r="Q52" s="51" t="str">
        <f>IF($D52="","",IFERROR(INDEX(Products!$R$2:$R$101,MATCH($D52,Products!$A$2:$A$101,0)),""))</f>
        <v/>
      </c>
      <c r="R52" s="51" t="str">
        <f>IF(OR($Q52="",$P52=""),"",$Q52+SUMIFS($P$1:$P51,$D$1:$D51,$D52,$U$1:$U51,"Ready"))</f>
        <v/>
      </c>
      <c r="S52" s="51" t="str">
        <f>IF($R52="","",$R52+$P52)</f>
        <v/>
      </c>
      <c r="T52" s="52" t="str">
        <f>IF(COUNTA($A52:$L52)&gt;0,$BP52,"")</f>
        <v/>
      </c>
      <c r="U52" s="49" t="str">
        <f>IF($T52="","",IF($T52=0,"Ready","Rejected"))</f>
        <v/>
      </c>
      <c r="V52" s="49" t="str">
        <f>IF(OR($T52="",$T52=0),"",INDEX(Config!$D$39:$D$61,MATCH(1,$AT52:$BP52,0))&amp;IF($T52&gt;1," (+"&amp;($T52-1)&amp;" more)",""))</f>
        <v/>
      </c>
      <c r="W52" s="52">
        <f>IF(AND(COUNTA($A52:$L52)&gt;0,$A52=""),1,0)</f>
        <v>0</v>
      </c>
      <c r="X52" s="52">
        <f>IF(AND(COUNTA($A52:$L52)&gt;0,$A52&lt;&gt;""),IF(COUNTIF($A$1:$A51,$A52)&gt;0,1,0),0)</f>
        <v>0</v>
      </c>
      <c r="Y52" s="52">
        <f>IF(AND(COUNTA($A52:$L52)&gt;0,$A52&lt;&gt;""),IF(COUNTIF(Inventory_Ledger!$A$2:$A$2001,$A52)&gt;0,1,0),0)</f>
        <v>0</v>
      </c>
      <c r="Z52" s="52">
        <f>IF(AND(COUNTA($A52:$L52)&gt;0,$B52=""),1,0)</f>
        <v>0</v>
      </c>
      <c r="AA52" s="52">
        <f>IF(AND(COUNTA($A52:$L52)&gt;0,$B52&lt;&gt;""),IF($M52="ERR",1,0),0)</f>
        <v>0</v>
      </c>
      <c r="AB52" s="52">
        <f>IF(AND(COUNTA($A52:$L52)&gt;0,ISNUMBER($M52)),IF($M52&gt;Config!$B$4,1,0),0)</f>
        <v>0</v>
      </c>
      <c r="AC52" s="52">
        <f>IF(AND(COUNTA($A52:$L52)&gt;0,$C52=""),1,0)</f>
        <v>0</v>
      </c>
      <c r="AD52" s="52">
        <f>IF(AND(COUNTA($A52:$L52)&gt;0,$C52&lt;&gt;""),IF(COUNTIF(Config!$A$15:$A$34,$C52)=0,1,0),0)</f>
        <v>0</v>
      </c>
      <c r="AE52" s="52">
        <f>IF(AND(COUNTA($A52:$L52)&gt;0,$D52=""),1,0)</f>
        <v>0</v>
      </c>
      <c r="AF52" s="52">
        <f>IF(AND(COUNTA($A52:$L52)&gt;0,$D52&lt;&gt;""),IF(COUNTIF(Products!$A$2:$A$101,$D52)=0,1,0),0)</f>
        <v>0</v>
      </c>
      <c r="AG52" s="52">
        <f>IF(AND(COUNTA($A52:$L52)&gt;0,$C52="Receipt",$E52=""),1,0)</f>
        <v>0</v>
      </c>
      <c r="AH52" s="52">
        <f>IF(AND(COUNTA($A52:$L52)&gt;0,$E52&lt;&gt;""),IF(COUNTIF(Suppliers!$A$2:$A$51,$E52)=0,1,0),0)</f>
        <v>0</v>
      </c>
      <c r="AI52" s="52">
        <f>IF(AND(COUNTA($A52:$L52)&gt;0,$F52=""),1,0)</f>
        <v>0</v>
      </c>
      <c r="AJ52" s="52">
        <f>IF(AND(COUNTA($A52:$L52)&gt;0,$F52&lt;&gt;"",$D52&lt;&gt;"",OR($C52="Shipment",$C52="Adjustment")),IF($AF52=1,0,IF(COUNTIFS(Batches!$A$2:$A$301,$F52,Batches!$B$2:$B$301,$D52)+COUNTIFS($F$1:$F51,$F52,$D$1:$D51,$D52,$C$1:$C51,"Receipt")=0,1,0)),0)</f>
        <v>0</v>
      </c>
      <c r="AK52" s="52">
        <f>IF(AND(COUNTA($A52:$L52)&gt;0,$C52="Receipt",$G52=""),1,0)</f>
        <v>0</v>
      </c>
      <c r="AL52" s="52">
        <f>IF(AND(COUNTA($A52:$L52)&gt;0,$G52&lt;&gt;""),IF($N52="ERR",1,0),0)</f>
        <v>0</v>
      </c>
      <c r="AM52" s="52">
        <f>IF(AND(COUNTA($A52:$L52)&gt;0,$H52=""),1,0)</f>
        <v>0</v>
      </c>
      <c r="AN52" s="52">
        <f>IF(AND(COUNTA($A52:$L52)&gt;0,$H52&lt;&gt;""),IF($O52="ERR",1,IF(INT($O52)&lt;&gt;$O52,1,IF(AND(OR($C52="Receipt",$C52="Shipment"),$O52&lt;=0),1,IF(AND($C52="Adjustment",$O52=0),1,0)))),0)</f>
        <v>0</v>
      </c>
      <c r="AO52" s="52">
        <f>IF(AND(COUNTA($A52:$L52)&gt;0,$C52="Receipt",$I52=""),1,0)</f>
        <v>0</v>
      </c>
      <c r="AP52" s="52">
        <f>IF(AND(COUNTA($A52:$L52)&gt;0,$I52&lt;&gt;""),IF(IFERROR(INDEX(Config!$G$15:$G$34,MATCH($I52,Config!$E$15:$E$34,0)),"No")="Yes",0,1),0)</f>
        <v>0</v>
      </c>
      <c r="AQ52" s="52">
        <f>IF(AND(COUNTA($A52:$L52)&gt;0,$C52="Adjustment",$J52=""),1,0)</f>
        <v>0</v>
      </c>
      <c r="AR52" s="52">
        <f>IF(AND(COUNTA($A52:$L52)&gt;0,$L52=""),1,0)</f>
        <v>0</v>
      </c>
      <c r="AS52" s="52">
        <f>IF(AND(COUNTA($A52:$L52)&gt;0,ISNUMBER($S52)),IF($S52&lt;0,1,0),0)</f>
        <v>0</v>
      </c>
      <c r="AT52" s="52">
        <f>$W52</f>
        <v>0</v>
      </c>
      <c r="AU52" s="52">
        <f>$AT52+$X52</f>
        <v>0</v>
      </c>
      <c r="AV52" s="52">
        <f>$AU52+$Y52</f>
        <v>0</v>
      </c>
      <c r="AW52" s="52">
        <f>$AV52+$Z52</f>
        <v>0</v>
      </c>
      <c r="AX52" s="52">
        <f>$AW52+$AA52</f>
        <v>0</v>
      </c>
      <c r="AY52" s="52">
        <f>$AX52+$AB52</f>
        <v>0</v>
      </c>
      <c r="AZ52" s="52">
        <f>$AY52+$AC52</f>
        <v>0</v>
      </c>
      <c r="BA52" s="52">
        <f>$AZ52+$AD52</f>
        <v>0</v>
      </c>
      <c r="BB52" s="52">
        <f>$BA52+$AE52</f>
        <v>0</v>
      </c>
      <c r="BC52" s="52">
        <f>$BB52+$AF52</f>
        <v>0</v>
      </c>
      <c r="BD52" s="52">
        <f>$BC52+$AG52</f>
        <v>0</v>
      </c>
      <c r="BE52" s="52">
        <f>$BD52+$AH52</f>
        <v>0</v>
      </c>
      <c r="BF52" s="52">
        <f>$BE52+$AI52</f>
        <v>0</v>
      </c>
      <c r="BG52" s="52">
        <f>$BF52+$AJ52</f>
        <v>0</v>
      </c>
      <c r="BH52" s="52">
        <f>$BG52+$AK52</f>
        <v>0</v>
      </c>
      <c r="BI52" s="52">
        <f>$BH52+$AL52</f>
        <v>0</v>
      </c>
      <c r="BJ52" s="52">
        <f>$BI52+$AM52</f>
        <v>0</v>
      </c>
      <c r="BK52" s="52">
        <f>$BJ52+$AN52</f>
        <v>0</v>
      </c>
      <c r="BL52" s="52">
        <f>$BK52+$AO52</f>
        <v>0</v>
      </c>
      <c r="BM52" s="52">
        <f>$BL52+$AP52</f>
        <v>0</v>
      </c>
      <c r="BN52" s="52">
        <f>$BM52+$AQ52</f>
        <v>0</v>
      </c>
      <c r="BO52" s="52">
        <f>$BN52+$AR52</f>
        <v>0</v>
      </c>
      <c r="BP52" s="52">
        <f>$BO52+$AS52</f>
        <v>0</v>
      </c>
      <c r="BQ52" s="52">
        <f>SUM($T$1:$T51)</f>
        <v>11</v>
      </c>
      <c r="BR52" s="52" t="str">
        <f>IF(ISNUMBER($T52),IF($T52&gt;0,COUNTIF($T$2:$T52,"&gt;0"),""),"")</f>
        <v/>
      </c>
      <c r="BS52" s="52" t="str">
        <f>IF($BR52="","",$BQ52+$T52)</f>
        <v/>
      </c>
      <c r="BT52" s="52" t="str">
        <f>IF($U52="Ready",COUNTIF($U$2:$U52,"Ready"),"")</f>
        <v/>
      </c>
      <c r="BU52" s="52">
        <f>IF(AND($U52="Ready",$C52="Receipt"),IF(COUNTIF(Batches!$A$2:$A$301,$F52)+COUNTIFS($F$1:$F51,$F52,$C$1:$C51,"Receipt",$U$1:$U51,"Ready")=0,1,0),0)</f>
        <v>0</v>
      </c>
      <c r="BV52" s="52" t="str">
        <f>IF($BU52=1,SUM($BU$2:$BU52),"")</f>
        <v/>
      </c>
    </row>
    <row r="53">
      <c r="A53" s="46" t="n"/>
      <c r="B53" s="46" t="n"/>
      <c r="C53" s="46" t="n"/>
      <c r="D53" s="46" t="n"/>
      <c r="E53" s="46" t="n"/>
      <c r="F53" s="46" t="n"/>
      <c r="G53" s="46" t="n"/>
      <c r="H53" s="46" t="n"/>
      <c r="I53" s="46" t="n"/>
      <c r="J53" s="46" t="n"/>
      <c r="K53" s="46" t="n"/>
      <c r="L53" s="46" t="n"/>
      <c r="M53" s="62" t="str">
        <f>IF($B53="","",IF(ISNUMBER($B53),$B53,IF(AND(LEN($B53)=10,MID($B53,5,1)="-",MID($B53,8,1)="-"),IFERROR(IF(AND(MONTH(DATE(VALUE(LEFT($B53,4)),VALUE(MID($B53,6,2)),VALUE(RIGHT($B53,2))))=VALUE(MID($B53,6,2)),DAY(DATE(VALUE(LEFT($B53,4)),VALUE(MID($B53,6,2)),VALUE(RIGHT($B53,2))))=VALUE(RIGHT($B53,2))),DATE(VALUE(LEFT($B53,4)),VALUE(MID($B53,6,2)),VALUE(RIGHT($B53,2))),"ERR"),"ERR"),"ERR")))</f>
        <v/>
      </c>
      <c r="N53" s="62" t="str">
        <f>IF($G53="","",IF(ISNUMBER($G53),$G53,IF(AND(LEN($G53)=10,MID($G53,5,1)="-",MID($G53,8,1)="-"),IFERROR(IF(AND(MONTH(DATE(VALUE(LEFT($G53,4)),VALUE(MID($G53,6,2)),VALUE(RIGHT($G53,2))))=VALUE(MID($G53,6,2)),DAY(DATE(VALUE(LEFT($G53,4)),VALUE(MID($G53,6,2)),VALUE(RIGHT($G53,2))))=VALUE(RIGHT($G53,2))),DATE(VALUE(LEFT($G53,4)),VALUE(MID($G53,6,2)),VALUE(RIGHT($G53,2))),"ERR"),"ERR"),"ERR")))</f>
        <v/>
      </c>
      <c r="O53" s="51" t="str">
        <f>IF($H53="","",IF(ISNUMBER($H53),$H53,IFERROR(VALUE($H53),"ERR")))</f>
        <v/>
      </c>
      <c r="P53" s="51" t="str">
        <f>IF(AND(ISNUMBER($O53),OR($C53="Receipt",$C53="Shipment",$C53="Adjustment")),IF($C53="Shipment",-$O53,$O53),"")</f>
        <v/>
      </c>
      <c r="Q53" s="51" t="str">
        <f>IF($D53="","",IFERROR(INDEX(Products!$R$2:$R$101,MATCH($D53,Products!$A$2:$A$101,0)),""))</f>
        <v/>
      </c>
      <c r="R53" s="51" t="str">
        <f>IF(OR($Q53="",$P53=""),"",$Q53+SUMIFS($P$1:$P52,$D$1:$D52,$D53,$U$1:$U52,"Ready"))</f>
        <v/>
      </c>
      <c r="S53" s="51" t="str">
        <f>IF($R53="","",$R53+$P53)</f>
        <v/>
      </c>
      <c r="T53" s="52" t="str">
        <f>IF(COUNTA($A53:$L53)&gt;0,$BP53,"")</f>
        <v/>
      </c>
      <c r="U53" s="49" t="str">
        <f>IF($T53="","",IF($T53=0,"Ready","Rejected"))</f>
        <v/>
      </c>
      <c r="V53" s="49" t="str">
        <f>IF(OR($T53="",$T53=0),"",INDEX(Config!$D$39:$D$61,MATCH(1,$AT53:$BP53,0))&amp;IF($T53&gt;1," (+"&amp;($T53-1)&amp;" more)",""))</f>
        <v/>
      </c>
      <c r="W53" s="52">
        <f>IF(AND(COUNTA($A53:$L53)&gt;0,$A53=""),1,0)</f>
        <v>0</v>
      </c>
      <c r="X53" s="52">
        <f>IF(AND(COUNTA($A53:$L53)&gt;0,$A53&lt;&gt;""),IF(COUNTIF($A$1:$A52,$A53)&gt;0,1,0),0)</f>
        <v>0</v>
      </c>
      <c r="Y53" s="52">
        <f>IF(AND(COUNTA($A53:$L53)&gt;0,$A53&lt;&gt;""),IF(COUNTIF(Inventory_Ledger!$A$2:$A$2001,$A53)&gt;0,1,0),0)</f>
        <v>0</v>
      </c>
      <c r="Z53" s="52">
        <f>IF(AND(COUNTA($A53:$L53)&gt;0,$B53=""),1,0)</f>
        <v>0</v>
      </c>
      <c r="AA53" s="52">
        <f>IF(AND(COUNTA($A53:$L53)&gt;0,$B53&lt;&gt;""),IF($M53="ERR",1,0),0)</f>
        <v>0</v>
      </c>
      <c r="AB53" s="52">
        <f>IF(AND(COUNTA($A53:$L53)&gt;0,ISNUMBER($M53)),IF($M53&gt;Config!$B$4,1,0),0)</f>
        <v>0</v>
      </c>
      <c r="AC53" s="52">
        <f>IF(AND(COUNTA($A53:$L53)&gt;0,$C53=""),1,0)</f>
        <v>0</v>
      </c>
      <c r="AD53" s="52">
        <f>IF(AND(COUNTA($A53:$L53)&gt;0,$C53&lt;&gt;""),IF(COUNTIF(Config!$A$15:$A$34,$C53)=0,1,0),0)</f>
        <v>0</v>
      </c>
      <c r="AE53" s="52">
        <f>IF(AND(COUNTA($A53:$L53)&gt;0,$D53=""),1,0)</f>
        <v>0</v>
      </c>
      <c r="AF53" s="52">
        <f>IF(AND(COUNTA($A53:$L53)&gt;0,$D53&lt;&gt;""),IF(COUNTIF(Products!$A$2:$A$101,$D53)=0,1,0),0)</f>
        <v>0</v>
      </c>
      <c r="AG53" s="52">
        <f>IF(AND(COUNTA($A53:$L53)&gt;0,$C53="Receipt",$E53=""),1,0)</f>
        <v>0</v>
      </c>
      <c r="AH53" s="52">
        <f>IF(AND(COUNTA($A53:$L53)&gt;0,$E53&lt;&gt;""),IF(COUNTIF(Suppliers!$A$2:$A$51,$E53)=0,1,0),0)</f>
        <v>0</v>
      </c>
      <c r="AI53" s="52">
        <f>IF(AND(COUNTA($A53:$L53)&gt;0,$F53=""),1,0)</f>
        <v>0</v>
      </c>
      <c r="AJ53" s="52">
        <f>IF(AND(COUNTA($A53:$L53)&gt;0,$F53&lt;&gt;"",$D53&lt;&gt;"",OR($C53="Shipment",$C53="Adjustment")),IF($AF53=1,0,IF(COUNTIFS(Batches!$A$2:$A$301,$F53,Batches!$B$2:$B$301,$D53)+COUNTIFS($F$1:$F52,$F53,$D$1:$D52,$D53,$C$1:$C52,"Receipt")=0,1,0)),0)</f>
        <v>0</v>
      </c>
      <c r="AK53" s="52">
        <f>IF(AND(COUNTA($A53:$L53)&gt;0,$C53="Receipt",$G53=""),1,0)</f>
        <v>0</v>
      </c>
      <c r="AL53" s="52">
        <f>IF(AND(COUNTA($A53:$L53)&gt;0,$G53&lt;&gt;""),IF($N53="ERR",1,0),0)</f>
        <v>0</v>
      </c>
      <c r="AM53" s="52">
        <f>IF(AND(COUNTA($A53:$L53)&gt;0,$H53=""),1,0)</f>
        <v>0</v>
      </c>
      <c r="AN53" s="52">
        <f>IF(AND(COUNTA($A53:$L53)&gt;0,$H53&lt;&gt;""),IF($O53="ERR",1,IF(INT($O53)&lt;&gt;$O53,1,IF(AND(OR($C53="Receipt",$C53="Shipment"),$O53&lt;=0),1,IF(AND($C53="Adjustment",$O53=0),1,0)))),0)</f>
        <v>0</v>
      </c>
      <c r="AO53" s="52">
        <f>IF(AND(COUNTA($A53:$L53)&gt;0,$C53="Receipt",$I53=""),1,0)</f>
        <v>0</v>
      </c>
      <c r="AP53" s="52">
        <f>IF(AND(COUNTA($A53:$L53)&gt;0,$I53&lt;&gt;""),IF(IFERROR(INDEX(Config!$G$15:$G$34,MATCH($I53,Config!$E$15:$E$34,0)),"No")="Yes",0,1),0)</f>
        <v>0</v>
      </c>
      <c r="AQ53" s="52">
        <f>IF(AND(COUNTA($A53:$L53)&gt;0,$C53="Adjustment",$J53=""),1,0)</f>
        <v>0</v>
      </c>
      <c r="AR53" s="52">
        <f>IF(AND(COUNTA($A53:$L53)&gt;0,$L53=""),1,0)</f>
        <v>0</v>
      </c>
      <c r="AS53" s="52">
        <f>IF(AND(COUNTA($A53:$L53)&gt;0,ISNUMBER($S53)),IF($S53&lt;0,1,0),0)</f>
        <v>0</v>
      </c>
      <c r="AT53" s="52">
        <f>$W53</f>
        <v>0</v>
      </c>
      <c r="AU53" s="52">
        <f>$AT53+$X53</f>
        <v>0</v>
      </c>
      <c r="AV53" s="52">
        <f>$AU53+$Y53</f>
        <v>0</v>
      </c>
      <c r="AW53" s="52">
        <f>$AV53+$Z53</f>
        <v>0</v>
      </c>
      <c r="AX53" s="52">
        <f>$AW53+$AA53</f>
        <v>0</v>
      </c>
      <c r="AY53" s="52">
        <f>$AX53+$AB53</f>
        <v>0</v>
      </c>
      <c r="AZ53" s="52">
        <f>$AY53+$AC53</f>
        <v>0</v>
      </c>
      <c r="BA53" s="52">
        <f>$AZ53+$AD53</f>
        <v>0</v>
      </c>
      <c r="BB53" s="52">
        <f>$BA53+$AE53</f>
        <v>0</v>
      </c>
      <c r="BC53" s="52">
        <f>$BB53+$AF53</f>
        <v>0</v>
      </c>
      <c r="BD53" s="52">
        <f>$BC53+$AG53</f>
        <v>0</v>
      </c>
      <c r="BE53" s="52">
        <f>$BD53+$AH53</f>
        <v>0</v>
      </c>
      <c r="BF53" s="52">
        <f>$BE53+$AI53</f>
        <v>0</v>
      </c>
      <c r="BG53" s="52">
        <f>$BF53+$AJ53</f>
        <v>0</v>
      </c>
      <c r="BH53" s="52">
        <f>$BG53+$AK53</f>
        <v>0</v>
      </c>
      <c r="BI53" s="52">
        <f>$BH53+$AL53</f>
        <v>0</v>
      </c>
      <c r="BJ53" s="52">
        <f>$BI53+$AM53</f>
        <v>0</v>
      </c>
      <c r="BK53" s="52">
        <f>$BJ53+$AN53</f>
        <v>0</v>
      </c>
      <c r="BL53" s="52">
        <f>$BK53+$AO53</f>
        <v>0</v>
      </c>
      <c r="BM53" s="52">
        <f>$BL53+$AP53</f>
        <v>0</v>
      </c>
      <c r="BN53" s="52">
        <f>$BM53+$AQ53</f>
        <v>0</v>
      </c>
      <c r="BO53" s="52">
        <f>$BN53+$AR53</f>
        <v>0</v>
      </c>
      <c r="BP53" s="52">
        <f>$BO53+$AS53</f>
        <v>0</v>
      </c>
      <c r="BQ53" s="52">
        <f>SUM($T$1:$T52)</f>
        <v>11</v>
      </c>
      <c r="BR53" s="52" t="str">
        <f>IF(ISNUMBER($T53),IF($T53&gt;0,COUNTIF($T$2:$T53,"&gt;0"),""),"")</f>
        <v/>
      </c>
      <c r="BS53" s="52" t="str">
        <f>IF($BR53="","",$BQ53+$T53)</f>
        <v/>
      </c>
      <c r="BT53" s="52" t="str">
        <f>IF($U53="Ready",COUNTIF($U$2:$U53,"Ready"),"")</f>
        <v/>
      </c>
      <c r="BU53" s="52">
        <f>IF(AND($U53="Ready",$C53="Receipt"),IF(COUNTIF(Batches!$A$2:$A$301,$F53)+COUNTIFS($F$1:$F52,$F53,$C$1:$C52,"Receipt",$U$1:$U52,"Ready")=0,1,0),0)</f>
        <v>0</v>
      </c>
      <c r="BV53" s="52" t="str">
        <f>IF($BU53=1,SUM($BU$2:$BU53),"")</f>
        <v/>
      </c>
    </row>
    <row r="54">
      <c r="A54" s="46" t="n"/>
      <c r="B54" s="46" t="n"/>
      <c r="C54" s="46" t="n"/>
      <c r="D54" s="46" t="n"/>
      <c r="E54" s="46" t="n"/>
      <c r="F54" s="46" t="n"/>
      <c r="G54" s="46" t="n"/>
      <c r="H54" s="46" t="n"/>
      <c r="I54" s="46" t="n"/>
      <c r="J54" s="46" t="n"/>
      <c r="K54" s="46" t="n"/>
      <c r="L54" s="46" t="n"/>
      <c r="M54" s="62" t="str">
        <f>IF($B54="","",IF(ISNUMBER($B54),$B54,IF(AND(LEN($B54)=10,MID($B54,5,1)="-",MID($B54,8,1)="-"),IFERROR(IF(AND(MONTH(DATE(VALUE(LEFT($B54,4)),VALUE(MID($B54,6,2)),VALUE(RIGHT($B54,2))))=VALUE(MID($B54,6,2)),DAY(DATE(VALUE(LEFT($B54,4)),VALUE(MID($B54,6,2)),VALUE(RIGHT($B54,2))))=VALUE(RIGHT($B54,2))),DATE(VALUE(LEFT($B54,4)),VALUE(MID($B54,6,2)),VALUE(RIGHT($B54,2))),"ERR"),"ERR"),"ERR")))</f>
        <v/>
      </c>
      <c r="N54" s="62" t="str">
        <f>IF($G54="","",IF(ISNUMBER($G54),$G54,IF(AND(LEN($G54)=10,MID($G54,5,1)="-",MID($G54,8,1)="-"),IFERROR(IF(AND(MONTH(DATE(VALUE(LEFT($G54,4)),VALUE(MID($G54,6,2)),VALUE(RIGHT($G54,2))))=VALUE(MID($G54,6,2)),DAY(DATE(VALUE(LEFT($G54,4)),VALUE(MID($G54,6,2)),VALUE(RIGHT($G54,2))))=VALUE(RIGHT($G54,2))),DATE(VALUE(LEFT($G54,4)),VALUE(MID($G54,6,2)),VALUE(RIGHT($G54,2))),"ERR"),"ERR"),"ERR")))</f>
        <v/>
      </c>
      <c r="O54" s="51" t="str">
        <f>IF($H54="","",IF(ISNUMBER($H54),$H54,IFERROR(VALUE($H54),"ERR")))</f>
        <v/>
      </c>
      <c r="P54" s="51" t="str">
        <f>IF(AND(ISNUMBER($O54),OR($C54="Receipt",$C54="Shipment",$C54="Adjustment")),IF($C54="Shipment",-$O54,$O54),"")</f>
        <v/>
      </c>
      <c r="Q54" s="51" t="str">
        <f>IF($D54="","",IFERROR(INDEX(Products!$R$2:$R$101,MATCH($D54,Products!$A$2:$A$101,0)),""))</f>
        <v/>
      </c>
      <c r="R54" s="51" t="str">
        <f>IF(OR($Q54="",$P54=""),"",$Q54+SUMIFS($P$1:$P53,$D$1:$D53,$D54,$U$1:$U53,"Ready"))</f>
        <v/>
      </c>
      <c r="S54" s="51" t="str">
        <f>IF($R54="","",$R54+$P54)</f>
        <v/>
      </c>
      <c r="T54" s="52" t="str">
        <f>IF(COUNTA($A54:$L54)&gt;0,$BP54,"")</f>
        <v/>
      </c>
      <c r="U54" s="49" t="str">
        <f>IF($T54="","",IF($T54=0,"Ready","Rejected"))</f>
        <v/>
      </c>
      <c r="V54" s="49" t="str">
        <f>IF(OR($T54="",$T54=0),"",INDEX(Config!$D$39:$D$61,MATCH(1,$AT54:$BP54,0))&amp;IF($T54&gt;1," (+"&amp;($T54-1)&amp;" more)",""))</f>
        <v/>
      </c>
      <c r="W54" s="52">
        <f>IF(AND(COUNTA($A54:$L54)&gt;0,$A54=""),1,0)</f>
        <v>0</v>
      </c>
      <c r="X54" s="52">
        <f>IF(AND(COUNTA($A54:$L54)&gt;0,$A54&lt;&gt;""),IF(COUNTIF($A$1:$A53,$A54)&gt;0,1,0),0)</f>
        <v>0</v>
      </c>
      <c r="Y54" s="52">
        <f>IF(AND(COUNTA($A54:$L54)&gt;0,$A54&lt;&gt;""),IF(COUNTIF(Inventory_Ledger!$A$2:$A$2001,$A54)&gt;0,1,0),0)</f>
        <v>0</v>
      </c>
      <c r="Z54" s="52">
        <f>IF(AND(COUNTA($A54:$L54)&gt;0,$B54=""),1,0)</f>
        <v>0</v>
      </c>
      <c r="AA54" s="52">
        <f>IF(AND(COUNTA($A54:$L54)&gt;0,$B54&lt;&gt;""),IF($M54="ERR",1,0),0)</f>
        <v>0</v>
      </c>
      <c r="AB54" s="52">
        <f>IF(AND(COUNTA($A54:$L54)&gt;0,ISNUMBER($M54)),IF($M54&gt;Config!$B$4,1,0),0)</f>
        <v>0</v>
      </c>
      <c r="AC54" s="52">
        <f>IF(AND(COUNTA($A54:$L54)&gt;0,$C54=""),1,0)</f>
        <v>0</v>
      </c>
      <c r="AD54" s="52">
        <f>IF(AND(COUNTA($A54:$L54)&gt;0,$C54&lt;&gt;""),IF(COUNTIF(Config!$A$15:$A$34,$C54)=0,1,0),0)</f>
        <v>0</v>
      </c>
      <c r="AE54" s="52">
        <f>IF(AND(COUNTA($A54:$L54)&gt;0,$D54=""),1,0)</f>
        <v>0</v>
      </c>
      <c r="AF54" s="52">
        <f>IF(AND(COUNTA($A54:$L54)&gt;0,$D54&lt;&gt;""),IF(COUNTIF(Products!$A$2:$A$101,$D54)=0,1,0),0)</f>
        <v>0</v>
      </c>
      <c r="AG54" s="52">
        <f>IF(AND(COUNTA($A54:$L54)&gt;0,$C54="Receipt",$E54=""),1,0)</f>
        <v>0</v>
      </c>
      <c r="AH54" s="52">
        <f>IF(AND(COUNTA($A54:$L54)&gt;0,$E54&lt;&gt;""),IF(COUNTIF(Suppliers!$A$2:$A$51,$E54)=0,1,0),0)</f>
        <v>0</v>
      </c>
      <c r="AI54" s="52">
        <f>IF(AND(COUNTA($A54:$L54)&gt;0,$F54=""),1,0)</f>
        <v>0</v>
      </c>
      <c r="AJ54" s="52">
        <f>IF(AND(COUNTA($A54:$L54)&gt;0,$F54&lt;&gt;"",$D54&lt;&gt;"",OR($C54="Shipment",$C54="Adjustment")),IF($AF54=1,0,IF(COUNTIFS(Batches!$A$2:$A$301,$F54,Batches!$B$2:$B$301,$D54)+COUNTIFS($F$1:$F53,$F54,$D$1:$D53,$D54,$C$1:$C53,"Receipt")=0,1,0)),0)</f>
        <v>0</v>
      </c>
      <c r="AK54" s="52">
        <f>IF(AND(COUNTA($A54:$L54)&gt;0,$C54="Receipt",$G54=""),1,0)</f>
        <v>0</v>
      </c>
      <c r="AL54" s="52">
        <f>IF(AND(COUNTA($A54:$L54)&gt;0,$G54&lt;&gt;""),IF($N54="ERR",1,0),0)</f>
        <v>0</v>
      </c>
      <c r="AM54" s="52">
        <f>IF(AND(COUNTA($A54:$L54)&gt;0,$H54=""),1,0)</f>
        <v>0</v>
      </c>
      <c r="AN54" s="52">
        <f>IF(AND(COUNTA($A54:$L54)&gt;0,$H54&lt;&gt;""),IF($O54="ERR",1,IF(INT($O54)&lt;&gt;$O54,1,IF(AND(OR($C54="Receipt",$C54="Shipment"),$O54&lt;=0),1,IF(AND($C54="Adjustment",$O54=0),1,0)))),0)</f>
        <v>0</v>
      </c>
      <c r="AO54" s="52">
        <f>IF(AND(COUNTA($A54:$L54)&gt;0,$C54="Receipt",$I54=""),1,0)</f>
        <v>0</v>
      </c>
      <c r="AP54" s="52">
        <f>IF(AND(COUNTA($A54:$L54)&gt;0,$I54&lt;&gt;""),IF(IFERROR(INDEX(Config!$G$15:$G$34,MATCH($I54,Config!$E$15:$E$34,0)),"No")="Yes",0,1),0)</f>
        <v>0</v>
      </c>
      <c r="AQ54" s="52">
        <f>IF(AND(COUNTA($A54:$L54)&gt;0,$C54="Adjustment",$J54=""),1,0)</f>
        <v>0</v>
      </c>
      <c r="AR54" s="52">
        <f>IF(AND(COUNTA($A54:$L54)&gt;0,$L54=""),1,0)</f>
        <v>0</v>
      </c>
      <c r="AS54" s="52">
        <f>IF(AND(COUNTA($A54:$L54)&gt;0,ISNUMBER($S54)),IF($S54&lt;0,1,0),0)</f>
        <v>0</v>
      </c>
      <c r="AT54" s="52">
        <f>$W54</f>
        <v>0</v>
      </c>
      <c r="AU54" s="52">
        <f>$AT54+$X54</f>
        <v>0</v>
      </c>
      <c r="AV54" s="52">
        <f>$AU54+$Y54</f>
        <v>0</v>
      </c>
      <c r="AW54" s="52">
        <f>$AV54+$Z54</f>
        <v>0</v>
      </c>
      <c r="AX54" s="52">
        <f>$AW54+$AA54</f>
        <v>0</v>
      </c>
      <c r="AY54" s="52">
        <f>$AX54+$AB54</f>
        <v>0</v>
      </c>
      <c r="AZ54" s="52">
        <f>$AY54+$AC54</f>
        <v>0</v>
      </c>
      <c r="BA54" s="52">
        <f>$AZ54+$AD54</f>
        <v>0</v>
      </c>
      <c r="BB54" s="52">
        <f>$BA54+$AE54</f>
        <v>0</v>
      </c>
      <c r="BC54" s="52">
        <f>$BB54+$AF54</f>
        <v>0</v>
      </c>
      <c r="BD54" s="52">
        <f>$BC54+$AG54</f>
        <v>0</v>
      </c>
      <c r="BE54" s="52">
        <f>$BD54+$AH54</f>
        <v>0</v>
      </c>
      <c r="BF54" s="52">
        <f>$BE54+$AI54</f>
        <v>0</v>
      </c>
      <c r="BG54" s="52">
        <f>$BF54+$AJ54</f>
        <v>0</v>
      </c>
      <c r="BH54" s="52">
        <f>$BG54+$AK54</f>
        <v>0</v>
      </c>
      <c r="BI54" s="52">
        <f>$BH54+$AL54</f>
        <v>0</v>
      </c>
      <c r="BJ54" s="52">
        <f>$BI54+$AM54</f>
        <v>0</v>
      </c>
      <c r="BK54" s="52">
        <f>$BJ54+$AN54</f>
        <v>0</v>
      </c>
      <c r="BL54" s="52">
        <f>$BK54+$AO54</f>
        <v>0</v>
      </c>
      <c r="BM54" s="52">
        <f>$BL54+$AP54</f>
        <v>0</v>
      </c>
      <c r="BN54" s="52">
        <f>$BM54+$AQ54</f>
        <v>0</v>
      </c>
      <c r="BO54" s="52">
        <f>$BN54+$AR54</f>
        <v>0</v>
      </c>
      <c r="BP54" s="52">
        <f>$BO54+$AS54</f>
        <v>0</v>
      </c>
      <c r="BQ54" s="52">
        <f>SUM($T$1:$T53)</f>
        <v>11</v>
      </c>
      <c r="BR54" s="52" t="str">
        <f>IF(ISNUMBER($T54),IF($T54&gt;0,COUNTIF($T$2:$T54,"&gt;0"),""),"")</f>
        <v/>
      </c>
      <c r="BS54" s="52" t="str">
        <f>IF($BR54="","",$BQ54+$T54)</f>
        <v/>
      </c>
      <c r="BT54" s="52" t="str">
        <f>IF($U54="Ready",COUNTIF($U$2:$U54,"Ready"),"")</f>
        <v/>
      </c>
      <c r="BU54" s="52">
        <f>IF(AND($U54="Ready",$C54="Receipt"),IF(COUNTIF(Batches!$A$2:$A$301,$F54)+COUNTIFS($F$1:$F53,$F54,$C$1:$C53,"Receipt",$U$1:$U53,"Ready")=0,1,0),0)</f>
        <v>0</v>
      </c>
      <c r="BV54" s="52" t="str">
        <f>IF($BU54=1,SUM($BU$2:$BU54),"")</f>
        <v/>
      </c>
    </row>
    <row r="55">
      <c r="A55" s="46" t="n"/>
      <c r="B55" s="46" t="n"/>
      <c r="C55" s="46" t="n"/>
      <c r="D55" s="46" t="n"/>
      <c r="E55" s="46" t="n"/>
      <c r="F55" s="46" t="n"/>
      <c r="G55" s="46" t="n"/>
      <c r="H55" s="46" t="n"/>
      <c r="I55" s="46" t="n"/>
      <c r="J55" s="46" t="n"/>
      <c r="K55" s="46" t="n"/>
      <c r="L55" s="46" t="n"/>
      <c r="M55" s="62" t="str">
        <f>IF($B55="","",IF(ISNUMBER($B55),$B55,IF(AND(LEN($B55)=10,MID($B55,5,1)="-",MID($B55,8,1)="-"),IFERROR(IF(AND(MONTH(DATE(VALUE(LEFT($B55,4)),VALUE(MID($B55,6,2)),VALUE(RIGHT($B55,2))))=VALUE(MID($B55,6,2)),DAY(DATE(VALUE(LEFT($B55,4)),VALUE(MID($B55,6,2)),VALUE(RIGHT($B55,2))))=VALUE(RIGHT($B55,2))),DATE(VALUE(LEFT($B55,4)),VALUE(MID($B55,6,2)),VALUE(RIGHT($B55,2))),"ERR"),"ERR"),"ERR")))</f>
        <v/>
      </c>
      <c r="N55" s="62" t="str">
        <f>IF($G55="","",IF(ISNUMBER($G55),$G55,IF(AND(LEN($G55)=10,MID($G55,5,1)="-",MID($G55,8,1)="-"),IFERROR(IF(AND(MONTH(DATE(VALUE(LEFT($G55,4)),VALUE(MID($G55,6,2)),VALUE(RIGHT($G55,2))))=VALUE(MID($G55,6,2)),DAY(DATE(VALUE(LEFT($G55,4)),VALUE(MID($G55,6,2)),VALUE(RIGHT($G55,2))))=VALUE(RIGHT($G55,2))),DATE(VALUE(LEFT($G55,4)),VALUE(MID($G55,6,2)),VALUE(RIGHT($G55,2))),"ERR"),"ERR"),"ERR")))</f>
        <v/>
      </c>
      <c r="O55" s="51" t="str">
        <f>IF($H55="","",IF(ISNUMBER($H55),$H55,IFERROR(VALUE($H55),"ERR")))</f>
        <v/>
      </c>
      <c r="P55" s="51" t="str">
        <f>IF(AND(ISNUMBER($O55),OR($C55="Receipt",$C55="Shipment",$C55="Adjustment")),IF($C55="Shipment",-$O55,$O55),"")</f>
        <v/>
      </c>
      <c r="Q55" s="51" t="str">
        <f>IF($D55="","",IFERROR(INDEX(Products!$R$2:$R$101,MATCH($D55,Products!$A$2:$A$101,0)),""))</f>
        <v/>
      </c>
      <c r="R55" s="51" t="str">
        <f>IF(OR($Q55="",$P55=""),"",$Q55+SUMIFS($P$1:$P54,$D$1:$D54,$D55,$U$1:$U54,"Ready"))</f>
        <v/>
      </c>
      <c r="S55" s="51" t="str">
        <f>IF($R55="","",$R55+$P55)</f>
        <v/>
      </c>
      <c r="T55" s="52" t="str">
        <f>IF(COUNTA($A55:$L55)&gt;0,$BP55,"")</f>
        <v/>
      </c>
      <c r="U55" s="49" t="str">
        <f>IF($T55="","",IF($T55=0,"Ready","Rejected"))</f>
        <v/>
      </c>
      <c r="V55" s="49" t="str">
        <f>IF(OR($T55="",$T55=0),"",INDEX(Config!$D$39:$D$61,MATCH(1,$AT55:$BP55,0))&amp;IF($T55&gt;1," (+"&amp;($T55-1)&amp;" more)",""))</f>
        <v/>
      </c>
      <c r="W55" s="52">
        <f>IF(AND(COUNTA($A55:$L55)&gt;0,$A55=""),1,0)</f>
        <v>0</v>
      </c>
      <c r="X55" s="52">
        <f>IF(AND(COUNTA($A55:$L55)&gt;0,$A55&lt;&gt;""),IF(COUNTIF($A$1:$A54,$A55)&gt;0,1,0),0)</f>
        <v>0</v>
      </c>
      <c r="Y55" s="52">
        <f>IF(AND(COUNTA($A55:$L55)&gt;0,$A55&lt;&gt;""),IF(COUNTIF(Inventory_Ledger!$A$2:$A$2001,$A55)&gt;0,1,0),0)</f>
        <v>0</v>
      </c>
      <c r="Z55" s="52">
        <f>IF(AND(COUNTA($A55:$L55)&gt;0,$B55=""),1,0)</f>
        <v>0</v>
      </c>
      <c r="AA55" s="52">
        <f>IF(AND(COUNTA($A55:$L55)&gt;0,$B55&lt;&gt;""),IF($M55="ERR",1,0),0)</f>
        <v>0</v>
      </c>
      <c r="AB55" s="52">
        <f>IF(AND(COUNTA($A55:$L55)&gt;0,ISNUMBER($M55)),IF($M55&gt;Config!$B$4,1,0),0)</f>
        <v>0</v>
      </c>
      <c r="AC55" s="52">
        <f>IF(AND(COUNTA($A55:$L55)&gt;0,$C55=""),1,0)</f>
        <v>0</v>
      </c>
      <c r="AD55" s="52">
        <f>IF(AND(COUNTA($A55:$L55)&gt;0,$C55&lt;&gt;""),IF(COUNTIF(Config!$A$15:$A$34,$C55)=0,1,0),0)</f>
        <v>0</v>
      </c>
      <c r="AE55" s="52">
        <f>IF(AND(COUNTA($A55:$L55)&gt;0,$D55=""),1,0)</f>
        <v>0</v>
      </c>
      <c r="AF55" s="52">
        <f>IF(AND(COUNTA($A55:$L55)&gt;0,$D55&lt;&gt;""),IF(COUNTIF(Products!$A$2:$A$101,$D55)=0,1,0),0)</f>
        <v>0</v>
      </c>
      <c r="AG55" s="52">
        <f>IF(AND(COUNTA($A55:$L55)&gt;0,$C55="Receipt",$E55=""),1,0)</f>
        <v>0</v>
      </c>
      <c r="AH55" s="52">
        <f>IF(AND(COUNTA($A55:$L55)&gt;0,$E55&lt;&gt;""),IF(COUNTIF(Suppliers!$A$2:$A$51,$E55)=0,1,0),0)</f>
        <v>0</v>
      </c>
      <c r="AI55" s="52">
        <f>IF(AND(COUNTA($A55:$L55)&gt;0,$F55=""),1,0)</f>
        <v>0</v>
      </c>
      <c r="AJ55" s="52">
        <f>IF(AND(COUNTA($A55:$L55)&gt;0,$F55&lt;&gt;"",$D55&lt;&gt;"",OR($C55="Shipment",$C55="Adjustment")),IF($AF55=1,0,IF(COUNTIFS(Batches!$A$2:$A$301,$F55,Batches!$B$2:$B$301,$D55)+COUNTIFS($F$1:$F54,$F55,$D$1:$D54,$D55,$C$1:$C54,"Receipt")=0,1,0)),0)</f>
        <v>0</v>
      </c>
      <c r="AK55" s="52">
        <f>IF(AND(COUNTA($A55:$L55)&gt;0,$C55="Receipt",$G55=""),1,0)</f>
        <v>0</v>
      </c>
      <c r="AL55" s="52">
        <f>IF(AND(COUNTA($A55:$L55)&gt;0,$G55&lt;&gt;""),IF($N55="ERR",1,0),0)</f>
        <v>0</v>
      </c>
      <c r="AM55" s="52">
        <f>IF(AND(COUNTA($A55:$L55)&gt;0,$H55=""),1,0)</f>
        <v>0</v>
      </c>
      <c r="AN55" s="52">
        <f>IF(AND(COUNTA($A55:$L55)&gt;0,$H55&lt;&gt;""),IF($O55="ERR",1,IF(INT($O55)&lt;&gt;$O55,1,IF(AND(OR($C55="Receipt",$C55="Shipment"),$O55&lt;=0),1,IF(AND($C55="Adjustment",$O55=0),1,0)))),0)</f>
        <v>0</v>
      </c>
      <c r="AO55" s="52">
        <f>IF(AND(COUNTA($A55:$L55)&gt;0,$C55="Receipt",$I55=""),1,0)</f>
        <v>0</v>
      </c>
      <c r="AP55" s="52">
        <f>IF(AND(COUNTA($A55:$L55)&gt;0,$I55&lt;&gt;""),IF(IFERROR(INDEX(Config!$G$15:$G$34,MATCH($I55,Config!$E$15:$E$34,0)),"No")="Yes",0,1),0)</f>
        <v>0</v>
      </c>
      <c r="AQ55" s="52">
        <f>IF(AND(COUNTA($A55:$L55)&gt;0,$C55="Adjustment",$J55=""),1,0)</f>
        <v>0</v>
      </c>
      <c r="AR55" s="52">
        <f>IF(AND(COUNTA($A55:$L55)&gt;0,$L55=""),1,0)</f>
        <v>0</v>
      </c>
      <c r="AS55" s="52">
        <f>IF(AND(COUNTA($A55:$L55)&gt;0,ISNUMBER($S55)),IF($S55&lt;0,1,0),0)</f>
        <v>0</v>
      </c>
      <c r="AT55" s="52">
        <f>$W55</f>
        <v>0</v>
      </c>
      <c r="AU55" s="52">
        <f>$AT55+$X55</f>
        <v>0</v>
      </c>
      <c r="AV55" s="52">
        <f>$AU55+$Y55</f>
        <v>0</v>
      </c>
      <c r="AW55" s="52">
        <f>$AV55+$Z55</f>
        <v>0</v>
      </c>
      <c r="AX55" s="52">
        <f>$AW55+$AA55</f>
        <v>0</v>
      </c>
      <c r="AY55" s="52">
        <f>$AX55+$AB55</f>
        <v>0</v>
      </c>
      <c r="AZ55" s="52">
        <f>$AY55+$AC55</f>
        <v>0</v>
      </c>
      <c r="BA55" s="52">
        <f>$AZ55+$AD55</f>
        <v>0</v>
      </c>
      <c r="BB55" s="52">
        <f>$BA55+$AE55</f>
        <v>0</v>
      </c>
      <c r="BC55" s="52">
        <f>$BB55+$AF55</f>
        <v>0</v>
      </c>
      <c r="BD55" s="52">
        <f>$BC55+$AG55</f>
        <v>0</v>
      </c>
      <c r="BE55" s="52">
        <f>$BD55+$AH55</f>
        <v>0</v>
      </c>
      <c r="BF55" s="52">
        <f>$BE55+$AI55</f>
        <v>0</v>
      </c>
      <c r="BG55" s="52">
        <f>$BF55+$AJ55</f>
        <v>0</v>
      </c>
      <c r="BH55" s="52">
        <f>$BG55+$AK55</f>
        <v>0</v>
      </c>
      <c r="BI55" s="52">
        <f>$BH55+$AL55</f>
        <v>0</v>
      </c>
      <c r="BJ55" s="52">
        <f>$BI55+$AM55</f>
        <v>0</v>
      </c>
      <c r="BK55" s="52">
        <f>$BJ55+$AN55</f>
        <v>0</v>
      </c>
      <c r="BL55" s="52">
        <f>$BK55+$AO55</f>
        <v>0</v>
      </c>
      <c r="BM55" s="52">
        <f>$BL55+$AP55</f>
        <v>0</v>
      </c>
      <c r="BN55" s="52">
        <f>$BM55+$AQ55</f>
        <v>0</v>
      </c>
      <c r="BO55" s="52">
        <f>$BN55+$AR55</f>
        <v>0</v>
      </c>
      <c r="BP55" s="52">
        <f>$BO55+$AS55</f>
        <v>0</v>
      </c>
      <c r="BQ55" s="52">
        <f>SUM($T$1:$T54)</f>
        <v>11</v>
      </c>
      <c r="BR55" s="52" t="str">
        <f>IF(ISNUMBER($T55),IF($T55&gt;0,COUNTIF($T$2:$T55,"&gt;0"),""),"")</f>
        <v/>
      </c>
      <c r="BS55" s="52" t="str">
        <f>IF($BR55="","",$BQ55+$T55)</f>
        <v/>
      </c>
      <c r="BT55" s="52" t="str">
        <f>IF($U55="Ready",COUNTIF($U$2:$U55,"Ready"),"")</f>
        <v/>
      </c>
      <c r="BU55" s="52">
        <f>IF(AND($U55="Ready",$C55="Receipt"),IF(COUNTIF(Batches!$A$2:$A$301,$F55)+COUNTIFS($F$1:$F54,$F55,$C$1:$C54,"Receipt",$U$1:$U54,"Ready")=0,1,0),0)</f>
        <v>0</v>
      </c>
      <c r="BV55" s="52" t="str">
        <f>IF($BU55=1,SUM($BU$2:$BU55),"")</f>
        <v/>
      </c>
    </row>
    <row r="56">
      <c r="A56" s="46" t="n"/>
      <c r="B56" s="46" t="n"/>
      <c r="C56" s="46" t="n"/>
      <c r="D56" s="46" t="n"/>
      <c r="E56" s="46" t="n"/>
      <c r="F56" s="46" t="n"/>
      <c r="G56" s="46" t="n"/>
      <c r="H56" s="46" t="n"/>
      <c r="I56" s="46" t="n"/>
      <c r="J56" s="46" t="n"/>
      <c r="K56" s="46" t="n"/>
      <c r="L56" s="46" t="n"/>
      <c r="M56" s="62" t="str">
        <f>IF($B56="","",IF(ISNUMBER($B56),$B56,IF(AND(LEN($B56)=10,MID($B56,5,1)="-",MID($B56,8,1)="-"),IFERROR(IF(AND(MONTH(DATE(VALUE(LEFT($B56,4)),VALUE(MID($B56,6,2)),VALUE(RIGHT($B56,2))))=VALUE(MID($B56,6,2)),DAY(DATE(VALUE(LEFT($B56,4)),VALUE(MID($B56,6,2)),VALUE(RIGHT($B56,2))))=VALUE(RIGHT($B56,2))),DATE(VALUE(LEFT($B56,4)),VALUE(MID($B56,6,2)),VALUE(RIGHT($B56,2))),"ERR"),"ERR"),"ERR")))</f>
        <v/>
      </c>
      <c r="N56" s="62" t="str">
        <f>IF($G56="","",IF(ISNUMBER($G56),$G56,IF(AND(LEN($G56)=10,MID($G56,5,1)="-",MID($G56,8,1)="-"),IFERROR(IF(AND(MONTH(DATE(VALUE(LEFT($G56,4)),VALUE(MID($G56,6,2)),VALUE(RIGHT($G56,2))))=VALUE(MID($G56,6,2)),DAY(DATE(VALUE(LEFT($G56,4)),VALUE(MID($G56,6,2)),VALUE(RIGHT($G56,2))))=VALUE(RIGHT($G56,2))),DATE(VALUE(LEFT($G56,4)),VALUE(MID($G56,6,2)),VALUE(RIGHT($G56,2))),"ERR"),"ERR"),"ERR")))</f>
        <v/>
      </c>
      <c r="O56" s="51" t="str">
        <f>IF($H56="","",IF(ISNUMBER($H56),$H56,IFERROR(VALUE($H56),"ERR")))</f>
        <v/>
      </c>
      <c r="P56" s="51" t="str">
        <f>IF(AND(ISNUMBER($O56),OR($C56="Receipt",$C56="Shipment",$C56="Adjustment")),IF($C56="Shipment",-$O56,$O56),"")</f>
        <v/>
      </c>
      <c r="Q56" s="51" t="str">
        <f>IF($D56="","",IFERROR(INDEX(Products!$R$2:$R$101,MATCH($D56,Products!$A$2:$A$101,0)),""))</f>
        <v/>
      </c>
      <c r="R56" s="51" t="str">
        <f>IF(OR($Q56="",$P56=""),"",$Q56+SUMIFS($P$1:$P55,$D$1:$D55,$D56,$U$1:$U55,"Ready"))</f>
        <v/>
      </c>
      <c r="S56" s="51" t="str">
        <f>IF($R56="","",$R56+$P56)</f>
        <v/>
      </c>
      <c r="T56" s="52" t="str">
        <f>IF(COUNTA($A56:$L56)&gt;0,$BP56,"")</f>
        <v/>
      </c>
      <c r="U56" s="49" t="str">
        <f>IF($T56="","",IF($T56=0,"Ready","Rejected"))</f>
        <v/>
      </c>
      <c r="V56" s="49" t="str">
        <f>IF(OR($T56="",$T56=0),"",INDEX(Config!$D$39:$D$61,MATCH(1,$AT56:$BP56,0))&amp;IF($T56&gt;1," (+"&amp;($T56-1)&amp;" more)",""))</f>
        <v/>
      </c>
      <c r="W56" s="52">
        <f>IF(AND(COUNTA($A56:$L56)&gt;0,$A56=""),1,0)</f>
        <v>0</v>
      </c>
      <c r="X56" s="52">
        <f>IF(AND(COUNTA($A56:$L56)&gt;0,$A56&lt;&gt;""),IF(COUNTIF($A$1:$A55,$A56)&gt;0,1,0),0)</f>
        <v>0</v>
      </c>
      <c r="Y56" s="52">
        <f>IF(AND(COUNTA($A56:$L56)&gt;0,$A56&lt;&gt;""),IF(COUNTIF(Inventory_Ledger!$A$2:$A$2001,$A56)&gt;0,1,0),0)</f>
        <v>0</v>
      </c>
      <c r="Z56" s="52">
        <f>IF(AND(COUNTA($A56:$L56)&gt;0,$B56=""),1,0)</f>
        <v>0</v>
      </c>
      <c r="AA56" s="52">
        <f>IF(AND(COUNTA($A56:$L56)&gt;0,$B56&lt;&gt;""),IF($M56="ERR",1,0),0)</f>
        <v>0</v>
      </c>
      <c r="AB56" s="52">
        <f>IF(AND(COUNTA($A56:$L56)&gt;0,ISNUMBER($M56)),IF($M56&gt;Config!$B$4,1,0),0)</f>
        <v>0</v>
      </c>
      <c r="AC56" s="52">
        <f>IF(AND(COUNTA($A56:$L56)&gt;0,$C56=""),1,0)</f>
        <v>0</v>
      </c>
      <c r="AD56" s="52">
        <f>IF(AND(COUNTA($A56:$L56)&gt;0,$C56&lt;&gt;""),IF(COUNTIF(Config!$A$15:$A$34,$C56)=0,1,0),0)</f>
        <v>0</v>
      </c>
      <c r="AE56" s="52">
        <f>IF(AND(COUNTA($A56:$L56)&gt;0,$D56=""),1,0)</f>
        <v>0</v>
      </c>
      <c r="AF56" s="52">
        <f>IF(AND(COUNTA($A56:$L56)&gt;0,$D56&lt;&gt;""),IF(COUNTIF(Products!$A$2:$A$101,$D56)=0,1,0),0)</f>
        <v>0</v>
      </c>
      <c r="AG56" s="52">
        <f>IF(AND(COUNTA($A56:$L56)&gt;0,$C56="Receipt",$E56=""),1,0)</f>
        <v>0</v>
      </c>
      <c r="AH56" s="52">
        <f>IF(AND(COUNTA($A56:$L56)&gt;0,$E56&lt;&gt;""),IF(COUNTIF(Suppliers!$A$2:$A$51,$E56)=0,1,0),0)</f>
        <v>0</v>
      </c>
      <c r="AI56" s="52">
        <f>IF(AND(COUNTA($A56:$L56)&gt;0,$F56=""),1,0)</f>
        <v>0</v>
      </c>
      <c r="AJ56" s="52">
        <f>IF(AND(COUNTA($A56:$L56)&gt;0,$F56&lt;&gt;"",$D56&lt;&gt;"",OR($C56="Shipment",$C56="Adjustment")),IF($AF56=1,0,IF(COUNTIFS(Batches!$A$2:$A$301,$F56,Batches!$B$2:$B$301,$D56)+COUNTIFS($F$1:$F55,$F56,$D$1:$D55,$D56,$C$1:$C55,"Receipt")=0,1,0)),0)</f>
        <v>0</v>
      </c>
      <c r="AK56" s="52">
        <f>IF(AND(COUNTA($A56:$L56)&gt;0,$C56="Receipt",$G56=""),1,0)</f>
        <v>0</v>
      </c>
      <c r="AL56" s="52">
        <f>IF(AND(COUNTA($A56:$L56)&gt;0,$G56&lt;&gt;""),IF($N56="ERR",1,0),0)</f>
        <v>0</v>
      </c>
      <c r="AM56" s="52">
        <f>IF(AND(COUNTA($A56:$L56)&gt;0,$H56=""),1,0)</f>
        <v>0</v>
      </c>
      <c r="AN56" s="52">
        <f>IF(AND(COUNTA($A56:$L56)&gt;0,$H56&lt;&gt;""),IF($O56="ERR",1,IF(INT($O56)&lt;&gt;$O56,1,IF(AND(OR($C56="Receipt",$C56="Shipment"),$O56&lt;=0),1,IF(AND($C56="Adjustment",$O56=0),1,0)))),0)</f>
        <v>0</v>
      </c>
      <c r="AO56" s="52">
        <f>IF(AND(COUNTA($A56:$L56)&gt;0,$C56="Receipt",$I56=""),1,0)</f>
        <v>0</v>
      </c>
      <c r="AP56" s="52">
        <f>IF(AND(COUNTA($A56:$L56)&gt;0,$I56&lt;&gt;""),IF(IFERROR(INDEX(Config!$G$15:$G$34,MATCH($I56,Config!$E$15:$E$34,0)),"No")="Yes",0,1),0)</f>
        <v>0</v>
      </c>
      <c r="AQ56" s="52">
        <f>IF(AND(COUNTA($A56:$L56)&gt;0,$C56="Adjustment",$J56=""),1,0)</f>
        <v>0</v>
      </c>
      <c r="AR56" s="52">
        <f>IF(AND(COUNTA($A56:$L56)&gt;0,$L56=""),1,0)</f>
        <v>0</v>
      </c>
      <c r="AS56" s="52">
        <f>IF(AND(COUNTA($A56:$L56)&gt;0,ISNUMBER($S56)),IF($S56&lt;0,1,0),0)</f>
        <v>0</v>
      </c>
      <c r="AT56" s="52">
        <f>$W56</f>
        <v>0</v>
      </c>
      <c r="AU56" s="52">
        <f>$AT56+$X56</f>
        <v>0</v>
      </c>
      <c r="AV56" s="52">
        <f>$AU56+$Y56</f>
        <v>0</v>
      </c>
      <c r="AW56" s="52">
        <f>$AV56+$Z56</f>
        <v>0</v>
      </c>
      <c r="AX56" s="52">
        <f>$AW56+$AA56</f>
        <v>0</v>
      </c>
      <c r="AY56" s="52">
        <f>$AX56+$AB56</f>
        <v>0</v>
      </c>
      <c r="AZ56" s="52">
        <f>$AY56+$AC56</f>
        <v>0</v>
      </c>
      <c r="BA56" s="52">
        <f>$AZ56+$AD56</f>
        <v>0</v>
      </c>
      <c r="BB56" s="52">
        <f>$BA56+$AE56</f>
        <v>0</v>
      </c>
      <c r="BC56" s="52">
        <f>$BB56+$AF56</f>
        <v>0</v>
      </c>
      <c r="BD56" s="52">
        <f>$BC56+$AG56</f>
        <v>0</v>
      </c>
      <c r="BE56" s="52">
        <f>$BD56+$AH56</f>
        <v>0</v>
      </c>
      <c r="BF56" s="52">
        <f>$BE56+$AI56</f>
        <v>0</v>
      </c>
      <c r="BG56" s="52">
        <f>$BF56+$AJ56</f>
        <v>0</v>
      </c>
      <c r="BH56" s="52">
        <f>$BG56+$AK56</f>
        <v>0</v>
      </c>
      <c r="BI56" s="52">
        <f>$BH56+$AL56</f>
        <v>0</v>
      </c>
      <c r="BJ56" s="52">
        <f>$BI56+$AM56</f>
        <v>0</v>
      </c>
      <c r="BK56" s="52">
        <f>$BJ56+$AN56</f>
        <v>0</v>
      </c>
      <c r="BL56" s="52">
        <f>$BK56+$AO56</f>
        <v>0</v>
      </c>
      <c r="BM56" s="52">
        <f>$BL56+$AP56</f>
        <v>0</v>
      </c>
      <c r="BN56" s="52">
        <f>$BM56+$AQ56</f>
        <v>0</v>
      </c>
      <c r="BO56" s="52">
        <f>$BN56+$AR56</f>
        <v>0</v>
      </c>
      <c r="BP56" s="52">
        <f>$BO56+$AS56</f>
        <v>0</v>
      </c>
      <c r="BQ56" s="52">
        <f>SUM($T$1:$T55)</f>
        <v>11</v>
      </c>
      <c r="BR56" s="52" t="str">
        <f>IF(ISNUMBER($T56),IF($T56&gt;0,COUNTIF($T$2:$T56,"&gt;0"),""),"")</f>
        <v/>
      </c>
      <c r="BS56" s="52" t="str">
        <f>IF($BR56="","",$BQ56+$T56)</f>
        <v/>
      </c>
      <c r="BT56" s="52" t="str">
        <f>IF($U56="Ready",COUNTIF($U$2:$U56,"Ready"),"")</f>
        <v/>
      </c>
      <c r="BU56" s="52">
        <f>IF(AND($U56="Ready",$C56="Receipt"),IF(COUNTIF(Batches!$A$2:$A$301,$F56)+COUNTIFS($F$1:$F55,$F56,$C$1:$C55,"Receipt",$U$1:$U55,"Ready")=0,1,0),0)</f>
        <v>0</v>
      </c>
      <c r="BV56" s="52" t="str">
        <f>IF($BU56=1,SUM($BU$2:$BU56),"")</f>
        <v/>
      </c>
    </row>
    <row r="57">
      <c r="A57" s="46" t="n"/>
      <c r="B57" s="46" t="n"/>
      <c r="C57" s="46" t="n"/>
      <c r="D57" s="46" t="n"/>
      <c r="E57" s="46" t="n"/>
      <c r="F57" s="46" t="n"/>
      <c r="G57" s="46" t="n"/>
      <c r="H57" s="46" t="n"/>
      <c r="I57" s="46" t="n"/>
      <c r="J57" s="46" t="n"/>
      <c r="K57" s="46" t="n"/>
      <c r="L57" s="46" t="n"/>
      <c r="M57" s="62" t="str">
        <f>IF($B57="","",IF(ISNUMBER($B57),$B57,IF(AND(LEN($B57)=10,MID($B57,5,1)="-",MID($B57,8,1)="-"),IFERROR(IF(AND(MONTH(DATE(VALUE(LEFT($B57,4)),VALUE(MID($B57,6,2)),VALUE(RIGHT($B57,2))))=VALUE(MID($B57,6,2)),DAY(DATE(VALUE(LEFT($B57,4)),VALUE(MID($B57,6,2)),VALUE(RIGHT($B57,2))))=VALUE(RIGHT($B57,2))),DATE(VALUE(LEFT($B57,4)),VALUE(MID($B57,6,2)),VALUE(RIGHT($B57,2))),"ERR"),"ERR"),"ERR")))</f>
        <v/>
      </c>
      <c r="N57" s="62" t="str">
        <f>IF($G57="","",IF(ISNUMBER($G57),$G57,IF(AND(LEN($G57)=10,MID($G57,5,1)="-",MID($G57,8,1)="-"),IFERROR(IF(AND(MONTH(DATE(VALUE(LEFT($G57,4)),VALUE(MID($G57,6,2)),VALUE(RIGHT($G57,2))))=VALUE(MID($G57,6,2)),DAY(DATE(VALUE(LEFT($G57,4)),VALUE(MID($G57,6,2)),VALUE(RIGHT($G57,2))))=VALUE(RIGHT($G57,2))),DATE(VALUE(LEFT($G57,4)),VALUE(MID($G57,6,2)),VALUE(RIGHT($G57,2))),"ERR"),"ERR"),"ERR")))</f>
        <v/>
      </c>
      <c r="O57" s="51" t="str">
        <f>IF($H57="","",IF(ISNUMBER($H57),$H57,IFERROR(VALUE($H57),"ERR")))</f>
        <v/>
      </c>
      <c r="P57" s="51" t="str">
        <f>IF(AND(ISNUMBER($O57),OR($C57="Receipt",$C57="Shipment",$C57="Adjustment")),IF($C57="Shipment",-$O57,$O57),"")</f>
        <v/>
      </c>
      <c r="Q57" s="51" t="str">
        <f>IF($D57="","",IFERROR(INDEX(Products!$R$2:$R$101,MATCH($D57,Products!$A$2:$A$101,0)),""))</f>
        <v/>
      </c>
      <c r="R57" s="51" t="str">
        <f>IF(OR($Q57="",$P57=""),"",$Q57+SUMIFS($P$1:$P56,$D$1:$D56,$D57,$U$1:$U56,"Ready"))</f>
        <v/>
      </c>
      <c r="S57" s="51" t="str">
        <f>IF($R57="","",$R57+$P57)</f>
        <v/>
      </c>
      <c r="T57" s="52" t="str">
        <f>IF(COUNTA($A57:$L57)&gt;0,$BP57,"")</f>
        <v/>
      </c>
      <c r="U57" s="49" t="str">
        <f>IF($T57="","",IF($T57=0,"Ready","Rejected"))</f>
        <v/>
      </c>
      <c r="V57" s="49" t="str">
        <f>IF(OR($T57="",$T57=0),"",INDEX(Config!$D$39:$D$61,MATCH(1,$AT57:$BP57,0))&amp;IF($T57&gt;1," (+"&amp;($T57-1)&amp;" more)",""))</f>
        <v/>
      </c>
      <c r="W57" s="52">
        <f>IF(AND(COUNTA($A57:$L57)&gt;0,$A57=""),1,0)</f>
        <v>0</v>
      </c>
      <c r="X57" s="52">
        <f>IF(AND(COUNTA($A57:$L57)&gt;0,$A57&lt;&gt;""),IF(COUNTIF($A$1:$A56,$A57)&gt;0,1,0),0)</f>
        <v>0</v>
      </c>
      <c r="Y57" s="52">
        <f>IF(AND(COUNTA($A57:$L57)&gt;0,$A57&lt;&gt;""),IF(COUNTIF(Inventory_Ledger!$A$2:$A$2001,$A57)&gt;0,1,0),0)</f>
        <v>0</v>
      </c>
      <c r="Z57" s="52">
        <f>IF(AND(COUNTA($A57:$L57)&gt;0,$B57=""),1,0)</f>
        <v>0</v>
      </c>
      <c r="AA57" s="52">
        <f>IF(AND(COUNTA($A57:$L57)&gt;0,$B57&lt;&gt;""),IF($M57="ERR",1,0),0)</f>
        <v>0</v>
      </c>
      <c r="AB57" s="52">
        <f>IF(AND(COUNTA($A57:$L57)&gt;0,ISNUMBER($M57)),IF($M57&gt;Config!$B$4,1,0),0)</f>
        <v>0</v>
      </c>
      <c r="AC57" s="52">
        <f>IF(AND(COUNTA($A57:$L57)&gt;0,$C57=""),1,0)</f>
        <v>0</v>
      </c>
      <c r="AD57" s="52">
        <f>IF(AND(COUNTA($A57:$L57)&gt;0,$C57&lt;&gt;""),IF(COUNTIF(Config!$A$15:$A$34,$C57)=0,1,0),0)</f>
        <v>0</v>
      </c>
      <c r="AE57" s="52">
        <f>IF(AND(COUNTA($A57:$L57)&gt;0,$D57=""),1,0)</f>
        <v>0</v>
      </c>
      <c r="AF57" s="52">
        <f>IF(AND(COUNTA($A57:$L57)&gt;0,$D57&lt;&gt;""),IF(COUNTIF(Products!$A$2:$A$101,$D57)=0,1,0),0)</f>
        <v>0</v>
      </c>
      <c r="AG57" s="52">
        <f>IF(AND(COUNTA($A57:$L57)&gt;0,$C57="Receipt",$E57=""),1,0)</f>
        <v>0</v>
      </c>
      <c r="AH57" s="52">
        <f>IF(AND(COUNTA($A57:$L57)&gt;0,$E57&lt;&gt;""),IF(COUNTIF(Suppliers!$A$2:$A$51,$E57)=0,1,0),0)</f>
        <v>0</v>
      </c>
      <c r="AI57" s="52">
        <f>IF(AND(COUNTA($A57:$L57)&gt;0,$F57=""),1,0)</f>
        <v>0</v>
      </c>
      <c r="AJ57" s="52">
        <f>IF(AND(COUNTA($A57:$L57)&gt;0,$F57&lt;&gt;"",$D57&lt;&gt;"",OR($C57="Shipment",$C57="Adjustment")),IF($AF57=1,0,IF(COUNTIFS(Batches!$A$2:$A$301,$F57,Batches!$B$2:$B$301,$D57)+COUNTIFS($F$1:$F56,$F57,$D$1:$D56,$D57,$C$1:$C56,"Receipt")=0,1,0)),0)</f>
        <v>0</v>
      </c>
      <c r="AK57" s="52">
        <f>IF(AND(COUNTA($A57:$L57)&gt;0,$C57="Receipt",$G57=""),1,0)</f>
        <v>0</v>
      </c>
      <c r="AL57" s="52">
        <f>IF(AND(COUNTA($A57:$L57)&gt;0,$G57&lt;&gt;""),IF($N57="ERR",1,0),0)</f>
        <v>0</v>
      </c>
      <c r="AM57" s="52">
        <f>IF(AND(COUNTA($A57:$L57)&gt;0,$H57=""),1,0)</f>
        <v>0</v>
      </c>
      <c r="AN57" s="52">
        <f>IF(AND(COUNTA($A57:$L57)&gt;0,$H57&lt;&gt;""),IF($O57="ERR",1,IF(INT($O57)&lt;&gt;$O57,1,IF(AND(OR($C57="Receipt",$C57="Shipment"),$O57&lt;=0),1,IF(AND($C57="Adjustment",$O57=0),1,0)))),0)</f>
        <v>0</v>
      </c>
      <c r="AO57" s="52">
        <f>IF(AND(COUNTA($A57:$L57)&gt;0,$C57="Receipt",$I57=""),1,0)</f>
        <v>0</v>
      </c>
      <c r="AP57" s="52">
        <f>IF(AND(COUNTA($A57:$L57)&gt;0,$I57&lt;&gt;""),IF(IFERROR(INDEX(Config!$G$15:$G$34,MATCH($I57,Config!$E$15:$E$34,0)),"No")="Yes",0,1),0)</f>
        <v>0</v>
      </c>
      <c r="AQ57" s="52">
        <f>IF(AND(COUNTA($A57:$L57)&gt;0,$C57="Adjustment",$J57=""),1,0)</f>
        <v>0</v>
      </c>
      <c r="AR57" s="52">
        <f>IF(AND(COUNTA($A57:$L57)&gt;0,$L57=""),1,0)</f>
        <v>0</v>
      </c>
      <c r="AS57" s="52">
        <f>IF(AND(COUNTA($A57:$L57)&gt;0,ISNUMBER($S57)),IF($S57&lt;0,1,0),0)</f>
        <v>0</v>
      </c>
      <c r="AT57" s="52">
        <f>$W57</f>
        <v>0</v>
      </c>
      <c r="AU57" s="52">
        <f>$AT57+$X57</f>
        <v>0</v>
      </c>
      <c r="AV57" s="52">
        <f>$AU57+$Y57</f>
        <v>0</v>
      </c>
      <c r="AW57" s="52">
        <f>$AV57+$Z57</f>
        <v>0</v>
      </c>
      <c r="AX57" s="52">
        <f>$AW57+$AA57</f>
        <v>0</v>
      </c>
      <c r="AY57" s="52">
        <f>$AX57+$AB57</f>
        <v>0</v>
      </c>
      <c r="AZ57" s="52">
        <f>$AY57+$AC57</f>
        <v>0</v>
      </c>
      <c r="BA57" s="52">
        <f>$AZ57+$AD57</f>
        <v>0</v>
      </c>
      <c r="BB57" s="52">
        <f>$BA57+$AE57</f>
        <v>0</v>
      </c>
      <c r="BC57" s="52">
        <f>$BB57+$AF57</f>
        <v>0</v>
      </c>
      <c r="BD57" s="52">
        <f>$BC57+$AG57</f>
        <v>0</v>
      </c>
      <c r="BE57" s="52">
        <f>$BD57+$AH57</f>
        <v>0</v>
      </c>
      <c r="BF57" s="52">
        <f>$BE57+$AI57</f>
        <v>0</v>
      </c>
      <c r="BG57" s="52">
        <f>$BF57+$AJ57</f>
        <v>0</v>
      </c>
      <c r="BH57" s="52">
        <f>$BG57+$AK57</f>
        <v>0</v>
      </c>
      <c r="BI57" s="52">
        <f>$BH57+$AL57</f>
        <v>0</v>
      </c>
      <c r="BJ57" s="52">
        <f>$BI57+$AM57</f>
        <v>0</v>
      </c>
      <c r="BK57" s="52">
        <f>$BJ57+$AN57</f>
        <v>0</v>
      </c>
      <c r="BL57" s="52">
        <f>$BK57+$AO57</f>
        <v>0</v>
      </c>
      <c r="BM57" s="52">
        <f>$BL57+$AP57</f>
        <v>0</v>
      </c>
      <c r="BN57" s="52">
        <f>$BM57+$AQ57</f>
        <v>0</v>
      </c>
      <c r="BO57" s="52">
        <f>$BN57+$AR57</f>
        <v>0</v>
      </c>
      <c r="BP57" s="52">
        <f>$BO57+$AS57</f>
        <v>0</v>
      </c>
      <c r="BQ57" s="52">
        <f>SUM($T$1:$T56)</f>
        <v>11</v>
      </c>
      <c r="BR57" s="52" t="str">
        <f>IF(ISNUMBER($T57),IF($T57&gt;0,COUNTIF($T$2:$T57,"&gt;0"),""),"")</f>
        <v/>
      </c>
      <c r="BS57" s="52" t="str">
        <f>IF($BR57="","",$BQ57+$T57)</f>
        <v/>
      </c>
      <c r="BT57" s="52" t="str">
        <f>IF($U57="Ready",COUNTIF($U$2:$U57,"Ready"),"")</f>
        <v/>
      </c>
      <c r="BU57" s="52">
        <f>IF(AND($U57="Ready",$C57="Receipt"),IF(COUNTIF(Batches!$A$2:$A$301,$F57)+COUNTIFS($F$1:$F56,$F57,$C$1:$C56,"Receipt",$U$1:$U56,"Ready")=0,1,0),0)</f>
        <v>0</v>
      </c>
      <c r="BV57" s="52" t="str">
        <f>IF($BU57=1,SUM($BU$2:$BU57),"")</f>
        <v/>
      </c>
    </row>
    <row r="58">
      <c r="A58" s="46" t="n"/>
      <c r="B58" s="46" t="n"/>
      <c r="C58" s="46" t="n"/>
      <c r="D58" s="46" t="n"/>
      <c r="E58" s="46" t="n"/>
      <c r="F58" s="46" t="n"/>
      <c r="G58" s="46" t="n"/>
      <c r="H58" s="46" t="n"/>
      <c r="I58" s="46" t="n"/>
      <c r="J58" s="46" t="n"/>
      <c r="K58" s="46" t="n"/>
      <c r="L58" s="46" t="n"/>
      <c r="M58" s="62" t="str">
        <f>IF($B58="","",IF(ISNUMBER($B58),$B58,IF(AND(LEN($B58)=10,MID($B58,5,1)="-",MID($B58,8,1)="-"),IFERROR(IF(AND(MONTH(DATE(VALUE(LEFT($B58,4)),VALUE(MID($B58,6,2)),VALUE(RIGHT($B58,2))))=VALUE(MID($B58,6,2)),DAY(DATE(VALUE(LEFT($B58,4)),VALUE(MID($B58,6,2)),VALUE(RIGHT($B58,2))))=VALUE(RIGHT($B58,2))),DATE(VALUE(LEFT($B58,4)),VALUE(MID($B58,6,2)),VALUE(RIGHT($B58,2))),"ERR"),"ERR"),"ERR")))</f>
        <v/>
      </c>
      <c r="N58" s="62" t="str">
        <f>IF($G58="","",IF(ISNUMBER($G58),$G58,IF(AND(LEN($G58)=10,MID($G58,5,1)="-",MID($G58,8,1)="-"),IFERROR(IF(AND(MONTH(DATE(VALUE(LEFT($G58,4)),VALUE(MID($G58,6,2)),VALUE(RIGHT($G58,2))))=VALUE(MID($G58,6,2)),DAY(DATE(VALUE(LEFT($G58,4)),VALUE(MID($G58,6,2)),VALUE(RIGHT($G58,2))))=VALUE(RIGHT($G58,2))),DATE(VALUE(LEFT($G58,4)),VALUE(MID($G58,6,2)),VALUE(RIGHT($G58,2))),"ERR"),"ERR"),"ERR")))</f>
        <v/>
      </c>
      <c r="O58" s="51" t="str">
        <f>IF($H58="","",IF(ISNUMBER($H58),$H58,IFERROR(VALUE($H58),"ERR")))</f>
        <v/>
      </c>
      <c r="P58" s="51" t="str">
        <f>IF(AND(ISNUMBER($O58),OR($C58="Receipt",$C58="Shipment",$C58="Adjustment")),IF($C58="Shipment",-$O58,$O58),"")</f>
        <v/>
      </c>
      <c r="Q58" s="51" t="str">
        <f>IF($D58="","",IFERROR(INDEX(Products!$R$2:$R$101,MATCH($D58,Products!$A$2:$A$101,0)),""))</f>
        <v/>
      </c>
      <c r="R58" s="51" t="str">
        <f>IF(OR($Q58="",$P58=""),"",$Q58+SUMIFS($P$1:$P57,$D$1:$D57,$D58,$U$1:$U57,"Ready"))</f>
        <v/>
      </c>
      <c r="S58" s="51" t="str">
        <f>IF($R58="","",$R58+$P58)</f>
        <v/>
      </c>
      <c r="T58" s="52" t="str">
        <f>IF(COUNTA($A58:$L58)&gt;0,$BP58,"")</f>
        <v/>
      </c>
      <c r="U58" s="49" t="str">
        <f>IF($T58="","",IF($T58=0,"Ready","Rejected"))</f>
        <v/>
      </c>
      <c r="V58" s="49" t="str">
        <f>IF(OR($T58="",$T58=0),"",INDEX(Config!$D$39:$D$61,MATCH(1,$AT58:$BP58,0))&amp;IF($T58&gt;1," (+"&amp;($T58-1)&amp;" more)",""))</f>
        <v/>
      </c>
      <c r="W58" s="52">
        <f>IF(AND(COUNTA($A58:$L58)&gt;0,$A58=""),1,0)</f>
        <v>0</v>
      </c>
      <c r="X58" s="52">
        <f>IF(AND(COUNTA($A58:$L58)&gt;0,$A58&lt;&gt;""),IF(COUNTIF($A$1:$A57,$A58)&gt;0,1,0),0)</f>
        <v>0</v>
      </c>
      <c r="Y58" s="52">
        <f>IF(AND(COUNTA($A58:$L58)&gt;0,$A58&lt;&gt;""),IF(COUNTIF(Inventory_Ledger!$A$2:$A$2001,$A58)&gt;0,1,0),0)</f>
        <v>0</v>
      </c>
      <c r="Z58" s="52">
        <f>IF(AND(COUNTA($A58:$L58)&gt;0,$B58=""),1,0)</f>
        <v>0</v>
      </c>
      <c r="AA58" s="52">
        <f>IF(AND(COUNTA($A58:$L58)&gt;0,$B58&lt;&gt;""),IF($M58="ERR",1,0),0)</f>
        <v>0</v>
      </c>
      <c r="AB58" s="52">
        <f>IF(AND(COUNTA($A58:$L58)&gt;0,ISNUMBER($M58)),IF($M58&gt;Config!$B$4,1,0),0)</f>
        <v>0</v>
      </c>
      <c r="AC58" s="52">
        <f>IF(AND(COUNTA($A58:$L58)&gt;0,$C58=""),1,0)</f>
        <v>0</v>
      </c>
      <c r="AD58" s="52">
        <f>IF(AND(COUNTA($A58:$L58)&gt;0,$C58&lt;&gt;""),IF(COUNTIF(Config!$A$15:$A$34,$C58)=0,1,0),0)</f>
        <v>0</v>
      </c>
      <c r="AE58" s="52">
        <f>IF(AND(COUNTA($A58:$L58)&gt;0,$D58=""),1,0)</f>
        <v>0</v>
      </c>
      <c r="AF58" s="52">
        <f>IF(AND(COUNTA($A58:$L58)&gt;0,$D58&lt;&gt;""),IF(COUNTIF(Products!$A$2:$A$101,$D58)=0,1,0),0)</f>
        <v>0</v>
      </c>
      <c r="AG58" s="52">
        <f>IF(AND(COUNTA($A58:$L58)&gt;0,$C58="Receipt",$E58=""),1,0)</f>
        <v>0</v>
      </c>
      <c r="AH58" s="52">
        <f>IF(AND(COUNTA($A58:$L58)&gt;0,$E58&lt;&gt;""),IF(COUNTIF(Suppliers!$A$2:$A$51,$E58)=0,1,0),0)</f>
        <v>0</v>
      </c>
      <c r="AI58" s="52">
        <f>IF(AND(COUNTA($A58:$L58)&gt;0,$F58=""),1,0)</f>
        <v>0</v>
      </c>
      <c r="AJ58" s="52">
        <f>IF(AND(COUNTA($A58:$L58)&gt;0,$F58&lt;&gt;"",$D58&lt;&gt;"",OR($C58="Shipment",$C58="Adjustment")),IF($AF58=1,0,IF(COUNTIFS(Batches!$A$2:$A$301,$F58,Batches!$B$2:$B$301,$D58)+COUNTIFS($F$1:$F57,$F58,$D$1:$D57,$D58,$C$1:$C57,"Receipt")=0,1,0)),0)</f>
        <v>0</v>
      </c>
      <c r="AK58" s="52">
        <f>IF(AND(COUNTA($A58:$L58)&gt;0,$C58="Receipt",$G58=""),1,0)</f>
        <v>0</v>
      </c>
      <c r="AL58" s="52">
        <f>IF(AND(COUNTA($A58:$L58)&gt;0,$G58&lt;&gt;""),IF($N58="ERR",1,0),0)</f>
        <v>0</v>
      </c>
      <c r="AM58" s="52">
        <f>IF(AND(COUNTA($A58:$L58)&gt;0,$H58=""),1,0)</f>
        <v>0</v>
      </c>
      <c r="AN58" s="52">
        <f>IF(AND(COUNTA($A58:$L58)&gt;0,$H58&lt;&gt;""),IF($O58="ERR",1,IF(INT($O58)&lt;&gt;$O58,1,IF(AND(OR($C58="Receipt",$C58="Shipment"),$O58&lt;=0),1,IF(AND($C58="Adjustment",$O58=0),1,0)))),0)</f>
        <v>0</v>
      </c>
      <c r="AO58" s="52">
        <f>IF(AND(COUNTA($A58:$L58)&gt;0,$C58="Receipt",$I58=""),1,0)</f>
        <v>0</v>
      </c>
      <c r="AP58" s="52">
        <f>IF(AND(COUNTA($A58:$L58)&gt;0,$I58&lt;&gt;""),IF(IFERROR(INDEX(Config!$G$15:$G$34,MATCH($I58,Config!$E$15:$E$34,0)),"No")="Yes",0,1),0)</f>
        <v>0</v>
      </c>
      <c r="AQ58" s="52">
        <f>IF(AND(COUNTA($A58:$L58)&gt;0,$C58="Adjustment",$J58=""),1,0)</f>
        <v>0</v>
      </c>
      <c r="AR58" s="52">
        <f>IF(AND(COUNTA($A58:$L58)&gt;0,$L58=""),1,0)</f>
        <v>0</v>
      </c>
      <c r="AS58" s="52">
        <f>IF(AND(COUNTA($A58:$L58)&gt;0,ISNUMBER($S58)),IF($S58&lt;0,1,0),0)</f>
        <v>0</v>
      </c>
      <c r="AT58" s="52">
        <f>$W58</f>
        <v>0</v>
      </c>
      <c r="AU58" s="52">
        <f>$AT58+$X58</f>
        <v>0</v>
      </c>
      <c r="AV58" s="52">
        <f>$AU58+$Y58</f>
        <v>0</v>
      </c>
      <c r="AW58" s="52">
        <f>$AV58+$Z58</f>
        <v>0</v>
      </c>
      <c r="AX58" s="52">
        <f>$AW58+$AA58</f>
        <v>0</v>
      </c>
      <c r="AY58" s="52">
        <f>$AX58+$AB58</f>
        <v>0</v>
      </c>
      <c r="AZ58" s="52">
        <f>$AY58+$AC58</f>
        <v>0</v>
      </c>
      <c r="BA58" s="52">
        <f>$AZ58+$AD58</f>
        <v>0</v>
      </c>
      <c r="BB58" s="52">
        <f>$BA58+$AE58</f>
        <v>0</v>
      </c>
      <c r="BC58" s="52">
        <f>$BB58+$AF58</f>
        <v>0</v>
      </c>
      <c r="BD58" s="52">
        <f>$BC58+$AG58</f>
        <v>0</v>
      </c>
      <c r="BE58" s="52">
        <f>$BD58+$AH58</f>
        <v>0</v>
      </c>
      <c r="BF58" s="52">
        <f>$BE58+$AI58</f>
        <v>0</v>
      </c>
      <c r="BG58" s="52">
        <f>$BF58+$AJ58</f>
        <v>0</v>
      </c>
      <c r="BH58" s="52">
        <f>$BG58+$AK58</f>
        <v>0</v>
      </c>
      <c r="BI58" s="52">
        <f>$BH58+$AL58</f>
        <v>0</v>
      </c>
      <c r="BJ58" s="52">
        <f>$BI58+$AM58</f>
        <v>0</v>
      </c>
      <c r="BK58" s="52">
        <f>$BJ58+$AN58</f>
        <v>0</v>
      </c>
      <c r="BL58" s="52">
        <f>$BK58+$AO58</f>
        <v>0</v>
      </c>
      <c r="BM58" s="52">
        <f>$BL58+$AP58</f>
        <v>0</v>
      </c>
      <c r="BN58" s="52">
        <f>$BM58+$AQ58</f>
        <v>0</v>
      </c>
      <c r="BO58" s="52">
        <f>$BN58+$AR58</f>
        <v>0</v>
      </c>
      <c r="BP58" s="52">
        <f>$BO58+$AS58</f>
        <v>0</v>
      </c>
      <c r="BQ58" s="52">
        <f>SUM($T$1:$T57)</f>
        <v>11</v>
      </c>
      <c r="BR58" s="52" t="str">
        <f>IF(ISNUMBER($T58),IF($T58&gt;0,COUNTIF($T$2:$T58,"&gt;0"),""),"")</f>
        <v/>
      </c>
      <c r="BS58" s="52" t="str">
        <f>IF($BR58="","",$BQ58+$T58)</f>
        <v/>
      </c>
      <c r="BT58" s="52" t="str">
        <f>IF($U58="Ready",COUNTIF($U$2:$U58,"Ready"),"")</f>
        <v/>
      </c>
      <c r="BU58" s="52">
        <f>IF(AND($U58="Ready",$C58="Receipt"),IF(COUNTIF(Batches!$A$2:$A$301,$F58)+COUNTIFS($F$1:$F57,$F58,$C$1:$C57,"Receipt",$U$1:$U57,"Ready")=0,1,0),0)</f>
        <v>0</v>
      </c>
      <c r="BV58" s="52" t="str">
        <f>IF($BU58=1,SUM($BU$2:$BU58),"")</f>
        <v/>
      </c>
    </row>
    <row r="59">
      <c r="A59" s="46" t="n"/>
      <c r="B59" s="46" t="n"/>
      <c r="C59" s="46" t="n"/>
      <c r="D59" s="46" t="n"/>
      <c r="E59" s="46" t="n"/>
      <c r="F59" s="46" t="n"/>
      <c r="G59" s="46" t="n"/>
      <c r="H59" s="46" t="n"/>
      <c r="I59" s="46" t="n"/>
      <c r="J59" s="46" t="n"/>
      <c r="K59" s="46" t="n"/>
      <c r="L59" s="46" t="n"/>
      <c r="M59" s="62" t="str">
        <f>IF($B59="","",IF(ISNUMBER($B59),$B59,IF(AND(LEN($B59)=10,MID($B59,5,1)="-",MID($B59,8,1)="-"),IFERROR(IF(AND(MONTH(DATE(VALUE(LEFT($B59,4)),VALUE(MID($B59,6,2)),VALUE(RIGHT($B59,2))))=VALUE(MID($B59,6,2)),DAY(DATE(VALUE(LEFT($B59,4)),VALUE(MID($B59,6,2)),VALUE(RIGHT($B59,2))))=VALUE(RIGHT($B59,2))),DATE(VALUE(LEFT($B59,4)),VALUE(MID($B59,6,2)),VALUE(RIGHT($B59,2))),"ERR"),"ERR"),"ERR")))</f>
        <v/>
      </c>
      <c r="N59" s="62" t="str">
        <f>IF($G59="","",IF(ISNUMBER($G59),$G59,IF(AND(LEN($G59)=10,MID($G59,5,1)="-",MID($G59,8,1)="-"),IFERROR(IF(AND(MONTH(DATE(VALUE(LEFT($G59,4)),VALUE(MID($G59,6,2)),VALUE(RIGHT($G59,2))))=VALUE(MID($G59,6,2)),DAY(DATE(VALUE(LEFT($G59,4)),VALUE(MID($G59,6,2)),VALUE(RIGHT($G59,2))))=VALUE(RIGHT($G59,2))),DATE(VALUE(LEFT($G59,4)),VALUE(MID($G59,6,2)),VALUE(RIGHT($G59,2))),"ERR"),"ERR"),"ERR")))</f>
        <v/>
      </c>
      <c r="O59" s="51" t="str">
        <f>IF($H59="","",IF(ISNUMBER($H59),$H59,IFERROR(VALUE($H59),"ERR")))</f>
        <v/>
      </c>
      <c r="P59" s="51" t="str">
        <f>IF(AND(ISNUMBER($O59),OR($C59="Receipt",$C59="Shipment",$C59="Adjustment")),IF($C59="Shipment",-$O59,$O59),"")</f>
        <v/>
      </c>
      <c r="Q59" s="51" t="str">
        <f>IF($D59="","",IFERROR(INDEX(Products!$R$2:$R$101,MATCH($D59,Products!$A$2:$A$101,0)),""))</f>
        <v/>
      </c>
      <c r="R59" s="51" t="str">
        <f>IF(OR($Q59="",$P59=""),"",$Q59+SUMIFS($P$1:$P58,$D$1:$D58,$D59,$U$1:$U58,"Ready"))</f>
        <v/>
      </c>
      <c r="S59" s="51" t="str">
        <f>IF($R59="","",$R59+$P59)</f>
        <v/>
      </c>
      <c r="T59" s="52" t="str">
        <f>IF(COUNTA($A59:$L59)&gt;0,$BP59,"")</f>
        <v/>
      </c>
      <c r="U59" s="49" t="str">
        <f>IF($T59="","",IF($T59=0,"Ready","Rejected"))</f>
        <v/>
      </c>
      <c r="V59" s="49" t="str">
        <f>IF(OR($T59="",$T59=0),"",INDEX(Config!$D$39:$D$61,MATCH(1,$AT59:$BP59,0))&amp;IF($T59&gt;1," (+"&amp;($T59-1)&amp;" more)",""))</f>
        <v/>
      </c>
      <c r="W59" s="52">
        <f>IF(AND(COUNTA($A59:$L59)&gt;0,$A59=""),1,0)</f>
        <v>0</v>
      </c>
      <c r="X59" s="52">
        <f>IF(AND(COUNTA($A59:$L59)&gt;0,$A59&lt;&gt;""),IF(COUNTIF($A$1:$A58,$A59)&gt;0,1,0),0)</f>
        <v>0</v>
      </c>
      <c r="Y59" s="52">
        <f>IF(AND(COUNTA($A59:$L59)&gt;0,$A59&lt;&gt;""),IF(COUNTIF(Inventory_Ledger!$A$2:$A$2001,$A59)&gt;0,1,0),0)</f>
        <v>0</v>
      </c>
      <c r="Z59" s="52">
        <f>IF(AND(COUNTA($A59:$L59)&gt;0,$B59=""),1,0)</f>
        <v>0</v>
      </c>
      <c r="AA59" s="52">
        <f>IF(AND(COUNTA($A59:$L59)&gt;0,$B59&lt;&gt;""),IF($M59="ERR",1,0),0)</f>
        <v>0</v>
      </c>
      <c r="AB59" s="52">
        <f>IF(AND(COUNTA($A59:$L59)&gt;0,ISNUMBER($M59)),IF($M59&gt;Config!$B$4,1,0),0)</f>
        <v>0</v>
      </c>
      <c r="AC59" s="52">
        <f>IF(AND(COUNTA($A59:$L59)&gt;0,$C59=""),1,0)</f>
        <v>0</v>
      </c>
      <c r="AD59" s="52">
        <f>IF(AND(COUNTA($A59:$L59)&gt;0,$C59&lt;&gt;""),IF(COUNTIF(Config!$A$15:$A$34,$C59)=0,1,0),0)</f>
        <v>0</v>
      </c>
      <c r="AE59" s="52">
        <f>IF(AND(COUNTA($A59:$L59)&gt;0,$D59=""),1,0)</f>
        <v>0</v>
      </c>
      <c r="AF59" s="52">
        <f>IF(AND(COUNTA($A59:$L59)&gt;0,$D59&lt;&gt;""),IF(COUNTIF(Products!$A$2:$A$101,$D59)=0,1,0),0)</f>
        <v>0</v>
      </c>
      <c r="AG59" s="52">
        <f>IF(AND(COUNTA($A59:$L59)&gt;0,$C59="Receipt",$E59=""),1,0)</f>
        <v>0</v>
      </c>
      <c r="AH59" s="52">
        <f>IF(AND(COUNTA($A59:$L59)&gt;0,$E59&lt;&gt;""),IF(COUNTIF(Suppliers!$A$2:$A$51,$E59)=0,1,0),0)</f>
        <v>0</v>
      </c>
      <c r="AI59" s="52">
        <f>IF(AND(COUNTA($A59:$L59)&gt;0,$F59=""),1,0)</f>
        <v>0</v>
      </c>
      <c r="AJ59" s="52">
        <f>IF(AND(COUNTA($A59:$L59)&gt;0,$F59&lt;&gt;"",$D59&lt;&gt;"",OR($C59="Shipment",$C59="Adjustment")),IF($AF59=1,0,IF(COUNTIFS(Batches!$A$2:$A$301,$F59,Batches!$B$2:$B$301,$D59)+COUNTIFS($F$1:$F58,$F59,$D$1:$D58,$D59,$C$1:$C58,"Receipt")=0,1,0)),0)</f>
        <v>0</v>
      </c>
      <c r="AK59" s="52">
        <f>IF(AND(COUNTA($A59:$L59)&gt;0,$C59="Receipt",$G59=""),1,0)</f>
        <v>0</v>
      </c>
      <c r="AL59" s="52">
        <f>IF(AND(COUNTA($A59:$L59)&gt;0,$G59&lt;&gt;""),IF($N59="ERR",1,0),0)</f>
        <v>0</v>
      </c>
      <c r="AM59" s="52">
        <f>IF(AND(COUNTA($A59:$L59)&gt;0,$H59=""),1,0)</f>
        <v>0</v>
      </c>
      <c r="AN59" s="52">
        <f>IF(AND(COUNTA($A59:$L59)&gt;0,$H59&lt;&gt;""),IF($O59="ERR",1,IF(INT($O59)&lt;&gt;$O59,1,IF(AND(OR($C59="Receipt",$C59="Shipment"),$O59&lt;=0),1,IF(AND($C59="Adjustment",$O59=0),1,0)))),0)</f>
        <v>0</v>
      </c>
      <c r="AO59" s="52">
        <f>IF(AND(COUNTA($A59:$L59)&gt;0,$C59="Receipt",$I59=""),1,0)</f>
        <v>0</v>
      </c>
      <c r="AP59" s="52">
        <f>IF(AND(COUNTA($A59:$L59)&gt;0,$I59&lt;&gt;""),IF(IFERROR(INDEX(Config!$G$15:$G$34,MATCH($I59,Config!$E$15:$E$34,0)),"No")="Yes",0,1),0)</f>
        <v>0</v>
      </c>
      <c r="AQ59" s="52">
        <f>IF(AND(COUNTA($A59:$L59)&gt;0,$C59="Adjustment",$J59=""),1,0)</f>
        <v>0</v>
      </c>
      <c r="AR59" s="52">
        <f>IF(AND(COUNTA($A59:$L59)&gt;0,$L59=""),1,0)</f>
        <v>0</v>
      </c>
      <c r="AS59" s="52">
        <f>IF(AND(COUNTA($A59:$L59)&gt;0,ISNUMBER($S59)),IF($S59&lt;0,1,0),0)</f>
        <v>0</v>
      </c>
      <c r="AT59" s="52">
        <f>$W59</f>
        <v>0</v>
      </c>
      <c r="AU59" s="52">
        <f>$AT59+$X59</f>
        <v>0</v>
      </c>
      <c r="AV59" s="52">
        <f>$AU59+$Y59</f>
        <v>0</v>
      </c>
      <c r="AW59" s="52">
        <f>$AV59+$Z59</f>
        <v>0</v>
      </c>
      <c r="AX59" s="52">
        <f>$AW59+$AA59</f>
        <v>0</v>
      </c>
      <c r="AY59" s="52">
        <f>$AX59+$AB59</f>
        <v>0</v>
      </c>
      <c r="AZ59" s="52">
        <f>$AY59+$AC59</f>
        <v>0</v>
      </c>
      <c r="BA59" s="52">
        <f>$AZ59+$AD59</f>
        <v>0</v>
      </c>
      <c r="BB59" s="52">
        <f>$BA59+$AE59</f>
        <v>0</v>
      </c>
      <c r="BC59" s="52">
        <f>$BB59+$AF59</f>
        <v>0</v>
      </c>
      <c r="BD59" s="52">
        <f>$BC59+$AG59</f>
        <v>0</v>
      </c>
      <c r="BE59" s="52">
        <f>$BD59+$AH59</f>
        <v>0</v>
      </c>
      <c r="BF59" s="52">
        <f>$BE59+$AI59</f>
        <v>0</v>
      </c>
      <c r="BG59" s="52">
        <f>$BF59+$AJ59</f>
        <v>0</v>
      </c>
      <c r="BH59" s="52">
        <f>$BG59+$AK59</f>
        <v>0</v>
      </c>
      <c r="BI59" s="52">
        <f>$BH59+$AL59</f>
        <v>0</v>
      </c>
      <c r="BJ59" s="52">
        <f>$BI59+$AM59</f>
        <v>0</v>
      </c>
      <c r="BK59" s="52">
        <f>$BJ59+$AN59</f>
        <v>0</v>
      </c>
      <c r="BL59" s="52">
        <f>$BK59+$AO59</f>
        <v>0</v>
      </c>
      <c r="BM59" s="52">
        <f>$BL59+$AP59</f>
        <v>0</v>
      </c>
      <c r="BN59" s="52">
        <f>$BM59+$AQ59</f>
        <v>0</v>
      </c>
      <c r="BO59" s="52">
        <f>$BN59+$AR59</f>
        <v>0</v>
      </c>
      <c r="BP59" s="52">
        <f>$BO59+$AS59</f>
        <v>0</v>
      </c>
      <c r="BQ59" s="52">
        <f>SUM($T$1:$T58)</f>
        <v>11</v>
      </c>
      <c r="BR59" s="52" t="str">
        <f>IF(ISNUMBER($T59),IF($T59&gt;0,COUNTIF($T$2:$T59,"&gt;0"),""),"")</f>
        <v/>
      </c>
      <c r="BS59" s="52" t="str">
        <f>IF($BR59="","",$BQ59+$T59)</f>
        <v/>
      </c>
      <c r="BT59" s="52" t="str">
        <f>IF($U59="Ready",COUNTIF($U$2:$U59,"Ready"),"")</f>
        <v/>
      </c>
      <c r="BU59" s="52">
        <f>IF(AND($U59="Ready",$C59="Receipt"),IF(COUNTIF(Batches!$A$2:$A$301,$F59)+COUNTIFS($F$1:$F58,$F59,$C$1:$C58,"Receipt",$U$1:$U58,"Ready")=0,1,0),0)</f>
        <v>0</v>
      </c>
      <c r="BV59" s="52" t="str">
        <f>IF($BU59=1,SUM($BU$2:$BU59),"")</f>
        <v/>
      </c>
    </row>
    <row r="60">
      <c r="A60" s="46" t="n"/>
      <c r="B60" s="46" t="n"/>
      <c r="C60" s="46" t="n"/>
      <c r="D60" s="46" t="n"/>
      <c r="E60" s="46" t="n"/>
      <c r="F60" s="46" t="n"/>
      <c r="G60" s="46" t="n"/>
      <c r="H60" s="46" t="n"/>
      <c r="I60" s="46" t="n"/>
      <c r="J60" s="46" t="n"/>
      <c r="K60" s="46" t="n"/>
      <c r="L60" s="46" t="n"/>
      <c r="M60" s="62" t="str">
        <f>IF($B60="","",IF(ISNUMBER($B60),$B60,IF(AND(LEN($B60)=10,MID($B60,5,1)="-",MID($B60,8,1)="-"),IFERROR(IF(AND(MONTH(DATE(VALUE(LEFT($B60,4)),VALUE(MID($B60,6,2)),VALUE(RIGHT($B60,2))))=VALUE(MID($B60,6,2)),DAY(DATE(VALUE(LEFT($B60,4)),VALUE(MID($B60,6,2)),VALUE(RIGHT($B60,2))))=VALUE(RIGHT($B60,2))),DATE(VALUE(LEFT($B60,4)),VALUE(MID($B60,6,2)),VALUE(RIGHT($B60,2))),"ERR"),"ERR"),"ERR")))</f>
        <v/>
      </c>
      <c r="N60" s="62" t="str">
        <f>IF($G60="","",IF(ISNUMBER($G60),$G60,IF(AND(LEN($G60)=10,MID($G60,5,1)="-",MID($G60,8,1)="-"),IFERROR(IF(AND(MONTH(DATE(VALUE(LEFT($G60,4)),VALUE(MID($G60,6,2)),VALUE(RIGHT($G60,2))))=VALUE(MID($G60,6,2)),DAY(DATE(VALUE(LEFT($G60,4)),VALUE(MID($G60,6,2)),VALUE(RIGHT($G60,2))))=VALUE(RIGHT($G60,2))),DATE(VALUE(LEFT($G60,4)),VALUE(MID($G60,6,2)),VALUE(RIGHT($G60,2))),"ERR"),"ERR"),"ERR")))</f>
        <v/>
      </c>
      <c r="O60" s="51" t="str">
        <f>IF($H60="","",IF(ISNUMBER($H60),$H60,IFERROR(VALUE($H60),"ERR")))</f>
        <v/>
      </c>
      <c r="P60" s="51" t="str">
        <f>IF(AND(ISNUMBER($O60),OR($C60="Receipt",$C60="Shipment",$C60="Adjustment")),IF($C60="Shipment",-$O60,$O60),"")</f>
        <v/>
      </c>
      <c r="Q60" s="51" t="str">
        <f>IF($D60="","",IFERROR(INDEX(Products!$R$2:$R$101,MATCH($D60,Products!$A$2:$A$101,0)),""))</f>
        <v/>
      </c>
      <c r="R60" s="51" t="str">
        <f>IF(OR($Q60="",$P60=""),"",$Q60+SUMIFS($P$1:$P59,$D$1:$D59,$D60,$U$1:$U59,"Ready"))</f>
        <v/>
      </c>
      <c r="S60" s="51" t="str">
        <f>IF($R60="","",$R60+$P60)</f>
        <v/>
      </c>
      <c r="T60" s="52" t="str">
        <f>IF(COUNTA($A60:$L60)&gt;0,$BP60,"")</f>
        <v/>
      </c>
      <c r="U60" s="49" t="str">
        <f>IF($T60="","",IF($T60=0,"Ready","Rejected"))</f>
        <v/>
      </c>
      <c r="V60" s="49" t="str">
        <f>IF(OR($T60="",$T60=0),"",INDEX(Config!$D$39:$D$61,MATCH(1,$AT60:$BP60,0))&amp;IF($T60&gt;1," (+"&amp;($T60-1)&amp;" more)",""))</f>
        <v/>
      </c>
      <c r="W60" s="52">
        <f>IF(AND(COUNTA($A60:$L60)&gt;0,$A60=""),1,0)</f>
        <v>0</v>
      </c>
      <c r="X60" s="52">
        <f>IF(AND(COUNTA($A60:$L60)&gt;0,$A60&lt;&gt;""),IF(COUNTIF($A$1:$A59,$A60)&gt;0,1,0),0)</f>
        <v>0</v>
      </c>
      <c r="Y60" s="52">
        <f>IF(AND(COUNTA($A60:$L60)&gt;0,$A60&lt;&gt;""),IF(COUNTIF(Inventory_Ledger!$A$2:$A$2001,$A60)&gt;0,1,0),0)</f>
        <v>0</v>
      </c>
      <c r="Z60" s="52">
        <f>IF(AND(COUNTA($A60:$L60)&gt;0,$B60=""),1,0)</f>
        <v>0</v>
      </c>
      <c r="AA60" s="52">
        <f>IF(AND(COUNTA($A60:$L60)&gt;0,$B60&lt;&gt;""),IF($M60="ERR",1,0),0)</f>
        <v>0</v>
      </c>
      <c r="AB60" s="52">
        <f>IF(AND(COUNTA($A60:$L60)&gt;0,ISNUMBER($M60)),IF($M60&gt;Config!$B$4,1,0),0)</f>
        <v>0</v>
      </c>
      <c r="AC60" s="52">
        <f>IF(AND(COUNTA($A60:$L60)&gt;0,$C60=""),1,0)</f>
        <v>0</v>
      </c>
      <c r="AD60" s="52">
        <f>IF(AND(COUNTA($A60:$L60)&gt;0,$C60&lt;&gt;""),IF(COUNTIF(Config!$A$15:$A$34,$C60)=0,1,0),0)</f>
        <v>0</v>
      </c>
      <c r="AE60" s="52">
        <f>IF(AND(COUNTA($A60:$L60)&gt;0,$D60=""),1,0)</f>
        <v>0</v>
      </c>
      <c r="AF60" s="52">
        <f>IF(AND(COUNTA($A60:$L60)&gt;0,$D60&lt;&gt;""),IF(COUNTIF(Products!$A$2:$A$101,$D60)=0,1,0),0)</f>
        <v>0</v>
      </c>
      <c r="AG60" s="52">
        <f>IF(AND(COUNTA($A60:$L60)&gt;0,$C60="Receipt",$E60=""),1,0)</f>
        <v>0</v>
      </c>
      <c r="AH60" s="52">
        <f>IF(AND(COUNTA($A60:$L60)&gt;0,$E60&lt;&gt;""),IF(COUNTIF(Suppliers!$A$2:$A$51,$E60)=0,1,0),0)</f>
        <v>0</v>
      </c>
      <c r="AI60" s="52">
        <f>IF(AND(COUNTA($A60:$L60)&gt;0,$F60=""),1,0)</f>
        <v>0</v>
      </c>
      <c r="AJ60" s="52">
        <f>IF(AND(COUNTA($A60:$L60)&gt;0,$F60&lt;&gt;"",$D60&lt;&gt;"",OR($C60="Shipment",$C60="Adjustment")),IF($AF60=1,0,IF(COUNTIFS(Batches!$A$2:$A$301,$F60,Batches!$B$2:$B$301,$D60)+COUNTIFS($F$1:$F59,$F60,$D$1:$D59,$D60,$C$1:$C59,"Receipt")=0,1,0)),0)</f>
        <v>0</v>
      </c>
      <c r="AK60" s="52">
        <f>IF(AND(COUNTA($A60:$L60)&gt;0,$C60="Receipt",$G60=""),1,0)</f>
        <v>0</v>
      </c>
      <c r="AL60" s="52">
        <f>IF(AND(COUNTA($A60:$L60)&gt;0,$G60&lt;&gt;""),IF($N60="ERR",1,0),0)</f>
        <v>0</v>
      </c>
      <c r="AM60" s="52">
        <f>IF(AND(COUNTA($A60:$L60)&gt;0,$H60=""),1,0)</f>
        <v>0</v>
      </c>
      <c r="AN60" s="52">
        <f>IF(AND(COUNTA($A60:$L60)&gt;0,$H60&lt;&gt;""),IF($O60="ERR",1,IF(INT($O60)&lt;&gt;$O60,1,IF(AND(OR($C60="Receipt",$C60="Shipment"),$O60&lt;=0),1,IF(AND($C60="Adjustment",$O60=0),1,0)))),0)</f>
        <v>0</v>
      </c>
      <c r="AO60" s="52">
        <f>IF(AND(COUNTA($A60:$L60)&gt;0,$C60="Receipt",$I60=""),1,0)</f>
        <v>0</v>
      </c>
      <c r="AP60" s="52">
        <f>IF(AND(COUNTA($A60:$L60)&gt;0,$I60&lt;&gt;""),IF(IFERROR(INDEX(Config!$G$15:$G$34,MATCH($I60,Config!$E$15:$E$34,0)),"No")="Yes",0,1),0)</f>
        <v>0</v>
      </c>
      <c r="AQ60" s="52">
        <f>IF(AND(COUNTA($A60:$L60)&gt;0,$C60="Adjustment",$J60=""),1,0)</f>
        <v>0</v>
      </c>
      <c r="AR60" s="52">
        <f>IF(AND(COUNTA($A60:$L60)&gt;0,$L60=""),1,0)</f>
        <v>0</v>
      </c>
      <c r="AS60" s="52">
        <f>IF(AND(COUNTA($A60:$L60)&gt;0,ISNUMBER($S60)),IF($S60&lt;0,1,0),0)</f>
        <v>0</v>
      </c>
      <c r="AT60" s="52">
        <f>$W60</f>
        <v>0</v>
      </c>
      <c r="AU60" s="52">
        <f>$AT60+$X60</f>
        <v>0</v>
      </c>
      <c r="AV60" s="52">
        <f>$AU60+$Y60</f>
        <v>0</v>
      </c>
      <c r="AW60" s="52">
        <f>$AV60+$Z60</f>
        <v>0</v>
      </c>
      <c r="AX60" s="52">
        <f>$AW60+$AA60</f>
        <v>0</v>
      </c>
      <c r="AY60" s="52">
        <f>$AX60+$AB60</f>
        <v>0</v>
      </c>
      <c r="AZ60" s="52">
        <f>$AY60+$AC60</f>
        <v>0</v>
      </c>
      <c r="BA60" s="52">
        <f>$AZ60+$AD60</f>
        <v>0</v>
      </c>
      <c r="BB60" s="52">
        <f>$BA60+$AE60</f>
        <v>0</v>
      </c>
      <c r="BC60" s="52">
        <f>$BB60+$AF60</f>
        <v>0</v>
      </c>
      <c r="BD60" s="52">
        <f>$BC60+$AG60</f>
        <v>0</v>
      </c>
      <c r="BE60" s="52">
        <f>$BD60+$AH60</f>
        <v>0</v>
      </c>
      <c r="BF60" s="52">
        <f>$BE60+$AI60</f>
        <v>0</v>
      </c>
      <c r="BG60" s="52">
        <f>$BF60+$AJ60</f>
        <v>0</v>
      </c>
      <c r="BH60" s="52">
        <f>$BG60+$AK60</f>
        <v>0</v>
      </c>
      <c r="BI60" s="52">
        <f>$BH60+$AL60</f>
        <v>0</v>
      </c>
      <c r="BJ60" s="52">
        <f>$BI60+$AM60</f>
        <v>0</v>
      </c>
      <c r="BK60" s="52">
        <f>$BJ60+$AN60</f>
        <v>0</v>
      </c>
      <c r="BL60" s="52">
        <f>$BK60+$AO60</f>
        <v>0</v>
      </c>
      <c r="BM60" s="52">
        <f>$BL60+$AP60</f>
        <v>0</v>
      </c>
      <c r="BN60" s="52">
        <f>$BM60+$AQ60</f>
        <v>0</v>
      </c>
      <c r="BO60" s="52">
        <f>$BN60+$AR60</f>
        <v>0</v>
      </c>
      <c r="BP60" s="52">
        <f>$BO60+$AS60</f>
        <v>0</v>
      </c>
      <c r="BQ60" s="52">
        <f>SUM($T$1:$T59)</f>
        <v>11</v>
      </c>
      <c r="BR60" s="52" t="str">
        <f>IF(ISNUMBER($T60),IF($T60&gt;0,COUNTIF($T$2:$T60,"&gt;0"),""),"")</f>
        <v/>
      </c>
      <c r="BS60" s="52" t="str">
        <f>IF($BR60="","",$BQ60+$T60)</f>
        <v/>
      </c>
      <c r="BT60" s="52" t="str">
        <f>IF($U60="Ready",COUNTIF($U$2:$U60,"Ready"),"")</f>
        <v/>
      </c>
      <c r="BU60" s="52">
        <f>IF(AND($U60="Ready",$C60="Receipt"),IF(COUNTIF(Batches!$A$2:$A$301,$F60)+COUNTIFS($F$1:$F59,$F60,$C$1:$C59,"Receipt",$U$1:$U59,"Ready")=0,1,0),0)</f>
        <v>0</v>
      </c>
      <c r="BV60" s="52" t="str">
        <f>IF($BU60=1,SUM($BU$2:$BU60),"")</f>
        <v/>
      </c>
    </row>
    <row r="61">
      <c r="A61" s="46" t="n"/>
      <c r="B61" s="46" t="n"/>
      <c r="C61" s="46" t="n"/>
      <c r="D61" s="46" t="n"/>
      <c r="E61" s="46" t="n"/>
      <c r="F61" s="46" t="n"/>
      <c r="G61" s="46" t="n"/>
      <c r="H61" s="46" t="n"/>
      <c r="I61" s="46" t="n"/>
      <c r="J61" s="46" t="n"/>
      <c r="K61" s="46" t="n"/>
      <c r="L61" s="46" t="n"/>
      <c r="M61" s="62" t="str">
        <f>IF($B61="","",IF(ISNUMBER($B61),$B61,IF(AND(LEN($B61)=10,MID($B61,5,1)="-",MID($B61,8,1)="-"),IFERROR(IF(AND(MONTH(DATE(VALUE(LEFT($B61,4)),VALUE(MID($B61,6,2)),VALUE(RIGHT($B61,2))))=VALUE(MID($B61,6,2)),DAY(DATE(VALUE(LEFT($B61,4)),VALUE(MID($B61,6,2)),VALUE(RIGHT($B61,2))))=VALUE(RIGHT($B61,2))),DATE(VALUE(LEFT($B61,4)),VALUE(MID($B61,6,2)),VALUE(RIGHT($B61,2))),"ERR"),"ERR"),"ERR")))</f>
        <v/>
      </c>
      <c r="N61" s="62" t="str">
        <f>IF($G61="","",IF(ISNUMBER($G61),$G61,IF(AND(LEN($G61)=10,MID($G61,5,1)="-",MID($G61,8,1)="-"),IFERROR(IF(AND(MONTH(DATE(VALUE(LEFT($G61,4)),VALUE(MID($G61,6,2)),VALUE(RIGHT($G61,2))))=VALUE(MID($G61,6,2)),DAY(DATE(VALUE(LEFT($G61,4)),VALUE(MID($G61,6,2)),VALUE(RIGHT($G61,2))))=VALUE(RIGHT($G61,2))),DATE(VALUE(LEFT($G61,4)),VALUE(MID($G61,6,2)),VALUE(RIGHT($G61,2))),"ERR"),"ERR"),"ERR")))</f>
        <v/>
      </c>
      <c r="O61" s="51" t="str">
        <f>IF($H61="","",IF(ISNUMBER($H61),$H61,IFERROR(VALUE($H61),"ERR")))</f>
        <v/>
      </c>
      <c r="P61" s="51" t="str">
        <f>IF(AND(ISNUMBER($O61),OR($C61="Receipt",$C61="Shipment",$C61="Adjustment")),IF($C61="Shipment",-$O61,$O61),"")</f>
        <v/>
      </c>
      <c r="Q61" s="51" t="str">
        <f>IF($D61="","",IFERROR(INDEX(Products!$R$2:$R$101,MATCH($D61,Products!$A$2:$A$101,0)),""))</f>
        <v/>
      </c>
      <c r="R61" s="51" t="str">
        <f>IF(OR($Q61="",$P61=""),"",$Q61+SUMIFS($P$1:$P60,$D$1:$D60,$D61,$U$1:$U60,"Ready"))</f>
        <v/>
      </c>
      <c r="S61" s="51" t="str">
        <f>IF($R61="","",$R61+$P61)</f>
        <v/>
      </c>
      <c r="T61" s="52" t="str">
        <f>IF(COUNTA($A61:$L61)&gt;0,$BP61,"")</f>
        <v/>
      </c>
      <c r="U61" s="49" t="str">
        <f>IF($T61="","",IF($T61=0,"Ready","Rejected"))</f>
        <v/>
      </c>
      <c r="V61" s="49" t="str">
        <f>IF(OR($T61="",$T61=0),"",INDEX(Config!$D$39:$D$61,MATCH(1,$AT61:$BP61,0))&amp;IF($T61&gt;1," (+"&amp;($T61-1)&amp;" more)",""))</f>
        <v/>
      </c>
      <c r="W61" s="52">
        <f>IF(AND(COUNTA($A61:$L61)&gt;0,$A61=""),1,0)</f>
        <v>0</v>
      </c>
      <c r="X61" s="52">
        <f>IF(AND(COUNTA($A61:$L61)&gt;0,$A61&lt;&gt;""),IF(COUNTIF($A$1:$A60,$A61)&gt;0,1,0),0)</f>
        <v>0</v>
      </c>
      <c r="Y61" s="52">
        <f>IF(AND(COUNTA($A61:$L61)&gt;0,$A61&lt;&gt;""),IF(COUNTIF(Inventory_Ledger!$A$2:$A$2001,$A61)&gt;0,1,0),0)</f>
        <v>0</v>
      </c>
      <c r="Z61" s="52">
        <f>IF(AND(COUNTA($A61:$L61)&gt;0,$B61=""),1,0)</f>
        <v>0</v>
      </c>
      <c r="AA61" s="52">
        <f>IF(AND(COUNTA($A61:$L61)&gt;0,$B61&lt;&gt;""),IF($M61="ERR",1,0),0)</f>
        <v>0</v>
      </c>
      <c r="AB61" s="52">
        <f>IF(AND(COUNTA($A61:$L61)&gt;0,ISNUMBER($M61)),IF($M61&gt;Config!$B$4,1,0),0)</f>
        <v>0</v>
      </c>
      <c r="AC61" s="52">
        <f>IF(AND(COUNTA($A61:$L61)&gt;0,$C61=""),1,0)</f>
        <v>0</v>
      </c>
      <c r="AD61" s="52">
        <f>IF(AND(COUNTA($A61:$L61)&gt;0,$C61&lt;&gt;""),IF(COUNTIF(Config!$A$15:$A$34,$C61)=0,1,0),0)</f>
        <v>0</v>
      </c>
      <c r="AE61" s="52">
        <f>IF(AND(COUNTA($A61:$L61)&gt;0,$D61=""),1,0)</f>
        <v>0</v>
      </c>
      <c r="AF61" s="52">
        <f>IF(AND(COUNTA($A61:$L61)&gt;0,$D61&lt;&gt;""),IF(COUNTIF(Products!$A$2:$A$101,$D61)=0,1,0),0)</f>
        <v>0</v>
      </c>
      <c r="AG61" s="52">
        <f>IF(AND(COUNTA($A61:$L61)&gt;0,$C61="Receipt",$E61=""),1,0)</f>
        <v>0</v>
      </c>
      <c r="AH61" s="52">
        <f>IF(AND(COUNTA($A61:$L61)&gt;0,$E61&lt;&gt;""),IF(COUNTIF(Suppliers!$A$2:$A$51,$E61)=0,1,0),0)</f>
        <v>0</v>
      </c>
      <c r="AI61" s="52">
        <f>IF(AND(COUNTA($A61:$L61)&gt;0,$F61=""),1,0)</f>
        <v>0</v>
      </c>
      <c r="AJ61" s="52">
        <f>IF(AND(COUNTA($A61:$L61)&gt;0,$F61&lt;&gt;"",$D61&lt;&gt;"",OR($C61="Shipment",$C61="Adjustment")),IF($AF61=1,0,IF(COUNTIFS(Batches!$A$2:$A$301,$F61,Batches!$B$2:$B$301,$D61)+COUNTIFS($F$1:$F60,$F61,$D$1:$D60,$D61,$C$1:$C60,"Receipt")=0,1,0)),0)</f>
        <v>0</v>
      </c>
      <c r="AK61" s="52">
        <f>IF(AND(COUNTA($A61:$L61)&gt;0,$C61="Receipt",$G61=""),1,0)</f>
        <v>0</v>
      </c>
      <c r="AL61" s="52">
        <f>IF(AND(COUNTA($A61:$L61)&gt;0,$G61&lt;&gt;""),IF($N61="ERR",1,0),0)</f>
        <v>0</v>
      </c>
      <c r="AM61" s="52">
        <f>IF(AND(COUNTA($A61:$L61)&gt;0,$H61=""),1,0)</f>
        <v>0</v>
      </c>
      <c r="AN61" s="52">
        <f>IF(AND(COUNTA($A61:$L61)&gt;0,$H61&lt;&gt;""),IF($O61="ERR",1,IF(INT($O61)&lt;&gt;$O61,1,IF(AND(OR($C61="Receipt",$C61="Shipment"),$O61&lt;=0),1,IF(AND($C61="Adjustment",$O61=0),1,0)))),0)</f>
        <v>0</v>
      </c>
      <c r="AO61" s="52">
        <f>IF(AND(COUNTA($A61:$L61)&gt;0,$C61="Receipt",$I61=""),1,0)</f>
        <v>0</v>
      </c>
      <c r="AP61" s="52">
        <f>IF(AND(COUNTA($A61:$L61)&gt;0,$I61&lt;&gt;""),IF(IFERROR(INDEX(Config!$G$15:$G$34,MATCH($I61,Config!$E$15:$E$34,0)),"No")="Yes",0,1),0)</f>
        <v>0</v>
      </c>
      <c r="AQ61" s="52">
        <f>IF(AND(COUNTA($A61:$L61)&gt;0,$C61="Adjustment",$J61=""),1,0)</f>
        <v>0</v>
      </c>
      <c r="AR61" s="52">
        <f>IF(AND(COUNTA($A61:$L61)&gt;0,$L61=""),1,0)</f>
        <v>0</v>
      </c>
      <c r="AS61" s="52">
        <f>IF(AND(COUNTA($A61:$L61)&gt;0,ISNUMBER($S61)),IF($S61&lt;0,1,0),0)</f>
        <v>0</v>
      </c>
      <c r="AT61" s="52">
        <f>$W61</f>
        <v>0</v>
      </c>
      <c r="AU61" s="52">
        <f>$AT61+$X61</f>
        <v>0</v>
      </c>
      <c r="AV61" s="52">
        <f>$AU61+$Y61</f>
        <v>0</v>
      </c>
      <c r="AW61" s="52">
        <f>$AV61+$Z61</f>
        <v>0</v>
      </c>
      <c r="AX61" s="52">
        <f>$AW61+$AA61</f>
        <v>0</v>
      </c>
      <c r="AY61" s="52">
        <f>$AX61+$AB61</f>
        <v>0</v>
      </c>
      <c r="AZ61" s="52">
        <f>$AY61+$AC61</f>
        <v>0</v>
      </c>
      <c r="BA61" s="52">
        <f>$AZ61+$AD61</f>
        <v>0</v>
      </c>
      <c r="BB61" s="52">
        <f>$BA61+$AE61</f>
        <v>0</v>
      </c>
      <c r="BC61" s="52">
        <f>$BB61+$AF61</f>
        <v>0</v>
      </c>
      <c r="BD61" s="52">
        <f>$BC61+$AG61</f>
        <v>0</v>
      </c>
      <c r="BE61" s="52">
        <f>$BD61+$AH61</f>
        <v>0</v>
      </c>
      <c r="BF61" s="52">
        <f>$BE61+$AI61</f>
        <v>0</v>
      </c>
      <c r="BG61" s="52">
        <f>$BF61+$AJ61</f>
        <v>0</v>
      </c>
      <c r="BH61" s="52">
        <f>$BG61+$AK61</f>
        <v>0</v>
      </c>
      <c r="BI61" s="52">
        <f>$BH61+$AL61</f>
        <v>0</v>
      </c>
      <c r="BJ61" s="52">
        <f>$BI61+$AM61</f>
        <v>0</v>
      </c>
      <c r="BK61" s="52">
        <f>$BJ61+$AN61</f>
        <v>0</v>
      </c>
      <c r="BL61" s="52">
        <f>$BK61+$AO61</f>
        <v>0</v>
      </c>
      <c r="BM61" s="52">
        <f>$BL61+$AP61</f>
        <v>0</v>
      </c>
      <c r="BN61" s="52">
        <f>$BM61+$AQ61</f>
        <v>0</v>
      </c>
      <c r="BO61" s="52">
        <f>$BN61+$AR61</f>
        <v>0</v>
      </c>
      <c r="BP61" s="52">
        <f>$BO61+$AS61</f>
        <v>0</v>
      </c>
      <c r="BQ61" s="52">
        <f>SUM($T$1:$T60)</f>
        <v>11</v>
      </c>
      <c r="BR61" s="52" t="str">
        <f>IF(ISNUMBER($T61),IF($T61&gt;0,COUNTIF($T$2:$T61,"&gt;0"),""),"")</f>
        <v/>
      </c>
      <c r="BS61" s="52" t="str">
        <f>IF($BR61="","",$BQ61+$T61)</f>
        <v/>
      </c>
      <c r="BT61" s="52" t="str">
        <f>IF($U61="Ready",COUNTIF($U$2:$U61,"Ready"),"")</f>
        <v/>
      </c>
      <c r="BU61" s="52">
        <f>IF(AND($U61="Ready",$C61="Receipt"),IF(COUNTIF(Batches!$A$2:$A$301,$F61)+COUNTIFS($F$1:$F60,$F61,$C$1:$C60,"Receipt",$U$1:$U60,"Ready")=0,1,0),0)</f>
        <v>0</v>
      </c>
      <c r="BV61" s="52" t="str">
        <f>IF($BU61=1,SUM($BU$2:$BU61),"")</f>
        <v/>
      </c>
    </row>
    <row r="62">
      <c r="A62" s="46" t="n"/>
      <c r="B62" s="46" t="n"/>
      <c r="C62" s="46" t="n"/>
      <c r="D62" s="46" t="n"/>
      <c r="E62" s="46" t="n"/>
      <c r="F62" s="46" t="n"/>
      <c r="G62" s="46" t="n"/>
      <c r="H62" s="46" t="n"/>
      <c r="I62" s="46" t="n"/>
      <c r="J62" s="46" t="n"/>
      <c r="K62" s="46" t="n"/>
      <c r="L62" s="46" t="n"/>
      <c r="M62" s="62" t="str">
        <f>IF($B62="","",IF(ISNUMBER($B62),$B62,IF(AND(LEN($B62)=10,MID($B62,5,1)="-",MID($B62,8,1)="-"),IFERROR(IF(AND(MONTH(DATE(VALUE(LEFT($B62,4)),VALUE(MID($B62,6,2)),VALUE(RIGHT($B62,2))))=VALUE(MID($B62,6,2)),DAY(DATE(VALUE(LEFT($B62,4)),VALUE(MID($B62,6,2)),VALUE(RIGHT($B62,2))))=VALUE(RIGHT($B62,2))),DATE(VALUE(LEFT($B62,4)),VALUE(MID($B62,6,2)),VALUE(RIGHT($B62,2))),"ERR"),"ERR"),"ERR")))</f>
        <v/>
      </c>
      <c r="N62" s="62" t="str">
        <f>IF($G62="","",IF(ISNUMBER($G62),$G62,IF(AND(LEN($G62)=10,MID($G62,5,1)="-",MID($G62,8,1)="-"),IFERROR(IF(AND(MONTH(DATE(VALUE(LEFT($G62,4)),VALUE(MID($G62,6,2)),VALUE(RIGHT($G62,2))))=VALUE(MID($G62,6,2)),DAY(DATE(VALUE(LEFT($G62,4)),VALUE(MID($G62,6,2)),VALUE(RIGHT($G62,2))))=VALUE(RIGHT($G62,2))),DATE(VALUE(LEFT($G62,4)),VALUE(MID($G62,6,2)),VALUE(RIGHT($G62,2))),"ERR"),"ERR"),"ERR")))</f>
        <v/>
      </c>
      <c r="O62" s="51" t="str">
        <f>IF($H62="","",IF(ISNUMBER($H62),$H62,IFERROR(VALUE($H62),"ERR")))</f>
        <v/>
      </c>
      <c r="P62" s="51" t="str">
        <f>IF(AND(ISNUMBER($O62),OR($C62="Receipt",$C62="Shipment",$C62="Adjustment")),IF($C62="Shipment",-$O62,$O62),"")</f>
        <v/>
      </c>
      <c r="Q62" s="51" t="str">
        <f>IF($D62="","",IFERROR(INDEX(Products!$R$2:$R$101,MATCH($D62,Products!$A$2:$A$101,0)),""))</f>
        <v/>
      </c>
      <c r="R62" s="51" t="str">
        <f>IF(OR($Q62="",$P62=""),"",$Q62+SUMIFS($P$1:$P61,$D$1:$D61,$D62,$U$1:$U61,"Ready"))</f>
        <v/>
      </c>
      <c r="S62" s="51" t="str">
        <f>IF($R62="","",$R62+$P62)</f>
        <v/>
      </c>
      <c r="T62" s="52" t="str">
        <f>IF(COUNTA($A62:$L62)&gt;0,$BP62,"")</f>
        <v/>
      </c>
      <c r="U62" s="49" t="str">
        <f>IF($T62="","",IF($T62=0,"Ready","Rejected"))</f>
        <v/>
      </c>
      <c r="V62" s="49" t="str">
        <f>IF(OR($T62="",$T62=0),"",INDEX(Config!$D$39:$D$61,MATCH(1,$AT62:$BP62,0))&amp;IF($T62&gt;1," (+"&amp;($T62-1)&amp;" more)",""))</f>
        <v/>
      </c>
      <c r="W62" s="52">
        <f>IF(AND(COUNTA($A62:$L62)&gt;0,$A62=""),1,0)</f>
        <v>0</v>
      </c>
      <c r="X62" s="52">
        <f>IF(AND(COUNTA($A62:$L62)&gt;0,$A62&lt;&gt;""),IF(COUNTIF($A$1:$A61,$A62)&gt;0,1,0),0)</f>
        <v>0</v>
      </c>
      <c r="Y62" s="52">
        <f>IF(AND(COUNTA($A62:$L62)&gt;0,$A62&lt;&gt;""),IF(COUNTIF(Inventory_Ledger!$A$2:$A$2001,$A62)&gt;0,1,0),0)</f>
        <v>0</v>
      </c>
      <c r="Z62" s="52">
        <f>IF(AND(COUNTA($A62:$L62)&gt;0,$B62=""),1,0)</f>
        <v>0</v>
      </c>
      <c r="AA62" s="52">
        <f>IF(AND(COUNTA($A62:$L62)&gt;0,$B62&lt;&gt;""),IF($M62="ERR",1,0),0)</f>
        <v>0</v>
      </c>
      <c r="AB62" s="52">
        <f>IF(AND(COUNTA($A62:$L62)&gt;0,ISNUMBER($M62)),IF($M62&gt;Config!$B$4,1,0),0)</f>
        <v>0</v>
      </c>
      <c r="AC62" s="52">
        <f>IF(AND(COUNTA($A62:$L62)&gt;0,$C62=""),1,0)</f>
        <v>0</v>
      </c>
      <c r="AD62" s="52">
        <f>IF(AND(COUNTA($A62:$L62)&gt;0,$C62&lt;&gt;""),IF(COUNTIF(Config!$A$15:$A$34,$C62)=0,1,0),0)</f>
        <v>0</v>
      </c>
      <c r="AE62" s="52">
        <f>IF(AND(COUNTA($A62:$L62)&gt;0,$D62=""),1,0)</f>
        <v>0</v>
      </c>
      <c r="AF62" s="52">
        <f>IF(AND(COUNTA($A62:$L62)&gt;0,$D62&lt;&gt;""),IF(COUNTIF(Products!$A$2:$A$101,$D62)=0,1,0),0)</f>
        <v>0</v>
      </c>
      <c r="AG62" s="52">
        <f>IF(AND(COUNTA($A62:$L62)&gt;0,$C62="Receipt",$E62=""),1,0)</f>
        <v>0</v>
      </c>
      <c r="AH62" s="52">
        <f>IF(AND(COUNTA($A62:$L62)&gt;0,$E62&lt;&gt;""),IF(COUNTIF(Suppliers!$A$2:$A$51,$E62)=0,1,0),0)</f>
        <v>0</v>
      </c>
      <c r="AI62" s="52">
        <f>IF(AND(COUNTA($A62:$L62)&gt;0,$F62=""),1,0)</f>
        <v>0</v>
      </c>
      <c r="AJ62" s="52">
        <f>IF(AND(COUNTA($A62:$L62)&gt;0,$F62&lt;&gt;"",$D62&lt;&gt;"",OR($C62="Shipment",$C62="Adjustment")),IF($AF62=1,0,IF(COUNTIFS(Batches!$A$2:$A$301,$F62,Batches!$B$2:$B$301,$D62)+COUNTIFS($F$1:$F61,$F62,$D$1:$D61,$D62,$C$1:$C61,"Receipt")=0,1,0)),0)</f>
        <v>0</v>
      </c>
      <c r="AK62" s="52">
        <f>IF(AND(COUNTA($A62:$L62)&gt;0,$C62="Receipt",$G62=""),1,0)</f>
        <v>0</v>
      </c>
      <c r="AL62" s="52">
        <f>IF(AND(COUNTA($A62:$L62)&gt;0,$G62&lt;&gt;""),IF($N62="ERR",1,0),0)</f>
        <v>0</v>
      </c>
      <c r="AM62" s="52">
        <f>IF(AND(COUNTA($A62:$L62)&gt;0,$H62=""),1,0)</f>
        <v>0</v>
      </c>
      <c r="AN62" s="52">
        <f>IF(AND(COUNTA($A62:$L62)&gt;0,$H62&lt;&gt;""),IF($O62="ERR",1,IF(INT($O62)&lt;&gt;$O62,1,IF(AND(OR($C62="Receipt",$C62="Shipment"),$O62&lt;=0),1,IF(AND($C62="Adjustment",$O62=0),1,0)))),0)</f>
        <v>0</v>
      </c>
      <c r="AO62" s="52">
        <f>IF(AND(COUNTA($A62:$L62)&gt;0,$C62="Receipt",$I62=""),1,0)</f>
        <v>0</v>
      </c>
      <c r="AP62" s="52">
        <f>IF(AND(COUNTA($A62:$L62)&gt;0,$I62&lt;&gt;""),IF(IFERROR(INDEX(Config!$G$15:$G$34,MATCH($I62,Config!$E$15:$E$34,0)),"No")="Yes",0,1),0)</f>
        <v>0</v>
      </c>
      <c r="AQ62" s="52">
        <f>IF(AND(COUNTA($A62:$L62)&gt;0,$C62="Adjustment",$J62=""),1,0)</f>
        <v>0</v>
      </c>
      <c r="AR62" s="52">
        <f>IF(AND(COUNTA($A62:$L62)&gt;0,$L62=""),1,0)</f>
        <v>0</v>
      </c>
      <c r="AS62" s="52">
        <f>IF(AND(COUNTA($A62:$L62)&gt;0,ISNUMBER($S62)),IF($S62&lt;0,1,0),0)</f>
        <v>0</v>
      </c>
      <c r="AT62" s="52">
        <f>$W62</f>
        <v>0</v>
      </c>
      <c r="AU62" s="52">
        <f>$AT62+$X62</f>
        <v>0</v>
      </c>
      <c r="AV62" s="52">
        <f>$AU62+$Y62</f>
        <v>0</v>
      </c>
      <c r="AW62" s="52">
        <f>$AV62+$Z62</f>
        <v>0</v>
      </c>
      <c r="AX62" s="52">
        <f>$AW62+$AA62</f>
        <v>0</v>
      </c>
      <c r="AY62" s="52">
        <f>$AX62+$AB62</f>
        <v>0</v>
      </c>
      <c r="AZ62" s="52">
        <f>$AY62+$AC62</f>
        <v>0</v>
      </c>
      <c r="BA62" s="52">
        <f>$AZ62+$AD62</f>
        <v>0</v>
      </c>
      <c r="BB62" s="52">
        <f>$BA62+$AE62</f>
        <v>0</v>
      </c>
      <c r="BC62" s="52">
        <f>$BB62+$AF62</f>
        <v>0</v>
      </c>
      <c r="BD62" s="52">
        <f>$BC62+$AG62</f>
        <v>0</v>
      </c>
      <c r="BE62" s="52">
        <f>$BD62+$AH62</f>
        <v>0</v>
      </c>
      <c r="BF62" s="52">
        <f>$BE62+$AI62</f>
        <v>0</v>
      </c>
      <c r="BG62" s="52">
        <f>$BF62+$AJ62</f>
        <v>0</v>
      </c>
      <c r="BH62" s="52">
        <f>$BG62+$AK62</f>
        <v>0</v>
      </c>
      <c r="BI62" s="52">
        <f>$BH62+$AL62</f>
        <v>0</v>
      </c>
      <c r="BJ62" s="52">
        <f>$BI62+$AM62</f>
        <v>0</v>
      </c>
      <c r="BK62" s="52">
        <f>$BJ62+$AN62</f>
        <v>0</v>
      </c>
      <c r="BL62" s="52">
        <f>$BK62+$AO62</f>
        <v>0</v>
      </c>
      <c r="BM62" s="52">
        <f>$BL62+$AP62</f>
        <v>0</v>
      </c>
      <c r="BN62" s="52">
        <f>$BM62+$AQ62</f>
        <v>0</v>
      </c>
      <c r="BO62" s="52">
        <f>$BN62+$AR62</f>
        <v>0</v>
      </c>
      <c r="BP62" s="52">
        <f>$BO62+$AS62</f>
        <v>0</v>
      </c>
      <c r="BQ62" s="52">
        <f>SUM($T$1:$T61)</f>
        <v>11</v>
      </c>
      <c r="BR62" s="52" t="str">
        <f>IF(ISNUMBER($T62),IF($T62&gt;0,COUNTIF($T$2:$T62,"&gt;0"),""),"")</f>
        <v/>
      </c>
      <c r="BS62" s="52" t="str">
        <f>IF($BR62="","",$BQ62+$T62)</f>
        <v/>
      </c>
      <c r="BT62" s="52" t="str">
        <f>IF($U62="Ready",COUNTIF($U$2:$U62,"Ready"),"")</f>
        <v/>
      </c>
      <c r="BU62" s="52">
        <f>IF(AND($U62="Ready",$C62="Receipt"),IF(COUNTIF(Batches!$A$2:$A$301,$F62)+COUNTIFS($F$1:$F61,$F62,$C$1:$C61,"Receipt",$U$1:$U61,"Ready")=0,1,0),0)</f>
        <v>0</v>
      </c>
      <c r="BV62" s="52" t="str">
        <f>IF($BU62=1,SUM($BU$2:$BU62),"")</f>
        <v/>
      </c>
    </row>
    <row r="63">
      <c r="A63" s="46" t="n"/>
      <c r="B63" s="46" t="n"/>
      <c r="C63" s="46" t="n"/>
      <c r="D63" s="46" t="n"/>
      <c r="E63" s="46" t="n"/>
      <c r="F63" s="46" t="n"/>
      <c r="G63" s="46" t="n"/>
      <c r="H63" s="46" t="n"/>
      <c r="I63" s="46" t="n"/>
      <c r="J63" s="46" t="n"/>
      <c r="K63" s="46" t="n"/>
      <c r="L63" s="46" t="n"/>
      <c r="M63" s="62" t="str">
        <f>IF($B63="","",IF(ISNUMBER($B63),$B63,IF(AND(LEN($B63)=10,MID($B63,5,1)="-",MID($B63,8,1)="-"),IFERROR(IF(AND(MONTH(DATE(VALUE(LEFT($B63,4)),VALUE(MID($B63,6,2)),VALUE(RIGHT($B63,2))))=VALUE(MID($B63,6,2)),DAY(DATE(VALUE(LEFT($B63,4)),VALUE(MID($B63,6,2)),VALUE(RIGHT($B63,2))))=VALUE(RIGHT($B63,2))),DATE(VALUE(LEFT($B63,4)),VALUE(MID($B63,6,2)),VALUE(RIGHT($B63,2))),"ERR"),"ERR"),"ERR")))</f>
        <v/>
      </c>
      <c r="N63" s="62" t="str">
        <f>IF($G63="","",IF(ISNUMBER($G63),$G63,IF(AND(LEN($G63)=10,MID($G63,5,1)="-",MID($G63,8,1)="-"),IFERROR(IF(AND(MONTH(DATE(VALUE(LEFT($G63,4)),VALUE(MID($G63,6,2)),VALUE(RIGHT($G63,2))))=VALUE(MID($G63,6,2)),DAY(DATE(VALUE(LEFT($G63,4)),VALUE(MID($G63,6,2)),VALUE(RIGHT($G63,2))))=VALUE(RIGHT($G63,2))),DATE(VALUE(LEFT($G63,4)),VALUE(MID($G63,6,2)),VALUE(RIGHT($G63,2))),"ERR"),"ERR"),"ERR")))</f>
        <v/>
      </c>
      <c r="O63" s="51" t="str">
        <f>IF($H63="","",IF(ISNUMBER($H63),$H63,IFERROR(VALUE($H63),"ERR")))</f>
        <v/>
      </c>
      <c r="P63" s="51" t="str">
        <f>IF(AND(ISNUMBER($O63),OR($C63="Receipt",$C63="Shipment",$C63="Adjustment")),IF($C63="Shipment",-$O63,$O63),"")</f>
        <v/>
      </c>
      <c r="Q63" s="51" t="str">
        <f>IF($D63="","",IFERROR(INDEX(Products!$R$2:$R$101,MATCH($D63,Products!$A$2:$A$101,0)),""))</f>
        <v/>
      </c>
      <c r="R63" s="51" t="str">
        <f>IF(OR($Q63="",$P63=""),"",$Q63+SUMIFS($P$1:$P62,$D$1:$D62,$D63,$U$1:$U62,"Ready"))</f>
        <v/>
      </c>
      <c r="S63" s="51" t="str">
        <f>IF($R63="","",$R63+$P63)</f>
        <v/>
      </c>
      <c r="T63" s="52" t="str">
        <f>IF(COUNTA($A63:$L63)&gt;0,$BP63,"")</f>
        <v/>
      </c>
      <c r="U63" s="49" t="str">
        <f>IF($T63="","",IF($T63=0,"Ready","Rejected"))</f>
        <v/>
      </c>
      <c r="V63" s="49" t="str">
        <f>IF(OR($T63="",$T63=0),"",INDEX(Config!$D$39:$D$61,MATCH(1,$AT63:$BP63,0))&amp;IF($T63&gt;1," (+"&amp;($T63-1)&amp;" more)",""))</f>
        <v/>
      </c>
      <c r="W63" s="52">
        <f>IF(AND(COUNTA($A63:$L63)&gt;0,$A63=""),1,0)</f>
        <v>0</v>
      </c>
      <c r="X63" s="52">
        <f>IF(AND(COUNTA($A63:$L63)&gt;0,$A63&lt;&gt;""),IF(COUNTIF($A$1:$A62,$A63)&gt;0,1,0),0)</f>
        <v>0</v>
      </c>
      <c r="Y63" s="52">
        <f>IF(AND(COUNTA($A63:$L63)&gt;0,$A63&lt;&gt;""),IF(COUNTIF(Inventory_Ledger!$A$2:$A$2001,$A63)&gt;0,1,0),0)</f>
        <v>0</v>
      </c>
      <c r="Z63" s="52">
        <f>IF(AND(COUNTA($A63:$L63)&gt;0,$B63=""),1,0)</f>
        <v>0</v>
      </c>
      <c r="AA63" s="52">
        <f>IF(AND(COUNTA($A63:$L63)&gt;0,$B63&lt;&gt;""),IF($M63="ERR",1,0),0)</f>
        <v>0</v>
      </c>
      <c r="AB63" s="52">
        <f>IF(AND(COUNTA($A63:$L63)&gt;0,ISNUMBER($M63)),IF($M63&gt;Config!$B$4,1,0),0)</f>
        <v>0</v>
      </c>
      <c r="AC63" s="52">
        <f>IF(AND(COUNTA($A63:$L63)&gt;0,$C63=""),1,0)</f>
        <v>0</v>
      </c>
      <c r="AD63" s="52">
        <f>IF(AND(COUNTA($A63:$L63)&gt;0,$C63&lt;&gt;""),IF(COUNTIF(Config!$A$15:$A$34,$C63)=0,1,0),0)</f>
        <v>0</v>
      </c>
      <c r="AE63" s="52">
        <f>IF(AND(COUNTA($A63:$L63)&gt;0,$D63=""),1,0)</f>
        <v>0</v>
      </c>
      <c r="AF63" s="52">
        <f>IF(AND(COUNTA($A63:$L63)&gt;0,$D63&lt;&gt;""),IF(COUNTIF(Products!$A$2:$A$101,$D63)=0,1,0),0)</f>
        <v>0</v>
      </c>
      <c r="AG63" s="52">
        <f>IF(AND(COUNTA($A63:$L63)&gt;0,$C63="Receipt",$E63=""),1,0)</f>
        <v>0</v>
      </c>
      <c r="AH63" s="52">
        <f>IF(AND(COUNTA($A63:$L63)&gt;0,$E63&lt;&gt;""),IF(COUNTIF(Suppliers!$A$2:$A$51,$E63)=0,1,0),0)</f>
        <v>0</v>
      </c>
      <c r="AI63" s="52">
        <f>IF(AND(COUNTA($A63:$L63)&gt;0,$F63=""),1,0)</f>
        <v>0</v>
      </c>
      <c r="AJ63" s="52">
        <f>IF(AND(COUNTA($A63:$L63)&gt;0,$F63&lt;&gt;"",$D63&lt;&gt;"",OR($C63="Shipment",$C63="Adjustment")),IF($AF63=1,0,IF(COUNTIFS(Batches!$A$2:$A$301,$F63,Batches!$B$2:$B$301,$D63)+COUNTIFS($F$1:$F62,$F63,$D$1:$D62,$D63,$C$1:$C62,"Receipt")=0,1,0)),0)</f>
        <v>0</v>
      </c>
      <c r="AK63" s="52">
        <f>IF(AND(COUNTA($A63:$L63)&gt;0,$C63="Receipt",$G63=""),1,0)</f>
        <v>0</v>
      </c>
      <c r="AL63" s="52">
        <f>IF(AND(COUNTA($A63:$L63)&gt;0,$G63&lt;&gt;""),IF($N63="ERR",1,0),0)</f>
        <v>0</v>
      </c>
      <c r="AM63" s="52">
        <f>IF(AND(COUNTA($A63:$L63)&gt;0,$H63=""),1,0)</f>
        <v>0</v>
      </c>
      <c r="AN63" s="52">
        <f>IF(AND(COUNTA($A63:$L63)&gt;0,$H63&lt;&gt;""),IF($O63="ERR",1,IF(INT($O63)&lt;&gt;$O63,1,IF(AND(OR($C63="Receipt",$C63="Shipment"),$O63&lt;=0),1,IF(AND($C63="Adjustment",$O63=0),1,0)))),0)</f>
        <v>0</v>
      </c>
      <c r="AO63" s="52">
        <f>IF(AND(COUNTA($A63:$L63)&gt;0,$C63="Receipt",$I63=""),1,0)</f>
        <v>0</v>
      </c>
      <c r="AP63" s="52">
        <f>IF(AND(COUNTA($A63:$L63)&gt;0,$I63&lt;&gt;""),IF(IFERROR(INDEX(Config!$G$15:$G$34,MATCH($I63,Config!$E$15:$E$34,0)),"No")="Yes",0,1),0)</f>
        <v>0</v>
      </c>
      <c r="AQ63" s="52">
        <f>IF(AND(COUNTA($A63:$L63)&gt;0,$C63="Adjustment",$J63=""),1,0)</f>
        <v>0</v>
      </c>
      <c r="AR63" s="52">
        <f>IF(AND(COUNTA($A63:$L63)&gt;0,$L63=""),1,0)</f>
        <v>0</v>
      </c>
      <c r="AS63" s="52">
        <f>IF(AND(COUNTA($A63:$L63)&gt;0,ISNUMBER($S63)),IF($S63&lt;0,1,0),0)</f>
        <v>0</v>
      </c>
      <c r="AT63" s="52">
        <f>$W63</f>
        <v>0</v>
      </c>
      <c r="AU63" s="52">
        <f>$AT63+$X63</f>
        <v>0</v>
      </c>
      <c r="AV63" s="52">
        <f>$AU63+$Y63</f>
        <v>0</v>
      </c>
      <c r="AW63" s="52">
        <f>$AV63+$Z63</f>
        <v>0</v>
      </c>
      <c r="AX63" s="52">
        <f>$AW63+$AA63</f>
        <v>0</v>
      </c>
      <c r="AY63" s="52">
        <f>$AX63+$AB63</f>
        <v>0</v>
      </c>
      <c r="AZ63" s="52">
        <f>$AY63+$AC63</f>
        <v>0</v>
      </c>
      <c r="BA63" s="52">
        <f>$AZ63+$AD63</f>
        <v>0</v>
      </c>
      <c r="BB63" s="52">
        <f>$BA63+$AE63</f>
        <v>0</v>
      </c>
      <c r="BC63" s="52">
        <f>$BB63+$AF63</f>
        <v>0</v>
      </c>
      <c r="BD63" s="52">
        <f>$BC63+$AG63</f>
        <v>0</v>
      </c>
      <c r="BE63" s="52">
        <f>$BD63+$AH63</f>
        <v>0</v>
      </c>
      <c r="BF63" s="52">
        <f>$BE63+$AI63</f>
        <v>0</v>
      </c>
      <c r="BG63" s="52">
        <f>$BF63+$AJ63</f>
        <v>0</v>
      </c>
      <c r="BH63" s="52">
        <f>$BG63+$AK63</f>
        <v>0</v>
      </c>
      <c r="BI63" s="52">
        <f>$BH63+$AL63</f>
        <v>0</v>
      </c>
      <c r="BJ63" s="52">
        <f>$BI63+$AM63</f>
        <v>0</v>
      </c>
      <c r="BK63" s="52">
        <f>$BJ63+$AN63</f>
        <v>0</v>
      </c>
      <c r="BL63" s="52">
        <f>$BK63+$AO63</f>
        <v>0</v>
      </c>
      <c r="BM63" s="52">
        <f>$BL63+$AP63</f>
        <v>0</v>
      </c>
      <c r="BN63" s="52">
        <f>$BM63+$AQ63</f>
        <v>0</v>
      </c>
      <c r="BO63" s="52">
        <f>$BN63+$AR63</f>
        <v>0</v>
      </c>
      <c r="BP63" s="52">
        <f>$BO63+$AS63</f>
        <v>0</v>
      </c>
      <c r="BQ63" s="52">
        <f>SUM($T$1:$T62)</f>
        <v>11</v>
      </c>
      <c r="BR63" s="52" t="str">
        <f>IF(ISNUMBER($T63),IF($T63&gt;0,COUNTIF($T$2:$T63,"&gt;0"),""),"")</f>
        <v/>
      </c>
      <c r="BS63" s="52" t="str">
        <f>IF($BR63="","",$BQ63+$T63)</f>
        <v/>
      </c>
      <c r="BT63" s="52" t="str">
        <f>IF($U63="Ready",COUNTIF($U$2:$U63,"Ready"),"")</f>
        <v/>
      </c>
      <c r="BU63" s="52">
        <f>IF(AND($U63="Ready",$C63="Receipt"),IF(COUNTIF(Batches!$A$2:$A$301,$F63)+COUNTIFS($F$1:$F62,$F63,$C$1:$C62,"Receipt",$U$1:$U62,"Ready")=0,1,0),0)</f>
        <v>0</v>
      </c>
      <c r="BV63" s="52" t="str">
        <f>IF($BU63=1,SUM($BU$2:$BU63),"")</f>
        <v/>
      </c>
    </row>
    <row r="64">
      <c r="A64" s="46" t="n"/>
      <c r="B64" s="46" t="n"/>
      <c r="C64" s="46" t="n"/>
      <c r="D64" s="46" t="n"/>
      <c r="E64" s="46" t="n"/>
      <c r="F64" s="46" t="n"/>
      <c r="G64" s="46" t="n"/>
      <c r="H64" s="46" t="n"/>
      <c r="I64" s="46" t="n"/>
      <c r="J64" s="46" t="n"/>
      <c r="K64" s="46" t="n"/>
      <c r="L64" s="46" t="n"/>
      <c r="M64" s="62" t="str">
        <f>IF($B64="","",IF(ISNUMBER($B64),$B64,IF(AND(LEN($B64)=10,MID($B64,5,1)="-",MID($B64,8,1)="-"),IFERROR(IF(AND(MONTH(DATE(VALUE(LEFT($B64,4)),VALUE(MID($B64,6,2)),VALUE(RIGHT($B64,2))))=VALUE(MID($B64,6,2)),DAY(DATE(VALUE(LEFT($B64,4)),VALUE(MID($B64,6,2)),VALUE(RIGHT($B64,2))))=VALUE(RIGHT($B64,2))),DATE(VALUE(LEFT($B64,4)),VALUE(MID($B64,6,2)),VALUE(RIGHT($B64,2))),"ERR"),"ERR"),"ERR")))</f>
        <v/>
      </c>
      <c r="N64" s="62" t="str">
        <f>IF($G64="","",IF(ISNUMBER($G64),$G64,IF(AND(LEN($G64)=10,MID($G64,5,1)="-",MID($G64,8,1)="-"),IFERROR(IF(AND(MONTH(DATE(VALUE(LEFT($G64,4)),VALUE(MID($G64,6,2)),VALUE(RIGHT($G64,2))))=VALUE(MID($G64,6,2)),DAY(DATE(VALUE(LEFT($G64,4)),VALUE(MID($G64,6,2)),VALUE(RIGHT($G64,2))))=VALUE(RIGHT($G64,2))),DATE(VALUE(LEFT($G64,4)),VALUE(MID($G64,6,2)),VALUE(RIGHT($G64,2))),"ERR"),"ERR"),"ERR")))</f>
        <v/>
      </c>
      <c r="O64" s="51" t="str">
        <f>IF($H64="","",IF(ISNUMBER($H64),$H64,IFERROR(VALUE($H64),"ERR")))</f>
        <v/>
      </c>
      <c r="P64" s="51" t="str">
        <f>IF(AND(ISNUMBER($O64),OR($C64="Receipt",$C64="Shipment",$C64="Adjustment")),IF($C64="Shipment",-$O64,$O64),"")</f>
        <v/>
      </c>
      <c r="Q64" s="51" t="str">
        <f>IF($D64="","",IFERROR(INDEX(Products!$R$2:$R$101,MATCH($D64,Products!$A$2:$A$101,0)),""))</f>
        <v/>
      </c>
      <c r="R64" s="51" t="str">
        <f>IF(OR($Q64="",$P64=""),"",$Q64+SUMIFS($P$1:$P63,$D$1:$D63,$D64,$U$1:$U63,"Ready"))</f>
        <v/>
      </c>
      <c r="S64" s="51" t="str">
        <f>IF($R64="","",$R64+$P64)</f>
        <v/>
      </c>
      <c r="T64" s="52" t="str">
        <f>IF(COUNTA($A64:$L64)&gt;0,$BP64,"")</f>
        <v/>
      </c>
      <c r="U64" s="49" t="str">
        <f>IF($T64="","",IF($T64=0,"Ready","Rejected"))</f>
        <v/>
      </c>
      <c r="V64" s="49" t="str">
        <f>IF(OR($T64="",$T64=0),"",INDEX(Config!$D$39:$D$61,MATCH(1,$AT64:$BP64,0))&amp;IF($T64&gt;1," (+"&amp;($T64-1)&amp;" more)",""))</f>
        <v/>
      </c>
      <c r="W64" s="52">
        <f>IF(AND(COUNTA($A64:$L64)&gt;0,$A64=""),1,0)</f>
        <v>0</v>
      </c>
      <c r="X64" s="52">
        <f>IF(AND(COUNTA($A64:$L64)&gt;0,$A64&lt;&gt;""),IF(COUNTIF($A$1:$A63,$A64)&gt;0,1,0),0)</f>
        <v>0</v>
      </c>
      <c r="Y64" s="52">
        <f>IF(AND(COUNTA($A64:$L64)&gt;0,$A64&lt;&gt;""),IF(COUNTIF(Inventory_Ledger!$A$2:$A$2001,$A64)&gt;0,1,0),0)</f>
        <v>0</v>
      </c>
      <c r="Z64" s="52">
        <f>IF(AND(COUNTA($A64:$L64)&gt;0,$B64=""),1,0)</f>
        <v>0</v>
      </c>
      <c r="AA64" s="52">
        <f>IF(AND(COUNTA($A64:$L64)&gt;0,$B64&lt;&gt;""),IF($M64="ERR",1,0),0)</f>
        <v>0</v>
      </c>
      <c r="AB64" s="52">
        <f>IF(AND(COUNTA($A64:$L64)&gt;0,ISNUMBER($M64)),IF($M64&gt;Config!$B$4,1,0),0)</f>
        <v>0</v>
      </c>
      <c r="AC64" s="52">
        <f>IF(AND(COUNTA($A64:$L64)&gt;0,$C64=""),1,0)</f>
        <v>0</v>
      </c>
      <c r="AD64" s="52">
        <f>IF(AND(COUNTA($A64:$L64)&gt;0,$C64&lt;&gt;""),IF(COUNTIF(Config!$A$15:$A$34,$C64)=0,1,0),0)</f>
        <v>0</v>
      </c>
      <c r="AE64" s="52">
        <f>IF(AND(COUNTA($A64:$L64)&gt;0,$D64=""),1,0)</f>
        <v>0</v>
      </c>
      <c r="AF64" s="52">
        <f>IF(AND(COUNTA($A64:$L64)&gt;0,$D64&lt;&gt;""),IF(COUNTIF(Products!$A$2:$A$101,$D64)=0,1,0),0)</f>
        <v>0</v>
      </c>
      <c r="AG64" s="52">
        <f>IF(AND(COUNTA($A64:$L64)&gt;0,$C64="Receipt",$E64=""),1,0)</f>
        <v>0</v>
      </c>
      <c r="AH64" s="52">
        <f>IF(AND(COUNTA($A64:$L64)&gt;0,$E64&lt;&gt;""),IF(COUNTIF(Suppliers!$A$2:$A$51,$E64)=0,1,0),0)</f>
        <v>0</v>
      </c>
      <c r="AI64" s="52">
        <f>IF(AND(COUNTA($A64:$L64)&gt;0,$F64=""),1,0)</f>
        <v>0</v>
      </c>
      <c r="AJ64" s="52">
        <f>IF(AND(COUNTA($A64:$L64)&gt;0,$F64&lt;&gt;"",$D64&lt;&gt;"",OR($C64="Shipment",$C64="Adjustment")),IF($AF64=1,0,IF(COUNTIFS(Batches!$A$2:$A$301,$F64,Batches!$B$2:$B$301,$D64)+COUNTIFS($F$1:$F63,$F64,$D$1:$D63,$D64,$C$1:$C63,"Receipt")=0,1,0)),0)</f>
        <v>0</v>
      </c>
      <c r="AK64" s="52">
        <f>IF(AND(COUNTA($A64:$L64)&gt;0,$C64="Receipt",$G64=""),1,0)</f>
        <v>0</v>
      </c>
      <c r="AL64" s="52">
        <f>IF(AND(COUNTA($A64:$L64)&gt;0,$G64&lt;&gt;""),IF($N64="ERR",1,0),0)</f>
        <v>0</v>
      </c>
      <c r="AM64" s="52">
        <f>IF(AND(COUNTA($A64:$L64)&gt;0,$H64=""),1,0)</f>
        <v>0</v>
      </c>
      <c r="AN64" s="52">
        <f>IF(AND(COUNTA($A64:$L64)&gt;0,$H64&lt;&gt;""),IF($O64="ERR",1,IF(INT($O64)&lt;&gt;$O64,1,IF(AND(OR($C64="Receipt",$C64="Shipment"),$O64&lt;=0),1,IF(AND($C64="Adjustment",$O64=0),1,0)))),0)</f>
        <v>0</v>
      </c>
      <c r="AO64" s="52">
        <f>IF(AND(COUNTA($A64:$L64)&gt;0,$C64="Receipt",$I64=""),1,0)</f>
        <v>0</v>
      </c>
      <c r="AP64" s="52">
        <f>IF(AND(COUNTA($A64:$L64)&gt;0,$I64&lt;&gt;""),IF(IFERROR(INDEX(Config!$G$15:$G$34,MATCH($I64,Config!$E$15:$E$34,0)),"No")="Yes",0,1),0)</f>
        <v>0</v>
      </c>
      <c r="AQ64" s="52">
        <f>IF(AND(COUNTA($A64:$L64)&gt;0,$C64="Adjustment",$J64=""),1,0)</f>
        <v>0</v>
      </c>
      <c r="AR64" s="52">
        <f>IF(AND(COUNTA($A64:$L64)&gt;0,$L64=""),1,0)</f>
        <v>0</v>
      </c>
      <c r="AS64" s="52">
        <f>IF(AND(COUNTA($A64:$L64)&gt;0,ISNUMBER($S64)),IF($S64&lt;0,1,0),0)</f>
        <v>0</v>
      </c>
      <c r="AT64" s="52">
        <f>$W64</f>
        <v>0</v>
      </c>
      <c r="AU64" s="52">
        <f>$AT64+$X64</f>
        <v>0</v>
      </c>
      <c r="AV64" s="52">
        <f>$AU64+$Y64</f>
        <v>0</v>
      </c>
      <c r="AW64" s="52">
        <f>$AV64+$Z64</f>
        <v>0</v>
      </c>
      <c r="AX64" s="52">
        <f>$AW64+$AA64</f>
        <v>0</v>
      </c>
      <c r="AY64" s="52">
        <f>$AX64+$AB64</f>
        <v>0</v>
      </c>
      <c r="AZ64" s="52">
        <f>$AY64+$AC64</f>
        <v>0</v>
      </c>
      <c r="BA64" s="52">
        <f>$AZ64+$AD64</f>
        <v>0</v>
      </c>
      <c r="BB64" s="52">
        <f>$BA64+$AE64</f>
        <v>0</v>
      </c>
      <c r="BC64" s="52">
        <f>$BB64+$AF64</f>
        <v>0</v>
      </c>
      <c r="BD64" s="52">
        <f>$BC64+$AG64</f>
        <v>0</v>
      </c>
      <c r="BE64" s="52">
        <f>$BD64+$AH64</f>
        <v>0</v>
      </c>
      <c r="BF64" s="52">
        <f>$BE64+$AI64</f>
        <v>0</v>
      </c>
      <c r="BG64" s="52">
        <f>$BF64+$AJ64</f>
        <v>0</v>
      </c>
      <c r="BH64" s="52">
        <f>$BG64+$AK64</f>
        <v>0</v>
      </c>
      <c r="BI64" s="52">
        <f>$BH64+$AL64</f>
        <v>0</v>
      </c>
      <c r="BJ64" s="52">
        <f>$BI64+$AM64</f>
        <v>0</v>
      </c>
      <c r="BK64" s="52">
        <f>$BJ64+$AN64</f>
        <v>0</v>
      </c>
      <c r="BL64" s="52">
        <f>$BK64+$AO64</f>
        <v>0</v>
      </c>
      <c r="BM64" s="52">
        <f>$BL64+$AP64</f>
        <v>0</v>
      </c>
      <c r="BN64" s="52">
        <f>$BM64+$AQ64</f>
        <v>0</v>
      </c>
      <c r="BO64" s="52">
        <f>$BN64+$AR64</f>
        <v>0</v>
      </c>
      <c r="BP64" s="52">
        <f>$BO64+$AS64</f>
        <v>0</v>
      </c>
      <c r="BQ64" s="52">
        <f>SUM($T$1:$T63)</f>
        <v>11</v>
      </c>
      <c r="BR64" s="52" t="str">
        <f>IF(ISNUMBER($T64),IF($T64&gt;0,COUNTIF($T$2:$T64,"&gt;0"),""),"")</f>
        <v/>
      </c>
      <c r="BS64" s="52" t="str">
        <f>IF($BR64="","",$BQ64+$T64)</f>
        <v/>
      </c>
      <c r="BT64" s="52" t="str">
        <f>IF($U64="Ready",COUNTIF($U$2:$U64,"Ready"),"")</f>
        <v/>
      </c>
      <c r="BU64" s="52">
        <f>IF(AND($U64="Ready",$C64="Receipt"),IF(COUNTIF(Batches!$A$2:$A$301,$F64)+COUNTIFS($F$1:$F63,$F64,$C$1:$C63,"Receipt",$U$1:$U63,"Ready")=0,1,0),0)</f>
        <v>0</v>
      </c>
      <c r="BV64" s="52" t="str">
        <f>IF($BU64=1,SUM($BU$2:$BU64),"")</f>
        <v/>
      </c>
    </row>
    <row r="65">
      <c r="A65" s="46" t="n"/>
      <c r="B65" s="46" t="n"/>
      <c r="C65" s="46" t="n"/>
      <c r="D65" s="46" t="n"/>
      <c r="E65" s="46" t="n"/>
      <c r="F65" s="46" t="n"/>
      <c r="G65" s="46" t="n"/>
      <c r="H65" s="46" t="n"/>
      <c r="I65" s="46" t="n"/>
      <c r="J65" s="46" t="n"/>
      <c r="K65" s="46" t="n"/>
      <c r="L65" s="46" t="n"/>
      <c r="M65" s="62" t="str">
        <f>IF($B65="","",IF(ISNUMBER($B65),$B65,IF(AND(LEN($B65)=10,MID($B65,5,1)="-",MID($B65,8,1)="-"),IFERROR(IF(AND(MONTH(DATE(VALUE(LEFT($B65,4)),VALUE(MID($B65,6,2)),VALUE(RIGHT($B65,2))))=VALUE(MID($B65,6,2)),DAY(DATE(VALUE(LEFT($B65,4)),VALUE(MID($B65,6,2)),VALUE(RIGHT($B65,2))))=VALUE(RIGHT($B65,2))),DATE(VALUE(LEFT($B65,4)),VALUE(MID($B65,6,2)),VALUE(RIGHT($B65,2))),"ERR"),"ERR"),"ERR")))</f>
        <v/>
      </c>
      <c r="N65" s="62" t="str">
        <f>IF($G65="","",IF(ISNUMBER($G65),$G65,IF(AND(LEN($G65)=10,MID($G65,5,1)="-",MID($G65,8,1)="-"),IFERROR(IF(AND(MONTH(DATE(VALUE(LEFT($G65,4)),VALUE(MID($G65,6,2)),VALUE(RIGHT($G65,2))))=VALUE(MID($G65,6,2)),DAY(DATE(VALUE(LEFT($G65,4)),VALUE(MID($G65,6,2)),VALUE(RIGHT($G65,2))))=VALUE(RIGHT($G65,2))),DATE(VALUE(LEFT($G65,4)),VALUE(MID($G65,6,2)),VALUE(RIGHT($G65,2))),"ERR"),"ERR"),"ERR")))</f>
        <v/>
      </c>
      <c r="O65" s="51" t="str">
        <f>IF($H65="","",IF(ISNUMBER($H65),$H65,IFERROR(VALUE($H65),"ERR")))</f>
        <v/>
      </c>
      <c r="P65" s="51" t="str">
        <f>IF(AND(ISNUMBER($O65),OR($C65="Receipt",$C65="Shipment",$C65="Adjustment")),IF($C65="Shipment",-$O65,$O65),"")</f>
        <v/>
      </c>
      <c r="Q65" s="51" t="str">
        <f>IF($D65="","",IFERROR(INDEX(Products!$R$2:$R$101,MATCH($D65,Products!$A$2:$A$101,0)),""))</f>
        <v/>
      </c>
      <c r="R65" s="51" t="str">
        <f>IF(OR($Q65="",$P65=""),"",$Q65+SUMIFS($P$1:$P64,$D$1:$D64,$D65,$U$1:$U64,"Ready"))</f>
        <v/>
      </c>
      <c r="S65" s="51" t="str">
        <f>IF($R65="","",$R65+$P65)</f>
        <v/>
      </c>
      <c r="T65" s="52" t="str">
        <f>IF(COUNTA($A65:$L65)&gt;0,$BP65,"")</f>
        <v/>
      </c>
      <c r="U65" s="49" t="str">
        <f>IF($T65="","",IF($T65=0,"Ready","Rejected"))</f>
        <v/>
      </c>
      <c r="V65" s="49" t="str">
        <f>IF(OR($T65="",$T65=0),"",INDEX(Config!$D$39:$D$61,MATCH(1,$AT65:$BP65,0))&amp;IF($T65&gt;1," (+"&amp;($T65-1)&amp;" more)",""))</f>
        <v/>
      </c>
      <c r="W65" s="52">
        <f>IF(AND(COUNTA($A65:$L65)&gt;0,$A65=""),1,0)</f>
        <v>0</v>
      </c>
      <c r="X65" s="52">
        <f>IF(AND(COUNTA($A65:$L65)&gt;0,$A65&lt;&gt;""),IF(COUNTIF($A$1:$A64,$A65)&gt;0,1,0),0)</f>
        <v>0</v>
      </c>
      <c r="Y65" s="52">
        <f>IF(AND(COUNTA($A65:$L65)&gt;0,$A65&lt;&gt;""),IF(COUNTIF(Inventory_Ledger!$A$2:$A$2001,$A65)&gt;0,1,0),0)</f>
        <v>0</v>
      </c>
      <c r="Z65" s="52">
        <f>IF(AND(COUNTA($A65:$L65)&gt;0,$B65=""),1,0)</f>
        <v>0</v>
      </c>
      <c r="AA65" s="52">
        <f>IF(AND(COUNTA($A65:$L65)&gt;0,$B65&lt;&gt;""),IF($M65="ERR",1,0),0)</f>
        <v>0</v>
      </c>
      <c r="AB65" s="52">
        <f>IF(AND(COUNTA($A65:$L65)&gt;0,ISNUMBER($M65)),IF($M65&gt;Config!$B$4,1,0),0)</f>
        <v>0</v>
      </c>
      <c r="AC65" s="52">
        <f>IF(AND(COUNTA($A65:$L65)&gt;0,$C65=""),1,0)</f>
        <v>0</v>
      </c>
      <c r="AD65" s="52">
        <f>IF(AND(COUNTA($A65:$L65)&gt;0,$C65&lt;&gt;""),IF(COUNTIF(Config!$A$15:$A$34,$C65)=0,1,0),0)</f>
        <v>0</v>
      </c>
      <c r="AE65" s="52">
        <f>IF(AND(COUNTA($A65:$L65)&gt;0,$D65=""),1,0)</f>
        <v>0</v>
      </c>
      <c r="AF65" s="52">
        <f>IF(AND(COUNTA($A65:$L65)&gt;0,$D65&lt;&gt;""),IF(COUNTIF(Products!$A$2:$A$101,$D65)=0,1,0),0)</f>
        <v>0</v>
      </c>
      <c r="AG65" s="52">
        <f>IF(AND(COUNTA($A65:$L65)&gt;0,$C65="Receipt",$E65=""),1,0)</f>
        <v>0</v>
      </c>
      <c r="AH65" s="52">
        <f>IF(AND(COUNTA($A65:$L65)&gt;0,$E65&lt;&gt;""),IF(COUNTIF(Suppliers!$A$2:$A$51,$E65)=0,1,0),0)</f>
        <v>0</v>
      </c>
      <c r="AI65" s="52">
        <f>IF(AND(COUNTA($A65:$L65)&gt;0,$F65=""),1,0)</f>
        <v>0</v>
      </c>
      <c r="AJ65" s="52">
        <f>IF(AND(COUNTA($A65:$L65)&gt;0,$F65&lt;&gt;"",$D65&lt;&gt;"",OR($C65="Shipment",$C65="Adjustment")),IF($AF65=1,0,IF(COUNTIFS(Batches!$A$2:$A$301,$F65,Batches!$B$2:$B$301,$D65)+COUNTIFS($F$1:$F64,$F65,$D$1:$D64,$D65,$C$1:$C64,"Receipt")=0,1,0)),0)</f>
        <v>0</v>
      </c>
      <c r="AK65" s="52">
        <f>IF(AND(COUNTA($A65:$L65)&gt;0,$C65="Receipt",$G65=""),1,0)</f>
        <v>0</v>
      </c>
      <c r="AL65" s="52">
        <f>IF(AND(COUNTA($A65:$L65)&gt;0,$G65&lt;&gt;""),IF($N65="ERR",1,0),0)</f>
        <v>0</v>
      </c>
      <c r="AM65" s="52">
        <f>IF(AND(COUNTA($A65:$L65)&gt;0,$H65=""),1,0)</f>
        <v>0</v>
      </c>
      <c r="AN65" s="52">
        <f>IF(AND(COUNTA($A65:$L65)&gt;0,$H65&lt;&gt;""),IF($O65="ERR",1,IF(INT($O65)&lt;&gt;$O65,1,IF(AND(OR($C65="Receipt",$C65="Shipment"),$O65&lt;=0),1,IF(AND($C65="Adjustment",$O65=0),1,0)))),0)</f>
        <v>0</v>
      </c>
      <c r="AO65" s="52">
        <f>IF(AND(COUNTA($A65:$L65)&gt;0,$C65="Receipt",$I65=""),1,0)</f>
        <v>0</v>
      </c>
      <c r="AP65" s="52">
        <f>IF(AND(COUNTA($A65:$L65)&gt;0,$I65&lt;&gt;""),IF(IFERROR(INDEX(Config!$G$15:$G$34,MATCH($I65,Config!$E$15:$E$34,0)),"No")="Yes",0,1),0)</f>
        <v>0</v>
      </c>
      <c r="AQ65" s="52">
        <f>IF(AND(COUNTA($A65:$L65)&gt;0,$C65="Adjustment",$J65=""),1,0)</f>
        <v>0</v>
      </c>
      <c r="AR65" s="52">
        <f>IF(AND(COUNTA($A65:$L65)&gt;0,$L65=""),1,0)</f>
        <v>0</v>
      </c>
      <c r="AS65" s="52">
        <f>IF(AND(COUNTA($A65:$L65)&gt;0,ISNUMBER($S65)),IF($S65&lt;0,1,0),0)</f>
        <v>0</v>
      </c>
      <c r="AT65" s="52">
        <f>$W65</f>
        <v>0</v>
      </c>
      <c r="AU65" s="52">
        <f>$AT65+$X65</f>
        <v>0</v>
      </c>
      <c r="AV65" s="52">
        <f>$AU65+$Y65</f>
        <v>0</v>
      </c>
      <c r="AW65" s="52">
        <f>$AV65+$Z65</f>
        <v>0</v>
      </c>
      <c r="AX65" s="52">
        <f>$AW65+$AA65</f>
        <v>0</v>
      </c>
      <c r="AY65" s="52">
        <f>$AX65+$AB65</f>
        <v>0</v>
      </c>
      <c r="AZ65" s="52">
        <f>$AY65+$AC65</f>
        <v>0</v>
      </c>
      <c r="BA65" s="52">
        <f>$AZ65+$AD65</f>
        <v>0</v>
      </c>
      <c r="BB65" s="52">
        <f>$BA65+$AE65</f>
        <v>0</v>
      </c>
      <c r="BC65" s="52">
        <f>$BB65+$AF65</f>
        <v>0</v>
      </c>
      <c r="BD65" s="52">
        <f>$BC65+$AG65</f>
        <v>0</v>
      </c>
      <c r="BE65" s="52">
        <f>$BD65+$AH65</f>
        <v>0</v>
      </c>
      <c r="BF65" s="52">
        <f>$BE65+$AI65</f>
        <v>0</v>
      </c>
      <c r="BG65" s="52">
        <f>$BF65+$AJ65</f>
        <v>0</v>
      </c>
      <c r="BH65" s="52">
        <f>$BG65+$AK65</f>
        <v>0</v>
      </c>
      <c r="BI65" s="52">
        <f>$BH65+$AL65</f>
        <v>0</v>
      </c>
      <c r="BJ65" s="52">
        <f>$BI65+$AM65</f>
        <v>0</v>
      </c>
      <c r="BK65" s="52">
        <f>$BJ65+$AN65</f>
        <v>0</v>
      </c>
      <c r="BL65" s="52">
        <f>$BK65+$AO65</f>
        <v>0</v>
      </c>
      <c r="BM65" s="52">
        <f>$BL65+$AP65</f>
        <v>0</v>
      </c>
      <c r="BN65" s="52">
        <f>$BM65+$AQ65</f>
        <v>0</v>
      </c>
      <c r="BO65" s="52">
        <f>$BN65+$AR65</f>
        <v>0</v>
      </c>
      <c r="BP65" s="52">
        <f>$BO65+$AS65</f>
        <v>0</v>
      </c>
      <c r="BQ65" s="52">
        <f>SUM($T$1:$T64)</f>
        <v>11</v>
      </c>
      <c r="BR65" s="52" t="str">
        <f>IF(ISNUMBER($T65),IF($T65&gt;0,COUNTIF($T$2:$T65,"&gt;0"),""),"")</f>
        <v/>
      </c>
      <c r="BS65" s="52" t="str">
        <f>IF($BR65="","",$BQ65+$T65)</f>
        <v/>
      </c>
      <c r="BT65" s="52" t="str">
        <f>IF($U65="Ready",COUNTIF($U$2:$U65,"Ready"),"")</f>
        <v/>
      </c>
      <c r="BU65" s="52">
        <f>IF(AND($U65="Ready",$C65="Receipt"),IF(COUNTIF(Batches!$A$2:$A$301,$F65)+COUNTIFS($F$1:$F64,$F65,$C$1:$C64,"Receipt",$U$1:$U64,"Ready")=0,1,0),0)</f>
        <v>0</v>
      </c>
      <c r="BV65" s="52" t="str">
        <f>IF($BU65=1,SUM($BU$2:$BU65),"")</f>
        <v/>
      </c>
    </row>
    <row r="66">
      <c r="A66" s="46" t="n"/>
      <c r="B66" s="46" t="n"/>
      <c r="C66" s="46" t="n"/>
      <c r="D66" s="46" t="n"/>
      <c r="E66" s="46" t="n"/>
      <c r="F66" s="46" t="n"/>
      <c r="G66" s="46" t="n"/>
      <c r="H66" s="46" t="n"/>
      <c r="I66" s="46" t="n"/>
      <c r="J66" s="46" t="n"/>
      <c r="K66" s="46" t="n"/>
      <c r="L66" s="46" t="n"/>
      <c r="M66" s="62" t="str">
        <f>IF($B66="","",IF(ISNUMBER($B66),$B66,IF(AND(LEN($B66)=10,MID($B66,5,1)="-",MID($B66,8,1)="-"),IFERROR(IF(AND(MONTH(DATE(VALUE(LEFT($B66,4)),VALUE(MID($B66,6,2)),VALUE(RIGHT($B66,2))))=VALUE(MID($B66,6,2)),DAY(DATE(VALUE(LEFT($B66,4)),VALUE(MID($B66,6,2)),VALUE(RIGHT($B66,2))))=VALUE(RIGHT($B66,2))),DATE(VALUE(LEFT($B66,4)),VALUE(MID($B66,6,2)),VALUE(RIGHT($B66,2))),"ERR"),"ERR"),"ERR")))</f>
        <v/>
      </c>
      <c r="N66" s="62" t="str">
        <f>IF($G66="","",IF(ISNUMBER($G66),$G66,IF(AND(LEN($G66)=10,MID($G66,5,1)="-",MID($G66,8,1)="-"),IFERROR(IF(AND(MONTH(DATE(VALUE(LEFT($G66,4)),VALUE(MID($G66,6,2)),VALUE(RIGHT($G66,2))))=VALUE(MID($G66,6,2)),DAY(DATE(VALUE(LEFT($G66,4)),VALUE(MID($G66,6,2)),VALUE(RIGHT($G66,2))))=VALUE(RIGHT($G66,2))),DATE(VALUE(LEFT($G66,4)),VALUE(MID($G66,6,2)),VALUE(RIGHT($G66,2))),"ERR"),"ERR"),"ERR")))</f>
        <v/>
      </c>
      <c r="O66" s="51" t="str">
        <f>IF($H66="","",IF(ISNUMBER($H66),$H66,IFERROR(VALUE($H66),"ERR")))</f>
        <v/>
      </c>
      <c r="P66" s="51" t="str">
        <f>IF(AND(ISNUMBER($O66),OR($C66="Receipt",$C66="Shipment",$C66="Adjustment")),IF($C66="Shipment",-$O66,$O66),"")</f>
        <v/>
      </c>
      <c r="Q66" s="51" t="str">
        <f>IF($D66="","",IFERROR(INDEX(Products!$R$2:$R$101,MATCH($D66,Products!$A$2:$A$101,0)),""))</f>
        <v/>
      </c>
      <c r="R66" s="51" t="str">
        <f>IF(OR($Q66="",$P66=""),"",$Q66+SUMIFS($P$1:$P65,$D$1:$D65,$D66,$U$1:$U65,"Ready"))</f>
        <v/>
      </c>
      <c r="S66" s="51" t="str">
        <f>IF($R66="","",$R66+$P66)</f>
        <v/>
      </c>
      <c r="T66" s="52" t="str">
        <f>IF(COUNTA($A66:$L66)&gt;0,$BP66,"")</f>
        <v/>
      </c>
      <c r="U66" s="49" t="str">
        <f>IF($T66="","",IF($T66=0,"Ready","Rejected"))</f>
        <v/>
      </c>
      <c r="V66" s="49" t="str">
        <f>IF(OR($T66="",$T66=0),"",INDEX(Config!$D$39:$D$61,MATCH(1,$AT66:$BP66,0))&amp;IF($T66&gt;1," (+"&amp;($T66-1)&amp;" more)",""))</f>
        <v/>
      </c>
      <c r="W66" s="52">
        <f>IF(AND(COUNTA($A66:$L66)&gt;0,$A66=""),1,0)</f>
        <v>0</v>
      </c>
      <c r="X66" s="52">
        <f>IF(AND(COUNTA($A66:$L66)&gt;0,$A66&lt;&gt;""),IF(COUNTIF($A$1:$A65,$A66)&gt;0,1,0),0)</f>
        <v>0</v>
      </c>
      <c r="Y66" s="52">
        <f>IF(AND(COUNTA($A66:$L66)&gt;0,$A66&lt;&gt;""),IF(COUNTIF(Inventory_Ledger!$A$2:$A$2001,$A66)&gt;0,1,0),0)</f>
        <v>0</v>
      </c>
      <c r="Z66" s="52">
        <f>IF(AND(COUNTA($A66:$L66)&gt;0,$B66=""),1,0)</f>
        <v>0</v>
      </c>
      <c r="AA66" s="52">
        <f>IF(AND(COUNTA($A66:$L66)&gt;0,$B66&lt;&gt;""),IF($M66="ERR",1,0),0)</f>
        <v>0</v>
      </c>
      <c r="AB66" s="52">
        <f>IF(AND(COUNTA($A66:$L66)&gt;0,ISNUMBER($M66)),IF($M66&gt;Config!$B$4,1,0),0)</f>
        <v>0</v>
      </c>
      <c r="AC66" s="52">
        <f>IF(AND(COUNTA($A66:$L66)&gt;0,$C66=""),1,0)</f>
        <v>0</v>
      </c>
      <c r="AD66" s="52">
        <f>IF(AND(COUNTA($A66:$L66)&gt;0,$C66&lt;&gt;""),IF(COUNTIF(Config!$A$15:$A$34,$C66)=0,1,0),0)</f>
        <v>0</v>
      </c>
      <c r="AE66" s="52">
        <f>IF(AND(COUNTA($A66:$L66)&gt;0,$D66=""),1,0)</f>
        <v>0</v>
      </c>
      <c r="AF66" s="52">
        <f>IF(AND(COUNTA($A66:$L66)&gt;0,$D66&lt;&gt;""),IF(COUNTIF(Products!$A$2:$A$101,$D66)=0,1,0),0)</f>
        <v>0</v>
      </c>
      <c r="AG66" s="52">
        <f>IF(AND(COUNTA($A66:$L66)&gt;0,$C66="Receipt",$E66=""),1,0)</f>
        <v>0</v>
      </c>
      <c r="AH66" s="52">
        <f>IF(AND(COUNTA($A66:$L66)&gt;0,$E66&lt;&gt;""),IF(COUNTIF(Suppliers!$A$2:$A$51,$E66)=0,1,0),0)</f>
        <v>0</v>
      </c>
      <c r="AI66" s="52">
        <f>IF(AND(COUNTA($A66:$L66)&gt;0,$F66=""),1,0)</f>
        <v>0</v>
      </c>
      <c r="AJ66" s="52">
        <f>IF(AND(COUNTA($A66:$L66)&gt;0,$F66&lt;&gt;"",$D66&lt;&gt;"",OR($C66="Shipment",$C66="Adjustment")),IF($AF66=1,0,IF(COUNTIFS(Batches!$A$2:$A$301,$F66,Batches!$B$2:$B$301,$D66)+COUNTIFS($F$1:$F65,$F66,$D$1:$D65,$D66,$C$1:$C65,"Receipt")=0,1,0)),0)</f>
        <v>0</v>
      </c>
      <c r="AK66" s="52">
        <f>IF(AND(COUNTA($A66:$L66)&gt;0,$C66="Receipt",$G66=""),1,0)</f>
        <v>0</v>
      </c>
      <c r="AL66" s="52">
        <f>IF(AND(COUNTA($A66:$L66)&gt;0,$G66&lt;&gt;""),IF($N66="ERR",1,0),0)</f>
        <v>0</v>
      </c>
      <c r="AM66" s="52">
        <f>IF(AND(COUNTA($A66:$L66)&gt;0,$H66=""),1,0)</f>
        <v>0</v>
      </c>
      <c r="AN66" s="52">
        <f>IF(AND(COUNTA($A66:$L66)&gt;0,$H66&lt;&gt;""),IF($O66="ERR",1,IF(INT($O66)&lt;&gt;$O66,1,IF(AND(OR($C66="Receipt",$C66="Shipment"),$O66&lt;=0),1,IF(AND($C66="Adjustment",$O66=0),1,0)))),0)</f>
        <v>0</v>
      </c>
      <c r="AO66" s="52">
        <f>IF(AND(COUNTA($A66:$L66)&gt;0,$C66="Receipt",$I66=""),1,0)</f>
        <v>0</v>
      </c>
      <c r="AP66" s="52">
        <f>IF(AND(COUNTA($A66:$L66)&gt;0,$I66&lt;&gt;""),IF(IFERROR(INDEX(Config!$G$15:$G$34,MATCH($I66,Config!$E$15:$E$34,0)),"No")="Yes",0,1),0)</f>
        <v>0</v>
      </c>
      <c r="AQ66" s="52">
        <f>IF(AND(COUNTA($A66:$L66)&gt;0,$C66="Adjustment",$J66=""),1,0)</f>
        <v>0</v>
      </c>
      <c r="AR66" s="52">
        <f>IF(AND(COUNTA($A66:$L66)&gt;0,$L66=""),1,0)</f>
        <v>0</v>
      </c>
      <c r="AS66" s="52">
        <f>IF(AND(COUNTA($A66:$L66)&gt;0,ISNUMBER($S66)),IF($S66&lt;0,1,0),0)</f>
        <v>0</v>
      </c>
      <c r="AT66" s="52">
        <f>$W66</f>
        <v>0</v>
      </c>
      <c r="AU66" s="52">
        <f>$AT66+$X66</f>
        <v>0</v>
      </c>
      <c r="AV66" s="52">
        <f>$AU66+$Y66</f>
        <v>0</v>
      </c>
      <c r="AW66" s="52">
        <f>$AV66+$Z66</f>
        <v>0</v>
      </c>
      <c r="AX66" s="52">
        <f>$AW66+$AA66</f>
        <v>0</v>
      </c>
      <c r="AY66" s="52">
        <f>$AX66+$AB66</f>
        <v>0</v>
      </c>
      <c r="AZ66" s="52">
        <f>$AY66+$AC66</f>
        <v>0</v>
      </c>
      <c r="BA66" s="52">
        <f>$AZ66+$AD66</f>
        <v>0</v>
      </c>
      <c r="BB66" s="52">
        <f>$BA66+$AE66</f>
        <v>0</v>
      </c>
      <c r="BC66" s="52">
        <f>$BB66+$AF66</f>
        <v>0</v>
      </c>
      <c r="BD66" s="52">
        <f>$BC66+$AG66</f>
        <v>0</v>
      </c>
      <c r="BE66" s="52">
        <f>$BD66+$AH66</f>
        <v>0</v>
      </c>
      <c r="BF66" s="52">
        <f>$BE66+$AI66</f>
        <v>0</v>
      </c>
      <c r="BG66" s="52">
        <f>$BF66+$AJ66</f>
        <v>0</v>
      </c>
      <c r="BH66" s="52">
        <f>$BG66+$AK66</f>
        <v>0</v>
      </c>
      <c r="BI66" s="52">
        <f>$BH66+$AL66</f>
        <v>0</v>
      </c>
      <c r="BJ66" s="52">
        <f>$BI66+$AM66</f>
        <v>0</v>
      </c>
      <c r="BK66" s="52">
        <f>$BJ66+$AN66</f>
        <v>0</v>
      </c>
      <c r="BL66" s="52">
        <f>$BK66+$AO66</f>
        <v>0</v>
      </c>
      <c r="BM66" s="52">
        <f>$BL66+$AP66</f>
        <v>0</v>
      </c>
      <c r="BN66" s="52">
        <f>$BM66+$AQ66</f>
        <v>0</v>
      </c>
      <c r="BO66" s="52">
        <f>$BN66+$AR66</f>
        <v>0</v>
      </c>
      <c r="BP66" s="52">
        <f>$BO66+$AS66</f>
        <v>0</v>
      </c>
      <c r="BQ66" s="52">
        <f>SUM($T$1:$T65)</f>
        <v>11</v>
      </c>
      <c r="BR66" s="52" t="str">
        <f>IF(ISNUMBER($T66),IF($T66&gt;0,COUNTIF($T$2:$T66,"&gt;0"),""),"")</f>
        <v/>
      </c>
      <c r="BS66" s="52" t="str">
        <f>IF($BR66="","",$BQ66+$T66)</f>
        <v/>
      </c>
      <c r="BT66" s="52" t="str">
        <f>IF($U66="Ready",COUNTIF($U$2:$U66,"Ready"),"")</f>
        <v/>
      </c>
      <c r="BU66" s="52">
        <f>IF(AND($U66="Ready",$C66="Receipt"),IF(COUNTIF(Batches!$A$2:$A$301,$F66)+COUNTIFS($F$1:$F65,$F66,$C$1:$C65,"Receipt",$U$1:$U65,"Ready")=0,1,0),0)</f>
        <v>0</v>
      </c>
      <c r="BV66" s="52" t="str">
        <f>IF($BU66=1,SUM($BU$2:$BU66),"")</f>
        <v/>
      </c>
    </row>
    <row r="67">
      <c r="A67" s="46" t="n"/>
      <c r="B67" s="46" t="n"/>
      <c r="C67" s="46" t="n"/>
      <c r="D67" s="46" t="n"/>
      <c r="E67" s="46" t="n"/>
      <c r="F67" s="46" t="n"/>
      <c r="G67" s="46" t="n"/>
      <c r="H67" s="46" t="n"/>
      <c r="I67" s="46" t="n"/>
      <c r="J67" s="46" t="n"/>
      <c r="K67" s="46" t="n"/>
      <c r="L67" s="46" t="n"/>
      <c r="M67" s="62" t="str">
        <f>IF($B67="","",IF(ISNUMBER($B67),$B67,IF(AND(LEN($B67)=10,MID($B67,5,1)="-",MID($B67,8,1)="-"),IFERROR(IF(AND(MONTH(DATE(VALUE(LEFT($B67,4)),VALUE(MID($B67,6,2)),VALUE(RIGHT($B67,2))))=VALUE(MID($B67,6,2)),DAY(DATE(VALUE(LEFT($B67,4)),VALUE(MID($B67,6,2)),VALUE(RIGHT($B67,2))))=VALUE(RIGHT($B67,2))),DATE(VALUE(LEFT($B67,4)),VALUE(MID($B67,6,2)),VALUE(RIGHT($B67,2))),"ERR"),"ERR"),"ERR")))</f>
        <v/>
      </c>
      <c r="N67" s="62" t="str">
        <f>IF($G67="","",IF(ISNUMBER($G67),$G67,IF(AND(LEN($G67)=10,MID($G67,5,1)="-",MID($G67,8,1)="-"),IFERROR(IF(AND(MONTH(DATE(VALUE(LEFT($G67,4)),VALUE(MID($G67,6,2)),VALUE(RIGHT($G67,2))))=VALUE(MID($G67,6,2)),DAY(DATE(VALUE(LEFT($G67,4)),VALUE(MID($G67,6,2)),VALUE(RIGHT($G67,2))))=VALUE(RIGHT($G67,2))),DATE(VALUE(LEFT($G67,4)),VALUE(MID($G67,6,2)),VALUE(RIGHT($G67,2))),"ERR"),"ERR"),"ERR")))</f>
        <v/>
      </c>
      <c r="O67" s="51" t="str">
        <f>IF($H67="","",IF(ISNUMBER($H67),$H67,IFERROR(VALUE($H67),"ERR")))</f>
        <v/>
      </c>
      <c r="P67" s="51" t="str">
        <f>IF(AND(ISNUMBER($O67),OR($C67="Receipt",$C67="Shipment",$C67="Adjustment")),IF($C67="Shipment",-$O67,$O67),"")</f>
        <v/>
      </c>
      <c r="Q67" s="51" t="str">
        <f>IF($D67="","",IFERROR(INDEX(Products!$R$2:$R$101,MATCH($D67,Products!$A$2:$A$101,0)),""))</f>
        <v/>
      </c>
      <c r="R67" s="51" t="str">
        <f>IF(OR($Q67="",$P67=""),"",$Q67+SUMIFS($P$1:$P66,$D$1:$D66,$D67,$U$1:$U66,"Ready"))</f>
        <v/>
      </c>
      <c r="S67" s="51" t="str">
        <f>IF($R67="","",$R67+$P67)</f>
        <v/>
      </c>
      <c r="T67" s="52" t="str">
        <f>IF(COUNTA($A67:$L67)&gt;0,$BP67,"")</f>
        <v/>
      </c>
      <c r="U67" s="49" t="str">
        <f>IF($T67="","",IF($T67=0,"Ready","Rejected"))</f>
        <v/>
      </c>
      <c r="V67" s="49" t="str">
        <f>IF(OR($T67="",$T67=0),"",INDEX(Config!$D$39:$D$61,MATCH(1,$AT67:$BP67,0))&amp;IF($T67&gt;1," (+"&amp;($T67-1)&amp;" more)",""))</f>
        <v/>
      </c>
      <c r="W67" s="52">
        <f>IF(AND(COUNTA($A67:$L67)&gt;0,$A67=""),1,0)</f>
        <v>0</v>
      </c>
      <c r="X67" s="52">
        <f>IF(AND(COUNTA($A67:$L67)&gt;0,$A67&lt;&gt;""),IF(COUNTIF($A$1:$A66,$A67)&gt;0,1,0),0)</f>
        <v>0</v>
      </c>
      <c r="Y67" s="52">
        <f>IF(AND(COUNTA($A67:$L67)&gt;0,$A67&lt;&gt;""),IF(COUNTIF(Inventory_Ledger!$A$2:$A$2001,$A67)&gt;0,1,0),0)</f>
        <v>0</v>
      </c>
      <c r="Z67" s="52">
        <f>IF(AND(COUNTA($A67:$L67)&gt;0,$B67=""),1,0)</f>
        <v>0</v>
      </c>
      <c r="AA67" s="52">
        <f>IF(AND(COUNTA($A67:$L67)&gt;0,$B67&lt;&gt;""),IF($M67="ERR",1,0),0)</f>
        <v>0</v>
      </c>
      <c r="AB67" s="52">
        <f>IF(AND(COUNTA($A67:$L67)&gt;0,ISNUMBER($M67)),IF($M67&gt;Config!$B$4,1,0),0)</f>
        <v>0</v>
      </c>
      <c r="AC67" s="52">
        <f>IF(AND(COUNTA($A67:$L67)&gt;0,$C67=""),1,0)</f>
        <v>0</v>
      </c>
      <c r="AD67" s="52">
        <f>IF(AND(COUNTA($A67:$L67)&gt;0,$C67&lt;&gt;""),IF(COUNTIF(Config!$A$15:$A$34,$C67)=0,1,0),0)</f>
        <v>0</v>
      </c>
      <c r="AE67" s="52">
        <f>IF(AND(COUNTA($A67:$L67)&gt;0,$D67=""),1,0)</f>
        <v>0</v>
      </c>
      <c r="AF67" s="52">
        <f>IF(AND(COUNTA($A67:$L67)&gt;0,$D67&lt;&gt;""),IF(COUNTIF(Products!$A$2:$A$101,$D67)=0,1,0),0)</f>
        <v>0</v>
      </c>
      <c r="AG67" s="52">
        <f>IF(AND(COUNTA($A67:$L67)&gt;0,$C67="Receipt",$E67=""),1,0)</f>
        <v>0</v>
      </c>
      <c r="AH67" s="52">
        <f>IF(AND(COUNTA($A67:$L67)&gt;0,$E67&lt;&gt;""),IF(COUNTIF(Suppliers!$A$2:$A$51,$E67)=0,1,0),0)</f>
        <v>0</v>
      </c>
      <c r="AI67" s="52">
        <f>IF(AND(COUNTA($A67:$L67)&gt;0,$F67=""),1,0)</f>
        <v>0</v>
      </c>
      <c r="AJ67" s="52">
        <f>IF(AND(COUNTA($A67:$L67)&gt;0,$F67&lt;&gt;"",$D67&lt;&gt;"",OR($C67="Shipment",$C67="Adjustment")),IF($AF67=1,0,IF(COUNTIFS(Batches!$A$2:$A$301,$F67,Batches!$B$2:$B$301,$D67)+COUNTIFS($F$1:$F66,$F67,$D$1:$D66,$D67,$C$1:$C66,"Receipt")=0,1,0)),0)</f>
        <v>0</v>
      </c>
      <c r="AK67" s="52">
        <f>IF(AND(COUNTA($A67:$L67)&gt;0,$C67="Receipt",$G67=""),1,0)</f>
        <v>0</v>
      </c>
      <c r="AL67" s="52">
        <f>IF(AND(COUNTA($A67:$L67)&gt;0,$G67&lt;&gt;""),IF($N67="ERR",1,0),0)</f>
        <v>0</v>
      </c>
      <c r="AM67" s="52">
        <f>IF(AND(COUNTA($A67:$L67)&gt;0,$H67=""),1,0)</f>
        <v>0</v>
      </c>
      <c r="AN67" s="52">
        <f>IF(AND(COUNTA($A67:$L67)&gt;0,$H67&lt;&gt;""),IF($O67="ERR",1,IF(INT($O67)&lt;&gt;$O67,1,IF(AND(OR($C67="Receipt",$C67="Shipment"),$O67&lt;=0),1,IF(AND($C67="Adjustment",$O67=0),1,0)))),0)</f>
        <v>0</v>
      </c>
      <c r="AO67" s="52">
        <f>IF(AND(COUNTA($A67:$L67)&gt;0,$C67="Receipt",$I67=""),1,0)</f>
        <v>0</v>
      </c>
      <c r="AP67" s="52">
        <f>IF(AND(COUNTA($A67:$L67)&gt;0,$I67&lt;&gt;""),IF(IFERROR(INDEX(Config!$G$15:$G$34,MATCH($I67,Config!$E$15:$E$34,0)),"No")="Yes",0,1),0)</f>
        <v>0</v>
      </c>
      <c r="AQ67" s="52">
        <f>IF(AND(COUNTA($A67:$L67)&gt;0,$C67="Adjustment",$J67=""),1,0)</f>
        <v>0</v>
      </c>
      <c r="AR67" s="52">
        <f>IF(AND(COUNTA($A67:$L67)&gt;0,$L67=""),1,0)</f>
        <v>0</v>
      </c>
      <c r="AS67" s="52">
        <f>IF(AND(COUNTA($A67:$L67)&gt;0,ISNUMBER($S67)),IF($S67&lt;0,1,0),0)</f>
        <v>0</v>
      </c>
      <c r="AT67" s="52">
        <f>$W67</f>
        <v>0</v>
      </c>
      <c r="AU67" s="52">
        <f>$AT67+$X67</f>
        <v>0</v>
      </c>
      <c r="AV67" s="52">
        <f>$AU67+$Y67</f>
        <v>0</v>
      </c>
      <c r="AW67" s="52">
        <f>$AV67+$Z67</f>
        <v>0</v>
      </c>
      <c r="AX67" s="52">
        <f>$AW67+$AA67</f>
        <v>0</v>
      </c>
      <c r="AY67" s="52">
        <f>$AX67+$AB67</f>
        <v>0</v>
      </c>
      <c r="AZ67" s="52">
        <f>$AY67+$AC67</f>
        <v>0</v>
      </c>
      <c r="BA67" s="52">
        <f>$AZ67+$AD67</f>
        <v>0</v>
      </c>
      <c r="BB67" s="52">
        <f>$BA67+$AE67</f>
        <v>0</v>
      </c>
      <c r="BC67" s="52">
        <f>$BB67+$AF67</f>
        <v>0</v>
      </c>
      <c r="BD67" s="52">
        <f>$BC67+$AG67</f>
        <v>0</v>
      </c>
      <c r="BE67" s="52">
        <f>$BD67+$AH67</f>
        <v>0</v>
      </c>
      <c r="BF67" s="52">
        <f>$BE67+$AI67</f>
        <v>0</v>
      </c>
      <c r="BG67" s="52">
        <f>$BF67+$AJ67</f>
        <v>0</v>
      </c>
      <c r="BH67" s="52">
        <f>$BG67+$AK67</f>
        <v>0</v>
      </c>
      <c r="BI67" s="52">
        <f>$BH67+$AL67</f>
        <v>0</v>
      </c>
      <c r="BJ67" s="52">
        <f>$BI67+$AM67</f>
        <v>0</v>
      </c>
      <c r="BK67" s="52">
        <f>$BJ67+$AN67</f>
        <v>0</v>
      </c>
      <c r="BL67" s="52">
        <f>$BK67+$AO67</f>
        <v>0</v>
      </c>
      <c r="BM67" s="52">
        <f>$BL67+$AP67</f>
        <v>0</v>
      </c>
      <c r="BN67" s="52">
        <f>$BM67+$AQ67</f>
        <v>0</v>
      </c>
      <c r="BO67" s="52">
        <f>$BN67+$AR67</f>
        <v>0</v>
      </c>
      <c r="BP67" s="52">
        <f>$BO67+$AS67</f>
        <v>0</v>
      </c>
      <c r="BQ67" s="52">
        <f>SUM($T$1:$T66)</f>
        <v>11</v>
      </c>
      <c r="BR67" s="52" t="str">
        <f>IF(ISNUMBER($T67),IF($T67&gt;0,COUNTIF($T$2:$T67,"&gt;0"),""),"")</f>
        <v/>
      </c>
      <c r="BS67" s="52" t="str">
        <f>IF($BR67="","",$BQ67+$T67)</f>
        <v/>
      </c>
      <c r="BT67" s="52" t="str">
        <f>IF($U67="Ready",COUNTIF($U$2:$U67,"Ready"),"")</f>
        <v/>
      </c>
      <c r="BU67" s="52">
        <f>IF(AND($U67="Ready",$C67="Receipt"),IF(COUNTIF(Batches!$A$2:$A$301,$F67)+COUNTIFS($F$1:$F66,$F67,$C$1:$C66,"Receipt",$U$1:$U66,"Ready")=0,1,0),0)</f>
        <v>0</v>
      </c>
      <c r="BV67" s="52" t="str">
        <f>IF($BU67=1,SUM($BU$2:$BU67),"")</f>
        <v/>
      </c>
    </row>
    <row r="68">
      <c r="A68" s="46" t="n"/>
      <c r="B68" s="46" t="n"/>
      <c r="C68" s="46" t="n"/>
      <c r="D68" s="46" t="n"/>
      <c r="E68" s="46" t="n"/>
      <c r="F68" s="46" t="n"/>
      <c r="G68" s="46" t="n"/>
      <c r="H68" s="46" t="n"/>
      <c r="I68" s="46" t="n"/>
      <c r="J68" s="46" t="n"/>
      <c r="K68" s="46" t="n"/>
      <c r="L68" s="46" t="n"/>
      <c r="M68" s="62" t="str">
        <f>IF($B68="","",IF(ISNUMBER($B68),$B68,IF(AND(LEN($B68)=10,MID($B68,5,1)="-",MID($B68,8,1)="-"),IFERROR(IF(AND(MONTH(DATE(VALUE(LEFT($B68,4)),VALUE(MID($B68,6,2)),VALUE(RIGHT($B68,2))))=VALUE(MID($B68,6,2)),DAY(DATE(VALUE(LEFT($B68,4)),VALUE(MID($B68,6,2)),VALUE(RIGHT($B68,2))))=VALUE(RIGHT($B68,2))),DATE(VALUE(LEFT($B68,4)),VALUE(MID($B68,6,2)),VALUE(RIGHT($B68,2))),"ERR"),"ERR"),"ERR")))</f>
        <v/>
      </c>
      <c r="N68" s="62" t="str">
        <f>IF($G68="","",IF(ISNUMBER($G68),$G68,IF(AND(LEN($G68)=10,MID($G68,5,1)="-",MID($G68,8,1)="-"),IFERROR(IF(AND(MONTH(DATE(VALUE(LEFT($G68,4)),VALUE(MID($G68,6,2)),VALUE(RIGHT($G68,2))))=VALUE(MID($G68,6,2)),DAY(DATE(VALUE(LEFT($G68,4)),VALUE(MID($G68,6,2)),VALUE(RIGHT($G68,2))))=VALUE(RIGHT($G68,2))),DATE(VALUE(LEFT($G68,4)),VALUE(MID($G68,6,2)),VALUE(RIGHT($G68,2))),"ERR"),"ERR"),"ERR")))</f>
        <v/>
      </c>
      <c r="O68" s="51" t="str">
        <f>IF($H68="","",IF(ISNUMBER($H68),$H68,IFERROR(VALUE($H68),"ERR")))</f>
        <v/>
      </c>
      <c r="P68" s="51" t="str">
        <f>IF(AND(ISNUMBER($O68),OR($C68="Receipt",$C68="Shipment",$C68="Adjustment")),IF($C68="Shipment",-$O68,$O68),"")</f>
        <v/>
      </c>
      <c r="Q68" s="51" t="str">
        <f>IF($D68="","",IFERROR(INDEX(Products!$R$2:$R$101,MATCH($D68,Products!$A$2:$A$101,0)),""))</f>
        <v/>
      </c>
      <c r="R68" s="51" t="str">
        <f>IF(OR($Q68="",$P68=""),"",$Q68+SUMIFS($P$1:$P67,$D$1:$D67,$D68,$U$1:$U67,"Ready"))</f>
        <v/>
      </c>
      <c r="S68" s="51" t="str">
        <f>IF($R68="","",$R68+$P68)</f>
        <v/>
      </c>
      <c r="T68" s="52" t="str">
        <f>IF(COUNTA($A68:$L68)&gt;0,$BP68,"")</f>
        <v/>
      </c>
      <c r="U68" s="49" t="str">
        <f>IF($T68="","",IF($T68=0,"Ready","Rejected"))</f>
        <v/>
      </c>
      <c r="V68" s="49" t="str">
        <f>IF(OR($T68="",$T68=0),"",INDEX(Config!$D$39:$D$61,MATCH(1,$AT68:$BP68,0))&amp;IF($T68&gt;1," (+"&amp;($T68-1)&amp;" more)",""))</f>
        <v/>
      </c>
      <c r="W68" s="52">
        <f>IF(AND(COUNTA($A68:$L68)&gt;0,$A68=""),1,0)</f>
        <v>0</v>
      </c>
      <c r="X68" s="52">
        <f>IF(AND(COUNTA($A68:$L68)&gt;0,$A68&lt;&gt;""),IF(COUNTIF($A$1:$A67,$A68)&gt;0,1,0),0)</f>
        <v>0</v>
      </c>
      <c r="Y68" s="52">
        <f>IF(AND(COUNTA($A68:$L68)&gt;0,$A68&lt;&gt;""),IF(COUNTIF(Inventory_Ledger!$A$2:$A$2001,$A68)&gt;0,1,0),0)</f>
        <v>0</v>
      </c>
      <c r="Z68" s="52">
        <f>IF(AND(COUNTA($A68:$L68)&gt;0,$B68=""),1,0)</f>
        <v>0</v>
      </c>
      <c r="AA68" s="52">
        <f>IF(AND(COUNTA($A68:$L68)&gt;0,$B68&lt;&gt;""),IF($M68="ERR",1,0),0)</f>
        <v>0</v>
      </c>
      <c r="AB68" s="52">
        <f>IF(AND(COUNTA($A68:$L68)&gt;0,ISNUMBER($M68)),IF($M68&gt;Config!$B$4,1,0),0)</f>
        <v>0</v>
      </c>
      <c r="AC68" s="52">
        <f>IF(AND(COUNTA($A68:$L68)&gt;0,$C68=""),1,0)</f>
        <v>0</v>
      </c>
      <c r="AD68" s="52">
        <f>IF(AND(COUNTA($A68:$L68)&gt;0,$C68&lt;&gt;""),IF(COUNTIF(Config!$A$15:$A$34,$C68)=0,1,0),0)</f>
        <v>0</v>
      </c>
      <c r="AE68" s="52">
        <f>IF(AND(COUNTA($A68:$L68)&gt;0,$D68=""),1,0)</f>
        <v>0</v>
      </c>
      <c r="AF68" s="52">
        <f>IF(AND(COUNTA($A68:$L68)&gt;0,$D68&lt;&gt;""),IF(COUNTIF(Products!$A$2:$A$101,$D68)=0,1,0),0)</f>
        <v>0</v>
      </c>
      <c r="AG68" s="52">
        <f>IF(AND(COUNTA($A68:$L68)&gt;0,$C68="Receipt",$E68=""),1,0)</f>
        <v>0</v>
      </c>
      <c r="AH68" s="52">
        <f>IF(AND(COUNTA($A68:$L68)&gt;0,$E68&lt;&gt;""),IF(COUNTIF(Suppliers!$A$2:$A$51,$E68)=0,1,0),0)</f>
        <v>0</v>
      </c>
      <c r="AI68" s="52">
        <f>IF(AND(COUNTA($A68:$L68)&gt;0,$F68=""),1,0)</f>
        <v>0</v>
      </c>
      <c r="AJ68" s="52">
        <f>IF(AND(COUNTA($A68:$L68)&gt;0,$F68&lt;&gt;"",$D68&lt;&gt;"",OR($C68="Shipment",$C68="Adjustment")),IF($AF68=1,0,IF(COUNTIFS(Batches!$A$2:$A$301,$F68,Batches!$B$2:$B$301,$D68)+COUNTIFS($F$1:$F67,$F68,$D$1:$D67,$D68,$C$1:$C67,"Receipt")=0,1,0)),0)</f>
        <v>0</v>
      </c>
      <c r="AK68" s="52">
        <f>IF(AND(COUNTA($A68:$L68)&gt;0,$C68="Receipt",$G68=""),1,0)</f>
        <v>0</v>
      </c>
      <c r="AL68" s="52">
        <f>IF(AND(COUNTA($A68:$L68)&gt;0,$G68&lt;&gt;""),IF($N68="ERR",1,0),0)</f>
        <v>0</v>
      </c>
      <c r="AM68" s="52">
        <f>IF(AND(COUNTA($A68:$L68)&gt;0,$H68=""),1,0)</f>
        <v>0</v>
      </c>
      <c r="AN68" s="52">
        <f>IF(AND(COUNTA($A68:$L68)&gt;0,$H68&lt;&gt;""),IF($O68="ERR",1,IF(INT($O68)&lt;&gt;$O68,1,IF(AND(OR($C68="Receipt",$C68="Shipment"),$O68&lt;=0),1,IF(AND($C68="Adjustment",$O68=0),1,0)))),0)</f>
        <v>0</v>
      </c>
      <c r="AO68" s="52">
        <f>IF(AND(COUNTA($A68:$L68)&gt;0,$C68="Receipt",$I68=""),1,0)</f>
        <v>0</v>
      </c>
      <c r="AP68" s="52">
        <f>IF(AND(COUNTA($A68:$L68)&gt;0,$I68&lt;&gt;""),IF(IFERROR(INDEX(Config!$G$15:$G$34,MATCH($I68,Config!$E$15:$E$34,0)),"No")="Yes",0,1),0)</f>
        <v>0</v>
      </c>
      <c r="AQ68" s="52">
        <f>IF(AND(COUNTA($A68:$L68)&gt;0,$C68="Adjustment",$J68=""),1,0)</f>
        <v>0</v>
      </c>
      <c r="AR68" s="52">
        <f>IF(AND(COUNTA($A68:$L68)&gt;0,$L68=""),1,0)</f>
        <v>0</v>
      </c>
      <c r="AS68" s="52">
        <f>IF(AND(COUNTA($A68:$L68)&gt;0,ISNUMBER($S68)),IF($S68&lt;0,1,0),0)</f>
        <v>0</v>
      </c>
      <c r="AT68" s="52">
        <f>$W68</f>
        <v>0</v>
      </c>
      <c r="AU68" s="52">
        <f>$AT68+$X68</f>
        <v>0</v>
      </c>
      <c r="AV68" s="52">
        <f>$AU68+$Y68</f>
        <v>0</v>
      </c>
      <c r="AW68" s="52">
        <f>$AV68+$Z68</f>
        <v>0</v>
      </c>
      <c r="AX68" s="52">
        <f>$AW68+$AA68</f>
        <v>0</v>
      </c>
      <c r="AY68" s="52">
        <f>$AX68+$AB68</f>
        <v>0</v>
      </c>
      <c r="AZ68" s="52">
        <f>$AY68+$AC68</f>
        <v>0</v>
      </c>
      <c r="BA68" s="52">
        <f>$AZ68+$AD68</f>
        <v>0</v>
      </c>
      <c r="BB68" s="52">
        <f>$BA68+$AE68</f>
        <v>0</v>
      </c>
      <c r="BC68" s="52">
        <f>$BB68+$AF68</f>
        <v>0</v>
      </c>
      <c r="BD68" s="52">
        <f>$BC68+$AG68</f>
        <v>0</v>
      </c>
      <c r="BE68" s="52">
        <f>$BD68+$AH68</f>
        <v>0</v>
      </c>
      <c r="BF68" s="52">
        <f>$BE68+$AI68</f>
        <v>0</v>
      </c>
      <c r="BG68" s="52">
        <f>$BF68+$AJ68</f>
        <v>0</v>
      </c>
      <c r="BH68" s="52">
        <f>$BG68+$AK68</f>
        <v>0</v>
      </c>
      <c r="BI68" s="52">
        <f>$BH68+$AL68</f>
        <v>0</v>
      </c>
      <c r="BJ68" s="52">
        <f>$BI68+$AM68</f>
        <v>0</v>
      </c>
      <c r="BK68" s="52">
        <f>$BJ68+$AN68</f>
        <v>0</v>
      </c>
      <c r="BL68" s="52">
        <f>$BK68+$AO68</f>
        <v>0</v>
      </c>
      <c r="BM68" s="52">
        <f>$BL68+$AP68</f>
        <v>0</v>
      </c>
      <c r="BN68" s="52">
        <f>$BM68+$AQ68</f>
        <v>0</v>
      </c>
      <c r="BO68" s="52">
        <f>$BN68+$AR68</f>
        <v>0</v>
      </c>
      <c r="BP68" s="52">
        <f>$BO68+$AS68</f>
        <v>0</v>
      </c>
      <c r="BQ68" s="52">
        <f>SUM($T$1:$T67)</f>
        <v>11</v>
      </c>
      <c r="BR68" s="52" t="str">
        <f>IF(ISNUMBER($T68),IF($T68&gt;0,COUNTIF($T$2:$T68,"&gt;0"),""),"")</f>
        <v/>
      </c>
      <c r="BS68" s="52" t="str">
        <f>IF($BR68="","",$BQ68+$T68)</f>
        <v/>
      </c>
      <c r="BT68" s="52" t="str">
        <f>IF($U68="Ready",COUNTIF($U$2:$U68,"Ready"),"")</f>
        <v/>
      </c>
      <c r="BU68" s="52">
        <f>IF(AND($U68="Ready",$C68="Receipt"),IF(COUNTIF(Batches!$A$2:$A$301,$F68)+COUNTIFS($F$1:$F67,$F68,$C$1:$C67,"Receipt",$U$1:$U67,"Ready")=0,1,0),0)</f>
        <v>0</v>
      </c>
      <c r="BV68" s="52" t="str">
        <f>IF($BU68=1,SUM($BU$2:$BU68),"")</f>
        <v/>
      </c>
    </row>
    <row r="69">
      <c r="A69" s="46" t="n"/>
      <c r="B69" s="46" t="n"/>
      <c r="C69" s="46" t="n"/>
      <c r="D69" s="46" t="n"/>
      <c r="E69" s="46" t="n"/>
      <c r="F69" s="46" t="n"/>
      <c r="G69" s="46" t="n"/>
      <c r="H69" s="46" t="n"/>
      <c r="I69" s="46" t="n"/>
      <c r="J69" s="46" t="n"/>
      <c r="K69" s="46" t="n"/>
      <c r="L69" s="46" t="n"/>
      <c r="M69" s="62" t="str">
        <f>IF($B69="","",IF(ISNUMBER($B69),$B69,IF(AND(LEN($B69)=10,MID($B69,5,1)="-",MID($B69,8,1)="-"),IFERROR(IF(AND(MONTH(DATE(VALUE(LEFT($B69,4)),VALUE(MID($B69,6,2)),VALUE(RIGHT($B69,2))))=VALUE(MID($B69,6,2)),DAY(DATE(VALUE(LEFT($B69,4)),VALUE(MID($B69,6,2)),VALUE(RIGHT($B69,2))))=VALUE(RIGHT($B69,2))),DATE(VALUE(LEFT($B69,4)),VALUE(MID($B69,6,2)),VALUE(RIGHT($B69,2))),"ERR"),"ERR"),"ERR")))</f>
        <v/>
      </c>
      <c r="N69" s="62" t="str">
        <f>IF($G69="","",IF(ISNUMBER($G69),$G69,IF(AND(LEN($G69)=10,MID($G69,5,1)="-",MID($G69,8,1)="-"),IFERROR(IF(AND(MONTH(DATE(VALUE(LEFT($G69,4)),VALUE(MID($G69,6,2)),VALUE(RIGHT($G69,2))))=VALUE(MID($G69,6,2)),DAY(DATE(VALUE(LEFT($G69,4)),VALUE(MID($G69,6,2)),VALUE(RIGHT($G69,2))))=VALUE(RIGHT($G69,2))),DATE(VALUE(LEFT($G69,4)),VALUE(MID($G69,6,2)),VALUE(RIGHT($G69,2))),"ERR"),"ERR"),"ERR")))</f>
        <v/>
      </c>
      <c r="O69" s="51" t="str">
        <f>IF($H69="","",IF(ISNUMBER($H69),$H69,IFERROR(VALUE($H69),"ERR")))</f>
        <v/>
      </c>
      <c r="P69" s="51" t="str">
        <f>IF(AND(ISNUMBER($O69),OR($C69="Receipt",$C69="Shipment",$C69="Adjustment")),IF($C69="Shipment",-$O69,$O69),"")</f>
        <v/>
      </c>
      <c r="Q69" s="51" t="str">
        <f>IF($D69="","",IFERROR(INDEX(Products!$R$2:$R$101,MATCH($D69,Products!$A$2:$A$101,0)),""))</f>
        <v/>
      </c>
      <c r="R69" s="51" t="str">
        <f>IF(OR($Q69="",$P69=""),"",$Q69+SUMIFS($P$1:$P68,$D$1:$D68,$D69,$U$1:$U68,"Ready"))</f>
        <v/>
      </c>
      <c r="S69" s="51" t="str">
        <f>IF($R69="","",$R69+$P69)</f>
        <v/>
      </c>
      <c r="T69" s="52" t="str">
        <f>IF(COUNTA($A69:$L69)&gt;0,$BP69,"")</f>
        <v/>
      </c>
      <c r="U69" s="49" t="str">
        <f>IF($T69="","",IF($T69=0,"Ready","Rejected"))</f>
        <v/>
      </c>
      <c r="V69" s="49" t="str">
        <f>IF(OR($T69="",$T69=0),"",INDEX(Config!$D$39:$D$61,MATCH(1,$AT69:$BP69,0))&amp;IF($T69&gt;1," (+"&amp;($T69-1)&amp;" more)",""))</f>
        <v/>
      </c>
      <c r="W69" s="52">
        <f>IF(AND(COUNTA($A69:$L69)&gt;0,$A69=""),1,0)</f>
        <v>0</v>
      </c>
      <c r="X69" s="52">
        <f>IF(AND(COUNTA($A69:$L69)&gt;0,$A69&lt;&gt;""),IF(COUNTIF($A$1:$A68,$A69)&gt;0,1,0),0)</f>
        <v>0</v>
      </c>
      <c r="Y69" s="52">
        <f>IF(AND(COUNTA($A69:$L69)&gt;0,$A69&lt;&gt;""),IF(COUNTIF(Inventory_Ledger!$A$2:$A$2001,$A69)&gt;0,1,0),0)</f>
        <v>0</v>
      </c>
      <c r="Z69" s="52">
        <f>IF(AND(COUNTA($A69:$L69)&gt;0,$B69=""),1,0)</f>
        <v>0</v>
      </c>
      <c r="AA69" s="52">
        <f>IF(AND(COUNTA($A69:$L69)&gt;0,$B69&lt;&gt;""),IF($M69="ERR",1,0),0)</f>
        <v>0</v>
      </c>
      <c r="AB69" s="52">
        <f>IF(AND(COUNTA($A69:$L69)&gt;0,ISNUMBER($M69)),IF($M69&gt;Config!$B$4,1,0),0)</f>
        <v>0</v>
      </c>
      <c r="AC69" s="52">
        <f>IF(AND(COUNTA($A69:$L69)&gt;0,$C69=""),1,0)</f>
        <v>0</v>
      </c>
      <c r="AD69" s="52">
        <f>IF(AND(COUNTA($A69:$L69)&gt;0,$C69&lt;&gt;""),IF(COUNTIF(Config!$A$15:$A$34,$C69)=0,1,0),0)</f>
        <v>0</v>
      </c>
      <c r="AE69" s="52">
        <f>IF(AND(COUNTA($A69:$L69)&gt;0,$D69=""),1,0)</f>
        <v>0</v>
      </c>
      <c r="AF69" s="52">
        <f>IF(AND(COUNTA($A69:$L69)&gt;0,$D69&lt;&gt;""),IF(COUNTIF(Products!$A$2:$A$101,$D69)=0,1,0),0)</f>
        <v>0</v>
      </c>
      <c r="AG69" s="52">
        <f>IF(AND(COUNTA($A69:$L69)&gt;0,$C69="Receipt",$E69=""),1,0)</f>
        <v>0</v>
      </c>
      <c r="AH69" s="52">
        <f>IF(AND(COUNTA($A69:$L69)&gt;0,$E69&lt;&gt;""),IF(COUNTIF(Suppliers!$A$2:$A$51,$E69)=0,1,0),0)</f>
        <v>0</v>
      </c>
      <c r="AI69" s="52">
        <f>IF(AND(COUNTA($A69:$L69)&gt;0,$F69=""),1,0)</f>
        <v>0</v>
      </c>
      <c r="AJ69" s="52">
        <f>IF(AND(COUNTA($A69:$L69)&gt;0,$F69&lt;&gt;"",$D69&lt;&gt;"",OR($C69="Shipment",$C69="Adjustment")),IF($AF69=1,0,IF(COUNTIFS(Batches!$A$2:$A$301,$F69,Batches!$B$2:$B$301,$D69)+COUNTIFS($F$1:$F68,$F69,$D$1:$D68,$D69,$C$1:$C68,"Receipt")=0,1,0)),0)</f>
        <v>0</v>
      </c>
      <c r="AK69" s="52">
        <f>IF(AND(COUNTA($A69:$L69)&gt;0,$C69="Receipt",$G69=""),1,0)</f>
        <v>0</v>
      </c>
      <c r="AL69" s="52">
        <f>IF(AND(COUNTA($A69:$L69)&gt;0,$G69&lt;&gt;""),IF($N69="ERR",1,0),0)</f>
        <v>0</v>
      </c>
      <c r="AM69" s="52">
        <f>IF(AND(COUNTA($A69:$L69)&gt;0,$H69=""),1,0)</f>
        <v>0</v>
      </c>
      <c r="AN69" s="52">
        <f>IF(AND(COUNTA($A69:$L69)&gt;0,$H69&lt;&gt;""),IF($O69="ERR",1,IF(INT($O69)&lt;&gt;$O69,1,IF(AND(OR($C69="Receipt",$C69="Shipment"),$O69&lt;=0),1,IF(AND($C69="Adjustment",$O69=0),1,0)))),0)</f>
        <v>0</v>
      </c>
      <c r="AO69" s="52">
        <f>IF(AND(COUNTA($A69:$L69)&gt;0,$C69="Receipt",$I69=""),1,0)</f>
        <v>0</v>
      </c>
      <c r="AP69" s="52">
        <f>IF(AND(COUNTA($A69:$L69)&gt;0,$I69&lt;&gt;""),IF(IFERROR(INDEX(Config!$G$15:$G$34,MATCH($I69,Config!$E$15:$E$34,0)),"No")="Yes",0,1),0)</f>
        <v>0</v>
      </c>
      <c r="AQ69" s="52">
        <f>IF(AND(COUNTA($A69:$L69)&gt;0,$C69="Adjustment",$J69=""),1,0)</f>
        <v>0</v>
      </c>
      <c r="AR69" s="52">
        <f>IF(AND(COUNTA($A69:$L69)&gt;0,$L69=""),1,0)</f>
        <v>0</v>
      </c>
      <c r="AS69" s="52">
        <f>IF(AND(COUNTA($A69:$L69)&gt;0,ISNUMBER($S69)),IF($S69&lt;0,1,0),0)</f>
        <v>0</v>
      </c>
      <c r="AT69" s="52">
        <f>$W69</f>
        <v>0</v>
      </c>
      <c r="AU69" s="52">
        <f>$AT69+$X69</f>
        <v>0</v>
      </c>
      <c r="AV69" s="52">
        <f>$AU69+$Y69</f>
        <v>0</v>
      </c>
      <c r="AW69" s="52">
        <f>$AV69+$Z69</f>
        <v>0</v>
      </c>
      <c r="AX69" s="52">
        <f>$AW69+$AA69</f>
        <v>0</v>
      </c>
      <c r="AY69" s="52">
        <f>$AX69+$AB69</f>
        <v>0</v>
      </c>
      <c r="AZ69" s="52">
        <f>$AY69+$AC69</f>
        <v>0</v>
      </c>
      <c r="BA69" s="52">
        <f>$AZ69+$AD69</f>
        <v>0</v>
      </c>
      <c r="BB69" s="52">
        <f>$BA69+$AE69</f>
        <v>0</v>
      </c>
      <c r="BC69" s="52">
        <f>$BB69+$AF69</f>
        <v>0</v>
      </c>
      <c r="BD69" s="52">
        <f>$BC69+$AG69</f>
        <v>0</v>
      </c>
      <c r="BE69" s="52">
        <f>$BD69+$AH69</f>
        <v>0</v>
      </c>
      <c r="BF69" s="52">
        <f>$BE69+$AI69</f>
        <v>0</v>
      </c>
      <c r="BG69" s="52">
        <f>$BF69+$AJ69</f>
        <v>0</v>
      </c>
      <c r="BH69" s="52">
        <f>$BG69+$AK69</f>
        <v>0</v>
      </c>
      <c r="BI69" s="52">
        <f>$BH69+$AL69</f>
        <v>0</v>
      </c>
      <c r="BJ69" s="52">
        <f>$BI69+$AM69</f>
        <v>0</v>
      </c>
      <c r="BK69" s="52">
        <f>$BJ69+$AN69</f>
        <v>0</v>
      </c>
      <c r="BL69" s="52">
        <f>$BK69+$AO69</f>
        <v>0</v>
      </c>
      <c r="BM69" s="52">
        <f>$BL69+$AP69</f>
        <v>0</v>
      </c>
      <c r="BN69" s="52">
        <f>$BM69+$AQ69</f>
        <v>0</v>
      </c>
      <c r="BO69" s="52">
        <f>$BN69+$AR69</f>
        <v>0</v>
      </c>
      <c r="BP69" s="52">
        <f>$BO69+$AS69</f>
        <v>0</v>
      </c>
      <c r="BQ69" s="52">
        <f>SUM($T$1:$T68)</f>
        <v>11</v>
      </c>
      <c r="BR69" s="52" t="str">
        <f>IF(ISNUMBER($T69),IF($T69&gt;0,COUNTIF($T$2:$T69,"&gt;0"),""),"")</f>
        <v/>
      </c>
      <c r="BS69" s="52" t="str">
        <f>IF($BR69="","",$BQ69+$T69)</f>
        <v/>
      </c>
      <c r="BT69" s="52" t="str">
        <f>IF($U69="Ready",COUNTIF($U$2:$U69,"Ready"),"")</f>
        <v/>
      </c>
      <c r="BU69" s="52">
        <f>IF(AND($U69="Ready",$C69="Receipt"),IF(COUNTIF(Batches!$A$2:$A$301,$F69)+COUNTIFS($F$1:$F68,$F69,$C$1:$C68,"Receipt",$U$1:$U68,"Ready")=0,1,0),0)</f>
        <v>0</v>
      </c>
      <c r="BV69" s="52" t="str">
        <f>IF($BU69=1,SUM($BU$2:$BU69),"")</f>
        <v/>
      </c>
    </row>
    <row r="70">
      <c r="A70" s="46" t="n"/>
      <c r="B70" s="46" t="n"/>
      <c r="C70" s="46" t="n"/>
      <c r="D70" s="46" t="n"/>
      <c r="E70" s="46" t="n"/>
      <c r="F70" s="46" t="n"/>
      <c r="G70" s="46" t="n"/>
      <c r="H70" s="46" t="n"/>
      <c r="I70" s="46" t="n"/>
      <c r="J70" s="46" t="n"/>
      <c r="K70" s="46" t="n"/>
      <c r="L70" s="46" t="n"/>
      <c r="M70" s="62" t="str">
        <f>IF($B70="","",IF(ISNUMBER($B70),$B70,IF(AND(LEN($B70)=10,MID($B70,5,1)="-",MID($B70,8,1)="-"),IFERROR(IF(AND(MONTH(DATE(VALUE(LEFT($B70,4)),VALUE(MID($B70,6,2)),VALUE(RIGHT($B70,2))))=VALUE(MID($B70,6,2)),DAY(DATE(VALUE(LEFT($B70,4)),VALUE(MID($B70,6,2)),VALUE(RIGHT($B70,2))))=VALUE(RIGHT($B70,2))),DATE(VALUE(LEFT($B70,4)),VALUE(MID($B70,6,2)),VALUE(RIGHT($B70,2))),"ERR"),"ERR"),"ERR")))</f>
        <v/>
      </c>
      <c r="N70" s="62" t="str">
        <f>IF($G70="","",IF(ISNUMBER($G70),$G70,IF(AND(LEN($G70)=10,MID($G70,5,1)="-",MID($G70,8,1)="-"),IFERROR(IF(AND(MONTH(DATE(VALUE(LEFT($G70,4)),VALUE(MID($G70,6,2)),VALUE(RIGHT($G70,2))))=VALUE(MID($G70,6,2)),DAY(DATE(VALUE(LEFT($G70,4)),VALUE(MID($G70,6,2)),VALUE(RIGHT($G70,2))))=VALUE(RIGHT($G70,2))),DATE(VALUE(LEFT($G70,4)),VALUE(MID($G70,6,2)),VALUE(RIGHT($G70,2))),"ERR"),"ERR"),"ERR")))</f>
        <v/>
      </c>
      <c r="O70" s="51" t="str">
        <f>IF($H70="","",IF(ISNUMBER($H70),$H70,IFERROR(VALUE($H70),"ERR")))</f>
        <v/>
      </c>
      <c r="P70" s="51" t="str">
        <f>IF(AND(ISNUMBER($O70),OR($C70="Receipt",$C70="Shipment",$C70="Adjustment")),IF($C70="Shipment",-$O70,$O70),"")</f>
        <v/>
      </c>
      <c r="Q70" s="51" t="str">
        <f>IF($D70="","",IFERROR(INDEX(Products!$R$2:$R$101,MATCH($D70,Products!$A$2:$A$101,0)),""))</f>
        <v/>
      </c>
      <c r="R70" s="51" t="str">
        <f>IF(OR($Q70="",$P70=""),"",$Q70+SUMIFS($P$1:$P69,$D$1:$D69,$D70,$U$1:$U69,"Ready"))</f>
        <v/>
      </c>
      <c r="S70" s="51" t="str">
        <f>IF($R70="","",$R70+$P70)</f>
        <v/>
      </c>
      <c r="T70" s="52" t="str">
        <f>IF(COUNTA($A70:$L70)&gt;0,$BP70,"")</f>
        <v/>
      </c>
      <c r="U70" s="49" t="str">
        <f>IF($T70="","",IF($T70=0,"Ready","Rejected"))</f>
        <v/>
      </c>
      <c r="V70" s="49" t="str">
        <f>IF(OR($T70="",$T70=0),"",INDEX(Config!$D$39:$D$61,MATCH(1,$AT70:$BP70,0))&amp;IF($T70&gt;1," (+"&amp;($T70-1)&amp;" more)",""))</f>
        <v/>
      </c>
      <c r="W70" s="52">
        <f>IF(AND(COUNTA($A70:$L70)&gt;0,$A70=""),1,0)</f>
        <v>0</v>
      </c>
      <c r="X70" s="52">
        <f>IF(AND(COUNTA($A70:$L70)&gt;0,$A70&lt;&gt;""),IF(COUNTIF($A$1:$A69,$A70)&gt;0,1,0),0)</f>
        <v>0</v>
      </c>
      <c r="Y70" s="52">
        <f>IF(AND(COUNTA($A70:$L70)&gt;0,$A70&lt;&gt;""),IF(COUNTIF(Inventory_Ledger!$A$2:$A$2001,$A70)&gt;0,1,0),0)</f>
        <v>0</v>
      </c>
      <c r="Z70" s="52">
        <f>IF(AND(COUNTA($A70:$L70)&gt;0,$B70=""),1,0)</f>
        <v>0</v>
      </c>
      <c r="AA70" s="52">
        <f>IF(AND(COUNTA($A70:$L70)&gt;0,$B70&lt;&gt;""),IF($M70="ERR",1,0),0)</f>
        <v>0</v>
      </c>
      <c r="AB70" s="52">
        <f>IF(AND(COUNTA($A70:$L70)&gt;0,ISNUMBER($M70)),IF($M70&gt;Config!$B$4,1,0),0)</f>
        <v>0</v>
      </c>
      <c r="AC70" s="52">
        <f>IF(AND(COUNTA($A70:$L70)&gt;0,$C70=""),1,0)</f>
        <v>0</v>
      </c>
      <c r="AD70" s="52">
        <f>IF(AND(COUNTA($A70:$L70)&gt;0,$C70&lt;&gt;""),IF(COUNTIF(Config!$A$15:$A$34,$C70)=0,1,0),0)</f>
        <v>0</v>
      </c>
      <c r="AE70" s="52">
        <f>IF(AND(COUNTA($A70:$L70)&gt;0,$D70=""),1,0)</f>
        <v>0</v>
      </c>
      <c r="AF70" s="52">
        <f>IF(AND(COUNTA($A70:$L70)&gt;0,$D70&lt;&gt;""),IF(COUNTIF(Products!$A$2:$A$101,$D70)=0,1,0),0)</f>
        <v>0</v>
      </c>
      <c r="AG70" s="52">
        <f>IF(AND(COUNTA($A70:$L70)&gt;0,$C70="Receipt",$E70=""),1,0)</f>
        <v>0</v>
      </c>
      <c r="AH70" s="52">
        <f>IF(AND(COUNTA($A70:$L70)&gt;0,$E70&lt;&gt;""),IF(COUNTIF(Suppliers!$A$2:$A$51,$E70)=0,1,0),0)</f>
        <v>0</v>
      </c>
      <c r="AI70" s="52">
        <f>IF(AND(COUNTA($A70:$L70)&gt;0,$F70=""),1,0)</f>
        <v>0</v>
      </c>
      <c r="AJ70" s="52">
        <f>IF(AND(COUNTA($A70:$L70)&gt;0,$F70&lt;&gt;"",$D70&lt;&gt;"",OR($C70="Shipment",$C70="Adjustment")),IF($AF70=1,0,IF(COUNTIFS(Batches!$A$2:$A$301,$F70,Batches!$B$2:$B$301,$D70)+COUNTIFS($F$1:$F69,$F70,$D$1:$D69,$D70,$C$1:$C69,"Receipt")=0,1,0)),0)</f>
        <v>0</v>
      </c>
      <c r="AK70" s="52">
        <f>IF(AND(COUNTA($A70:$L70)&gt;0,$C70="Receipt",$G70=""),1,0)</f>
        <v>0</v>
      </c>
      <c r="AL70" s="52">
        <f>IF(AND(COUNTA($A70:$L70)&gt;0,$G70&lt;&gt;""),IF($N70="ERR",1,0),0)</f>
        <v>0</v>
      </c>
      <c r="AM70" s="52">
        <f>IF(AND(COUNTA($A70:$L70)&gt;0,$H70=""),1,0)</f>
        <v>0</v>
      </c>
      <c r="AN70" s="52">
        <f>IF(AND(COUNTA($A70:$L70)&gt;0,$H70&lt;&gt;""),IF($O70="ERR",1,IF(INT($O70)&lt;&gt;$O70,1,IF(AND(OR($C70="Receipt",$C70="Shipment"),$O70&lt;=0),1,IF(AND($C70="Adjustment",$O70=0),1,0)))),0)</f>
        <v>0</v>
      </c>
      <c r="AO70" s="52">
        <f>IF(AND(COUNTA($A70:$L70)&gt;0,$C70="Receipt",$I70=""),1,0)</f>
        <v>0</v>
      </c>
      <c r="AP70" s="52">
        <f>IF(AND(COUNTA($A70:$L70)&gt;0,$I70&lt;&gt;""),IF(IFERROR(INDEX(Config!$G$15:$G$34,MATCH($I70,Config!$E$15:$E$34,0)),"No")="Yes",0,1),0)</f>
        <v>0</v>
      </c>
      <c r="AQ70" s="52">
        <f>IF(AND(COUNTA($A70:$L70)&gt;0,$C70="Adjustment",$J70=""),1,0)</f>
        <v>0</v>
      </c>
      <c r="AR70" s="52">
        <f>IF(AND(COUNTA($A70:$L70)&gt;0,$L70=""),1,0)</f>
        <v>0</v>
      </c>
      <c r="AS70" s="52">
        <f>IF(AND(COUNTA($A70:$L70)&gt;0,ISNUMBER($S70)),IF($S70&lt;0,1,0),0)</f>
        <v>0</v>
      </c>
      <c r="AT70" s="52">
        <f>$W70</f>
        <v>0</v>
      </c>
      <c r="AU70" s="52">
        <f>$AT70+$X70</f>
        <v>0</v>
      </c>
      <c r="AV70" s="52">
        <f>$AU70+$Y70</f>
        <v>0</v>
      </c>
      <c r="AW70" s="52">
        <f>$AV70+$Z70</f>
        <v>0</v>
      </c>
      <c r="AX70" s="52">
        <f>$AW70+$AA70</f>
        <v>0</v>
      </c>
      <c r="AY70" s="52">
        <f>$AX70+$AB70</f>
        <v>0</v>
      </c>
      <c r="AZ70" s="52">
        <f>$AY70+$AC70</f>
        <v>0</v>
      </c>
      <c r="BA70" s="52">
        <f>$AZ70+$AD70</f>
        <v>0</v>
      </c>
      <c r="BB70" s="52">
        <f>$BA70+$AE70</f>
        <v>0</v>
      </c>
      <c r="BC70" s="52">
        <f>$BB70+$AF70</f>
        <v>0</v>
      </c>
      <c r="BD70" s="52">
        <f>$BC70+$AG70</f>
        <v>0</v>
      </c>
      <c r="BE70" s="52">
        <f>$BD70+$AH70</f>
        <v>0</v>
      </c>
      <c r="BF70" s="52">
        <f>$BE70+$AI70</f>
        <v>0</v>
      </c>
      <c r="BG70" s="52">
        <f>$BF70+$AJ70</f>
        <v>0</v>
      </c>
      <c r="BH70" s="52">
        <f>$BG70+$AK70</f>
        <v>0</v>
      </c>
      <c r="BI70" s="52">
        <f>$BH70+$AL70</f>
        <v>0</v>
      </c>
      <c r="BJ70" s="52">
        <f>$BI70+$AM70</f>
        <v>0</v>
      </c>
      <c r="BK70" s="52">
        <f>$BJ70+$AN70</f>
        <v>0</v>
      </c>
      <c r="BL70" s="52">
        <f>$BK70+$AO70</f>
        <v>0</v>
      </c>
      <c r="BM70" s="52">
        <f>$BL70+$AP70</f>
        <v>0</v>
      </c>
      <c r="BN70" s="52">
        <f>$BM70+$AQ70</f>
        <v>0</v>
      </c>
      <c r="BO70" s="52">
        <f>$BN70+$AR70</f>
        <v>0</v>
      </c>
      <c r="BP70" s="52">
        <f>$BO70+$AS70</f>
        <v>0</v>
      </c>
      <c r="BQ70" s="52">
        <f>SUM($T$1:$T69)</f>
        <v>11</v>
      </c>
      <c r="BR70" s="52" t="str">
        <f>IF(ISNUMBER($T70),IF($T70&gt;0,COUNTIF($T$2:$T70,"&gt;0"),""),"")</f>
        <v/>
      </c>
      <c r="BS70" s="52" t="str">
        <f>IF($BR70="","",$BQ70+$T70)</f>
        <v/>
      </c>
      <c r="BT70" s="52" t="str">
        <f>IF($U70="Ready",COUNTIF($U$2:$U70,"Ready"),"")</f>
        <v/>
      </c>
      <c r="BU70" s="52">
        <f>IF(AND($U70="Ready",$C70="Receipt"),IF(COUNTIF(Batches!$A$2:$A$301,$F70)+COUNTIFS($F$1:$F69,$F70,$C$1:$C69,"Receipt",$U$1:$U69,"Ready")=0,1,0),0)</f>
        <v>0</v>
      </c>
      <c r="BV70" s="52" t="str">
        <f>IF($BU70=1,SUM($BU$2:$BU70),"")</f>
        <v/>
      </c>
    </row>
    <row r="71">
      <c r="A71" s="46" t="n"/>
      <c r="B71" s="46" t="n"/>
      <c r="C71" s="46" t="n"/>
      <c r="D71" s="46" t="n"/>
      <c r="E71" s="46" t="n"/>
      <c r="F71" s="46" t="n"/>
      <c r="G71" s="46" t="n"/>
      <c r="H71" s="46" t="n"/>
      <c r="I71" s="46" t="n"/>
      <c r="J71" s="46" t="n"/>
      <c r="K71" s="46" t="n"/>
      <c r="L71" s="46" t="n"/>
      <c r="M71" s="62" t="str">
        <f>IF($B71="","",IF(ISNUMBER($B71),$B71,IF(AND(LEN($B71)=10,MID($B71,5,1)="-",MID($B71,8,1)="-"),IFERROR(IF(AND(MONTH(DATE(VALUE(LEFT($B71,4)),VALUE(MID($B71,6,2)),VALUE(RIGHT($B71,2))))=VALUE(MID($B71,6,2)),DAY(DATE(VALUE(LEFT($B71,4)),VALUE(MID($B71,6,2)),VALUE(RIGHT($B71,2))))=VALUE(RIGHT($B71,2))),DATE(VALUE(LEFT($B71,4)),VALUE(MID($B71,6,2)),VALUE(RIGHT($B71,2))),"ERR"),"ERR"),"ERR")))</f>
        <v/>
      </c>
      <c r="N71" s="62" t="str">
        <f>IF($G71="","",IF(ISNUMBER($G71),$G71,IF(AND(LEN($G71)=10,MID($G71,5,1)="-",MID($G71,8,1)="-"),IFERROR(IF(AND(MONTH(DATE(VALUE(LEFT($G71,4)),VALUE(MID($G71,6,2)),VALUE(RIGHT($G71,2))))=VALUE(MID($G71,6,2)),DAY(DATE(VALUE(LEFT($G71,4)),VALUE(MID($G71,6,2)),VALUE(RIGHT($G71,2))))=VALUE(RIGHT($G71,2))),DATE(VALUE(LEFT($G71,4)),VALUE(MID($G71,6,2)),VALUE(RIGHT($G71,2))),"ERR"),"ERR"),"ERR")))</f>
        <v/>
      </c>
      <c r="O71" s="51" t="str">
        <f>IF($H71="","",IF(ISNUMBER($H71),$H71,IFERROR(VALUE($H71),"ERR")))</f>
        <v/>
      </c>
      <c r="P71" s="51" t="str">
        <f>IF(AND(ISNUMBER($O71),OR($C71="Receipt",$C71="Shipment",$C71="Adjustment")),IF($C71="Shipment",-$O71,$O71),"")</f>
        <v/>
      </c>
      <c r="Q71" s="51" t="str">
        <f>IF($D71="","",IFERROR(INDEX(Products!$R$2:$R$101,MATCH($D71,Products!$A$2:$A$101,0)),""))</f>
        <v/>
      </c>
      <c r="R71" s="51" t="str">
        <f>IF(OR($Q71="",$P71=""),"",$Q71+SUMIFS($P$1:$P70,$D$1:$D70,$D71,$U$1:$U70,"Ready"))</f>
        <v/>
      </c>
      <c r="S71" s="51" t="str">
        <f>IF($R71="","",$R71+$P71)</f>
        <v/>
      </c>
      <c r="T71" s="52" t="str">
        <f>IF(COUNTA($A71:$L71)&gt;0,$BP71,"")</f>
        <v/>
      </c>
      <c r="U71" s="49" t="str">
        <f>IF($T71="","",IF($T71=0,"Ready","Rejected"))</f>
        <v/>
      </c>
      <c r="V71" s="49" t="str">
        <f>IF(OR($T71="",$T71=0),"",INDEX(Config!$D$39:$D$61,MATCH(1,$AT71:$BP71,0))&amp;IF($T71&gt;1," (+"&amp;($T71-1)&amp;" more)",""))</f>
        <v/>
      </c>
      <c r="W71" s="52">
        <f>IF(AND(COUNTA($A71:$L71)&gt;0,$A71=""),1,0)</f>
        <v>0</v>
      </c>
      <c r="X71" s="52">
        <f>IF(AND(COUNTA($A71:$L71)&gt;0,$A71&lt;&gt;""),IF(COUNTIF($A$1:$A70,$A71)&gt;0,1,0),0)</f>
        <v>0</v>
      </c>
      <c r="Y71" s="52">
        <f>IF(AND(COUNTA($A71:$L71)&gt;0,$A71&lt;&gt;""),IF(COUNTIF(Inventory_Ledger!$A$2:$A$2001,$A71)&gt;0,1,0),0)</f>
        <v>0</v>
      </c>
      <c r="Z71" s="52">
        <f>IF(AND(COUNTA($A71:$L71)&gt;0,$B71=""),1,0)</f>
        <v>0</v>
      </c>
      <c r="AA71" s="52">
        <f>IF(AND(COUNTA($A71:$L71)&gt;0,$B71&lt;&gt;""),IF($M71="ERR",1,0),0)</f>
        <v>0</v>
      </c>
      <c r="AB71" s="52">
        <f>IF(AND(COUNTA($A71:$L71)&gt;0,ISNUMBER($M71)),IF($M71&gt;Config!$B$4,1,0),0)</f>
        <v>0</v>
      </c>
      <c r="AC71" s="52">
        <f>IF(AND(COUNTA($A71:$L71)&gt;0,$C71=""),1,0)</f>
        <v>0</v>
      </c>
      <c r="AD71" s="52">
        <f>IF(AND(COUNTA($A71:$L71)&gt;0,$C71&lt;&gt;""),IF(COUNTIF(Config!$A$15:$A$34,$C71)=0,1,0),0)</f>
        <v>0</v>
      </c>
      <c r="AE71" s="52">
        <f>IF(AND(COUNTA($A71:$L71)&gt;0,$D71=""),1,0)</f>
        <v>0</v>
      </c>
      <c r="AF71" s="52">
        <f>IF(AND(COUNTA($A71:$L71)&gt;0,$D71&lt;&gt;""),IF(COUNTIF(Products!$A$2:$A$101,$D71)=0,1,0),0)</f>
        <v>0</v>
      </c>
      <c r="AG71" s="52">
        <f>IF(AND(COUNTA($A71:$L71)&gt;0,$C71="Receipt",$E71=""),1,0)</f>
        <v>0</v>
      </c>
      <c r="AH71" s="52">
        <f>IF(AND(COUNTA($A71:$L71)&gt;0,$E71&lt;&gt;""),IF(COUNTIF(Suppliers!$A$2:$A$51,$E71)=0,1,0),0)</f>
        <v>0</v>
      </c>
      <c r="AI71" s="52">
        <f>IF(AND(COUNTA($A71:$L71)&gt;0,$F71=""),1,0)</f>
        <v>0</v>
      </c>
      <c r="AJ71" s="52">
        <f>IF(AND(COUNTA($A71:$L71)&gt;0,$F71&lt;&gt;"",$D71&lt;&gt;"",OR($C71="Shipment",$C71="Adjustment")),IF($AF71=1,0,IF(COUNTIFS(Batches!$A$2:$A$301,$F71,Batches!$B$2:$B$301,$D71)+COUNTIFS($F$1:$F70,$F71,$D$1:$D70,$D71,$C$1:$C70,"Receipt")=0,1,0)),0)</f>
        <v>0</v>
      </c>
      <c r="AK71" s="52">
        <f>IF(AND(COUNTA($A71:$L71)&gt;0,$C71="Receipt",$G71=""),1,0)</f>
        <v>0</v>
      </c>
      <c r="AL71" s="52">
        <f>IF(AND(COUNTA($A71:$L71)&gt;0,$G71&lt;&gt;""),IF($N71="ERR",1,0),0)</f>
        <v>0</v>
      </c>
      <c r="AM71" s="52">
        <f>IF(AND(COUNTA($A71:$L71)&gt;0,$H71=""),1,0)</f>
        <v>0</v>
      </c>
      <c r="AN71" s="52">
        <f>IF(AND(COUNTA($A71:$L71)&gt;0,$H71&lt;&gt;""),IF($O71="ERR",1,IF(INT($O71)&lt;&gt;$O71,1,IF(AND(OR($C71="Receipt",$C71="Shipment"),$O71&lt;=0),1,IF(AND($C71="Adjustment",$O71=0),1,0)))),0)</f>
        <v>0</v>
      </c>
      <c r="AO71" s="52">
        <f>IF(AND(COUNTA($A71:$L71)&gt;0,$C71="Receipt",$I71=""),1,0)</f>
        <v>0</v>
      </c>
      <c r="AP71" s="52">
        <f>IF(AND(COUNTA($A71:$L71)&gt;0,$I71&lt;&gt;""),IF(IFERROR(INDEX(Config!$G$15:$G$34,MATCH($I71,Config!$E$15:$E$34,0)),"No")="Yes",0,1),0)</f>
        <v>0</v>
      </c>
      <c r="AQ71" s="52">
        <f>IF(AND(COUNTA($A71:$L71)&gt;0,$C71="Adjustment",$J71=""),1,0)</f>
        <v>0</v>
      </c>
      <c r="AR71" s="52">
        <f>IF(AND(COUNTA($A71:$L71)&gt;0,$L71=""),1,0)</f>
        <v>0</v>
      </c>
      <c r="AS71" s="52">
        <f>IF(AND(COUNTA($A71:$L71)&gt;0,ISNUMBER($S71)),IF($S71&lt;0,1,0),0)</f>
        <v>0</v>
      </c>
      <c r="AT71" s="52">
        <f>$W71</f>
        <v>0</v>
      </c>
      <c r="AU71" s="52">
        <f>$AT71+$X71</f>
        <v>0</v>
      </c>
      <c r="AV71" s="52">
        <f>$AU71+$Y71</f>
        <v>0</v>
      </c>
      <c r="AW71" s="52">
        <f>$AV71+$Z71</f>
        <v>0</v>
      </c>
      <c r="AX71" s="52">
        <f>$AW71+$AA71</f>
        <v>0</v>
      </c>
      <c r="AY71" s="52">
        <f>$AX71+$AB71</f>
        <v>0</v>
      </c>
      <c r="AZ71" s="52">
        <f>$AY71+$AC71</f>
        <v>0</v>
      </c>
      <c r="BA71" s="52">
        <f>$AZ71+$AD71</f>
        <v>0</v>
      </c>
      <c r="BB71" s="52">
        <f>$BA71+$AE71</f>
        <v>0</v>
      </c>
      <c r="BC71" s="52">
        <f>$BB71+$AF71</f>
        <v>0</v>
      </c>
      <c r="BD71" s="52">
        <f>$BC71+$AG71</f>
        <v>0</v>
      </c>
      <c r="BE71" s="52">
        <f>$BD71+$AH71</f>
        <v>0</v>
      </c>
      <c r="BF71" s="52">
        <f>$BE71+$AI71</f>
        <v>0</v>
      </c>
      <c r="BG71" s="52">
        <f>$BF71+$AJ71</f>
        <v>0</v>
      </c>
      <c r="BH71" s="52">
        <f>$BG71+$AK71</f>
        <v>0</v>
      </c>
      <c r="BI71" s="52">
        <f>$BH71+$AL71</f>
        <v>0</v>
      </c>
      <c r="BJ71" s="52">
        <f>$BI71+$AM71</f>
        <v>0</v>
      </c>
      <c r="BK71" s="52">
        <f>$BJ71+$AN71</f>
        <v>0</v>
      </c>
      <c r="BL71" s="52">
        <f>$BK71+$AO71</f>
        <v>0</v>
      </c>
      <c r="BM71" s="52">
        <f>$BL71+$AP71</f>
        <v>0</v>
      </c>
      <c r="BN71" s="52">
        <f>$BM71+$AQ71</f>
        <v>0</v>
      </c>
      <c r="BO71" s="52">
        <f>$BN71+$AR71</f>
        <v>0</v>
      </c>
      <c r="BP71" s="52">
        <f>$BO71+$AS71</f>
        <v>0</v>
      </c>
      <c r="BQ71" s="52">
        <f>SUM($T$1:$T70)</f>
        <v>11</v>
      </c>
      <c r="BR71" s="52" t="str">
        <f>IF(ISNUMBER($T71),IF($T71&gt;0,COUNTIF($T$2:$T71,"&gt;0"),""),"")</f>
        <v/>
      </c>
      <c r="BS71" s="52" t="str">
        <f>IF($BR71="","",$BQ71+$T71)</f>
        <v/>
      </c>
      <c r="BT71" s="52" t="str">
        <f>IF($U71="Ready",COUNTIF($U$2:$U71,"Ready"),"")</f>
        <v/>
      </c>
      <c r="BU71" s="52">
        <f>IF(AND($U71="Ready",$C71="Receipt"),IF(COUNTIF(Batches!$A$2:$A$301,$F71)+COUNTIFS($F$1:$F70,$F71,$C$1:$C70,"Receipt",$U$1:$U70,"Ready")=0,1,0),0)</f>
        <v>0</v>
      </c>
      <c r="BV71" s="52" t="str">
        <f>IF($BU71=1,SUM($BU$2:$BU71),"")</f>
        <v/>
      </c>
    </row>
    <row r="72">
      <c r="A72" s="46" t="n"/>
      <c r="B72" s="46" t="n"/>
      <c r="C72" s="46" t="n"/>
      <c r="D72" s="46" t="n"/>
      <c r="E72" s="46" t="n"/>
      <c r="F72" s="46" t="n"/>
      <c r="G72" s="46" t="n"/>
      <c r="H72" s="46" t="n"/>
      <c r="I72" s="46" t="n"/>
      <c r="J72" s="46" t="n"/>
      <c r="K72" s="46" t="n"/>
      <c r="L72" s="46" t="n"/>
      <c r="M72" s="62" t="str">
        <f>IF($B72="","",IF(ISNUMBER($B72),$B72,IF(AND(LEN($B72)=10,MID($B72,5,1)="-",MID($B72,8,1)="-"),IFERROR(IF(AND(MONTH(DATE(VALUE(LEFT($B72,4)),VALUE(MID($B72,6,2)),VALUE(RIGHT($B72,2))))=VALUE(MID($B72,6,2)),DAY(DATE(VALUE(LEFT($B72,4)),VALUE(MID($B72,6,2)),VALUE(RIGHT($B72,2))))=VALUE(RIGHT($B72,2))),DATE(VALUE(LEFT($B72,4)),VALUE(MID($B72,6,2)),VALUE(RIGHT($B72,2))),"ERR"),"ERR"),"ERR")))</f>
        <v/>
      </c>
      <c r="N72" s="62" t="str">
        <f>IF($G72="","",IF(ISNUMBER($G72),$G72,IF(AND(LEN($G72)=10,MID($G72,5,1)="-",MID($G72,8,1)="-"),IFERROR(IF(AND(MONTH(DATE(VALUE(LEFT($G72,4)),VALUE(MID($G72,6,2)),VALUE(RIGHT($G72,2))))=VALUE(MID($G72,6,2)),DAY(DATE(VALUE(LEFT($G72,4)),VALUE(MID($G72,6,2)),VALUE(RIGHT($G72,2))))=VALUE(RIGHT($G72,2))),DATE(VALUE(LEFT($G72,4)),VALUE(MID($G72,6,2)),VALUE(RIGHT($G72,2))),"ERR"),"ERR"),"ERR")))</f>
        <v/>
      </c>
      <c r="O72" s="51" t="str">
        <f>IF($H72="","",IF(ISNUMBER($H72),$H72,IFERROR(VALUE($H72),"ERR")))</f>
        <v/>
      </c>
      <c r="P72" s="51" t="str">
        <f>IF(AND(ISNUMBER($O72),OR($C72="Receipt",$C72="Shipment",$C72="Adjustment")),IF($C72="Shipment",-$O72,$O72),"")</f>
        <v/>
      </c>
      <c r="Q72" s="51" t="str">
        <f>IF($D72="","",IFERROR(INDEX(Products!$R$2:$R$101,MATCH($D72,Products!$A$2:$A$101,0)),""))</f>
        <v/>
      </c>
      <c r="R72" s="51" t="str">
        <f>IF(OR($Q72="",$P72=""),"",$Q72+SUMIFS($P$1:$P71,$D$1:$D71,$D72,$U$1:$U71,"Ready"))</f>
        <v/>
      </c>
      <c r="S72" s="51" t="str">
        <f>IF($R72="","",$R72+$P72)</f>
        <v/>
      </c>
      <c r="T72" s="52" t="str">
        <f>IF(COUNTA($A72:$L72)&gt;0,$BP72,"")</f>
        <v/>
      </c>
      <c r="U72" s="49" t="str">
        <f>IF($T72="","",IF($T72=0,"Ready","Rejected"))</f>
        <v/>
      </c>
      <c r="V72" s="49" t="str">
        <f>IF(OR($T72="",$T72=0),"",INDEX(Config!$D$39:$D$61,MATCH(1,$AT72:$BP72,0))&amp;IF($T72&gt;1," (+"&amp;($T72-1)&amp;" more)",""))</f>
        <v/>
      </c>
      <c r="W72" s="52">
        <f>IF(AND(COUNTA($A72:$L72)&gt;0,$A72=""),1,0)</f>
        <v>0</v>
      </c>
      <c r="X72" s="52">
        <f>IF(AND(COUNTA($A72:$L72)&gt;0,$A72&lt;&gt;""),IF(COUNTIF($A$1:$A71,$A72)&gt;0,1,0),0)</f>
        <v>0</v>
      </c>
      <c r="Y72" s="52">
        <f>IF(AND(COUNTA($A72:$L72)&gt;0,$A72&lt;&gt;""),IF(COUNTIF(Inventory_Ledger!$A$2:$A$2001,$A72)&gt;0,1,0),0)</f>
        <v>0</v>
      </c>
      <c r="Z72" s="52">
        <f>IF(AND(COUNTA($A72:$L72)&gt;0,$B72=""),1,0)</f>
        <v>0</v>
      </c>
      <c r="AA72" s="52">
        <f>IF(AND(COUNTA($A72:$L72)&gt;0,$B72&lt;&gt;""),IF($M72="ERR",1,0),0)</f>
        <v>0</v>
      </c>
      <c r="AB72" s="52">
        <f>IF(AND(COUNTA($A72:$L72)&gt;0,ISNUMBER($M72)),IF($M72&gt;Config!$B$4,1,0),0)</f>
        <v>0</v>
      </c>
      <c r="AC72" s="52">
        <f>IF(AND(COUNTA($A72:$L72)&gt;0,$C72=""),1,0)</f>
        <v>0</v>
      </c>
      <c r="AD72" s="52">
        <f>IF(AND(COUNTA($A72:$L72)&gt;0,$C72&lt;&gt;""),IF(COUNTIF(Config!$A$15:$A$34,$C72)=0,1,0),0)</f>
        <v>0</v>
      </c>
      <c r="AE72" s="52">
        <f>IF(AND(COUNTA($A72:$L72)&gt;0,$D72=""),1,0)</f>
        <v>0</v>
      </c>
      <c r="AF72" s="52">
        <f>IF(AND(COUNTA($A72:$L72)&gt;0,$D72&lt;&gt;""),IF(COUNTIF(Products!$A$2:$A$101,$D72)=0,1,0),0)</f>
        <v>0</v>
      </c>
      <c r="AG72" s="52">
        <f>IF(AND(COUNTA($A72:$L72)&gt;0,$C72="Receipt",$E72=""),1,0)</f>
        <v>0</v>
      </c>
      <c r="AH72" s="52">
        <f>IF(AND(COUNTA($A72:$L72)&gt;0,$E72&lt;&gt;""),IF(COUNTIF(Suppliers!$A$2:$A$51,$E72)=0,1,0),0)</f>
        <v>0</v>
      </c>
      <c r="AI72" s="52">
        <f>IF(AND(COUNTA($A72:$L72)&gt;0,$F72=""),1,0)</f>
        <v>0</v>
      </c>
      <c r="AJ72" s="52">
        <f>IF(AND(COUNTA($A72:$L72)&gt;0,$F72&lt;&gt;"",$D72&lt;&gt;"",OR($C72="Shipment",$C72="Adjustment")),IF($AF72=1,0,IF(COUNTIFS(Batches!$A$2:$A$301,$F72,Batches!$B$2:$B$301,$D72)+COUNTIFS($F$1:$F71,$F72,$D$1:$D71,$D72,$C$1:$C71,"Receipt")=0,1,0)),0)</f>
        <v>0</v>
      </c>
      <c r="AK72" s="52">
        <f>IF(AND(COUNTA($A72:$L72)&gt;0,$C72="Receipt",$G72=""),1,0)</f>
        <v>0</v>
      </c>
      <c r="AL72" s="52">
        <f>IF(AND(COUNTA($A72:$L72)&gt;0,$G72&lt;&gt;""),IF($N72="ERR",1,0),0)</f>
        <v>0</v>
      </c>
      <c r="AM72" s="52">
        <f>IF(AND(COUNTA($A72:$L72)&gt;0,$H72=""),1,0)</f>
        <v>0</v>
      </c>
      <c r="AN72" s="52">
        <f>IF(AND(COUNTA($A72:$L72)&gt;0,$H72&lt;&gt;""),IF($O72="ERR",1,IF(INT($O72)&lt;&gt;$O72,1,IF(AND(OR($C72="Receipt",$C72="Shipment"),$O72&lt;=0),1,IF(AND($C72="Adjustment",$O72=0),1,0)))),0)</f>
        <v>0</v>
      </c>
      <c r="AO72" s="52">
        <f>IF(AND(COUNTA($A72:$L72)&gt;0,$C72="Receipt",$I72=""),1,0)</f>
        <v>0</v>
      </c>
      <c r="AP72" s="52">
        <f>IF(AND(COUNTA($A72:$L72)&gt;0,$I72&lt;&gt;""),IF(IFERROR(INDEX(Config!$G$15:$G$34,MATCH($I72,Config!$E$15:$E$34,0)),"No")="Yes",0,1),0)</f>
        <v>0</v>
      </c>
      <c r="AQ72" s="52">
        <f>IF(AND(COUNTA($A72:$L72)&gt;0,$C72="Adjustment",$J72=""),1,0)</f>
        <v>0</v>
      </c>
      <c r="AR72" s="52">
        <f>IF(AND(COUNTA($A72:$L72)&gt;0,$L72=""),1,0)</f>
        <v>0</v>
      </c>
      <c r="AS72" s="52">
        <f>IF(AND(COUNTA($A72:$L72)&gt;0,ISNUMBER($S72)),IF($S72&lt;0,1,0),0)</f>
        <v>0</v>
      </c>
      <c r="AT72" s="52">
        <f>$W72</f>
        <v>0</v>
      </c>
      <c r="AU72" s="52">
        <f>$AT72+$X72</f>
        <v>0</v>
      </c>
      <c r="AV72" s="52">
        <f>$AU72+$Y72</f>
        <v>0</v>
      </c>
      <c r="AW72" s="52">
        <f>$AV72+$Z72</f>
        <v>0</v>
      </c>
      <c r="AX72" s="52">
        <f>$AW72+$AA72</f>
        <v>0</v>
      </c>
      <c r="AY72" s="52">
        <f>$AX72+$AB72</f>
        <v>0</v>
      </c>
      <c r="AZ72" s="52">
        <f>$AY72+$AC72</f>
        <v>0</v>
      </c>
      <c r="BA72" s="52">
        <f>$AZ72+$AD72</f>
        <v>0</v>
      </c>
      <c r="BB72" s="52">
        <f>$BA72+$AE72</f>
        <v>0</v>
      </c>
      <c r="BC72" s="52">
        <f>$BB72+$AF72</f>
        <v>0</v>
      </c>
      <c r="BD72" s="52">
        <f>$BC72+$AG72</f>
        <v>0</v>
      </c>
      <c r="BE72" s="52">
        <f>$BD72+$AH72</f>
        <v>0</v>
      </c>
      <c r="BF72" s="52">
        <f>$BE72+$AI72</f>
        <v>0</v>
      </c>
      <c r="BG72" s="52">
        <f>$BF72+$AJ72</f>
        <v>0</v>
      </c>
      <c r="BH72" s="52">
        <f>$BG72+$AK72</f>
        <v>0</v>
      </c>
      <c r="BI72" s="52">
        <f>$BH72+$AL72</f>
        <v>0</v>
      </c>
      <c r="BJ72" s="52">
        <f>$BI72+$AM72</f>
        <v>0</v>
      </c>
      <c r="BK72" s="52">
        <f>$BJ72+$AN72</f>
        <v>0</v>
      </c>
      <c r="BL72" s="52">
        <f>$BK72+$AO72</f>
        <v>0</v>
      </c>
      <c r="BM72" s="52">
        <f>$BL72+$AP72</f>
        <v>0</v>
      </c>
      <c r="BN72" s="52">
        <f>$BM72+$AQ72</f>
        <v>0</v>
      </c>
      <c r="BO72" s="52">
        <f>$BN72+$AR72</f>
        <v>0</v>
      </c>
      <c r="BP72" s="52">
        <f>$BO72+$AS72</f>
        <v>0</v>
      </c>
      <c r="BQ72" s="52">
        <f>SUM($T$1:$T71)</f>
        <v>11</v>
      </c>
      <c r="BR72" s="52" t="str">
        <f>IF(ISNUMBER($T72),IF($T72&gt;0,COUNTIF($T$2:$T72,"&gt;0"),""),"")</f>
        <v/>
      </c>
      <c r="BS72" s="52" t="str">
        <f>IF($BR72="","",$BQ72+$T72)</f>
        <v/>
      </c>
      <c r="BT72" s="52" t="str">
        <f>IF($U72="Ready",COUNTIF($U$2:$U72,"Ready"),"")</f>
        <v/>
      </c>
      <c r="BU72" s="52">
        <f>IF(AND($U72="Ready",$C72="Receipt"),IF(COUNTIF(Batches!$A$2:$A$301,$F72)+COUNTIFS($F$1:$F71,$F72,$C$1:$C71,"Receipt",$U$1:$U71,"Ready")=0,1,0),0)</f>
        <v>0</v>
      </c>
      <c r="BV72" s="52" t="str">
        <f>IF($BU72=1,SUM($BU$2:$BU72),"")</f>
        <v/>
      </c>
    </row>
    <row r="73">
      <c r="A73" s="46" t="n"/>
      <c r="B73" s="46" t="n"/>
      <c r="C73" s="46" t="n"/>
      <c r="D73" s="46" t="n"/>
      <c r="E73" s="46" t="n"/>
      <c r="F73" s="46" t="n"/>
      <c r="G73" s="46" t="n"/>
      <c r="H73" s="46" t="n"/>
      <c r="I73" s="46" t="n"/>
      <c r="J73" s="46" t="n"/>
      <c r="K73" s="46" t="n"/>
      <c r="L73" s="46" t="n"/>
      <c r="M73" s="62" t="str">
        <f>IF($B73="","",IF(ISNUMBER($B73),$B73,IF(AND(LEN($B73)=10,MID($B73,5,1)="-",MID($B73,8,1)="-"),IFERROR(IF(AND(MONTH(DATE(VALUE(LEFT($B73,4)),VALUE(MID($B73,6,2)),VALUE(RIGHT($B73,2))))=VALUE(MID($B73,6,2)),DAY(DATE(VALUE(LEFT($B73,4)),VALUE(MID($B73,6,2)),VALUE(RIGHT($B73,2))))=VALUE(RIGHT($B73,2))),DATE(VALUE(LEFT($B73,4)),VALUE(MID($B73,6,2)),VALUE(RIGHT($B73,2))),"ERR"),"ERR"),"ERR")))</f>
        <v/>
      </c>
      <c r="N73" s="62" t="str">
        <f>IF($G73="","",IF(ISNUMBER($G73),$G73,IF(AND(LEN($G73)=10,MID($G73,5,1)="-",MID($G73,8,1)="-"),IFERROR(IF(AND(MONTH(DATE(VALUE(LEFT($G73,4)),VALUE(MID($G73,6,2)),VALUE(RIGHT($G73,2))))=VALUE(MID($G73,6,2)),DAY(DATE(VALUE(LEFT($G73,4)),VALUE(MID($G73,6,2)),VALUE(RIGHT($G73,2))))=VALUE(RIGHT($G73,2))),DATE(VALUE(LEFT($G73,4)),VALUE(MID($G73,6,2)),VALUE(RIGHT($G73,2))),"ERR"),"ERR"),"ERR")))</f>
        <v/>
      </c>
      <c r="O73" s="51" t="str">
        <f>IF($H73="","",IF(ISNUMBER($H73),$H73,IFERROR(VALUE($H73),"ERR")))</f>
        <v/>
      </c>
      <c r="P73" s="51" t="str">
        <f>IF(AND(ISNUMBER($O73),OR($C73="Receipt",$C73="Shipment",$C73="Adjustment")),IF($C73="Shipment",-$O73,$O73),"")</f>
        <v/>
      </c>
      <c r="Q73" s="51" t="str">
        <f>IF($D73="","",IFERROR(INDEX(Products!$R$2:$R$101,MATCH($D73,Products!$A$2:$A$101,0)),""))</f>
        <v/>
      </c>
      <c r="R73" s="51" t="str">
        <f>IF(OR($Q73="",$P73=""),"",$Q73+SUMIFS($P$1:$P72,$D$1:$D72,$D73,$U$1:$U72,"Ready"))</f>
        <v/>
      </c>
      <c r="S73" s="51" t="str">
        <f>IF($R73="","",$R73+$P73)</f>
        <v/>
      </c>
      <c r="T73" s="52" t="str">
        <f>IF(COUNTA($A73:$L73)&gt;0,$BP73,"")</f>
        <v/>
      </c>
      <c r="U73" s="49" t="str">
        <f>IF($T73="","",IF($T73=0,"Ready","Rejected"))</f>
        <v/>
      </c>
      <c r="V73" s="49" t="str">
        <f>IF(OR($T73="",$T73=0),"",INDEX(Config!$D$39:$D$61,MATCH(1,$AT73:$BP73,0))&amp;IF($T73&gt;1," (+"&amp;($T73-1)&amp;" more)",""))</f>
        <v/>
      </c>
      <c r="W73" s="52">
        <f>IF(AND(COUNTA($A73:$L73)&gt;0,$A73=""),1,0)</f>
        <v>0</v>
      </c>
      <c r="X73" s="52">
        <f>IF(AND(COUNTA($A73:$L73)&gt;0,$A73&lt;&gt;""),IF(COUNTIF($A$1:$A72,$A73)&gt;0,1,0),0)</f>
        <v>0</v>
      </c>
      <c r="Y73" s="52">
        <f>IF(AND(COUNTA($A73:$L73)&gt;0,$A73&lt;&gt;""),IF(COUNTIF(Inventory_Ledger!$A$2:$A$2001,$A73)&gt;0,1,0),0)</f>
        <v>0</v>
      </c>
      <c r="Z73" s="52">
        <f>IF(AND(COUNTA($A73:$L73)&gt;0,$B73=""),1,0)</f>
        <v>0</v>
      </c>
      <c r="AA73" s="52">
        <f>IF(AND(COUNTA($A73:$L73)&gt;0,$B73&lt;&gt;""),IF($M73="ERR",1,0),0)</f>
        <v>0</v>
      </c>
      <c r="AB73" s="52">
        <f>IF(AND(COUNTA($A73:$L73)&gt;0,ISNUMBER($M73)),IF($M73&gt;Config!$B$4,1,0),0)</f>
        <v>0</v>
      </c>
      <c r="AC73" s="52">
        <f>IF(AND(COUNTA($A73:$L73)&gt;0,$C73=""),1,0)</f>
        <v>0</v>
      </c>
      <c r="AD73" s="52">
        <f>IF(AND(COUNTA($A73:$L73)&gt;0,$C73&lt;&gt;""),IF(COUNTIF(Config!$A$15:$A$34,$C73)=0,1,0),0)</f>
        <v>0</v>
      </c>
      <c r="AE73" s="52">
        <f>IF(AND(COUNTA($A73:$L73)&gt;0,$D73=""),1,0)</f>
        <v>0</v>
      </c>
      <c r="AF73" s="52">
        <f>IF(AND(COUNTA($A73:$L73)&gt;0,$D73&lt;&gt;""),IF(COUNTIF(Products!$A$2:$A$101,$D73)=0,1,0),0)</f>
        <v>0</v>
      </c>
      <c r="AG73" s="52">
        <f>IF(AND(COUNTA($A73:$L73)&gt;0,$C73="Receipt",$E73=""),1,0)</f>
        <v>0</v>
      </c>
      <c r="AH73" s="52">
        <f>IF(AND(COUNTA($A73:$L73)&gt;0,$E73&lt;&gt;""),IF(COUNTIF(Suppliers!$A$2:$A$51,$E73)=0,1,0),0)</f>
        <v>0</v>
      </c>
      <c r="AI73" s="52">
        <f>IF(AND(COUNTA($A73:$L73)&gt;0,$F73=""),1,0)</f>
        <v>0</v>
      </c>
      <c r="AJ73" s="52">
        <f>IF(AND(COUNTA($A73:$L73)&gt;0,$F73&lt;&gt;"",$D73&lt;&gt;"",OR($C73="Shipment",$C73="Adjustment")),IF($AF73=1,0,IF(COUNTIFS(Batches!$A$2:$A$301,$F73,Batches!$B$2:$B$301,$D73)+COUNTIFS($F$1:$F72,$F73,$D$1:$D72,$D73,$C$1:$C72,"Receipt")=0,1,0)),0)</f>
        <v>0</v>
      </c>
      <c r="AK73" s="52">
        <f>IF(AND(COUNTA($A73:$L73)&gt;0,$C73="Receipt",$G73=""),1,0)</f>
        <v>0</v>
      </c>
      <c r="AL73" s="52">
        <f>IF(AND(COUNTA($A73:$L73)&gt;0,$G73&lt;&gt;""),IF($N73="ERR",1,0),0)</f>
        <v>0</v>
      </c>
      <c r="AM73" s="52">
        <f>IF(AND(COUNTA($A73:$L73)&gt;0,$H73=""),1,0)</f>
        <v>0</v>
      </c>
      <c r="AN73" s="52">
        <f>IF(AND(COUNTA($A73:$L73)&gt;0,$H73&lt;&gt;""),IF($O73="ERR",1,IF(INT($O73)&lt;&gt;$O73,1,IF(AND(OR($C73="Receipt",$C73="Shipment"),$O73&lt;=0),1,IF(AND($C73="Adjustment",$O73=0),1,0)))),0)</f>
        <v>0</v>
      </c>
      <c r="AO73" s="52">
        <f>IF(AND(COUNTA($A73:$L73)&gt;0,$C73="Receipt",$I73=""),1,0)</f>
        <v>0</v>
      </c>
      <c r="AP73" s="52">
        <f>IF(AND(COUNTA($A73:$L73)&gt;0,$I73&lt;&gt;""),IF(IFERROR(INDEX(Config!$G$15:$G$34,MATCH($I73,Config!$E$15:$E$34,0)),"No")="Yes",0,1),0)</f>
        <v>0</v>
      </c>
      <c r="AQ73" s="52">
        <f>IF(AND(COUNTA($A73:$L73)&gt;0,$C73="Adjustment",$J73=""),1,0)</f>
        <v>0</v>
      </c>
      <c r="AR73" s="52">
        <f>IF(AND(COUNTA($A73:$L73)&gt;0,$L73=""),1,0)</f>
        <v>0</v>
      </c>
      <c r="AS73" s="52">
        <f>IF(AND(COUNTA($A73:$L73)&gt;0,ISNUMBER($S73)),IF($S73&lt;0,1,0),0)</f>
        <v>0</v>
      </c>
      <c r="AT73" s="52">
        <f>$W73</f>
        <v>0</v>
      </c>
      <c r="AU73" s="52">
        <f>$AT73+$X73</f>
        <v>0</v>
      </c>
      <c r="AV73" s="52">
        <f>$AU73+$Y73</f>
        <v>0</v>
      </c>
      <c r="AW73" s="52">
        <f>$AV73+$Z73</f>
        <v>0</v>
      </c>
      <c r="AX73" s="52">
        <f>$AW73+$AA73</f>
        <v>0</v>
      </c>
      <c r="AY73" s="52">
        <f>$AX73+$AB73</f>
        <v>0</v>
      </c>
      <c r="AZ73" s="52">
        <f>$AY73+$AC73</f>
        <v>0</v>
      </c>
      <c r="BA73" s="52">
        <f>$AZ73+$AD73</f>
        <v>0</v>
      </c>
      <c r="BB73" s="52">
        <f>$BA73+$AE73</f>
        <v>0</v>
      </c>
      <c r="BC73" s="52">
        <f>$BB73+$AF73</f>
        <v>0</v>
      </c>
      <c r="BD73" s="52">
        <f>$BC73+$AG73</f>
        <v>0</v>
      </c>
      <c r="BE73" s="52">
        <f>$BD73+$AH73</f>
        <v>0</v>
      </c>
      <c r="BF73" s="52">
        <f>$BE73+$AI73</f>
        <v>0</v>
      </c>
      <c r="BG73" s="52">
        <f>$BF73+$AJ73</f>
        <v>0</v>
      </c>
      <c r="BH73" s="52">
        <f>$BG73+$AK73</f>
        <v>0</v>
      </c>
      <c r="BI73" s="52">
        <f>$BH73+$AL73</f>
        <v>0</v>
      </c>
      <c r="BJ73" s="52">
        <f>$BI73+$AM73</f>
        <v>0</v>
      </c>
      <c r="BK73" s="52">
        <f>$BJ73+$AN73</f>
        <v>0</v>
      </c>
      <c r="BL73" s="52">
        <f>$BK73+$AO73</f>
        <v>0</v>
      </c>
      <c r="BM73" s="52">
        <f>$BL73+$AP73</f>
        <v>0</v>
      </c>
      <c r="BN73" s="52">
        <f>$BM73+$AQ73</f>
        <v>0</v>
      </c>
      <c r="BO73" s="52">
        <f>$BN73+$AR73</f>
        <v>0</v>
      </c>
      <c r="BP73" s="52">
        <f>$BO73+$AS73</f>
        <v>0</v>
      </c>
      <c r="BQ73" s="52">
        <f>SUM($T$1:$T72)</f>
        <v>11</v>
      </c>
      <c r="BR73" s="52" t="str">
        <f>IF(ISNUMBER($T73),IF($T73&gt;0,COUNTIF($T$2:$T73,"&gt;0"),""),"")</f>
        <v/>
      </c>
      <c r="BS73" s="52" t="str">
        <f>IF($BR73="","",$BQ73+$T73)</f>
        <v/>
      </c>
      <c r="BT73" s="52" t="str">
        <f>IF($U73="Ready",COUNTIF($U$2:$U73,"Ready"),"")</f>
        <v/>
      </c>
      <c r="BU73" s="52">
        <f>IF(AND($U73="Ready",$C73="Receipt"),IF(COUNTIF(Batches!$A$2:$A$301,$F73)+COUNTIFS($F$1:$F72,$F73,$C$1:$C72,"Receipt",$U$1:$U72,"Ready")=0,1,0),0)</f>
        <v>0</v>
      </c>
      <c r="BV73" s="52" t="str">
        <f>IF($BU73=1,SUM($BU$2:$BU73),"")</f>
        <v/>
      </c>
    </row>
    <row r="74">
      <c r="A74" s="46" t="n"/>
      <c r="B74" s="46" t="n"/>
      <c r="C74" s="46" t="n"/>
      <c r="D74" s="46" t="n"/>
      <c r="E74" s="46" t="n"/>
      <c r="F74" s="46" t="n"/>
      <c r="G74" s="46" t="n"/>
      <c r="H74" s="46" t="n"/>
      <c r="I74" s="46" t="n"/>
      <c r="J74" s="46" t="n"/>
      <c r="K74" s="46" t="n"/>
      <c r="L74" s="46" t="n"/>
      <c r="M74" s="62" t="str">
        <f>IF($B74="","",IF(ISNUMBER($B74),$B74,IF(AND(LEN($B74)=10,MID($B74,5,1)="-",MID($B74,8,1)="-"),IFERROR(IF(AND(MONTH(DATE(VALUE(LEFT($B74,4)),VALUE(MID($B74,6,2)),VALUE(RIGHT($B74,2))))=VALUE(MID($B74,6,2)),DAY(DATE(VALUE(LEFT($B74,4)),VALUE(MID($B74,6,2)),VALUE(RIGHT($B74,2))))=VALUE(RIGHT($B74,2))),DATE(VALUE(LEFT($B74,4)),VALUE(MID($B74,6,2)),VALUE(RIGHT($B74,2))),"ERR"),"ERR"),"ERR")))</f>
        <v/>
      </c>
      <c r="N74" s="62" t="str">
        <f>IF($G74="","",IF(ISNUMBER($G74),$G74,IF(AND(LEN($G74)=10,MID($G74,5,1)="-",MID($G74,8,1)="-"),IFERROR(IF(AND(MONTH(DATE(VALUE(LEFT($G74,4)),VALUE(MID($G74,6,2)),VALUE(RIGHT($G74,2))))=VALUE(MID($G74,6,2)),DAY(DATE(VALUE(LEFT($G74,4)),VALUE(MID($G74,6,2)),VALUE(RIGHT($G74,2))))=VALUE(RIGHT($G74,2))),DATE(VALUE(LEFT($G74,4)),VALUE(MID($G74,6,2)),VALUE(RIGHT($G74,2))),"ERR"),"ERR"),"ERR")))</f>
        <v/>
      </c>
      <c r="O74" s="51" t="str">
        <f>IF($H74="","",IF(ISNUMBER($H74),$H74,IFERROR(VALUE($H74),"ERR")))</f>
        <v/>
      </c>
      <c r="P74" s="51" t="str">
        <f>IF(AND(ISNUMBER($O74),OR($C74="Receipt",$C74="Shipment",$C74="Adjustment")),IF($C74="Shipment",-$O74,$O74),"")</f>
        <v/>
      </c>
      <c r="Q74" s="51" t="str">
        <f>IF($D74="","",IFERROR(INDEX(Products!$R$2:$R$101,MATCH($D74,Products!$A$2:$A$101,0)),""))</f>
        <v/>
      </c>
      <c r="R74" s="51" t="str">
        <f>IF(OR($Q74="",$P74=""),"",$Q74+SUMIFS($P$1:$P73,$D$1:$D73,$D74,$U$1:$U73,"Ready"))</f>
        <v/>
      </c>
      <c r="S74" s="51" t="str">
        <f>IF($R74="","",$R74+$P74)</f>
        <v/>
      </c>
      <c r="T74" s="52" t="str">
        <f>IF(COUNTA($A74:$L74)&gt;0,$BP74,"")</f>
        <v/>
      </c>
      <c r="U74" s="49" t="str">
        <f>IF($T74="","",IF($T74=0,"Ready","Rejected"))</f>
        <v/>
      </c>
      <c r="V74" s="49" t="str">
        <f>IF(OR($T74="",$T74=0),"",INDEX(Config!$D$39:$D$61,MATCH(1,$AT74:$BP74,0))&amp;IF($T74&gt;1," (+"&amp;($T74-1)&amp;" more)",""))</f>
        <v/>
      </c>
      <c r="W74" s="52">
        <f>IF(AND(COUNTA($A74:$L74)&gt;0,$A74=""),1,0)</f>
        <v>0</v>
      </c>
      <c r="X74" s="52">
        <f>IF(AND(COUNTA($A74:$L74)&gt;0,$A74&lt;&gt;""),IF(COUNTIF($A$1:$A73,$A74)&gt;0,1,0),0)</f>
        <v>0</v>
      </c>
      <c r="Y74" s="52">
        <f>IF(AND(COUNTA($A74:$L74)&gt;0,$A74&lt;&gt;""),IF(COUNTIF(Inventory_Ledger!$A$2:$A$2001,$A74)&gt;0,1,0),0)</f>
        <v>0</v>
      </c>
      <c r="Z74" s="52">
        <f>IF(AND(COUNTA($A74:$L74)&gt;0,$B74=""),1,0)</f>
        <v>0</v>
      </c>
      <c r="AA74" s="52">
        <f>IF(AND(COUNTA($A74:$L74)&gt;0,$B74&lt;&gt;""),IF($M74="ERR",1,0),0)</f>
        <v>0</v>
      </c>
      <c r="AB74" s="52">
        <f>IF(AND(COUNTA($A74:$L74)&gt;0,ISNUMBER($M74)),IF($M74&gt;Config!$B$4,1,0),0)</f>
        <v>0</v>
      </c>
      <c r="AC74" s="52">
        <f>IF(AND(COUNTA($A74:$L74)&gt;0,$C74=""),1,0)</f>
        <v>0</v>
      </c>
      <c r="AD74" s="52">
        <f>IF(AND(COUNTA($A74:$L74)&gt;0,$C74&lt;&gt;""),IF(COUNTIF(Config!$A$15:$A$34,$C74)=0,1,0),0)</f>
        <v>0</v>
      </c>
      <c r="AE74" s="52">
        <f>IF(AND(COUNTA($A74:$L74)&gt;0,$D74=""),1,0)</f>
        <v>0</v>
      </c>
      <c r="AF74" s="52">
        <f>IF(AND(COUNTA($A74:$L74)&gt;0,$D74&lt;&gt;""),IF(COUNTIF(Products!$A$2:$A$101,$D74)=0,1,0),0)</f>
        <v>0</v>
      </c>
      <c r="AG74" s="52">
        <f>IF(AND(COUNTA($A74:$L74)&gt;0,$C74="Receipt",$E74=""),1,0)</f>
        <v>0</v>
      </c>
      <c r="AH74" s="52">
        <f>IF(AND(COUNTA($A74:$L74)&gt;0,$E74&lt;&gt;""),IF(COUNTIF(Suppliers!$A$2:$A$51,$E74)=0,1,0),0)</f>
        <v>0</v>
      </c>
      <c r="AI74" s="52">
        <f>IF(AND(COUNTA($A74:$L74)&gt;0,$F74=""),1,0)</f>
        <v>0</v>
      </c>
      <c r="AJ74" s="52">
        <f>IF(AND(COUNTA($A74:$L74)&gt;0,$F74&lt;&gt;"",$D74&lt;&gt;"",OR($C74="Shipment",$C74="Adjustment")),IF($AF74=1,0,IF(COUNTIFS(Batches!$A$2:$A$301,$F74,Batches!$B$2:$B$301,$D74)+COUNTIFS($F$1:$F73,$F74,$D$1:$D73,$D74,$C$1:$C73,"Receipt")=0,1,0)),0)</f>
        <v>0</v>
      </c>
      <c r="AK74" s="52">
        <f>IF(AND(COUNTA($A74:$L74)&gt;0,$C74="Receipt",$G74=""),1,0)</f>
        <v>0</v>
      </c>
      <c r="AL74" s="52">
        <f>IF(AND(COUNTA($A74:$L74)&gt;0,$G74&lt;&gt;""),IF($N74="ERR",1,0),0)</f>
        <v>0</v>
      </c>
      <c r="AM74" s="52">
        <f>IF(AND(COUNTA($A74:$L74)&gt;0,$H74=""),1,0)</f>
        <v>0</v>
      </c>
      <c r="AN74" s="52">
        <f>IF(AND(COUNTA($A74:$L74)&gt;0,$H74&lt;&gt;""),IF($O74="ERR",1,IF(INT($O74)&lt;&gt;$O74,1,IF(AND(OR($C74="Receipt",$C74="Shipment"),$O74&lt;=0),1,IF(AND($C74="Adjustment",$O74=0),1,0)))),0)</f>
        <v>0</v>
      </c>
      <c r="AO74" s="52">
        <f>IF(AND(COUNTA($A74:$L74)&gt;0,$C74="Receipt",$I74=""),1,0)</f>
        <v>0</v>
      </c>
      <c r="AP74" s="52">
        <f>IF(AND(COUNTA($A74:$L74)&gt;0,$I74&lt;&gt;""),IF(IFERROR(INDEX(Config!$G$15:$G$34,MATCH($I74,Config!$E$15:$E$34,0)),"No")="Yes",0,1),0)</f>
        <v>0</v>
      </c>
      <c r="AQ74" s="52">
        <f>IF(AND(COUNTA($A74:$L74)&gt;0,$C74="Adjustment",$J74=""),1,0)</f>
        <v>0</v>
      </c>
      <c r="AR74" s="52">
        <f>IF(AND(COUNTA($A74:$L74)&gt;0,$L74=""),1,0)</f>
        <v>0</v>
      </c>
      <c r="AS74" s="52">
        <f>IF(AND(COUNTA($A74:$L74)&gt;0,ISNUMBER($S74)),IF($S74&lt;0,1,0),0)</f>
        <v>0</v>
      </c>
      <c r="AT74" s="52">
        <f>$W74</f>
        <v>0</v>
      </c>
      <c r="AU74" s="52">
        <f>$AT74+$X74</f>
        <v>0</v>
      </c>
      <c r="AV74" s="52">
        <f>$AU74+$Y74</f>
        <v>0</v>
      </c>
      <c r="AW74" s="52">
        <f>$AV74+$Z74</f>
        <v>0</v>
      </c>
      <c r="AX74" s="52">
        <f>$AW74+$AA74</f>
        <v>0</v>
      </c>
      <c r="AY74" s="52">
        <f>$AX74+$AB74</f>
        <v>0</v>
      </c>
      <c r="AZ74" s="52">
        <f>$AY74+$AC74</f>
        <v>0</v>
      </c>
      <c r="BA74" s="52">
        <f>$AZ74+$AD74</f>
        <v>0</v>
      </c>
      <c r="BB74" s="52">
        <f>$BA74+$AE74</f>
        <v>0</v>
      </c>
      <c r="BC74" s="52">
        <f>$BB74+$AF74</f>
        <v>0</v>
      </c>
      <c r="BD74" s="52">
        <f>$BC74+$AG74</f>
        <v>0</v>
      </c>
      <c r="BE74" s="52">
        <f>$BD74+$AH74</f>
        <v>0</v>
      </c>
      <c r="BF74" s="52">
        <f>$BE74+$AI74</f>
        <v>0</v>
      </c>
      <c r="BG74" s="52">
        <f>$BF74+$AJ74</f>
        <v>0</v>
      </c>
      <c r="BH74" s="52">
        <f>$BG74+$AK74</f>
        <v>0</v>
      </c>
      <c r="BI74" s="52">
        <f>$BH74+$AL74</f>
        <v>0</v>
      </c>
      <c r="BJ74" s="52">
        <f>$BI74+$AM74</f>
        <v>0</v>
      </c>
      <c r="BK74" s="52">
        <f>$BJ74+$AN74</f>
        <v>0</v>
      </c>
      <c r="BL74" s="52">
        <f>$BK74+$AO74</f>
        <v>0</v>
      </c>
      <c r="BM74" s="52">
        <f>$BL74+$AP74</f>
        <v>0</v>
      </c>
      <c r="BN74" s="52">
        <f>$BM74+$AQ74</f>
        <v>0</v>
      </c>
      <c r="BO74" s="52">
        <f>$BN74+$AR74</f>
        <v>0</v>
      </c>
      <c r="BP74" s="52">
        <f>$BO74+$AS74</f>
        <v>0</v>
      </c>
      <c r="BQ74" s="52">
        <f>SUM($T$1:$T73)</f>
        <v>11</v>
      </c>
      <c r="BR74" s="52" t="str">
        <f>IF(ISNUMBER($T74),IF($T74&gt;0,COUNTIF($T$2:$T74,"&gt;0"),""),"")</f>
        <v/>
      </c>
      <c r="BS74" s="52" t="str">
        <f>IF($BR74="","",$BQ74+$T74)</f>
        <v/>
      </c>
      <c r="BT74" s="52" t="str">
        <f>IF($U74="Ready",COUNTIF($U$2:$U74,"Ready"),"")</f>
        <v/>
      </c>
      <c r="BU74" s="52">
        <f>IF(AND($U74="Ready",$C74="Receipt"),IF(COUNTIF(Batches!$A$2:$A$301,$F74)+COUNTIFS($F$1:$F73,$F74,$C$1:$C73,"Receipt",$U$1:$U73,"Ready")=0,1,0),0)</f>
        <v>0</v>
      </c>
      <c r="BV74" s="52" t="str">
        <f>IF($BU74=1,SUM($BU$2:$BU74),"")</f>
        <v/>
      </c>
    </row>
    <row r="75">
      <c r="A75" s="46" t="n"/>
      <c r="B75" s="46" t="n"/>
      <c r="C75" s="46" t="n"/>
      <c r="D75" s="46" t="n"/>
      <c r="E75" s="46" t="n"/>
      <c r="F75" s="46" t="n"/>
      <c r="G75" s="46" t="n"/>
      <c r="H75" s="46" t="n"/>
      <c r="I75" s="46" t="n"/>
      <c r="J75" s="46" t="n"/>
      <c r="K75" s="46" t="n"/>
      <c r="L75" s="46" t="n"/>
      <c r="M75" s="62" t="str">
        <f>IF($B75="","",IF(ISNUMBER($B75),$B75,IF(AND(LEN($B75)=10,MID($B75,5,1)="-",MID($B75,8,1)="-"),IFERROR(IF(AND(MONTH(DATE(VALUE(LEFT($B75,4)),VALUE(MID($B75,6,2)),VALUE(RIGHT($B75,2))))=VALUE(MID($B75,6,2)),DAY(DATE(VALUE(LEFT($B75,4)),VALUE(MID($B75,6,2)),VALUE(RIGHT($B75,2))))=VALUE(RIGHT($B75,2))),DATE(VALUE(LEFT($B75,4)),VALUE(MID($B75,6,2)),VALUE(RIGHT($B75,2))),"ERR"),"ERR"),"ERR")))</f>
        <v/>
      </c>
      <c r="N75" s="62" t="str">
        <f>IF($G75="","",IF(ISNUMBER($G75),$G75,IF(AND(LEN($G75)=10,MID($G75,5,1)="-",MID($G75,8,1)="-"),IFERROR(IF(AND(MONTH(DATE(VALUE(LEFT($G75,4)),VALUE(MID($G75,6,2)),VALUE(RIGHT($G75,2))))=VALUE(MID($G75,6,2)),DAY(DATE(VALUE(LEFT($G75,4)),VALUE(MID($G75,6,2)),VALUE(RIGHT($G75,2))))=VALUE(RIGHT($G75,2))),DATE(VALUE(LEFT($G75,4)),VALUE(MID($G75,6,2)),VALUE(RIGHT($G75,2))),"ERR"),"ERR"),"ERR")))</f>
        <v/>
      </c>
      <c r="O75" s="51" t="str">
        <f>IF($H75="","",IF(ISNUMBER($H75),$H75,IFERROR(VALUE($H75),"ERR")))</f>
        <v/>
      </c>
      <c r="P75" s="51" t="str">
        <f>IF(AND(ISNUMBER($O75),OR($C75="Receipt",$C75="Shipment",$C75="Adjustment")),IF($C75="Shipment",-$O75,$O75),"")</f>
        <v/>
      </c>
      <c r="Q75" s="51" t="str">
        <f>IF($D75="","",IFERROR(INDEX(Products!$R$2:$R$101,MATCH($D75,Products!$A$2:$A$101,0)),""))</f>
        <v/>
      </c>
      <c r="R75" s="51" t="str">
        <f>IF(OR($Q75="",$P75=""),"",$Q75+SUMIFS($P$1:$P74,$D$1:$D74,$D75,$U$1:$U74,"Ready"))</f>
        <v/>
      </c>
      <c r="S75" s="51" t="str">
        <f>IF($R75="","",$R75+$P75)</f>
        <v/>
      </c>
      <c r="T75" s="52" t="str">
        <f>IF(COUNTA($A75:$L75)&gt;0,$BP75,"")</f>
        <v/>
      </c>
      <c r="U75" s="49" t="str">
        <f>IF($T75="","",IF($T75=0,"Ready","Rejected"))</f>
        <v/>
      </c>
      <c r="V75" s="49" t="str">
        <f>IF(OR($T75="",$T75=0),"",INDEX(Config!$D$39:$D$61,MATCH(1,$AT75:$BP75,0))&amp;IF($T75&gt;1," (+"&amp;($T75-1)&amp;" more)",""))</f>
        <v/>
      </c>
      <c r="W75" s="52">
        <f>IF(AND(COUNTA($A75:$L75)&gt;0,$A75=""),1,0)</f>
        <v>0</v>
      </c>
      <c r="X75" s="52">
        <f>IF(AND(COUNTA($A75:$L75)&gt;0,$A75&lt;&gt;""),IF(COUNTIF($A$1:$A74,$A75)&gt;0,1,0),0)</f>
        <v>0</v>
      </c>
      <c r="Y75" s="52">
        <f>IF(AND(COUNTA($A75:$L75)&gt;0,$A75&lt;&gt;""),IF(COUNTIF(Inventory_Ledger!$A$2:$A$2001,$A75)&gt;0,1,0),0)</f>
        <v>0</v>
      </c>
      <c r="Z75" s="52">
        <f>IF(AND(COUNTA($A75:$L75)&gt;0,$B75=""),1,0)</f>
        <v>0</v>
      </c>
      <c r="AA75" s="52">
        <f>IF(AND(COUNTA($A75:$L75)&gt;0,$B75&lt;&gt;""),IF($M75="ERR",1,0),0)</f>
        <v>0</v>
      </c>
      <c r="AB75" s="52">
        <f>IF(AND(COUNTA($A75:$L75)&gt;0,ISNUMBER($M75)),IF($M75&gt;Config!$B$4,1,0),0)</f>
        <v>0</v>
      </c>
      <c r="AC75" s="52">
        <f>IF(AND(COUNTA($A75:$L75)&gt;0,$C75=""),1,0)</f>
        <v>0</v>
      </c>
      <c r="AD75" s="52">
        <f>IF(AND(COUNTA($A75:$L75)&gt;0,$C75&lt;&gt;""),IF(COUNTIF(Config!$A$15:$A$34,$C75)=0,1,0),0)</f>
        <v>0</v>
      </c>
      <c r="AE75" s="52">
        <f>IF(AND(COUNTA($A75:$L75)&gt;0,$D75=""),1,0)</f>
        <v>0</v>
      </c>
      <c r="AF75" s="52">
        <f>IF(AND(COUNTA($A75:$L75)&gt;0,$D75&lt;&gt;""),IF(COUNTIF(Products!$A$2:$A$101,$D75)=0,1,0),0)</f>
        <v>0</v>
      </c>
      <c r="AG75" s="52">
        <f>IF(AND(COUNTA($A75:$L75)&gt;0,$C75="Receipt",$E75=""),1,0)</f>
        <v>0</v>
      </c>
      <c r="AH75" s="52">
        <f>IF(AND(COUNTA($A75:$L75)&gt;0,$E75&lt;&gt;""),IF(COUNTIF(Suppliers!$A$2:$A$51,$E75)=0,1,0),0)</f>
        <v>0</v>
      </c>
      <c r="AI75" s="52">
        <f>IF(AND(COUNTA($A75:$L75)&gt;0,$F75=""),1,0)</f>
        <v>0</v>
      </c>
      <c r="AJ75" s="52">
        <f>IF(AND(COUNTA($A75:$L75)&gt;0,$F75&lt;&gt;"",$D75&lt;&gt;"",OR($C75="Shipment",$C75="Adjustment")),IF($AF75=1,0,IF(COUNTIFS(Batches!$A$2:$A$301,$F75,Batches!$B$2:$B$301,$D75)+COUNTIFS($F$1:$F74,$F75,$D$1:$D74,$D75,$C$1:$C74,"Receipt")=0,1,0)),0)</f>
        <v>0</v>
      </c>
      <c r="AK75" s="52">
        <f>IF(AND(COUNTA($A75:$L75)&gt;0,$C75="Receipt",$G75=""),1,0)</f>
        <v>0</v>
      </c>
      <c r="AL75" s="52">
        <f>IF(AND(COUNTA($A75:$L75)&gt;0,$G75&lt;&gt;""),IF($N75="ERR",1,0),0)</f>
        <v>0</v>
      </c>
      <c r="AM75" s="52">
        <f>IF(AND(COUNTA($A75:$L75)&gt;0,$H75=""),1,0)</f>
        <v>0</v>
      </c>
      <c r="AN75" s="52">
        <f>IF(AND(COUNTA($A75:$L75)&gt;0,$H75&lt;&gt;""),IF($O75="ERR",1,IF(INT($O75)&lt;&gt;$O75,1,IF(AND(OR($C75="Receipt",$C75="Shipment"),$O75&lt;=0),1,IF(AND($C75="Adjustment",$O75=0),1,0)))),0)</f>
        <v>0</v>
      </c>
      <c r="AO75" s="52">
        <f>IF(AND(COUNTA($A75:$L75)&gt;0,$C75="Receipt",$I75=""),1,0)</f>
        <v>0</v>
      </c>
      <c r="AP75" s="52">
        <f>IF(AND(COUNTA($A75:$L75)&gt;0,$I75&lt;&gt;""),IF(IFERROR(INDEX(Config!$G$15:$G$34,MATCH($I75,Config!$E$15:$E$34,0)),"No")="Yes",0,1),0)</f>
        <v>0</v>
      </c>
      <c r="AQ75" s="52">
        <f>IF(AND(COUNTA($A75:$L75)&gt;0,$C75="Adjustment",$J75=""),1,0)</f>
        <v>0</v>
      </c>
      <c r="AR75" s="52">
        <f>IF(AND(COUNTA($A75:$L75)&gt;0,$L75=""),1,0)</f>
        <v>0</v>
      </c>
      <c r="AS75" s="52">
        <f>IF(AND(COUNTA($A75:$L75)&gt;0,ISNUMBER($S75)),IF($S75&lt;0,1,0),0)</f>
        <v>0</v>
      </c>
      <c r="AT75" s="52">
        <f>$W75</f>
        <v>0</v>
      </c>
      <c r="AU75" s="52">
        <f>$AT75+$X75</f>
        <v>0</v>
      </c>
      <c r="AV75" s="52">
        <f>$AU75+$Y75</f>
        <v>0</v>
      </c>
      <c r="AW75" s="52">
        <f>$AV75+$Z75</f>
        <v>0</v>
      </c>
      <c r="AX75" s="52">
        <f>$AW75+$AA75</f>
        <v>0</v>
      </c>
      <c r="AY75" s="52">
        <f>$AX75+$AB75</f>
        <v>0</v>
      </c>
      <c r="AZ75" s="52">
        <f>$AY75+$AC75</f>
        <v>0</v>
      </c>
      <c r="BA75" s="52">
        <f>$AZ75+$AD75</f>
        <v>0</v>
      </c>
      <c r="BB75" s="52">
        <f>$BA75+$AE75</f>
        <v>0</v>
      </c>
      <c r="BC75" s="52">
        <f>$BB75+$AF75</f>
        <v>0</v>
      </c>
      <c r="BD75" s="52">
        <f>$BC75+$AG75</f>
        <v>0</v>
      </c>
      <c r="BE75" s="52">
        <f>$BD75+$AH75</f>
        <v>0</v>
      </c>
      <c r="BF75" s="52">
        <f>$BE75+$AI75</f>
        <v>0</v>
      </c>
      <c r="BG75" s="52">
        <f>$BF75+$AJ75</f>
        <v>0</v>
      </c>
      <c r="BH75" s="52">
        <f>$BG75+$AK75</f>
        <v>0</v>
      </c>
      <c r="BI75" s="52">
        <f>$BH75+$AL75</f>
        <v>0</v>
      </c>
      <c r="BJ75" s="52">
        <f>$BI75+$AM75</f>
        <v>0</v>
      </c>
      <c r="BK75" s="52">
        <f>$BJ75+$AN75</f>
        <v>0</v>
      </c>
      <c r="BL75" s="52">
        <f>$BK75+$AO75</f>
        <v>0</v>
      </c>
      <c r="BM75" s="52">
        <f>$BL75+$AP75</f>
        <v>0</v>
      </c>
      <c r="BN75" s="52">
        <f>$BM75+$AQ75</f>
        <v>0</v>
      </c>
      <c r="BO75" s="52">
        <f>$BN75+$AR75</f>
        <v>0</v>
      </c>
      <c r="BP75" s="52">
        <f>$BO75+$AS75</f>
        <v>0</v>
      </c>
      <c r="BQ75" s="52">
        <f>SUM($T$1:$T74)</f>
        <v>11</v>
      </c>
      <c r="BR75" s="52" t="str">
        <f>IF(ISNUMBER($T75),IF($T75&gt;0,COUNTIF($T$2:$T75,"&gt;0"),""),"")</f>
        <v/>
      </c>
      <c r="BS75" s="52" t="str">
        <f>IF($BR75="","",$BQ75+$T75)</f>
        <v/>
      </c>
      <c r="BT75" s="52" t="str">
        <f>IF($U75="Ready",COUNTIF($U$2:$U75,"Ready"),"")</f>
        <v/>
      </c>
      <c r="BU75" s="52">
        <f>IF(AND($U75="Ready",$C75="Receipt"),IF(COUNTIF(Batches!$A$2:$A$301,$F75)+COUNTIFS($F$1:$F74,$F75,$C$1:$C74,"Receipt",$U$1:$U74,"Ready")=0,1,0),0)</f>
        <v>0</v>
      </c>
      <c r="BV75" s="52" t="str">
        <f>IF($BU75=1,SUM($BU$2:$BU75),"")</f>
        <v/>
      </c>
    </row>
    <row r="76">
      <c r="A76" s="46" t="n"/>
      <c r="B76" s="46" t="n"/>
      <c r="C76" s="46" t="n"/>
      <c r="D76" s="46" t="n"/>
      <c r="E76" s="46" t="n"/>
      <c r="F76" s="46" t="n"/>
      <c r="G76" s="46" t="n"/>
      <c r="H76" s="46" t="n"/>
      <c r="I76" s="46" t="n"/>
      <c r="J76" s="46" t="n"/>
      <c r="K76" s="46" t="n"/>
      <c r="L76" s="46" t="n"/>
      <c r="M76" s="62" t="str">
        <f>IF($B76="","",IF(ISNUMBER($B76),$B76,IF(AND(LEN($B76)=10,MID($B76,5,1)="-",MID($B76,8,1)="-"),IFERROR(IF(AND(MONTH(DATE(VALUE(LEFT($B76,4)),VALUE(MID($B76,6,2)),VALUE(RIGHT($B76,2))))=VALUE(MID($B76,6,2)),DAY(DATE(VALUE(LEFT($B76,4)),VALUE(MID($B76,6,2)),VALUE(RIGHT($B76,2))))=VALUE(RIGHT($B76,2))),DATE(VALUE(LEFT($B76,4)),VALUE(MID($B76,6,2)),VALUE(RIGHT($B76,2))),"ERR"),"ERR"),"ERR")))</f>
        <v/>
      </c>
      <c r="N76" s="62" t="str">
        <f>IF($G76="","",IF(ISNUMBER($G76),$G76,IF(AND(LEN($G76)=10,MID($G76,5,1)="-",MID($G76,8,1)="-"),IFERROR(IF(AND(MONTH(DATE(VALUE(LEFT($G76,4)),VALUE(MID($G76,6,2)),VALUE(RIGHT($G76,2))))=VALUE(MID($G76,6,2)),DAY(DATE(VALUE(LEFT($G76,4)),VALUE(MID($G76,6,2)),VALUE(RIGHT($G76,2))))=VALUE(RIGHT($G76,2))),DATE(VALUE(LEFT($G76,4)),VALUE(MID($G76,6,2)),VALUE(RIGHT($G76,2))),"ERR"),"ERR"),"ERR")))</f>
        <v/>
      </c>
      <c r="O76" s="51" t="str">
        <f>IF($H76="","",IF(ISNUMBER($H76),$H76,IFERROR(VALUE($H76),"ERR")))</f>
        <v/>
      </c>
      <c r="P76" s="51" t="str">
        <f>IF(AND(ISNUMBER($O76),OR($C76="Receipt",$C76="Shipment",$C76="Adjustment")),IF($C76="Shipment",-$O76,$O76),"")</f>
        <v/>
      </c>
      <c r="Q76" s="51" t="str">
        <f>IF($D76="","",IFERROR(INDEX(Products!$R$2:$R$101,MATCH($D76,Products!$A$2:$A$101,0)),""))</f>
        <v/>
      </c>
      <c r="R76" s="51" t="str">
        <f>IF(OR($Q76="",$P76=""),"",$Q76+SUMIFS($P$1:$P75,$D$1:$D75,$D76,$U$1:$U75,"Ready"))</f>
        <v/>
      </c>
      <c r="S76" s="51" t="str">
        <f>IF($R76="","",$R76+$P76)</f>
        <v/>
      </c>
      <c r="T76" s="52" t="str">
        <f>IF(COUNTA($A76:$L76)&gt;0,$BP76,"")</f>
        <v/>
      </c>
      <c r="U76" s="49" t="str">
        <f>IF($T76="","",IF($T76=0,"Ready","Rejected"))</f>
        <v/>
      </c>
      <c r="V76" s="49" t="str">
        <f>IF(OR($T76="",$T76=0),"",INDEX(Config!$D$39:$D$61,MATCH(1,$AT76:$BP76,0))&amp;IF($T76&gt;1," (+"&amp;($T76-1)&amp;" more)",""))</f>
        <v/>
      </c>
      <c r="W76" s="52">
        <f>IF(AND(COUNTA($A76:$L76)&gt;0,$A76=""),1,0)</f>
        <v>0</v>
      </c>
      <c r="X76" s="52">
        <f>IF(AND(COUNTA($A76:$L76)&gt;0,$A76&lt;&gt;""),IF(COUNTIF($A$1:$A75,$A76)&gt;0,1,0),0)</f>
        <v>0</v>
      </c>
      <c r="Y76" s="52">
        <f>IF(AND(COUNTA($A76:$L76)&gt;0,$A76&lt;&gt;""),IF(COUNTIF(Inventory_Ledger!$A$2:$A$2001,$A76)&gt;0,1,0),0)</f>
        <v>0</v>
      </c>
      <c r="Z76" s="52">
        <f>IF(AND(COUNTA($A76:$L76)&gt;0,$B76=""),1,0)</f>
        <v>0</v>
      </c>
      <c r="AA76" s="52">
        <f>IF(AND(COUNTA($A76:$L76)&gt;0,$B76&lt;&gt;""),IF($M76="ERR",1,0),0)</f>
        <v>0</v>
      </c>
      <c r="AB76" s="52">
        <f>IF(AND(COUNTA($A76:$L76)&gt;0,ISNUMBER($M76)),IF($M76&gt;Config!$B$4,1,0),0)</f>
        <v>0</v>
      </c>
      <c r="AC76" s="52">
        <f>IF(AND(COUNTA($A76:$L76)&gt;0,$C76=""),1,0)</f>
        <v>0</v>
      </c>
      <c r="AD76" s="52">
        <f>IF(AND(COUNTA($A76:$L76)&gt;0,$C76&lt;&gt;""),IF(COUNTIF(Config!$A$15:$A$34,$C76)=0,1,0),0)</f>
        <v>0</v>
      </c>
      <c r="AE76" s="52">
        <f>IF(AND(COUNTA($A76:$L76)&gt;0,$D76=""),1,0)</f>
        <v>0</v>
      </c>
      <c r="AF76" s="52">
        <f>IF(AND(COUNTA($A76:$L76)&gt;0,$D76&lt;&gt;""),IF(COUNTIF(Products!$A$2:$A$101,$D76)=0,1,0),0)</f>
        <v>0</v>
      </c>
      <c r="AG76" s="52">
        <f>IF(AND(COUNTA($A76:$L76)&gt;0,$C76="Receipt",$E76=""),1,0)</f>
        <v>0</v>
      </c>
      <c r="AH76" s="52">
        <f>IF(AND(COUNTA($A76:$L76)&gt;0,$E76&lt;&gt;""),IF(COUNTIF(Suppliers!$A$2:$A$51,$E76)=0,1,0),0)</f>
        <v>0</v>
      </c>
      <c r="AI76" s="52">
        <f>IF(AND(COUNTA($A76:$L76)&gt;0,$F76=""),1,0)</f>
        <v>0</v>
      </c>
      <c r="AJ76" s="52">
        <f>IF(AND(COUNTA($A76:$L76)&gt;0,$F76&lt;&gt;"",$D76&lt;&gt;"",OR($C76="Shipment",$C76="Adjustment")),IF($AF76=1,0,IF(COUNTIFS(Batches!$A$2:$A$301,$F76,Batches!$B$2:$B$301,$D76)+COUNTIFS($F$1:$F75,$F76,$D$1:$D75,$D76,$C$1:$C75,"Receipt")=0,1,0)),0)</f>
        <v>0</v>
      </c>
      <c r="AK76" s="52">
        <f>IF(AND(COUNTA($A76:$L76)&gt;0,$C76="Receipt",$G76=""),1,0)</f>
        <v>0</v>
      </c>
      <c r="AL76" s="52">
        <f>IF(AND(COUNTA($A76:$L76)&gt;0,$G76&lt;&gt;""),IF($N76="ERR",1,0),0)</f>
        <v>0</v>
      </c>
      <c r="AM76" s="52">
        <f>IF(AND(COUNTA($A76:$L76)&gt;0,$H76=""),1,0)</f>
        <v>0</v>
      </c>
      <c r="AN76" s="52">
        <f>IF(AND(COUNTA($A76:$L76)&gt;0,$H76&lt;&gt;""),IF($O76="ERR",1,IF(INT($O76)&lt;&gt;$O76,1,IF(AND(OR($C76="Receipt",$C76="Shipment"),$O76&lt;=0),1,IF(AND($C76="Adjustment",$O76=0),1,0)))),0)</f>
        <v>0</v>
      </c>
      <c r="AO76" s="52">
        <f>IF(AND(COUNTA($A76:$L76)&gt;0,$C76="Receipt",$I76=""),1,0)</f>
        <v>0</v>
      </c>
      <c r="AP76" s="52">
        <f>IF(AND(COUNTA($A76:$L76)&gt;0,$I76&lt;&gt;""),IF(IFERROR(INDEX(Config!$G$15:$G$34,MATCH($I76,Config!$E$15:$E$34,0)),"No")="Yes",0,1),0)</f>
        <v>0</v>
      </c>
      <c r="AQ76" s="52">
        <f>IF(AND(COUNTA($A76:$L76)&gt;0,$C76="Adjustment",$J76=""),1,0)</f>
        <v>0</v>
      </c>
      <c r="AR76" s="52">
        <f>IF(AND(COUNTA($A76:$L76)&gt;0,$L76=""),1,0)</f>
        <v>0</v>
      </c>
      <c r="AS76" s="52">
        <f>IF(AND(COUNTA($A76:$L76)&gt;0,ISNUMBER($S76)),IF($S76&lt;0,1,0),0)</f>
        <v>0</v>
      </c>
      <c r="AT76" s="52">
        <f>$W76</f>
        <v>0</v>
      </c>
      <c r="AU76" s="52">
        <f>$AT76+$X76</f>
        <v>0</v>
      </c>
      <c r="AV76" s="52">
        <f>$AU76+$Y76</f>
        <v>0</v>
      </c>
      <c r="AW76" s="52">
        <f>$AV76+$Z76</f>
        <v>0</v>
      </c>
      <c r="AX76" s="52">
        <f>$AW76+$AA76</f>
        <v>0</v>
      </c>
      <c r="AY76" s="52">
        <f>$AX76+$AB76</f>
        <v>0</v>
      </c>
      <c r="AZ76" s="52">
        <f>$AY76+$AC76</f>
        <v>0</v>
      </c>
      <c r="BA76" s="52">
        <f>$AZ76+$AD76</f>
        <v>0</v>
      </c>
      <c r="BB76" s="52">
        <f>$BA76+$AE76</f>
        <v>0</v>
      </c>
      <c r="BC76" s="52">
        <f>$BB76+$AF76</f>
        <v>0</v>
      </c>
      <c r="BD76" s="52">
        <f>$BC76+$AG76</f>
        <v>0</v>
      </c>
      <c r="BE76" s="52">
        <f>$BD76+$AH76</f>
        <v>0</v>
      </c>
      <c r="BF76" s="52">
        <f>$BE76+$AI76</f>
        <v>0</v>
      </c>
      <c r="BG76" s="52">
        <f>$BF76+$AJ76</f>
        <v>0</v>
      </c>
      <c r="BH76" s="52">
        <f>$BG76+$AK76</f>
        <v>0</v>
      </c>
      <c r="BI76" s="52">
        <f>$BH76+$AL76</f>
        <v>0</v>
      </c>
      <c r="BJ76" s="52">
        <f>$BI76+$AM76</f>
        <v>0</v>
      </c>
      <c r="BK76" s="52">
        <f>$BJ76+$AN76</f>
        <v>0</v>
      </c>
      <c r="BL76" s="52">
        <f>$BK76+$AO76</f>
        <v>0</v>
      </c>
      <c r="BM76" s="52">
        <f>$BL76+$AP76</f>
        <v>0</v>
      </c>
      <c r="BN76" s="52">
        <f>$BM76+$AQ76</f>
        <v>0</v>
      </c>
      <c r="BO76" s="52">
        <f>$BN76+$AR76</f>
        <v>0</v>
      </c>
      <c r="BP76" s="52">
        <f>$BO76+$AS76</f>
        <v>0</v>
      </c>
      <c r="BQ76" s="52">
        <f>SUM($T$1:$T75)</f>
        <v>11</v>
      </c>
      <c r="BR76" s="52" t="str">
        <f>IF(ISNUMBER($T76),IF($T76&gt;0,COUNTIF($T$2:$T76,"&gt;0"),""),"")</f>
        <v/>
      </c>
      <c r="BS76" s="52" t="str">
        <f>IF($BR76="","",$BQ76+$T76)</f>
        <v/>
      </c>
      <c r="BT76" s="52" t="str">
        <f>IF($U76="Ready",COUNTIF($U$2:$U76,"Ready"),"")</f>
        <v/>
      </c>
      <c r="BU76" s="52">
        <f>IF(AND($U76="Ready",$C76="Receipt"),IF(COUNTIF(Batches!$A$2:$A$301,$F76)+COUNTIFS($F$1:$F75,$F76,$C$1:$C75,"Receipt",$U$1:$U75,"Ready")=0,1,0),0)</f>
        <v>0</v>
      </c>
      <c r="BV76" s="52" t="str">
        <f>IF($BU76=1,SUM($BU$2:$BU76),"")</f>
        <v/>
      </c>
    </row>
    <row r="77">
      <c r="A77" s="46" t="n"/>
      <c r="B77" s="46" t="n"/>
      <c r="C77" s="46" t="n"/>
      <c r="D77" s="46" t="n"/>
      <c r="E77" s="46" t="n"/>
      <c r="F77" s="46" t="n"/>
      <c r="G77" s="46" t="n"/>
      <c r="H77" s="46" t="n"/>
      <c r="I77" s="46" t="n"/>
      <c r="J77" s="46" t="n"/>
      <c r="K77" s="46" t="n"/>
      <c r="L77" s="46" t="n"/>
      <c r="M77" s="62" t="str">
        <f>IF($B77="","",IF(ISNUMBER($B77),$B77,IF(AND(LEN($B77)=10,MID($B77,5,1)="-",MID($B77,8,1)="-"),IFERROR(IF(AND(MONTH(DATE(VALUE(LEFT($B77,4)),VALUE(MID($B77,6,2)),VALUE(RIGHT($B77,2))))=VALUE(MID($B77,6,2)),DAY(DATE(VALUE(LEFT($B77,4)),VALUE(MID($B77,6,2)),VALUE(RIGHT($B77,2))))=VALUE(RIGHT($B77,2))),DATE(VALUE(LEFT($B77,4)),VALUE(MID($B77,6,2)),VALUE(RIGHT($B77,2))),"ERR"),"ERR"),"ERR")))</f>
        <v/>
      </c>
      <c r="N77" s="62" t="str">
        <f>IF($G77="","",IF(ISNUMBER($G77),$G77,IF(AND(LEN($G77)=10,MID($G77,5,1)="-",MID($G77,8,1)="-"),IFERROR(IF(AND(MONTH(DATE(VALUE(LEFT($G77,4)),VALUE(MID($G77,6,2)),VALUE(RIGHT($G77,2))))=VALUE(MID($G77,6,2)),DAY(DATE(VALUE(LEFT($G77,4)),VALUE(MID($G77,6,2)),VALUE(RIGHT($G77,2))))=VALUE(RIGHT($G77,2))),DATE(VALUE(LEFT($G77,4)),VALUE(MID($G77,6,2)),VALUE(RIGHT($G77,2))),"ERR"),"ERR"),"ERR")))</f>
        <v/>
      </c>
      <c r="O77" s="51" t="str">
        <f>IF($H77="","",IF(ISNUMBER($H77),$H77,IFERROR(VALUE($H77),"ERR")))</f>
        <v/>
      </c>
      <c r="P77" s="51" t="str">
        <f>IF(AND(ISNUMBER($O77),OR($C77="Receipt",$C77="Shipment",$C77="Adjustment")),IF($C77="Shipment",-$O77,$O77),"")</f>
        <v/>
      </c>
      <c r="Q77" s="51" t="str">
        <f>IF($D77="","",IFERROR(INDEX(Products!$R$2:$R$101,MATCH($D77,Products!$A$2:$A$101,0)),""))</f>
        <v/>
      </c>
      <c r="R77" s="51" t="str">
        <f>IF(OR($Q77="",$P77=""),"",$Q77+SUMIFS($P$1:$P76,$D$1:$D76,$D77,$U$1:$U76,"Ready"))</f>
        <v/>
      </c>
      <c r="S77" s="51" t="str">
        <f>IF($R77="","",$R77+$P77)</f>
        <v/>
      </c>
      <c r="T77" s="52" t="str">
        <f>IF(COUNTA($A77:$L77)&gt;0,$BP77,"")</f>
        <v/>
      </c>
      <c r="U77" s="49" t="str">
        <f>IF($T77="","",IF($T77=0,"Ready","Rejected"))</f>
        <v/>
      </c>
      <c r="V77" s="49" t="str">
        <f>IF(OR($T77="",$T77=0),"",INDEX(Config!$D$39:$D$61,MATCH(1,$AT77:$BP77,0))&amp;IF($T77&gt;1," (+"&amp;($T77-1)&amp;" more)",""))</f>
        <v/>
      </c>
      <c r="W77" s="52">
        <f>IF(AND(COUNTA($A77:$L77)&gt;0,$A77=""),1,0)</f>
        <v>0</v>
      </c>
      <c r="X77" s="52">
        <f>IF(AND(COUNTA($A77:$L77)&gt;0,$A77&lt;&gt;""),IF(COUNTIF($A$1:$A76,$A77)&gt;0,1,0),0)</f>
        <v>0</v>
      </c>
      <c r="Y77" s="52">
        <f>IF(AND(COUNTA($A77:$L77)&gt;0,$A77&lt;&gt;""),IF(COUNTIF(Inventory_Ledger!$A$2:$A$2001,$A77)&gt;0,1,0),0)</f>
        <v>0</v>
      </c>
      <c r="Z77" s="52">
        <f>IF(AND(COUNTA($A77:$L77)&gt;0,$B77=""),1,0)</f>
        <v>0</v>
      </c>
      <c r="AA77" s="52">
        <f>IF(AND(COUNTA($A77:$L77)&gt;0,$B77&lt;&gt;""),IF($M77="ERR",1,0),0)</f>
        <v>0</v>
      </c>
      <c r="AB77" s="52">
        <f>IF(AND(COUNTA($A77:$L77)&gt;0,ISNUMBER($M77)),IF($M77&gt;Config!$B$4,1,0),0)</f>
        <v>0</v>
      </c>
      <c r="AC77" s="52">
        <f>IF(AND(COUNTA($A77:$L77)&gt;0,$C77=""),1,0)</f>
        <v>0</v>
      </c>
      <c r="AD77" s="52">
        <f>IF(AND(COUNTA($A77:$L77)&gt;0,$C77&lt;&gt;""),IF(COUNTIF(Config!$A$15:$A$34,$C77)=0,1,0),0)</f>
        <v>0</v>
      </c>
      <c r="AE77" s="52">
        <f>IF(AND(COUNTA($A77:$L77)&gt;0,$D77=""),1,0)</f>
        <v>0</v>
      </c>
      <c r="AF77" s="52">
        <f>IF(AND(COUNTA($A77:$L77)&gt;0,$D77&lt;&gt;""),IF(COUNTIF(Products!$A$2:$A$101,$D77)=0,1,0),0)</f>
        <v>0</v>
      </c>
      <c r="AG77" s="52">
        <f>IF(AND(COUNTA($A77:$L77)&gt;0,$C77="Receipt",$E77=""),1,0)</f>
        <v>0</v>
      </c>
      <c r="AH77" s="52">
        <f>IF(AND(COUNTA($A77:$L77)&gt;0,$E77&lt;&gt;""),IF(COUNTIF(Suppliers!$A$2:$A$51,$E77)=0,1,0),0)</f>
        <v>0</v>
      </c>
      <c r="AI77" s="52">
        <f>IF(AND(COUNTA($A77:$L77)&gt;0,$F77=""),1,0)</f>
        <v>0</v>
      </c>
      <c r="AJ77" s="52">
        <f>IF(AND(COUNTA($A77:$L77)&gt;0,$F77&lt;&gt;"",$D77&lt;&gt;"",OR($C77="Shipment",$C77="Adjustment")),IF($AF77=1,0,IF(COUNTIFS(Batches!$A$2:$A$301,$F77,Batches!$B$2:$B$301,$D77)+COUNTIFS($F$1:$F76,$F77,$D$1:$D76,$D77,$C$1:$C76,"Receipt")=0,1,0)),0)</f>
        <v>0</v>
      </c>
      <c r="AK77" s="52">
        <f>IF(AND(COUNTA($A77:$L77)&gt;0,$C77="Receipt",$G77=""),1,0)</f>
        <v>0</v>
      </c>
      <c r="AL77" s="52">
        <f>IF(AND(COUNTA($A77:$L77)&gt;0,$G77&lt;&gt;""),IF($N77="ERR",1,0),0)</f>
        <v>0</v>
      </c>
      <c r="AM77" s="52">
        <f>IF(AND(COUNTA($A77:$L77)&gt;0,$H77=""),1,0)</f>
        <v>0</v>
      </c>
      <c r="AN77" s="52">
        <f>IF(AND(COUNTA($A77:$L77)&gt;0,$H77&lt;&gt;""),IF($O77="ERR",1,IF(INT($O77)&lt;&gt;$O77,1,IF(AND(OR($C77="Receipt",$C77="Shipment"),$O77&lt;=0),1,IF(AND($C77="Adjustment",$O77=0),1,0)))),0)</f>
        <v>0</v>
      </c>
      <c r="AO77" s="52">
        <f>IF(AND(COUNTA($A77:$L77)&gt;0,$C77="Receipt",$I77=""),1,0)</f>
        <v>0</v>
      </c>
      <c r="AP77" s="52">
        <f>IF(AND(COUNTA($A77:$L77)&gt;0,$I77&lt;&gt;""),IF(IFERROR(INDEX(Config!$G$15:$G$34,MATCH($I77,Config!$E$15:$E$34,0)),"No")="Yes",0,1),0)</f>
        <v>0</v>
      </c>
      <c r="AQ77" s="52">
        <f>IF(AND(COUNTA($A77:$L77)&gt;0,$C77="Adjustment",$J77=""),1,0)</f>
        <v>0</v>
      </c>
      <c r="AR77" s="52">
        <f>IF(AND(COUNTA($A77:$L77)&gt;0,$L77=""),1,0)</f>
        <v>0</v>
      </c>
      <c r="AS77" s="52">
        <f>IF(AND(COUNTA($A77:$L77)&gt;0,ISNUMBER($S77)),IF($S77&lt;0,1,0),0)</f>
        <v>0</v>
      </c>
      <c r="AT77" s="52">
        <f>$W77</f>
        <v>0</v>
      </c>
      <c r="AU77" s="52">
        <f>$AT77+$X77</f>
        <v>0</v>
      </c>
      <c r="AV77" s="52">
        <f>$AU77+$Y77</f>
        <v>0</v>
      </c>
      <c r="AW77" s="52">
        <f>$AV77+$Z77</f>
        <v>0</v>
      </c>
      <c r="AX77" s="52">
        <f>$AW77+$AA77</f>
        <v>0</v>
      </c>
      <c r="AY77" s="52">
        <f>$AX77+$AB77</f>
        <v>0</v>
      </c>
      <c r="AZ77" s="52">
        <f>$AY77+$AC77</f>
        <v>0</v>
      </c>
      <c r="BA77" s="52">
        <f>$AZ77+$AD77</f>
        <v>0</v>
      </c>
      <c r="BB77" s="52">
        <f>$BA77+$AE77</f>
        <v>0</v>
      </c>
      <c r="BC77" s="52">
        <f>$BB77+$AF77</f>
        <v>0</v>
      </c>
      <c r="BD77" s="52">
        <f>$BC77+$AG77</f>
        <v>0</v>
      </c>
      <c r="BE77" s="52">
        <f>$BD77+$AH77</f>
        <v>0</v>
      </c>
      <c r="BF77" s="52">
        <f>$BE77+$AI77</f>
        <v>0</v>
      </c>
      <c r="BG77" s="52">
        <f>$BF77+$AJ77</f>
        <v>0</v>
      </c>
      <c r="BH77" s="52">
        <f>$BG77+$AK77</f>
        <v>0</v>
      </c>
      <c r="BI77" s="52">
        <f>$BH77+$AL77</f>
        <v>0</v>
      </c>
      <c r="BJ77" s="52">
        <f>$BI77+$AM77</f>
        <v>0</v>
      </c>
      <c r="BK77" s="52">
        <f>$BJ77+$AN77</f>
        <v>0</v>
      </c>
      <c r="BL77" s="52">
        <f>$BK77+$AO77</f>
        <v>0</v>
      </c>
      <c r="BM77" s="52">
        <f>$BL77+$AP77</f>
        <v>0</v>
      </c>
      <c r="BN77" s="52">
        <f>$BM77+$AQ77</f>
        <v>0</v>
      </c>
      <c r="BO77" s="52">
        <f>$BN77+$AR77</f>
        <v>0</v>
      </c>
      <c r="BP77" s="52">
        <f>$BO77+$AS77</f>
        <v>0</v>
      </c>
      <c r="BQ77" s="52">
        <f>SUM($T$1:$T76)</f>
        <v>11</v>
      </c>
      <c r="BR77" s="52" t="str">
        <f>IF(ISNUMBER($T77),IF($T77&gt;0,COUNTIF($T$2:$T77,"&gt;0"),""),"")</f>
        <v/>
      </c>
      <c r="BS77" s="52" t="str">
        <f>IF($BR77="","",$BQ77+$T77)</f>
        <v/>
      </c>
      <c r="BT77" s="52" t="str">
        <f>IF($U77="Ready",COUNTIF($U$2:$U77,"Ready"),"")</f>
        <v/>
      </c>
      <c r="BU77" s="52">
        <f>IF(AND($U77="Ready",$C77="Receipt"),IF(COUNTIF(Batches!$A$2:$A$301,$F77)+COUNTIFS($F$1:$F76,$F77,$C$1:$C76,"Receipt",$U$1:$U76,"Ready")=0,1,0),0)</f>
        <v>0</v>
      </c>
      <c r="BV77" s="52" t="str">
        <f>IF($BU77=1,SUM($BU$2:$BU77),"")</f>
        <v/>
      </c>
    </row>
    <row r="78">
      <c r="A78" s="46" t="n"/>
      <c r="B78" s="46" t="n"/>
      <c r="C78" s="46" t="n"/>
      <c r="D78" s="46" t="n"/>
      <c r="E78" s="46" t="n"/>
      <c r="F78" s="46" t="n"/>
      <c r="G78" s="46" t="n"/>
      <c r="H78" s="46" t="n"/>
      <c r="I78" s="46" t="n"/>
      <c r="J78" s="46" t="n"/>
      <c r="K78" s="46" t="n"/>
      <c r="L78" s="46" t="n"/>
      <c r="M78" s="62" t="str">
        <f>IF($B78="","",IF(ISNUMBER($B78),$B78,IF(AND(LEN($B78)=10,MID($B78,5,1)="-",MID($B78,8,1)="-"),IFERROR(IF(AND(MONTH(DATE(VALUE(LEFT($B78,4)),VALUE(MID($B78,6,2)),VALUE(RIGHT($B78,2))))=VALUE(MID($B78,6,2)),DAY(DATE(VALUE(LEFT($B78,4)),VALUE(MID($B78,6,2)),VALUE(RIGHT($B78,2))))=VALUE(RIGHT($B78,2))),DATE(VALUE(LEFT($B78,4)),VALUE(MID($B78,6,2)),VALUE(RIGHT($B78,2))),"ERR"),"ERR"),"ERR")))</f>
        <v/>
      </c>
      <c r="N78" s="62" t="str">
        <f>IF($G78="","",IF(ISNUMBER($G78),$G78,IF(AND(LEN($G78)=10,MID($G78,5,1)="-",MID($G78,8,1)="-"),IFERROR(IF(AND(MONTH(DATE(VALUE(LEFT($G78,4)),VALUE(MID($G78,6,2)),VALUE(RIGHT($G78,2))))=VALUE(MID($G78,6,2)),DAY(DATE(VALUE(LEFT($G78,4)),VALUE(MID($G78,6,2)),VALUE(RIGHT($G78,2))))=VALUE(RIGHT($G78,2))),DATE(VALUE(LEFT($G78,4)),VALUE(MID($G78,6,2)),VALUE(RIGHT($G78,2))),"ERR"),"ERR"),"ERR")))</f>
        <v/>
      </c>
      <c r="O78" s="51" t="str">
        <f>IF($H78="","",IF(ISNUMBER($H78),$H78,IFERROR(VALUE($H78),"ERR")))</f>
        <v/>
      </c>
      <c r="P78" s="51" t="str">
        <f>IF(AND(ISNUMBER($O78),OR($C78="Receipt",$C78="Shipment",$C78="Adjustment")),IF($C78="Shipment",-$O78,$O78),"")</f>
        <v/>
      </c>
      <c r="Q78" s="51" t="str">
        <f>IF($D78="","",IFERROR(INDEX(Products!$R$2:$R$101,MATCH($D78,Products!$A$2:$A$101,0)),""))</f>
        <v/>
      </c>
      <c r="R78" s="51" t="str">
        <f>IF(OR($Q78="",$P78=""),"",$Q78+SUMIFS($P$1:$P77,$D$1:$D77,$D78,$U$1:$U77,"Ready"))</f>
        <v/>
      </c>
      <c r="S78" s="51" t="str">
        <f>IF($R78="","",$R78+$P78)</f>
        <v/>
      </c>
      <c r="T78" s="52" t="str">
        <f>IF(COUNTA($A78:$L78)&gt;0,$BP78,"")</f>
        <v/>
      </c>
      <c r="U78" s="49" t="str">
        <f>IF($T78="","",IF($T78=0,"Ready","Rejected"))</f>
        <v/>
      </c>
      <c r="V78" s="49" t="str">
        <f>IF(OR($T78="",$T78=0),"",INDEX(Config!$D$39:$D$61,MATCH(1,$AT78:$BP78,0))&amp;IF($T78&gt;1," (+"&amp;($T78-1)&amp;" more)",""))</f>
        <v/>
      </c>
      <c r="W78" s="52">
        <f>IF(AND(COUNTA($A78:$L78)&gt;0,$A78=""),1,0)</f>
        <v>0</v>
      </c>
      <c r="X78" s="52">
        <f>IF(AND(COUNTA($A78:$L78)&gt;0,$A78&lt;&gt;""),IF(COUNTIF($A$1:$A77,$A78)&gt;0,1,0),0)</f>
        <v>0</v>
      </c>
      <c r="Y78" s="52">
        <f>IF(AND(COUNTA($A78:$L78)&gt;0,$A78&lt;&gt;""),IF(COUNTIF(Inventory_Ledger!$A$2:$A$2001,$A78)&gt;0,1,0),0)</f>
        <v>0</v>
      </c>
      <c r="Z78" s="52">
        <f>IF(AND(COUNTA($A78:$L78)&gt;0,$B78=""),1,0)</f>
        <v>0</v>
      </c>
      <c r="AA78" s="52">
        <f>IF(AND(COUNTA($A78:$L78)&gt;0,$B78&lt;&gt;""),IF($M78="ERR",1,0),0)</f>
        <v>0</v>
      </c>
      <c r="AB78" s="52">
        <f>IF(AND(COUNTA($A78:$L78)&gt;0,ISNUMBER($M78)),IF($M78&gt;Config!$B$4,1,0),0)</f>
        <v>0</v>
      </c>
      <c r="AC78" s="52">
        <f>IF(AND(COUNTA($A78:$L78)&gt;0,$C78=""),1,0)</f>
        <v>0</v>
      </c>
      <c r="AD78" s="52">
        <f>IF(AND(COUNTA($A78:$L78)&gt;0,$C78&lt;&gt;""),IF(COUNTIF(Config!$A$15:$A$34,$C78)=0,1,0),0)</f>
        <v>0</v>
      </c>
      <c r="AE78" s="52">
        <f>IF(AND(COUNTA($A78:$L78)&gt;0,$D78=""),1,0)</f>
        <v>0</v>
      </c>
      <c r="AF78" s="52">
        <f>IF(AND(COUNTA($A78:$L78)&gt;0,$D78&lt;&gt;""),IF(COUNTIF(Products!$A$2:$A$101,$D78)=0,1,0),0)</f>
        <v>0</v>
      </c>
      <c r="AG78" s="52">
        <f>IF(AND(COUNTA($A78:$L78)&gt;0,$C78="Receipt",$E78=""),1,0)</f>
        <v>0</v>
      </c>
      <c r="AH78" s="52">
        <f>IF(AND(COUNTA($A78:$L78)&gt;0,$E78&lt;&gt;""),IF(COUNTIF(Suppliers!$A$2:$A$51,$E78)=0,1,0),0)</f>
        <v>0</v>
      </c>
      <c r="AI78" s="52">
        <f>IF(AND(COUNTA($A78:$L78)&gt;0,$F78=""),1,0)</f>
        <v>0</v>
      </c>
      <c r="AJ78" s="52">
        <f>IF(AND(COUNTA($A78:$L78)&gt;0,$F78&lt;&gt;"",$D78&lt;&gt;"",OR($C78="Shipment",$C78="Adjustment")),IF($AF78=1,0,IF(COUNTIFS(Batches!$A$2:$A$301,$F78,Batches!$B$2:$B$301,$D78)+COUNTIFS($F$1:$F77,$F78,$D$1:$D77,$D78,$C$1:$C77,"Receipt")=0,1,0)),0)</f>
        <v>0</v>
      </c>
      <c r="AK78" s="52">
        <f>IF(AND(COUNTA($A78:$L78)&gt;0,$C78="Receipt",$G78=""),1,0)</f>
        <v>0</v>
      </c>
      <c r="AL78" s="52">
        <f>IF(AND(COUNTA($A78:$L78)&gt;0,$G78&lt;&gt;""),IF($N78="ERR",1,0),0)</f>
        <v>0</v>
      </c>
      <c r="AM78" s="52">
        <f>IF(AND(COUNTA($A78:$L78)&gt;0,$H78=""),1,0)</f>
        <v>0</v>
      </c>
      <c r="AN78" s="52">
        <f>IF(AND(COUNTA($A78:$L78)&gt;0,$H78&lt;&gt;""),IF($O78="ERR",1,IF(INT($O78)&lt;&gt;$O78,1,IF(AND(OR($C78="Receipt",$C78="Shipment"),$O78&lt;=0),1,IF(AND($C78="Adjustment",$O78=0),1,0)))),0)</f>
        <v>0</v>
      </c>
      <c r="AO78" s="52">
        <f>IF(AND(COUNTA($A78:$L78)&gt;0,$C78="Receipt",$I78=""),1,0)</f>
        <v>0</v>
      </c>
      <c r="AP78" s="52">
        <f>IF(AND(COUNTA($A78:$L78)&gt;0,$I78&lt;&gt;""),IF(IFERROR(INDEX(Config!$G$15:$G$34,MATCH($I78,Config!$E$15:$E$34,0)),"No")="Yes",0,1),0)</f>
        <v>0</v>
      </c>
      <c r="AQ78" s="52">
        <f>IF(AND(COUNTA($A78:$L78)&gt;0,$C78="Adjustment",$J78=""),1,0)</f>
        <v>0</v>
      </c>
      <c r="AR78" s="52">
        <f>IF(AND(COUNTA($A78:$L78)&gt;0,$L78=""),1,0)</f>
        <v>0</v>
      </c>
      <c r="AS78" s="52">
        <f>IF(AND(COUNTA($A78:$L78)&gt;0,ISNUMBER($S78)),IF($S78&lt;0,1,0),0)</f>
        <v>0</v>
      </c>
      <c r="AT78" s="52">
        <f>$W78</f>
        <v>0</v>
      </c>
      <c r="AU78" s="52">
        <f>$AT78+$X78</f>
        <v>0</v>
      </c>
      <c r="AV78" s="52">
        <f>$AU78+$Y78</f>
        <v>0</v>
      </c>
      <c r="AW78" s="52">
        <f>$AV78+$Z78</f>
        <v>0</v>
      </c>
      <c r="AX78" s="52">
        <f>$AW78+$AA78</f>
        <v>0</v>
      </c>
      <c r="AY78" s="52">
        <f>$AX78+$AB78</f>
        <v>0</v>
      </c>
      <c r="AZ78" s="52">
        <f>$AY78+$AC78</f>
        <v>0</v>
      </c>
      <c r="BA78" s="52">
        <f>$AZ78+$AD78</f>
        <v>0</v>
      </c>
      <c r="BB78" s="52">
        <f>$BA78+$AE78</f>
        <v>0</v>
      </c>
      <c r="BC78" s="52">
        <f>$BB78+$AF78</f>
        <v>0</v>
      </c>
      <c r="BD78" s="52">
        <f>$BC78+$AG78</f>
        <v>0</v>
      </c>
      <c r="BE78" s="52">
        <f>$BD78+$AH78</f>
        <v>0</v>
      </c>
      <c r="BF78" s="52">
        <f>$BE78+$AI78</f>
        <v>0</v>
      </c>
      <c r="BG78" s="52">
        <f>$BF78+$AJ78</f>
        <v>0</v>
      </c>
      <c r="BH78" s="52">
        <f>$BG78+$AK78</f>
        <v>0</v>
      </c>
      <c r="BI78" s="52">
        <f>$BH78+$AL78</f>
        <v>0</v>
      </c>
      <c r="BJ78" s="52">
        <f>$BI78+$AM78</f>
        <v>0</v>
      </c>
      <c r="BK78" s="52">
        <f>$BJ78+$AN78</f>
        <v>0</v>
      </c>
      <c r="BL78" s="52">
        <f>$BK78+$AO78</f>
        <v>0</v>
      </c>
      <c r="BM78" s="52">
        <f>$BL78+$AP78</f>
        <v>0</v>
      </c>
      <c r="BN78" s="52">
        <f>$BM78+$AQ78</f>
        <v>0</v>
      </c>
      <c r="BO78" s="52">
        <f>$BN78+$AR78</f>
        <v>0</v>
      </c>
      <c r="BP78" s="52">
        <f>$BO78+$AS78</f>
        <v>0</v>
      </c>
      <c r="BQ78" s="52">
        <f>SUM($T$1:$T77)</f>
        <v>11</v>
      </c>
      <c r="BR78" s="52" t="str">
        <f>IF(ISNUMBER($T78),IF($T78&gt;0,COUNTIF($T$2:$T78,"&gt;0"),""),"")</f>
        <v/>
      </c>
      <c r="BS78" s="52" t="str">
        <f>IF($BR78="","",$BQ78+$T78)</f>
        <v/>
      </c>
      <c r="BT78" s="52" t="str">
        <f>IF($U78="Ready",COUNTIF($U$2:$U78,"Ready"),"")</f>
        <v/>
      </c>
      <c r="BU78" s="52">
        <f>IF(AND($U78="Ready",$C78="Receipt"),IF(COUNTIF(Batches!$A$2:$A$301,$F78)+COUNTIFS($F$1:$F77,$F78,$C$1:$C77,"Receipt",$U$1:$U77,"Ready")=0,1,0),0)</f>
        <v>0</v>
      </c>
      <c r="BV78" s="52" t="str">
        <f>IF($BU78=1,SUM($BU$2:$BU78),"")</f>
        <v/>
      </c>
    </row>
    <row r="79">
      <c r="A79" s="46" t="n"/>
      <c r="B79" s="46" t="n"/>
      <c r="C79" s="46" t="n"/>
      <c r="D79" s="46" t="n"/>
      <c r="E79" s="46" t="n"/>
      <c r="F79" s="46" t="n"/>
      <c r="G79" s="46" t="n"/>
      <c r="H79" s="46" t="n"/>
      <c r="I79" s="46" t="n"/>
      <c r="J79" s="46" t="n"/>
      <c r="K79" s="46" t="n"/>
      <c r="L79" s="46" t="n"/>
      <c r="M79" s="62" t="str">
        <f>IF($B79="","",IF(ISNUMBER($B79),$B79,IF(AND(LEN($B79)=10,MID($B79,5,1)="-",MID($B79,8,1)="-"),IFERROR(IF(AND(MONTH(DATE(VALUE(LEFT($B79,4)),VALUE(MID($B79,6,2)),VALUE(RIGHT($B79,2))))=VALUE(MID($B79,6,2)),DAY(DATE(VALUE(LEFT($B79,4)),VALUE(MID($B79,6,2)),VALUE(RIGHT($B79,2))))=VALUE(RIGHT($B79,2))),DATE(VALUE(LEFT($B79,4)),VALUE(MID($B79,6,2)),VALUE(RIGHT($B79,2))),"ERR"),"ERR"),"ERR")))</f>
        <v/>
      </c>
      <c r="N79" s="62" t="str">
        <f>IF($G79="","",IF(ISNUMBER($G79),$G79,IF(AND(LEN($G79)=10,MID($G79,5,1)="-",MID($G79,8,1)="-"),IFERROR(IF(AND(MONTH(DATE(VALUE(LEFT($G79,4)),VALUE(MID($G79,6,2)),VALUE(RIGHT($G79,2))))=VALUE(MID($G79,6,2)),DAY(DATE(VALUE(LEFT($G79,4)),VALUE(MID($G79,6,2)),VALUE(RIGHT($G79,2))))=VALUE(RIGHT($G79,2))),DATE(VALUE(LEFT($G79,4)),VALUE(MID($G79,6,2)),VALUE(RIGHT($G79,2))),"ERR"),"ERR"),"ERR")))</f>
        <v/>
      </c>
      <c r="O79" s="51" t="str">
        <f>IF($H79="","",IF(ISNUMBER($H79),$H79,IFERROR(VALUE($H79),"ERR")))</f>
        <v/>
      </c>
      <c r="P79" s="51" t="str">
        <f>IF(AND(ISNUMBER($O79),OR($C79="Receipt",$C79="Shipment",$C79="Adjustment")),IF($C79="Shipment",-$O79,$O79),"")</f>
        <v/>
      </c>
      <c r="Q79" s="51" t="str">
        <f>IF($D79="","",IFERROR(INDEX(Products!$R$2:$R$101,MATCH($D79,Products!$A$2:$A$101,0)),""))</f>
        <v/>
      </c>
      <c r="R79" s="51" t="str">
        <f>IF(OR($Q79="",$P79=""),"",$Q79+SUMIFS($P$1:$P78,$D$1:$D78,$D79,$U$1:$U78,"Ready"))</f>
        <v/>
      </c>
      <c r="S79" s="51" t="str">
        <f>IF($R79="","",$R79+$P79)</f>
        <v/>
      </c>
      <c r="T79" s="52" t="str">
        <f>IF(COUNTA($A79:$L79)&gt;0,$BP79,"")</f>
        <v/>
      </c>
      <c r="U79" s="49" t="str">
        <f>IF($T79="","",IF($T79=0,"Ready","Rejected"))</f>
        <v/>
      </c>
      <c r="V79" s="49" t="str">
        <f>IF(OR($T79="",$T79=0),"",INDEX(Config!$D$39:$D$61,MATCH(1,$AT79:$BP79,0))&amp;IF($T79&gt;1," (+"&amp;($T79-1)&amp;" more)",""))</f>
        <v/>
      </c>
      <c r="W79" s="52">
        <f>IF(AND(COUNTA($A79:$L79)&gt;0,$A79=""),1,0)</f>
        <v>0</v>
      </c>
      <c r="X79" s="52">
        <f>IF(AND(COUNTA($A79:$L79)&gt;0,$A79&lt;&gt;""),IF(COUNTIF($A$1:$A78,$A79)&gt;0,1,0),0)</f>
        <v>0</v>
      </c>
      <c r="Y79" s="52">
        <f>IF(AND(COUNTA($A79:$L79)&gt;0,$A79&lt;&gt;""),IF(COUNTIF(Inventory_Ledger!$A$2:$A$2001,$A79)&gt;0,1,0),0)</f>
        <v>0</v>
      </c>
      <c r="Z79" s="52">
        <f>IF(AND(COUNTA($A79:$L79)&gt;0,$B79=""),1,0)</f>
        <v>0</v>
      </c>
      <c r="AA79" s="52">
        <f>IF(AND(COUNTA($A79:$L79)&gt;0,$B79&lt;&gt;""),IF($M79="ERR",1,0),0)</f>
        <v>0</v>
      </c>
      <c r="AB79" s="52">
        <f>IF(AND(COUNTA($A79:$L79)&gt;0,ISNUMBER($M79)),IF($M79&gt;Config!$B$4,1,0),0)</f>
        <v>0</v>
      </c>
      <c r="AC79" s="52">
        <f>IF(AND(COUNTA($A79:$L79)&gt;0,$C79=""),1,0)</f>
        <v>0</v>
      </c>
      <c r="AD79" s="52">
        <f>IF(AND(COUNTA($A79:$L79)&gt;0,$C79&lt;&gt;""),IF(COUNTIF(Config!$A$15:$A$34,$C79)=0,1,0),0)</f>
        <v>0</v>
      </c>
      <c r="AE79" s="52">
        <f>IF(AND(COUNTA($A79:$L79)&gt;0,$D79=""),1,0)</f>
        <v>0</v>
      </c>
      <c r="AF79" s="52">
        <f>IF(AND(COUNTA($A79:$L79)&gt;0,$D79&lt;&gt;""),IF(COUNTIF(Products!$A$2:$A$101,$D79)=0,1,0),0)</f>
        <v>0</v>
      </c>
      <c r="AG79" s="52">
        <f>IF(AND(COUNTA($A79:$L79)&gt;0,$C79="Receipt",$E79=""),1,0)</f>
        <v>0</v>
      </c>
      <c r="AH79" s="52">
        <f>IF(AND(COUNTA($A79:$L79)&gt;0,$E79&lt;&gt;""),IF(COUNTIF(Suppliers!$A$2:$A$51,$E79)=0,1,0),0)</f>
        <v>0</v>
      </c>
      <c r="AI79" s="52">
        <f>IF(AND(COUNTA($A79:$L79)&gt;0,$F79=""),1,0)</f>
        <v>0</v>
      </c>
      <c r="AJ79" s="52">
        <f>IF(AND(COUNTA($A79:$L79)&gt;0,$F79&lt;&gt;"",$D79&lt;&gt;"",OR($C79="Shipment",$C79="Adjustment")),IF($AF79=1,0,IF(COUNTIFS(Batches!$A$2:$A$301,$F79,Batches!$B$2:$B$301,$D79)+COUNTIFS($F$1:$F78,$F79,$D$1:$D78,$D79,$C$1:$C78,"Receipt")=0,1,0)),0)</f>
        <v>0</v>
      </c>
      <c r="AK79" s="52">
        <f>IF(AND(COUNTA($A79:$L79)&gt;0,$C79="Receipt",$G79=""),1,0)</f>
        <v>0</v>
      </c>
      <c r="AL79" s="52">
        <f>IF(AND(COUNTA($A79:$L79)&gt;0,$G79&lt;&gt;""),IF($N79="ERR",1,0),0)</f>
        <v>0</v>
      </c>
      <c r="AM79" s="52">
        <f>IF(AND(COUNTA($A79:$L79)&gt;0,$H79=""),1,0)</f>
        <v>0</v>
      </c>
      <c r="AN79" s="52">
        <f>IF(AND(COUNTA($A79:$L79)&gt;0,$H79&lt;&gt;""),IF($O79="ERR",1,IF(INT($O79)&lt;&gt;$O79,1,IF(AND(OR($C79="Receipt",$C79="Shipment"),$O79&lt;=0),1,IF(AND($C79="Adjustment",$O79=0),1,0)))),0)</f>
        <v>0</v>
      </c>
      <c r="AO79" s="52">
        <f>IF(AND(COUNTA($A79:$L79)&gt;0,$C79="Receipt",$I79=""),1,0)</f>
        <v>0</v>
      </c>
      <c r="AP79" s="52">
        <f>IF(AND(COUNTA($A79:$L79)&gt;0,$I79&lt;&gt;""),IF(IFERROR(INDEX(Config!$G$15:$G$34,MATCH($I79,Config!$E$15:$E$34,0)),"No")="Yes",0,1),0)</f>
        <v>0</v>
      </c>
      <c r="AQ79" s="52">
        <f>IF(AND(COUNTA($A79:$L79)&gt;0,$C79="Adjustment",$J79=""),1,0)</f>
        <v>0</v>
      </c>
      <c r="AR79" s="52">
        <f>IF(AND(COUNTA($A79:$L79)&gt;0,$L79=""),1,0)</f>
        <v>0</v>
      </c>
      <c r="AS79" s="52">
        <f>IF(AND(COUNTA($A79:$L79)&gt;0,ISNUMBER($S79)),IF($S79&lt;0,1,0),0)</f>
        <v>0</v>
      </c>
      <c r="AT79" s="52">
        <f>$W79</f>
        <v>0</v>
      </c>
      <c r="AU79" s="52">
        <f>$AT79+$X79</f>
        <v>0</v>
      </c>
      <c r="AV79" s="52">
        <f>$AU79+$Y79</f>
        <v>0</v>
      </c>
      <c r="AW79" s="52">
        <f>$AV79+$Z79</f>
        <v>0</v>
      </c>
      <c r="AX79" s="52">
        <f>$AW79+$AA79</f>
        <v>0</v>
      </c>
      <c r="AY79" s="52">
        <f>$AX79+$AB79</f>
        <v>0</v>
      </c>
      <c r="AZ79" s="52">
        <f>$AY79+$AC79</f>
        <v>0</v>
      </c>
      <c r="BA79" s="52">
        <f>$AZ79+$AD79</f>
        <v>0</v>
      </c>
      <c r="BB79" s="52">
        <f>$BA79+$AE79</f>
        <v>0</v>
      </c>
      <c r="BC79" s="52">
        <f>$BB79+$AF79</f>
        <v>0</v>
      </c>
      <c r="BD79" s="52">
        <f>$BC79+$AG79</f>
        <v>0</v>
      </c>
      <c r="BE79" s="52">
        <f>$BD79+$AH79</f>
        <v>0</v>
      </c>
      <c r="BF79" s="52">
        <f>$BE79+$AI79</f>
        <v>0</v>
      </c>
      <c r="BG79" s="52">
        <f>$BF79+$AJ79</f>
        <v>0</v>
      </c>
      <c r="BH79" s="52">
        <f>$BG79+$AK79</f>
        <v>0</v>
      </c>
      <c r="BI79" s="52">
        <f>$BH79+$AL79</f>
        <v>0</v>
      </c>
      <c r="BJ79" s="52">
        <f>$BI79+$AM79</f>
        <v>0</v>
      </c>
      <c r="BK79" s="52">
        <f>$BJ79+$AN79</f>
        <v>0</v>
      </c>
      <c r="BL79" s="52">
        <f>$BK79+$AO79</f>
        <v>0</v>
      </c>
      <c r="BM79" s="52">
        <f>$BL79+$AP79</f>
        <v>0</v>
      </c>
      <c r="BN79" s="52">
        <f>$BM79+$AQ79</f>
        <v>0</v>
      </c>
      <c r="BO79" s="52">
        <f>$BN79+$AR79</f>
        <v>0</v>
      </c>
      <c r="BP79" s="52">
        <f>$BO79+$AS79</f>
        <v>0</v>
      </c>
      <c r="BQ79" s="52">
        <f>SUM($T$1:$T78)</f>
        <v>11</v>
      </c>
      <c r="BR79" s="52" t="str">
        <f>IF(ISNUMBER($T79),IF($T79&gt;0,COUNTIF($T$2:$T79,"&gt;0"),""),"")</f>
        <v/>
      </c>
      <c r="BS79" s="52" t="str">
        <f>IF($BR79="","",$BQ79+$T79)</f>
        <v/>
      </c>
      <c r="BT79" s="52" t="str">
        <f>IF($U79="Ready",COUNTIF($U$2:$U79,"Ready"),"")</f>
        <v/>
      </c>
      <c r="BU79" s="52">
        <f>IF(AND($U79="Ready",$C79="Receipt"),IF(COUNTIF(Batches!$A$2:$A$301,$F79)+COUNTIFS($F$1:$F78,$F79,$C$1:$C78,"Receipt",$U$1:$U78,"Ready")=0,1,0),0)</f>
        <v>0</v>
      </c>
      <c r="BV79" s="52" t="str">
        <f>IF($BU79=1,SUM($BU$2:$BU79),"")</f>
        <v/>
      </c>
    </row>
    <row r="80">
      <c r="A80" s="46" t="n"/>
      <c r="B80" s="46" t="n"/>
      <c r="C80" s="46" t="n"/>
      <c r="D80" s="46" t="n"/>
      <c r="E80" s="46" t="n"/>
      <c r="F80" s="46" t="n"/>
      <c r="G80" s="46" t="n"/>
      <c r="H80" s="46" t="n"/>
      <c r="I80" s="46" t="n"/>
      <c r="J80" s="46" t="n"/>
      <c r="K80" s="46" t="n"/>
      <c r="L80" s="46" t="n"/>
      <c r="M80" s="62" t="str">
        <f>IF($B80="","",IF(ISNUMBER($B80),$B80,IF(AND(LEN($B80)=10,MID($B80,5,1)="-",MID($B80,8,1)="-"),IFERROR(IF(AND(MONTH(DATE(VALUE(LEFT($B80,4)),VALUE(MID($B80,6,2)),VALUE(RIGHT($B80,2))))=VALUE(MID($B80,6,2)),DAY(DATE(VALUE(LEFT($B80,4)),VALUE(MID($B80,6,2)),VALUE(RIGHT($B80,2))))=VALUE(RIGHT($B80,2))),DATE(VALUE(LEFT($B80,4)),VALUE(MID($B80,6,2)),VALUE(RIGHT($B80,2))),"ERR"),"ERR"),"ERR")))</f>
        <v/>
      </c>
      <c r="N80" s="62" t="str">
        <f>IF($G80="","",IF(ISNUMBER($G80),$G80,IF(AND(LEN($G80)=10,MID($G80,5,1)="-",MID($G80,8,1)="-"),IFERROR(IF(AND(MONTH(DATE(VALUE(LEFT($G80,4)),VALUE(MID($G80,6,2)),VALUE(RIGHT($G80,2))))=VALUE(MID($G80,6,2)),DAY(DATE(VALUE(LEFT($G80,4)),VALUE(MID($G80,6,2)),VALUE(RIGHT($G80,2))))=VALUE(RIGHT($G80,2))),DATE(VALUE(LEFT($G80,4)),VALUE(MID($G80,6,2)),VALUE(RIGHT($G80,2))),"ERR"),"ERR"),"ERR")))</f>
        <v/>
      </c>
      <c r="O80" s="51" t="str">
        <f>IF($H80="","",IF(ISNUMBER($H80),$H80,IFERROR(VALUE($H80),"ERR")))</f>
        <v/>
      </c>
      <c r="P80" s="51" t="str">
        <f>IF(AND(ISNUMBER($O80),OR($C80="Receipt",$C80="Shipment",$C80="Adjustment")),IF($C80="Shipment",-$O80,$O80),"")</f>
        <v/>
      </c>
      <c r="Q80" s="51" t="str">
        <f>IF($D80="","",IFERROR(INDEX(Products!$R$2:$R$101,MATCH($D80,Products!$A$2:$A$101,0)),""))</f>
        <v/>
      </c>
      <c r="R80" s="51" t="str">
        <f>IF(OR($Q80="",$P80=""),"",$Q80+SUMIFS($P$1:$P79,$D$1:$D79,$D80,$U$1:$U79,"Ready"))</f>
        <v/>
      </c>
      <c r="S80" s="51" t="str">
        <f>IF($R80="","",$R80+$P80)</f>
        <v/>
      </c>
      <c r="T80" s="52" t="str">
        <f>IF(COUNTA($A80:$L80)&gt;0,$BP80,"")</f>
        <v/>
      </c>
      <c r="U80" s="49" t="str">
        <f>IF($T80="","",IF($T80=0,"Ready","Rejected"))</f>
        <v/>
      </c>
      <c r="V80" s="49" t="str">
        <f>IF(OR($T80="",$T80=0),"",INDEX(Config!$D$39:$D$61,MATCH(1,$AT80:$BP80,0))&amp;IF($T80&gt;1," (+"&amp;($T80-1)&amp;" more)",""))</f>
        <v/>
      </c>
      <c r="W80" s="52">
        <f>IF(AND(COUNTA($A80:$L80)&gt;0,$A80=""),1,0)</f>
        <v>0</v>
      </c>
      <c r="X80" s="52">
        <f>IF(AND(COUNTA($A80:$L80)&gt;0,$A80&lt;&gt;""),IF(COUNTIF($A$1:$A79,$A80)&gt;0,1,0),0)</f>
        <v>0</v>
      </c>
      <c r="Y80" s="52">
        <f>IF(AND(COUNTA($A80:$L80)&gt;0,$A80&lt;&gt;""),IF(COUNTIF(Inventory_Ledger!$A$2:$A$2001,$A80)&gt;0,1,0),0)</f>
        <v>0</v>
      </c>
      <c r="Z80" s="52">
        <f>IF(AND(COUNTA($A80:$L80)&gt;0,$B80=""),1,0)</f>
        <v>0</v>
      </c>
      <c r="AA80" s="52">
        <f>IF(AND(COUNTA($A80:$L80)&gt;0,$B80&lt;&gt;""),IF($M80="ERR",1,0),0)</f>
        <v>0</v>
      </c>
      <c r="AB80" s="52">
        <f>IF(AND(COUNTA($A80:$L80)&gt;0,ISNUMBER($M80)),IF($M80&gt;Config!$B$4,1,0),0)</f>
        <v>0</v>
      </c>
      <c r="AC80" s="52">
        <f>IF(AND(COUNTA($A80:$L80)&gt;0,$C80=""),1,0)</f>
        <v>0</v>
      </c>
      <c r="AD80" s="52">
        <f>IF(AND(COUNTA($A80:$L80)&gt;0,$C80&lt;&gt;""),IF(COUNTIF(Config!$A$15:$A$34,$C80)=0,1,0),0)</f>
        <v>0</v>
      </c>
      <c r="AE80" s="52">
        <f>IF(AND(COUNTA($A80:$L80)&gt;0,$D80=""),1,0)</f>
        <v>0</v>
      </c>
      <c r="AF80" s="52">
        <f>IF(AND(COUNTA($A80:$L80)&gt;0,$D80&lt;&gt;""),IF(COUNTIF(Products!$A$2:$A$101,$D80)=0,1,0),0)</f>
        <v>0</v>
      </c>
      <c r="AG80" s="52">
        <f>IF(AND(COUNTA($A80:$L80)&gt;0,$C80="Receipt",$E80=""),1,0)</f>
        <v>0</v>
      </c>
      <c r="AH80" s="52">
        <f>IF(AND(COUNTA($A80:$L80)&gt;0,$E80&lt;&gt;""),IF(COUNTIF(Suppliers!$A$2:$A$51,$E80)=0,1,0),0)</f>
        <v>0</v>
      </c>
      <c r="AI80" s="52">
        <f>IF(AND(COUNTA($A80:$L80)&gt;0,$F80=""),1,0)</f>
        <v>0</v>
      </c>
      <c r="AJ80" s="52">
        <f>IF(AND(COUNTA($A80:$L80)&gt;0,$F80&lt;&gt;"",$D80&lt;&gt;"",OR($C80="Shipment",$C80="Adjustment")),IF($AF80=1,0,IF(COUNTIFS(Batches!$A$2:$A$301,$F80,Batches!$B$2:$B$301,$D80)+COUNTIFS($F$1:$F79,$F80,$D$1:$D79,$D80,$C$1:$C79,"Receipt")=0,1,0)),0)</f>
        <v>0</v>
      </c>
      <c r="AK80" s="52">
        <f>IF(AND(COUNTA($A80:$L80)&gt;0,$C80="Receipt",$G80=""),1,0)</f>
        <v>0</v>
      </c>
      <c r="AL80" s="52">
        <f>IF(AND(COUNTA($A80:$L80)&gt;0,$G80&lt;&gt;""),IF($N80="ERR",1,0),0)</f>
        <v>0</v>
      </c>
      <c r="AM80" s="52">
        <f>IF(AND(COUNTA($A80:$L80)&gt;0,$H80=""),1,0)</f>
        <v>0</v>
      </c>
      <c r="AN80" s="52">
        <f>IF(AND(COUNTA($A80:$L80)&gt;0,$H80&lt;&gt;""),IF($O80="ERR",1,IF(INT($O80)&lt;&gt;$O80,1,IF(AND(OR($C80="Receipt",$C80="Shipment"),$O80&lt;=0),1,IF(AND($C80="Adjustment",$O80=0),1,0)))),0)</f>
        <v>0</v>
      </c>
      <c r="AO80" s="52">
        <f>IF(AND(COUNTA($A80:$L80)&gt;0,$C80="Receipt",$I80=""),1,0)</f>
        <v>0</v>
      </c>
      <c r="AP80" s="52">
        <f>IF(AND(COUNTA($A80:$L80)&gt;0,$I80&lt;&gt;""),IF(IFERROR(INDEX(Config!$G$15:$G$34,MATCH($I80,Config!$E$15:$E$34,0)),"No")="Yes",0,1),0)</f>
        <v>0</v>
      </c>
      <c r="AQ80" s="52">
        <f>IF(AND(COUNTA($A80:$L80)&gt;0,$C80="Adjustment",$J80=""),1,0)</f>
        <v>0</v>
      </c>
      <c r="AR80" s="52">
        <f>IF(AND(COUNTA($A80:$L80)&gt;0,$L80=""),1,0)</f>
        <v>0</v>
      </c>
      <c r="AS80" s="52">
        <f>IF(AND(COUNTA($A80:$L80)&gt;0,ISNUMBER($S80)),IF($S80&lt;0,1,0),0)</f>
        <v>0</v>
      </c>
      <c r="AT80" s="52">
        <f>$W80</f>
        <v>0</v>
      </c>
      <c r="AU80" s="52">
        <f>$AT80+$X80</f>
        <v>0</v>
      </c>
      <c r="AV80" s="52">
        <f>$AU80+$Y80</f>
        <v>0</v>
      </c>
      <c r="AW80" s="52">
        <f>$AV80+$Z80</f>
        <v>0</v>
      </c>
      <c r="AX80" s="52">
        <f>$AW80+$AA80</f>
        <v>0</v>
      </c>
      <c r="AY80" s="52">
        <f>$AX80+$AB80</f>
        <v>0</v>
      </c>
      <c r="AZ80" s="52">
        <f>$AY80+$AC80</f>
        <v>0</v>
      </c>
      <c r="BA80" s="52">
        <f>$AZ80+$AD80</f>
        <v>0</v>
      </c>
      <c r="BB80" s="52">
        <f>$BA80+$AE80</f>
        <v>0</v>
      </c>
      <c r="BC80" s="52">
        <f>$BB80+$AF80</f>
        <v>0</v>
      </c>
      <c r="BD80" s="52">
        <f>$BC80+$AG80</f>
        <v>0</v>
      </c>
      <c r="BE80" s="52">
        <f>$BD80+$AH80</f>
        <v>0</v>
      </c>
      <c r="BF80" s="52">
        <f>$BE80+$AI80</f>
        <v>0</v>
      </c>
      <c r="BG80" s="52">
        <f>$BF80+$AJ80</f>
        <v>0</v>
      </c>
      <c r="BH80" s="52">
        <f>$BG80+$AK80</f>
        <v>0</v>
      </c>
      <c r="BI80" s="52">
        <f>$BH80+$AL80</f>
        <v>0</v>
      </c>
      <c r="BJ80" s="52">
        <f>$BI80+$AM80</f>
        <v>0</v>
      </c>
      <c r="BK80" s="52">
        <f>$BJ80+$AN80</f>
        <v>0</v>
      </c>
      <c r="BL80" s="52">
        <f>$BK80+$AO80</f>
        <v>0</v>
      </c>
      <c r="BM80" s="52">
        <f>$BL80+$AP80</f>
        <v>0</v>
      </c>
      <c r="BN80" s="52">
        <f>$BM80+$AQ80</f>
        <v>0</v>
      </c>
      <c r="BO80" s="52">
        <f>$BN80+$AR80</f>
        <v>0</v>
      </c>
      <c r="BP80" s="52">
        <f>$BO80+$AS80</f>
        <v>0</v>
      </c>
      <c r="BQ80" s="52">
        <f>SUM($T$1:$T79)</f>
        <v>11</v>
      </c>
      <c r="BR80" s="52" t="str">
        <f>IF(ISNUMBER($T80),IF($T80&gt;0,COUNTIF($T$2:$T80,"&gt;0"),""),"")</f>
        <v/>
      </c>
      <c r="BS80" s="52" t="str">
        <f>IF($BR80="","",$BQ80+$T80)</f>
        <v/>
      </c>
      <c r="BT80" s="52" t="str">
        <f>IF($U80="Ready",COUNTIF($U$2:$U80,"Ready"),"")</f>
        <v/>
      </c>
      <c r="BU80" s="52">
        <f>IF(AND($U80="Ready",$C80="Receipt"),IF(COUNTIF(Batches!$A$2:$A$301,$F80)+COUNTIFS($F$1:$F79,$F80,$C$1:$C79,"Receipt",$U$1:$U79,"Ready")=0,1,0),0)</f>
        <v>0</v>
      </c>
      <c r="BV80" s="52" t="str">
        <f>IF($BU80=1,SUM($BU$2:$BU80),"")</f>
        <v/>
      </c>
    </row>
    <row r="81">
      <c r="A81" s="46" t="n"/>
      <c r="B81" s="46" t="n"/>
      <c r="C81" s="46" t="n"/>
      <c r="D81" s="46" t="n"/>
      <c r="E81" s="46" t="n"/>
      <c r="F81" s="46" t="n"/>
      <c r="G81" s="46" t="n"/>
      <c r="H81" s="46" t="n"/>
      <c r="I81" s="46" t="n"/>
      <c r="J81" s="46" t="n"/>
      <c r="K81" s="46" t="n"/>
      <c r="L81" s="46" t="n"/>
      <c r="M81" s="62" t="str">
        <f>IF($B81="","",IF(ISNUMBER($B81),$B81,IF(AND(LEN($B81)=10,MID($B81,5,1)="-",MID($B81,8,1)="-"),IFERROR(IF(AND(MONTH(DATE(VALUE(LEFT($B81,4)),VALUE(MID($B81,6,2)),VALUE(RIGHT($B81,2))))=VALUE(MID($B81,6,2)),DAY(DATE(VALUE(LEFT($B81,4)),VALUE(MID($B81,6,2)),VALUE(RIGHT($B81,2))))=VALUE(RIGHT($B81,2))),DATE(VALUE(LEFT($B81,4)),VALUE(MID($B81,6,2)),VALUE(RIGHT($B81,2))),"ERR"),"ERR"),"ERR")))</f>
        <v/>
      </c>
      <c r="N81" s="62" t="str">
        <f>IF($G81="","",IF(ISNUMBER($G81),$G81,IF(AND(LEN($G81)=10,MID($G81,5,1)="-",MID($G81,8,1)="-"),IFERROR(IF(AND(MONTH(DATE(VALUE(LEFT($G81,4)),VALUE(MID($G81,6,2)),VALUE(RIGHT($G81,2))))=VALUE(MID($G81,6,2)),DAY(DATE(VALUE(LEFT($G81,4)),VALUE(MID($G81,6,2)),VALUE(RIGHT($G81,2))))=VALUE(RIGHT($G81,2))),DATE(VALUE(LEFT($G81,4)),VALUE(MID($G81,6,2)),VALUE(RIGHT($G81,2))),"ERR"),"ERR"),"ERR")))</f>
        <v/>
      </c>
      <c r="O81" s="51" t="str">
        <f>IF($H81="","",IF(ISNUMBER($H81),$H81,IFERROR(VALUE($H81),"ERR")))</f>
        <v/>
      </c>
      <c r="P81" s="51" t="str">
        <f>IF(AND(ISNUMBER($O81),OR($C81="Receipt",$C81="Shipment",$C81="Adjustment")),IF($C81="Shipment",-$O81,$O81),"")</f>
        <v/>
      </c>
      <c r="Q81" s="51" t="str">
        <f>IF($D81="","",IFERROR(INDEX(Products!$R$2:$R$101,MATCH($D81,Products!$A$2:$A$101,0)),""))</f>
        <v/>
      </c>
      <c r="R81" s="51" t="str">
        <f>IF(OR($Q81="",$P81=""),"",$Q81+SUMIFS($P$1:$P80,$D$1:$D80,$D81,$U$1:$U80,"Ready"))</f>
        <v/>
      </c>
      <c r="S81" s="51" t="str">
        <f>IF($R81="","",$R81+$P81)</f>
        <v/>
      </c>
      <c r="T81" s="52" t="str">
        <f>IF(COUNTA($A81:$L81)&gt;0,$BP81,"")</f>
        <v/>
      </c>
      <c r="U81" s="49" t="str">
        <f>IF($T81="","",IF($T81=0,"Ready","Rejected"))</f>
        <v/>
      </c>
      <c r="V81" s="49" t="str">
        <f>IF(OR($T81="",$T81=0),"",INDEX(Config!$D$39:$D$61,MATCH(1,$AT81:$BP81,0))&amp;IF($T81&gt;1," (+"&amp;($T81-1)&amp;" more)",""))</f>
        <v/>
      </c>
      <c r="W81" s="52">
        <f>IF(AND(COUNTA($A81:$L81)&gt;0,$A81=""),1,0)</f>
        <v>0</v>
      </c>
      <c r="X81" s="52">
        <f>IF(AND(COUNTA($A81:$L81)&gt;0,$A81&lt;&gt;""),IF(COUNTIF($A$1:$A80,$A81)&gt;0,1,0),0)</f>
        <v>0</v>
      </c>
      <c r="Y81" s="52">
        <f>IF(AND(COUNTA($A81:$L81)&gt;0,$A81&lt;&gt;""),IF(COUNTIF(Inventory_Ledger!$A$2:$A$2001,$A81)&gt;0,1,0),0)</f>
        <v>0</v>
      </c>
      <c r="Z81" s="52">
        <f>IF(AND(COUNTA($A81:$L81)&gt;0,$B81=""),1,0)</f>
        <v>0</v>
      </c>
      <c r="AA81" s="52">
        <f>IF(AND(COUNTA($A81:$L81)&gt;0,$B81&lt;&gt;""),IF($M81="ERR",1,0),0)</f>
        <v>0</v>
      </c>
      <c r="AB81" s="52">
        <f>IF(AND(COUNTA($A81:$L81)&gt;0,ISNUMBER($M81)),IF($M81&gt;Config!$B$4,1,0),0)</f>
        <v>0</v>
      </c>
      <c r="AC81" s="52">
        <f>IF(AND(COUNTA($A81:$L81)&gt;0,$C81=""),1,0)</f>
        <v>0</v>
      </c>
      <c r="AD81" s="52">
        <f>IF(AND(COUNTA($A81:$L81)&gt;0,$C81&lt;&gt;""),IF(COUNTIF(Config!$A$15:$A$34,$C81)=0,1,0),0)</f>
        <v>0</v>
      </c>
      <c r="AE81" s="52">
        <f>IF(AND(COUNTA($A81:$L81)&gt;0,$D81=""),1,0)</f>
        <v>0</v>
      </c>
      <c r="AF81" s="52">
        <f>IF(AND(COUNTA($A81:$L81)&gt;0,$D81&lt;&gt;""),IF(COUNTIF(Products!$A$2:$A$101,$D81)=0,1,0),0)</f>
        <v>0</v>
      </c>
      <c r="AG81" s="52">
        <f>IF(AND(COUNTA($A81:$L81)&gt;0,$C81="Receipt",$E81=""),1,0)</f>
        <v>0</v>
      </c>
      <c r="AH81" s="52">
        <f>IF(AND(COUNTA($A81:$L81)&gt;0,$E81&lt;&gt;""),IF(COUNTIF(Suppliers!$A$2:$A$51,$E81)=0,1,0),0)</f>
        <v>0</v>
      </c>
      <c r="AI81" s="52">
        <f>IF(AND(COUNTA($A81:$L81)&gt;0,$F81=""),1,0)</f>
        <v>0</v>
      </c>
      <c r="AJ81" s="52">
        <f>IF(AND(COUNTA($A81:$L81)&gt;0,$F81&lt;&gt;"",$D81&lt;&gt;"",OR($C81="Shipment",$C81="Adjustment")),IF($AF81=1,0,IF(COUNTIFS(Batches!$A$2:$A$301,$F81,Batches!$B$2:$B$301,$D81)+COUNTIFS($F$1:$F80,$F81,$D$1:$D80,$D81,$C$1:$C80,"Receipt")=0,1,0)),0)</f>
        <v>0</v>
      </c>
      <c r="AK81" s="52">
        <f>IF(AND(COUNTA($A81:$L81)&gt;0,$C81="Receipt",$G81=""),1,0)</f>
        <v>0</v>
      </c>
      <c r="AL81" s="52">
        <f>IF(AND(COUNTA($A81:$L81)&gt;0,$G81&lt;&gt;""),IF($N81="ERR",1,0),0)</f>
        <v>0</v>
      </c>
      <c r="AM81" s="52">
        <f>IF(AND(COUNTA($A81:$L81)&gt;0,$H81=""),1,0)</f>
        <v>0</v>
      </c>
      <c r="AN81" s="52">
        <f>IF(AND(COUNTA($A81:$L81)&gt;0,$H81&lt;&gt;""),IF($O81="ERR",1,IF(INT($O81)&lt;&gt;$O81,1,IF(AND(OR($C81="Receipt",$C81="Shipment"),$O81&lt;=0),1,IF(AND($C81="Adjustment",$O81=0),1,0)))),0)</f>
        <v>0</v>
      </c>
      <c r="AO81" s="52">
        <f>IF(AND(COUNTA($A81:$L81)&gt;0,$C81="Receipt",$I81=""),1,0)</f>
        <v>0</v>
      </c>
      <c r="AP81" s="52">
        <f>IF(AND(COUNTA($A81:$L81)&gt;0,$I81&lt;&gt;""),IF(IFERROR(INDEX(Config!$G$15:$G$34,MATCH($I81,Config!$E$15:$E$34,0)),"No")="Yes",0,1),0)</f>
        <v>0</v>
      </c>
      <c r="AQ81" s="52">
        <f>IF(AND(COUNTA($A81:$L81)&gt;0,$C81="Adjustment",$J81=""),1,0)</f>
        <v>0</v>
      </c>
      <c r="AR81" s="52">
        <f>IF(AND(COUNTA($A81:$L81)&gt;0,$L81=""),1,0)</f>
        <v>0</v>
      </c>
      <c r="AS81" s="52">
        <f>IF(AND(COUNTA($A81:$L81)&gt;0,ISNUMBER($S81)),IF($S81&lt;0,1,0),0)</f>
        <v>0</v>
      </c>
      <c r="AT81" s="52">
        <f>$W81</f>
        <v>0</v>
      </c>
      <c r="AU81" s="52">
        <f>$AT81+$X81</f>
        <v>0</v>
      </c>
      <c r="AV81" s="52">
        <f>$AU81+$Y81</f>
        <v>0</v>
      </c>
      <c r="AW81" s="52">
        <f>$AV81+$Z81</f>
        <v>0</v>
      </c>
      <c r="AX81" s="52">
        <f>$AW81+$AA81</f>
        <v>0</v>
      </c>
      <c r="AY81" s="52">
        <f>$AX81+$AB81</f>
        <v>0</v>
      </c>
      <c r="AZ81" s="52">
        <f>$AY81+$AC81</f>
        <v>0</v>
      </c>
      <c r="BA81" s="52">
        <f>$AZ81+$AD81</f>
        <v>0</v>
      </c>
      <c r="BB81" s="52">
        <f>$BA81+$AE81</f>
        <v>0</v>
      </c>
      <c r="BC81" s="52">
        <f>$BB81+$AF81</f>
        <v>0</v>
      </c>
      <c r="BD81" s="52">
        <f>$BC81+$AG81</f>
        <v>0</v>
      </c>
      <c r="BE81" s="52">
        <f>$BD81+$AH81</f>
        <v>0</v>
      </c>
      <c r="BF81" s="52">
        <f>$BE81+$AI81</f>
        <v>0</v>
      </c>
      <c r="BG81" s="52">
        <f>$BF81+$AJ81</f>
        <v>0</v>
      </c>
      <c r="BH81" s="52">
        <f>$BG81+$AK81</f>
        <v>0</v>
      </c>
      <c r="BI81" s="52">
        <f>$BH81+$AL81</f>
        <v>0</v>
      </c>
      <c r="BJ81" s="52">
        <f>$BI81+$AM81</f>
        <v>0</v>
      </c>
      <c r="BK81" s="52">
        <f>$BJ81+$AN81</f>
        <v>0</v>
      </c>
      <c r="BL81" s="52">
        <f>$BK81+$AO81</f>
        <v>0</v>
      </c>
      <c r="BM81" s="52">
        <f>$BL81+$AP81</f>
        <v>0</v>
      </c>
      <c r="BN81" s="52">
        <f>$BM81+$AQ81</f>
        <v>0</v>
      </c>
      <c r="BO81" s="52">
        <f>$BN81+$AR81</f>
        <v>0</v>
      </c>
      <c r="BP81" s="52">
        <f>$BO81+$AS81</f>
        <v>0</v>
      </c>
      <c r="BQ81" s="52">
        <f>SUM($T$1:$T80)</f>
        <v>11</v>
      </c>
      <c r="BR81" s="52" t="str">
        <f>IF(ISNUMBER($T81),IF($T81&gt;0,COUNTIF($T$2:$T81,"&gt;0"),""),"")</f>
        <v/>
      </c>
      <c r="BS81" s="52" t="str">
        <f>IF($BR81="","",$BQ81+$T81)</f>
        <v/>
      </c>
      <c r="BT81" s="52" t="str">
        <f>IF($U81="Ready",COUNTIF($U$2:$U81,"Ready"),"")</f>
        <v/>
      </c>
      <c r="BU81" s="52">
        <f>IF(AND($U81="Ready",$C81="Receipt"),IF(COUNTIF(Batches!$A$2:$A$301,$F81)+COUNTIFS($F$1:$F80,$F81,$C$1:$C80,"Receipt",$U$1:$U80,"Ready")=0,1,0),0)</f>
        <v>0</v>
      </c>
      <c r="BV81" s="52" t="str">
        <f>IF($BU81=1,SUM($BU$2:$BU81),"")</f>
        <v/>
      </c>
    </row>
    <row r="82">
      <c r="A82" s="46" t="n"/>
      <c r="B82" s="46" t="n"/>
      <c r="C82" s="46" t="n"/>
      <c r="D82" s="46" t="n"/>
      <c r="E82" s="46" t="n"/>
      <c r="F82" s="46" t="n"/>
      <c r="G82" s="46" t="n"/>
      <c r="H82" s="46" t="n"/>
      <c r="I82" s="46" t="n"/>
      <c r="J82" s="46" t="n"/>
      <c r="K82" s="46" t="n"/>
      <c r="L82" s="46" t="n"/>
      <c r="M82" s="62" t="str">
        <f>IF($B82="","",IF(ISNUMBER($B82),$B82,IF(AND(LEN($B82)=10,MID($B82,5,1)="-",MID($B82,8,1)="-"),IFERROR(IF(AND(MONTH(DATE(VALUE(LEFT($B82,4)),VALUE(MID($B82,6,2)),VALUE(RIGHT($B82,2))))=VALUE(MID($B82,6,2)),DAY(DATE(VALUE(LEFT($B82,4)),VALUE(MID($B82,6,2)),VALUE(RIGHT($B82,2))))=VALUE(RIGHT($B82,2))),DATE(VALUE(LEFT($B82,4)),VALUE(MID($B82,6,2)),VALUE(RIGHT($B82,2))),"ERR"),"ERR"),"ERR")))</f>
        <v/>
      </c>
      <c r="N82" s="62" t="str">
        <f>IF($G82="","",IF(ISNUMBER($G82),$G82,IF(AND(LEN($G82)=10,MID($G82,5,1)="-",MID($G82,8,1)="-"),IFERROR(IF(AND(MONTH(DATE(VALUE(LEFT($G82,4)),VALUE(MID($G82,6,2)),VALUE(RIGHT($G82,2))))=VALUE(MID($G82,6,2)),DAY(DATE(VALUE(LEFT($G82,4)),VALUE(MID($G82,6,2)),VALUE(RIGHT($G82,2))))=VALUE(RIGHT($G82,2))),DATE(VALUE(LEFT($G82,4)),VALUE(MID($G82,6,2)),VALUE(RIGHT($G82,2))),"ERR"),"ERR"),"ERR")))</f>
        <v/>
      </c>
      <c r="O82" s="51" t="str">
        <f>IF($H82="","",IF(ISNUMBER($H82),$H82,IFERROR(VALUE($H82),"ERR")))</f>
        <v/>
      </c>
      <c r="P82" s="51" t="str">
        <f>IF(AND(ISNUMBER($O82),OR($C82="Receipt",$C82="Shipment",$C82="Adjustment")),IF($C82="Shipment",-$O82,$O82),"")</f>
        <v/>
      </c>
      <c r="Q82" s="51" t="str">
        <f>IF($D82="","",IFERROR(INDEX(Products!$R$2:$R$101,MATCH($D82,Products!$A$2:$A$101,0)),""))</f>
        <v/>
      </c>
      <c r="R82" s="51" t="str">
        <f>IF(OR($Q82="",$P82=""),"",$Q82+SUMIFS($P$1:$P81,$D$1:$D81,$D82,$U$1:$U81,"Ready"))</f>
        <v/>
      </c>
      <c r="S82" s="51" t="str">
        <f>IF($R82="","",$R82+$P82)</f>
        <v/>
      </c>
      <c r="T82" s="52" t="str">
        <f>IF(COUNTA($A82:$L82)&gt;0,$BP82,"")</f>
        <v/>
      </c>
      <c r="U82" s="49" t="str">
        <f>IF($T82="","",IF($T82=0,"Ready","Rejected"))</f>
        <v/>
      </c>
      <c r="V82" s="49" t="str">
        <f>IF(OR($T82="",$T82=0),"",INDEX(Config!$D$39:$D$61,MATCH(1,$AT82:$BP82,0))&amp;IF($T82&gt;1," (+"&amp;($T82-1)&amp;" more)",""))</f>
        <v/>
      </c>
      <c r="W82" s="52">
        <f>IF(AND(COUNTA($A82:$L82)&gt;0,$A82=""),1,0)</f>
        <v>0</v>
      </c>
      <c r="X82" s="52">
        <f>IF(AND(COUNTA($A82:$L82)&gt;0,$A82&lt;&gt;""),IF(COUNTIF($A$1:$A81,$A82)&gt;0,1,0),0)</f>
        <v>0</v>
      </c>
      <c r="Y82" s="52">
        <f>IF(AND(COUNTA($A82:$L82)&gt;0,$A82&lt;&gt;""),IF(COUNTIF(Inventory_Ledger!$A$2:$A$2001,$A82)&gt;0,1,0),0)</f>
        <v>0</v>
      </c>
      <c r="Z82" s="52">
        <f>IF(AND(COUNTA($A82:$L82)&gt;0,$B82=""),1,0)</f>
        <v>0</v>
      </c>
      <c r="AA82" s="52">
        <f>IF(AND(COUNTA($A82:$L82)&gt;0,$B82&lt;&gt;""),IF($M82="ERR",1,0),0)</f>
        <v>0</v>
      </c>
      <c r="AB82" s="52">
        <f>IF(AND(COUNTA($A82:$L82)&gt;0,ISNUMBER($M82)),IF($M82&gt;Config!$B$4,1,0),0)</f>
        <v>0</v>
      </c>
      <c r="AC82" s="52">
        <f>IF(AND(COUNTA($A82:$L82)&gt;0,$C82=""),1,0)</f>
        <v>0</v>
      </c>
      <c r="AD82" s="52">
        <f>IF(AND(COUNTA($A82:$L82)&gt;0,$C82&lt;&gt;""),IF(COUNTIF(Config!$A$15:$A$34,$C82)=0,1,0),0)</f>
        <v>0</v>
      </c>
      <c r="AE82" s="52">
        <f>IF(AND(COUNTA($A82:$L82)&gt;0,$D82=""),1,0)</f>
        <v>0</v>
      </c>
      <c r="AF82" s="52">
        <f>IF(AND(COUNTA($A82:$L82)&gt;0,$D82&lt;&gt;""),IF(COUNTIF(Products!$A$2:$A$101,$D82)=0,1,0),0)</f>
        <v>0</v>
      </c>
      <c r="AG82" s="52">
        <f>IF(AND(COUNTA($A82:$L82)&gt;0,$C82="Receipt",$E82=""),1,0)</f>
        <v>0</v>
      </c>
      <c r="AH82" s="52">
        <f>IF(AND(COUNTA($A82:$L82)&gt;0,$E82&lt;&gt;""),IF(COUNTIF(Suppliers!$A$2:$A$51,$E82)=0,1,0),0)</f>
        <v>0</v>
      </c>
      <c r="AI82" s="52">
        <f>IF(AND(COUNTA($A82:$L82)&gt;0,$F82=""),1,0)</f>
        <v>0</v>
      </c>
      <c r="AJ82" s="52">
        <f>IF(AND(COUNTA($A82:$L82)&gt;0,$F82&lt;&gt;"",$D82&lt;&gt;"",OR($C82="Shipment",$C82="Adjustment")),IF($AF82=1,0,IF(COUNTIFS(Batches!$A$2:$A$301,$F82,Batches!$B$2:$B$301,$D82)+COUNTIFS($F$1:$F81,$F82,$D$1:$D81,$D82,$C$1:$C81,"Receipt")=0,1,0)),0)</f>
        <v>0</v>
      </c>
      <c r="AK82" s="52">
        <f>IF(AND(COUNTA($A82:$L82)&gt;0,$C82="Receipt",$G82=""),1,0)</f>
        <v>0</v>
      </c>
      <c r="AL82" s="52">
        <f>IF(AND(COUNTA($A82:$L82)&gt;0,$G82&lt;&gt;""),IF($N82="ERR",1,0),0)</f>
        <v>0</v>
      </c>
      <c r="AM82" s="52">
        <f>IF(AND(COUNTA($A82:$L82)&gt;0,$H82=""),1,0)</f>
        <v>0</v>
      </c>
      <c r="AN82" s="52">
        <f>IF(AND(COUNTA($A82:$L82)&gt;0,$H82&lt;&gt;""),IF($O82="ERR",1,IF(INT($O82)&lt;&gt;$O82,1,IF(AND(OR($C82="Receipt",$C82="Shipment"),$O82&lt;=0),1,IF(AND($C82="Adjustment",$O82=0),1,0)))),0)</f>
        <v>0</v>
      </c>
      <c r="AO82" s="52">
        <f>IF(AND(COUNTA($A82:$L82)&gt;0,$C82="Receipt",$I82=""),1,0)</f>
        <v>0</v>
      </c>
      <c r="AP82" s="52">
        <f>IF(AND(COUNTA($A82:$L82)&gt;0,$I82&lt;&gt;""),IF(IFERROR(INDEX(Config!$G$15:$G$34,MATCH($I82,Config!$E$15:$E$34,0)),"No")="Yes",0,1),0)</f>
        <v>0</v>
      </c>
      <c r="AQ82" s="52">
        <f>IF(AND(COUNTA($A82:$L82)&gt;0,$C82="Adjustment",$J82=""),1,0)</f>
        <v>0</v>
      </c>
      <c r="AR82" s="52">
        <f>IF(AND(COUNTA($A82:$L82)&gt;0,$L82=""),1,0)</f>
        <v>0</v>
      </c>
      <c r="AS82" s="52">
        <f>IF(AND(COUNTA($A82:$L82)&gt;0,ISNUMBER($S82)),IF($S82&lt;0,1,0),0)</f>
        <v>0</v>
      </c>
      <c r="AT82" s="52">
        <f>$W82</f>
        <v>0</v>
      </c>
      <c r="AU82" s="52">
        <f>$AT82+$X82</f>
        <v>0</v>
      </c>
      <c r="AV82" s="52">
        <f>$AU82+$Y82</f>
        <v>0</v>
      </c>
      <c r="AW82" s="52">
        <f>$AV82+$Z82</f>
        <v>0</v>
      </c>
      <c r="AX82" s="52">
        <f>$AW82+$AA82</f>
        <v>0</v>
      </c>
      <c r="AY82" s="52">
        <f>$AX82+$AB82</f>
        <v>0</v>
      </c>
      <c r="AZ82" s="52">
        <f>$AY82+$AC82</f>
        <v>0</v>
      </c>
      <c r="BA82" s="52">
        <f>$AZ82+$AD82</f>
        <v>0</v>
      </c>
      <c r="BB82" s="52">
        <f>$BA82+$AE82</f>
        <v>0</v>
      </c>
      <c r="BC82" s="52">
        <f>$BB82+$AF82</f>
        <v>0</v>
      </c>
      <c r="BD82" s="52">
        <f>$BC82+$AG82</f>
        <v>0</v>
      </c>
      <c r="BE82" s="52">
        <f>$BD82+$AH82</f>
        <v>0</v>
      </c>
      <c r="BF82" s="52">
        <f>$BE82+$AI82</f>
        <v>0</v>
      </c>
      <c r="BG82" s="52">
        <f>$BF82+$AJ82</f>
        <v>0</v>
      </c>
      <c r="BH82" s="52">
        <f>$BG82+$AK82</f>
        <v>0</v>
      </c>
      <c r="BI82" s="52">
        <f>$BH82+$AL82</f>
        <v>0</v>
      </c>
      <c r="BJ82" s="52">
        <f>$BI82+$AM82</f>
        <v>0</v>
      </c>
      <c r="BK82" s="52">
        <f>$BJ82+$AN82</f>
        <v>0</v>
      </c>
      <c r="BL82" s="52">
        <f>$BK82+$AO82</f>
        <v>0</v>
      </c>
      <c r="BM82" s="52">
        <f>$BL82+$AP82</f>
        <v>0</v>
      </c>
      <c r="BN82" s="52">
        <f>$BM82+$AQ82</f>
        <v>0</v>
      </c>
      <c r="BO82" s="52">
        <f>$BN82+$AR82</f>
        <v>0</v>
      </c>
      <c r="BP82" s="52">
        <f>$BO82+$AS82</f>
        <v>0</v>
      </c>
      <c r="BQ82" s="52">
        <f>SUM($T$1:$T81)</f>
        <v>11</v>
      </c>
      <c r="BR82" s="52" t="str">
        <f>IF(ISNUMBER($T82),IF($T82&gt;0,COUNTIF($T$2:$T82,"&gt;0"),""),"")</f>
        <v/>
      </c>
      <c r="BS82" s="52" t="str">
        <f>IF($BR82="","",$BQ82+$T82)</f>
        <v/>
      </c>
      <c r="BT82" s="52" t="str">
        <f>IF($U82="Ready",COUNTIF($U$2:$U82,"Ready"),"")</f>
        <v/>
      </c>
      <c r="BU82" s="52">
        <f>IF(AND($U82="Ready",$C82="Receipt"),IF(COUNTIF(Batches!$A$2:$A$301,$F82)+COUNTIFS($F$1:$F81,$F82,$C$1:$C81,"Receipt",$U$1:$U81,"Ready")=0,1,0),0)</f>
        <v>0</v>
      </c>
      <c r="BV82" s="52" t="str">
        <f>IF($BU82=1,SUM($BU$2:$BU82),"")</f>
        <v/>
      </c>
    </row>
    <row r="83">
      <c r="A83" s="46" t="n"/>
      <c r="B83" s="46" t="n"/>
      <c r="C83" s="46" t="n"/>
      <c r="D83" s="46" t="n"/>
      <c r="E83" s="46" t="n"/>
      <c r="F83" s="46" t="n"/>
      <c r="G83" s="46" t="n"/>
      <c r="H83" s="46" t="n"/>
      <c r="I83" s="46" t="n"/>
      <c r="J83" s="46" t="n"/>
      <c r="K83" s="46" t="n"/>
      <c r="L83" s="46" t="n"/>
      <c r="M83" s="62" t="str">
        <f>IF($B83="","",IF(ISNUMBER($B83),$B83,IF(AND(LEN($B83)=10,MID($B83,5,1)="-",MID($B83,8,1)="-"),IFERROR(IF(AND(MONTH(DATE(VALUE(LEFT($B83,4)),VALUE(MID($B83,6,2)),VALUE(RIGHT($B83,2))))=VALUE(MID($B83,6,2)),DAY(DATE(VALUE(LEFT($B83,4)),VALUE(MID($B83,6,2)),VALUE(RIGHT($B83,2))))=VALUE(RIGHT($B83,2))),DATE(VALUE(LEFT($B83,4)),VALUE(MID($B83,6,2)),VALUE(RIGHT($B83,2))),"ERR"),"ERR"),"ERR")))</f>
        <v/>
      </c>
      <c r="N83" s="62" t="str">
        <f>IF($G83="","",IF(ISNUMBER($G83),$G83,IF(AND(LEN($G83)=10,MID($G83,5,1)="-",MID($G83,8,1)="-"),IFERROR(IF(AND(MONTH(DATE(VALUE(LEFT($G83,4)),VALUE(MID($G83,6,2)),VALUE(RIGHT($G83,2))))=VALUE(MID($G83,6,2)),DAY(DATE(VALUE(LEFT($G83,4)),VALUE(MID($G83,6,2)),VALUE(RIGHT($G83,2))))=VALUE(RIGHT($G83,2))),DATE(VALUE(LEFT($G83,4)),VALUE(MID($G83,6,2)),VALUE(RIGHT($G83,2))),"ERR"),"ERR"),"ERR")))</f>
        <v/>
      </c>
      <c r="O83" s="51" t="str">
        <f>IF($H83="","",IF(ISNUMBER($H83),$H83,IFERROR(VALUE($H83),"ERR")))</f>
        <v/>
      </c>
      <c r="P83" s="51" t="str">
        <f>IF(AND(ISNUMBER($O83),OR($C83="Receipt",$C83="Shipment",$C83="Adjustment")),IF($C83="Shipment",-$O83,$O83),"")</f>
        <v/>
      </c>
      <c r="Q83" s="51" t="str">
        <f>IF($D83="","",IFERROR(INDEX(Products!$R$2:$R$101,MATCH($D83,Products!$A$2:$A$101,0)),""))</f>
        <v/>
      </c>
      <c r="R83" s="51" t="str">
        <f>IF(OR($Q83="",$P83=""),"",$Q83+SUMIFS($P$1:$P82,$D$1:$D82,$D83,$U$1:$U82,"Ready"))</f>
        <v/>
      </c>
      <c r="S83" s="51" t="str">
        <f>IF($R83="","",$R83+$P83)</f>
        <v/>
      </c>
      <c r="T83" s="52" t="str">
        <f>IF(COUNTA($A83:$L83)&gt;0,$BP83,"")</f>
        <v/>
      </c>
      <c r="U83" s="49" t="str">
        <f>IF($T83="","",IF($T83=0,"Ready","Rejected"))</f>
        <v/>
      </c>
      <c r="V83" s="49" t="str">
        <f>IF(OR($T83="",$T83=0),"",INDEX(Config!$D$39:$D$61,MATCH(1,$AT83:$BP83,0))&amp;IF($T83&gt;1," (+"&amp;($T83-1)&amp;" more)",""))</f>
        <v/>
      </c>
      <c r="W83" s="52">
        <f>IF(AND(COUNTA($A83:$L83)&gt;0,$A83=""),1,0)</f>
        <v>0</v>
      </c>
      <c r="X83" s="52">
        <f>IF(AND(COUNTA($A83:$L83)&gt;0,$A83&lt;&gt;""),IF(COUNTIF($A$1:$A82,$A83)&gt;0,1,0),0)</f>
        <v>0</v>
      </c>
      <c r="Y83" s="52">
        <f>IF(AND(COUNTA($A83:$L83)&gt;0,$A83&lt;&gt;""),IF(COUNTIF(Inventory_Ledger!$A$2:$A$2001,$A83)&gt;0,1,0),0)</f>
        <v>0</v>
      </c>
      <c r="Z83" s="52">
        <f>IF(AND(COUNTA($A83:$L83)&gt;0,$B83=""),1,0)</f>
        <v>0</v>
      </c>
      <c r="AA83" s="52">
        <f>IF(AND(COUNTA($A83:$L83)&gt;0,$B83&lt;&gt;""),IF($M83="ERR",1,0),0)</f>
        <v>0</v>
      </c>
      <c r="AB83" s="52">
        <f>IF(AND(COUNTA($A83:$L83)&gt;0,ISNUMBER($M83)),IF($M83&gt;Config!$B$4,1,0),0)</f>
        <v>0</v>
      </c>
      <c r="AC83" s="52">
        <f>IF(AND(COUNTA($A83:$L83)&gt;0,$C83=""),1,0)</f>
        <v>0</v>
      </c>
      <c r="AD83" s="52">
        <f>IF(AND(COUNTA($A83:$L83)&gt;0,$C83&lt;&gt;""),IF(COUNTIF(Config!$A$15:$A$34,$C83)=0,1,0),0)</f>
        <v>0</v>
      </c>
      <c r="AE83" s="52">
        <f>IF(AND(COUNTA($A83:$L83)&gt;0,$D83=""),1,0)</f>
        <v>0</v>
      </c>
      <c r="AF83" s="52">
        <f>IF(AND(COUNTA($A83:$L83)&gt;0,$D83&lt;&gt;""),IF(COUNTIF(Products!$A$2:$A$101,$D83)=0,1,0),0)</f>
        <v>0</v>
      </c>
      <c r="AG83" s="52">
        <f>IF(AND(COUNTA($A83:$L83)&gt;0,$C83="Receipt",$E83=""),1,0)</f>
        <v>0</v>
      </c>
      <c r="AH83" s="52">
        <f>IF(AND(COUNTA($A83:$L83)&gt;0,$E83&lt;&gt;""),IF(COUNTIF(Suppliers!$A$2:$A$51,$E83)=0,1,0),0)</f>
        <v>0</v>
      </c>
      <c r="AI83" s="52">
        <f>IF(AND(COUNTA($A83:$L83)&gt;0,$F83=""),1,0)</f>
        <v>0</v>
      </c>
      <c r="AJ83" s="52">
        <f>IF(AND(COUNTA($A83:$L83)&gt;0,$F83&lt;&gt;"",$D83&lt;&gt;"",OR($C83="Shipment",$C83="Adjustment")),IF($AF83=1,0,IF(COUNTIFS(Batches!$A$2:$A$301,$F83,Batches!$B$2:$B$301,$D83)+COUNTIFS($F$1:$F82,$F83,$D$1:$D82,$D83,$C$1:$C82,"Receipt")=0,1,0)),0)</f>
        <v>0</v>
      </c>
      <c r="AK83" s="52">
        <f>IF(AND(COUNTA($A83:$L83)&gt;0,$C83="Receipt",$G83=""),1,0)</f>
        <v>0</v>
      </c>
      <c r="AL83" s="52">
        <f>IF(AND(COUNTA($A83:$L83)&gt;0,$G83&lt;&gt;""),IF($N83="ERR",1,0),0)</f>
        <v>0</v>
      </c>
      <c r="AM83" s="52">
        <f>IF(AND(COUNTA($A83:$L83)&gt;0,$H83=""),1,0)</f>
        <v>0</v>
      </c>
      <c r="AN83" s="52">
        <f>IF(AND(COUNTA($A83:$L83)&gt;0,$H83&lt;&gt;""),IF($O83="ERR",1,IF(INT($O83)&lt;&gt;$O83,1,IF(AND(OR($C83="Receipt",$C83="Shipment"),$O83&lt;=0),1,IF(AND($C83="Adjustment",$O83=0),1,0)))),0)</f>
        <v>0</v>
      </c>
      <c r="AO83" s="52">
        <f>IF(AND(COUNTA($A83:$L83)&gt;0,$C83="Receipt",$I83=""),1,0)</f>
        <v>0</v>
      </c>
      <c r="AP83" s="52">
        <f>IF(AND(COUNTA($A83:$L83)&gt;0,$I83&lt;&gt;""),IF(IFERROR(INDEX(Config!$G$15:$G$34,MATCH($I83,Config!$E$15:$E$34,0)),"No")="Yes",0,1),0)</f>
        <v>0</v>
      </c>
      <c r="AQ83" s="52">
        <f>IF(AND(COUNTA($A83:$L83)&gt;0,$C83="Adjustment",$J83=""),1,0)</f>
        <v>0</v>
      </c>
      <c r="AR83" s="52">
        <f>IF(AND(COUNTA($A83:$L83)&gt;0,$L83=""),1,0)</f>
        <v>0</v>
      </c>
      <c r="AS83" s="52">
        <f>IF(AND(COUNTA($A83:$L83)&gt;0,ISNUMBER($S83)),IF($S83&lt;0,1,0),0)</f>
        <v>0</v>
      </c>
      <c r="AT83" s="52">
        <f>$W83</f>
        <v>0</v>
      </c>
      <c r="AU83" s="52">
        <f>$AT83+$X83</f>
        <v>0</v>
      </c>
      <c r="AV83" s="52">
        <f>$AU83+$Y83</f>
        <v>0</v>
      </c>
      <c r="AW83" s="52">
        <f>$AV83+$Z83</f>
        <v>0</v>
      </c>
      <c r="AX83" s="52">
        <f>$AW83+$AA83</f>
        <v>0</v>
      </c>
      <c r="AY83" s="52">
        <f>$AX83+$AB83</f>
        <v>0</v>
      </c>
      <c r="AZ83" s="52">
        <f>$AY83+$AC83</f>
        <v>0</v>
      </c>
      <c r="BA83" s="52">
        <f>$AZ83+$AD83</f>
        <v>0</v>
      </c>
      <c r="BB83" s="52">
        <f>$BA83+$AE83</f>
        <v>0</v>
      </c>
      <c r="BC83" s="52">
        <f>$BB83+$AF83</f>
        <v>0</v>
      </c>
      <c r="BD83" s="52">
        <f>$BC83+$AG83</f>
        <v>0</v>
      </c>
      <c r="BE83" s="52">
        <f>$BD83+$AH83</f>
        <v>0</v>
      </c>
      <c r="BF83" s="52">
        <f>$BE83+$AI83</f>
        <v>0</v>
      </c>
      <c r="BG83" s="52">
        <f>$BF83+$AJ83</f>
        <v>0</v>
      </c>
      <c r="BH83" s="52">
        <f>$BG83+$AK83</f>
        <v>0</v>
      </c>
      <c r="BI83" s="52">
        <f>$BH83+$AL83</f>
        <v>0</v>
      </c>
      <c r="BJ83" s="52">
        <f>$BI83+$AM83</f>
        <v>0</v>
      </c>
      <c r="BK83" s="52">
        <f>$BJ83+$AN83</f>
        <v>0</v>
      </c>
      <c r="BL83" s="52">
        <f>$BK83+$AO83</f>
        <v>0</v>
      </c>
      <c r="BM83" s="52">
        <f>$BL83+$AP83</f>
        <v>0</v>
      </c>
      <c r="BN83" s="52">
        <f>$BM83+$AQ83</f>
        <v>0</v>
      </c>
      <c r="BO83" s="52">
        <f>$BN83+$AR83</f>
        <v>0</v>
      </c>
      <c r="BP83" s="52">
        <f>$BO83+$AS83</f>
        <v>0</v>
      </c>
      <c r="BQ83" s="52">
        <f>SUM($T$1:$T82)</f>
        <v>11</v>
      </c>
      <c r="BR83" s="52" t="str">
        <f>IF(ISNUMBER($T83),IF($T83&gt;0,COUNTIF($T$2:$T83,"&gt;0"),""),"")</f>
        <v/>
      </c>
      <c r="BS83" s="52" t="str">
        <f>IF($BR83="","",$BQ83+$T83)</f>
        <v/>
      </c>
      <c r="BT83" s="52" t="str">
        <f>IF($U83="Ready",COUNTIF($U$2:$U83,"Ready"),"")</f>
        <v/>
      </c>
      <c r="BU83" s="52">
        <f>IF(AND($U83="Ready",$C83="Receipt"),IF(COUNTIF(Batches!$A$2:$A$301,$F83)+COUNTIFS($F$1:$F82,$F83,$C$1:$C82,"Receipt",$U$1:$U82,"Ready")=0,1,0),0)</f>
        <v>0</v>
      </c>
      <c r="BV83" s="52" t="str">
        <f>IF($BU83=1,SUM($BU$2:$BU83),"")</f>
        <v/>
      </c>
    </row>
    <row r="84">
      <c r="A84" s="46" t="n"/>
      <c r="B84" s="46" t="n"/>
      <c r="C84" s="46" t="n"/>
      <c r="D84" s="46" t="n"/>
      <c r="E84" s="46" t="n"/>
      <c r="F84" s="46" t="n"/>
      <c r="G84" s="46" t="n"/>
      <c r="H84" s="46" t="n"/>
      <c r="I84" s="46" t="n"/>
      <c r="J84" s="46" t="n"/>
      <c r="K84" s="46" t="n"/>
      <c r="L84" s="46" t="n"/>
      <c r="M84" s="62" t="str">
        <f>IF($B84="","",IF(ISNUMBER($B84),$B84,IF(AND(LEN($B84)=10,MID($B84,5,1)="-",MID($B84,8,1)="-"),IFERROR(IF(AND(MONTH(DATE(VALUE(LEFT($B84,4)),VALUE(MID($B84,6,2)),VALUE(RIGHT($B84,2))))=VALUE(MID($B84,6,2)),DAY(DATE(VALUE(LEFT($B84,4)),VALUE(MID($B84,6,2)),VALUE(RIGHT($B84,2))))=VALUE(RIGHT($B84,2))),DATE(VALUE(LEFT($B84,4)),VALUE(MID($B84,6,2)),VALUE(RIGHT($B84,2))),"ERR"),"ERR"),"ERR")))</f>
        <v/>
      </c>
      <c r="N84" s="62" t="str">
        <f>IF($G84="","",IF(ISNUMBER($G84),$G84,IF(AND(LEN($G84)=10,MID($G84,5,1)="-",MID($G84,8,1)="-"),IFERROR(IF(AND(MONTH(DATE(VALUE(LEFT($G84,4)),VALUE(MID($G84,6,2)),VALUE(RIGHT($G84,2))))=VALUE(MID($G84,6,2)),DAY(DATE(VALUE(LEFT($G84,4)),VALUE(MID($G84,6,2)),VALUE(RIGHT($G84,2))))=VALUE(RIGHT($G84,2))),DATE(VALUE(LEFT($G84,4)),VALUE(MID($G84,6,2)),VALUE(RIGHT($G84,2))),"ERR"),"ERR"),"ERR")))</f>
        <v/>
      </c>
      <c r="O84" s="51" t="str">
        <f>IF($H84="","",IF(ISNUMBER($H84),$H84,IFERROR(VALUE($H84),"ERR")))</f>
        <v/>
      </c>
      <c r="P84" s="51" t="str">
        <f>IF(AND(ISNUMBER($O84),OR($C84="Receipt",$C84="Shipment",$C84="Adjustment")),IF($C84="Shipment",-$O84,$O84),"")</f>
        <v/>
      </c>
      <c r="Q84" s="51" t="str">
        <f>IF($D84="","",IFERROR(INDEX(Products!$R$2:$R$101,MATCH($D84,Products!$A$2:$A$101,0)),""))</f>
        <v/>
      </c>
      <c r="R84" s="51" t="str">
        <f>IF(OR($Q84="",$P84=""),"",$Q84+SUMIFS($P$1:$P83,$D$1:$D83,$D84,$U$1:$U83,"Ready"))</f>
        <v/>
      </c>
      <c r="S84" s="51" t="str">
        <f>IF($R84="","",$R84+$P84)</f>
        <v/>
      </c>
      <c r="T84" s="52" t="str">
        <f>IF(COUNTA($A84:$L84)&gt;0,$BP84,"")</f>
        <v/>
      </c>
      <c r="U84" s="49" t="str">
        <f>IF($T84="","",IF($T84=0,"Ready","Rejected"))</f>
        <v/>
      </c>
      <c r="V84" s="49" t="str">
        <f>IF(OR($T84="",$T84=0),"",INDEX(Config!$D$39:$D$61,MATCH(1,$AT84:$BP84,0))&amp;IF($T84&gt;1," (+"&amp;($T84-1)&amp;" more)",""))</f>
        <v/>
      </c>
      <c r="W84" s="52">
        <f>IF(AND(COUNTA($A84:$L84)&gt;0,$A84=""),1,0)</f>
        <v>0</v>
      </c>
      <c r="X84" s="52">
        <f>IF(AND(COUNTA($A84:$L84)&gt;0,$A84&lt;&gt;""),IF(COUNTIF($A$1:$A83,$A84)&gt;0,1,0),0)</f>
        <v>0</v>
      </c>
      <c r="Y84" s="52">
        <f>IF(AND(COUNTA($A84:$L84)&gt;0,$A84&lt;&gt;""),IF(COUNTIF(Inventory_Ledger!$A$2:$A$2001,$A84)&gt;0,1,0),0)</f>
        <v>0</v>
      </c>
      <c r="Z84" s="52">
        <f>IF(AND(COUNTA($A84:$L84)&gt;0,$B84=""),1,0)</f>
        <v>0</v>
      </c>
      <c r="AA84" s="52">
        <f>IF(AND(COUNTA($A84:$L84)&gt;0,$B84&lt;&gt;""),IF($M84="ERR",1,0),0)</f>
        <v>0</v>
      </c>
      <c r="AB84" s="52">
        <f>IF(AND(COUNTA($A84:$L84)&gt;0,ISNUMBER($M84)),IF($M84&gt;Config!$B$4,1,0),0)</f>
        <v>0</v>
      </c>
      <c r="AC84" s="52">
        <f>IF(AND(COUNTA($A84:$L84)&gt;0,$C84=""),1,0)</f>
        <v>0</v>
      </c>
      <c r="AD84" s="52">
        <f>IF(AND(COUNTA($A84:$L84)&gt;0,$C84&lt;&gt;""),IF(COUNTIF(Config!$A$15:$A$34,$C84)=0,1,0),0)</f>
        <v>0</v>
      </c>
      <c r="AE84" s="52">
        <f>IF(AND(COUNTA($A84:$L84)&gt;0,$D84=""),1,0)</f>
        <v>0</v>
      </c>
      <c r="AF84" s="52">
        <f>IF(AND(COUNTA($A84:$L84)&gt;0,$D84&lt;&gt;""),IF(COUNTIF(Products!$A$2:$A$101,$D84)=0,1,0),0)</f>
        <v>0</v>
      </c>
      <c r="AG84" s="52">
        <f>IF(AND(COUNTA($A84:$L84)&gt;0,$C84="Receipt",$E84=""),1,0)</f>
        <v>0</v>
      </c>
      <c r="AH84" s="52">
        <f>IF(AND(COUNTA($A84:$L84)&gt;0,$E84&lt;&gt;""),IF(COUNTIF(Suppliers!$A$2:$A$51,$E84)=0,1,0),0)</f>
        <v>0</v>
      </c>
      <c r="AI84" s="52">
        <f>IF(AND(COUNTA($A84:$L84)&gt;0,$F84=""),1,0)</f>
        <v>0</v>
      </c>
      <c r="AJ84" s="52">
        <f>IF(AND(COUNTA($A84:$L84)&gt;0,$F84&lt;&gt;"",$D84&lt;&gt;"",OR($C84="Shipment",$C84="Adjustment")),IF($AF84=1,0,IF(COUNTIFS(Batches!$A$2:$A$301,$F84,Batches!$B$2:$B$301,$D84)+COUNTIFS($F$1:$F83,$F84,$D$1:$D83,$D84,$C$1:$C83,"Receipt")=0,1,0)),0)</f>
        <v>0</v>
      </c>
      <c r="AK84" s="52">
        <f>IF(AND(COUNTA($A84:$L84)&gt;0,$C84="Receipt",$G84=""),1,0)</f>
        <v>0</v>
      </c>
      <c r="AL84" s="52">
        <f>IF(AND(COUNTA($A84:$L84)&gt;0,$G84&lt;&gt;""),IF($N84="ERR",1,0),0)</f>
        <v>0</v>
      </c>
      <c r="AM84" s="52">
        <f>IF(AND(COUNTA($A84:$L84)&gt;0,$H84=""),1,0)</f>
        <v>0</v>
      </c>
      <c r="AN84" s="52">
        <f>IF(AND(COUNTA($A84:$L84)&gt;0,$H84&lt;&gt;""),IF($O84="ERR",1,IF(INT($O84)&lt;&gt;$O84,1,IF(AND(OR($C84="Receipt",$C84="Shipment"),$O84&lt;=0),1,IF(AND($C84="Adjustment",$O84=0),1,0)))),0)</f>
        <v>0</v>
      </c>
      <c r="AO84" s="52">
        <f>IF(AND(COUNTA($A84:$L84)&gt;0,$C84="Receipt",$I84=""),1,0)</f>
        <v>0</v>
      </c>
      <c r="AP84" s="52">
        <f>IF(AND(COUNTA($A84:$L84)&gt;0,$I84&lt;&gt;""),IF(IFERROR(INDEX(Config!$G$15:$G$34,MATCH($I84,Config!$E$15:$E$34,0)),"No")="Yes",0,1),0)</f>
        <v>0</v>
      </c>
      <c r="AQ84" s="52">
        <f>IF(AND(COUNTA($A84:$L84)&gt;0,$C84="Adjustment",$J84=""),1,0)</f>
        <v>0</v>
      </c>
      <c r="AR84" s="52">
        <f>IF(AND(COUNTA($A84:$L84)&gt;0,$L84=""),1,0)</f>
        <v>0</v>
      </c>
      <c r="AS84" s="52">
        <f>IF(AND(COUNTA($A84:$L84)&gt;0,ISNUMBER($S84)),IF($S84&lt;0,1,0),0)</f>
        <v>0</v>
      </c>
      <c r="AT84" s="52">
        <f>$W84</f>
        <v>0</v>
      </c>
      <c r="AU84" s="52">
        <f>$AT84+$X84</f>
        <v>0</v>
      </c>
      <c r="AV84" s="52">
        <f>$AU84+$Y84</f>
        <v>0</v>
      </c>
      <c r="AW84" s="52">
        <f>$AV84+$Z84</f>
        <v>0</v>
      </c>
      <c r="AX84" s="52">
        <f>$AW84+$AA84</f>
        <v>0</v>
      </c>
      <c r="AY84" s="52">
        <f>$AX84+$AB84</f>
        <v>0</v>
      </c>
      <c r="AZ84" s="52">
        <f>$AY84+$AC84</f>
        <v>0</v>
      </c>
      <c r="BA84" s="52">
        <f>$AZ84+$AD84</f>
        <v>0</v>
      </c>
      <c r="BB84" s="52">
        <f>$BA84+$AE84</f>
        <v>0</v>
      </c>
      <c r="BC84" s="52">
        <f>$BB84+$AF84</f>
        <v>0</v>
      </c>
      <c r="BD84" s="52">
        <f>$BC84+$AG84</f>
        <v>0</v>
      </c>
      <c r="BE84" s="52">
        <f>$BD84+$AH84</f>
        <v>0</v>
      </c>
      <c r="BF84" s="52">
        <f>$BE84+$AI84</f>
        <v>0</v>
      </c>
      <c r="BG84" s="52">
        <f>$BF84+$AJ84</f>
        <v>0</v>
      </c>
      <c r="BH84" s="52">
        <f>$BG84+$AK84</f>
        <v>0</v>
      </c>
      <c r="BI84" s="52">
        <f>$BH84+$AL84</f>
        <v>0</v>
      </c>
      <c r="BJ84" s="52">
        <f>$BI84+$AM84</f>
        <v>0</v>
      </c>
      <c r="BK84" s="52">
        <f>$BJ84+$AN84</f>
        <v>0</v>
      </c>
      <c r="BL84" s="52">
        <f>$BK84+$AO84</f>
        <v>0</v>
      </c>
      <c r="BM84" s="52">
        <f>$BL84+$AP84</f>
        <v>0</v>
      </c>
      <c r="BN84" s="52">
        <f>$BM84+$AQ84</f>
        <v>0</v>
      </c>
      <c r="BO84" s="52">
        <f>$BN84+$AR84</f>
        <v>0</v>
      </c>
      <c r="BP84" s="52">
        <f>$BO84+$AS84</f>
        <v>0</v>
      </c>
      <c r="BQ84" s="52">
        <f>SUM($T$1:$T83)</f>
        <v>11</v>
      </c>
      <c r="BR84" s="52" t="str">
        <f>IF(ISNUMBER($T84),IF($T84&gt;0,COUNTIF($T$2:$T84,"&gt;0"),""),"")</f>
        <v/>
      </c>
      <c r="BS84" s="52" t="str">
        <f>IF($BR84="","",$BQ84+$T84)</f>
        <v/>
      </c>
      <c r="BT84" s="52" t="str">
        <f>IF($U84="Ready",COUNTIF($U$2:$U84,"Ready"),"")</f>
        <v/>
      </c>
      <c r="BU84" s="52">
        <f>IF(AND($U84="Ready",$C84="Receipt"),IF(COUNTIF(Batches!$A$2:$A$301,$F84)+COUNTIFS($F$1:$F83,$F84,$C$1:$C83,"Receipt",$U$1:$U83,"Ready")=0,1,0),0)</f>
        <v>0</v>
      </c>
      <c r="BV84" s="52" t="str">
        <f>IF($BU84=1,SUM($BU$2:$BU84),"")</f>
        <v/>
      </c>
    </row>
    <row r="85">
      <c r="A85" s="46" t="n"/>
      <c r="B85" s="46" t="n"/>
      <c r="C85" s="46" t="n"/>
      <c r="D85" s="46" t="n"/>
      <c r="E85" s="46" t="n"/>
      <c r="F85" s="46" t="n"/>
      <c r="G85" s="46" t="n"/>
      <c r="H85" s="46" t="n"/>
      <c r="I85" s="46" t="n"/>
      <c r="J85" s="46" t="n"/>
      <c r="K85" s="46" t="n"/>
      <c r="L85" s="46" t="n"/>
      <c r="M85" s="62" t="str">
        <f>IF($B85="","",IF(ISNUMBER($B85),$B85,IF(AND(LEN($B85)=10,MID($B85,5,1)="-",MID($B85,8,1)="-"),IFERROR(IF(AND(MONTH(DATE(VALUE(LEFT($B85,4)),VALUE(MID($B85,6,2)),VALUE(RIGHT($B85,2))))=VALUE(MID($B85,6,2)),DAY(DATE(VALUE(LEFT($B85,4)),VALUE(MID($B85,6,2)),VALUE(RIGHT($B85,2))))=VALUE(RIGHT($B85,2))),DATE(VALUE(LEFT($B85,4)),VALUE(MID($B85,6,2)),VALUE(RIGHT($B85,2))),"ERR"),"ERR"),"ERR")))</f>
        <v/>
      </c>
      <c r="N85" s="62" t="str">
        <f>IF($G85="","",IF(ISNUMBER($G85),$G85,IF(AND(LEN($G85)=10,MID($G85,5,1)="-",MID($G85,8,1)="-"),IFERROR(IF(AND(MONTH(DATE(VALUE(LEFT($G85,4)),VALUE(MID($G85,6,2)),VALUE(RIGHT($G85,2))))=VALUE(MID($G85,6,2)),DAY(DATE(VALUE(LEFT($G85,4)),VALUE(MID($G85,6,2)),VALUE(RIGHT($G85,2))))=VALUE(RIGHT($G85,2))),DATE(VALUE(LEFT($G85,4)),VALUE(MID($G85,6,2)),VALUE(RIGHT($G85,2))),"ERR"),"ERR"),"ERR")))</f>
        <v/>
      </c>
      <c r="O85" s="51" t="str">
        <f>IF($H85="","",IF(ISNUMBER($H85),$H85,IFERROR(VALUE($H85),"ERR")))</f>
        <v/>
      </c>
      <c r="P85" s="51" t="str">
        <f>IF(AND(ISNUMBER($O85),OR($C85="Receipt",$C85="Shipment",$C85="Adjustment")),IF($C85="Shipment",-$O85,$O85),"")</f>
        <v/>
      </c>
      <c r="Q85" s="51" t="str">
        <f>IF($D85="","",IFERROR(INDEX(Products!$R$2:$R$101,MATCH($D85,Products!$A$2:$A$101,0)),""))</f>
        <v/>
      </c>
      <c r="R85" s="51" t="str">
        <f>IF(OR($Q85="",$P85=""),"",$Q85+SUMIFS($P$1:$P84,$D$1:$D84,$D85,$U$1:$U84,"Ready"))</f>
        <v/>
      </c>
      <c r="S85" s="51" t="str">
        <f>IF($R85="","",$R85+$P85)</f>
        <v/>
      </c>
      <c r="T85" s="52" t="str">
        <f>IF(COUNTA($A85:$L85)&gt;0,$BP85,"")</f>
        <v/>
      </c>
      <c r="U85" s="49" t="str">
        <f>IF($T85="","",IF($T85=0,"Ready","Rejected"))</f>
        <v/>
      </c>
      <c r="V85" s="49" t="str">
        <f>IF(OR($T85="",$T85=0),"",INDEX(Config!$D$39:$D$61,MATCH(1,$AT85:$BP85,0))&amp;IF($T85&gt;1," (+"&amp;($T85-1)&amp;" more)",""))</f>
        <v/>
      </c>
      <c r="W85" s="52">
        <f>IF(AND(COUNTA($A85:$L85)&gt;0,$A85=""),1,0)</f>
        <v>0</v>
      </c>
      <c r="X85" s="52">
        <f>IF(AND(COUNTA($A85:$L85)&gt;0,$A85&lt;&gt;""),IF(COUNTIF($A$1:$A84,$A85)&gt;0,1,0),0)</f>
        <v>0</v>
      </c>
      <c r="Y85" s="52">
        <f>IF(AND(COUNTA($A85:$L85)&gt;0,$A85&lt;&gt;""),IF(COUNTIF(Inventory_Ledger!$A$2:$A$2001,$A85)&gt;0,1,0),0)</f>
        <v>0</v>
      </c>
      <c r="Z85" s="52">
        <f>IF(AND(COUNTA($A85:$L85)&gt;0,$B85=""),1,0)</f>
        <v>0</v>
      </c>
      <c r="AA85" s="52">
        <f>IF(AND(COUNTA($A85:$L85)&gt;0,$B85&lt;&gt;""),IF($M85="ERR",1,0),0)</f>
        <v>0</v>
      </c>
      <c r="AB85" s="52">
        <f>IF(AND(COUNTA($A85:$L85)&gt;0,ISNUMBER($M85)),IF($M85&gt;Config!$B$4,1,0),0)</f>
        <v>0</v>
      </c>
      <c r="AC85" s="52">
        <f>IF(AND(COUNTA($A85:$L85)&gt;0,$C85=""),1,0)</f>
        <v>0</v>
      </c>
      <c r="AD85" s="52">
        <f>IF(AND(COUNTA($A85:$L85)&gt;0,$C85&lt;&gt;""),IF(COUNTIF(Config!$A$15:$A$34,$C85)=0,1,0),0)</f>
        <v>0</v>
      </c>
      <c r="AE85" s="52">
        <f>IF(AND(COUNTA($A85:$L85)&gt;0,$D85=""),1,0)</f>
        <v>0</v>
      </c>
      <c r="AF85" s="52">
        <f>IF(AND(COUNTA($A85:$L85)&gt;0,$D85&lt;&gt;""),IF(COUNTIF(Products!$A$2:$A$101,$D85)=0,1,0),0)</f>
        <v>0</v>
      </c>
      <c r="AG85" s="52">
        <f>IF(AND(COUNTA($A85:$L85)&gt;0,$C85="Receipt",$E85=""),1,0)</f>
        <v>0</v>
      </c>
      <c r="AH85" s="52">
        <f>IF(AND(COUNTA($A85:$L85)&gt;0,$E85&lt;&gt;""),IF(COUNTIF(Suppliers!$A$2:$A$51,$E85)=0,1,0),0)</f>
        <v>0</v>
      </c>
      <c r="AI85" s="52">
        <f>IF(AND(COUNTA($A85:$L85)&gt;0,$F85=""),1,0)</f>
        <v>0</v>
      </c>
      <c r="AJ85" s="52">
        <f>IF(AND(COUNTA($A85:$L85)&gt;0,$F85&lt;&gt;"",$D85&lt;&gt;"",OR($C85="Shipment",$C85="Adjustment")),IF($AF85=1,0,IF(COUNTIFS(Batches!$A$2:$A$301,$F85,Batches!$B$2:$B$301,$D85)+COUNTIFS($F$1:$F84,$F85,$D$1:$D84,$D85,$C$1:$C84,"Receipt")=0,1,0)),0)</f>
        <v>0</v>
      </c>
      <c r="AK85" s="52">
        <f>IF(AND(COUNTA($A85:$L85)&gt;0,$C85="Receipt",$G85=""),1,0)</f>
        <v>0</v>
      </c>
      <c r="AL85" s="52">
        <f>IF(AND(COUNTA($A85:$L85)&gt;0,$G85&lt;&gt;""),IF($N85="ERR",1,0),0)</f>
        <v>0</v>
      </c>
      <c r="AM85" s="52">
        <f>IF(AND(COUNTA($A85:$L85)&gt;0,$H85=""),1,0)</f>
        <v>0</v>
      </c>
      <c r="AN85" s="52">
        <f>IF(AND(COUNTA($A85:$L85)&gt;0,$H85&lt;&gt;""),IF($O85="ERR",1,IF(INT($O85)&lt;&gt;$O85,1,IF(AND(OR($C85="Receipt",$C85="Shipment"),$O85&lt;=0),1,IF(AND($C85="Adjustment",$O85=0),1,0)))),0)</f>
        <v>0</v>
      </c>
      <c r="AO85" s="52">
        <f>IF(AND(COUNTA($A85:$L85)&gt;0,$C85="Receipt",$I85=""),1,0)</f>
        <v>0</v>
      </c>
      <c r="AP85" s="52">
        <f>IF(AND(COUNTA($A85:$L85)&gt;0,$I85&lt;&gt;""),IF(IFERROR(INDEX(Config!$G$15:$G$34,MATCH($I85,Config!$E$15:$E$34,0)),"No")="Yes",0,1),0)</f>
        <v>0</v>
      </c>
      <c r="AQ85" s="52">
        <f>IF(AND(COUNTA($A85:$L85)&gt;0,$C85="Adjustment",$J85=""),1,0)</f>
        <v>0</v>
      </c>
      <c r="AR85" s="52">
        <f>IF(AND(COUNTA($A85:$L85)&gt;0,$L85=""),1,0)</f>
        <v>0</v>
      </c>
      <c r="AS85" s="52">
        <f>IF(AND(COUNTA($A85:$L85)&gt;0,ISNUMBER($S85)),IF($S85&lt;0,1,0),0)</f>
        <v>0</v>
      </c>
      <c r="AT85" s="52">
        <f>$W85</f>
        <v>0</v>
      </c>
      <c r="AU85" s="52">
        <f>$AT85+$X85</f>
        <v>0</v>
      </c>
      <c r="AV85" s="52">
        <f>$AU85+$Y85</f>
        <v>0</v>
      </c>
      <c r="AW85" s="52">
        <f>$AV85+$Z85</f>
        <v>0</v>
      </c>
      <c r="AX85" s="52">
        <f>$AW85+$AA85</f>
        <v>0</v>
      </c>
      <c r="AY85" s="52">
        <f>$AX85+$AB85</f>
        <v>0</v>
      </c>
      <c r="AZ85" s="52">
        <f>$AY85+$AC85</f>
        <v>0</v>
      </c>
      <c r="BA85" s="52">
        <f>$AZ85+$AD85</f>
        <v>0</v>
      </c>
      <c r="BB85" s="52">
        <f>$BA85+$AE85</f>
        <v>0</v>
      </c>
      <c r="BC85" s="52">
        <f>$BB85+$AF85</f>
        <v>0</v>
      </c>
      <c r="BD85" s="52">
        <f>$BC85+$AG85</f>
        <v>0</v>
      </c>
      <c r="BE85" s="52">
        <f>$BD85+$AH85</f>
        <v>0</v>
      </c>
      <c r="BF85" s="52">
        <f>$BE85+$AI85</f>
        <v>0</v>
      </c>
      <c r="BG85" s="52">
        <f>$BF85+$AJ85</f>
        <v>0</v>
      </c>
      <c r="BH85" s="52">
        <f>$BG85+$AK85</f>
        <v>0</v>
      </c>
      <c r="BI85" s="52">
        <f>$BH85+$AL85</f>
        <v>0</v>
      </c>
      <c r="BJ85" s="52">
        <f>$BI85+$AM85</f>
        <v>0</v>
      </c>
      <c r="BK85" s="52">
        <f>$BJ85+$AN85</f>
        <v>0</v>
      </c>
      <c r="BL85" s="52">
        <f>$BK85+$AO85</f>
        <v>0</v>
      </c>
      <c r="BM85" s="52">
        <f>$BL85+$AP85</f>
        <v>0</v>
      </c>
      <c r="BN85" s="52">
        <f>$BM85+$AQ85</f>
        <v>0</v>
      </c>
      <c r="BO85" s="52">
        <f>$BN85+$AR85</f>
        <v>0</v>
      </c>
      <c r="BP85" s="52">
        <f>$BO85+$AS85</f>
        <v>0</v>
      </c>
      <c r="BQ85" s="52">
        <f>SUM($T$1:$T84)</f>
        <v>11</v>
      </c>
      <c r="BR85" s="52" t="str">
        <f>IF(ISNUMBER($T85),IF($T85&gt;0,COUNTIF($T$2:$T85,"&gt;0"),""),"")</f>
        <v/>
      </c>
      <c r="BS85" s="52" t="str">
        <f>IF($BR85="","",$BQ85+$T85)</f>
        <v/>
      </c>
      <c r="BT85" s="52" t="str">
        <f>IF($U85="Ready",COUNTIF($U$2:$U85,"Ready"),"")</f>
        <v/>
      </c>
      <c r="BU85" s="52">
        <f>IF(AND($U85="Ready",$C85="Receipt"),IF(COUNTIF(Batches!$A$2:$A$301,$F85)+COUNTIFS($F$1:$F84,$F85,$C$1:$C84,"Receipt",$U$1:$U84,"Ready")=0,1,0),0)</f>
        <v>0</v>
      </c>
      <c r="BV85" s="52" t="str">
        <f>IF($BU85=1,SUM($BU$2:$BU85),"")</f>
        <v/>
      </c>
    </row>
    <row r="86">
      <c r="A86" s="46" t="n"/>
      <c r="B86" s="46" t="n"/>
      <c r="C86" s="46" t="n"/>
      <c r="D86" s="46" t="n"/>
      <c r="E86" s="46" t="n"/>
      <c r="F86" s="46" t="n"/>
      <c r="G86" s="46" t="n"/>
      <c r="H86" s="46" t="n"/>
      <c r="I86" s="46" t="n"/>
      <c r="J86" s="46" t="n"/>
      <c r="K86" s="46" t="n"/>
      <c r="L86" s="46" t="n"/>
      <c r="M86" s="62" t="str">
        <f>IF($B86="","",IF(ISNUMBER($B86),$B86,IF(AND(LEN($B86)=10,MID($B86,5,1)="-",MID($B86,8,1)="-"),IFERROR(IF(AND(MONTH(DATE(VALUE(LEFT($B86,4)),VALUE(MID($B86,6,2)),VALUE(RIGHT($B86,2))))=VALUE(MID($B86,6,2)),DAY(DATE(VALUE(LEFT($B86,4)),VALUE(MID($B86,6,2)),VALUE(RIGHT($B86,2))))=VALUE(RIGHT($B86,2))),DATE(VALUE(LEFT($B86,4)),VALUE(MID($B86,6,2)),VALUE(RIGHT($B86,2))),"ERR"),"ERR"),"ERR")))</f>
        <v/>
      </c>
      <c r="N86" s="62" t="str">
        <f>IF($G86="","",IF(ISNUMBER($G86),$G86,IF(AND(LEN($G86)=10,MID($G86,5,1)="-",MID($G86,8,1)="-"),IFERROR(IF(AND(MONTH(DATE(VALUE(LEFT($G86,4)),VALUE(MID($G86,6,2)),VALUE(RIGHT($G86,2))))=VALUE(MID($G86,6,2)),DAY(DATE(VALUE(LEFT($G86,4)),VALUE(MID($G86,6,2)),VALUE(RIGHT($G86,2))))=VALUE(RIGHT($G86,2))),DATE(VALUE(LEFT($G86,4)),VALUE(MID($G86,6,2)),VALUE(RIGHT($G86,2))),"ERR"),"ERR"),"ERR")))</f>
        <v/>
      </c>
      <c r="O86" s="51" t="str">
        <f>IF($H86="","",IF(ISNUMBER($H86),$H86,IFERROR(VALUE($H86),"ERR")))</f>
        <v/>
      </c>
      <c r="P86" s="51" t="str">
        <f>IF(AND(ISNUMBER($O86),OR($C86="Receipt",$C86="Shipment",$C86="Adjustment")),IF($C86="Shipment",-$O86,$O86),"")</f>
        <v/>
      </c>
      <c r="Q86" s="51" t="str">
        <f>IF($D86="","",IFERROR(INDEX(Products!$R$2:$R$101,MATCH($D86,Products!$A$2:$A$101,0)),""))</f>
        <v/>
      </c>
      <c r="R86" s="51" t="str">
        <f>IF(OR($Q86="",$P86=""),"",$Q86+SUMIFS($P$1:$P85,$D$1:$D85,$D86,$U$1:$U85,"Ready"))</f>
        <v/>
      </c>
      <c r="S86" s="51" t="str">
        <f>IF($R86="","",$R86+$P86)</f>
        <v/>
      </c>
      <c r="T86" s="52" t="str">
        <f>IF(COUNTA($A86:$L86)&gt;0,$BP86,"")</f>
        <v/>
      </c>
      <c r="U86" s="49" t="str">
        <f>IF($T86="","",IF($T86=0,"Ready","Rejected"))</f>
        <v/>
      </c>
      <c r="V86" s="49" t="str">
        <f>IF(OR($T86="",$T86=0),"",INDEX(Config!$D$39:$D$61,MATCH(1,$AT86:$BP86,0))&amp;IF($T86&gt;1," (+"&amp;($T86-1)&amp;" more)",""))</f>
        <v/>
      </c>
      <c r="W86" s="52">
        <f>IF(AND(COUNTA($A86:$L86)&gt;0,$A86=""),1,0)</f>
        <v>0</v>
      </c>
      <c r="X86" s="52">
        <f>IF(AND(COUNTA($A86:$L86)&gt;0,$A86&lt;&gt;""),IF(COUNTIF($A$1:$A85,$A86)&gt;0,1,0),0)</f>
        <v>0</v>
      </c>
      <c r="Y86" s="52">
        <f>IF(AND(COUNTA($A86:$L86)&gt;0,$A86&lt;&gt;""),IF(COUNTIF(Inventory_Ledger!$A$2:$A$2001,$A86)&gt;0,1,0),0)</f>
        <v>0</v>
      </c>
      <c r="Z86" s="52">
        <f>IF(AND(COUNTA($A86:$L86)&gt;0,$B86=""),1,0)</f>
        <v>0</v>
      </c>
      <c r="AA86" s="52">
        <f>IF(AND(COUNTA($A86:$L86)&gt;0,$B86&lt;&gt;""),IF($M86="ERR",1,0),0)</f>
        <v>0</v>
      </c>
      <c r="AB86" s="52">
        <f>IF(AND(COUNTA($A86:$L86)&gt;0,ISNUMBER($M86)),IF($M86&gt;Config!$B$4,1,0),0)</f>
        <v>0</v>
      </c>
      <c r="AC86" s="52">
        <f>IF(AND(COUNTA($A86:$L86)&gt;0,$C86=""),1,0)</f>
        <v>0</v>
      </c>
      <c r="AD86" s="52">
        <f>IF(AND(COUNTA($A86:$L86)&gt;0,$C86&lt;&gt;""),IF(COUNTIF(Config!$A$15:$A$34,$C86)=0,1,0),0)</f>
        <v>0</v>
      </c>
      <c r="AE86" s="52">
        <f>IF(AND(COUNTA($A86:$L86)&gt;0,$D86=""),1,0)</f>
        <v>0</v>
      </c>
      <c r="AF86" s="52">
        <f>IF(AND(COUNTA($A86:$L86)&gt;0,$D86&lt;&gt;""),IF(COUNTIF(Products!$A$2:$A$101,$D86)=0,1,0),0)</f>
        <v>0</v>
      </c>
      <c r="AG86" s="52">
        <f>IF(AND(COUNTA($A86:$L86)&gt;0,$C86="Receipt",$E86=""),1,0)</f>
        <v>0</v>
      </c>
      <c r="AH86" s="52">
        <f>IF(AND(COUNTA($A86:$L86)&gt;0,$E86&lt;&gt;""),IF(COUNTIF(Suppliers!$A$2:$A$51,$E86)=0,1,0),0)</f>
        <v>0</v>
      </c>
      <c r="AI86" s="52">
        <f>IF(AND(COUNTA($A86:$L86)&gt;0,$F86=""),1,0)</f>
        <v>0</v>
      </c>
      <c r="AJ86" s="52">
        <f>IF(AND(COUNTA($A86:$L86)&gt;0,$F86&lt;&gt;"",$D86&lt;&gt;"",OR($C86="Shipment",$C86="Adjustment")),IF($AF86=1,0,IF(COUNTIFS(Batches!$A$2:$A$301,$F86,Batches!$B$2:$B$301,$D86)+COUNTIFS($F$1:$F85,$F86,$D$1:$D85,$D86,$C$1:$C85,"Receipt")=0,1,0)),0)</f>
        <v>0</v>
      </c>
      <c r="AK86" s="52">
        <f>IF(AND(COUNTA($A86:$L86)&gt;0,$C86="Receipt",$G86=""),1,0)</f>
        <v>0</v>
      </c>
      <c r="AL86" s="52">
        <f>IF(AND(COUNTA($A86:$L86)&gt;0,$G86&lt;&gt;""),IF($N86="ERR",1,0),0)</f>
        <v>0</v>
      </c>
      <c r="AM86" s="52">
        <f>IF(AND(COUNTA($A86:$L86)&gt;0,$H86=""),1,0)</f>
        <v>0</v>
      </c>
      <c r="AN86" s="52">
        <f>IF(AND(COUNTA($A86:$L86)&gt;0,$H86&lt;&gt;""),IF($O86="ERR",1,IF(INT($O86)&lt;&gt;$O86,1,IF(AND(OR($C86="Receipt",$C86="Shipment"),$O86&lt;=0),1,IF(AND($C86="Adjustment",$O86=0),1,0)))),0)</f>
        <v>0</v>
      </c>
      <c r="AO86" s="52">
        <f>IF(AND(COUNTA($A86:$L86)&gt;0,$C86="Receipt",$I86=""),1,0)</f>
        <v>0</v>
      </c>
      <c r="AP86" s="52">
        <f>IF(AND(COUNTA($A86:$L86)&gt;0,$I86&lt;&gt;""),IF(IFERROR(INDEX(Config!$G$15:$G$34,MATCH($I86,Config!$E$15:$E$34,0)),"No")="Yes",0,1),0)</f>
        <v>0</v>
      </c>
      <c r="AQ86" s="52">
        <f>IF(AND(COUNTA($A86:$L86)&gt;0,$C86="Adjustment",$J86=""),1,0)</f>
        <v>0</v>
      </c>
      <c r="AR86" s="52">
        <f>IF(AND(COUNTA($A86:$L86)&gt;0,$L86=""),1,0)</f>
        <v>0</v>
      </c>
      <c r="AS86" s="52">
        <f>IF(AND(COUNTA($A86:$L86)&gt;0,ISNUMBER($S86)),IF($S86&lt;0,1,0),0)</f>
        <v>0</v>
      </c>
      <c r="AT86" s="52">
        <f>$W86</f>
        <v>0</v>
      </c>
      <c r="AU86" s="52">
        <f>$AT86+$X86</f>
        <v>0</v>
      </c>
      <c r="AV86" s="52">
        <f>$AU86+$Y86</f>
        <v>0</v>
      </c>
      <c r="AW86" s="52">
        <f>$AV86+$Z86</f>
        <v>0</v>
      </c>
      <c r="AX86" s="52">
        <f>$AW86+$AA86</f>
        <v>0</v>
      </c>
      <c r="AY86" s="52">
        <f>$AX86+$AB86</f>
        <v>0</v>
      </c>
      <c r="AZ86" s="52">
        <f>$AY86+$AC86</f>
        <v>0</v>
      </c>
      <c r="BA86" s="52">
        <f>$AZ86+$AD86</f>
        <v>0</v>
      </c>
      <c r="BB86" s="52">
        <f>$BA86+$AE86</f>
        <v>0</v>
      </c>
      <c r="BC86" s="52">
        <f>$BB86+$AF86</f>
        <v>0</v>
      </c>
      <c r="BD86" s="52">
        <f>$BC86+$AG86</f>
        <v>0</v>
      </c>
      <c r="BE86" s="52">
        <f>$BD86+$AH86</f>
        <v>0</v>
      </c>
      <c r="BF86" s="52">
        <f>$BE86+$AI86</f>
        <v>0</v>
      </c>
      <c r="BG86" s="52">
        <f>$BF86+$AJ86</f>
        <v>0</v>
      </c>
      <c r="BH86" s="52">
        <f>$BG86+$AK86</f>
        <v>0</v>
      </c>
      <c r="BI86" s="52">
        <f>$BH86+$AL86</f>
        <v>0</v>
      </c>
      <c r="BJ86" s="52">
        <f>$BI86+$AM86</f>
        <v>0</v>
      </c>
      <c r="BK86" s="52">
        <f>$BJ86+$AN86</f>
        <v>0</v>
      </c>
      <c r="BL86" s="52">
        <f>$BK86+$AO86</f>
        <v>0</v>
      </c>
      <c r="BM86" s="52">
        <f>$BL86+$AP86</f>
        <v>0</v>
      </c>
      <c r="BN86" s="52">
        <f>$BM86+$AQ86</f>
        <v>0</v>
      </c>
      <c r="BO86" s="52">
        <f>$BN86+$AR86</f>
        <v>0</v>
      </c>
      <c r="BP86" s="52">
        <f>$BO86+$AS86</f>
        <v>0</v>
      </c>
      <c r="BQ86" s="52">
        <f>SUM($T$1:$T85)</f>
        <v>11</v>
      </c>
      <c r="BR86" s="52" t="str">
        <f>IF(ISNUMBER($T86),IF($T86&gt;0,COUNTIF($T$2:$T86,"&gt;0"),""),"")</f>
        <v/>
      </c>
      <c r="BS86" s="52" t="str">
        <f>IF($BR86="","",$BQ86+$T86)</f>
        <v/>
      </c>
      <c r="BT86" s="52" t="str">
        <f>IF($U86="Ready",COUNTIF($U$2:$U86,"Ready"),"")</f>
        <v/>
      </c>
      <c r="BU86" s="52">
        <f>IF(AND($U86="Ready",$C86="Receipt"),IF(COUNTIF(Batches!$A$2:$A$301,$F86)+COUNTIFS($F$1:$F85,$F86,$C$1:$C85,"Receipt",$U$1:$U85,"Ready")=0,1,0),0)</f>
        <v>0</v>
      </c>
      <c r="BV86" s="52" t="str">
        <f>IF($BU86=1,SUM($BU$2:$BU86),"")</f>
        <v/>
      </c>
    </row>
    <row r="87">
      <c r="A87" s="46" t="n"/>
      <c r="B87" s="46" t="n"/>
      <c r="C87" s="46" t="n"/>
      <c r="D87" s="46" t="n"/>
      <c r="E87" s="46" t="n"/>
      <c r="F87" s="46" t="n"/>
      <c r="G87" s="46" t="n"/>
      <c r="H87" s="46" t="n"/>
      <c r="I87" s="46" t="n"/>
      <c r="J87" s="46" t="n"/>
      <c r="K87" s="46" t="n"/>
      <c r="L87" s="46" t="n"/>
      <c r="M87" s="62" t="str">
        <f>IF($B87="","",IF(ISNUMBER($B87),$B87,IF(AND(LEN($B87)=10,MID($B87,5,1)="-",MID($B87,8,1)="-"),IFERROR(IF(AND(MONTH(DATE(VALUE(LEFT($B87,4)),VALUE(MID($B87,6,2)),VALUE(RIGHT($B87,2))))=VALUE(MID($B87,6,2)),DAY(DATE(VALUE(LEFT($B87,4)),VALUE(MID($B87,6,2)),VALUE(RIGHT($B87,2))))=VALUE(RIGHT($B87,2))),DATE(VALUE(LEFT($B87,4)),VALUE(MID($B87,6,2)),VALUE(RIGHT($B87,2))),"ERR"),"ERR"),"ERR")))</f>
        <v/>
      </c>
      <c r="N87" s="62" t="str">
        <f>IF($G87="","",IF(ISNUMBER($G87),$G87,IF(AND(LEN($G87)=10,MID($G87,5,1)="-",MID($G87,8,1)="-"),IFERROR(IF(AND(MONTH(DATE(VALUE(LEFT($G87,4)),VALUE(MID($G87,6,2)),VALUE(RIGHT($G87,2))))=VALUE(MID($G87,6,2)),DAY(DATE(VALUE(LEFT($G87,4)),VALUE(MID($G87,6,2)),VALUE(RIGHT($G87,2))))=VALUE(RIGHT($G87,2))),DATE(VALUE(LEFT($G87,4)),VALUE(MID($G87,6,2)),VALUE(RIGHT($G87,2))),"ERR"),"ERR"),"ERR")))</f>
        <v/>
      </c>
      <c r="O87" s="51" t="str">
        <f>IF($H87="","",IF(ISNUMBER($H87),$H87,IFERROR(VALUE($H87),"ERR")))</f>
        <v/>
      </c>
      <c r="P87" s="51" t="str">
        <f>IF(AND(ISNUMBER($O87),OR($C87="Receipt",$C87="Shipment",$C87="Adjustment")),IF($C87="Shipment",-$O87,$O87),"")</f>
        <v/>
      </c>
      <c r="Q87" s="51" t="str">
        <f>IF($D87="","",IFERROR(INDEX(Products!$R$2:$R$101,MATCH($D87,Products!$A$2:$A$101,0)),""))</f>
        <v/>
      </c>
      <c r="R87" s="51" t="str">
        <f>IF(OR($Q87="",$P87=""),"",$Q87+SUMIFS($P$1:$P86,$D$1:$D86,$D87,$U$1:$U86,"Ready"))</f>
        <v/>
      </c>
      <c r="S87" s="51" t="str">
        <f>IF($R87="","",$R87+$P87)</f>
        <v/>
      </c>
      <c r="T87" s="52" t="str">
        <f>IF(COUNTA($A87:$L87)&gt;0,$BP87,"")</f>
        <v/>
      </c>
      <c r="U87" s="49" t="str">
        <f>IF($T87="","",IF($T87=0,"Ready","Rejected"))</f>
        <v/>
      </c>
      <c r="V87" s="49" t="str">
        <f>IF(OR($T87="",$T87=0),"",INDEX(Config!$D$39:$D$61,MATCH(1,$AT87:$BP87,0))&amp;IF($T87&gt;1," (+"&amp;($T87-1)&amp;" more)",""))</f>
        <v/>
      </c>
      <c r="W87" s="52">
        <f>IF(AND(COUNTA($A87:$L87)&gt;0,$A87=""),1,0)</f>
        <v>0</v>
      </c>
      <c r="X87" s="52">
        <f>IF(AND(COUNTA($A87:$L87)&gt;0,$A87&lt;&gt;""),IF(COUNTIF($A$1:$A86,$A87)&gt;0,1,0),0)</f>
        <v>0</v>
      </c>
      <c r="Y87" s="52">
        <f>IF(AND(COUNTA($A87:$L87)&gt;0,$A87&lt;&gt;""),IF(COUNTIF(Inventory_Ledger!$A$2:$A$2001,$A87)&gt;0,1,0),0)</f>
        <v>0</v>
      </c>
      <c r="Z87" s="52">
        <f>IF(AND(COUNTA($A87:$L87)&gt;0,$B87=""),1,0)</f>
        <v>0</v>
      </c>
      <c r="AA87" s="52">
        <f>IF(AND(COUNTA($A87:$L87)&gt;0,$B87&lt;&gt;""),IF($M87="ERR",1,0),0)</f>
        <v>0</v>
      </c>
      <c r="AB87" s="52">
        <f>IF(AND(COUNTA($A87:$L87)&gt;0,ISNUMBER($M87)),IF($M87&gt;Config!$B$4,1,0),0)</f>
        <v>0</v>
      </c>
      <c r="AC87" s="52">
        <f>IF(AND(COUNTA($A87:$L87)&gt;0,$C87=""),1,0)</f>
        <v>0</v>
      </c>
      <c r="AD87" s="52">
        <f>IF(AND(COUNTA($A87:$L87)&gt;0,$C87&lt;&gt;""),IF(COUNTIF(Config!$A$15:$A$34,$C87)=0,1,0),0)</f>
        <v>0</v>
      </c>
      <c r="AE87" s="52">
        <f>IF(AND(COUNTA($A87:$L87)&gt;0,$D87=""),1,0)</f>
        <v>0</v>
      </c>
      <c r="AF87" s="52">
        <f>IF(AND(COUNTA($A87:$L87)&gt;0,$D87&lt;&gt;""),IF(COUNTIF(Products!$A$2:$A$101,$D87)=0,1,0),0)</f>
        <v>0</v>
      </c>
      <c r="AG87" s="52">
        <f>IF(AND(COUNTA($A87:$L87)&gt;0,$C87="Receipt",$E87=""),1,0)</f>
        <v>0</v>
      </c>
      <c r="AH87" s="52">
        <f>IF(AND(COUNTA($A87:$L87)&gt;0,$E87&lt;&gt;""),IF(COUNTIF(Suppliers!$A$2:$A$51,$E87)=0,1,0),0)</f>
        <v>0</v>
      </c>
      <c r="AI87" s="52">
        <f>IF(AND(COUNTA($A87:$L87)&gt;0,$F87=""),1,0)</f>
        <v>0</v>
      </c>
      <c r="AJ87" s="52">
        <f>IF(AND(COUNTA($A87:$L87)&gt;0,$F87&lt;&gt;"",$D87&lt;&gt;"",OR($C87="Shipment",$C87="Adjustment")),IF($AF87=1,0,IF(COUNTIFS(Batches!$A$2:$A$301,$F87,Batches!$B$2:$B$301,$D87)+COUNTIFS($F$1:$F86,$F87,$D$1:$D86,$D87,$C$1:$C86,"Receipt")=0,1,0)),0)</f>
        <v>0</v>
      </c>
      <c r="AK87" s="52">
        <f>IF(AND(COUNTA($A87:$L87)&gt;0,$C87="Receipt",$G87=""),1,0)</f>
        <v>0</v>
      </c>
      <c r="AL87" s="52">
        <f>IF(AND(COUNTA($A87:$L87)&gt;0,$G87&lt;&gt;""),IF($N87="ERR",1,0),0)</f>
        <v>0</v>
      </c>
      <c r="AM87" s="52">
        <f>IF(AND(COUNTA($A87:$L87)&gt;0,$H87=""),1,0)</f>
        <v>0</v>
      </c>
      <c r="AN87" s="52">
        <f>IF(AND(COUNTA($A87:$L87)&gt;0,$H87&lt;&gt;""),IF($O87="ERR",1,IF(INT($O87)&lt;&gt;$O87,1,IF(AND(OR($C87="Receipt",$C87="Shipment"),$O87&lt;=0),1,IF(AND($C87="Adjustment",$O87=0),1,0)))),0)</f>
        <v>0</v>
      </c>
      <c r="AO87" s="52">
        <f>IF(AND(COUNTA($A87:$L87)&gt;0,$C87="Receipt",$I87=""),1,0)</f>
        <v>0</v>
      </c>
      <c r="AP87" s="52">
        <f>IF(AND(COUNTA($A87:$L87)&gt;0,$I87&lt;&gt;""),IF(IFERROR(INDEX(Config!$G$15:$G$34,MATCH($I87,Config!$E$15:$E$34,0)),"No")="Yes",0,1),0)</f>
        <v>0</v>
      </c>
      <c r="AQ87" s="52">
        <f>IF(AND(COUNTA($A87:$L87)&gt;0,$C87="Adjustment",$J87=""),1,0)</f>
        <v>0</v>
      </c>
      <c r="AR87" s="52">
        <f>IF(AND(COUNTA($A87:$L87)&gt;0,$L87=""),1,0)</f>
        <v>0</v>
      </c>
      <c r="AS87" s="52">
        <f>IF(AND(COUNTA($A87:$L87)&gt;0,ISNUMBER($S87)),IF($S87&lt;0,1,0),0)</f>
        <v>0</v>
      </c>
      <c r="AT87" s="52">
        <f>$W87</f>
        <v>0</v>
      </c>
      <c r="AU87" s="52">
        <f>$AT87+$X87</f>
        <v>0</v>
      </c>
      <c r="AV87" s="52">
        <f>$AU87+$Y87</f>
        <v>0</v>
      </c>
      <c r="AW87" s="52">
        <f>$AV87+$Z87</f>
        <v>0</v>
      </c>
      <c r="AX87" s="52">
        <f>$AW87+$AA87</f>
        <v>0</v>
      </c>
      <c r="AY87" s="52">
        <f>$AX87+$AB87</f>
        <v>0</v>
      </c>
      <c r="AZ87" s="52">
        <f>$AY87+$AC87</f>
        <v>0</v>
      </c>
      <c r="BA87" s="52">
        <f>$AZ87+$AD87</f>
        <v>0</v>
      </c>
      <c r="BB87" s="52">
        <f>$BA87+$AE87</f>
        <v>0</v>
      </c>
      <c r="BC87" s="52">
        <f>$BB87+$AF87</f>
        <v>0</v>
      </c>
      <c r="BD87" s="52">
        <f>$BC87+$AG87</f>
        <v>0</v>
      </c>
      <c r="BE87" s="52">
        <f>$BD87+$AH87</f>
        <v>0</v>
      </c>
      <c r="BF87" s="52">
        <f>$BE87+$AI87</f>
        <v>0</v>
      </c>
      <c r="BG87" s="52">
        <f>$BF87+$AJ87</f>
        <v>0</v>
      </c>
      <c r="BH87" s="52">
        <f>$BG87+$AK87</f>
        <v>0</v>
      </c>
      <c r="BI87" s="52">
        <f>$BH87+$AL87</f>
        <v>0</v>
      </c>
      <c r="BJ87" s="52">
        <f>$BI87+$AM87</f>
        <v>0</v>
      </c>
      <c r="BK87" s="52">
        <f>$BJ87+$AN87</f>
        <v>0</v>
      </c>
      <c r="BL87" s="52">
        <f>$BK87+$AO87</f>
        <v>0</v>
      </c>
      <c r="BM87" s="52">
        <f>$BL87+$AP87</f>
        <v>0</v>
      </c>
      <c r="BN87" s="52">
        <f>$BM87+$AQ87</f>
        <v>0</v>
      </c>
      <c r="BO87" s="52">
        <f>$BN87+$AR87</f>
        <v>0</v>
      </c>
      <c r="BP87" s="52">
        <f>$BO87+$AS87</f>
        <v>0</v>
      </c>
      <c r="BQ87" s="52">
        <f>SUM($T$1:$T86)</f>
        <v>11</v>
      </c>
      <c r="BR87" s="52" t="str">
        <f>IF(ISNUMBER($T87),IF($T87&gt;0,COUNTIF($T$2:$T87,"&gt;0"),""),"")</f>
        <v/>
      </c>
      <c r="BS87" s="52" t="str">
        <f>IF($BR87="","",$BQ87+$T87)</f>
        <v/>
      </c>
      <c r="BT87" s="52" t="str">
        <f>IF($U87="Ready",COUNTIF($U$2:$U87,"Ready"),"")</f>
        <v/>
      </c>
      <c r="BU87" s="52">
        <f>IF(AND($U87="Ready",$C87="Receipt"),IF(COUNTIF(Batches!$A$2:$A$301,$F87)+COUNTIFS($F$1:$F86,$F87,$C$1:$C86,"Receipt",$U$1:$U86,"Ready")=0,1,0),0)</f>
        <v>0</v>
      </c>
      <c r="BV87" s="52" t="str">
        <f>IF($BU87=1,SUM($BU$2:$BU87),"")</f>
        <v/>
      </c>
    </row>
    <row r="88">
      <c r="A88" s="46" t="n"/>
      <c r="B88" s="46" t="n"/>
      <c r="C88" s="46" t="n"/>
      <c r="D88" s="46" t="n"/>
      <c r="E88" s="46" t="n"/>
      <c r="F88" s="46" t="n"/>
      <c r="G88" s="46" t="n"/>
      <c r="H88" s="46" t="n"/>
      <c r="I88" s="46" t="n"/>
      <c r="J88" s="46" t="n"/>
      <c r="K88" s="46" t="n"/>
      <c r="L88" s="46" t="n"/>
      <c r="M88" s="62" t="str">
        <f>IF($B88="","",IF(ISNUMBER($B88),$B88,IF(AND(LEN($B88)=10,MID($B88,5,1)="-",MID($B88,8,1)="-"),IFERROR(IF(AND(MONTH(DATE(VALUE(LEFT($B88,4)),VALUE(MID($B88,6,2)),VALUE(RIGHT($B88,2))))=VALUE(MID($B88,6,2)),DAY(DATE(VALUE(LEFT($B88,4)),VALUE(MID($B88,6,2)),VALUE(RIGHT($B88,2))))=VALUE(RIGHT($B88,2))),DATE(VALUE(LEFT($B88,4)),VALUE(MID($B88,6,2)),VALUE(RIGHT($B88,2))),"ERR"),"ERR"),"ERR")))</f>
        <v/>
      </c>
      <c r="N88" s="62" t="str">
        <f>IF($G88="","",IF(ISNUMBER($G88),$G88,IF(AND(LEN($G88)=10,MID($G88,5,1)="-",MID($G88,8,1)="-"),IFERROR(IF(AND(MONTH(DATE(VALUE(LEFT($G88,4)),VALUE(MID($G88,6,2)),VALUE(RIGHT($G88,2))))=VALUE(MID($G88,6,2)),DAY(DATE(VALUE(LEFT($G88,4)),VALUE(MID($G88,6,2)),VALUE(RIGHT($G88,2))))=VALUE(RIGHT($G88,2))),DATE(VALUE(LEFT($G88,4)),VALUE(MID($G88,6,2)),VALUE(RIGHT($G88,2))),"ERR"),"ERR"),"ERR")))</f>
        <v/>
      </c>
      <c r="O88" s="51" t="str">
        <f>IF($H88="","",IF(ISNUMBER($H88),$H88,IFERROR(VALUE($H88),"ERR")))</f>
        <v/>
      </c>
      <c r="P88" s="51" t="str">
        <f>IF(AND(ISNUMBER($O88),OR($C88="Receipt",$C88="Shipment",$C88="Adjustment")),IF($C88="Shipment",-$O88,$O88),"")</f>
        <v/>
      </c>
      <c r="Q88" s="51" t="str">
        <f>IF($D88="","",IFERROR(INDEX(Products!$R$2:$R$101,MATCH($D88,Products!$A$2:$A$101,0)),""))</f>
        <v/>
      </c>
      <c r="R88" s="51" t="str">
        <f>IF(OR($Q88="",$P88=""),"",$Q88+SUMIFS($P$1:$P87,$D$1:$D87,$D88,$U$1:$U87,"Ready"))</f>
        <v/>
      </c>
      <c r="S88" s="51" t="str">
        <f>IF($R88="","",$R88+$P88)</f>
        <v/>
      </c>
      <c r="T88" s="52" t="str">
        <f>IF(COUNTA($A88:$L88)&gt;0,$BP88,"")</f>
        <v/>
      </c>
      <c r="U88" s="49" t="str">
        <f>IF($T88="","",IF($T88=0,"Ready","Rejected"))</f>
        <v/>
      </c>
      <c r="V88" s="49" t="str">
        <f>IF(OR($T88="",$T88=0),"",INDEX(Config!$D$39:$D$61,MATCH(1,$AT88:$BP88,0))&amp;IF($T88&gt;1," (+"&amp;($T88-1)&amp;" more)",""))</f>
        <v/>
      </c>
      <c r="W88" s="52">
        <f>IF(AND(COUNTA($A88:$L88)&gt;0,$A88=""),1,0)</f>
        <v>0</v>
      </c>
      <c r="X88" s="52">
        <f>IF(AND(COUNTA($A88:$L88)&gt;0,$A88&lt;&gt;""),IF(COUNTIF($A$1:$A87,$A88)&gt;0,1,0),0)</f>
        <v>0</v>
      </c>
      <c r="Y88" s="52">
        <f>IF(AND(COUNTA($A88:$L88)&gt;0,$A88&lt;&gt;""),IF(COUNTIF(Inventory_Ledger!$A$2:$A$2001,$A88)&gt;0,1,0),0)</f>
        <v>0</v>
      </c>
      <c r="Z88" s="52">
        <f>IF(AND(COUNTA($A88:$L88)&gt;0,$B88=""),1,0)</f>
        <v>0</v>
      </c>
      <c r="AA88" s="52">
        <f>IF(AND(COUNTA($A88:$L88)&gt;0,$B88&lt;&gt;""),IF($M88="ERR",1,0),0)</f>
        <v>0</v>
      </c>
      <c r="AB88" s="52">
        <f>IF(AND(COUNTA($A88:$L88)&gt;0,ISNUMBER($M88)),IF($M88&gt;Config!$B$4,1,0),0)</f>
        <v>0</v>
      </c>
      <c r="AC88" s="52">
        <f>IF(AND(COUNTA($A88:$L88)&gt;0,$C88=""),1,0)</f>
        <v>0</v>
      </c>
      <c r="AD88" s="52">
        <f>IF(AND(COUNTA($A88:$L88)&gt;0,$C88&lt;&gt;""),IF(COUNTIF(Config!$A$15:$A$34,$C88)=0,1,0),0)</f>
        <v>0</v>
      </c>
      <c r="AE88" s="52">
        <f>IF(AND(COUNTA($A88:$L88)&gt;0,$D88=""),1,0)</f>
        <v>0</v>
      </c>
      <c r="AF88" s="52">
        <f>IF(AND(COUNTA($A88:$L88)&gt;0,$D88&lt;&gt;""),IF(COUNTIF(Products!$A$2:$A$101,$D88)=0,1,0),0)</f>
        <v>0</v>
      </c>
      <c r="AG88" s="52">
        <f>IF(AND(COUNTA($A88:$L88)&gt;0,$C88="Receipt",$E88=""),1,0)</f>
        <v>0</v>
      </c>
      <c r="AH88" s="52">
        <f>IF(AND(COUNTA($A88:$L88)&gt;0,$E88&lt;&gt;""),IF(COUNTIF(Suppliers!$A$2:$A$51,$E88)=0,1,0),0)</f>
        <v>0</v>
      </c>
      <c r="AI88" s="52">
        <f>IF(AND(COUNTA($A88:$L88)&gt;0,$F88=""),1,0)</f>
        <v>0</v>
      </c>
      <c r="AJ88" s="52">
        <f>IF(AND(COUNTA($A88:$L88)&gt;0,$F88&lt;&gt;"",$D88&lt;&gt;"",OR($C88="Shipment",$C88="Adjustment")),IF($AF88=1,0,IF(COUNTIFS(Batches!$A$2:$A$301,$F88,Batches!$B$2:$B$301,$D88)+COUNTIFS($F$1:$F87,$F88,$D$1:$D87,$D88,$C$1:$C87,"Receipt")=0,1,0)),0)</f>
        <v>0</v>
      </c>
      <c r="AK88" s="52">
        <f>IF(AND(COUNTA($A88:$L88)&gt;0,$C88="Receipt",$G88=""),1,0)</f>
        <v>0</v>
      </c>
      <c r="AL88" s="52">
        <f>IF(AND(COUNTA($A88:$L88)&gt;0,$G88&lt;&gt;""),IF($N88="ERR",1,0),0)</f>
        <v>0</v>
      </c>
      <c r="AM88" s="52">
        <f>IF(AND(COUNTA($A88:$L88)&gt;0,$H88=""),1,0)</f>
        <v>0</v>
      </c>
      <c r="AN88" s="52">
        <f>IF(AND(COUNTA($A88:$L88)&gt;0,$H88&lt;&gt;""),IF($O88="ERR",1,IF(INT($O88)&lt;&gt;$O88,1,IF(AND(OR($C88="Receipt",$C88="Shipment"),$O88&lt;=0),1,IF(AND($C88="Adjustment",$O88=0),1,0)))),0)</f>
        <v>0</v>
      </c>
      <c r="AO88" s="52">
        <f>IF(AND(COUNTA($A88:$L88)&gt;0,$C88="Receipt",$I88=""),1,0)</f>
        <v>0</v>
      </c>
      <c r="AP88" s="52">
        <f>IF(AND(COUNTA($A88:$L88)&gt;0,$I88&lt;&gt;""),IF(IFERROR(INDEX(Config!$G$15:$G$34,MATCH($I88,Config!$E$15:$E$34,0)),"No")="Yes",0,1),0)</f>
        <v>0</v>
      </c>
      <c r="AQ88" s="52">
        <f>IF(AND(COUNTA($A88:$L88)&gt;0,$C88="Adjustment",$J88=""),1,0)</f>
        <v>0</v>
      </c>
      <c r="AR88" s="52">
        <f>IF(AND(COUNTA($A88:$L88)&gt;0,$L88=""),1,0)</f>
        <v>0</v>
      </c>
      <c r="AS88" s="52">
        <f>IF(AND(COUNTA($A88:$L88)&gt;0,ISNUMBER($S88)),IF($S88&lt;0,1,0),0)</f>
        <v>0</v>
      </c>
      <c r="AT88" s="52">
        <f>$W88</f>
        <v>0</v>
      </c>
      <c r="AU88" s="52">
        <f>$AT88+$X88</f>
        <v>0</v>
      </c>
      <c r="AV88" s="52">
        <f>$AU88+$Y88</f>
        <v>0</v>
      </c>
      <c r="AW88" s="52">
        <f>$AV88+$Z88</f>
        <v>0</v>
      </c>
      <c r="AX88" s="52">
        <f>$AW88+$AA88</f>
        <v>0</v>
      </c>
      <c r="AY88" s="52">
        <f>$AX88+$AB88</f>
        <v>0</v>
      </c>
      <c r="AZ88" s="52">
        <f>$AY88+$AC88</f>
        <v>0</v>
      </c>
      <c r="BA88" s="52">
        <f>$AZ88+$AD88</f>
        <v>0</v>
      </c>
      <c r="BB88" s="52">
        <f>$BA88+$AE88</f>
        <v>0</v>
      </c>
      <c r="BC88" s="52">
        <f>$BB88+$AF88</f>
        <v>0</v>
      </c>
      <c r="BD88" s="52">
        <f>$BC88+$AG88</f>
        <v>0</v>
      </c>
      <c r="BE88" s="52">
        <f>$BD88+$AH88</f>
        <v>0</v>
      </c>
      <c r="BF88" s="52">
        <f>$BE88+$AI88</f>
        <v>0</v>
      </c>
      <c r="BG88" s="52">
        <f>$BF88+$AJ88</f>
        <v>0</v>
      </c>
      <c r="BH88" s="52">
        <f>$BG88+$AK88</f>
        <v>0</v>
      </c>
      <c r="BI88" s="52">
        <f>$BH88+$AL88</f>
        <v>0</v>
      </c>
      <c r="BJ88" s="52">
        <f>$BI88+$AM88</f>
        <v>0</v>
      </c>
      <c r="BK88" s="52">
        <f>$BJ88+$AN88</f>
        <v>0</v>
      </c>
      <c r="BL88" s="52">
        <f>$BK88+$AO88</f>
        <v>0</v>
      </c>
      <c r="BM88" s="52">
        <f>$BL88+$AP88</f>
        <v>0</v>
      </c>
      <c r="BN88" s="52">
        <f>$BM88+$AQ88</f>
        <v>0</v>
      </c>
      <c r="BO88" s="52">
        <f>$BN88+$AR88</f>
        <v>0</v>
      </c>
      <c r="BP88" s="52">
        <f>$BO88+$AS88</f>
        <v>0</v>
      </c>
      <c r="BQ88" s="52">
        <f>SUM($T$1:$T87)</f>
        <v>11</v>
      </c>
      <c r="BR88" s="52" t="str">
        <f>IF(ISNUMBER($T88),IF($T88&gt;0,COUNTIF($T$2:$T88,"&gt;0"),""),"")</f>
        <v/>
      </c>
      <c r="BS88" s="52" t="str">
        <f>IF($BR88="","",$BQ88+$T88)</f>
        <v/>
      </c>
      <c r="BT88" s="52" t="str">
        <f>IF($U88="Ready",COUNTIF($U$2:$U88,"Ready"),"")</f>
        <v/>
      </c>
      <c r="BU88" s="52">
        <f>IF(AND($U88="Ready",$C88="Receipt"),IF(COUNTIF(Batches!$A$2:$A$301,$F88)+COUNTIFS($F$1:$F87,$F88,$C$1:$C87,"Receipt",$U$1:$U87,"Ready")=0,1,0),0)</f>
        <v>0</v>
      </c>
      <c r="BV88" s="52" t="str">
        <f>IF($BU88=1,SUM($BU$2:$BU88),"")</f>
        <v/>
      </c>
    </row>
    <row r="89">
      <c r="A89" s="46" t="n"/>
      <c r="B89" s="46" t="n"/>
      <c r="C89" s="46" t="n"/>
      <c r="D89" s="46" t="n"/>
      <c r="E89" s="46" t="n"/>
      <c r="F89" s="46" t="n"/>
      <c r="G89" s="46" t="n"/>
      <c r="H89" s="46" t="n"/>
      <c r="I89" s="46" t="n"/>
      <c r="J89" s="46" t="n"/>
      <c r="K89" s="46" t="n"/>
      <c r="L89" s="46" t="n"/>
      <c r="M89" s="62" t="str">
        <f>IF($B89="","",IF(ISNUMBER($B89),$B89,IF(AND(LEN($B89)=10,MID($B89,5,1)="-",MID($B89,8,1)="-"),IFERROR(IF(AND(MONTH(DATE(VALUE(LEFT($B89,4)),VALUE(MID($B89,6,2)),VALUE(RIGHT($B89,2))))=VALUE(MID($B89,6,2)),DAY(DATE(VALUE(LEFT($B89,4)),VALUE(MID($B89,6,2)),VALUE(RIGHT($B89,2))))=VALUE(RIGHT($B89,2))),DATE(VALUE(LEFT($B89,4)),VALUE(MID($B89,6,2)),VALUE(RIGHT($B89,2))),"ERR"),"ERR"),"ERR")))</f>
        <v/>
      </c>
      <c r="N89" s="62" t="str">
        <f>IF($G89="","",IF(ISNUMBER($G89),$G89,IF(AND(LEN($G89)=10,MID($G89,5,1)="-",MID($G89,8,1)="-"),IFERROR(IF(AND(MONTH(DATE(VALUE(LEFT($G89,4)),VALUE(MID($G89,6,2)),VALUE(RIGHT($G89,2))))=VALUE(MID($G89,6,2)),DAY(DATE(VALUE(LEFT($G89,4)),VALUE(MID($G89,6,2)),VALUE(RIGHT($G89,2))))=VALUE(RIGHT($G89,2))),DATE(VALUE(LEFT($G89,4)),VALUE(MID($G89,6,2)),VALUE(RIGHT($G89,2))),"ERR"),"ERR"),"ERR")))</f>
        <v/>
      </c>
      <c r="O89" s="51" t="str">
        <f>IF($H89="","",IF(ISNUMBER($H89),$H89,IFERROR(VALUE($H89),"ERR")))</f>
        <v/>
      </c>
      <c r="P89" s="51" t="str">
        <f>IF(AND(ISNUMBER($O89),OR($C89="Receipt",$C89="Shipment",$C89="Adjustment")),IF($C89="Shipment",-$O89,$O89),"")</f>
        <v/>
      </c>
      <c r="Q89" s="51" t="str">
        <f>IF($D89="","",IFERROR(INDEX(Products!$R$2:$R$101,MATCH($D89,Products!$A$2:$A$101,0)),""))</f>
        <v/>
      </c>
      <c r="R89" s="51" t="str">
        <f>IF(OR($Q89="",$P89=""),"",$Q89+SUMIFS($P$1:$P88,$D$1:$D88,$D89,$U$1:$U88,"Ready"))</f>
        <v/>
      </c>
      <c r="S89" s="51" t="str">
        <f>IF($R89="","",$R89+$P89)</f>
        <v/>
      </c>
      <c r="T89" s="52" t="str">
        <f>IF(COUNTA($A89:$L89)&gt;0,$BP89,"")</f>
        <v/>
      </c>
      <c r="U89" s="49" t="str">
        <f>IF($T89="","",IF($T89=0,"Ready","Rejected"))</f>
        <v/>
      </c>
      <c r="V89" s="49" t="str">
        <f>IF(OR($T89="",$T89=0),"",INDEX(Config!$D$39:$D$61,MATCH(1,$AT89:$BP89,0))&amp;IF($T89&gt;1," (+"&amp;($T89-1)&amp;" more)",""))</f>
        <v/>
      </c>
      <c r="W89" s="52">
        <f>IF(AND(COUNTA($A89:$L89)&gt;0,$A89=""),1,0)</f>
        <v>0</v>
      </c>
      <c r="X89" s="52">
        <f>IF(AND(COUNTA($A89:$L89)&gt;0,$A89&lt;&gt;""),IF(COUNTIF($A$1:$A88,$A89)&gt;0,1,0),0)</f>
        <v>0</v>
      </c>
      <c r="Y89" s="52">
        <f>IF(AND(COUNTA($A89:$L89)&gt;0,$A89&lt;&gt;""),IF(COUNTIF(Inventory_Ledger!$A$2:$A$2001,$A89)&gt;0,1,0),0)</f>
        <v>0</v>
      </c>
      <c r="Z89" s="52">
        <f>IF(AND(COUNTA($A89:$L89)&gt;0,$B89=""),1,0)</f>
        <v>0</v>
      </c>
      <c r="AA89" s="52">
        <f>IF(AND(COUNTA($A89:$L89)&gt;0,$B89&lt;&gt;""),IF($M89="ERR",1,0),0)</f>
        <v>0</v>
      </c>
      <c r="AB89" s="52">
        <f>IF(AND(COUNTA($A89:$L89)&gt;0,ISNUMBER($M89)),IF($M89&gt;Config!$B$4,1,0),0)</f>
        <v>0</v>
      </c>
      <c r="AC89" s="52">
        <f>IF(AND(COUNTA($A89:$L89)&gt;0,$C89=""),1,0)</f>
        <v>0</v>
      </c>
      <c r="AD89" s="52">
        <f>IF(AND(COUNTA($A89:$L89)&gt;0,$C89&lt;&gt;""),IF(COUNTIF(Config!$A$15:$A$34,$C89)=0,1,0),0)</f>
        <v>0</v>
      </c>
      <c r="AE89" s="52">
        <f>IF(AND(COUNTA($A89:$L89)&gt;0,$D89=""),1,0)</f>
        <v>0</v>
      </c>
      <c r="AF89" s="52">
        <f>IF(AND(COUNTA($A89:$L89)&gt;0,$D89&lt;&gt;""),IF(COUNTIF(Products!$A$2:$A$101,$D89)=0,1,0),0)</f>
        <v>0</v>
      </c>
      <c r="AG89" s="52">
        <f>IF(AND(COUNTA($A89:$L89)&gt;0,$C89="Receipt",$E89=""),1,0)</f>
        <v>0</v>
      </c>
      <c r="AH89" s="52">
        <f>IF(AND(COUNTA($A89:$L89)&gt;0,$E89&lt;&gt;""),IF(COUNTIF(Suppliers!$A$2:$A$51,$E89)=0,1,0),0)</f>
        <v>0</v>
      </c>
      <c r="AI89" s="52">
        <f>IF(AND(COUNTA($A89:$L89)&gt;0,$F89=""),1,0)</f>
        <v>0</v>
      </c>
      <c r="AJ89" s="52">
        <f>IF(AND(COUNTA($A89:$L89)&gt;0,$F89&lt;&gt;"",$D89&lt;&gt;"",OR($C89="Shipment",$C89="Adjustment")),IF($AF89=1,0,IF(COUNTIFS(Batches!$A$2:$A$301,$F89,Batches!$B$2:$B$301,$D89)+COUNTIFS($F$1:$F88,$F89,$D$1:$D88,$D89,$C$1:$C88,"Receipt")=0,1,0)),0)</f>
        <v>0</v>
      </c>
      <c r="AK89" s="52">
        <f>IF(AND(COUNTA($A89:$L89)&gt;0,$C89="Receipt",$G89=""),1,0)</f>
        <v>0</v>
      </c>
      <c r="AL89" s="52">
        <f>IF(AND(COUNTA($A89:$L89)&gt;0,$G89&lt;&gt;""),IF($N89="ERR",1,0),0)</f>
        <v>0</v>
      </c>
      <c r="AM89" s="52">
        <f>IF(AND(COUNTA($A89:$L89)&gt;0,$H89=""),1,0)</f>
        <v>0</v>
      </c>
      <c r="AN89" s="52">
        <f>IF(AND(COUNTA($A89:$L89)&gt;0,$H89&lt;&gt;""),IF($O89="ERR",1,IF(INT($O89)&lt;&gt;$O89,1,IF(AND(OR($C89="Receipt",$C89="Shipment"),$O89&lt;=0),1,IF(AND($C89="Adjustment",$O89=0),1,0)))),0)</f>
        <v>0</v>
      </c>
      <c r="AO89" s="52">
        <f>IF(AND(COUNTA($A89:$L89)&gt;0,$C89="Receipt",$I89=""),1,0)</f>
        <v>0</v>
      </c>
      <c r="AP89" s="52">
        <f>IF(AND(COUNTA($A89:$L89)&gt;0,$I89&lt;&gt;""),IF(IFERROR(INDEX(Config!$G$15:$G$34,MATCH($I89,Config!$E$15:$E$34,0)),"No")="Yes",0,1),0)</f>
        <v>0</v>
      </c>
      <c r="AQ89" s="52">
        <f>IF(AND(COUNTA($A89:$L89)&gt;0,$C89="Adjustment",$J89=""),1,0)</f>
        <v>0</v>
      </c>
      <c r="AR89" s="52">
        <f>IF(AND(COUNTA($A89:$L89)&gt;0,$L89=""),1,0)</f>
        <v>0</v>
      </c>
      <c r="AS89" s="52">
        <f>IF(AND(COUNTA($A89:$L89)&gt;0,ISNUMBER($S89)),IF($S89&lt;0,1,0),0)</f>
        <v>0</v>
      </c>
      <c r="AT89" s="52">
        <f>$W89</f>
        <v>0</v>
      </c>
      <c r="AU89" s="52">
        <f>$AT89+$X89</f>
        <v>0</v>
      </c>
      <c r="AV89" s="52">
        <f>$AU89+$Y89</f>
        <v>0</v>
      </c>
      <c r="AW89" s="52">
        <f>$AV89+$Z89</f>
        <v>0</v>
      </c>
      <c r="AX89" s="52">
        <f>$AW89+$AA89</f>
        <v>0</v>
      </c>
      <c r="AY89" s="52">
        <f>$AX89+$AB89</f>
        <v>0</v>
      </c>
      <c r="AZ89" s="52">
        <f>$AY89+$AC89</f>
        <v>0</v>
      </c>
      <c r="BA89" s="52">
        <f>$AZ89+$AD89</f>
        <v>0</v>
      </c>
      <c r="BB89" s="52">
        <f>$BA89+$AE89</f>
        <v>0</v>
      </c>
      <c r="BC89" s="52">
        <f>$BB89+$AF89</f>
        <v>0</v>
      </c>
      <c r="BD89" s="52">
        <f>$BC89+$AG89</f>
        <v>0</v>
      </c>
      <c r="BE89" s="52">
        <f>$BD89+$AH89</f>
        <v>0</v>
      </c>
      <c r="BF89" s="52">
        <f>$BE89+$AI89</f>
        <v>0</v>
      </c>
      <c r="BG89" s="52">
        <f>$BF89+$AJ89</f>
        <v>0</v>
      </c>
      <c r="BH89" s="52">
        <f>$BG89+$AK89</f>
        <v>0</v>
      </c>
      <c r="BI89" s="52">
        <f>$BH89+$AL89</f>
        <v>0</v>
      </c>
      <c r="BJ89" s="52">
        <f>$BI89+$AM89</f>
        <v>0</v>
      </c>
      <c r="BK89" s="52">
        <f>$BJ89+$AN89</f>
        <v>0</v>
      </c>
      <c r="BL89" s="52">
        <f>$BK89+$AO89</f>
        <v>0</v>
      </c>
      <c r="BM89" s="52">
        <f>$BL89+$AP89</f>
        <v>0</v>
      </c>
      <c r="BN89" s="52">
        <f>$BM89+$AQ89</f>
        <v>0</v>
      </c>
      <c r="BO89" s="52">
        <f>$BN89+$AR89</f>
        <v>0</v>
      </c>
      <c r="BP89" s="52">
        <f>$BO89+$AS89</f>
        <v>0</v>
      </c>
      <c r="BQ89" s="52">
        <f>SUM($T$1:$T88)</f>
        <v>11</v>
      </c>
      <c r="BR89" s="52" t="str">
        <f>IF(ISNUMBER($T89),IF($T89&gt;0,COUNTIF($T$2:$T89,"&gt;0"),""),"")</f>
        <v/>
      </c>
      <c r="BS89" s="52" t="str">
        <f>IF($BR89="","",$BQ89+$T89)</f>
        <v/>
      </c>
      <c r="BT89" s="52" t="str">
        <f>IF($U89="Ready",COUNTIF($U$2:$U89,"Ready"),"")</f>
        <v/>
      </c>
      <c r="BU89" s="52">
        <f>IF(AND($U89="Ready",$C89="Receipt"),IF(COUNTIF(Batches!$A$2:$A$301,$F89)+COUNTIFS($F$1:$F88,$F89,$C$1:$C88,"Receipt",$U$1:$U88,"Ready")=0,1,0),0)</f>
        <v>0</v>
      </c>
      <c r="BV89" s="52" t="str">
        <f>IF($BU89=1,SUM($BU$2:$BU89),"")</f>
        <v/>
      </c>
    </row>
    <row r="90">
      <c r="A90" s="46" t="n"/>
      <c r="B90" s="46" t="n"/>
      <c r="C90" s="46" t="n"/>
      <c r="D90" s="46" t="n"/>
      <c r="E90" s="46" t="n"/>
      <c r="F90" s="46" t="n"/>
      <c r="G90" s="46" t="n"/>
      <c r="H90" s="46" t="n"/>
      <c r="I90" s="46" t="n"/>
      <c r="J90" s="46" t="n"/>
      <c r="K90" s="46" t="n"/>
      <c r="L90" s="46" t="n"/>
      <c r="M90" s="62" t="str">
        <f>IF($B90="","",IF(ISNUMBER($B90),$B90,IF(AND(LEN($B90)=10,MID($B90,5,1)="-",MID($B90,8,1)="-"),IFERROR(IF(AND(MONTH(DATE(VALUE(LEFT($B90,4)),VALUE(MID($B90,6,2)),VALUE(RIGHT($B90,2))))=VALUE(MID($B90,6,2)),DAY(DATE(VALUE(LEFT($B90,4)),VALUE(MID($B90,6,2)),VALUE(RIGHT($B90,2))))=VALUE(RIGHT($B90,2))),DATE(VALUE(LEFT($B90,4)),VALUE(MID($B90,6,2)),VALUE(RIGHT($B90,2))),"ERR"),"ERR"),"ERR")))</f>
        <v/>
      </c>
      <c r="N90" s="62" t="str">
        <f>IF($G90="","",IF(ISNUMBER($G90),$G90,IF(AND(LEN($G90)=10,MID($G90,5,1)="-",MID($G90,8,1)="-"),IFERROR(IF(AND(MONTH(DATE(VALUE(LEFT($G90,4)),VALUE(MID($G90,6,2)),VALUE(RIGHT($G90,2))))=VALUE(MID($G90,6,2)),DAY(DATE(VALUE(LEFT($G90,4)),VALUE(MID($G90,6,2)),VALUE(RIGHT($G90,2))))=VALUE(RIGHT($G90,2))),DATE(VALUE(LEFT($G90,4)),VALUE(MID($G90,6,2)),VALUE(RIGHT($G90,2))),"ERR"),"ERR"),"ERR")))</f>
        <v/>
      </c>
      <c r="O90" s="51" t="str">
        <f>IF($H90="","",IF(ISNUMBER($H90),$H90,IFERROR(VALUE($H90),"ERR")))</f>
        <v/>
      </c>
      <c r="P90" s="51" t="str">
        <f>IF(AND(ISNUMBER($O90),OR($C90="Receipt",$C90="Shipment",$C90="Adjustment")),IF($C90="Shipment",-$O90,$O90),"")</f>
        <v/>
      </c>
      <c r="Q90" s="51" t="str">
        <f>IF($D90="","",IFERROR(INDEX(Products!$R$2:$R$101,MATCH($D90,Products!$A$2:$A$101,0)),""))</f>
        <v/>
      </c>
      <c r="R90" s="51" t="str">
        <f>IF(OR($Q90="",$P90=""),"",$Q90+SUMIFS($P$1:$P89,$D$1:$D89,$D90,$U$1:$U89,"Ready"))</f>
        <v/>
      </c>
      <c r="S90" s="51" t="str">
        <f>IF($R90="","",$R90+$P90)</f>
        <v/>
      </c>
      <c r="T90" s="52" t="str">
        <f>IF(COUNTA($A90:$L90)&gt;0,$BP90,"")</f>
        <v/>
      </c>
      <c r="U90" s="49" t="str">
        <f>IF($T90="","",IF($T90=0,"Ready","Rejected"))</f>
        <v/>
      </c>
      <c r="V90" s="49" t="str">
        <f>IF(OR($T90="",$T90=0),"",INDEX(Config!$D$39:$D$61,MATCH(1,$AT90:$BP90,0))&amp;IF($T90&gt;1," (+"&amp;($T90-1)&amp;" more)",""))</f>
        <v/>
      </c>
      <c r="W90" s="52">
        <f>IF(AND(COUNTA($A90:$L90)&gt;0,$A90=""),1,0)</f>
        <v>0</v>
      </c>
      <c r="X90" s="52">
        <f>IF(AND(COUNTA($A90:$L90)&gt;0,$A90&lt;&gt;""),IF(COUNTIF($A$1:$A89,$A90)&gt;0,1,0),0)</f>
        <v>0</v>
      </c>
      <c r="Y90" s="52">
        <f>IF(AND(COUNTA($A90:$L90)&gt;0,$A90&lt;&gt;""),IF(COUNTIF(Inventory_Ledger!$A$2:$A$2001,$A90)&gt;0,1,0),0)</f>
        <v>0</v>
      </c>
      <c r="Z90" s="52">
        <f>IF(AND(COUNTA($A90:$L90)&gt;0,$B90=""),1,0)</f>
        <v>0</v>
      </c>
      <c r="AA90" s="52">
        <f>IF(AND(COUNTA($A90:$L90)&gt;0,$B90&lt;&gt;""),IF($M90="ERR",1,0),0)</f>
        <v>0</v>
      </c>
      <c r="AB90" s="52">
        <f>IF(AND(COUNTA($A90:$L90)&gt;0,ISNUMBER($M90)),IF($M90&gt;Config!$B$4,1,0),0)</f>
        <v>0</v>
      </c>
      <c r="AC90" s="52">
        <f>IF(AND(COUNTA($A90:$L90)&gt;0,$C90=""),1,0)</f>
        <v>0</v>
      </c>
      <c r="AD90" s="52">
        <f>IF(AND(COUNTA($A90:$L90)&gt;0,$C90&lt;&gt;""),IF(COUNTIF(Config!$A$15:$A$34,$C90)=0,1,0),0)</f>
        <v>0</v>
      </c>
      <c r="AE90" s="52">
        <f>IF(AND(COUNTA($A90:$L90)&gt;0,$D90=""),1,0)</f>
        <v>0</v>
      </c>
      <c r="AF90" s="52">
        <f>IF(AND(COUNTA($A90:$L90)&gt;0,$D90&lt;&gt;""),IF(COUNTIF(Products!$A$2:$A$101,$D90)=0,1,0),0)</f>
        <v>0</v>
      </c>
      <c r="AG90" s="52">
        <f>IF(AND(COUNTA($A90:$L90)&gt;0,$C90="Receipt",$E90=""),1,0)</f>
        <v>0</v>
      </c>
      <c r="AH90" s="52">
        <f>IF(AND(COUNTA($A90:$L90)&gt;0,$E90&lt;&gt;""),IF(COUNTIF(Suppliers!$A$2:$A$51,$E90)=0,1,0),0)</f>
        <v>0</v>
      </c>
      <c r="AI90" s="52">
        <f>IF(AND(COUNTA($A90:$L90)&gt;0,$F90=""),1,0)</f>
        <v>0</v>
      </c>
      <c r="AJ90" s="52">
        <f>IF(AND(COUNTA($A90:$L90)&gt;0,$F90&lt;&gt;"",$D90&lt;&gt;"",OR($C90="Shipment",$C90="Adjustment")),IF($AF90=1,0,IF(COUNTIFS(Batches!$A$2:$A$301,$F90,Batches!$B$2:$B$301,$D90)+COUNTIFS($F$1:$F89,$F90,$D$1:$D89,$D90,$C$1:$C89,"Receipt")=0,1,0)),0)</f>
        <v>0</v>
      </c>
      <c r="AK90" s="52">
        <f>IF(AND(COUNTA($A90:$L90)&gt;0,$C90="Receipt",$G90=""),1,0)</f>
        <v>0</v>
      </c>
      <c r="AL90" s="52">
        <f>IF(AND(COUNTA($A90:$L90)&gt;0,$G90&lt;&gt;""),IF($N90="ERR",1,0),0)</f>
        <v>0</v>
      </c>
      <c r="AM90" s="52">
        <f>IF(AND(COUNTA($A90:$L90)&gt;0,$H90=""),1,0)</f>
        <v>0</v>
      </c>
      <c r="AN90" s="52">
        <f>IF(AND(COUNTA($A90:$L90)&gt;0,$H90&lt;&gt;""),IF($O90="ERR",1,IF(INT($O90)&lt;&gt;$O90,1,IF(AND(OR($C90="Receipt",$C90="Shipment"),$O90&lt;=0),1,IF(AND($C90="Adjustment",$O90=0),1,0)))),0)</f>
        <v>0</v>
      </c>
      <c r="AO90" s="52">
        <f>IF(AND(COUNTA($A90:$L90)&gt;0,$C90="Receipt",$I90=""),1,0)</f>
        <v>0</v>
      </c>
      <c r="AP90" s="52">
        <f>IF(AND(COUNTA($A90:$L90)&gt;0,$I90&lt;&gt;""),IF(IFERROR(INDEX(Config!$G$15:$G$34,MATCH($I90,Config!$E$15:$E$34,0)),"No")="Yes",0,1),0)</f>
        <v>0</v>
      </c>
      <c r="AQ90" s="52">
        <f>IF(AND(COUNTA($A90:$L90)&gt;0,$C90="Adjustment",$J90=""),1,0)</f>
        <v>0</v>
      </c>
      <c r="AR90" s="52">
        <f>IF(AND(COUNTA($A90:$L90)&gt;0,$L90=""),1,0)</f>
        <v>0</v>
      </c>
      <c r="AS90" s="52">
        <f>IF(AND(COUNTA($A90:$L90)&gt;0,ISNUMBER($S90)),IF($S90&lt;0,1,0),0)</f>
        <v>0</v>
      </c>
      <c r="AT90" s="52">
        <f>$W90</f>
        <v>0</v>
      </c>
      <c r="AU90" s="52">
        <f>$AT90+$X90</f>
        <v>0</v>
      </c>
      <c r="AV90" s="52">
        <f>$AU90+$Y90</f>
        <v>0</v>
      </c>
      <c r="AW90" s="52">
        <f>$AV90+$Z90</f>
        <v>0</v>
      </c>
      <c r="AX90" s="52">
        <f>$AW90+$AA90</f>
        <v>0</v>
      </c>
      <c r="AY90" s="52">
        <f>$AX90+$AB90</f>
        <v>0</v>
      </c>
      <c r="AZ90" s="52">
        <f>$AY90+$AC90</f>
        <v>0</v>
      </c>
      <c r="BA90" s="52">
        <f>$AZ90+$AD90</f>
        <v>0</v>
      </c>
      <c r="BB90" s="52">
        <f>$BA90+$AE90</f>
        <v>0</v>
      </c>
      <c r="BC90" s="52">
        <f>$BB90+$AF90</f>
        <v>0</v>
      </c>
      <c r="BD90" s="52">
        <f>$BC90+$AG90</f>
        <v>0</v>
      </c>
      <c r="BE90" s="52">
        <f>$BD90+$AH90</f>
        <v>0</v>
      </c>
      <c r="BF90" s="52">
        <f>$BE90+$AI90</f>
        <v>0</v>
      </c>
      <c r="BG90" s="52">
        <f>$BF90+$AJ90</f>
        <v>0</v>
      </c>
      <c r="BH90" s="52">
        <f>$BG90+$AK90</f>
        <v>0</v>
      </c>
      <c r="BI90" s="52">
        <f>$BH90+$AL90</f>
        <v>0</v>
      </c>
      <c r="BJ90" s="52">
        <f>$BI90+$AM90</f>
        <v>0</v>
      </c>
      <c r="BK90" s="52">
        <f>$BJ90+$AN90</f>
        <v>0</v>
      </c>
      <c r="BL90" s="52">
        <f>$BK90+$AO90</f>
        <v>0</v>
      </c>
      <c r="BM90" s="52">
        <f>$BL90+$AP90</f>
        <v>0</v>
      </c>
      <c r="BN90" s="52">
        <f>$BM90+$AQ90</f>
        <v>0</v>
      </c>
      <c r="BO90" s="52">
        <f>$BN90+$AR90</f>
        <v>0</v>
      </c>
      <c r="BP90" s="52">
        <f>$BO90+$AS90</f>
        <v>0</v>
      </c>
      <c r="BQ90" s="52">
        <f>SUM($T$1:$T89)</f>
        <v>11</v>
      </c>
      <c r="BR90" s="52" t="str">
        <f>IF(ISNUMBER($T90),IF($T90&gt;0,COUNTIF($T$2:$T90,"&gt;0"),""),"")</f>
        <v/>
      </c>
      <c r="BS90" s="52" t="str">
        <f>IF($BR90="","",$BQ90+$T90)</f>
        <v/>
      </c>
      <c r="BT90" s="52" t="str">
        <f>IF($U90="Ready",COUNTIF($U$2:$U90,"Ready"),"")</f>
        <v/>
      </c>
      <c r="BU90" s="52">
        <f>IF(AND($U90="Ready",$C90="Receipt"),IF(COUNTIF(Batches!$A$2:$A$301,$F90)+COUNTIFS($F$1:$F89,$F90,$C$1:$C89,"Receipt",$U$1:$U89,"Ready")=0,1,0),0)</f>
        <v>0</v>
      </c>
      <c r="BV90" s="52" t="str">
        <f>IF($BU90=1,SUM($BU$2:$BU90),"")</f>
        <v/>
      </c>
    </row>
    <row r="91">
      <c r="A91" s="46" t="n"/>
      <c r="B91" s="46" t="n"/>
      <c r="C91" s="46" t="n"/>
      <c r="D91" s="46" t="n"/>
      <c r="E91" s="46" t="n"/>
      <c r="F91" s="46" t="n"/>
      <c r="G91" s="46" t="n"/>
      <c r="H91" s="46" t="n"/>
      <c r="I91" s="46" t="n"/>
      <c r="J91" s="46" t="n"/>
      <c r="K91" s="46" t="n"/>
      <c r="L91" s="46" t="n"/>
      <c r="M91" s="62" t="str">
        <f>IF($B91="","",IF(ISNUMBER($B91),$B91,IF(AND(LEN($B91)=10,MID($B91,5,1)="-",MID($B91,8,1)="-"),IFERROR(IF(AND(MONTH(DATE(VALUE(LEFT($B91,4)),VALUE(MID($B91,6,2)),VALUE(RIGHT($B91,2))))=VALUE(MID($B91,6,2)),DAY(DATE(VALUE(LEFT($B91,4)),VALUE(MID($B91,6,2)),VALUE(RIGHT($B91,2))))=VALUE(RIGHT($B91,2))),DATE(VALUE(LEFT($B91,4)),VALUE(MID($B91,6,2)),VALUE(RIGHT($B91,2))),"ERR"),"ERR"),"ERR")))</f>
        <v/>
      </c>
      <c r="N91" s="62" t="str">
        <f>IF($G91="","",IF(ISNUMBER($G91),$G91,IF(AND(LEN($G91)=10,MID($G91,5,1)="-",MID($G91,8,1)="-"),IFERROR(IF(AND(MONTH(DATE(VALUE(LEFT($G91,4)),VALUE(MID($G91,6,2)),VALUE(RIGHT($G91,2))))=VALUE(MID($G91,6,2)),DAY(DATE(VALUE(LEFT($G91,4)),VALUE(MID($G91,6,2)),VALUE(RIGHT($G91,2))))=VALUE(RIGHT($G91,2))),DATE(VALUE(LEFT($G91,4)),VALUE(MID($G91,6,2)),VALUE(RIGHT($G91,2))),"ERR"),"ERR"),"ERR")))</f>
        <v/>
      </c>
      <c r="O91" s="51" t="str">
        <f>IF($H91="","",IF(ISNUMBER($H91),$H91,IFERROR(VALUE($H91),"ERR")))</f>
        <v/>
      </c>
      <c r="P91" s="51" t="str">
        <f>IF(AND(ISNUMBER($O91),OR($C91="Receipt",$C91="Shipment",$C91="Adjustment")),IF($C91="Shipment",-$O91,$O91),"")</f>
        <v/>
      </c>
      <c r="Q91" s="51" t="str">
        <f>IF($D91="","",IFERROR(INDEX(Products!$R$2:$R$101,MATCH($D91,Products!$A$2:$A$101,0)),""))</f>
        <v/>
      </c>
      <c r="R91" s="51" t="str">
        <f>IF(OR($Q91="",$P91=""),"",$Q91+SUMIFS($P$1:$P90,$D$1:$D90,$D91,$U$1:$U90,"Ready"))</f>
        <v/>
      </c>
      <c r="S91" s="51" t="str">
        <f>IF($R91="","",$R91+$P91)</f>
        <v/>
      </c>
      <c r="T91" s="52" t="str">
        <f>IF(COUNTA($A91:$L91)&gt;0,$BP91,"")</f>
        <v/>
      </c>
      <c r="U91" s="49" t="str">
        <f>IF($T91="","",IF($T91=0,"Ready","Rejected"))</f>
        <v/>
      </c>
      <c r="V91" s="49" t="str">
        <f>IF(OR($T91="",$T91=0),"",INDEX(Config!$D$39:$D$61,MATCH(1,$AT91:$BP91,0))&amp;IF($T91&gt;1," (+"&amp;($T91-1)&amp;" more)",""))</f>
        <v/>
      </c>
      <c r="W91" s="52">
        <f>IF(AND(COUNTA($A91:$L91)&gt;0,$A91=""),1,0)</f>
        <v>0</v>
      </c>
      <c r="X91" s="52">
        <f>IF(AND(COUNTA($A91:$L91)&gt;0,$A91&lt;&gt;""),IF(COUNTIF($A$1:$A90,$A91)&gt;0,1,0),0)</f>
        <v>0</v>
      </c>
      <c r="Y91" s="52">
        <f>IF(AND(COUNTA($A91:$L91)&gt;0,$A91&lt;&gt;""),IF(COUNTIF(Inventory_Ledger!$A$2:$A$2001,$A91)&gt;0,1,0),0)</f>
        <v>0</v>
      </c>
      <c r="Z91" s="52">
        <f>IF(AND(COUNTA($A91:$L91)&gt;0,$B91=""),1,0)</f>
        <v>0</v>
      </c>
      <c r="AA91" s="52">
        <f>IF(AND(COUNTA($A91:$L91)&gt;0,$B91&lt;&gt;""),IF($M91="ERR",1,0),0)</f>
        <v>0</v>
      </c>
      <c r="AB91" s="52">
        <f>IF(AND(COUNTA($A91:$L91)&gt;0,ISNUMBER($M91)),IF($M91&gt;Config!$B$4,1,0),0)</f>
        <v>0</v>
      </c>
      <c r="AC91" s="52">
        <f>IF(AND(COUNTA($A91:$L91)&gt;0,$C91=""),1,0)</f>
        <v>0</v>
      </c>
      <c r="AD91" s="52">
        <f>IF(AND(COUNTA($A91:$L91)&gt;0,$C91&lt;&gt;""),IF(COUNTIF(Config!$A$15:$A$34,$C91)=0,1,0),0)</f>
        <v>0</v>
      </c>
      <c r="AE91" s="52">
        <f>IF(AND(COUNTA($A91:$L91)&gt;0,$D91=""),1,0)</f>
        <v>0</v>
      </c>
      <c r="AF91" s="52">
        <f>IF(AND(COUNTA($A91:$L91)&gt;0,$D91&lt;&gt;""),IF(COUNTIF(Products!$A$2:$A$101,$D91)=0,1,0),0)</f>
        <v>0</v>
      </c>
      <c r="AG91" s="52">
        <f>IF(AND(COUNTA($A91:$L91)&gt;0,$C91="Receipt",$E91=""),1,0)</f>
        <v>0</v>
      </c>
      <c r="AH91" s="52">
        <f>IF(AND(COUNTA($A91:$L91)&gt;0,$E91&lt;&gt;""),IF(COUNTIF(Suppliers!$A$2:$A$51,$E91)=0,1,0),0)</f>
        <v>0</v>
      </c>
      <c r="AI91" s="52">
        <f>IF(AND(COUNTA($A91:$L91)&gt;0,$F91=""),1,0)</f>
        <v>0</v>
      </c>
      <c r="AJ91" s="52">
        <f>IF(AND(COUNTA($A91:$L91)&gt;0,$F91&lt;&gt;"",$D91&lt;&gt;"",OR($C91="Shipment",$C91="Adjustment")),IF($AF91=1,0,IF(COUNTIFS(Batches!$A$2:$A$301,$F91,Batches!$B$2:$B$301,$D91)+COUNTIFS($F$1:$F90,$F91,$D$1:$D90,$D91,$C$1:$C90,"Receipt")=0,1,0)),0)</f>
        <v>0</v>
      </c>
      <c r="AK91" s="52">
        <f>IF(AND(COUNTA($A91:$L91)&gt;0,$C91="Receipt",$G91=""),1,0)</f>
        <v>0</v>
      </c>
      <c r="AL91" s="52">
        <f>IF(AND(COUNTA($A91:$L91)&gt;0,$G91&lt;&gt;""),IF($N91="ERR",1,0),0)</f>
        <v>0</v>
      </c>
      <c r="AM91" s="52">
        <f>IF(AND(COUNTA($A91:$L91)&gt;0,$H91=""),1,0)</f>
        <v>0</v>
      </c>
      <c r="AN91" s="52">
        <f>IF(AND(COUNTA($A91:$L91)&gt;0,$H91&lt;&gt;""),IF($O91="ERR",1,IF(INT($O91)&lt;&gt;$O91,1,IF(AND(OR($C91="Receipt",$C91="Shipment"),$O91&lt;=0),1,IF(AND($C91="Adjustment",$O91=0),1,0)))),0)</f>
        <v>0</v>
      </c>
      <c r="AO91" s="52">
        <f>IF(AND(COUNTA($A91:$L91)&gt;0,$C91="Receipt",$I91=""),1,0)</f>
        <v>0</v>
      </c>
      <c r="AP91" s="52">
        <f>IF(AND(COUNTA($A91:$L91)&gt;0,$I91&lt;&gt;""),IF(IFERROR(INDEX(Config!$G$15:$G$34,MATCH($I91,Config!$E$15:$E$34,0)),"No")="Yes",0,1),0)</f>
        <v>0</v>
      </c>
      <c r="AQ91" s="52">
        <f>IF(AND(COUNTA($A91:$L91)&gt;0,$C91="Adjustment",$J91=""),1,0)</f>
        <v>0</v>
      </c>
      <c r="AR91" s="52">
        <f>IF(AND(COUNTA($A91:$L91)&gt;0,$L91=""),1,0)</f>
        <v>0</v>
      </c>
      <c r="AS91" s="52">
        <f>IF(AND(COUNTA($A91:$L91)&gt;0,ISNUMBER($S91)),IF($S91&lt;0,1,0),0)</f>
        <v>0</v>
      </c>
      <c r="AT91" s="52">
        <f>$W91</f>
        <v>0</v>
      </c>
      <c r="AU91" s="52">
        <f>$AT91+$X91</f>
        <v>0</v>
      </c>
      <c r="AV91" s="52">
        <f>$AU91+$Y91</f>
        <v>0</v>
      </c>
      <c r="AW91" s="52">
        <f>$AV91+$Z91</f>
        <v>0</v>
      </c>
      <c r="AX91" s="52">
        <f>$AW91+$AA91</f>
        <v>0</v>
      </c>
      <c r="AY91" s="52">
        <f>$AX91+$AB91</f>
        <v>0</v>
      </c>
      <c r="AZ91" s="52">
        <f>$AY91+$AC91</f>
        <v>0</v>
      </c>
      <c r="BA91" s="52">
        <f>$AZ91+$AD91</f>
        <v>0</v>
      </c>
      <c r="BB91" s="52">
        <f>$BA91+$AE91</f>
        <v>0</v>
      </c>
      <c r="BC91" s="52">
        <f>$BB91+$AF91</f>
        <v>0</v>
      </c>
      <c r="BD91" s="52">
        <f>$BC91+$AG91</f>
        <v>0</v>
      </c>
      <c r="BE91" s="52">
        <f>$BD91+$AH91</f>
        <v>0</v>
      </c>
      <c r="BF91" s="52">
        <f>$BE91+$AI91</f>
        <v>0</v>
      </c>
      <c r="BG91" s="52">
        <f>$BF91+$AJ91</f>
        <v>0</v>
      </c>
      <c r="BH91" s="52">
        <f>$BG91+$AK91</f>
        <v>0</v>
      </c>
      <c r="BI91" s="52">
        <f>$BH91+$AL91</f>
        <v>0</v>
      </c>
      <c r="BJ91" s="52">
        <f>$BI91+$AM91</f>
        <v>0</v>
      </c>
      <c r="BK91" s="52">
        <f>$BJ91+$AN91</f>
        <v>0</v>
      </c>
      <c r="BL91" s="52">
        <f>$BK91+$AO91</f>
        <v>0</v>
      </c>
      <c r="BM91" s="52">
        <f>$BL91+$AP91</f>
        <v>0</v>
      </c>
      <c r="BN91" s="52">
        <f>$BM91+$AQ91</f>
        <v>0</v>
      </c>
      <c r="BO91" s="52">
        <f>$BN91+$AR91</f>
        <v>0</v>
      </c>
      <c r="BP91" s="52">
        <f>$BO91+$AS91</f>
        <v>0</v>
      </c>
      <c r="BQ91" s="52">
        <f>SUM($T$1:$T90)</f>
        <v>11</v>
      </c>
      <c r="BR91" s="52" t="str">
        <f>IF(ISNUMBER($T91),IF($T91&gt;0,COUNTIF($T$2:$T91,"&gt;0"),""),"")</f>
        <v/>
      </c>
      <c r="BS91" s="52" t="str">
        <f>IF($BR91="","",$BQ91+$T91)</f>
        <v/>
      </c>
      <c r="BT91" s="52" t="str">
        <f>IF($U91="Ready",COUNTIF($U$2:$U91,"Ready"),"")</f>
        <v/>
      </c>
      <c r="BU91" s="52">
        <f>IF(AND($U91="Ready",$C91="Receipt"),IF(COUNTIF(Batches!$A$2:$A$301,$F91)+COUNTIFS($F$1:$F90,$F91,$C$1:$C90,"Receipt",$U$1:$U90,"Ready")=0,1,0),0)</f>
        <v>0</v>
      </c>
      <c r="BV91" s="52" t="str">
        <f>IF($BU91=1,SUM($BU$2:$BU91),"")</f>
        <v/>
      </c>
    </row>
    <row r="92">
      <c r="A92" s="46" t="n"/>
      <c r="B92" s="46" t="n"/>
      <c r="C92" s="46" t="n"/>
      <c r="D92" s="46" t="n"/>
      <c r="E92" s="46" t="n"/>
      <c r="F92" s="46" t="n"/>
      <c r="G92" s="46" t="n"/>
      <c r="H92" s="46" t="n"/>
      <c r="I92" s="46" t="n"/>
      <c r="J92" s="46" t="n"/>
      <c r="K92" s="46" t="n"/>
      <c r="L92" s="46" t="n"/>
      <c r="M92" s="62" t="str">
        <f>IF($B92="","",IF(ISNUMBER($B92),$B92,IF(AND(LEN($B92)=10,MID($B92,5,1)="-",MID($B92,8,1)="-"),IFERROR(IF(AND(MONTH(DATE(VALUE(LEFT($B92,4)),VALUE(MID($B92,6,2)),VALUE(RIGHT($B92,2))))=VALUE(MID($B92,6,2)),DAY(DATE(VALUE(LEFT($B92,4)),VALUE(MID($B92,6,2)),VALUE(RIGHT($B92,2))))=VALUE(RIGHT($B92,2))),DATE(VALUE(LEFT($B92,4)),VALUE(MID($B92,6,2)),VALUE(RIGHT($B92,2))),"ERR"),"ERR"),"ERR")))</f>
        <v/>
      </c>
      <c r="N92" s="62" t="str">
        <f>IF($G92="","",IF(ISNUMBER($G92),$G92,IF(AND(LEN($G92)=10,MID($G92,5,1)="-",MID($G92,8,1)="-"),IFERROR(IF(AND(MONTH(DATE(VALUE(LEFT($G92,4)),VALUE(MID($G92,6,2)),VALUE(RIGHT($G92,2))))=VALUE(MID($G92,6,2)),DAY(DATE(VALUE(LEFT($G92,4)),VALUE(MID($G92,6,2)),VALUE(RIGHT($G92,2))))=VALUE(RIGHT($G92,2))),DATE(VALUE(LEFT($G92,4)),VALUE(MID($G92,6,2)),VALUE(RIGHT($G92,2))),"ERR"),"ERR"),"ERR")))</f>
        <v/>
      </c>
      <c r="O92" s="51" t="str">
        <f>IF($H92="","",IF(ISNUMBER($H92),$H92,IFERROR(VALUE($H92),"ERR")))</f>
        <v/>
      </c>
      <c r="P92" s="51" t="str">
        <f>IF(AND(ISNUMBER($O92),OR($C92="Receipt",$C92="Shipment",$C92="Adjustment")),IF($C92="Shipment",-$O92,$O92),"")</f>
        <v/>
      </c>
      <c r="Q92" s="51" t="str">
        <f>IF($D92="","",IFERROR(INDEX(Products!$R$2:$R$101,MATCH($D92,Products!$A$2:$A$101,0)),""))</f>
        <v/>
      </c>
      <c r="R92" s="51" t="str">
        <f>IF(OR($Q92="",$P92=""),"",$Q92+SUMIFS($P$1:$P91,$D$1:$D91,$D92,$U$1:$U91,"Ready"))</f>
        <v/>
      </c>
      <c r="S92" s="51" t="str">
        <f>IF($R92="","",$R92+$P92)</f>
        <v/>
      </c>
      <c r="T92" s="52" t="str">
        <f>IF(COUNTA($A92:$L92)&gt;0,$BP92,"")</f>
        <v/>
      </c>
      <c r="U92" s="49" t="str">
        <f>IF($T92="","",IF($T92=0,"Ready","Rejected"))</f>
        <v/>
      </c>
      <c r="V92" s="49" t="str">
        <f>IF(OR($T92="",$T92=0),"",INDEX(Config!$D$39:$D$61,MATCH(1,$AT92:$BP92,0))&amp;IF($T92&gt;1," (+"&amp;($T92-1)&amp;" more)",""))</f>
        <v/>
      </c>
      <c r="W92" s="52">
        <f>IF(AND(COUNTA($A92:$L92)&gt;0,$A92=""),1,0)</f>
        <v>0</v>
      </c>
      <c r="X92" s="52">
        <f>IF(AND(COUNTA($A92:$L92)&gt;0,$A92&lt;&gt;""),IF(COUNTIF($A$1:$A91,$A92)&gt;0,1,0),0)</f>
        <v>0</v>
      </c>
      <c r="Y92" s="52">
        <f>IF(AND(COUNTA($A92:$L92)&gt;0,$A92&lt;&gt;""),IF(COUNTIF(Inventory_Ledger!$A$2:$A$2001,$A92)&gt;0,1,0),0)</f>
        <v>0</v>
      </c>
      <c r="Z92" s="52">
        <f>IF(AND(COUNTA($A92:$L92)&gt;0,$B92=""),1,0)</f>
        <v>0</v>
      </c>
      <c r="AA92" s="52">
        <f>IF(AND(COUNTA($A92:$L92)&gt;0,$B92&lt;&gt;""),IF($M92="ERR",1,0),0)</f>
        <v>0</v>
      </c>
      <c r="AB92" s="52">
        <f>IF(AND(COUNTA($A92:$L92)&gt;0,ISNUMBER($M92)),IF($M92&gt;Config!$B$4,1,0),0)</f>
        <v>0</v>
      </c>
      <c r="AC92" s="52">
        <f>IF(AND(COUNTA($A92:$L92)&gt;0,$C92=""),1,0)</f>
        <v>0</v>
      </c>
      <c r="AD92" s="52">
        <f>IF(AND(COUNTA($A92:$L92)&gt;0,$C92&lt;&gt;""),IF(COUNTIF(Config!$A$15:$A$34,$C92)=0,1,0),0)</f>
        <v>0</v>
      </c>
      <c r="AE92" s="52">
        <f>IF(AND(COUNTA($A92:$L92)&gt;0,$D92=""),1,0)</f>
        <v>0</v>
      </c>
      <c r="AF92" s="52">
        <f>IF(AND(COUNTA($A92:$L92)&gt;0,$D92&lt;&gt;""),IF(COUNTIF(Products!$A$2:$A$101,$D92)=0,1,0),0)</f>
        <v>0</v>
      </c>
      <c r="AG92" s="52">
        <f>IF(AND(COUNTA($A92:$L92)&gt;0,$C92="Receipt",$E92=""),1,0)</f>
        <v>0</v>
      </c>
      <c r="AH92" s="52">
        <f>IF(AND(COUNTA($A92:$L92)&gt;0,$E92&lt;&gt;""),IF(COUNTIF(Suppliers!$A$2:$A$51,$E92)=0,1,0),0)</f>
        <v>0</v>
      </c>
      <c r="AI92" s="52">
        <f>IF(AND(COUNTA($A92:$L92)&gt;0,$F92=""),1,0)</f>
        <v>0</v>
      </c>
      <c r="AJ92" s="52">
        <f>IF(AND(COUNTA($A92:$L92)&gt;0,$F92&lt;&gt;"",$D92&lt;&gt;"",OR($C92="Shipment",$C92="Adjustment")),IF($AF92=1,0,IF(COUNTIFS(Batches!$A$2:$A$301,$F92,Batches!$B$2:$B$301,$D92)+COUNTIFS($F$1:$F91,$F92,$D$1:$D91,$D92,$C$1:$C91,"Receipt")=0,1,0)),0)</f>
        <v>0</v>
      </c>
      <c r="AK92" s="52">
        <f>IF(AND(COUNTA($A92:$L92)&gt;0,$C92="Receipt",$G92=""),1,0)</f>
        <v>0</v>
      </c>
      <c r="AL92" s="52">
        <f>IF(AND(COUNTA($A92:$L92)&gt;0,$G92&lt;&gt;""),IF($N92="ERR",1,0),0)</f>
        <v>0</v>
      </c>
      <c r="AM92" s="52">
        <f>IF(AND(COUNTA($A92:$L92)&gt;0,$H92=""),1,0)</f>
        <v>0</v>
      </c>
      <c r="AN92" s="52">
        <f>IF(AND(COUNTA($A92:$L92)&gt;0,$H92&lt;&gt;""),IF($O92="ERR",1,IF(INT($O92)&lt;&gt;$O92,1,IF(AND(OR($C92="Receipt",$C92="Shipment"),$O92&lt;=0),1,IF(AND($C92="Adjustment",$O92=0),1,0)))),0)</f>
        <v>0</v>
      </c>
      <c r="AO92" s="52">
        <f>IF(AND(COUNTA($A92:$L92)&gt;0,$C92="Receipt",$I92=""),1,0)</f>
        <v>0</v>
      </c>
      <c r="AP92" s="52">
        <f>IF(AND(COUNTA($A92:$L92)&gt;0,$I92&lt;&gt;""),IF(IFERROR(INDEX(Config!$G$15:$G$34,MATCH($I92,Config!$E$15:$E$34,0)),"No")="Yes",0,1),0)</f>
        <v>0</v>
      </c>
      <c r="AQ92" s="52">
        <f>IF(AND(COUNTA($A92:$L92)&gt;0,$C92="Adjustment",$J92=""),1,0)</f>
        <v>0</v>
      </c>
      <c r="AR92" s="52">
        <f>IF(AND(COUNTA($A92:$L92)&gt;0,$L92=""),1,0)</f>
        <v>0</v>
      </c>
      <c r="AS92" s="52">
        <f>IF(AND(COUNTA($A92:$L92)&gt;0,ISNUMBER($S92)),IF($S92&lt;0,1,0),0)</f>
        <v>0</v>
      </c>
      <c r="AT92" s="52">
        <f>$W92</f>
        <v>0</v>
      </c>
      <c r="AU92" s="52">
        <f>$AT92+$X92</f>
        <v>0</v>
      </c>
      <c r="AV92" s="52">
        <f>$AU92+$Y92</f>
        <v>0</v>
      </c>
      <c r="AW92" s="52">
        <f>$AV92+$Z92</f>
        <v>0</v>
      </c>
      <c r="AX92" s="52">
        <f>$AW92+$AA92</f>
        <v>0</v>
      </c>
      <c r="AY92" s="52">
        <f>$AX92+$AB92</f>
        <v>0</v>
      </c>
      <c r="AZ92" s="52">
        <f>$AY92+$AC92</f>
        <v>0</v>
      </c>
      <c r="BA92" s="52">
        <f>$AZ92+$AD92</f>
        <v>0</v>
      </c>
      <c r="BB92" s="52">
        <f>$BA92+$AE92</f>
        <v>0</v>
      </c>
      <c r="BC92" s="52">
        <f>$BB92+$AF92</f>
        <v>0</v>
      </c>
      <c r="BD92" s="52">
        <f>$BC92+$AG92</f>
        <v>0</v>
      </c>
      <c r="BE92" s="52">
        <f>$BD92+$AH92</f>
        <v>0</v>
      </c>
      <c r="BF92" s="52">
        <f>$BE92+$AI92</f>
        <v>0</v>
      </c>
      <c r="BG92" s="52">
        <f>$BF92+$AJ92</f>
        <v>0</v>
      </c>
      <c r="BH92" s="52">
        <f>$BG92+$AK92</f>
        <v>0</v>
      </c>
      <c r="BI92" s="52">
        <f>$BH92+$AL92</f>
        <v>0</v>
      </c>
      <c r="BJ92" s="52">
        <f>$BI92+$AM92</f>
        <v>0</v>
      </c>
      <c r="BK92" s="52">
        <f>$BJ92+$AN92</f>
        <v>0</v>
      </c>
      <c r="BL92" s="52">
        <f>$BK92+$AO92</f>
        <v>0</v>
      </c>
      <c r="BM92" s="52">
        <f>$BL92+$AP92</f>
        <v>0</v>
      </c>
      <c r="BN92" s="52">
        <f>$BM92+$AQ92</f>
        <v>0</v>
      </c>
      <c r="BO92" s="52">
        <f>$BN92+$AR92</f>
        <v>0</v>
      </c>
      <c r="BP92" s="52">
        <f>$BO92+$AS92</f>
        <v>0</v>
      </c>
      <c r="BQ92" s="52">
        <f>SUM($T$1:$T91)</f>
        <v>11</v>
      </c>
      <c r="BR92" s="52" t="str">
        <f>IF(ISNUMBER($T92),IF($T92&gt;0,COUNTIF($T$2:$T92,"&gt;0"),""),"")</f>
        <v/>
      </c>
      <c r="BS92" s="52" t="str">
        <f>IF($BR92="","",$BQ92+$T92)</f>
        <v/>
      </c>
      <c r="BT92" s="52" t="str">
        <f>IF($U92="Ready",COUNTIF($U$2:$U92,"Ready"),"")</f>
        <v/>
      </c>
      <c r="BU92" s="52">
        <f>IF(AND($U92="Ready",$C92="Receipt"),IF(COUNTIF(Batches!$A$2:$A$301,$F92)+COUNTIFS($F$1:$F91,$F92,$C$1:$C91,"Receipt",$U$1:$U91,"Ready")=0,1,0),0)</f>
        <v>0</v>
      </c>
      <c r="BV92" s="52" t="str">
        <f>IF($BU92=1,SUM($BU$2:$BU92),"")</f>
        <v/>
      </c>
    </row>
    <row r="93">
      <c r="A93" s="46" t="n"/>
      <c r="B93" s="46" t="n"/>
      <c r="C93" s="46" t="n"/>
      <c r="D93" s="46" t="n"/>
      <c r="E93" s="46" t="n"/>
      <c r="F93" s="46" t="n"/>
      <c r="G93" s="46" t="n"/>
      <c r="H93" s="46" t="n"/>
      <c r="I93" s="46" t="n"/>
      <c r="J93" s="46" t="n"/>
      <c r="K93" s="46" t="n"/>
      <c r="L93" s="46" t="n"/>
      <c r="M93" s="62" t="str">
        <f>IF($B93="","",IF(ISNUMBER($B93),$B93,IF(AND(LEN($B93)=10,MID($B93,5,1)="-",MID($B93,8,1)="-"),IFERROR(IF(AND(MONTH(DATE(VALUE(LEFT($B93,4)),VALUE(MID($B93,6,2)),VALUE(RIGHT($B93,2))))=VALUE(MID($B93,6,2)),DAY(DATE(VALUE(LEFT($B93,4)),VALUE(MID($B93,6,2)),VALUE(RIGHT($B93,2))))=VALUE(RIGHT($B93,2))),DATE(VALUE(LEFT($B93,4)),VALUE(MID($B93,6,2)),VALUE(RIGHT($B93,2))),"ERR"),"ERR"),"ERR")))</f>
        <v/>
      </c>
      <c r="N93" s="62" t="str">
        <f>IF($G93="","",IF(ISNUMBER($G93),$G93,IF(AND(LEN($G93)=10,MID($G93,5,1)="-",MID($G93,8,1)="-"),IFERROR(IF(AND(MONTH(DATE(VALUE(LEFT($G93,4)),VALUE(MID($G93,6,2)),VALUE(RIGHT($G93,2))))=VALUE(MID($G93,6,2)),DAY(DATE(VALUE(LEFT($G93,4)),VALUE(MID($G93,6,2)),VALUE(RIGHT($G93,2))))=VALUE(RIGHT($G93,2))),DATE(VALUE(LEFT($G93,4)),VALUE(MID($G93,6,2)),VALUE(RIGHT($G93,2))),"ERR"),"ERR"),"ERR")))</f>
        <v/>
      </c>
      <c r="O93" s="51" t="str">
        <f>IF($H93="","",IF(ISNUMBER($H93),$H93,IFERROR(VALUE($H93),"ERR")))</f>
        <v/>
      </c>
      <c r="P93" s="51" t="str">
        <f>IF(AND(ISNUMBER($O93),OR($C93="Receipt",$C93="Shipment",$C93="Adjustment")),IF($C93="Shipment",-$O93,$O93),"")</f>
        <v/>
      </c>
      <c r="Q93" s="51" t="str">
        <f>IF($D93="","",IFERROR(INDEX(Products!$R$2:$R$101,MATCH($D93,Products!$A$2:$A$101,0)),""))</f>
        <v/>
      </c>
      <c r="R93" s="51" t="str">
        <f>IF(OR($Q93="",$P93=""),"",$Q93+SUMIFS($P$1:$P92,$D$1:$D92,$D93,$U$1:$U92,"Ready"))</f>
        <v/>
      </c>
      <c r="S93" s="51" t="str">
        <f>IF($R93="","",$R93+$P93)</f>
        <v/>
      </c>
      <c r="T93" s="52" t="str">
        <f>IF(COUNTA($A93:$L93)&gt;0,$BP93,"")</f>
        <v/>
      </c>
      <c r="U93" s="49" t="str">
        <f>IF($T93="","",IF($T93=0,"Ready","Rejected"))</f>
        <v/>
      </c>
      <c r="V93" s="49" t="str">
        <f>IF(OR($T93="",$T93=0),"",INDEX(Config!$D$39:$D$61,MATCH(1,$AT93:$BP93,0))&amp;IF($T93&gt;1," (+"&amp;($T93-1)&amp;" more)",""))</f>
        <v/>
      </c>
      <c r="W93" s="52">
        <f>IF(AND(COUNTA($A93:$L93)&gt;0,$A93=""),1,0)</f>
        <v>0</v>
      </c>
      <c r="X93" s="52">
        <f>IF(AND(COUNTA($A93:$L93)&gt;0,$A93&lt;&gt;""),IF(COUNTIF($A$1:$A92,$A93)&gt;0,1,0),0)</f>
        <v>0</v>
      </c>
      <c r="Y93" s="52">
        <f>IF(AND(COUNTA($A93:$L93)&gt;0,$A93&lt;&gt;""),IF(COUNTIF(Inventory_Ledger!$A$2:$A$2001,$A93)&gt;0,1,0),0)</f>
        <v>0</v>
      </c>
      <c r="Z93" s="52">
        <f>IF(AND(COUNTA($A93:$L93)&gt;0,$B93=""),1,0)</f>
        <v>0</v>
      </c>
      <c r="AA93" s="52">
        <f>IF(AND(COUNTA($A93:$L93)&gt;0,$B93&lt;&gt;""),IF($M93="ERR",1,0),0)</f>
        <v>0</v>
      </c>
      <c r="AB93" s="52">
        <f>IF(AND(COUNTA($A93:$L93)&gt;0,ISNUMBER($M93)),IF($M93&gt;Config!$B$4,1,0),0)</f>
        <v>0</v>
      </c>
      <c r="AC93" s="52">
        <f>IF(AND(COUNTA($A93:$L93)&gt;0,$C93=""),1,0)</f>
        <v>0</v>
      </c>
      <c r="AD93" s="52">
        <f>IF(AND(COUNTA($A93:$L93)&gt;0,$C93&lt;&gt;""),IF(COUNTIF(Config!$A$15:$A$34,$C93)=0,1,0),0)</f>
        <v>0</v>
      </c>
      <c r="AE93" s="52">
        <f>IF(AND(COUNTA($A93:$L93)&gt;0,$D93=""),1,0)</f>
        <v>0</v>
      </c>
      <c r="AF93" s="52">
        <f>IF(AND(COUNTA($A93:$L93)&gt;0,$D93&lt;&gt;""),IF(COUNTIF(Products!$A$2:$A$101,$D93)=0,1,0),0)</f>
        <v>0</v>
      </c>
      <c r="AG93" s="52">
        <f>IF(AND(COUNTA($A93:$L93)&gt;0,$C93="Receipt",$E93=""),1,0)</f>
        <v>0</v>
      </c>
      <c r="AH93" s="52">
        <f>IF(AND(COUNTA($A93:$L93)&gt;0,$E93&lt;&gt;""),IF(COUNTIF(Suppliers!$A$2:$A$51,$E93)=0,1,0),0)</f>
        <v>0</v>
      </c>
      <c r="AI93" s="52">
        <f>IF(AND(COUNTA($A93:$L93)&gt;0,$F93=""),1,0)</f>
        <v>0</v>
      </c>
      <c r="AJ93" s="52">
        <f>IF(AND(COUNTA($A93:$L93)&gt;0,$F93&lt;&gt;"",$D93&lt;&gt;"",OR($C93="Shipment",$C93="Adjustment")),IF($AF93=1,0,IF(COUNTIFS(Batches!$A$2:$A$301,$F93,Batches!$B$2:$B$301,$D93)+COUNTIFS($F$1:$F92,$F93,$D$1:$D92,$D93,$C$1:$C92,"Receipt")=0,1,0)),0)</f>
        <v>0</v>
      </c>
      <c r="AK93" s="52">
        <f>IF(AND(COUNTA($A93:$L93)&gt;0,$C93="Receipt",$G93=""),1,0)</f>
        <v>0</v>
      </c>
      <c r="AL93" s="52">
        <f>IF(AND(COUNTA($A93:$L93)&gt;0,$G93&lt;&gt;""),IF($N93="ERR",1,0),0)</f>
        <v>0</v>
      </c>
      <c r="AM93" s="52">
        <f>IF(AND(COUNTA($A93:$L93)&gt;0,$H93=""),1,0)</f>
        <v>0</v>
      </c>
      <c r="AN93" s="52">
        <f>IF(AND(COUNTA($A93:$L93)&gt;0,$H93&lt;&gt;""),IF($O93="ERR",1,IF(INT($O93)&lt;&gt;$O93,1,IF(AND(OR($C93="Receipt",$C93="Shipment"),$O93&lt;=0),1,IF(AND($C93="Adjustment",$O93=0),1,0)))),0)</f>
        <v>0</v>
      </c>
      <c r="AO93" s="52">
        <f>IF(AND(COUNTA($A93:$L93)&gt;0,$C93="Receipt",$I93=""),1,0)</f>
        <v>0</v>
      </c>
      <c r="AP93" s="52">
        <f>IF(AND(COUNTA($A93:$L93)&gt;0,$I93&lt;&gt;""),IF(IFERROR(INDEX(Config!$G$15:$G$34,MATCH($I93,Config!$E$15:$E$34,0)),"No")="Yes",0,1),0)</f>
        <v>0</v>
      </c>
      <c r="AQ93" s="52">
        <f>IF(AND(COUNTA($A93:$L93)&gt;0,$C93="Adjustment",$J93=""),1,0)</f>
        <v>0</v>
      </c>
      <c r="AR93" s="52">
        <f>IF(AND(COUNTA($A93:$L93)&gt;0,$L93=""),1,0)</f>
        <v>0</v>
      </c>
      <c r="AS93" s="52">
        <f>IF(AND(COUNTA($A93:$L93)&gt;0,ISNUMBER($S93)),IF($S93&lt;0,1,0),0)</f>
        <v>0</v>
      </c>
      <c r="AT93" s="52">
        <f>$W93</f>
        <v>0</v>
      </c>
      <c r="AU93" s="52">
        <f>$AT93+$X93</f>
        <v>0</v>
      </c>
      <c r="AV93" s="52">
        <f>$AU93+$Y93</f>
        <v>0</v>
      </c>
      <c r="AW93" s="52">
        <f>$AV93+$Z93</f>
        <v>0</v>
      </c>
      <c r="AX93" s="52">
        <f>$AW93+$AA93</f>
        <v>0</v>
      </c>
      <c r="AY93" s="52">
        <f>$AX93+$AB93</f>
        <v>0</v>
      </c>
      <c r="AZ93" s="52">
        <f>$AY93+$AC93</f>
        <v>0</v>
      </c>
      <c r="BA93" s="52">
        <f>$AZ93+$AD93</f>
        <v>0</v>
      </c>
      <c r="BB93" s="52">
        <f>$BA93+$AE93</f>
        <v>0</v>
      </c>
      <c r="BC93" s="52">
        <f>$BB93+$AF93</f>
        <v>0</v>
      </c>
      <c r="BD93" s="52">
        <f>$BC93+$AG93</f>
        <v>0</v>
      </c>
      <c r="BE93" s="52">
        <f>$BD93+$AH93</f>
        <v>0</v>
      </c>
      <c r="BF93" s="52">
        <f>$BE93+$AI93</f>
        <v>0</v>
      </c>
      <c r="BG93" s="52">
        <f>$BF93+$AJ93</f>
        <v>0</v>
      </c>
      <c r="BH93" s="52">
        <f>$BG93+$AK93</f>
        <v>0</v>
      </c>
      <c r="BI93" s="52">
        <f>$BH93+$AL93</f>
        <v>0</v>
      </c>
      <c r="BJ93" s="52">
        <f>$BI93+$AM93</f>
        <v>0</v>
      </c>
      <c r="BK93" s="52">
        <f>$BJ93+$AN93</f>
        <v>0</v>
      </c>
      <c r="BL93" s="52">
        <f>$BK93+$AO93</f>
        <v>0</v>
      </c>
      <c r="BM93" s="52">
        <f>$BL93+$AP93</f>
        <v>0</v>
      </c>
      <c r="BN93" s="52">
        <f>$BM93+$AQ93</f>
        <v>0</v>
      </c>
      <c r="BO93" s="52">
        <f>$BN93+$AR93</f>
        <v>0</v>
      </c>
      <c r="BP93" s="52">
        <f>$BO93+$AS93</f>
        <v>0</v>
      </c>
      <c r="BQ93" s="52">
        <f>SUM($T$1:$T92)</f>
        <v>11</v>
      </c>
      <c r="BR93" s="52" t="str">
        <f>IF(ISNUMBER($T93),IF($T93&gt;0,COUNTIF($T$2:$T93,"&gt;0"),""),"")</f>
        <v/>
      </c>
      <c r="BS93" s="52" t="str">
        <f>IF($BR93="","",$BQ93+$T93)</f>
        <v/>
      </c>
      <c r="BT93" s="52" t="str">
        <f>IF($U93="Ready",COUNTIF($U$2:$U93,"Ready"),"")</f>
        <v/>
      </c>
      <c r="BU93" s="52">
        <f>IF(AND($U93="Ready",$C93="Receipt"),IF(COUNTIF(Batches!$A$2:$A$301,$F93)+COUNTIFS($F$1:$F92,$F93,$C$1:$C92,"Receipt",$U$1:$U92,"Ready")=0,1,0),0)</f>
        <v>0</v>
      </c>
      <c r="BV93" s="52" t="str">
        <f>IF($BU93=1,SUM($BU$2:$BU93),"")</f>
        <v/>
      </c>
    </row>
    <row r="94">
      <c r="A94" s="46" t="n"/>
      <c r="B94" s="46" t="n"/>
      <c r="C94" s="46" t="n"/>
      <c r="D94" s="46" t="n"/>
      <c r="E94" s="46" t="n"/>
      <c r="F94" s="46" t="n"/>
      <c r="G94" s="46" t="n"/>
      <c r="H94" s="46" t="n"/>
      <c r="I94" s="46" t="n"/>
      <c r="J94" s="46" t="n"/>
      <c r="K94" s="46" t="n"/>
      <c r="L94" s="46" t="n"/>
      <c r="M94" s="62" t="str">
        <f>IF($B94="","",IF(ISNUMBER($B94),$B94,IF(AND(LEN($B94)=10,MID($B94,5,1)="-",MID($B94,8,1)="-"),IFERROR(IF(AND(MONTH(DATE(VALUE(LEFT($B94,4)),VALUE(MID($B94,6,2)),VALUE(RIGHT($B94,2))))=VALUE(MID($B94,6,2)),DAY(DATE(VALUE(LEFT($B94,4)),VALUE(MID($B94,6,2)),VALUE(RIGHT($B94,2))))=VALUE(RIGHT($B94,2))),DATE(VALUE(LEFT($B94,4)),VALUE(MID($B94,6,2)),VALUE(RIGHT($B94,2))),"ERR"),"ERR"),"ERR")))</f>
        <v/>
      </c>
      <c r="N94" s="62" t="str">
        <f>IF($G94="","",IF(ISNUMBER($G94),$G94,IF(AND(LEN($G94)=10,MID($G94,5,1)="-",MID($G94,8,1)="-"),IFERROR(IF(AND(MONTH(DATE(VALUE(LEFT($G94,4)),VALUE(MID($G94,6,2)),VALUE(RIGHT($G94,2))))=VALUE(MID($G94,6,2)),DAY(DATE(VALUE(LEFT($G94,4)),VALUE(MID($G94,6,2)),VALUE(RIGHT($G94,2))))=VALUE(RIGHT($G94,2))),DATE(VALUE(LEFT($G94,4)),VALUE(MID($G94,6,2)),VALUE(RIGHT($G94,2))),"ERR"),"ERR"),"ERR")))</f>
        <v/>
      </c>
      <c r="O94" s="51" t="str">
        <f>IF($H94="","",IF(ISNUMBER($H94),$H94,IFERROR(VALUE($H94),"ERR")))</f>
        <v/>
      </c>
      <c r="P94" s="51" t="str">
        <f>IF(AND(ISNUMBER($O94),OR($C94="Receipt",$C94="Shipment",$C94="Adjustment")),IF($C94="Shipment",-$O94,$O94),"")</f>
        <v/>
      </c>
      <c r="Q94" s="51" t="str">
        <f>IF($D94="","",IFERROR(INDEX(Products!$R$2:$R$101,MATCH($D94,Products!$A$2:$A$101,0)),""))</f>
        <v/>
      </c>
      <c r="R94" s="51" t="str">
        <f>IF(OR($Q94="",$P94=""),"",$Q94+SUMIFS($P$1:$P93,$D$1:$D93,$D94,$U$1:$U93,"Ready"))</f>
        <v/>
      </c>
      <c r="S94" s="51" t="str">
        <f>IF($R94="","",$R94+$P94)</f>
        <v/>
      </c>
      <c r="T94" s="52" t="str">
        <f>IF(COUNTA($A94:$L94)&gt;0,$BP94,"")</f>
        <v/>
      </c>
      <c r="U94" s="49" t="str">
        <f>IF($T94="","",IF($T94=0,"Ready","Rejected"))</f>
        <v/>
      </c>
      <c r="V94" s="49" t="str">
        <f>IF(OR($T94="",$T94=0),"",INDEX(Config!$D$39:$D$61,MATCH(1,$AT94:$BP94,0))&amp;IF($T94&gt;1," (+"&amp;($T94-1)&amp;" more)",""))</f>
        <v/>
      </c>
      <c r="W94" s="52">
        <f>IF(AND(COUNTA($A94:$L94)&gt;0,$A94=""),1,0)</f>
        <v>0</v>
      </c>
      <c r="X94" s="52">
        <f>IF(AND(COUNTA($A94:$L94)&gt;0,$A94&lt;&gt;""),IF(COUNTIF($A$1:$A93,$A94)&gt;0,1,0),0)</f>
        <v>0</v>
      </c>
      <c r="Y94" s="52">
        <f>IF(AND(COUNTA($A94:$L94)&gt;0,$A94&lt;&gt;""),IF(COUNTIF(Inventory_Ledger!$A$2:$A$2001,$A94)&gt;0,1,0),0)</f>
        <v>0</v>
      </c>
      <c r="Z94" s="52">
        <f>IF(AND(COUNTA($A94:$L94)&gt;0,$B94=""),1,0)</f>
        <v>0</v>
      </c>
      <c r="AA94" s="52">
        <f>IF(AND(COUNTA($A94:$L94)&gt;0,$B94&lt;&gt;""),IF($M94="ERR",1,0),0)</f>
        <v>0</v>
      </c>
      <c r="AB94" s="52">
        <f>IF(AND(COUNTA($A94:$L94)&gt;0,ISNUMBER($M94)),IF($M94&gt;Config!$B$4,1,0),0)</f>
        <v>0</v>
      </c>
      <c r="AC94" s="52">
        <f>IF(AND(COUNTA($A94:$L94)&gt;0,$C94=""),1,0)</f>
        <v>0</v>
      </c>
      <c r="AD94" s="52">
        <f>IF(AND(COUNTA($A94:$L94)&gt;0,$C94&lt;&gt;""),IF(COUNTIF(Config!$A$15:$A$34,$C94)=0,1,0),0)</f>
        <v>0</v>
      </c>
      <c r="AE94" s="52">
        <f>IF(AND(COUNTA($A94:$L94)&gt;0,$D94=""),1,0)</f>
        <v>0</v>
      </c>
      <c r="AF94" s="52">
        <f>IF(AND(COUNTA($A94:$L94)&gt;0,$D94&lt;&gt;""),IF(COUNTIF(Products!$A$2:$A$101,$D94)=0,1,0),0)</f>
        <v>0</v>
      </c>
      <c r="AG94" s="52">
        <f>IF(AND(COUNTA($A94:$L94)&gt;0,$C94="Receipt",$E94=""),1,0)</f>
        <v>0</v>
      </c>
      <c r="AH94" s="52">
        <f>IF(AND(COUNTA($A94:$L94)&gt;0,$E94&lt;&gt;""),IF(COUNTIF(Suppliers!$A$2:$A$51,$E94)=0,1,0),0)</f>
        <v>0</v>
      </c>
      <c r="AI94" s="52">
        <f>IF(AND(COUNTA($A94:$L94)&gt;0,$F94=""),1,0)</f>
        <v>0</v>
      </c>
      <c r="AJ94" s="52">
        <f>IF(AND(COUNTA($A94:$L94)&gt;0,$F94&lt;&gt;"",$D94&lt;&gt;"",OR($C94="Shipment",$C94="Adjustment")),IF($AF94=1,0,IF(COUNTIFS(Batches!$A$2:$A$301,$F94,Batches!$B$2:$B$301,$D94)+COUNTIFS($F$1:$F93,$F94,$D$1:$D93,$D94,$C$1:$C93,"Receipt")=0,1,0)),0)</f>
        <v>0</v>
      </c>
      <c r="AK94" s="52">
        <f>IF(AND(COUNTA($A94:$L94)&gt;0,$C94="Receipt",$G94=""),1,0)</f>
        <v>0</v>
      </c>
      <c r="AL94" s="52">
        <f>IF(AND(COUNTA($A94:$L94)&gt;0,$G94&lt;&gt;""),IF($N94="ERR",1,0),0)</f>
        <v>0</v>
      </c>
      <c r="AM94" s="52">
        <f>IF(AND(COUNTA($A94:$L94)&gt;0,$H94=""),1,0)</f>
        <v>0</v>
      </c>
      <c r="AN94" s="52">
        <f>IF(AND(COUNTA($A94:$L94)&gt;0,$H94&lt;&gt;""),IF($O94="ERR",1,IF(INT($O94)&lt;&gt;$O94,1,IF(AND(OR($C94="Receipt",$C94="Shipment"),$O94&lt;=0),1,IF(AND($C94="Adjustment",$O94=0),1,0)))),0)</f>
        <v>0</v>
      </c>
      <c r="AO94" s="52">
        <f>IF(AND(COUNTA($A94:$L94)&gt;0,$C94="Receipt",$I94=""),1,0)</f>
        <v>0</v>
      </c>
      <c r="AP94" s="52">
        <f>IF(AND(COUNTA($A94:$L94)&gt;0,$I94&lt;&gt;""),IF(IFERROR(INDEX(Config!$G$15:$G$34,MATCH($I94,Config!$E$15:$E$34,0)),"No")="Yes",0,1),0)</f>
        <v>0</v>
      </c>
      <c r="AQ94" s="52">
        <f>IF(AND(COUNTA($A94:$L94)&gt;0,$C94="Adjustment",$J94=""),1,0)</f>
        <v>0</v>
      </c>
      <c r="AR94" s="52">
        <f>IF(AND(COUNTA($A94:$L94)&gt;0,$L94=""),1,0)</f>
        <v>0</v>
      </c>
      <c r="AS94" s="52">
        <f>IF(AND(COUNTA($A94:$L94)&gt;0,ISNUMBER($S94)),IF($S94&lt;0,1,0),0)</f>
        <v>0</v>
      </c>
      <c r="AT94" s="52">
        <f>$W94</f>
        <v>0</v>
      </c>
      <c r="AU94" s="52">
        <f>$AT94+$X94</f>
        <v>0</v>
      </c>
      <c r="AV94" s="52">
        <f>$AU94+$Y94</f>
        <v>0</v>
      </c>
      <c r="AW94" s="52">
        <f>$AV94+$Z94</f>
        <v>0</v>
      </c>
      <c r="AX94" s="52">
        <f>$AW94+$AA94</f>
        <v>0</v>
      </c>
      <c r="AY94" s="52">
        <f>$AX94+$AB94</f>
        <v>0</v>
      </c>
      <c r="AZ94" s="52">
        <f>$AY94+$AC94</f>
        <v>0</v>
      </c>
      <c r="BA94" s="52">
        <f>$AZ94+$AD94</f>
        <v>0</v>
      </c>
      <c r="BB94" s="52">
        <f>$BA94+$AE94</f>
        <v>0</v>
      </c>
      <c r="BC94" s="52">
        <f>$BB94+$AF94</f>
        <v>0</v>
      </c>
      <c r="BD94" s="52">
        <f>$BC94+$AG94</f>
        <v>0</v>
      </c>
      <c r="BE94" s="52">
        <f>$BD94+$AH94</f>
        <v>0</v>
      </c>
      <c r="BF94" s="52">
        <f>$BE94+$AI94</f>
        <v>0</v>
      </c>
      <c r="BG94" s="52">
        <f>$BF94+$AJ94</f>
        <v>0</v>
      </c>
      <c r="BH94" s="52">
        <f>$BG94+$AK94</f>
        <v>0</v>
      </c>
      <c r="BI94" s="52">
        <f>$BH94+$AL94</f>
        <v>0</v>
      </c>
      <c r="BJ94" s="52">
        <f>$BI94+$AM94</f>
        <v>0</v>
      </c>
      <c r="BK94" s="52">
        <f>$BJ94+$AN94</f>
        <v>0</v>
      </c>
      <c r="BL94" s="52">
        <f>$BK94+$AO94</f>
        <v>0</v>
      </c>
      <c r="BM94" s="52">
        <f>$BL94+$AP94</f>
        <v>0</v>
      </c>
      <c r="BN94" s="52">
        <f>$BM94+$AQ94</f>
        <v>0</v>
      </c>
      <c r="BO94" s="52">
        <f>$BN94+$AR94</f>
        <v>0</v>
      </c>
      <c r="BP94" s="52">
        <f>$BO94+$AS94</f>
        <v>0</v>
      </c>
      <c r="BQ94" s="52">
        <f>SUM($T$1:$T93)</f>
        <v>11</v>
      </c>
      <c r="BR94" s="52" t="str">
        <f>IF(ISNUMBER($T94),IF($T94&gt;0,COUNTIF($T$2:$T94,"&gt;0"),""),"")</f>
        <v/>
      </c>
      <c r="BS94" s="52" t="str">
        <f>IF($BR94="","",$BQ94+$T94)</f>
        <v/>
      </c>
      <c r="BT94" s="52" t="str">
        <f>IF($U94="Ready",COUNTIF($U$2:$U94,"Ready"),"")</f>
        <v/>
      </c>
      <c r="BU94" s="52">
        <f>IF(AND($U94="Ready",$C94="Receipt"),IF(COUNTIF(Batches!$A$2:$A$301,$F94)+COUNTIFS($F$1:$F93,$F94,$C$1:$C93,"Receipt",$U$1:$U93,"Ready")=0,1,0),0)</f>
        <v>0</v>
      </c>
      <c r="BV94" s="52" t="str">
        <f>IF($BU94=1,SUM($BU$2:$BU94),"")</f>
        <v/>
      </c>
    </row>
    <row r="95">
      <c r="A95" s="46" t="n"/>
      <c r="B95" s="46" t="n"/>
      <c r="C95" s="46" t="n"/>
      <c r="D95" s="46" t="n"/>
      <c r="E95" s="46" t="n"/>
      <c r="F95" s="46" t="n"/>
      <c r="G95" s="46" t="n"/>
      <c r="H95" s="46" t="n"/>
      <c r="I95" s="46" t="n"/>
      <c r="J95" s="46" t="n"/>
      <c r="K95" s="46" t="n"/>
      <c r="L95" s="46" t="n"/>
      <c r="M95" s="62" t="str">
        <f>IF($B95="","",IF(ISNUMBER($B95),$B95,IF(AND(LEN($B95)=10,MID($B95,5,1)="-",MID($B95,8,1)="-"),IFERROR(IF(AND(MONTH(DATE(VALUE(LEFT($B95,4)),VALUE(MID($B95,6,2)),VALUE(RIGHT($B95,2))))=VALUE(MID($B95,6,2)),DAY(DATE(VALUE(LEFT($B95,4)),VALUE(MID($B95,6,2)),VALUE(RIGHT($B95,2))))=VALUE(RIGHT($B95,2))),DATE(VALUE(LEFT($B95,4)),VALUE(MID($B95,6,2)),VALUE(RIGHT($B95,2))),"ERR"),"ERR"),"ERR")))</f>
        <v/>
      </c>
      <c r="N95" s="62" t="str">
        <f>IF($G95="","",IF(ISNUMBER($G95),$G95,IF(AND(LEN($G95)=10,MID($G95,5,1)="-",MID($G95,8,1)="-"),IFERROR(IF(AND(MONTH(DATE(VALUE(LEFT($G95,4)),VALUE(MID($G95,6,2)),VALUE(RIGHT($G95,2))))=VALUE(MID($G95,6,2)),DAY(DATE(VALUE(LEFT($G95,4)),VALUE(MID($G95,6,2)),VALUE(RIGHT($G95,2))))=VALUE(RIGHT($G95,2))),DATE(VALUE(LEFT($G95,4)),VALUE(MID($G95,6,2)),VALUE(RIGHT($G95,2))),"ERR"),"ERR"),"ERR")))</f>
        <v/>
      </c>
      <c r="O95" s="51" t="str">
        <f>IF($H95="","",IF(ISNUMBER($H95),$H95,IFERROR(VALUE($H95),"ERR")))</f>
        <v/>
      </c>
      <c r="P95" s="51" t="str">
        <f>IF(AND(ISNUMBER($O95),OR($C95="Receipt",$C95="Shipment",$C95="Adjustment")),IF($C95="Shipment",-$O95,$O95),"")</f>
        <v/>
      </c>
      <c r="Q95" s="51" t="str">
        <f>IF($D95="","",IFERROR(INDEX(Products!$R$2:$R$101,MATCH($D95,Products!$A$2:$A$101,0)),""))</f>
        <v/>
      </c>
      <c r="R95" s="51" t="str">
        <f>IF(OR($Q95="",$P95=""),"",$Q95+SUMIFS($P$1:$P94,$D$1:$D94,$D95,$U$1:$U94,"Ready"))</f>
        <v/>
      </c>
      <c r="S95" s="51" t="str">
        <f>IF($R95="","",$R95+$P95)</f>
        <v/>
      </c>
      <c r="T95" s="52" t="str">
        <f>IF(COUNTA($A95:$L95)&gt;0,$BP95,"")</f>
        <v/>
      </c>
      <c r="U95" s="49" t="str">
        <f>IF($T95="","",IF($T95=0,"Ready","Rejected"))</f>
        <v/>
      </c>
      <c r="V95" s="49" t="str">
        <f>IF(OR($T95="",$T95=0),"",INDEX(Config!$D$39:$D$61,MATCH(1,$AT95:$BP95,0))&amp;IF($T95&gt;1," (+"&amp;($T95-1)&amp;" more)",""))</f>
        <v/>
      </c>
      <c r="W95" s="52">
        <f>IF(AND(COUNTA($A95:$L95)&gt;0,$A95=""),1,0)</f>
        <v>0</v>
      </c>
      <c r="X95" s="52">
        <f>IF(AND(COUNTA($A95:$L95)&gt;0,$A95&lt;&gt;""),IF(COUNTIF($A$1:$A94,$A95)&gt;0,1,0),0)</f>
        <v>0</v>
      </c>
      <c r="Y95" s="52">
        <f>IF(AND(COUNTA($A95:$L95)&gt;0,$A95&lt;&gt;""),IF(COUNTIF(Inventory_Ledger!$A$2:$A$2001,$A95)&gt;0,1,0),0)</f>
        <v>0</v>
      </c>
      <c r="Z95" s="52">
        <f>IF(AND(COUNTA($A95:$L95)&gt;0,$B95=""),1,0)</f>
        <v>0</v>
      </c>
      <c r="AA95" s="52">
        <f>IF(AND(COUNTA($A95:$L95)&gt;0,$B95&lt;&gt;""),IF($M95="ERR",1,0),0)</f>
        <v>0</v>
      </c>
      <c r="AB95" s="52">
        <f>IF(AND(COUNTA($A95:$L95)&gt;0,ISNUMBER($M95)),IF($M95&gt;Config!$B$4,1,0),0)</f>
        <v>0</v>
      </c>
      <c r="AC95" s="52">
        <f>IF(AND(COUNTA($A95:$L95)&gt;0,$C95=""),1,0)</f>
        <v>0</v>
      </c>
      <c r="AD95" s="52">
        <f>IF(AND(COUNTA($A95:$L95)&gt;0,$C95&lt;&gt;""),IF(COUNTIF(Config!$A$15:$A$34,$C95)=0,1,0),0)</f>
        <v>0</v>
      </c>
      <c r="AE95" s="52">
        <f>IF(AND(COUNTA($A95:$L95)&gt;0,$D95=""),1,0)</f>
        <v>0</v>
      </c>
      <c r="AF95" s="52">
        <f>IF(AND(COUNTA($A95:$L95)&gt;0,$D95&lt;&gt;""),IF(COUNTIF(Products!$A$2:$A$101,$D95)=0,1,0),0)</f>
        <v>0</v>
      </c>
      <c r="AG95" s="52">
        <f>IF(AND(COUNTA($A95:$L95)&gt;0,$C95="Receipt",$E95=""),1,0)</f>
        <v>0</v>
      </c>
      <c r="AH95" s="52">
        <f>IF(AND(COUNTA($A95:$L95)&gt;0,$E95&lt;&gt;""),IF(COUNTIF(Suppliers!$A$2:$A$51,$E95)=0,1,0),0)</f>
        <v>0</v>
      </c>
      <c r="AI95" s="52">
        <f>IF(AND(COUNTA($A95:$L95)&gt;0,$F95=""),1,0)</f>
        <v>0</v>
      </c>
      <c r="AJ95" s="52">
        <f>IF(AND(COUNTA($A95:$L95)&gt;0,$F95&lt;&gt;"",$D95&lt;&gt;"",OR($C95="Shipment",$C95="Adjustment")),IF($AF95=1,0,IF(COUNTIFS(Batches!$A$2:$A$301,$F95,Batches!$B$2:$B$301,$D95)+COUNTIFS($F$1:$F94,$F95,$D$1:$D94,$D95,$C$1:$C94,"Receipt")=0,1,0)),0)</f>
        <v>0</v>
      </c>
      <c r="AK95" s="52">
        <f>IF(AND(COUNTA($A95:$L95)&gt;0,$C95="Receipt",$G95=""),1,0)</f>
        <v>0</v>
      </c>
      <c r="AL95" s="52">
        <f>IF(AND(COUNTA($A95:$L95)&gt;0,$G95&lt;&gt;""),IF($N95="ERR",1,0),0)</f>
        <v>0</v>
      </c>
      <c r="AM95" s="52">
        <f>IF(AND(COUNTA($A95:$L95)&gt;0,$H95=""),1,0)</f>
        <v>0</v>
      </c>
      <c r="AN95" s="52">
        <f>IF(AND(COUNTA($A95:$L95)&gt;0,$H95&lt;&gt;""),IF($O95="ERR",1,IF(INT($O95)&lt;&gt;$O95,1,IF(AND(OR($C95="Receipt",$C95="Shipment"),$O95&lt;=0),1,IF(AND($C95="Adjustment",$O95=0),1,0)))),0)</f>
        <v>0</v>
      </c>
      <c r="AO95" s="52">
        <f>IF(AND(COUNTA($A95:$L95)&gt;0,$C95="Receipt",$I95=""),1,0)</f>
        <v>0</v>
      </c>
      <c r="AP95" s="52">
        <f>IF(AND(COUNTA($A95:$L95)&gt;0,$I95&lt;&gt;""),IF(IFERROR(INDEX(Config!$G$15:$G$34,MATCH($I95,Config!$E$15:$E$34,0)),"No")="Yes",0,1),0)</f>
        <v>0</v>
      </c>
      <c r="AQ95" s="52">
        <f>IF(AND(COUNTA($A95:$L95)&gt;0,$C95="Adjustment",$J95=""),1,0)</f>
        <v>0</v>
      </c>
      <c r="AR95" s="52">
        <f>IF(AND(COUNTA($A95:$L95)&gt;0,$L95=""),1,0)</f>
        <v>0</v>
      </c>
      <c r="AS95" s="52">
        <f>IF(AND(COUNTA($A95:$L95)&gt;0,ISNUMBER($S95)),IF($S95&lt;0,1,0),0)</f>
        <v>0</v>
      </c>
      <c r="AT95" s="52">
        <f>$W95</f>
        <v>0</v>
      </c>
      <c r="AU95" s="52">
        <f>$AT95+$X95</f>
        <v>0</v>
      </c>
      <c r="AV95" s="52">
        <f>$AU95+$Y95</f>
        <v>0</v>
      </c>
      <c r="AW95" s="52">
        <f>$AV95+$Z95</f>
        <v>0</v>
      </c>
      <c r="AX95" s="52">
        <f>$AW95+$AA95</f>
        <v>0</v>
      </c>
      <c r="AY95" s="52">
        <f>$AX95+$AB95</f>
        <v>0</v>
      </c>
      <c r="AZ95" s="52">
        <f>$AY95+$AC95</f>
        <v>0</v>
      </c>
      <c r="BA95" s="52">
        <f>$AZ95+$AD95</f>
        <v>0</v>
      </c>
      <c r="BB95" s="52">
        <f>$BA95+$AE95</f>
        <v>0</v>
      </c>
      <c r="BC95" s="52">
        <f>$BB95+$AF95</f>
        <v>0</v>
      </c>
      <c r="BD95" s="52">
        <f>$BC95+$AG95</f>
        <v>0</v>
      </c>
      <c r="BE95" s="52">
        <f>$BD95+$AH95</f>
        <v>0</v>
      </c>
      <c r="BF95" s="52">
        <f>$BE95+$AI95</f>
        <v>0</v>
      </c>
      <c r="BG95" s="52">
        <f>$BF95+$AJ95</f>
        <v>0</v>
      </c>
      <c r="BH95" s="52">
        <f>$BG95+$AK95</f>
        <v>0</v>
      </c>
      <c r="BI95" s="52">
        <f>$BH95+$AL95</f>
        <v>0</v>
      </c>
      <c r="BJ95" s="52">
        <f>$BI95+$AM95</f>
        <v>0</v>
      </c>
      <c r="BK95" s="52">
        <f>$BJ95+$AN95</f>
        <v>0</v>
      </c>
      <c r="BL95" s="52">
        <f>$BK95+$AO95</f>
        <v>0</v>
      </c>
      <c r="BM95" s="52">
        <f>$BL95+$AP95</f>
        <v>0</v>
      </c>
      <c r="BN95" s="52">
        <f>$BM95+$AQ95</f>
        <v>0</v>
      </c>
      <c r="BO95" s="52">
        <f>$BN95+$AR95</f>
        <v>0</v>
      </c>
      <c r="BP95" s="52">
        <f>$BO95+$AS95</f>
        <v>0</v>
      </c>
      <c r="BQ95" s="52">
        <f>SUM($T$1:$T94)</f>
        <v>11</v>
      </c>
      <c r="BR95" s="52" t="str">
        <f>IF(ISNUMBER($T95),IF($T95&gt;0,COUNTIF($T$2:$T95,"&gt;0"),""),"")</f>
        <v/>
      </c>
      <c r="BS95" s="52" t="str">
        <f>IF($BR95="","",$BQ95+$T95)</f>
        <v/>
      </c>
      <c r="BT95" s="52" t="str">
        <f>IF($U95="Ready",COUNTIF($U$2:$U95,"Ready"),"")</f>
        <v/>
      </c>
      <c r="BU95" s="52">
        <f>IF(AND($U95="Ready",$C95="Receipt"),IF(COUNTIF(Batches!$A$2:$A$301,$F95)+COUNTIFS($F$1:$F94,$F95,$C$1:$C94,"Receipt",$U$1:$U94,"Ready")=0,1,0),0)</f>
        <v>0</v>
      </c>
      <c r="BV95" s="52" t="str">
        <f>IF($BU95=1,SUM($BU$2:$BU95),"")</f>
        <v/>
      </c>
    </row>
    <row r="96">
      <c r="A96" s="46" t="n"/>
      <c r="B96" s="46" t="n"/>
      <c r="C96" s="46" t="n"/>
      <c r="D96" s="46" t="n"/>
      <c r="E96" s="46" t="n"/>
      <c r="F96" s="46" t="n"/>
      <c r="G96" s="46" t="n"/>
      <c r="H96" s="46" t="n"/>
      <c r="I96" s="46" t="n"/>
      <c r="J96" s="46" t="n"/>
      <c r="K96" s="46" t="n"/>
      <c r="L96" s="46" t="n"/>
      <c r="M96" s="62" t="str">
        <f>IF($B96="","",IF(ISNUMBER($B96),$B96,IF(AND(LEN($B96)=10,MID($B96,5,1)="-",MID($B96,8,1)="-"),IFERROR(IF(AND(MONTH(DATE(VALUE(LEFT($B96,4)),VALUE(MID($B96,6,2)),VALUE(RIGHT($B96,2))))=VALUE(MID($B96,6,2)),DAY(DATE(VALUE(LEFT($B96,4)),VALUE(MID($B96,6,2)),VALUE(RIGHT($B96,2))))=VALUE(RIGHT($B96,2))),DATE(VALUE(LEFT($B96,4)),VALUE(MID($B96,6,2)),VALUE(RIGHT($B96,2))),"ERR"),"ERR"),"ERR")))</f>
        <v/>
      </c>
      <c r="N96" s="62" t="str">
        <f>IF($G96="","",IF(ISNUMBER($G96),$G96,IF(AND(LEN($G96)=10,MID($G96,5,1)="-",MID($G96,8,1)="-"),IFERROR(IF(AND(MONTH(DATE(VALUE(LEFT($G96,4)),VALUE(MID($G96,6,2)),VALUE(RIGHT($G96,2))))=VALUE(MID($G96,6,2)),DAY(DATE(VALUE(LEFT($G96,4)),VALUE(MID($G96,6,2)),VALUE(RIGHT($G96,2))))=VALUE(RIGHT($G96,2))),DATE(VALUE(LEFT($G96,4)),VALUE(MID($G96,6,2)),VALUE(RIGHT($G96,2))),"ERR"),"ERR"),"ERR")))</f>
        <v/>
      </c>
      <c r="O96" s="51" t="str">
        <f>IF($H96="","",IF(ISNUMBER($H96),$H96,IFERROR(VALUE($H96),"ERR")))</f>
        <v/>
      </c>
      <c r="P96" s="51" t="str">
        <f>IF(AND(ISNUMBER($O96),OR($C96="Receipt",$C96="Shipment",$C96="Adjustment")),IF($C96="Shipment",-$O96,$O96),"")</f>
        <v/>
      </c>
      <c r="Q96" s="51" t="str">
        <f>IF($D96="","",IFERROR(INDEX(Products!$R$2:$R$101,MATCH($D96,Products!$A$2:$A$101,0)),""))</f>
        <v/>
      </c>
      <c r="R96" s="51" t="str">
        <f>IF(OR($Q96="",$P96=""),"",$Q96+SUMIFS($P$1:$P95,$D$1:$D95,$D96,$U$1:$U95,"Ready"))</f>
        <v/>
      </c>
      <c r="S96" s="51" t="str">
        <f>IF($R96="","",$R96+$P96)</f>
        <v/>
      </c>
      <c r="T96" s="52" t="str">
        <f>IF(COUNTA($A96:$L96)&gt;0,$BP96,"")</f>
        <v/>
      </c>
      <c r="U96" s="49" t="str">
        <f>IF($T96="","",IF($T96=0,"Ready","Rejected"))</f>
        <v/>
      </c>
      <c r="V96" s="49" t="str">
        <f>IF(OR($T96="",$T96=0),"",INDEX(Config!$D$39:$D$61,MATCH(1,$AT96:$BP96,0))&amp;IF($T96&gt;1," (+"&amp;($T96-1)&amp;" more)",""))</f>
        <v/>
      </c>
      <c r="W96" s="52">
        <f>IF(AND(COUNTA($A96:$L96)&gt;0,$A96=""),1,0)</f>
        <v>0</v>
      </c>
      <c r="X96" s="52">
        <f>IF(AND(COUNTA($A96:$L96)&gt;0,$A96&lt;&gt;""),IF(COUNTIF($A$1:$A95,$A96)&gt;0,1,0),0)</f>
        <v>0</v>
      </c>
      <c r="Y96" s="52">
        <f>IF(AND(COUNTA($A96:$L96)&gt;0,$A96&lt;&gt;""),IF(COUNTIF(Inventory_Ledger!$A$2:$A$2001,$A96)&gt;0,1,0),0)</f>
        <v>0</v>
      </c>
      <c r="Z96" s="52">
        <f>IF(AND(COUNTA($A96:$L96)&gt;0,$B96=""),1,0)</f>
        <v>0</v>
      </c>
      <c r="AA96" s="52">
        <f>IF(AND(COUNTA($A96:$L96)&gt;0,$B96&lt;&gt;""),IF($M96="ERR",1,0),0)</f>
        <v>0</v>
      </c>
      <c r="AB96" s="52">
        <f>IF(AND(COUNTA($A96:$L96)&gt;0,ISNUMBER($M96)),IF($M96&gt;Config!$B$4,1,0),0)</f>
        <v>0</v>
      </c>
      <c r="AC96" s="52">
        <f>IF(AND(COUNTA($A96:$L96)&gt;0,$C96=""),1,0)</f>
        <v>0</v>
      </c>
      <c r="AD96" s="52">
        <f>IF(AND(COUNTA($A96:$L96)&gt;0,$C96&lt;&gt;""),IF(COUNTIF(Config!$A$15:$A$34,$C96)=0,1,0),0)</f>
        <v>0</v>
      </c>
      <c r="AE96" s="52">
        <f>IF(AND(COUNTA($A96:$L96)&gt;0,$D96=""),1,0)</f>
        <v>0</v>
      </c>
      <c r="AF96" s="52">
        <f>IF(AND(COUNTA($A96:$L96)&gt;0,$D96&lt;&gt;""),IF(COUNTIF(Products!$A$2:$A$101,$D96)=0,1,0),0)</f>
        <v>0</v>
      </c>
      <c r="AG96" s="52">
        <f>IF(AND(COUNTA($A96:$L96)&gt;0,$C96="Receipt",$E96=""),1,0)</f>
        <v>0</v>
      </c>
      <c r="AH96" s="52">
        <f>IF(AND(COUNTA($A96:$L96)&gt;0,$E96&lt;&gt;""),IF(COUNTIF(Suppliers!$A$2:$A$51,$E96)=0,1,0),0)</f>
        <v>0</v>
      </c>
      <c r="AI96" s="52">
        <f>IF(AND(COUNTA($A96:$L96)&gt;0,$F96=""),1,0)</f>
        <v>0</v>
      </c>
      <c r="AJ96" s="52">
        <f>IF(AND(COUNTA($A96:$L96)&gt;0,$F96&lt;&gt;"",$D96&lt;&gt;"",OR($C96="Shipment",$C96="Adjustment")),IF($AF96=1,0,IF(COUNTIFS(Batches!$A$2:$A$301,$F96,Batches!$B$2:$B$301,$D96)+COUNTIFS($F$1:$F95,$F96,$D$1:$D95,$D96,$C$1:$C95,"Receipt")=0,1,0)),0)</f>
        <v>0</v>
      </c>
      <c r="AK96" s="52">
        <f>IF(AND(COUNTA($A96:$L96)&gt;0,$C96="Receipt",$G96=""),1,0)</f>
        <v>0</v>
      </c>
      <c r="AL96" s="52">
        <f>IF(AND(COUNTA($A96:$L96)&gt;0,$G96&lt;&gt;""),IF($N96="ERR",1,0),0)</f>
        <v>0</v>
      </c>
      <c r="AM96" s="52">
        <f>IF(AND(COUNTA($A96:$L96)&gt;0,$H96=""),1,0)</f>
        <v>0</v>
      </c>
      <c r="AN96" s="52">
        <f>IF(AND(COUNTA($A96:$L96)&gt;0,$H96&lt;&gt;""),IF($O96="ERR",1,IF(INT($O96)&lt;&gt;$O96,1,IF(AND(OR($C96="Receipt",$C96="Shipment"),$O96&lt;=0),1,IF(AND($C96="Adjustment",$O96=0),1,0)))),0)</f>
        <v>0</v>
      </c>
      <c r="AO96" s="52">
        <f>IF(AND(COUNTA($A96:$L96)&gt;0,$C96="Receipt",$I96=""),1,0)</f>
        <v>0</v>
      </c>
      <c r="AP96" s="52">
        <f>IF(AND(COUNTA($A96:$L96)&gt;0,$I96&lt;&gt;""),IF(IFERROR(INDEX(Config!$G$15:$G$34,MATCH($I96,Config!$E$15:$E$34,0)),"No")="Yes",0,1),0)</f>
        <v>0</v>
      </c>
      <c r="AQ96" s="52">
        <f>IF(AND(COUNTA($A96:$L96)&gt;0,$C96="Adjustment",$J96=""),1,0)</f>
        <v>0</v>
      </c>
      <c r="AR96" s="52">
        <f>IF(AND(COUNTA($A96:$L96)&gt;0,$L96=""),1,0)</f>
        <v>0</v>
      </c>
      <c r="AS96" s="52">
        <f>IF(AND(COUNTA($A96:$L96)&gt;0,ISNUMBER($S96)),IF($S96&lt;0,1,0),0)</f>
        <v>0</v>
      </c>
      <c r="AT96" s="52">
        <f>$W96</f>
        <v>0</v>
      </c>
      <c r="AU96" s="52">
        <f>$AT96+$X96</f>
        <v>0</v>
      </c>
      <c r="AV96" s="52">
        <f>$AU96+$Y96</f>
        <v>0</v>
      </c>
      <c r="AW96" s="52">
        <f>$AV96+$Z96</f>
        <v>0</v>
      </c>
      <c r="AX96" s="52">
        <f>$AW96+$AA96</f>
        <v>0</v>
      </c>
      <c r="AY96" s="52">
        <f>$AX96+$AB96</f>
        <v>0</v>
      </c>
      <c r="AZ96" s="52">
        <f>$AY96+$AC96</f>
        <v>0</v>
      </c>
      <c r="BA96" s="52">
        <f>$AZ96+$AD96</f>
        <v>0</v>
      </c>
      <c r="BB96" s="52">
        <f>$BA96+$AE96</f>
        <v>0</v>
      </c>
      <c r="BC96" s="52">
        <f>$BB96+$AF96</f>
        <v>0</v>
      </c>
      <c r="BD96" s="52">
        <f>$BC96+$AG96</f>
        <v>0</v>
      </c>
      <c r="BE96" s="52">
        <f>$BD96+$AH96</f>
        <v>0</v>
      </c>
      <c r="BF96" s="52">
        <f>$BE96+$AI96</f>
        <v>0</v>
      </c>
      <c r="BG96" s="52">
        <f>$BF96+$AJ96</f>
        <v>0</v>
      </c>
      <c r="BH96" s="52">
        <f>$BG96+$AK96</f>
        <v>0</v>
      </c>
      <c r="BI96" s="52">
        <f>$BH96+$AL96</f>
        <v>0</v>
      </c>
      <c r="BJ96" s="52">
        <f>$BI96+$AM96</f>
        <v>0</v>
      </c>
      <c r="BK96" s="52">
        <f>$BJ96+$AN96</f>
        <v>0</v>
      </c>
      <c r="BL96" s="52">
        <f>$BK96+$AO96</f>
        <v>0</v>
      </c>
      <c r="BM96" s="52">
        <f>$BL96+$AP96</f>
        <v>0</v>
      </c>
      <c r="BN96" s="52">
        <f>$BM96+$AQ96</f>
        <v>0</v>
      </c>
      <c r="BO96" s="52">
        <f>$BN96+$AR96</f>
        <v>0</v>
      </c>
      <c r="BP96" s="52">
        <f>$BO96+$AS96</f>
        <v>0</v>
      </c>
      <c r="BQ96" s="52">
        <f>SUM($T$1:$T95)</f>
        <v>11</v>
      </c>
      <c r="BR96" s="52" t="str">
        <f>IF(ISNUMBER($T96),IF($T96&gt;0,COUNTIF($T$2:$T96,"&gt;0"),""),"")</f>
        <v/>
      </c>
      <c r="BS96" s="52" t="str">
        <f>IF($BR96="","",$BQ96+$T96)</f>
        <v/>
      </c>
      <c r="BT96" s="52" t="str">
        <f>IF($U96="Ready",COUNTIF($U$2:$U96,"Ready"),"")</f>
        <v/>
      </c>
      <c r="BU96" s="52">
        <f>IF(AND($U96="Ready",$C96="Receipt"),IF(COUNTIF(Batches!$A$2:$A$301,$F96)+COUNTIFS($F$1:$F95,$F96,$C$1:$C95,"Receipt",$U$1:$U95,"Ready")=0,1,0),0)</f>
        <v>0</v>
      </c>
      <c r="BV96" s="52" t="str">
        <f>IF($BU96=1,SUM($BU$2:$BU96),"")</f>
        <v/>
      </c>
    </row>
    <row r="97">
      <c r="A97" s="46" t="n"/>
      <c r="B97" s="46" t="n"/>
      <c r="C97" s="46" t="n"/>
      <c r="D97" s="46" t="n"/>
      <c r="E97" s="46" t="n"/>
      <c r="F97" s="46" t="n"/>
      <c r="G97" s="46" t="n"/>
      <c r="H97" s="46" t="n"/>
      <c r="I97" s="46" t="n"/>
      <c r="J97" s="46" t="n"/>
      <c r="K97" s="46" t="n"/>
      <c r="L97" s="46" t="n"/>
      <c r="M97" s="62" t="str">
        <f>IF($B97="","",IF(ISNUMBER($B97),$B97,IF(AND(LEN($B97)=10,MID($B97,5,1)="-",MID($B97,8,1)="-"),IFERROR(IF(AND(MONTH(DATE(VALUE(LEFT($B97,4)),VALUE(MID($B97,6,2)),VALUE(RIGHT($B97,2))))=VALUE(MID($B97,6,2)),DAY(DATE(VALUE(LEFT($B97,4)),VALUE(MID($B97,6,2)),VALUE(RIGHT($B97,2))))=VALUE(RIGHT($B97,2))),DATE(VALUE(LEFT($B97,4)),VALUE(MID($B97,6,2)),VALUE(RIGHT($B97,2))),"ERR"),"ERR"),"ERR")))</f>
        <v/>
      </c>
      <c r="N97" s="62" t="str">
        <f>IF($G97="","",IF(ISNUMBER($G97),$G97,IF(AND(LEN($G97)=10,MID($G97,5,1)="-",MID($G97,8,1)="-"),IFERROR(IF(AND(MONTH(DATE(VALUE(LEFT($G97,4)),VALUE(MID($G97,6,2)),VALUE(RIGHT($G97,2))))=VALUE(MID($G97,6,2)),DAY(DATE(VALUE(LEFT($G97,4)),VALUE(MID($G97,6,2)),VALUE(RIGHT($G97,2))))=VALUE(RIGHT($G97,2))),DATE(VALUE(LEFT($G97,4)),VALUE(MID($G97,6,2)),VALUE(RIGHT($G97,2))),"ERR"),"ERR"),"ERR")))</f>
        <v/>
      </c>
      <c r="O97" s="51" t="str">
        <f>IF($H97="","",IF(ISNUMBER($H97),$H97,IFERROR(VALUE($H97),"ERR")))</f>
        <v/>
      </c>
      <c r="P97" s="51" t="str">
        <f>IF(AND(ISNUMBER($O97),OR($C97="Receipt",$C97="Shipment",$C97="Adjustment")),IF($C97="Shipment",-$O97,$O97),"")</f>
        <v/>
      </c>
      <c r="Q97" s="51" t="str">
        <f>IF($D97="","",IFERROR(INDEX(Products!$R$2:$R$101,MATCH($D97,Products!$A$2:$A$101,0)),""))</f>
        <v/>
      </c>
      <c r="R97" s="51" t="str">
        <f>IF(OR($Q97="",$P97=""),"",$Q97+SUMIFS($P$1:$P96,$D$1:$D96,$D97,$U$1:$U96,"Ready"))</f>
        <v/>
      </c>
      <c r="S97" s="51" t="str">
        <f>IF($R97="","",$R97+$P97)</f>
        <v/>
      </c>
      <c r="T97" s="52" t="str">
        <f>IF(COUNTA($A97:$L97)&gt;0,$BP97,"")</f>
        <v/>
      </c>
      <c r="U97" s="49" t="str">
        <f>IF($T97="","",IF($T97=0,"Ready","Rejected"))</f>
        <v/>
      </c>
      <c r="V97" s="49" t="str">
        <f>IF(OR($T97="",$T97=0),"",INDEX(Config!$D$39:$D$61,MATCH(1,$AT97:$BP97,0))&amp;IF($T97&gt;1," (+"&amp;($T97-1)&amp;" more)",""))</f>
        <v/>
      </c>
      <c r="W97" s="52">
        <f>IF(AND(COUNTA($A97:$L97)&gt;0,$A97=""),1,0)</f>
        <v>0</v>
      </c>
      <c r="X97" s="52">
        <f>IF(AND(COUNTA($A97:$L97)&gt;0,$A97&lt;&gt;""),IF(COUNTIF($A$1:$A96,$A97)&gt;0,1,0),0)</f>
        <v>0</v>
      </c>
      <c r="Y97" s="52">
        <f>IF(AND(COUNTA($A97:$L97)&gt;0,$A97&lt;&gt;""),IF(COUNTIF(Inventory_Ledger!$A$2:$A$2001,$A97)&gt;0,1,0),0)</f>
        <v>0</v>
      </c>
      <c r="Z97" s="52">
        <f>IF(AND(COUNTA($A97:$L97)&gt;0,$B97=""),1,0)</f>
        <v>0</v>
      </c>
      <c r="AA97" s="52">
        <f>IF(AND(COUNTA($A97:$L97)&gt;0,$B97&lt;&gt;""),IF($M97="ERR",1,0),0)</f>
        <v>0</v>
      </c>
      <c r="AB97" s="52">
        <f>IF(AND(COUNTA($A97:$L97)&gt;0,ISNUMBER($M97)),IF($M97&gt;Config!$B$4,1,0),0)</f>
        <v>0</v>
      </c>
      <c r="AC97" s="52">
        <f>IF(AND(COUNTA($A97:$L97)&gt;0,$C97=""),1,0)</f>
        <v>0</v>
      </c>
      <c r="AD97" s="52">
        <f>IF(AND(COUNTA($A97:$L97)&gt;0,$C97&lt;&gt;""),IF(COUNTIF(Config!$A$15:$A$34,$C97)=0,1,0),0)</f>
        <v>0</v>
      </c>
      <c r="AE97" s="52">
        <f>IF(AND(COUNTA($A97:$L97)&gt;0,$D97=""),1,0)</f>
        <v>0</v>
      </c>
      <c r="AF97" s="52">
        <f>IF(AND(COUNTA($A97:$L97)&gt;0,$D97&lt;&gt;""),IF(COUNTIF(Products!$A$2:$A$101,$D97)=0,1,0),0)</f>
        <v>0</v>
      </c>
      <c r="AG97" s="52">
        <f>IF(AND(COUNTA($A97:$L97)&gt;0,$C97="Receipt",$E97=""),1,0)</f>
        <v>0</v>
      </c>
      <c r="AH97" s="52">
        <f>IF(AND(COUNTA($A97:$L97)&gt;0,$E97&lt;&gt;""),IF(COUNTIF(Suppliers!$A$2:$A$51,$E97)=0,1,0),0)</f>
        <v>0</v>
      </c>
      <c r="AI97" s="52">
        <f>IF(AND(COUNTA($A97:$L97)&gt;0,$F97=""),1,0)</f>
        <v>0</v>
      </c>
      <c r="AJ97" s="52">
        <f>IF(AND(COUNTA($A97:$L97)&gt;0,$F97&lt;&gt;"",$D97&lt;&gt;"",OR($C97="Shipment",$C97="Adjustment")),IF($AF97=1,0,IF(COUNTIFS(Batches!$A$2:$A$301,$F97,Batches!$B$2:$B$301,$D97)+COUNTIFS($F$1:$F96,$F97,$D$1:$D96,$D97,$C$1:$C96,"Receipt")=0,1,0)),0)</f>
        <v>0</v>
      </c>
      <c r="AK97" s="52">
        <f>IF(AND(COUNTA($A97:$L97)&gt;0,$C97="Receipt",$G97=""),1,0)</f>
        <v>0</v>
      </c>
      <c r="AL97" s="52">
        <f>IF(AND(COUNTA($A97:$L97)&gt;0,$G97&lt;&gt;""),IF($N97="ERR",1,0),0)</f>
        <v>0</v>
      </c>
      <c r="AM97" s="52">
        <f>IF(AND(COUNTA($A97:$L97)&gt;0,$H97=""),1,0)</f>
        <v>0</v>
      </c>
      <c r="AN97" s="52">
        <f>IF(AND(COUNTA($A97:$L97)&gt;0,$H97&lt;&gt;""),IF($O97="ERR",1,IF(INT($O97)&lt;&gt;$O97,1,IF(AND(OR($C97="Receipt",$C97="Shipment"),$O97&lt;=0),1,IF(AND($C97="Adjustment",$O97=0),1,0)))),0)</f>
        <v>0</v>
      </c>
      <c r="AO97" s="52">
        <f>IF(AND(COUNTA($A97:$L97)&gt;0,$C97="Receipt",$I97=""),1,0)</f>
        <v>0</v>
      </c>
      <c r="AP97" s="52">
        <f>IF(AND(COUNTA($A97:$L97)&gt;0,$I97&lt;&gt;""),IF(IFERROR(INDEX(Config!$G$15:$G$34,MATCH($I97,Config!$E$15:$E$34,0)),"No")="Yes",0,1),0)</f>
        <v>0</v>
      </c>
      <c r="AQ97" s="52">
        <f>IF(AND(COUNTA($A97:$L97)&gt;0,$C97="Adjustment",$J97=""),1,0)</f>
        <v>0</v>
      </c>
      <c r="AR97" s="52">
        <f>IF(AND(COUNTA($A97:$L97)&gt;0,$L97=""),1,0)</f>
        <v>0</v>
      </c>
      <c r="AS97" s="52">
        <f>IF(AND(COUNTA($A97:$L97)&gt;0,ISNUMBER($S97)),IF($S97&lt;0,1,0),0)</f>
        <v>0</v>
      </c>
      <c r="AT97" s="52">
        <f>$W97</f>
        <v>0</v>
      </c>
      <c r="AU97" s="52">
        <f>$AT97+$X97</f>
        <v>0</v>
      </c>
      <c r="AV97" s="52">
        <f>$AU97+$Y97</f>
        <v>0</v>
      </c>
      <c r="AW97" s="52">
        <f>$AV97+$Z97</f>
        <v>0</v>
      </c>
      <c r="AX97" s="52">
        <f>$AW97+$AA97</f>
        <v>0</v>
      </c>
      <c r="AY97" s="52">
        <f>$AX97+$AB97</f>
        <v>0</v>
      </c>
      <c r="AZ97" s="52">
        <f>$AY97+$AC97</f>
        <v>0</v>
      </c>
      <c r="BA97" s="52">
        <f>$AZ97+$AD97</f>
        <v>0</v>
      </c>
      <c r="BB97" s="52">
        <f>$BA97+$AE97</f>
        <v>0</v>
      </c>
      <c r="BC97" s="52">
        <f>$BB97+$AF97</f>
        <v>0</v>
      </c>
      <c r="BD97" s="52">
        <f>$BC97+$AG97</f>
        <v>0</v>
      </c>
      <c r="BE97" s="52">
        <f>$BD97+$AH97</f>
        <v>0</v>
      </c>
      <c r="BF97" s="52">
        <f>$BE97+$AI97</f>
        <v>0</v>
      </c>
      <c r="BG97" s="52">
        <f>$BF97+$AJ97</f>
        <v>0</v>
      </c>
      <c r="BH97" s="52">
        <f>$BG97+$AK97</f>
        <v>0</v>
      </c>
      <c r="BI97" s="52">
        <f>$BH97+$AL97</f>
        <v>0</v>
      </c>
      <c r="BJ97" s="52">
        <f>$BI97+$AM97</f>
        <v>0</v>
      </c>
      <c r="BK97" s="52">
        <f>$BJ97+$AN97</f>
        <v>0</v>
      </c>
      <c r="BL97" s="52">
        <f>$BK97+$AO97</f>
        <v>0</v>
      </c>
      <c r="BM97" s="52">
        <f>$BL97+$AP97</f>
        <v>0</v>
      </c>
      <c r="BN97" s="52">
        <f>$BM97+$AQ97</f>
        <v>0</v>
      </c>
      <c r="BO97" s="52">
        <f>$BN97+$AR97</f>
        <v>0</v>
      </c>
      <c r="BP97" s="52">
        <f>$BO97+$AS97</f>
        <v>0</v>
      </c>
      <c r="BQ97" s="52">
        <f>SUM($T$1:$T96)</f>
        <v>11</v>
      </c>
      <c r="BR97" s="52" t="str">
        <f>IF(ISNUMBER($T97),IF($T97&gt;0,COUNTIF($T$2:$T97,"&gt;0"),""),"")</f>
        <v/>
      </c>
      <c r="BS97" s="52" t="str">
        <f>IF($BR97="","",$BQ97+$T97)</f>
        <v/>
      </c>
      <c r="BT97" s="52" t="str">
        <f>IF($U97="Ready",COUNTIF($U$2:$U97,"Ready"),"")</f>
        <v/>
      </c>
      <c r="BU97" s="52">
        <f>IF(AND($U97="Ready",$C97="Receipt"),IF(COUNTIF(Batches!$A$2:$A$301,$F97)+COUNTIFS($F$1:$F96,$F97,$C$1:$C96,"Receipt",$U$1:$U96,"Ready")=0,1,0),0)</f>
        <v>0</v>
      </c>
      <c r="BV97" s="52" t="str">
        <f>IF($BU97=1,SUM($BU$2:$BU97),"")</f>
        <v/>
      </c>
    </row>
    <row r="98">
      <c r="A98" s="46" t="n"/>
      <c r="B98" s="46" t="n"/>
      <c r="C98" s="46" t="n"/>
      <c r="D98" s="46" t="n"/>
      <c r="E98" s="46" t="n"/>
      <c r="F98" s="46" t="n"/>
      <c r="G98" s="46" t="n"/>
      <c r="H98" s="46" t="n"/>
      <c r="I98" s="46" t="n"/>
      <c r="J98" s="46" t="n"/>
      <c r="K98" s="46" t="n"/>
      <c r="L98" s="46" t="n"/>
      <c r="M98" s="62" t="str">
        <f>IF($B98="","",IF(ISNUMBER($B98),$B98,IF(AND(LEN($B98)=10,MID($B98,5,1)="-",MID($B98,8,1)="-"),IFERROR(IF(AND(MONTH(DATE(VALUE(LEFT($B98,4)),VALUE(MID($B98,6,2)),VALUE(RIGHT($B98,2))))=VALUE(MID($B98,6,2)),DAY(DATE(VALUE(LEFT($B98,4)),VALUE(MID($B98,6,2)),VALUE(RIGHT($B98,2))))=VALUE(RIGHT($B98,2))),DATE(VALUE(LEFT($B98,4)),VALUE(MID($B98,6,2)),VALUE(RIGHT($B98,2))),"ERR"),"ERR"),"ERR")))</f>
        <v/>
      </c>
      <c r="N98" s="62" t="str">
        <f>IF($G98="","",IF(ISNUMBER($G98),$G98,IF(AND(LEN($G98)=10,MID($G98,5,1)="-",MID($G98,8,1)="-"),IFERROR(IF(AND(MONTH(DATE(VALUE(LEFT($G98,4)),VALUE(MID($G98,6,2)),VALUE(RIGHT($G98,2))))=VALUE(MID($G98,6,2)),DAY(DATE(VALUE(LEFT($G98,4)),VALUE(MID($G98,6,2)),VALUE(RIGHT($G98,2))))=VALUE(RIGHT($G98,2))),DATE(VALUE(LEFT($G98,4)),VALUE(MID($G98,6,2)),VALUE(RIGHT($G98,2))),"ERR"),"ERR"),"ERR")))</f>
        <v/>
      </c>
      <c r="O98" s="51" t="str">
        <f>IF($H98="","",IF(ISNUMBER($H98),$H98,IFERROR(VALUE($H98),"ERR")))</f>
        <v/>
      </c>
      <c r="P98" s="51" t="str">
        <f>IF(AND(ISNUMBER($O98),OR($C98="Receipt",$C98="Shipment",$C98="Adjustment")),IF($C98="Shipment",-$O98,$O98),"")</f>
        <v/>
      </c>
      <c r="Q98" s="51" t="str">
        <f>IF($D98="","",IFERROR(INDEX(Products!$R$2:$R$101,MATCH($D98,Products!$A$2:$A$101,0)),""))</f>
        <v/>
      </c>
      <c r="R98" s="51" t="str">
        <f>IF(OR($Q98="",$P98=""),"",$Q98+SUMIFS($P$1:$P97,$D$1:$D97,$D98,$U$1:$U97,"Ready"))</f>
        <v/>
      </c>
      <c r="S98" s="51" t="str">
        <f>IF($R98="","",$R98+$P98)</f>
        <v/>
      </c>
      <c r="T98" s="52" t="str">
        <f>IF(COUNTA($A98:$L98)&gt;0,$BP98,"")</f>
        <v/>
      </c>
      <c r="U98" s="49" t="str">
        <f>IF($T98="","",IF($T98=0,"Ready","Rejected"))</f>
        <v/>
      </c>
      <c r="V98" s="49" t="str">
        <f>IF(OR($T98="",$T98=0),"",INDEX(Config!$D$39:$D$61,MATCH(1,$AT98:$BP98,0))&amp;IF($T98&gt;1," (+"&amp;($T98-1)&amp;" more)",""))</f>
        <v/>
      </c>
      <c r="W98" s="52">
        <f>IF(AND(COUNTA($A98:$L98)&gt;0,$A98=""),1,0)</f>
        <v>0</v>
      </c>
      <c r="X98" s="52">
        <f>IF(AND(COUNTA($A98:$L98)&gt;0,$A98&lt;&gt;""),IF(COUNTIF($A$1:$A97,$A98)&gt;0,1,0),0)</f>
        <v>0</v>
      </c>
      <c r="Y98" s="52">
        <f>IF(AND(COUNTA($A98:$L98)&gt;0,$A98&lt;&gt;""),IF(COUNTIF(Inventory_Ledger!$A$2:$A$2001,$A98)&gt;0,1,0),0)</f>
        <v>0</v>
      </c>
      <c r="Z98" s="52">
        <f>IF(AND(COUNTA($A98:$L98)&gt;0,$B98=""),1,0)</f>
        <v>0</v>
      </c>
      <c r="AA98" s="52">
        <f>IF(AND(COUNTA($A98:$L98)&gt;0,$B98&lt;&gt;""),IF($M98="ERR",1,0),0)</f>
        <v>0</v>
      </c>
      <c r="AB98" s="52">
        <f>IF(AND(COUNTA($A98:$L98)&gt;0,ISNUMBER($M98)),IF($M98&gt;Config!$B$4,1,0),0)</f>
        <v>0</v>
      </c>
      <c r="AC98" s="52">
        <f>IF(AND(COUNTA($A98:$L98)&gt;0,$C98=""),1,0)</f>
        <v>0</v>
      </c>
      <c r="AD98" s="52">
        <f>IF(AND(COUNTA($A98:$L98)&gt;0,$C98&lt;&gt;""),IF(COUNTIF(Config!$A$15:$A$34,$C98)=0,1,0),0)</f>
        <v>0</v>
      </c>
      <c r="AE98" s="52">
        <f>IF(AND(COUNTA($A98:$L98)&gt;0,$D98=""),1,0)</f>
        <v>0</v>
      </c>
      <c r="AF98" s="52">
        <f>IF(AND(COUNTA($A98:$L98)&gt;0,$D98&lt;&gt;""),IF(COUNTIF(Products!$A$2:$A$101,$D98)=0,1,0),0)</f>
        <v>0</v>
      </c>
      <c r="AG98" s="52">
        <f>IF(AND(COUNTA($A98:$L98)&gt;0,$C98="Receipt",$E98=""),1,0)</f>
        <v>0</v>
      </c>
      <c r="AH98" s="52">
        <f>IF(AND(COUNTA($A98:$L98)&gt;0,$E98&lt;&gt;""),IF(COUNTIF(Suppliers!$A$2:$A$51,$E98)=0,1,0),0)</f>
        <v>0</v>
      </c>
      <c r="AI98" s="52">
        <f>IF(AND(COUNTA($A98:$L98)&gt;0,$F98=""),1,0)</f>
        <v>0</v>
      </c>
      <c r="AJ98" s="52">
        <f>IF(AND(COUNTA($A98:$L98)&gt;0,$F98&lt;&gt;"",$D98&lt;&gt;"",OR($C98="Shipment",$C98="Adjustment")),IF($AF98=1,0,IF(COUNTIFS(Batches!$A$2:$A$301,$F98,Batches!$B$2:$B$301,$D98)+COUNTIFS($F$1:$F97,$F98,$D$1:$D97,$D98,$C$1:$C97,"Receipt")=0,1,0)),0)</f>
        <v>0</v>
      </c>
      <c r="AK98" s="52">
        <f>IF(AND(COUNTA($A98:$L98)&gt;0,$C98="Receipt",$G98=""),1,0)</f>
        <v>0</v>
      </c>
      <c r="AL98" s="52">
        <f>IF(AND(COUNTA($A98:$L98)&gt;0,$G98&lt;&gt;""),IF($N98="ERR",1,0),0)</f>
        <v>0</v>
      </c>
      <c r="AM98" s="52">
        <f>IF(AND(COUNTA($A98:$L98)&gt;0,$H98=""),1,0)</f>
        <v>0</v>
      </c>
      <c r="AN98" s="52">
        <f>IF(AND(COUNTA($A98:$L98)&gt;0,$H98&lt;&gt;""),IF($O98="ERR",1,IF(INT($O98)&lt;&gt;$O98,1,IF(AND(OR($C98="Receipt",$C98="Shipment"),$O98&lt;=0),1,IF(AND($C98="Adjustment",$O98=0),1,0)))),0)</f>
        <v>0</v>
      </c>
      <c r="AO98" s="52">
        <f>IF(AND(COUNTA($A98:$L98)&gt;0,$C98="Receipt",$I98=""),1,0)</f>
        <v>0</v>
      </c>
      <c r="AP98" s="52">
        <f>IF(AND(COUNTA($A98:$L98)&gt;0,$I98&lt;&gt;""),IF(IFERROR(INDEX(Config!$G$15:$G$34,MATCH($I98,Config!$E$15:$E$34,0)),"No")="Yes",0,1),0)</f>
        <v>0</v>
      </c>
      <c r="AQ98" s="52">
        <f>IF(AND(COUNTA($A98:$L98)&gt;0,$C98="Adjustment",$J98=""),1,0)</f>
        <v>0</v>
      </c>
      <c r="AR98" s="52">
        <f>IF(AND(COUNTA($A98:$L98)&gt;0,$L98=""),1,0)</f>
        <v>0</v>
      </c>
      <c r="AS98" s="52">
        <f>IF(AND(COUNTA($A98:$L98)&gt;0,ISNUMBER($S98)),IF($S98&lt;0,1,0),0)</f>
        <v>0</v>
      </c>
      <c r="AT98" s="52">
        <f>$W98</f>
        <v>0</v>
      </c>
      <c r="AU98" s="52">
        <f>$AT98+$X98</f>
        <v>0</v>
      </c>
      <c r="AV98" s="52">
        <f>$AU98+$Y98</f>
        <v>0</v>
      </c>
      <c r="AW98" s="52">
        <f>$AV98+$Z98</f>
        <v>0</v>
      </c>
      <c r="AX98" s="52">
        <f>$AW98+$AA98</f>
        <v>0</v>
      </c>
      <c r="AY98" s="52">
        <f>$AX98+$AB98</f>
        <v>0</v>
      </c>
      <c r="AZ98" s="52">
        <f>$AY98+$AC98</f>
        <v>0</v>
      </c>
      <c r="BA98" s="52">
        <f>$AZ98+$AD98</f>
        <v>0</v>
      </c>
      <c r="BB98" s="52">
        <f>$BA98+$AE98</f>
        <v>0</v>
      </c>
      <c r="BC98" s="52">
        <f>$BB98+$AF98</f>
        <v>0</v>
      </c>
      <c r="BD98" s="52">
        <f>$BC98+$AG98</f>
        <v>0</v>
      </c>
      <c r="BE98" s="52">
        <f>$BD98+$AH98</f>
        <v>0</v>
      </c>
      <c r="BF98" s="52">
        <f>$BE98+$AI98</f>
        <v>0</v>
      </c>
      <c r="BG98" s="52">
        <f>$BF98+$AJ98</f>
        <v>0</v>
      </c>
      <c r="BH98" s="52">
        <f>$BG98+$AK98</f>
        <v>0</v>
      </c>
      <c r="BI98" s="52">
        <f>$BH98+$AL98</f>
        <v>0</v>
      </c>
      <c r="BJ98" s="52">
        <f>$BI98+$AM98</f>
        <v>0</v>
      </c>
      <c r="BK98" s="52">
        <f>$BJ98+$AN98</f>
        <v>0</v>
      </c>
      <c r="BL98" s="52">
        <f>$BK98+$AO98</f>
        <v>0</v>
      </c>
      <c r="BM98" s="52">
        <f>$BL98+$AP98</f>
        <v>0</v>
      </c>
      <c r="BN98" s="52">
        <f>$BM98+$AQ98</f>
        <v>0</v>
      </c>
      <c r="BO98" s="52">
        <f>$BN98+$AR98</f>
        <v>0</v>
      </c>
      <c r="BP98" s="52">
        <f>$BO98+$AS98</f>
        <v>0</v>
      </c>
      <c r="BQ98" s="52">
        <f>SUM($T$1:$T97)</f>
        <v>11</v>
      </c>
      <c r="BR98" s="52" t="str">
        <f>IF(ISNUMBER($T98),IF($T98&gt;0,COUNTIF($T$2:$T98,"&gt;0"),""),"")</f>
        <v/>
      </c>
      <c r="BS98" s="52" t="str">
        <f>IF($BR98="","",$BQ98+$T98)</f>
        <v/>
      </c>
      <c r="BT98" s="52" t="str">
        <f>IF($U98="Ready",COUNTIF($U$2:$U98,"Ready"),"")</f>
        <v/>
      </c>
      <c r="BU98" s="52">
        <f>IF(AND($U98="Ready",$C98="Receipt"),IF(COUNTIF(Batches!$A$2:$A$301,$F98)+COUNTIFS($F$1:$F97,$F98,$C$1:$C97,"Receipt",$U$1:$U97,"Ready")=0,1,0),0)</f>
        <v>0</v>
      </c>
      <c r="BV98" s="52" t="str">
        <f>IF($BU98=1,SUM($BU$2:$BU98),"")</f>
        <v/>
      </c>
    </row>
    <row r="99">
      <c r="A99" s="46" t="n"/>
      <c r="B99" s="46" t="n"/>
      <c r="C99" s="46" t="n"/>
      <c r="D99" s="46" t="n"/>
      <c r="E99" s="46" t="n"/>
      <c r="F99" s="46" t="n"/>
      <c r="G99" s="46" t="n"/>
      <c r="H99" s="46" t="n"/>
      <c r="I99" s="46" t="n"/>
      <c r="J99" s="46" t="n"/>
      <c r="K99" s="46" t="n"/>
      <c r="L99" s="46" t="n"/>
      <c r="M99" s="62" t="str">
        <f>IF($B99="","",IF(ISNUMBER($B99),$B99,IF(AND(LEN($B99)=10,MID($B99,5,1)="-",MID($B99,8,1)="-"),IFERROR(IF(AND(MONTH(DATE(VALUE(LEFT($B99,4)),VALUE(MID($B99,6,2)),VALUE(RIGHT($B99,2))))=VALUE(MID($B99,6,2)),DAY(DATE(VALUE(LEFT($B99,4)),VALUE(MID($B99,6,2)),VALUE(RIGHT($B99,2))))=VALUE(RIGHT($B99,2))),DATE(VALUE(LEFT($B99,4)),VALUE(MID($B99,6,2)),VALUE(RIGHT($B99,2))),"ERR"),"ERR"),"ERR")))</f>
        <v/>
      </c>
      <c r="N99" s="62" t="str">
        <f>IF($G99="","",IF(ISNUMBER($G99),$G99,IF(AND(LEN($G99)=10,MID($G99,5,1)="-",MID($G99,8,1)="-"),IFERROR(IF(AND(MONTH(DATE(VALUE(LEFT($G99,4)),VALUE(MID($G99,6,2)),VALUE(RIGHT($G99,2))))=VALUE(MID($G99,6,2)),DAY(DATE(VALUE(LEFT($G99,4)),VALUE(MID($G99,6,2)),VALUE(RIGHT($G99,2))))=VALUE(RIGHT($G99,2))),DATE(VALUE(LEFT($G99,4)),VALUE(MID($G99,6,2)),VALUE(RIGHT($G99,2))),"ERR"),"ERR"),"ERR")))</f>
        <v/>
      </c>
      <c r="O99" s="51" t="str">
        <f>IF($H99="","",IF(ISNUMBER($H99),$H99,IFERROR(VALUE($H99),"ERR")))</f>
        <v/>
      </c>
      <c r="P99" s="51" t="str">
        <f>IF(AND(ISNUMBER($O99),OR($C99="Receipt",$C99="Shipment",$C99="Adjustment")),IF($C99="Shipment",-$O99,$O99),"")</f>
        <v/>
      </c>
      <c r="Q99" s="51" t="str">
        <f>IF($D99="","",IFERROR(INDEX(Products!$R$2:$R$101,MATCH($D99,Products!$A$2:$A$101,0)),""))</f>
        <v/>
      </c>
      <c r="R99" s="51" t="str">
        <f>IF(OR($Q99="",$P99=""),"",$Q99+SUMIFS($P$1:$P98,$D$1:$D98,$D99,$U$1:$U98,"Ready"))</f>
        <v/>
      </c>
      <c r="S99" s="51" t="str">
        <f>IF($R99="","",$R99+$P99)</f>
        <v/>
      </c>
      <c r="T99" s="52" t="str">
        <f>IF(COUNTA($A99:$L99)&gt;0,$BP99,"")</f>
        <v/>
      </c>
      <c r="U99" s="49" t="str">
        <f>IF($T99="","",IF($T99=0,"Ready","Rejected"))</f>
        <v/>
      </c>
      <c r="V99" s="49" t="str">
        <f>IF(OR($T99="",$T99=0),"",INDEX(Config!$D$39:$D$61,MATCH(1,$AT99:$BP99,0))&amp;IF($T99&gt;1," (+"&amp;($T99-1)&amp;" more)",""))</f>
        <v/>
      </c>
      <c r="W99" s="52">
        <f>IF(AND(COUNTA($A99:$L99)&gt;0,$A99=""),1,0)</f>
        <v>0</v>
      </c>
      <c r="X99" s="52">
        <f>IF(AND(COUNTA($A99:$L99)&gt;0,$A99&lt;&gt;""),IF(COUNTIF($A$1:$A98,$A99)&gt;0,1,0),0)</f>
        <v>0</v>
      </c>
      <c r="Y99" s="52">
        <f>IF(AND(COUNTA($A99:$L99)&gt;0,$A99&lt;&gt;""),IF(COUNTIF(Inventory_Ledger!$A$2:$A$2001,$A99)&gt;0,1,0),0)</f>
        <v>0</v>
      </c>
      <c r="Z99" s="52">
        <f>IF(AND(COUNTA($A99:$L99)&gt;0,$B99=""),1,0)</f>
        <v>0</v>
      </c>
      <c r="AA99" s="52">
        <f>IF(AND(COUNTA($A99:$L99)&gt;0,$B99&lt;&gt;""),IF($M99="ERR",1,0),0)</f>
        <v>0</v>
      </c>
      <c r="AB99" s="52">
        <f>IF(AND(COUNTA($A99:$L99)&gt;0,ISNUMBER($M99)),IF($M99&gt;Config!$B$4,1,0),0)</f>
        <v>0</v>
      </c>
      <c r="AC99" s="52">
        <f>IF(AND(COUNTA($A99:$L99)&gt;0,$C99=""),1,0)</f>
        <v>0</v>
      </c>
      <c r="AD99" s="52">
        <f>IF(AND(COUNTA($A99:$L99)&gt;0,$C99&lt;&gt;""),IF(COUNTIF(Config!$A$15:$A$34,$C99)=0,1,0),0)</f>
        <v>0</v>
      </c>
      <c r="AE99" s="52">
        <f>IF(AND(COUNTA($A99:$L99)&gt;0,$D99=""),1,0)</f>
        <v>0</v>
      </c>
      <c r="AF99" s="52">
        <f>IF(AND(COUNTA($A99:$L99)&gt;0,$D99&lt;&gt;""),IF(COUNTIF(Products!$A$2:$A$101,$D99)=0,1,0),0)</f>
        <v>0</v>
      </c>
      <c r="AG99" s="52">
        <f>IF(AND(COUNTA($A99:$L99)&gt;0,$C99="Receipt",$E99=""),1,0)</f>
        <v>0</v>
      </c>
      <c r="AH99" s="52">
        <f>IF(AND(COUNTA($A99:$L99)&gt;0,$E99&lt;&gt;""),IF(COUNTIF(Suppliers!$A$2:$A$51,$E99)=0,1,0),0)</f>
        <v>0</v>
      </c>
      <c r="AI99" s="52">
        <f>IF(AND(COUNTA($A99:$L99)&gt;0,$F99=""),1,0)</f>
        <v>0</v>
      </c>
      <c r="AJ99" s="52">
        <f>IF(AND(COUNTA($A99:$L99)&gt;0,$F99&lt;&gt;"",$D99&lt;&gt;"",OR($C99="Shipment",$C99="Adjustment")),IF($AF99=1,0,IF(COUNTIFS(Batches!$A$2:$A$301,$F99,Batches!$B$2:$B$301,$D99)+COUNTIFS($F$1:$F98,$F99,$D$1:$D98,$D99,$C$1:$C98,"Receipt")=0,1,0)),0)</f>
        <v>0</v>
      </c>
      <c r="AK99" s="52">
        <f>IF(AND(COUNTA($A99:$L99)&gt;0,$C99="Receipt",$G99=""),1,0)</f>
        <v>0</v>
      </c>
      <c r="AL99" s="52">
        <f>IF(AND(COUNTA($A99:$L99)&gt;0,$G99&lt;&gt;""),IF($N99="ERR",1,0),0)</f>
        <v>0</v>
      </c>
      <c r="AM99" s="52">
        <f>IF(AND(COUNTA($A99:$L99)&gt;0,$H99=""),1,0)</f>
        <v>0</v>
      </c>
      <c r="AN99" s="52">
        <f>IF(AND(COUNTA($A99:$L99)&gt;0,$H99&lt;&gt;""),IF($O99="ERR",1,IF(INT($O99)&lt;&gt;$O99,1,IF(AND(OR($C99="Receipt",$C99="Shipment"),$O99&lt;=0),1,IF(AND($C99="Adjustment",$O99=0),1,0)))),0)</f>
        <v>0</v>
      </c>
      <c r="AO99" s="52">
        <f>IF(AND(COUNTA($A99:$L99)&gt;0,$C99="Receipt",$I99=""),1,0)</f>
        <v>0</v>
      </c>
      <c r="AP99" s="52">
        <f>IF(AND(COUNTA($A99:$L99)&gt;0,$I99&lt;&gt;""),IF(IFERROR(INDEX(Config!$G$15:$G$34,MATCH($I99,Config!$E$15:$E$34,0)),"No")="Yes",0,1),0)</f>
        <v>0</v>
      </c>
      <c r="AQ99" s="52">
        <f>IF(AND(COUNTA($A99:$L99)&gt;0,$C99="Adjustment",$J99=""),1,0)</f>
        <v>0</v>
      </c>
      <c r="AR99" s="52">
        <f>IF(AND(COUNTA($A99:$L99)&gt;0,$L99=""),1,0)</f>
        <v>0</v>
      </c>
      <c r="AS99" s="52">
        <f>IF(AND(COUNTA($A99:$L99)&gt;0,ISNUMBER($S99)),IF($S99&lt;0,1,0),0)</f>
        <v>0</v>
      </c>
      <c r="AT99" s="52">
        <f>$W99</f>
        <v>0</v>
      </c>
      <c r="AU99" s="52">
        <f>$AT99+$X99</f>
        <v>0</v>
      </c>
      <c r="AV99" s="52">
        <f>$AU99+$Y99</f>
        <v>0</v>
      </c>
      <c r="AW99" s="52">
        <f>$AV99+$Z99</f>
        <v>0</v>
      </c>
      <c r="AX99" s="52">
        <f>$AW99+$AA99</f>
        <v>0</v>
      </c>
      <c r="AY99" s="52">
        <f>$AX99+$AB99</f>
        <v>0</v>
      </c>
      <c r="AZ99" s="52">
        <f>$AY99+$AC99</f>
        <v>0</v>
      </c>
      <c r="BA99" s="52">
        <f>$AZ99+$AD99</f>
        <v>0</v>
      </c>
      <c r="BB99" s="52">
        <f>$BA99+$AE99</f>
        <v>0</v>
      </c>
      <c r="BC99" s="52">
        <f>$BB99+$AF99</f>
        <v>0</v>
      </c>
      <c r="BD99" s="52">
        <f>$BC99+$AG99</f>
        <v>0</v>
      </c>
      <c r="BE99" s="52">
        <f>$BD99+$AH99</f>
        <v>0</v>
      </c>
      <c r="BF99" s="52">
        <f>$BE99+$AI99</f>
        <v>0</v>
      </c>
      <c r="BG99" s="52">
        <f>$BF99+$AJ99</f>
        <v>0</v>
      </c>
      <c r="BH99" s="52">
        <f>$BG99+$AK99</f>
        <v>0</v>
      </c>
      <c r="BI99" s="52">
        <f>$BH99+$AL99</f>
        <v>0</v>
      </c>
      <c r="BJ99" s="52">
        <f>$BI99+$AM99</f>
        <v>0</v>
      </c>
      <c r="BK99" s="52">
        <f>$BJ99+$AN99</f>
        <v>0</v>
      </c>
      <c r="BL99" s="52">
        <f>$BK99+$AO99</f>
        <v>0</v>
      </c>
      <c r="BM99" s="52">
        <f>$BL99+$AP99</f>
        <v>0</v>
      </c>
      <c r="BN99" s="52">
        <f>$BM99+$AQ99</f>
        <v>0</v>
      </c>
      <c r="BO99" s="52">
        <f>$BN99+$AR99</f>
        <v>0</v>
      </c>
      <c r="BP99" s="52">
        <f>$BO99+$AS99</f>
        <v>0</v>
      </c>
      <c r="BQ99" s="52">
        <f>SUM($T$1:$T98)</f>
        <v>11</v>
      </c>
      <c r="BR99" s="52" t="str">
        <f>IF(ISNUMBER($T99),IF($T99&gt;0,COUNTIF($T$2:$T99,"&gt;0"),""),"")</f>
        <v/>
      </c>
      <c r="BS99" s="52" t="str">
        <f>IF($BR99="","",$BQ99+$T99)</f>
        <v/>
      </c>
      <c r="BT99" s="52" t="str">
        <f>IF($U99="Ready",COUNTIF($U$2:$U99,"Ready"),"")</f>
        <v/>
      </c>
      <c r="BU99" s="52">
        <f>IF(AND($U99="Ready",$C99="Receipt"),IF(COUNTIF(Batches!$A$2:$A$301,$F99)+COUNTIFS($F$1:$F98,$F99,$C$1:$C98,"Receipt",$U$1:$U98,"Ready")=0,1,0),0)</f>
        <v>0</v>
      </c>
      <c r="BV99" s="52" t="str">
        <f>IF($BU99=1,SUM($BU$2:$BU99),"")</f>
        <v/>
      </c>
    </row>
    <row r="100">
      <c r="A100" s="46" t="n"/>
      <c r="B100" s="46" t="n"/>
      <c r="C100" s="46" t="n"/>
      <c r="D100" s="46" t="n"/>
      <c r="E100" s="46" t="n"/>
      <c r="F100" s="46" t="n"/>
      <c r="G100" s="46" t="n"/>
      <c r="H100" s="46" t="n"/>
      <c r="I100" s="46" t="n"/>
      <c r="J100" s="46" t="n"/>
      <c r="K100" s="46" t="n"/>
      <c r="L100" s="46" t="n"/>
      <c r="M100" s="62" t="str">
        <f>IF($B100="","",IF(ISNUMBER($B100),$B100,IF(AND(LEN($B100)=10,MID($B100,5,1)="-",MID($B100,8,1)="-"),IFERROR(IF(AND(MONTH(DATE(VALUE(LEFT($B100,4)),VALUE(MID($B100,6,2)),VALUE(RIGHT($B100,2))))=VALUE(MID($B100,6,2)),DAY(DATE(VALUE(LEFT($B100,4)),VALUE(MID($B100,6,2)),VALUE(RIGHT($B100,2))))=VALUE(RIGHT($B100,2))),DATE(VALUE(LEFT($B100,4)),VALUE(MID($B100,6,2)),VALUE(RIGHT($B100,2))),"ERR"),"ERR"),"ERR")))</f>
        <v/>
      </c>
      <c r="N100" s="62" t="str">
        <f>IF($G100="","",IF(ISNUMBER($G100),$G100,IF(AND(LEN($G100)=10,MID($G100,5,1)="-",MID($G100,8,1)="-"),IFERROR(IF(AND(MONTH(DATE(VALUE(LEFT($G100,4)),VALUE(MID($G100,6,2)),VALUE(RIGHT($G100,2))))=VALUE(MID($G100,6,2)),DAY(DATE(VALUE(LEFT($G100,4)),VALUE(MID($G100,6,2)),VALUE(RIGHT($G100,2))))=VALUE(RIGHT($G100,2))),DATE(VALUE(LEFT($G100,4)),VALUE(MID($G100,6,2)),VALUE(RIGHT($G100,2))),"ERR"),"ERR"),"ERR")))</f>
        <v/>
      </c>
      <c r="O100" s="51" t="str">
        <f>IF($H100="","",IF(ISNUMBER($H100),$H100,IFERROR(VALUE($H100),"ERR")))</f>
        <v/>
      </c>
      <c r="P100" s="51" t="str">
        <f>IF(AND(ISNUMBER($O100),OR($C100="Receipt",$C100="Shipment",$C100="Adjustment")),IF($C100="Shipment",-$O100,$O100),"")</f>
        <v/>
      </c>
      <c r="Q100" s="51" t="str">
        <f>IF($D100="","",IFERROR(INDEX(Products!$R$2:$R$101,MATCH($D100,Products!$A$2:$A$101,0)),""))</f>
        <v/>
      </c>
      <c r="R100" s="51" t="str">
        <f>IF(OR($Q100="",$P100=""),"",$Q100+SUMIFS($P$1:$P99,$D$1:$D99,$D100,$U$1:$U99,"Ready"))</f>
        <v/>
      </c>
      <c r="S100" s="51" t="str">
        <f>IF($R100="","",$R100+$P100)</f>
        <v/>
      </c>
      <c r="T100" s="52" t="str">
        <f>IF(COUNTA($A100:$L100)&gt;0,$BP100,"")</f>
        <v/>
      </c>
      <c r="U100" s="49" t="str">
        <f>IF($T100="","",IF($T100=0,"Ready","Rejected"))</f>
        <v/>
      </c>
      <c r="V100" s="49" t="str">
        <f>IF(OR($T100="",$T100=0),"",INDEX(Config!$D$39:$D$61,MATCH(1,$AT100:$BP100,0))&amp;IF($T100&gt;1," (+"&amp;($T100-1)&amp;" more)",""))</f>
        <v/>
      </c>
      <c r="W100" s="52">
        <f>IF(AND(COUNTA($A100:$L100)&gt;0,$A100=""),1,0)</f>
        <v>0</v>
      </c>
      <c r="X100" s="52">
        <f>IF(AND(COUNTA($A100:$L100)&gt;0,$A100&lt;&gt;""),IF(COUNTIF($A$1:$A99,$A100)&gt;0,1,0),0)</f>
        <v>0</v>
      </c>
      <c r="Y100" s="52">
        <f>IF(AND(COUNTA($A100:$L100)&gt;0,$A100&lt;&gt;""),IF(COUNTIF(Inventory_Ledger!$A$2:$A$2001,$A100)&gt;0,1,0),0)</f>
        <v>0</v>
      </c>
      <c r="Z100" s="52">
        <f>IF(AND(COUNTA($A100:$L100)&gt;0,$B100=""),1,0)</f>
        <v>0</v>
      </c>
      <c r="AA100" s="52">
        <f>IF(AND(COUNTA($A100:$L100)&gt;0,$B100&lt;&gt;""),IF($M100="ERR",1,0),0)</f>
        <v>0</v>
      </c>
      <c r="AB100" s="52">
        <f>IF(AND(COUNTA($A100:$L100)&gt;0,ISNUMBER($M100)),IF($M100&gt;Config!$B$4,1,0),0)</f>
        <v>0</v>
      </c>
      <c r="AC100" s="52">
        <f>IF(AND(COUNTA($A100:$L100)&gt;0,$C100=""),1,0)</f>
        <v>0</v>
      </c>
      <c r="AD100" s="52">
        <f>IF(AND(COUNTA($A100:$L100)&gt;0,$C100&lt;&gt;""),IF(COUNTIF(Config!$A$15:$A$34,$C100)=0,1,0),0)</f>
        <v>0</v>
      </c>
      <c r="AE100" s="52">
        <f>IF(AND(COUNTA($A100:$L100)&gt;0,$D100=""),1,0)</f>
        <v>0</v>
      </c>
      <c r="AF100" s="52">
        <f>IF(AND(COUNTA($A100:$L100)&gt;0,$D100&lt;&gt;""),IF(COUNTIF(Products!$A$2:$A$101,$D100)=0,1,0),0)</f>
        <v>0</v>
      </c>
      <c r="AG100" s="52">
        <f>IF(AND(COUNTA($A100:$L100)&gt;0,$C100="Receipt",$E100=""),1,0)</f>
        <v>0</v>
      </c>
      <c r="AH100" s="52">
        <f>IF(AND(COUNTA($A100:$L100)&gt;0,$E100&lt;&gt;""),IF(COUNTIF(Suppliers!$A$2:$A$51,$E100)=0,1,0),0)</f>
        <v>0</v>
      </c>
      <c r="AI100" s="52">
        <f>IF(AND(COUNTA($A100:$L100)&gt;0,$F100=""),1,0)</f>
        <v>0</v>
      </c>
      <c r="AJ100" s="52">
        <f>IF(AND(COUNTA($A100:$L100)&gt;0,$F100&lt;&gt;"",$D100&lt;&gt;"",OR($C100="Shipment",$C100="Adjustment")),IF($AF100=1,0,IF(COUNTIFS(Batches!$A$2:$A$301,$F100,Batches!$B$2:$B$301,$D100)+COUNTIFS($F$1:$F99,$F100,$D$1:$D99,$D100,$C$1:$C99,"Receipt")=0,1,0)),0)</f>
        <v>0</v>
      </c>
      <c r="AK100" s="52">
        <f>IF(AND(COUNTA($A100:$L100)&gt;0,$C100="Receipt",$G100=""),1,0)</f>
        <v>0</v>
      </c>
      <c r="AL100" s="52">
        <f>IF(AND(COUNTA($A100:$L100)&gt;0,$G100&lt;&gt;""),IF($N100="ERR",1,0),0)</f>
        <v>0</v>
      </c>
      <c r="AM100" s="52">
        <f>IF(AND(COUNTA($A100:$L100)&gt;0,$H100=""),1,0)</f>
        <v>0</v>
      </c>
      <c r="AN100" s="52">
        <f>IF(AND(COUNTA($A100:$L100)&gt;0,$H100&lt;&gt;""),IF($O100="ERR",1,IF(INT($O100)&lt;&gt;$O100,1,IF(AND(OR($C100="Receipt",$C100="Shipment"),$O100&lt;=0),1,IF(AND($C100="Adjustment",$O100=0),1,0)))),0)</f>
        <v>0</v>
      </c>
      <c r="AO100" s="52">
        <f>IF(AND(COUNTA($A100:$L100)&gt;0,$C100="Receipt",$I100=""),1,0)</f>
        <v>0</v>
      </c>
      <c r="AP100" s="52">
        <f>IF(AND(COUNTA($A100:$L100)&gt;0,$I100&lt;&gt;""),IF(IFERROR(INDEX(Config!$G$15:$G$34,MATCH($I100,Config!$E$15:$E$34,0)),"No")="Yes",0,1),0)</f>
        <v>0</v>
      </c>
      <c r="AQ100" s="52">
        <f>IF(AND(COUNTA($A100:$L100)&gt;0,$C100="Adjustment",$J100=""),1,0)</f>
        <v>0</v>
      </c>
      <c r="AR100" s="52">
        <f>IF(AND(COUNTA($A100:$L100)&gt;0,$L100=""),1,0)</f>
        <v>0</v>
      </c>
      <c r="AS100" s="52">
        <f>IF(AND(COUNTA($A100:$L100)&gt;0,ISNUMBER($S100)),IF($S100&lt;0,1,0),0)</f>
        <v>0</v>
      </c>
      <c r="AT100" s="52">
        <f>$W100</f>
        <v>0</v>
      </c>
      <c r="AU100" s="52">
        <f>$AT100+$X100</f>
        <v>0</v>
      </c>
      <c r="AV100" s="52">
        <f>$AU100+$Y100</f>
        <v>0</v>
      </c>
      <c r="AW100" s="52">
        <f>$AV100+$Z100</f>
        <v>0</v>
      </c>
      <c r="AX100" s="52">
        <f>$AW100+$AA100</f>
        <v>0</v>
      </c>
      <c r="AY100" s="52">
        <f>$AX100+$AB100</f>
        <v>0</v>
      </c>
      <c r="AZ100" s="52">
        <f>$AY100+$AC100</f>
        <v>0</v>
      </c>
      <c r="BA100" s="52">
        <f>$AZ100+$AD100</f>
        <v>0</v>
      </c>
      <c r="BB100" s="52">
        <f>$BA100+$AE100</f>
        <v>0</v>
      </c>
      <c r="BC100" s="52">
        <f>$BB100+$AF100</f>
        <v>0</v>
      </c>
      <c r="BD100" s="52">
        <f>$BC100+$AG100</f>
        <v>0</v>
      </c>
      <c r="BE100" s="52">
        <f>$BD100+$AH100</f>
        <v>0</v>
      </c>
      <c r="BF100" s="52">
        <f>$BE100+$AI100</f>
        <v>0</v>
      </c>
      <c r="BG100" s="52">
        <f>$BF100+$AJ100</f>
        <v>0</v>
      </c>
      <c r="BH100" s="52">
        <f>$BG100+$AK100</f>
        <v>0</v>
      </c>
      <c r="BI100" s="52">
        <f>$BH100+$AL100</f>
        <v>0</v>
      </c>
      <c r="BJ100" s="52">
        <f>$BI100+$AM100</f>
        <v>0</v>
      </c>
      <c r="BK100" s="52">
        <f>$BJ100+$AN100</f>
        <v>0</v>
      </c>
      <c r="BL100" s="52">
        <f>$BK100+$AO100</f>
        <v>0</v>
      </c>
      <c r="BM100" s="52">
        <f>$BL100+$AP100</f>
        <v>0</v>
      </c>
      <c r="BN100" s="52">
        <f>$BM100+$AQ100</f>
        <v>0</v>
      </c>
      <c r="BO100" s="52">
        <f>$BN100+$AR100</f>
        <v>0</v>
      </c>
      <c r="BP100" s="52">
        <f>$BO100+$AS100</f>
        <v>0</v>
      </c>
      <c r="BQ100" s="52">
        <f>SUM($T$1:$T99)</f>
        <v>11</v>
      </c>
      <c r="BR100" s="52" t="str">
        <f>IF(ISNUMBER($T100),IF($T100&gt;0,COUNTIF($T$2:$T100,"&gt;0"),""),"")</f>
        <v/>
      </c>
      <c r="BS100" s="52" t="str">
        <f>IF($BR100="","",$BQ100+$T100)</f>
        <v/>
      </c>
      <c r="BT100" s="52" t="str">
        <f>IF($U100="Ready",COUNTIF($U$2:$U100,"Ready"),"")</f>
        <v/>
      </c>
      <c r="BU100" s="52">
        <f>IF(AND($U100="Ready",$C100="Receipt"),IF(COUNTIF(Batches!$A$2:$A$301,$F100)+COUNTIFS($F$1:$F99,$F100,$C$1:$C99,"Receipt",$U$1:$U99,"Ready")=0,1,0),0)</f>
        <v>0</v>
      </c>
      <c r="BV100" s="52" t="str">
        <f>IF($BU100=1,SUM($BU$2:$BU100),"")</f>
        <v/>
      </c>
    </row>
    <row r="101">
      <c r="A101" s="46" t="n"/>
      <c r="B101" s="46" t="n"/>
      <c r="C101" s="46" t="n"/>
      <c r="D101" s="46" t="n"/>
      <c r="E101" s="46" t="n"/>
      <c r="F101" s="46" t="n"/>
      <c r="G101" s="46" t="n"/>
      <c r="H101" s="46" t="n"/>
      <c r="I101" s="46" t="n"/>
      <c r="J101" s="46" t="n"/>
      <c r="K101" s="46" t="n"/>
      <c r="L101" s="46" t="n"/>
      <c r="M101" s="62" t="str">
        <f>IF($B101="","",IF(ISNUMBER($B101),$B101,IF(AND(LEN($B101)=10,MID($B101,5,1)="-",MID($B101,8,1)="-"),IFERROR(IF(AND(MONTH(DATE(VALUE(LEFT($B101,4)),VALUE(MID($B101,6,2)),VALUE(RIGHT($B101,2))))=VALUE(MID($B101,6,2)),DAY(DATE(VALUE(LEFT($B101,4)),VALUE(MID($B101,6,2)),VALUE(RIGHT($B101,2))))=VALUE(RIGHT($B101,2))),DATE(VALUE(LEFT($B101,4)),VALUE(MID($B101,6,2)),VALUE(RIGHT($B101,2))),"ERR"),"ERR"),"ERR")))</f>
        <v/>
      </c>
      <c r="N101" s="62" t="str">
        <f>IF($G101="","",IF(ISNUMBER($G101),$G101,IF(AND(LEN($G101)=10,MID($G101,5,1)="-",MID($G101,8,1)="-"),IFERROR(IF(AND(MONTH(DATE(VALUE(LEFT($G101,4)),VALUE(MID($G101,6,2)),VALUE(RIGHT($G101,2))))=VALUE(MID($G101,6,2)),DAY(DATE(VALUE(LEFT($G101,4)),VALUE(MID($G101,6,2)),VALUE(RIGHT($G101,2))))=VALUE(RIGHT($G101,2))),DATE(VALUE(LEFT($G101,4)),VALUE(MID($G101,6,2)),VALUE(RIGHT($G101,2))),"ERR"),"ERR"),"ERR")))</f>
        <v/>
      </c>
      <c r="O101" s="51" t="str">
        <f>IF($H101="","",IF(ISNUMBER($H101),$H101,IFERROR(VALUE($H101),"ERR")))</f>
        <v/>
      </c>
      <c r="P101" s="51" t="str">
        <f>IF(AND(ISNUMBER($O101),OR($C101="Receipt",$C101="Shipment",$C101="Adjustment")),IF($C101="Shipment",-$O101,$O101),"")</f>
        <v/>
      </c>
      <c r="Q101" s="51" t="str">
        <f>IF($D101="","",IFERROR(INDEX(Products!$R$2:$R$101,MATCH($D101,Products!$A$2:$A$101,0)),""))</f>
        <v/>
      </c>
      <c r="R101" s="51" t="str">
        <f>IF(OR($Q101="",$P101=""),"",$Q101+SUMIFS($P$1:$P100,$D$1:$D100,$D101,$U$1:$U100,"Ready"))</f>
        <v/>
      </c>
      <c r="S101" s="51" t="str">
        <f>IF($R101="","",$R101+$P101)</f>
        <v/>
      </c>
      <c r="T101" s="52" t="str">
        <f>IF(COUNTA($A101:$L101)&gt;0,$BP101,"")</f>
        <v/>
      </c>
      <c r="U101" s="49" t="str">
        <f>IF($T101="","",IF($T101=0,"Ready","Rejected"))</f>
        <v/>
      </c>
      <c r="V101" s="49" t="str">
        <f>IF(OR($T101="",$T101=0),"",INDEX(Config!$D$39:$D$61,MATCH(1,$AT101:$BP101,0))&amp;IF($T101&gt;1," (+"&amp;($T101-1)&amp;" more)",""))</f>
        <v/>
      </c>
      <c r="W101" s="52">
        <f>IF(AND(COUNTA($A101:$L101)&gt;0,$A101=""),1,0)</f>
        <v>0</v>
      </c>
      <c r="X101" s="52">
        <f>IF(AND(COUNTA($A101:$L101)&gt;0,$A101&lt;&gt;""),IF(COUNTIF($A$1:$A100,$A101)&gt;0,1,0),0)</f>
        <v>0</v>
      </c>
      <c r="Y101" s="52">
        <f>IF(AND(COUNTA($A101:$L101)&gt;0,$A101&lt;&gt;""),IF(COUNTIF(Inventory_Ledger!$A$2:$A$2001,$A101)&gt;0,1,0),0)</f>
        <v>0</v>
      </c>
      <c r="Z101" s="52">
        <f>IF(AND(COUNTA($A101:$L101)&gt;0,$B101=""),1,0)</f>
        <v>0</v>
      </c>
      <c r="AA101" s="52">
        <f>IF(AND(COUNTA($A101:$L101)&gt;0,$B101&lt;&gt;""),IF($M101="ERR",1,0),0)</f>
        <v>0</v>
      </c>
      <c r="AB101" s="52">
        <f>IF(AND(COUNTA($A101:$L101)&gt;0,ISNUMBER($M101)),IF($M101&gt;Config!$B$4,1,0),0)</f>
        <v>0</v>
      </c>
      <c r="AC101" s="52">
        <f>IF(AND(COUNTA($A101:$L101)&gt;0,$C101=""),1,0)</f>
        <v>0</v>
      </c>
      <c r="AD101" s="52">
        <f>IF(AND(COUNTA($A101:$L101)&gt;0,$C101&lt;&gt;""),IF(COUNTIF(Config!$A$15:$A$34,$C101)=0,1,0),0)</f>
        <v>0</v>
      </c>
      <c r="AE101" s="52">
        <f>IF(AND(COUNTA($A101:$L101)&gt;0,$D101=""),1,0)</f>
        <v>0</v>
      </c>
      <c r="AF101" s="52">
        <f>IF(AND(COUNTA($A101:$L101)&gt;0,$D101&lt;&gt;""),IF(COUNTIF(Products!$A$2:$A$101,$D101)=0,1,0),0)</f>
        <v>0</v>
      </c>
      <c r="AG101" s="52">
        <f>IF(AND(COUNTA($A101:$L101)&gt;0,$C101="Receipt",$E101=""),1,0)</f>
        <v>0</v>
      </c>
      <c r="AH101" s="52">
        <f>IF(AND(COUNTA($A101:$L101)&gt;0,$E101&lt;&gt;""),IF(COUNTIF(Suppliers!$A$2:$A$51,$E101)=0,1,0),0)</f>
        <v>0</v>
      </c>
      <c r="AI101" s="52">
        <f>IF(AND(COUNTA($A101:$L101)&gt;0,$F101=""),1,0)</f>
        <v>0</v>
      </c>
      <c r="AJ101" s="52">
        <f>IF(AND(COUNTA($A101:$L101)&gt;0,$F101&lt;&gt;"",$D101&lt;&gt;"",OR($C101="Shipment",$C101="Adjustment")),IF($AF101=1,0,IF(COUNTIFS(Batches!$A$2:$A$301,$F101,Batches!$B$2:$B$301,$D101)+COUNTIFS($F$1:$F100,$F101,$D$1:$D100,$D101,$C$1:$C100,"Receipt")=0,1,0)),0)</f>
        <v>0</v>
      </c>
      <c r="AK101" s="52">
        <f>IF(AND(COUNTA($A101:$L101)&gt;0,$C101="Receipt",$G101=""),1,0)</f>
        <v>0</v>
      </c>
      <c r="AL101" s="52">
        <f>IF(AND(COUNTA($A101:$L101)&gt;0,$G101&lt;&gt;""),IF($N101="ERR",1,0),0)</f>
        <v>0</v>
      </c>
      <c r="AM101" s="52">
        <f>IF(AND(COUNTA($A101:$L101)&gt;0,$H101=""),1,0)</f>
        <v>0</v>
      </c>
      <c r="AN101" s="52">
        <f>IF(AND(COUNTA($A101:$L101)&gt;0,$H101&lt;&gt;""),IF($O101="ERR",1,IF(INT($O101)&lt;&gt;$O101,1,IF(AND(OR($C101="Receipt",$C101="Shipment"),$O101&lt;=0),1,IF(AND($C101="Adjustment",$O101=0),1,0)))),0)</f>
        <v>0</v>
      </c>
      <c r="AO101" s="52">
        <f>IF(AND(COUNTA($A101:$L101)&gt;0,$C101="Receipt",$I101=""),1,0)</f>
        <v>0</v>
      </c>
      <c r="AP101" s="52">
        <f>IF(AND(COUNTA($A101:$L101)&gt;0,$I101&lt;&gt;""),IF(IFERROR(INDEX(Config!$G$15:$G$34,MATCH($I101,Config!$E$15:$E$34,0)),"No")="Yes",0,1),0)</f>
        <v>0</v>
      </c>
      <c r="AQ101" s="52">
        <f>IF(AND(COUNTA($A101:$L101)&gt;0,$C101="Adjustment",$J101=""),1,0)</f>
        <v>0</v>
      </c>
      <c r="AR101" s="52">
        <f>IF(AND(COUNTA($A101:$L101)&gt;0,$L101=""),1,0)</f>
        <v>0</v>
      </c>
      <c r="AS101" s="52">
        <f>IF(AND(COUNTA($A101:$L101)&gt;0,ISNUMBER($S101)),IF($S101&lt;0,1,0),0)</f>
        <v>0</v>
      </c>
      <c r="AT101" s="52">
        <f>$W101</f>
        <v>0</v>
      </c>
      <c r="AU101" s="52">
        <f>$AT101+$X101</f>
        <v>0</v>
      </c>
      <c r="AV101" s="52">
        <f>$AU101+$Y101</f>
        <v>0</v>
      </c>
      <c r="AW101" s="52">
        <f>$AV101+$Z101</f>
        <v>0</v>
      </c>
      <c r="AX101" s="52">
        <f>$AW101+$AA101</f>
        <v>0</v>
      </c>
      <c r="AY101" s="52">
        <f>$AX101+$AB101</f>
        <v>0</v>
      </c>
      <c r="AZ101" s="52">
        <f>$AY101+$AC101</f>
        <v>0</v>
      </c>
      <c r="BA101" s="52">
        <f>$AZ101+$AD101</f>
        <v>0</v>
      </c>
      <c r="BB101" s="52">
        <f>$BA101+$AE101</f>
        <v>0</v>
      </c>
      <c r="BC101" s="52">
        <f>$BB101+$AF101</f>
        <v>0</v>
      </c>
      <c r="BD101" s="52">
        <f>$BC101+$AG101</f>
        <v>0</v>
      </c>
      <c r="BE101" s="52">
        <f>$BD101+$AH101</f>
        <v>0</v>
      </c>
      <c r="BF101" s="52">
        <f>$BE101+$AI101</f>
        <v>0</v>
      </c>
      <c r="BG101" s="52">
        <f>$BF101+$AJ101</f>
        <v>0</v>
      </c>
      <c r="BH101" s="52">
        <f>$BG101+$AK101</f>
        <v>0</v>
      </c>
      <c r="BI101" s="52">
        <f>$BH101+$AL101</f>
        <v>0</v>
      </c>
      <c r="BJ101" s="52">
        <f>$BI101+$AM101</f>
        <v>0</v>
      </c>
      <c r="BK101" s="52">
        <f>$BJ101+$AN101</f>
        <v>0</v>
      </c>
      <c r="BL101" s="52">
        <f>$BK101+$AO101</f>
        <v>0</v>
      </c>
      <c r="BM101" s="52">
        <f>$BL101+$AP101</f>
        <v>0</v>
      </c>
      <c r="BN101" s="52">
        <f>$BM101+$AQ101</f>
        <v>0</v>
      </c>
      <c r="BO101" s="52">
        <f>$BN101+$AR101</f>
        <v>0</v>
      </c>
      <c r="BP101" s="52">
        <f>$BO101+$AS101</f>
        <v>0</v>
      </c>
      <c r="BQ101" s="52">
        <f>SUM($T$1:$T100)</f>
        <v>11</v>
      </c>
      <c r="BR101" s="52" t="str">
        <f>IF(ISNUMBER($T101),IF($T101&gt;0,COUNTIF($T$2:$T101,"&gt;0"),""),"")</f>
        <v/>
      </c>
      <c r="BS101" s="52" t="str">
        <f>IF($BR101="","",$BQ101+$T101)</f>
        <v/>
      </c>
      <c r="BT101" s="52" t="str">
        <f>IF($U101="Ready",COUNTIF($U$2:$U101,"Ready"),"")</f>
        <v/>
      </c>
      <c r="BU101" s="52">
        <f>IF(AND($U101="Ready",$C101="Receipt"),IF(COUNTIF(Batches!$A$2:$A$301,$F101)+COUNTIFS($F$1:$F100,$F101,$C$1:$C100,"Receipt",$U$1:$U100,"Ready")=0,1,0),0)</f>
        <v>0</v>
      </c>
      <c r="BV101" s="52" t="str">
        <f>IF($BU101=1,SUM($BU$2:$BU101),"")</f>
        <v/>
      </c>
    </row>
    <row r="102">
      <c r="A102" s="46" t="n"/>
      <c r="B102" s="46" t="n"/>
      <c r="C102" s="46" t="n"/>
      <c r="D102" s="46" t="n"/>
      <c r="E102" s="46" t="n"/>
      <c r="F102" s="46" t="n"/>
      <c r="G102" s="46" t="n"/>
      <c r="H102" s="46" t="n"/>
      <c r="I102" s="46" t="n"/>
      <c r="J102" s="46" t="n"/>
      <c r="K102" s="46" t="n"/>
      <c r="L102" s="46" t="n"/>
      <c r="M102" s="62" t="str">
        <f>IF($B102="","",IF(ISNUMBER($B102),$B102,IF(AND(LEN($B102)=10,MID($B102,5,1)="-",MID($B102,8,1)="-"),IFERROR(IF(AND(MONTH(DATE(VALUE(LEFT($B102,4)),VALUE(MID($B102,6,2)),VALUE(RIGHT($B102,2))))=VALUE(MID($B102,6,2)),DAY(DATE(VALUE(LEFT($B102,4)),VALUE(MID($B102,6,2)),VALUE(RIGHT($B102,2))))=VALUE(RIGHT($B102,2))),DATE(VALUE(LEFT($B102,4)),VALUE(MID($B102,6,2)),VALUE(RIGHT($B102,2))),"ERR"),"ERR"),"ERR")))</f>
        <v/>
      </c>
      <c r="N102" s="62" t="str">
        <f>IF($G102="","",IF(ISNUMBER($G102),$G102,IF(AND(LEN($G102)=10,MID($G102,5,1)="-",MID($G102,8,1)="-"),IFERROR(IF(AND(MONTH(DATE(VALUE(LEFT($G102,4)),VALUE(MID($G102,6,2)),VALUE(RIGHT($G102,2))))=VALUE(MID($G102,6,2)),DAY(DATE(VALUE(LEFT($G102,4)),VALUE(MID($G102,6,2)),VALUE(RIGHT($G102,2))))=VALUE(RIGHT($G102,2))),DATE(VALUE(LEFT($G102,4)),VALUE(MID($G102,6,2)),VALUE(RIGHT($G102,2))),"ERR"),"ERR"),"ERR")))</f>
        <v/>
      </c>
      <c r="O102" s="51" t="str">
        <f>IF($H102="","",IF(ISNUMBER($H102),$H102,IFERROR(VALUE($H102),"ERR")))</f>
        <v/>
      </c>
      <c r="P102" s="51" t="str">
        <f>IF(AND(ISNUMBER($O102),OR($C102="Receipt",$C102="Shipment",$C102="Adjustment")),IF($C102="Shipment",-$O102,$O102),"")</f>
        <v/>
      </c>
      <c r="Q102" s="51" t="str">
        <f>IF($D102="","",IFERROR(INDEX(Products!$R$2:$R$101,MATCH($D102,Products!$A$2:$A$101,0)),""))</f>
        <v/>
      </c>
      <c r="R102" s="51" t="str">
        <f>IF(OR($Q102="",$P102=""),"",$Q102+SUMIFS($P$1:$P101,$D$1:$D101,$D102,$U$1:$U101,"Ready"))</f>
        <v/>
      </c>
      <c r="S102" s="51" t="str">
        <f>IF($R102="","",$R102+$P102)</f>
        <v/>
      </c>
      <c r="T102" s="52" t="str">
        <f>IF(COUNTA($A102:$L102)&gt;0,$BP102,"")</f>
        <v/>
      </c>
      <c r="U102" s="49" t="str">
        <f>IF($T102="","",IF($T102=0,"Ready","Rejected"))</f>
        <v/>
      </c>
      <c r="V102" s="49" t="str">
        <f>IF(OR($T102="",$T102=0),"",INDEX(Config!$D$39:$D$61,MATCH(1,$AT102:$BP102,0))&amp;IF($T102&gt;1," (+"&amp;($T102-1)&amp;" more)",""))</f>
        <v/>
      </c>
      <c r="W102" s="52">
        <f>IF(AND(COUNTA($A102:$L102)&gt;0,$A102=""),1,0)</f>
        <v>0</v>
      </c>
      <c r="X102" s="52">
        <f>IF(AND(COUNTA($A102:$L102)&gt;0,$A102&lt;&gt;""),IF(COUNTIF($A$1:$A101,$A102)&gt;0,1,0),0)</f>
        <v>0</v>
      </c>
      <c r="Y102" s="52">
        <f>IF(AND(COUNTA($A102:$L102)&gt;0,$A102&lt;&gt;""),IF(COUNTIF(Inventory_Ledger!$A$2:$A$2001,$A102)&gt;0,1,0),0)</f>
        <v>0</v>
      </c>
      <c r="Z102" s="52">
        <f>IF(AND(COUNTA($A102:$L102)&gt;0,$B102=""),1,0)</f>
        <v>0</v>
      </c>
      <c r="AA102" s="52">
        <f>IF(AND(COUNTA($A102:$L102)&gt;0,$B102&lt;&gt;""),IF($M102="ERR",1,0),0)</f>
        <v>0</v>
      </c>
      <c r="AB102" s="52">
        <f>IF(AND(COUNTA($A102:$L102)&gt;0,ISNUMBER($M102)),IF($M102&gt;Config!$B$4,1,0),0)</f>
        <v>0</v>
      </c>
      <c r="AC102" s="52">
        <f>IF(AND(COUNTA($A102:$L102)&gt;0,$C102=""),1,0)</f>
        <v>0</v>
      </c>
      <c r="AD102" s="52">
        <f>IF(AND(COUNTA($A102:$L102)&gt;0,$C102&lt;&gt;""),IF(COUNTIF(Config!$A$15:$A$34,$C102)=0,1,0),0)</f>
        <v>0</v>
      </c>
      <c r="AE102" s="52">
        <f>IF(AND(COUNTA($A102:$L102)&gt;0,$D102=""),1,0)</f>
        <v>0</v>
      </c>
      <c r="AF102" s="52">
        <f>IF(AND(COUNTA($A102:$L102)&gt;0,$D102&lt;&gt;""),IF(COUNTIF(Products!$A$2:$A$101,$D102)=0,1,0),0)</f>
        <v>0</v>
      </c>
      <c r="AG102" s="52">
        <f>IF(AND(COUNTA($A102:$L102)&gt;0,$C102="Receipt",$E102=""),1,0)</f>
        <v>0</v>
      </c>
      <c r="AH102" s="52">
        <f>IF(AND(COUNTA($A102:$L102)&gt;0,$E102&lt;&gt;""),IF(COUNTIF(Suppliers!$A$2:$A$51,$E102)=0,1,0),0)</f>
        <v>0</v>
      </c>
      <c r="AI102" s="52">
        <f>IF(AND(COUNTA($A102:$L102)&gt;0,$F102=""),1,0)</f>
        <v>0</v>
      </c>
      <c r="AJ102" s="52">
        <f>IF(AND(COUNTA($A102:$L102)&gt;0,$F102&lt;&gt;"",$D102&lt;&gt;"",OR($C102="Shipment",$C102="Adjustment")),IF($AF102=1,0,IF(COUNTIFS(Batches!$A$2:$A$301,$F102,Batches!$B$2:$B$301,$D102)+COUNTIFS($F$1:$F101,$F102,$D$1:$D101,$D102,$C$1:$C101,"Receipt")=0,1,0)),0)</f>
        <v>0</v>
      </c>
      <c r="AK102" s="52">
        <f>IF(AND(COUNTA($A102:$L102)&gt;0,$C102="Receipt",$G102=""),1,0)</f>
        <v>0</v>
      </c>
      <c r="AL102" s="52">
        <f>IF(AND(COUNTA($A102:$L102)&gt;0,$G102&lt;&gt;""),IF($N102="ERR",1,0),0)</f>
        <v>0</v>
      </c>
      <c r="AM102" s="52">
        <f>IF(AND(COUNTA($A102:$L102)&gt;0,$H102=""),1,0)</f>
        <v>0</v>
      </c>
      <c r="AN102" s="52">
        <f>IF(AND(COUNTA($A102:$L102)&gt;0,$H102&lt;&gt;""),IF($O102="ERR",1,IF(INT($O102)&lt;&gt;$O102,1,IF(AND(OR($C102="Receipt",$C102="Shipment"),$O102&lt;=0),1,IF(AND($C102="Adjustment",$O102=0),1,0)))),0)</f>
        <v>0</v>
      </c>
      <c r="AO102" s="52">
        <f>IF(AND(COUNTA($A102:$L102)&gt;0,$C102="Receipt",$I102=""),1,0)</f>
        <v>0</v>
      </c>
      <c r="AP102" s="52">
        <f>IF(AND(COUNTA($A102:$L102)&gt;0,$I102&lt;&gt;""),IF(IFERROR(INDEX(Config!$G$15:$G$34,MATCH($I102,Config!$E$15:$E$34,0)),"No")="Yes",0,1),0)</f>
        <v>0</v>
      </c>
      <c r="AQ102" s="52">
        <f>IF(AND(COUNTA($A102:$L102)&gt;0,$C102="Adjustment",$J102=""),1,0)</f>
        <v>0</v>
      </c>
      <c r="AR102" s="52">
        <f>IF(AND(COUNTA($A102:$L102)&gt;0,$L102=""),1,0)</f>
        <v>0</v>
      </c>
      <c r="AS102" s="52">
        <f>IF(AND(COUNTA($A102:$L102)&gt;0,ISNUMBER($S102)),IF($S102&lt;0,1,0),0)</f>
        <v>0</v>
      </c>
      <c r="AT102" s="52">
        <f>$W102</f>
        <v>0</v>
      </c>
      <c r="AU102" s="52">
        <f>$AT102+$X102</f>
        <v>0</v>
      </c>
      <c r="AV102" s="52">
        <f>$AU102+$Y102</f>
        <v>0</v>
      </c>
      <c r="AW102" s="52">
        <f>$AV102+$Z102</f>
        <v>0</v>
      </c>
      <c r="AX102" s="52">
        <f>$AW102+$AA102</f>
        <v>0</v>
      </c>
      <c r="AY102" s="52">
        <f>$AX102+$AB102</f>
        <v>0</v>
      </c>
      <c r="AZ102" s="52">
        <f>$AY102+$AC102</f>
        <v>0</v>
      </c>
      <c r="BA102" s="52">
        <f>$AZ102+$AD102</f>
        <v>0</v>
      </c>
      <c r="BB102" s="52">
        <f>$BA102+$AE102</f>
        <v>0</v>
      </c>
      <c r="BC102" s="52">
        <f>$BB102+$AF102</f>
        <v>0</v>
      </c>
      <c r="BD102" s="52">
        <f>$BC102+$AG102</f>
        <v>0</v>
      </c>
      <c r="BE102" s="52">
        <f>$BD102+$AH102</f>
        <v>0</v>
      </c>
      <c r="BF102" s="52">
        <f>$BE102+$AI102</f>
        <v>0</v>
      </c>
      <c r="BG102" s="52">
        <f>$BF102+$AJ102</f>
        <v>0</v>
      </c>
      <c r="BH102" s="52">
        <f>$BG102+$AK102</f>
        <v>0</v>
      </c>
      <c r="BI102" s="52">
        <f>$BH102+$AL102</f>
        <v>0</v>
      </c>
      <c r="BJ102" s="52">
        <f>$BI102+$AM102</f>
        <v>0</v>
      </c>
      <c r="BK102" s="52">
        <f>$BJ102+$AN102</f>
        <v>0</v>
      </c>
      <c r="BL102" s="52">
        <f>$BK102+$AO102</f>
        <v>0</v>
      </c>
      <c r="BM102" s="52">
        <f>$BL102+$AP102</f>
        <v>0</v>
      </c>
      <c r="BN102" s="52">
        <f>$BM102+$AQ102</f>
        <v>0</v>
      </c>
      <c r="BO102" s="52">
        <f>$BN102+$AR102</f>
        <v>0</v>
      </c>
      <c r="BP102" s="52">
        <f>$BO102+$AS102</f>
        <v>0</v>
      </c>
      <c r="BQ102" s="52">
        <f>SUM($T$1:$T101)</f>
        <v>11</v>
      </c>
      <c r="BR102" s="52" t="str">
        <f>IF(ISNUMBER($T102),IF($T102&gt;0,COUNTIF($T$2:$T102,"&gt;0"),""),"")</f>
        <v/>
      </c>
      <c r="BS102" s="52" t="str">
        <f>IF($BR102="","",$BQ102+$T102)</f>
        <v/>
      </c>
      <c r="BT102" s="52" t="str">
        <f>IF($U102="Ready",COUNTIF($U$2:$U102,"Ready"),"")</f>
        <v/>
      </c>
      <c r="BU102" s="52">
        <f>IF(AND($U102="Ready",$C102="Receipt"),IF(COUNTIF(Batches!$A$2:$A$301,$F102)+COUNTIFS($F$1:$F101,$F102,$C$1:$C101,"Receipt",$U$1:$U101,"Ready")=0,1,0),0)</f>
        <v>0</v>
      </c>
      <c r="BV102" s="52" t="str">
        <f>IF($BU102=1,SUM($BU$2:$BU102),"")</f>
        <v/>
      </c>
    </row>
    <row r="103">
      <c r="A103" s="46" t="n"/>
      <c r="B103" s="46" t="n"/>
      <c r="C103" s="46" t="n"/>
      <c r="D103" s="46" t="n"/>
      <c r="E103" s="46" t="n"/>
      <c r="F103" s="46" t="n"/>
      <c r="G103" s="46" t="n"/>
      <c r="H103" s="46" t="n"/>
      <c r="I103" s="46" t="n"/>
      <c r="J103" s="46" t="n"/>
      <c r="K103" s="46" t="n"/>
      <c r="L103" s="46" t="n"/>
      <c r="M103" s="62" t="str">
        <f>IF($B103="","",IF(ISNUMBER($B103),$B103,IF(AND(LEN($B103)=10,MID($B103,5,1)="-",MID($B103,8,1)="-"),IFERROR(IF(AND(MONTH(DATE(VALUE(LEFT($B103,4)),VALUE(MID($B103,6,2)),VALUE(RIGHT($B103,2))))=VALUE(MID($B103,6,2)),DAY(DATE(VALUE(LEFT($B103,4)),VALUE(MID($B103,6,2)),VALUE(RIGHT($B103,2))))=VALUE(RIGHT($B103,2))),DATE(VALUE(LEFT($B103,4)),VALUE(MID($B103,6,2)),VALUE(RIGHT($B103,2))),"ERR"),"ERR"),"ERR")))</f>
        <v/>
      </c>
      <c r="N103" s="62" t="str">
        <f>IF($G103="","",IF(ISNUMBER($G103),$G103,IF(AND(LEN($G103)=10,MID($G103,5,1)="-",MID($G103,8,1)="-"),IFERROR(IF(AND(MONTH(DATE(VALUE(LEFT($G103,4)),VALUE(MID($G103,6,2)),VALUE(RIGHT($G103,2))))=VALUE(MID($G103,6,2)),DAY(DATE(VALUE(LEFT($G103,4)),VALUE(MID($G103,6,2)),VALUE(RIGHT($G103,2))))=VALUE(RIGHT($G103,2))),DATE(VALUE(LEFT($G103,4)),VALUE(MID($G103,6,2)),VALUE(RIGHT($G103,2))),"ERR"),"ERR"),"ERR")))</f>
        <v/>
      </c>
      <c r="O103" s="51" t="str">
        <f>IF($H103="","",IF(ISNUMBER($H103),$H103,IFERROR(VALUE($H103),"ERR")))</f>
        <v/>
      </c>
      <c r="P103" s="51" t="str">
        <f>IF(AND(ISNUMBER($O103),OR($C103="Receipt",$C103="Shipment",$C103="Adjustment")),IF($C103="Shipment",-$O103,$O103),"")</f>
        <v/>
      </c>
      <c r="Q103" s="51" t="str">
        <f>IF($D103="","",IFERROR(INDEX(Products!$R$2:$R$101,MATCH($D103,Products!$A$2:$A$101,0)),""))</f>
        <v/>
      </c>
      <c r="R103" s="51" t="str">
        <f>IF(OR($Q103="",$P103=""),"",$Q103+SUMIFS($P$1:$P102,$D$1:$D102,$D103,$U$1:$U102,"Ready"))</f>
        <v/>
      </c>
      <c r="S103" s="51" t="str">
        <f>IF($R103="","",$R103+$P103)</f>
        <v/>
      </c>
      <c r="T103" s="52" t="str">
        <f>IF(COUNTA($A103:$L103)&gt;0,$BP103,"")</f>
        <v/>
      </c>
      <c r="U103" s="49" t="str">
        <f>IF($T103="","",IF($T103=0,"Ready","Rejected"))</f>
        <v/>
      </c>
      <c r="V103" s="49" t="str">
        <f>IF(OR($T103="",$T103=0),"",INDEX(Config!$D$39:$D$61,MATCH(1,$AT103:$BP103,0))&amp;IF($T103&gt;1," (+"&amp;($T103-1)&amp;" more)",""))</f>
        <v/>
      </c>
      <c r="W103" s="52">
        <f>IF(AND(COUNTA($A103:$L103)&gt;0,$A103=""),1,0)</f>
        <v>0</v>
      </c>
      <c r="X103" s="52">
        <f>IF(AND(COUNTA($A103:$L103)&gt;0,$A103&lt;&gt;""),IF(COUNTIF($A$1:$A102,$A103)&gt;0,1,0),0)</f>
        <v>0</v>
      </c>
      <c r="Y103" s="52">
        <f>IF(AND(COUNTA($A103:$L103)&gt;0,$A103&lt;&gt;""),IF(COUNTIF(Inventory_Ledger!$A$2:$A$2001,$A103)&gt;0,1,0),0)</f>
        <v>0</v>
      </c>
      <c r="Z103" s="52">
        <f>IF(AND(COUNTA($A103:$L103)&gt;0,$B103=""),1,0)</f>
        <v>0</v>
      </c>
      <c r="AA103" s="52">
        <f>IF(AND(COUNTA($A103:$L103)&gt;0,$B103&lt;&gt;""),IF($M103="ERR",1,0),0)</f>
        <v>0</v>
      </c>
      <c r="AB103" s="52">
        <f>IF(AND(COUNTA($A103:$L103)&gt;0,ISNUMBER($M103)),IF($M103&gt;Config!$B$4,1,0),0)</f>
        <v>0</v>
      </c>
      <c r="AC103" s="52">
        <f>IF(AND(COUNTA($A103:$L103)&gt;0,$C103=""),1,0)</f>
        <v>0</v>
      </c>
      <c r="AD103" s="52">
        <f>IF(AND(COUNTA($A103:$L103)&gt;0,$C103&lt;&gt;""),IF(COUNTIF(Config!$A$15:$A$34,$C103)=0,1,0),0)</f>
        <v>0</v>
      </c>
      <c r="AE103" s="52">
        <f>IF(AND(COUNTA($A103:$L103)&gt;0,$D103=""),1,0)</f>
        <v>0</v>
      </c>
      <c r="AF103" s="52">
        <f>IF(AND(COUNTA($A103:$L103)&gt;0,$D103&lt;&gt;""),IF(COUNTIF(Products!$A$2:$A$101,$D103)=0,1,0),0)</f>
        <v>0</v>
      </c>
      <c r="AG103" s="52">
        <f>IF(AND(COUNTA($A103:$L103)&gt;0,$C103="Receipt",$E103=""),1,0)</f>
        <v>0</v>
      </c>
      <c r="AH103" s="52">
        <f>IF(AND(COUNTA($A103:$L103)&gt;0,$E103&lt;&gt;""),IF(COUNTIF(Suppliers!$A$2:$A$51,$E103)=0,1,0),0)</f>
        <v>0</v>
      </c>
      <c r="AI103" s="52">
        <f>IF(AND(COUNTA($A103:$L103)&gt;0,$F103=""),1,0)</f>
        <v>0</v>
      </c>
      <c r="AJ103" s="52">
        <f>IF(AND(COUNTA($A103:$L103)&gt;0,$F103&lt;&gt;"",$D103&lt;&gt;"",OR($C103="Shipment",$C103="Adjustment")),IF($AF103=1,0,IF(COUNTIFS(Batches!$A$2:$A$301,$F103,Batches!$B$2:$B$301,$D103)+COUNTIFS($F$1:$F102,$F103,$D$1:$D102,$D103,$C$1:$C102,"Receipt")=0,1,0)),0)</f>
        <v>0</v>
      </c>
      <c r="AK103" s="52">
        <f>IF(AND(COUNTA($A103:$L103)&gt;0,$C103="Receipt",$G103=""),1,0)</f>
        <v>0</v>
      </c>
      <c r="AL103" s="52">
        <f>IF(AND(COUNTA($A103:$L103)&gt;0,$G103&lt;&gt;""),IF($N103="ERR",1,0),0)</f>
        <v>0</v>
      </c>
      <c r="AM103" s="52">
        <f>IF(AND(COUNTA($A103:$L103)&gt;0,$H103=""),1,0)</f>
        <v>0</v>
      </c>
      <c r="AN103" s="52">
        <f>IF(AND(COUNTA($A103:$L103)&gt;0,$H103&lt;&gt;""),IF($O103="ERR",1,IF(INT($O103)&lt;&gt;$O103,1,IF(AND(OR($C103="Receipt",$C103="Shipment"),$O103&lt;=0),1,IF(AND($C103="Adjustment",$O103=0),1,0)))),0)</f>
        <v>0</v>
      </c>
      <c r="AO103" s="52">
        <f>IF(AND(COUNTA($A103:$L103)&gt;0,$C103="Receipt",$I103=""),1,0)</f>
        <v>0</v>
      </c>
      <c r="AP103" s="52">
        <f>IF(AND(COUNTA($A103:$L103)&gt;0,$I103&lt;&gt;""),IF(IFERROR(INDEX(Config!$G$15:$G$34,MATCH($I103,Config!$E$15:$E$34,0)),"No")="Yes",0,1),0)</f>
        <v>0</v>
      </c>
      <c r="AQ103" s="52">
        <f>IF(AND(COUNTA($A103:$L103)&gt;0,$C103="Adjustment",$J103=""),1,0)</f>
        <v>0</v>
      </c>
      <c r="AR103" s="52">
        <f>IF(AND(COUNTA($A103:$L103)&gt;0,$L103=""),1,0)</f>
        <v>0</v>
      </c>
      <c r="AS103" s="52">
        <f>IF(AND(COUNTA($A103:$L103)&gt;0,ISNUMBER($S103)),IF($S103&lt;0,1,0),0)</f>
        <v>0</v>
      </c>
      <c r="AT103" s="52">
        <f>$W103</f>
        <v>0</v>
      </c>
      <c r="AU103" s="52">
        <f>$AT103+$X103</f>
        <v>0</v>
      </c>
      <c r="AV103" s="52">
        <f>$AU103+$Y103</f>
        <v>0</v>
      </c>
      <c r="AW103" s="52">
        <f>$AV103+$Z103</f>
        <v>0</v>
      </c>
      <c r="AX103" s="52">
        <f>$AW103+$AA103</f>
        <v>0</v>
      </c>
      <c r="AY103" s="52">
        <f>$AX103+$AB103</f>
        <v>0</v>
      </c>
      <c r="AZ103" s="52">
        <f>$AY103+$AC103</f>
        <v>0</v>
      </c>
      <c r="BA103" s="52">
        <f>$AZ103+$AD103</f>
        <v>0</v>
      </c>
      <c r="BB103" s="52">
        <f>$BA103+$AE103</f>
        <v>0</v>
      </c>
      <c r="BC103" s="52">
        <f>$BB103+$AF103</f>
        <v>0</v>
      </c>
      <c r="BD103" s="52">
        <f>$BC103+$AG103</f>
        <v>0</v>
      </c>
      <c r="BE103" s="52">
        <f>$BD103+$AH103</f>
        <v>0</v>
      </c>
      <c r="BF103" s="52">
        <f>$BE103+$AI103</f>
        <v>0</v>
      </c>
      <c r="BG103" s="52">
        <f>$BF103+$AJ103</f>
        <v>0</v>
      </c>
      <c r="BH103" s="52">
        <f>$BG103+$AK103</f>
        <v>0</v>
      </c>
      <c r="BI103" s="52">
        <f>$BH103+$AL103</f>
        <v>0</v>
      </c>
      <c r="BJ103" s="52">
        <f>$BI103+$AM103</f>
        <v>0</v>
      </c>
      <c r="BK103" s="52">
        <f>$BJ103+$AN103</f>
        <v>0</v>
      </c>
      <c r="BL103" s="52">
        <f>$BK103+$AO103</f>
        <v>0</v>
      </c>
      <c r="BM103" s="52">
        <f>$BL103+$AP103</f>
        <v>0</v>
      </c>
      <c r="BN103" s="52">
        <f>$BM103+$AQ103</f>
        <v>0</v>
      </c>
      <c r="BO103" s="52">
        <f>$BN103+$AR103</f>
        <v>0</v>
      </c>
      <c r="BP103" s="52">
        <f>$BO103+$AS103</f>
        <v>0</v>
      </c>
      <c r="BQ103" s="52">
        <f>SUM($T$1:$T102)</f>
        <v>11</v>
      </c>
      <c r="BR103" s="52" t="str">
        <f>IF(ISNUMBER($T103),IF($T103&gt;0,COUNTIF($T$2:$T103,"&gt;0"),""),"")</f>
        <v/>
      </c>
      <c r="BS103" s="52" t="str">
        <f>IF($BR103="","",$BQ103+$T103)</f>
        <v/>
      </c>
      <c r="BT103" s="52" t="str">
        <f>IF($U103="Ready",COUNTIF($U$2:$U103,"Ready"),"")</f>
        <v/>
      </c>
      <c r="BU103" s="52">
        <f>IF(AND($U103="Ready",$C103="Receipt"),IF(COUNTIF(Batches!$A$2:$A$301,$F103)+COUNTIFS($F$1:$F102,$F103,$C$1:$C102,"Receipt",$U$1:$U102,"Ready")=0,1,0),0)</f>
        <v>0</v>
      </c>
      <c r="BV103" s="52" t="str">
        <f>IF($BU103=1,SUM($BU$2:$BU103),"")</f>
        <v/>
      </c>
    </row>
    <row r="104">
      <c r="A104" s="46" t="n"/>
      <c r="B104" s="46" t="n"/>
      <c r="C104" s="46" t="n"/>
      <c r="D104" s="46" t="n"/>
      <c r="E104" s="46" t="n"/>
      <c r="F104" s="46" t="n"/>
      <c r="G104" s="46" t="n"/>
      <c r="H104" s="46" t="n"/>
      <c r="I104" s="46" t="n"/>
      <c r="J104" s="46" t="n"/>
      <c r="K104" s="46" t="n"/>
      <c r="L104" s="46" t="n"/>
      <c r="M104" s="62" t="str">
        <f>IF($B104="","",IF(ISNUMBER($B104),$B104,IF(AND(LEN($B104)=10,MID($B104,5,1)="-",MID($B104,8,1)="-"),IFERROR(IF(AND(MONTH(DATE(VALUE(LEFT($B104,4)),VALUE(MID($B104,6,2)),VALUE(RIGHT($B104,2))))=VALUE(MID($B104,6,2)),DAY(DATE(VALUE(LEFT($B104,4)),VALUE(MID($B104,6,2)),VALUE(RIGHT($B104,2))))=VALUE(RIGHT($B104,2))),DATE(VALUE(LEFT($B104,4)),VALUE(MID($B104,6,2)),VALUE(RIGHT($B104,2))),"ERR"),"ERR"),"ERR")))</f>
        <v/>
      </c>
      <c r="N104" s="62" t="str">
        <f>IF($G104="","",IF(ISNUMBER($G104),$G104,IF(AND(LEN($G104)=10,MID($G104,5,1)="-",MID($G104,8,1)="-"),IFERROR(IF(AND(MONTH(DATE(VALUE(LEFT($G104,4)),VALUE(MID($G104,6,2)),VALUE(RIGHT($G104,2))))=VALUE(MID($G104,6,2)),DAY(DATE(VALUE(LEFT($G104,4)),VALUE(MID($G104,6,2)),VALUE(RIGHT($G104,2))))=VALUE(RIGHT($G104,2))),DATE(VALUE(LEFT($G104,4)),VALUE(MID($G104,6,2)),VALUE(RIGHT($G104,2))),"ERR"),"ERR"),"ERR")))</f>
        <v/>
      </c>
      <c r="O104" s="51" t="str">
        <f>IF($H104="","",IF(ISNUMBER($H104),$H104,IFERROR(VALUE($H104),"ERR")))</f>
        <v/>
      </c>
      <c r="P104" s="51" t="str">
        <f>IF(AND(ISNUMBER($O104),OR($C104="Receipt",$C104="Shipment",$C104="Adjustment")),IF($C104="Shipment",-$O104,$O104),"")</f>
        <v/>
      </c>
      <c r="Q104" s="51" t="str">
        <f>IF($D104="","",IFERROR(INDEX(Products!$R$2:$R$101,MATCH($D104,Products!$A$2:$A$101,0)),""))</f>
        <v/>
      </c>
      <c r="R104" s="51" t="str">
        <f>IF(OR($Q104="",$P104=""),"",$Q104+SUMIFS($P$1:$P103,$D$1:$D103,$D104,$U$1:$U103,"Ready"))</f>
        <v/>
      </c>
      <c r="S104" s="51" t="str">
        <f>IF($R104="","",$R104+$P104)</f>
        <v/>
      </c>
      <c r="T104" s="52" t="str">
        <f>IF(COUNTA($A104:$L104)&gt;0,$BP104,"")</f>
        <v/>
      </c>
      <c r="U104" s="49" t="str">
        <f>IF($T104="","",IF($T104=0,"Ready","Rejected"))</f>
        <v/>
      </c>
      <c r="V104" s="49" t="str">
        <f>IF(OR($T104="",$T104=0),"",INDEX(Config!$D$39:$D$61,MATCH(1,$AT104:$BP104,0))&amp;IF($T104&gt;1," (+"&amp;($T104-1)&amp;" more)",""))</f>
        <v/>
      </c>
      <c r="W104" s="52">
        <f>IF(AND(COUNTA($A104:$L104)&gt;0,$A104=""),1,0)</f>
        <v>0</v>
      </c>
      <c r="X104" s="52">
        <f>IF(AND(COUNTA($A104:$L104)&gt;0,$A104&lt;&gt;""),IF(COUNTIF($A$1:$A103,$A104)&gt;0,1,0),0)</f>
        <v>0</v>
      </c>
      <c r="Y104" s="52">
        <f>IF(AND(COUNTA($A104:$L104)&gt;0,$A104&lt;&gt;""),IF(COUNTIF(Inventory_Ledger!$A$2:$A$2001,$A104)&gt;0,1,0),0)</f>
        <v>0</v>
      </c>
      <c r="Z104" s="52">
        <f>IF(AND(COUNTA($A104:$L104)&gt;0,$B104=""),1,0)</f>
        <v>0</v>
      </c>
      <c r="AA104" s="52">
        <f>IF(AND(COUNTA($A104:$L104)&gt;0,$B104&lt;&gt;""),IF($M104="ERR",1,0),0)</f>
        <v>0</v>
      </c>
      <c r="AB104" s="52">
        <f>IF(AND(COUNTA($A104:$L104)&gt;0,ISNUMBER($M104)),IF($M104&gt;Config!$B$4,1,0),0)</f>
        <v>0</v>
      </c>
      <c r="AC104" s="52">
        <f>IF(AND(COUNTA($A104:$L104)&gt;0,$C104=""),1,0)</f>
        <v>0</v>
      </c>
      <c r="AD104" s="52">
        <f>IF(AND(COUNTA($A104:$L104)&gt;0,$C104&lt;&gt;""),IF(COUNTIF(Config!$A$15:$A$34,$C104)=0,1,0),0)</f>
        <v>0</v>
      </c>
      <c r="AE104" s="52">
        <f>IF(AND(COUNTA($A104:$L104)&gt;0,$D104=""),1,0)</f>
        <v>0</v>
      </c>
      <c r="AF104" s="52">
        <f>IF(AND(COUNTA($A104:$L104)&gt;0,$D104&lt;&gt;""),IF(COUNTIF(Products!$A$2:$A$101,$D104)=0,1,0),0)</f>
        <v>0</v>
      </c>
      <c r="AG104" s="52">
        <f>IF(AND(COUNTA($A104:$L104)&gt;0,$C104="Receipt",$E104=""),1,0)</f>
        <v>0</v>
      </c>
      <c r="AH104" s="52">
        <f>IF(AND(COUNTA($A104:$L104)&gt;0,$E104&lt;&gt;""),IF(COUNTIF(Suppliers!$A$2:$A$51,$E104)=0,1,0),0)</f>
        <v>0</v>
      </c>
      <c r="AI104" s="52">
        <f>IF(AND(COUNTA($A104:$L104)&gt;0,$F104=""),1,0)</f>
        <v>0</v>
      </c>
      <c r="AJ104" s="52">
        <f>IF(AND(COUNTA($A104:$L104)&gt;0,$F104&lt;&gt;"",$D104&lt;&gt;"",OR($C104="Shipment",$C104="Adjustment")),IF($AF104=1,0,IF(COUNTIFS(Batches!$A$2:$A$301,$F104,Batches!$B$2:$B$301,$D104)+COUNTIFS($F$1:$F103,$F104,$D$1:$D103,$D104,$C$1:$C103,"Receipt")=0,1,0)),0)</f>
        <v>0</v>
      </c>
      <c r="AK104" s="52">
        <f>IF(AND(COUNTA($A104:$L104)&gt;0,$C104="Receipt",$G104=""),1,0)</f>
        <v>0</v>
      </c>
      <c r="AL104" s="52">
        <f>IF(AND(COUNTA($A104:$L104)&gt;0,$G104&lt;&gt;""),IF($N104="ERR",1,0),0)</f>
        <v>0</v>
      </c>
      <c r="AM104" s="52">
        <f>IF(AND(COUNTA($A104:$L104)&gt;0,$H104=""),1,0)</f>
        <v>0</v>
      </c>
      <c r="AN104" s="52">
        <f>IF(AND(COUNTA($A104:$L104)&gt;0,$H104&lt;&gt;""),IF($O104="ERR",1,IF(INT($O104)&lt;&gt;$O104,1,IF(AND(OR($C104="Receipt",$C104="Shipment"),$O104&lt;=0),1,IF(AND($C104="Adjustment",$O104=0),1,0)))),0)</f>
        <v>0</v>
      </c>
      <c r="AO104" s="52">
        <f>IF(AND(COUNTA($A104:$L104)&gt;0,$C104="Receipt",$I104=""),1,0)</f>
        <v>0</v>
      </c>
      <c r="AP104" s="52">
        <f>IF(AND(COUNTA($A104:$L104)&gt;0,$I104&lt;&gt;""),IF(IFERROR(INDEX(Config!$G$15:$G$34,MATCH($I104,Config!$E$15:$E$34,0)),"No")="Yes",0,1),0)</f>
        <v>0</v>
      </c>
      <c r="AQ104" s="52">
        <f>IF(AND(COUNTA($A104:$L104)&gt;0,$C104="Adjustment",$J104=""),1,0)</f>
        <v>0</v>
      </c>
      <c r="AR104" s="52">
        <f>IF(AND(COUNTA($A104:$L104)&gt;0,$L104=""),1,0)</f>
        <v>0</v>
      </c>
      <c r="AS104" s="52">
        <f>IF(AND(COUNTA($A104:$L104)&gt;0,ISNUMBER($S104)),IF($S104&lt;0,1,0),0)</f>
        <v>0</v>
      </c>
      <c r="AT104" s="52">
        <f>$W104</f>
        <v>0</v>
      </c>
      <c r="AU104" s="52">
        <f>$AT104+$X104</f>
        <v>0</v>
      </c>
      <c r="AV104" s="52">
        <f>$AU104+$Y104</f>
        <v>0</v>
      </c>
      <c r="AW104" s="52">
        <f>$AV104+$Z104</f>
        <v>0</v>
      </c>
      <c r="AX104" s="52">
        <f>$AW104+$AA104</f>
        <v>0</v>
      </c>
      <c r="AY104" s="52">
        <f>$AX104+$AB104</f>
        <v>0</v>
      </c>
      <c r="AZ104" s="52">
        <f>$AY104+$AC104</f>
        <v>0</v>
      </c>
      <c r="BA104" s="52">
        <f>$AZ104+$AD104</f>
        <v>0</v>
      </c>
      <c r="BB104" s="52">
        <f>$BA104+$AE104</f>
        <v>0</v>
      </c>
      <c r="BC104" s="52">
        <f>$BB104+$AF104</f>
        <v>0</v>
      </c>
      <c r="BD104" s="52">
        <f>$BC104+$AG104</f>
        <v>0</v>
      </c>
      <c r="BE104" s="52">
        <f>$BD104+$AH104</f>
        <v>0</v>
      </c>
      <c r="BF104" s="52">
        <f>$BE104+$AI104</f>
        <v>0</v>
      </c>
      <c r="BG104" s="52">
        <f>$BF104+$AJ104</f>
        <v>0</v>
      </c>
      <c r="BH104" s="52">
        <f>$BG104+$AK104</f>
        <v>0</v>
      </c>
      <c r="BI104" s="52">
        <f>$BH104+$AL104</f>
        <v>0</v>
      </c>
      <c r="BJ104" s="52">
        <f>$BI104+$AM104</f>
        <v>0</v>
      </c>
      <c r="BK104" s="52">
        <f>$BJ104+$AN104</f>
        <v>0</v>
      </c>
      <c r="BL104" s="52">
        <f>$BK104+$AO104</f>
        <v>0</v>
      </c>
      <c r="BM104" s="52">
        <f>$BL104+$AP104</f>
        <v>0</v>
      </c>
      <c r="BN104" s="52">
        <f>$BM104+$AQ104</f>
        <v>0</v>
      </c>
      <c r="BO104" s="52">
        <f>$BN104+$AR104</f>
        <v>0</v>
      </c>
      <c r="BP104" s="52">
        <f>$BO104+$AS104</f>
        <v>0</v>
      </c>
      <c r="BQ104" s="52">
        <f>SUM($T$1:$T103)</f>
        <v>11</v>
      </c>
      <c r="BR104" s="52" t="str">
        <f>IF(ISNUMBER($T104),IF($T104&gt;0,COUNTIF($T$2:$T104,"&gt;0"),""),"")</f>
        <v/>
      </c>
      <c r="BS104" s="52" t="str">
        <f>IF($BR104="","",$BQ104+$T104)</f>
        <v/>
      </c>
      <c r="BT104" s="52" t="str">
        <f>IF($U104="Ready",COUNTIF($U$2:$U104,"Ready"),"")</f>
        <v/>
      </c>
      <c r="BU104" s="52">
        <f>IF(AND($U104="Ready",$C104="Receipt"),IF(COUNTIF(Batches!$A$2:$A$301,$F104)+COUNTIFS($F$1:$F103,$F104,$C$1:$C103,"Receipt",$U$1:$U103,"Ready")=0,1,0),0)</f>
        <v>0</v>
      </c>
      <c r="BV104" s="52" t="str">
        <f>IF($BU104=1,SUM($BU$2:$BU104),"")</f>
        <v/>
      </c>
    </row>
    <row r="105">
      <c r="A105" s="46" t="n"/>
      <c r="B105" s="46" t="n"/>
      <c r="C105" s="46" t="n"/>
      <c r="D105" s="46" t="n"/>
      <c r="E105" s="46" t="n"/>
      <c r="F105" s="46" t="n"/>
      <c r="G105" s="46" t="n"/>
      <c r="H105" s="46" t="n"/>
      <c r="I105" s="46" t="n"/>
      <c r="J105" s="46" t="n"/>
      <c r="K105" s="46" t="n"/>
      <c r="L105" s="46" t="n"/>
      <c r="M105" s="62" t="str">
        <f>IF($B105="","",IF(ISNUMBER($B105),$B105,IF(AND(LEN($B105)=10,MID($B105,5,1)="-",MID($B105,8,1)="-"),IFERROR(IF(AND(MONTH(DATE(VALUE(LEFT($B105,4)),VALUE(MID($B105,6,2)),VALUE(RIGHT($B105,2))))=VALUE(MID($B105,6,2)),DAY(DATE(VALUE(LEFT($B105,4)),VALUE(MID($B105,6,2)),VALUE(RIGHT($B105,2))))=VALUE(RIGHT($B105,2))),DATE(VALUE(LEFT($B105,4)),VALUE(MID($B105,6,2)),VALUE(RIGHT($B105,2))),"ERR"),"ERR"),"ERR")))</f>
        <v/>
      </c>
      <c r="N105" s="62" t="str">
        <f>IF($G105="","",IF(ISNUMBER($G105),$G105,IF(AND(LEN($G105)=10,MID($G105,5,1)="-",MID($G105,8,1)="-"),IFERROR(IF(AND(MONTH(DATE(VALUE(LEFT($G105,4)),VALUE(MID($G105,6,2)),VALUE(RIGHT($G105,2))))=VALUE(MID($G105,6,2)),DAY(DATE(VALUE(LEFT($G105,4)),VALUE(MID($G105,6,2)),VALUE(RIGHT($G105,2))))=VALUE(RIGHT($G105,2))),DATE(VALUE(LEFT($G105,4)),VALUE(MID($G105,6,2)),VALUE(RIGHT($G105,2))),"ERR"),"ERR"),"ERR")))</f>
        <v/>
      </c>
      <c r="O105" s="51" t="str">
        <f>IF($H105="","",IF(ISNUMBER($H105),$H105,IFERROR(VALUE($H105),"ERR")))</f>
        <v/>
      </c>
      <c r="P105" s="51" t="str">
        <f>IF(AND(ISNUMBER($O105),OR($C105="Receipt",$C105="Shipment",$C105="Adjustment")),IF($C105="Shipment",-$O105,$O105),"")</f>
        <v/>
      </c>
      <c r="Q105" s="51" t="str">
        <f>IF($D105="","",IFERROR(INDEX(Products!$R$2:$R$101,MATCH($D105,Products!$A$2:$A$101,0)),""))</f>
        <v/>
      </c>
      <c r="R105" s="51" t="str">
        <f>IF(OR($Q105="",$P105=""),"",$Q105+SUMIFS($P$1:$P104,$D$1:$D104,$D105,$U$1:$U104,"Ready"))</f>
        <v/>
      </c>
      <c r="S105" s="51" t="str">
        <f>IF($R105="","",$R105+$P105)</f>
        <v/>
      </c>
      <c r="T105" s="52" t="str">
        <f>IF(COUNTA($A105:$L105)&gt;0,$BP105,"")</f>
        <v/>
      </c>
      <c r="U105" s="49" t="str">
        <f>IF($T105="","",IF($T105=0,"Ready","Rejected"))</f>
        <v/>
      </c>
      <c r="V105" s="49" t="str">
        <f>IF(OR($T105="",$T105=0),"",INDEX(Config!$D$39:$D$61,MATCH(1,$AT105:$BP105,0))&amp;IF($T105&gt;1," (+"&amp;($T105-1)&amp;" more)",""))</f>
        <v/>
      </c>
      <c r="W105" s="52">
        <f>IF(AND(COUNTA($A105:$L105)&gt;0,$A105=""),1,0)</f>
        <v>0</v>
      </c>
      <c r="X105" s="52">
        <f>IF(AND(COUNTA($A105:$L105)&gt;0,$A105&lt;&gt;""),IF(COUNTIF($A$1:$A104,$A105)&gt;0,1,0),0)</f>
        <v>0</v>
      </c>
      <c r="Y105" s="52">
        <f>IF(AND(COUNTA($A105:$L105)&gt;0,$A105&lt;&gt;""),IF(COUNTIF(Inventory_Ledger!$A$2:$A$2001,$A105)&gt;0,1,0),0)</f>
        <v>0</v>
      </c>
      <c r="Z105" s="52">
        <f>IF(AND(COUNTA($A105:$L105)&gt;0,$B105=""),1,0)</f>
        <v>0</v>
      </c>
      <c r="AA105" s="52">
        <f>IF(AND(COUNTA($A105:$L105)&gt;0,$B105&lt;&gt;""),IF($M105="ERR",1,0),0)</f>
        <v>0</v>
      </c>
      <c r="AB105" s="52">
        <f>IF(AND(COUNTA($A105:$L105)&gt;0,ISNUMBER($M105)),IF($M105&gt;Config!$B$4,1,0),0)</f>
        <v>0</v>
      </c>
      <c r="AC105" s="52">
        <f>IF(AND(COUNTA($A105:$L105)&gt;0,$C105=""),1,0)</f>
        <v>0</v>
      </c>
      <c r="AD105" s="52">
        <f>IF(AND(COUNTA($A105:$L105)&gt;0,$C105&lt;&gt;""),IF(COUNTIF(Config!$A$15:$A$34,$C105)=0,1,0),0)</f>
        <v>0</v>
      </c>
      <c r="AE105" s="52">
        <f>IF(AND(COUNTA($A105:$L105)&gt;0,$D105=""),1,0)</f>
        <v>0</v>
      </c>
      <c r="AF105" s="52">
        <f>IF(AND(COUNTA($A105:$L105)&gt;0,$D105&lt;&gt;""),IF(COUNTIF(Products!$A$2:$A$101,$D105)=0,1,0),0)</f>
        <v>0</v>
      </c>
      <c r="AG105" s="52">
        <f>IF(AND(COUNTA($A105:$L105)&gt;0,$C105="Receipt",$E105=""),1,0)</f>
        <v>0</v>
      </c>
      <c r="AH105" s="52">
        <f>IF(AND(COUNTA($A105:$L105)&gt;0,$E105&lt;&gt;""),IF(COUNTIF(Suppliers!$A$2:$A$51,$E105)=0,1,0),0)</f>
        <v>0</v>
      </c>
      <c r="AI105" s="52">
        <f>IF(AND(COUNTA($A105:$L105)&gt;0,$F105=""),1,0)</f>
        <v>0</v>
      </c>
      <c r="AJ105" s="52">
        <f>IF(AND(COUNTA($A105:$L105)&gt;0,$F105&lt;&gt;"",$D105&lt;&gt;"",OR($C105="Shipment",$C105="Adjustment")),IF($AF105=1,0,IF(COUNTIFS(Batches!$A$2:$A$301,$F105,Batches!$B$2:$B$301,$D105)+COUNTIFS($F$1:$F104,$F105,$D$1:$D104,$D105,$C$1:$C104,"Receipt")=0,1,0)),0)</f>
        <v>0</v>
      </c>
      <c r="AK105" s="52">
        <f>IF(AND(COUNTA($A105:$L105)&gt;0,$C105="Receipt",$G105=""),1,0)</f>
        <v>0</v>
      </c>
      <c r="AL105" s="52">
        <f>IF(AND(COUNTA($A105:$L105)&gt;0,$G105&lt;&gt;""),IF($N105="ERR",1,0),0)</f>
        <v>0</v>
      </c>
      <c r="AM105" s="52">
        <f>IF(AND(COUNTA($A105:$L105)&gt;0,$H105=""),1,0)</f>
        <v>0</v>
      </c>
      <c r="AN105" s="52">
        <f>IF(AND(COUNTA($A105:$L105)&gt;0,$H105&lt;&gt;""),IF($O105="ERR",1,IF(INT($O105)&lt;&gt;$O105,1,IF(AND(OR($C105="Receipt",$C105="Shipment"),$O105&lt;=0),1,IF(AND($C105="Adjustment",$O105=0),1,0)))),0)</f>
        <v>0</v>
      </c>
      <c r="AO105" s="52">
        <f>IF(AND(COUNTA($A105:$L105)&gt;0,$C105="Receipt",$I105=""),1,0)</f>
        <v>0</v>
      </c>
      <c r="AP105" s="52">
        <f>IF(AND(COUNTA($A105:$L105)&gt;0,$I105&lt;&gt;""),IF(IFERROR(INDEX(Config!$G$15:$G$34,MATCH($I105,Config!$E$15:$E$34,0)),"No")="Yes",0,1),0)</f>
        <v>0</v>
      </c>
      <c r="AQ105" s="52">
        <f>IF(AND(COUNTA($A105:$L105)&gt;0,$C105="Adjustment",$J105=""),1,0)</f>
        <v>0</v>
      </c>
      <c r="AR105" s="52">
        <f>IF(AND(COUNTA($A105:$L105)&gt;0,$L105=""),1,0)</f>
        <v>0</v>
      </c>
      <c r="AS105" s="52">
        <f>IF(AND(COUNTA($A105:$L105)&gt;0,ISNUMBER($S105)),IF($S105&lt;0,1,0),0)</f>
        <v>0</v>
      </c>
      <c r="AT105" s="52">
        <f>$W105</f>
        <v>0</v>
      </c>
      <c r="AU105" s="52">
        <f>$AT105+$X105</f>
        <v>0</v>
      </c>
      <c r="AV105" s="52">
        <f>$AU105+$Y105</f>
        <v>0</v>
      </c>
      <c r="AW105" s="52">
        <f>$AV105+$Z105</f>
        <v>0</v>
      </c>
      <c r="AX105" s="52">
        <f>$AW105+$AA105</f>
        <v>0</v>
      </c>
      <c r="AY105" s="52">
        <f>$AX105+$AB105</f>
        <v>0</v>
      </c>
      <c r="AZ105" s="52">
        <f>$AY105+$AC105</f>
        <v>0</v>
      </c>
      <c r="BA105" s="52">
        <f>$AZ105+$AD105</f>
        <v>0</v>
      </c>
      <c r="BB105" s="52">
        <f>$BA105+$AE105</f>
        <v>0</v>
      </c>
      <c r="BC105" s="52">
        <f>$BB105+$AF105</f>
        <v>0</v>
      </c>
      <c r="BD105" s="52">
        <f>$BC105+$AG105</f>
        <v>0</v>
      </c>
      <c r="BE105" s="52">
        <f>$BD105+$AH105</f>
        <v>0</v>
      </c>
      <c r="BF105" s="52">
        <f>$BE105+$AI105</f>
        <v>0</v>
      </c>
      <c r="BG105" s="52">
        <f>$BF105+$AJ105</f>
        <v>0</v>
      </c>
      <c r="BH105" s="52">
        <f>$BG105+$AK105</f>
        <v>0</v>
      </c>
      <c r="BI105" s="52">
        <f>$BH105+$AL105</f>
        <v>0</v>
      </c>
      <c r="BJ105" s="52">
        <f>$BI105+$AM105</f>
        <v>0</v>
      </c>
      <c r="BK105" s="52">
        <f>$BJ105+$AN105</f>
        <v>0</v>
      </c>
      <c r="BL105" s="52">
        <f>$BK105+$AO105</f>
        <v>0</v>
      </c>
      <c r="BM105" s="52">
        <f>$BL105+$AP105</f>
        <v>0</v>
      </c>
      <c r="BN105" s="52">
        <f>$BM105+$AQ105</f>
        <v>0</v>
      </c>
      <c r="BO105" s="52">
        <f>$BN105+$AR105</f>
        <v>0</v>
      </c>
      <c r="BP105" s="52">
        <f>$BO105+$AS105</f>
        <v>0</v>
      </c>
      <c r="BQ105" s="52">
        <f>SUM($T$1:$T104)</f>
        <v>11</v>
      </c>
      <c r="BR105" s="52" t="str">
        <f>IF(ISNUMBER($T105),IF($T105&gt;0,COUNTIF($T$2:$T105,"&gt;0"),""),"")</f>
        <v/>
      </c>
      <c r="BS105" s="52" t="str">
        <f>IF($BR105="","",$BQ105+$T105)</f>
        <v/>
      </c>
      <c r="BT105" s="52" t="str">
        <f>IF($U105="Ready",COUNTIF($U$2:$U105,"Ready"),"")</f>
        <v/>
      </c>
      <c r="BU105" s="52">
        <f>IF(AND($U105="Ready",$C105="Receipt"),IF(COUNTIF(Batches!$A$2:$A$301,$F105)+COUNTIFS($F$1:$F104,$F105,$C$1:$C104,"Receipt",$U$1:$U104,"Ready")=0,1,0),0)</f>
        <v>0</v>
      </c>
      <c r="BV105" s="52" t="str">
        <f>IF($BU105=1,SUM($BU$2:$BU105),"")</f>
        <v/>
      </c>
    </row>
    <row r="106">
      <c r="A106" s="46" t="n"/>
      <c r="B106" s="46" t="n"/>
      <c r="C106" s="46" t="n"/>
      <c r="D106" s="46" t="n"/>
      <c r="E106" s="46" t="n"/>
      <c r="F106" s="46" t="n"/>
      <c r="G106" s="46" t="n"/>
      <c r="H106" s="46" t="n"/>
      <c r="I106" s="46" t="n"/>
      <c r="J106" s="46" t="n"/>
      <c r="K106" s="46" t="n"/>
      <c r="L106" s="46" t="n"/>
      <c r="M106" s="62" t="str">
        <f>IF($B106="","",IF(ISNUMBER($B106),$B106,IF(AND(LEN($B106)=10,MID($B106,5,1)="-",MID($B106,8,1)="-"),IFERROR(IF(AND(MONTH(DATE(VALUE(LEFT($B106,4)),VALUE(MID($B106,6,2)),VALUE(RIGHT($B106,2))))=VALUE(MID($B106,6,2)),DAY(DATE(VALUE(LEFT($B106,4)),VALUE(MID($B106,6,2)),VALUE(RIGHT($B106,2))))=VALUE(RIGHT($B106,2))),DATE(VALUE(LEFT($B106,4)),VALUE(MID($B106,6,2)),VALUE(RIGHT($B106,2))),"ERR"),"ERR"),"ERR")))</f>
        <v/>
      </c>
      <c r="N106" s="62" t="str">
        <f>IF($G106="","",IF(ISNUMBER($G106),$G106,IF(AND(LEN($G106)=10,MID($G106,5,1)="-",MID($G106,8,1)="-"),IFERROR(IF(AND(MONTH(DATE(VALUE(LEFT($G106,4)),VALUE(MID($G106,6,2)),VALUE(RIGHT($G106,2))))=VALUE(MID($G106,6,2)),DAY(DATE(VALUE(LEFT($G106,4)),VALUE(MID($G106,6,2)),VALUE(RIGHT($G106,2))))=VALUE(RIGHT($G106,2))),DATE(VALUE(LEFT($G106,4)),VALUE(MID($G106,6,2)),VALUE(RIGHT($G106,2))),"ERR"),"ERR"),"ERR")))</f>
        <v/>
      </c>
      <c r="O106" s="51" t="str">
        <f>IF($H106="","",IF(ISNUMBER($H106),$H106,IFERROR(VALUE($H106),"ERR")))</f>
        <v/>
      </c>
      <c r="P106" s="51" t="str">
        <f>IF(AND(ISNUMBER($O106),OR($C106="Receipt",$C106="Shipment",$C106="Adjustment")),IF($C106="Shipment",-$O106,$O106),"")</f>
        <v/>
      </c>
      <c r="Q106" s="51" t="str">
        <f>IF($D106="","",IFERROR(INDEX(Products!$R$2:$R$101,MATCH($D106,Products!$A$2:$A$101,0)),""))</f>
        <v/>
      </c>
      <c r="R106" s="51" t="str">
        <f>IF(OR($Q106="",$P106=""),"",$Q106+SUMIFS($P$1:$P105,$D$1:$D105,$D106,$U$1:$U105,"Ready"))</f>
        <v/>
      </c>
      <c r="S106" s="51" t="str">
        <f>IF($R106="","",$R106+$P106)</f>
        <v/>
      </c>
      <c r="T106" s="52" t="str">
        <f>IF(COUNTA($A106:$L106)&gt;0,$BP106,"")</f>
        <v/>
      </c>
      <c r="U106" s="49" t="str">
        <f>IF($T106="","",IF($T106=0,"Ready","Rejected"))</f>
        <v/>
      </c>
      <c r="V106" s="49" t="str">
        <f>IF(OR($T106="",$T106=0),"",INDEX(Config!$D$39:$D$61,MATCH(1,$AT106:$BP106,0))&amp;IF($T106&gt;1," (+"&amp;($T106-1)&amp;" more)",""))</f>
        <v/>
      </c>
      <c r="W106" s="52">
        <f>IF(AND(COUNTA($A106:$L106)&gt;0,$A106=""),1,0)</f>
        <v>0</v>
      </c>
      <c r="X106" s="52">
        <f>IF(AND(COUNTA($A106:$L106)&gt;0,$A106&lt;&gt;""),IF(COUNTIF($A$1:$A105,$A106)&gt;0,1,0),0)</f>
        <v>0</v>
      </c>
      <c r="Y106" s="52">
        <f>IF(AND(COUNTA($A106:$L106)&gt;0,$A106&lt;&gt;""),IF(COUNTIF(Inventory_Ledger!$A$2:$A$2001,$A106)&gt;0,1,0),0)</f>
        <v>0</v>
      </c>
      <c r="Z106" s="52">
        <f>IF(AND(COUNTA($A106:$L106)&gt;0,$B106=""),1,0)</f>
        <v>0</v>
      </c>
      <c r="AA106" s="52">
        <f>IF(AND(COUNTA($A106:$L106)&gt;0,$B106&lt;&gt;""),IF($M106="ERR",1,0),0)</f>
        <v>0</v>
      </c>
      <c r="AB106" s="52">
        <f>IF(AND(COUNTA($A106:$L106)&gt;0,ISNUMBER($M106)),IF($M106&gt;Config!$B$4,1,0),0)</f>
        <v>0</v>
      </c>
      <c r="AC106" s="52">
        <f>IF(AND(COUNTA($A106:$L106)&gt;0,$C106=""),1,0)</f>
        <v>0</v>
      </c>
      <c r="AD106" s="52">
        <f>IF(AND(COUNTA($A106:$L106)&gt;0,$C106&lt;&gt;""),IF(COUNTIF(Config!$A$15:$A$34,$C106)=0,1,0),0)</f>
        <v>0</v>
      </c>
      <c r="AE106" s="52">
        <f>IF(AND(COUNTA($A106:$L106)&gt;0,$D106=""),1,0)</f>
        <v>0</v>
      </c>
      <c r="AF106" s="52">
        <f>IF(AND(COUNTA($A106:$L106)&gt;0,$D106&lt;&gt;""),IF(COUNTIF(Products!$A$2:$A$101,$D106)=0,1,0),0)</f>
        <v>0</v>
      </c>
      <c r="AG106" s="52">
        <f>IF(AND(COUNTA($A106:$L106)&gt;0,$C106="Receipt",$E106=""),1,0)</f>
        <v>0</v>
      </c>
      <c r="AH106" s="52">
        <f>IF(AND(COUNTA($A106:$L106)&gt;0,$E106&lt;&gt;""),IF(COUNTIF(Suppliers!$A$2:$A$51,$E106)=0,1,0),0)</f>
        <v>0</v>
      </c>
      <c r="AI106" s="52">
        <f>IF(AND(COUNTA($A106:$L106)&gt;0,$F106=""),1,0)</f>
        <v>0</v>
      </c>
      <c r="AJ106" s="52">
        <f>IF(AND(COUNTA($A106:$L106)&gt;0,$F106&lt;&gt;"",$D106&lt;&gt;"",OR($C106="Shipment",$C106="Adjustment")),IF($AF106=1,0,IF(COUNTIFS(Batches!$A$2:$A$301,$F106,Batches!$B$2:$B$301,$D106)+COUNTIFS($F$1:$F105,$F106,$D$1:$D105,$D106,$C$1:$C105,"Receipt")=0,1,0)),0)</f>
        <v>0</v>
      </c>
      <c r="AK106" s="52">
        <f>IF(AND(COUNTA($A106:$L106)&gt;0,$C106="Receipt",$G106=""),1,0)</f>
        <v>0</v>
      </c>
      <c r="AL106" s="52">
        <f>IF(AND(COUNTA($A106:$L106)&gt;0,$G106&lt;&gt;""),IF($N106="ERR",1,0),0)</f>
        <v>0</v>
      </c>
      <c r="AM106" s="52">
        <f>IF(AND(COUNTA($A106:$L106)&gt;0,$H106=""),1,0)</f>
        <v>0</v>
      </c>
      <c r="AN106" s="52">
        <f>IF(AND(COUNTA($A106:$L106)&gt;0,$H106&lt;&gt;""),IF($O106="ERR",1,IF(INT($O106)&lt;&gt;$O106,1,IF(AND(OR($C106="Receipt",$C106="Shipment"),$O106&lt;=0),1,IF(AND($C106="Adjustment",$O106=0),1,0)))),0)</f>
        <v>0</v>
      </c>
      <c r="AO106" s="52">
        <f>IF(AND(COUNTA($A106:$L106)&gt;0,$C106="Receipt",$I106=""),1,0)</f>
        <v>0</v>
      </c>
      <c r="AP106" s="52">
        <f>IF(AND(COUNTA($A106:$L106)&gt;0,$I106&lt;&gt;""),IF(IFERROR(INDEX(Config!$G$15:$G$34,MATCH($I106,Config!$E$15:$E$34,0)),"No")="Yes",0,1),0)</f>
        <v>0</v>
      </c>
      <c r="AQ106" s="52">
        <f>IF(AND(COUNTA($A106:$L106)&gt;0,$C106="Adjustment",$J106=""),1,0)</f>
        <v>0</v>
      </c>
      <c r="AR106" s="52">
        <f>IF(AND(COUNTA($A106:$L106)&gt;0,$L106=""),1,0)</f>
        <v>0</v>
      </c>
      <c r="AS106" s="52">
        <f>IF(AND(COUNTA($A106:$L106)&gt;0,ISNUMBER($S106)),IF($S106&lt;0,1,0),0)</f>
        <v>0</v>
      </c>
      <c r="AT106" s="52">
        <f>$W106</f>
        <v>0</v>
      </c>
      <c r="AU106" s="52">
        <f>$AT106+$X106</f>
        <v>0</v>
      </c>
      <c r="AV106" s="52">
        <f>$AU106+$Y106</f>
        <v>0</v>
      </c>
      <c r="AW106" s="52">
        <f>$AV106+$Z106</f>
        <v>0</v>
      </c>
      <c r="AX106" s="52">
        <f>$AW106+$AA106</f>
        <v>0</v>
      </c>
      <c r="AY106" s="52">
        <f>$AX106+$AB106</f>
        <v>0</v>
      </c>
      <c r="AZ106" s="52">
        <f>$AY106+$AC106</f>
        <v>0</v>
      </c>
      <c r="BA106" s="52">
        <f>$AZ106+$AD106</f>
        <v>0</v>
      </c>
      <c r="BB106" s="52">
        <f>$BA106+$AE106</f>
        <v>0</v>
      </c>
      <c r="BC106" s="52">
        <f>$BB106+$AF106</f>
        <v>0</v>
      </c>
      <c r="BD106" s="52">
        <f>$BC106+$AG106</f>
        <v>0</v>
      </c>
      <c r="BE106" s="52">
        <f>$BD106+$AH106</f>
        <v>0</v>
      </c>
      <c r="BF106" s="52">
        <f>$BE106+$AI106</f>
        <v>0</v>
      </c>
      <c r="BG106" s="52">
        <f>$BF106+$AJ106</f>
        <v>0</v>
      </c>
      <c r="BH106" s="52">
        <f>$BG106+$AK106</f>
        <v>0</v>
      </c>
      <c r="BI106" s="52">
        <f>$BH106+$AL106</f>
        <v>0</v>
      </c>
      <c r="BJ106" s="52">
        <f>$BI106+$AM106</f>
        <v>0</v>
      </c>
      <c r="BK106" s="52">
        <f>$BJ106+$AN106</f>
        <v>0</v>
      </c>
      <c r="BL106" s="52">
        <f>$BK106+$AO106</f>
        <v>0</v>
      </c>
      <c r="BM106" s="52">
        <f>$BL106+$AP106</f>
        <v>0</v>
      </c>
      <c r="BN106" s="52">
        <f>$BM106+$AQ106</f>
        <v>0</v>
      </c>
      <c r="BO106" s="52">
        <f>$BN106+$AR106</f>
        <v>0</v>
      </c>
      <c r="BP106" s="52">
        <f>$BO106+$AS106</f>
        <v>0</v>
      </c>
      <c r="BQ106" s="52">
        <f>SUM($T$1:$T105)</f>
        <v>11</v>
      </c>
      <c r="BR106" s="52" t="str">
        <f>IF(ISNUMBER($T106),IF($T106&gt;0,COUNTIF($T$2:$T106,"&gt;0"),""),"")</f>
        <v/>
      </c>
      <c r="BS106" s="52" t="str">
        <f>IF($BR106="","",$BQ106+$T106)</f>
        <v/>
      </c>
      <c r="BT106" s="52" t="str">
        <f>IF($U106="Ready",COUNTIF($U$2:$U106,"Ready"),"")</f>
        <v/>
      </c>
      <c r="BU106" s="52">
        <f>IF(AND($U106="Ready",$C106="Receipt"),IF(COUNTIF(Batches!$A$2:$A$301,$F106)+COUNTIFS($F$1:$F105,$F106,$C$1:$C105,"Receipt",$U$1:$U105,"Ready")=0,1,0),0)</f>
        <v>0</v>
      </c>
      <c r="BV106" s="52" t="str">
        <f>IF($BU106=1,SUM($BU$2:$BU106),"")</f>
        <v/>
      </c>
    </row>
    <row r="107">
      <c r="A107" s="46" t="n"/>
      <c r="B107" s="46" t="n"/>
      <c r="C107" s="46" t="n"/>
      <c r="D107" s="46" t="n"/>
      <c r="E107" s="46" t="n"/>
      <c r="F107" s="46" t="n"/>
      <c r="G107" s="46" t="n"/>
      <c r="H107" s="46" t="n"/>
      <c r="I107" s="46" t="n"/>
      <c r="J107" s="46" t="n"/>
      <c r="K107" s="46" t="n"/>
      <c r="L107" s="46" t="n"/>
      <c r="M107" s="62" t="str">
        <f>IF($B107="","",IF(ISNUMBER($B107),$B107,IF(AND(LEN($B107)=10,MID($B107,5,1)="-",MID($B107,8,1)="-"),IFERROR(IF(AND(MONTH(DATE(VALUE(LEFT($B107,4)),VALUE(MID($B107,6,2)),VALUE(RIGHT($B107,2))))=VALUE(MID($B107,6,2)),DAY(DATE(VALUE(LEFT($B107,4)),VALUE(MID($B107,6,2)),VALUE(RIGHT($B107,2))))=VALUE(RIGHT($B107,2))),DATE(VALUE(LEFT($B107,4)),VALUE(MID($B107,6,2)),VALUE(RIGHT($B107,2))),"ERR"),"ERR"),"ERR")))</f>
        <v/>
      </c>
      <c r="N107" s="62" t="str">
        <f>IF($G107="","",IF(ISNUMBER($G107),$G107,IF(AND(LEN($G107)=10,MID($G107,5,1)="-",MID($G107,8,1)="-"),IFERROR(IF(AND(MONTH(DATE(VALUE(LEFT($G107,4)),VALUE(MID($G107,6,2)),VALUE(RIGHT($G107,2))))=VALUE(MID($G107,6,2)),DAY(DATE(VALUE(LEFT($G107,4)),VALUE(MID($G107,6,2)),VALUE(RIGHT($G107,2))))=VALUE(RIGHT($G107,2))),DATE(VALUE(LEFT($G107,4)),VALUE(MID($G107,6,2)),VALUE(RIGHT($G107,2))),"ERR"),"ERR"),"ERR")))</f>
        <v/>
      </c>
      <c r="O107" s="51" t="str">
        <f>IF($H107="","",IF(ISNUMBER($H107),$H107,IFERROR(VALUE($H107),"ERR")))</f>
        <v/>
      </c>
      <c r="P107" s="51" t="str">
        <f>IF(AND(ISNUMBER($O107),OR($C107="Receipt",$C107="Shipment",$C107="Adjustment")),IF($C107="Shipment",-$O107,$O107),"")</f>
        <v/>
      </c>
      <c r="Q107" s="51" t="str">
        <f>IF($D107="","",IFERROR(INDEX(Products!$R$2:$R$101,MATCH($D107,Products!$A$2:$A$101,0)),""))</f>
        <v/>
      </c>
      <c r="R107" s="51" t="str">
        <f>IF(OR($Q107="",$P107=""),"",$Q107+SUMIFS($P$1:$P106,$D$1:$D106,$D107,$U$1:$U106,"Ready"))</f>
        <v/>
      </c>
      <c r="S107" s="51" t="str">
        <f>IF($R107="","",$R107+$P107)</f>
        <v/>
      </c>
      <c r="T107" s="52" t="str">
        <f>IF(COUNTA($A107:$L107)&gt;0,$BP107,"")</f>
        <v/>
      </c>
      <c r="U107" s="49" t="str">
        <f>IF($T107="","",IF($T107=0,"Ready","Rejected"))</f>
        <v/>
      </c>
      <c r="V107" s="49" t="str">
        <f>IF(OR($T107="",$T107=0),"",INDEX(Config!$D$39:$D$61,MATCH(1,$AT107:$BP107,0))&amp;IF($T107&gt;1," (+"&amp;($T107-1)&amp;" more)",""))</f>
        <v/>
      </c>
      <c r="W107" s="52">
        <f>IF(AND(COUNTA($A107:$L107)&gt;0,$A107=""),1,0)</f>
        <v>0</v>
      </c>
      <c r="X107" s="52">
        <f>IF(AND(COUNTA($A107:$L107)&gt;0,$A107&lt;&gt;""),IF(COUNTIF($A$1:$A106,$A107)&gt;0,1,0),0)</f>
        <v>0</v>
      </c>
      <c r="Y107" s="52">
        <f>IF(AND(COUNTA($A107:$L107)&gt;0,$A107&lt;&gt;""),IF(COUNTIF(Inventory_Ledger!$A$2:$A$2001,$A107)&gt;0,1,0),0)</f>
        <v>0</v>
      </c>
      <c r="Z107" s="52">
        <f>IF(AND(COUNTA($A107:$L107)&gt;0,$B107=""),1,0)</f>
        <v>0</v>
      </c>
      <c r="AA107" s="52">
        <f>IF(AND(COUNTA($A107:$L107)&gt;0,$B107&lt;&gt;""),IF($M107="ERR",1,0),0)</f>
        <v>0</v>
      </c>
      <c r="AB107" s="52">
        <f>IF(AND(COUNTA($A107:$L107)&gt;0,ISNUMBER($M107)),IF($M107&gt;Config!$B$4,1,0),0)</f>
        <v>0</v>
      </c>
      <c r="AC107" s="52">
        <f>IF(AND(COUNTA($A107:$L107)&gt;0,$C107=""),1,0)</f>
        <v>0</v>
      </c>
      <c r="AD107" s="52">
        <f>IF(AND(COUNTA($A107:$L107)&gt;0,$C107&lt;&gt;""),IF(COUNTIF(Config!$A$15:$A$34,$C107)=0,1,0),0)</f>
        <v>0</v>
      </c>
      <c r="AE107" s="52">
        <f>IF(AND(COUNTA($A107:$L107)&gt;0,$D107=""),1,0)</f>
        <v>0</v>
      </c>
      <c r="AF107" s="52">
        <f>IF(AND(COUNTA($A107:$L107)&gt;0,$D107&lt;&gt;""),IF(COUNTIF(Products!$A$2:$A$101,$D107)=0,1,0),0)</f>
        <v>0</v>
      </c>
      <c r="AG107" s="52">
        <f>IF(AND(COUNTA($A107:$L107)&gt;0,$C107="Receipt",$E107=""),1,0)</f>
        <v>0</v>
      </c>
      <c r="AH107" s="52">
        <f>IF(AND(COUNTA($A107:$L107)&gt;0,$E107&lt;&gt;""),IF(COUNTIF(Suppliers!$A$2:$A$51,$E107)=0,1,0),0)</f>
        <v>0</v>
      </c>
      <c r="AI107" s="52">
        <f>IF(AND(COUNTA($A107:$L107)&gt;0,$F107=""),1,0)</f>
        <v>0</v>
      </c>
      <c r="AJ107" s="52">
        <f>IF(AND(COUNTA($A107:$L107)&gt;0,$F107&lt;&gt;"",$D107&lt;&gt;"",OR($C107="Shipment",$C107="Adjustment")),IF($AF107=1,0,IF(COUNTIFS(Batches!$A$2:$A$301,$F107,Batches!$B$2:$B$301,$D107)+COUNTIFS($F$1:$F106,$F107,$D$1:$D106,$D107,$C$1:$C106,"Receipt")=0,1,0)),0)</f>
        <v>0</v>
      </c>
      <c r="AK107" s="52">
        <f>IF(AND(COUNTA($A107:$L107)&gt;0,$C107="Receipt",$G107=""),1,0)</f>
        <v>0</v>
      </c>
      <c r="AL107" s="52">
        <f>IF(AND(COUNTA($A107:$L107)&gt;0,$G107&lt;&gt;""),IF($N107="ERR",1,0),0)</f>
        <v>0</v>
      </c>
      <c r="AM107" s="52">
        <f>IF(AND(COUNTA($A107:$L107)&gt;0,$H107=""),1,0)</f>
        <v>0</v>
      </c>
      <c r="AN107" s="52">
        <f>IF(AND(COUNTA($A107:$L107)&gt;0,$H107&lt;&gt;""),IF($O107="ERR",1,IF(INT($O107)&lt;&gt;$O107,1,IF(AND(OR($C107="Receipt",$C107="Shipment"),$O107&lt;=0),1,IF(AND($C107="Adjustment",$O107=0),1,0)))),0)</f>
        <v>0</v>
      </c>
      <c r="AO107" s="52">
        <f>IF(AND(COUNTA($A107:$L107)&gt;0,$C107="Receipt",$I107=""),1,0)</f>
        <v>0</v>
      </c>
      <c r="AP107" s="52">
        <f>IF(AND(COUNTA($A107:$L107)&gt;0,$I107&lt;&gt;""),IF(IFERROR(INDEX(Config!$G$15:$G$34,MATCH($I107,Config!$E$15:$E$34,0)),"No")="Yes",0,1),0)</f>
        <v>0</v>
      </c>
      <c r="AQ107" s="52">
        <f>IF(AND(COUNTA($A107:$L107)&gt;0,$C107="Adjustment",$J107=""),1,0)</f>
        <v>0</v>
      </c>
      <c r="AR107" s="52">
        <f>IF(AND(COUNTA($A107:$L107)&gt;0,$L107=""),1,0)</f>
        <v>0</v>
      </c>
      <c r="AS107" s="52">
        <f>IF(AND(COUNTA($A107:$L107)&gt;0,ISNUMBER($S107)),IF($S107&lt;0,1,0),0)</f>
        <v>0</v>
      </c>
      <c r="AT107" s="52">
        <f>$W107</f>
        <v>0</v>
      </c>
      <c r="AU107" s="52">
        <f>$AT107+$X107</f>
        <v>0</v>
      </c>
      <c r="AV107" s="52">
        <f>$AU107+$Y107</f>
        <v>0</v>
      </c>
      <c r="AW107" s="52">
        <f>$AV107+$Z107</f>
        <v>0</v>
      </c>
      <c r="AX107" s="52">
        <f>$AW107+$AA107</f>
        <v>0</v>
      </c>
      <c r="AY107" s="52">
        <f>$AX107+$AB107</f>
        <v>0</v>
      </c>
      <c r="AZ107" s="52">
        <f>$AY107+$AC107</f>
        <v>0</v>
      </c>
      <c r="BA107" s="52">
        <f>$AZ107+$AD107</f>
        <v>0</v>
      </c>
      <c r="BB107" s="52">
        <f>$BA107+$AE107</f>
        <v>0</v>
      </c>
      <c r="BC107" s="52">
        <f>$BB107+$AF107</f>
        <v>0</v>
      </c>
      <c r="BD107" s="52">
        <f>$BC107+$AG107</f>
        <v>0</v>
      </c>
      <c r="BE107" s="52">
        <f>$BD107+$AH107</f>
        <v>0</v>
      </c>
      <c r="BF107" s="52">
        <f>$BE107+$AI107</f>
        <v>0</v>
      </c>
      <c r="BG107" s="52">
        <f>$BF107+$AJ107</f>
        <v>0</v>
      </c>
      <c r="BH107" s="52">
        <f>$BG107+$AK107</f>
        <v>0</v>
      </c>
      <c r="BI107" s="52">
        <f>$BH107+$AL107</f>
        <v>0</v>
      </c>
      <c r="BJ107" s="52">
        <f>$BI107+$AM107</f>
        <v>0</v>
      </c>
      <c r="BK107" s="52">
        <f>$BJ107+$AN107</f>
        <v>0</v>
      </c>
      <c r="BL107" s="52">
        <f>$BK107+$AO107</f>
        <v>0</v>
      </c>
      <c r="BM107" s="52">
        <f>$BL107+$AP107</f>
        <v>0</v>
      </c>
      <c r="BN107" s="52">
        <f>$BM107+$AQ107</f>
        <v>0</v>
      </c>
      <c r="BO107" s="52">
        <f>$BN107+$AR107</f>
        <v>0</v>
      </c>
      <c r="BP107" s="52">
        <f>$BO107+$AS107</f>
        <v>0</v>
      </c>
      <c r="BQ107" s="52">
        <f>SUM($T$1:$T106)</f>
        <v>11</v>
      </c>
      <c r="BR107" s="52" t="str">
        <f>IF(ISNUMBER($T107),IF($T107&gt;0,COUNTIF($T$2:$T107,"&gt;0"),""),"")</f>
        <v/>
      </c>
      <c r="BS107" s="52" t="str">
        <f>IF($BR107="","",$BQ107+$T107)</f>
        <v/>
      </c>
      <c r="BT107" s="52" t="str">
        <f>IF($U107="Ready",COUNTIF($U$2:$U107,"Ready"),"")</f>
        <v/>
      </c>
      <c r="BU107" s="52">
        <f>IF(AND($U107="Ready",$C107="Receipt"),IF(COUNTIF(Batches!$A$2:$A$301,$F107)+COUNTIFS($F$1:$F106,$F107,$C$1:$C106,"Receipt",$U$1:$U106,"Ready")=0,1,0),0)</f>
        <v>0</v>
      </c>
      <c r="BV107" s="52" t="str">
        <f>IF($BU107=1,SUM($BU$2:$BU107),"")</f>
        <v/>
      </c>
    </row>
    <row r="108">
      <c r="A108" s="46" t="n"/>
      <c r="B108" s="46" t="n"/>
      <c r="C108" s="46" t="n"/>
      <c r="D108" s="46" t="n"/>
      <c r="E108" s="46" t="n"/>
      <c r="F108" s="46" t="n"/>
      <c r="G108" s="46" t="n"/>
      <c r="H108" s="46" t="n"/>
      <c r="I108" s="46" t="n"/>
      <c r="J108" s="46" t="n"/>
      <c r="K108" s="46" t="n"/>
      <c r="L108" s="46" t="n"/>
      <c r="M108" s="62" t="str">
        <f>IF($B108="","",IF(ISNUMBER($B108),$B108,IF(AND(LEN($B108)=10,MID($B108,5,1)="-",MID($B108,8,1)="-"),IFERROR(IF(AND(MONTH(DATE(VALUE(LEFT($B108,4)),VALUE(MID($B108,6,2)),VALUE(RIGHT($B108,2))))=VALUE(MID($B108,6,2)),DAY(DATE(VALUE(LEFT($B108,4)),VALUE(MID($B108,6,2)),VALUE(RIGHT($B108,2))))=VALUE(RIGHT($B108,2))),DATE(VALUE(LEFT($B108,4)),VALUE(MID($B108,6,2)),VALUE(RIGHT($B108,2))),"ERR"),"ERR"),"ERR")))</f>
        <v/>
      </c>
      <c r="N108" s="62" t="str">
        <f>IF($G108="","",IF(ISNUMBER($G108),$G108,IF(AND(LEN($G108)=10,MID($G108,5,1)="-",MID($G108,8,1)="-"),IFERROR(IF(AND(MONTH(DATE(VALUE(LEFT($G108,4)),VALUE(MID($G108,6,2)),VALUE(RIGHT($G108,2))))=VALUE(MID($G108,6,2)),DAY(DATE(VALUE(LEFT($G108,4)),VALUE(MID($G108,6,2)),VALUE(RIGHT($G108,2))))=VALUE(RIGHT($G108,2))),DATE(VALUE(LEFT($G108,4)),VALUE(MID($G108,6,2)),VALUE(RIGHT($G108,2))),"ERR"),"ERR"),"ERR")))</f>
        <v/>
      </c>
      <c r="O108" s="51" t="str">
        <f>IF($H108="","",IF(ISNUMBER($H108),$H108,IFERROR(VALUE($H108),"ERR")))</f>
        <v/>
      </c>
      <c r="P108" s="51" t="str">
        <f>IF(AND(ISNUMBER($O108),OR($C108="Receipt",$C108="Shipment",$C108="Adjustment")),IF($C108="Shipment",-$O108,$O108),"")</f>
        <v/>
      </c>
      <c r="Q108" s="51" t="str">
        <f>IF($D108="","",IFERROR(INDEX(Products!$R$2:$R$101,MATCH($D108,Products!$A$2:$A$101,0)),""))</f>
        <v/>
      </c>
      <c r="R108" s="51" t="str">
        <f>IF(OR($Q108="",$P108=""),"",$Q108+SUMIFS($P$1:$P107,$D$1:$D107,$D108,$U$1:$U107,"Ready"))</f>
        <v/>
      </c>
      <c r="S108" s="51" t="str">
        <f>IF($R108="","",$R108+$P108)</f>
        <v/>
      </c>
      <c r="T108" s="52" t="str">
        <f>IF(COUNTA($A108:$L108)&gt;0,$BP108,"")</f>
        <v/>
      </c>
      <c r="U108" s="49" t="str">
        <f>IF($T108="","",IF($T108=0,"Ready","Rejected"))</f>
        <v/>
      </c>
      <c r="V108" s="49" t="str">
        <f>IF(OR($T108="",$T108=0),"",INDEX(Config!$D$39:$D$61,MATCH(1,$AT108:$BP108,0))&amp;IF($T108&gt;1," (+"&amp;($T108-1)&amp;" more)",""))</f>
        <v/>
      </c>
      <c r="W108" s="52">
        <f>IF(AND(COUNTA($A108:$L108)&gt;0,$A108=""),1,0)</f>
        <v>0</v>
      </c>
      <c r="X108" s="52">
        <f>IF(AND(COUNTA($A108:$L108)&gt;0,$A108&lt;&gt;""),IF(COUNTIF($A$1:$A107,$A108)&gt;0,1,0),0)</f>
        <v>0</v>
      </c>
      <c r="Y108" s="52">
        <f>IF(AND(COUNTA($A108:$L108)&gt;0,$A108&lt;&gt;""),IF(COUNTIF(Inventory_Ledger!$A$2:$A$2001,$A108)&gt;0,1,0),0)</f>
        <v>0</v>
      </c>
      <c r="Z108" s="52">
        <f>IF(AND(COUNTA($A108:$L108)&gt;0,$B108=""),1,0)</f>
        <v>0</v>
      </c>
      <c r="AA108" s="52">
        <f>IF(AND(COUNTA($A108:$L108)&gt;0,$B108&lt;&gt;""),IF($M108="ERR",1,0),0)</f>
        <v>0</v>
      </c>
      <c r="AB108" s="52">
        <f>IF(AND(COUNTA($A108:$L108)&gt;0,ISNUMBER($M108)),IF($M108&gt;Config!$B$4,1,0),0)</f>
        <v>0</v>
      </c>
      <c r="AC108" s="52">
        <f>IF(AND(COUNTA($A108:$L108)&gt;0,$C108=""),1,0)</f>
        <v>0</v>
      </c>
      <c r="AD108" s="52">
        <f>IF(AND(COUNTA($A108:$L108)&gt;0,$C108&lt;&gt;""),IF(COUNTIF(Config!$A$15:$A$34,$C108)=0,1,0),0)</f>
        <v>0</v>
      </c>
      <c r="AE108" s="52">
        <f>IF(AND(COUNTA($A108:$L108)&gt;0,$D108=""),1,0)</f>
        <v>0</v>
      </c>
      <c r="AF108" s="52">
        <f>IF(AND(COUNTA($A108:$L108)&gt;0,$D108&lt;&gt;""),IF(COUNTIF(Products!$A$2:$A$101,$D108)=0,1,0),0)</f>
        <v>0</v>
      </c>
      <c r="AG108" s="52">
        <f>IF(AND(COUNTA($A108:$L108)&gt;0,$C108="Receipt",$E108=""),1,0)</f>
        <v>0</v>
      </c>
      <c r="AH108" s="52">
        <f>IF(AND(COUNTA($A108:$L108)&gt;0,$E108&lt;&gt;""),IF(COUNTIF(Suppliers!$A$2:$A$51,$E108)=0,1,0),0)</f>
        <v>0</v>
      </c>
      <c r="AI108" s="52">
        <f>IF(AND(COUNTA($A108:$L108)&gt;0,$F108=""),1,0)</f>
        <v>0</v>
      </c>
      <c r="AJ108" s="52">
        <f>IF(AND(COUNTA($A108:$L108)&gt;0,$F108&lt;&gt;"",$D108&lt;&gt;"",OR($C108="Shipment",$C108="Adjustment")),IF($AF108=1,0,IF(COUNTIFS(Batches!$A$2:$A$301,$F108,Batches!$B$2:$B$301,$D108)+COUNTIFS($F$1:$F107,$F108,$D$1:$D107,$D108,$C$1:$C107,"Receipt")=0,1,0)),0)</f>
        <v>0</v>
      </c>
      <c r="AK108" s="52">
        <f>IF(AND(COUNTA($A108:$L108)&gt;0,$C108="Receipt",$G108=""),1,0)</f>
        <v>0</v>
      </c>
      <c r="AL108" s="52">
        <f>IF(AND(COUNTA($A108:$L108)&gt;0,$G108&lt;&gt;""),IF($N108="ERR",1,0),0)</f>
        <v>0</v>
      </c>
      <c r="AM108" s="52">
        <f>IF(AND(COUNTA($A108:$L108)&gt;0,$H108=""),1,0)</f>
        <v>0</v>
      </c>
      <c r="AN108" s="52">
        <f>IF(AND(COUNTA($A108:$L108)&gt;0,$H108&lt;&gt;""),IF($O108="ERR",1,IF(INT($O108)&lt;&gt;$O108,1,IF(AND(OR($C108="Receipt",$C108="Shipment"),$O108&lt;=0),1,IF(AND($C108="Adjustment",$O108=0),1,0)))),0)</f>
        <v>0</v>
      </c>
      <c r="AO108" s="52">
        <f>IF(AND(COUNTA($A108:$L108)&gt;0,$C108="Receipt",$I108=""),1,0)</f>
        <v>0</v>
      </c>
      <c r="AP108" s="52">
        <f>IF(AND(COUNTA($A108:$L108)&gt;0,$I108&lt;&gt;""),IF(IFERROR(INDEX(Config!$G$15:$G$34,MATCH($I108,Config!$E$15:$E$34,0)),"No")="Yes",0,1),0)</f>
        <v>0</v>
      </c>
      <c r="AQ108" s="52">
        <f>IF(AND(COUNTA($A108:$L108)&gt;0,$C108="Adjustment",$J108=""),1,0)</f>
        <v>0</v>
      </c>
      <c r="AR108" s="52">
        <f>IF(AND(COUNTA($A108:$L108)&gt;0,$L108=""),1,0)</f>
        <v>0</v>
      </c>
      <c r="AS108" s="52">
        <f>IF(AND(COUNTA($A108:$L108)&gt;0,ISNUMBER($S108)),IF($S108&lt;0,1,0),0)</f>
        <v>0</v>
      </c>
      <c r="AT108" s="52">
        <f>$W108</f>
        <v>0</v>
      </c>
      <c r="AU108" s="52">
        <f>$AT108+$X108</f>
        <v>0</v>
      </c>
      <c r="AV108" s="52">
        <f>$AU108+$Y108</f>
        <v>0</v>
      </c>
      <c r="AW108" s="52">
        <f>$AV108+$Z108</f>
        <v>0</v>
      </c>
      <c r="AX108" s="52">
        <f>$AW108+$AA108</f>
        <v>0</v>
      </c>
      <c r="AY108" s="52">
        <f>$AX108+$AB108</f>
        <v>0</v>
      </c>
      <c r="AZ108" s="52">
        <f>$AY108+$AC108</f>
        <v>0</v>
      </c>
      <c r="BA108" s="52">
        <f>$AZ108+$AD108</f>
        <v>0</v>
      </c>
      <c r="BB108" s="52">
        <f>$BA108+$AE108</f>
        <v>0</v>
      </c>
      <c r="BC108" s="52">
        <f>$BB108+$AF108</f>
        <v>0</v>
      </c>
      <c r="BD108" s="52">
        <f>$BC108+$AG108</f>
        <v>0</v>
      </c>
      <c r="BE108" s="52">
        <f>$BD108+$AH108</f>
        <v>0</v>
      </c>
      <c r="BF108" s="52">
        <f>$BE108+$AI108</f>
        <v>0</v>
      </c>
      <c r="BG108" s="52">
        <f>$BF108+$AJ108</f>
        <v>0</v>
      </c>
      <c r="BH108" s="52">
        <f>$BG108+$AK108</f>
        <v>0</v>
      </c>
      <c r="BI108" s="52">
        <f>$BH108+$AL108</f>
        <v>0</v>
      </c>
      <c r="BJ108" s="52">
        <f>$BI108+$AM108</f>
        <v>0</v>
      </c>
      <c r="BK108" s="52">
        <f>$BJ108+$AN108</f>
        <v>0</v>
      </c>
      <c r="BL108" s="52">
        <f>$BK108+$AO108</f>
        <v>0</v>
      </c>
      <c r="BM108" s="52">
        <f>$BL108+$AP108</f>
        <v>0</v>
      </c>
      <c r="BN108" s="52">
        <f>$BM108+$AQ108</f>
        <v>0</v>
      </c>
      <c r="BO108" s="52">
        <f>$BN108+$AR108</f>
        <v>0</v>
      </c>
      <c r="BP108" s="52">
        <f>$BO108+$AS108</f>
        <v>0</v>
      </c>
      <c r="BQ108" s="52">
        <f>SUM($T$1:$T107)</f>
        <v>11</v>
      </c>
      <c r="BR108" s="52" t="str">
        <f>IF(ISNUMBER($T108),IF($T108&gt;0,COUNTIF($T$2:$T108,"&gt;0"),""),"")</f>
        <v/>
      </c>
      <c r="BS108" s="52" t="str">
        <f>IF($BR108="","",$BQ108+$T108)</f>
        <v/>
      </c>
      <c r="BT108" s="52" t="str">
        <f>IF($U108="Ready",COUNTIF($U$2:$U108,"Ready"),"")</f>
        <v/>
      </c>
      <c r="BU108" s="52">
        <f>IF(AND($U108="Ready",$C108="Receipt"),IF(COUNTIF(Batches!$A$2:$A$301,$F108)+COUNTIFS($F$1:$F107,$F108,$C$1:$C107,"Receipt",$U$1:$U107,"Ready")=0,1,0),0)</f>
        <v>0</v>
      </c>
      <c r="BV108" s="52" t="str">
        <f>IF($BU108=1,SUM($BU$2:$BU108),"")</f>
        <v/>
      </c>
    </row>
    <row r="109">
      <c r="A109" s="46" t="n"/>
      <c r="B109" s="46" t="n"/>
      <c r="C109" s="46" t="n"/>
      <c r="D109" s="46" t="n"/>
      <c r="E109" s="46" t="n"/>
      <c r="F109" s="46" t="n"/>
      <c r="G109" s="46" t="n"/>
      <c r="H109" s="46" t="n"/>
      <c r="I109" s="46" t="n"/>
      <c r="J109" s="46" t="n"/>
      <c r="K109" s="46" t="n"/>
      <c r="L109" s="46" t="n"/>
      <c r="M109" s="62" t="str">
        <f>IF($B109="","",IF(ISNUMBER($B109),$B109,IF(AND(LEN($B109)=10,MID($B109,5,1)="-",MID($B109,8,1)="-"),IFERROR(IF(AND(MONTH(DATE(VALUE(LEFT($B109,4)),VALUE(MID($B109,6,2)),VALUE(RIGHT($B109,2))))=VALUE(MID($B109,6,2)),DAY(DATE(VALUE(LEFT($B109,4)),VALUE(MID($B109,6,2)),VALUE(RIGHT($B109,2))))=VALUE(RIGHT($B109,2))),DATE(VALUE(LEFT($B109,4)),VALUE(MID($B109,6,2)),VALUE(RIGHT($B109,2))),"ERR"),"ERR"),"ERR")))</f>
        <v/>
      </c>
      <c r="N109" s="62" t="str">
        <f>IF($G109="","",IF(ISNUMBER($G109),$G109,IF(AND(LEN($G109)=10,MID($G109,5,1)="-",MID($G109,8,1)="-"),IFERROR(IF(AND(MONTH(DATE(VALUE(LEFT($G109,4)),VALUE(MID($G109,6,2)),VALUE(RIGHT($G109,2))))=VALUE(MID($G109,6,2)),DAY(DATE(VALUE(LEFT($G109,4)),VALUE(MID($G109,6,2)),VALUE(RIGHT($G109,2))))=VALUE(RIGHT($G109,2))),DATE(VALUE(LEFT($G109,4)),VALUE(MID($G109,6,2)),VALUE(RIGHT($G109,2))),"ERR"),"ERR"),"ERR")))</f>
        <v/>
      </c>
      <c r="O109" s="51" t="str">
        <f>IF($H109="","",IF(ISNUMBER($H109),$H109,IFERROR(VALUE($H109),"ERR")))</f>
        <v/>
      </c>
      <c r="P109" s="51" t="str">
        <f>IF(AND(ISNUMBER($O109),OR($C109="Receipt",$C109="Shipment",$C109="Adjustment")),IF($C109="Shipment",-$O109,$O109),"")</f>
        <v/>
      </c>
      <c r="Q109" s="51" t="str">
        <f>IF($D109="","",IFERROR(INDEX(Products!$R$2:$R$101,MATCH($D109,Products!$A$2:$A$101,0)),""))</f>
        <v/>
      </c>
      <c r="R109" s="51" t="str">
        <f>IF(OR($Q109="",$P109=""),"",$Q109+SUMIFS($P$1:$P108,$D$1:$D108,$D109,$U$1:$U108,"Ready"))</f>
        <v/>
      </c>
      <c r="S109" s="51" t="str">
        <f>IF($R109="","",$R109+$P109)</f>
        <v/>
      </c>
      <c r="T109" s="52" t="str">
        <f>IF(COUNTA($A109:$L109)&gt;0,$BP109,"")</f>
        <v/>
      </c>
      <c r="U109" s="49" t="str">
        <f>IF($T109="","",IF($T109=0,"Ready","Rejected"))</f>
        <v/>
      </c>
      <c r="V109" s="49" t="str">
        <f>IF(OR($T109="",$T109=0),"",INDEX(Config!$D$39:$D$61,MATCH(1,$AT109:$BP109,0))&amp;IF($T109&gt;1," (+"&amp;($T109-1)&amp;" more)",""))</f>
        <v/>
      </c>
      <c r="W109" s="52">
        <f>IF(AND(COUNTA($A109:$L109)&gt;0,$A109=""),1,0)</f>
        <v>0</v>
      </c>
      <c r="X109" s="52">
        <f>IF(AND(COUNTA($A109:$L109)&gt;0,$A109&lt;&gt;""),IF(COUNTIF($A$1:$A108,$A109)&gt;0,1,0),0)</f>
        <v>0</v>
      </c>
      <c r="Y109" s="52">
        <f>IF(AND(COUNTA($A109:$L109)&gt;0,$A109&lt;&gt;""),IF(COUNTIF(Inventory_Ledger!$A$2:$A$2001,$A109)&gt;0,1,0),0)</f>
        <v>0</v>
      </c>
      <c r="Z109" s="52">
        <f>IF(AND(COUNTA($A109:$L109)&gt;0,$B109=""),1,0)</f>
        <v>0</v>
      </c>
      <c r="AA109" s="52">
        <f>IF(AND(COUNTA($A109:$L109)&gt;0,$B109&lt;&gt;""),IF($M109="ERR",1,0),0)</f>
        <v>0</v>
      </c>
      <c r="AB109" s="52">
        <f>IF(AND(COUNTA($A109:$L109)&gt;0,ISNUMBER($M109)),IF($M109&gt;Config!$B$4,1,0),0)</f>
        <v>0</v>
      </c>
      <c r="AC109" s="52">
        <f>IF(AND(COUNTA($A109:$L109)&gt;0,$C109=""),1,0)</f>
        <v>0</v>
      </c>
      <c r="AD109" s="52">
        <f>IF(AND(COUNTA($A109:$L109)&gt;0,$C109&lt;&gt;""),IF(COUNTIF(Config!$A$15:$A$34,$C109)=0,1,0),0)</f>
        <v>0</v>
      </c>
      <c r="AE109" s="52">
        <f>IF(AND(COUNTA($A109:$L109)&gt;0,$D109=""),1,0)</f>
        <v>0</v>
      </c>
      <c r="AF109" s="52">
        <f>IF(AND(COUNTA($A109:$L109)&gt;0,$D109&lt;&gt;""),IF(COUNTIF(Products!$A$2:$A$101,$D109)=0,1,0),0)</f>
        <v>0</v>
      </c>
      <c r="AG109" s="52">
        <f>IF(AND(COUNTA($A109:$L109)&gt;0,$C109="Receipt",$E109=""),1,0)</f>
        <v>0</v>
      </c>
      <c r="AH109" s="52">
        <f>IF(AND(COUNTA($A109:$L109)&gt;0,$E109&lt;&gt;""),IF(COUNTIF(Suppliers!$A$2:$A$51,$E109)=0,1,0),0)</f>
        <v>0</v>
      </c>
      <c r="AI109" s="52">
        <f>IF(AND(COUNTA($A109:$L109)&gt;0,$F109=""),1,0)</f>
        <v>0</v>
      </c>
      <c r="AJ109" s="52">
        <f>IF(AND(COUNTA($A109:$L109)&gt;0,$F109&lt;&gt;"",$D109&lt;&gt;"",OR($C109="Shipment",$C109="Adjustment")),IF($AF109=1,0,IF(COUNTIFS(Batches!$A$2:$A$301,$F109,Batches!$B$2:$B$301,$D109)+COUNTIFS($F$1:$F108,$F109,$D$1:$D108,$D109,$C$1:$C108,"Receipt")=0,1,0)),0)</f>
        <v>0</v>
      </c>
      <c r="AK109" s="52">
        <f>IF(AND(COUNTA($A109:$L109)&gt;0,$C109="Receipt",$G109=""),1,0)</f>
        <v>0</v>
      </c>
      <c r="AL109" s="52">
        <f>IF(AND(COUNTA($A109:$L109)&gt;0,$G109&lt;&gt;""),IF($N109="ERR",1,0),0)</f>
        <v>0</v>
      </c>
      <c r="AM109" s="52">
        <f>IF(AND(COUNTA($A109:$L109)&gt;0,$H109=""),1,0)</f>
        <v>0</v>
      </c>
      <c r="AN109" s="52">
        <f>IF(AND(COUNTA($A109:$L109)&gt;0,$H109&lt;&gt;""),IF($O109="ERR",1,IF(INT($O109)&lt;&gt;$O109,1,IF(AND(OR($C109="Receipt",$C109="Shipment"),$O109&lt;=0),1,IF(AND($C109="Adjustment",$O109=0),1,0)))),0)</f>
        <v>0</v>
      </c>
      <c r="AO109" s="52">
        <f>IF(AND(COUNTA($A109:$L109)&gt;0,$C109="Receipt",$I109=""),1,0)</f>
        <v>0</v>
      </c>
      <c r="AP109" s="52">
        <f>IF(AND(COUNTA($A109:$L109)&gt;0,$I109&lt;&gt;""),IF(IFERROR(INDEX(Config!$G$15:$G$34,MATCH($I109,Config!$E$15:$E$34,0)),"No")="Yes",0,1),0)</f>
        <v>0</v>
      </c>
      <c r="AQ109" s="52">
        <f>IF(AND(COUNTA($A109:$L109)&gt;0,$C109="Adjustment",$J109=""),1,0)</f>
        <v>0</v>
      </c>
      <c r="AR109" s="52">
        <f>IF(AND(COUNTA($A109:$L109)&gt;0,$L109=""),1,0)</f>
        <v>0</v>
      </c>
      <c r="AS109" s="52">
        <f>IF(AND(COUNTA($A109:$L109)&gt;0,ISNUMBER($S109)),IF($S109&lt;0,1,0),0)</f>
        <v>0</v>
      </c>
      <c r="AT109" s="52">
        <f>$W109</f>
        <v>0</v>
      </c>
      <c r="AU109" s="52">
        <f>$AT109+$X109</f>
        <v>0</v>
      </c>
      <c r="AV109" s="52">
        <f>$AU109+$Y109</f>
        <v>0</v>
      </c>
      <c r="AW109" s="52">
        <f>$AV109+$Z109</f>
        <v>0</v>
      </c>
      <c r="AX109" s="52">
        <f>$AW109+$AA109</f>
        <v>0</v>
      </c>
      <c r="AY109" s="52">
        <f>$AX109+$AB109</f>
        <v>0</v>
      </c>
      <c r="AZ109" s="52">
        <f>$AY109+$AC109</f>
        <v>0</v>
      </c>
      <c r="BA109" s="52">
        <f>$AZ109+$AD109</f>
        <v>0</v>
      </c>
      <c r="BB109" s="52">
        <f>$BA109+$AE109</f>
        <v>0</v>
      </c>
      <c r="BC109" s="52">
        <f>$BB109+$AF109</f>
        <v>0</v>
      </c>
      <c r="BD109" s="52">
        <f>$BC109+$AG109</f>
        <v>0</v>
      </c>
      <c r="BE109" s="52">
        <f>$BD109+$AH109</f>
        <v>0</v>
      </c>
      <c r="BF109" s="52">
        <f>$BE109+$AI109</f>
        <v>0</v>
      </c>
      <c r="BG109" s="52">
        <f>$BF109+$AJ109</f>
        <v>0</v>
      </c>
      <c r="BH109" s="52">
        <f>$BG109+$AK109</f>
        <v>0</v>
      </c>
      <c r="BI109" s="52">
        <f>$BH109+$AL109</f>
        <v>0</v>
      </c>
      <c r="BJ109" s="52">
        <f>$BI109+$AM109</f>
        <v>0</v>
      </c>
      <c r="BK109" s="52">
        <f>$BJ109+$AN109</f>
        <v>0</v>
      </c>
      <c r="BL109" s="52">
        <f>$BK109+$AO109</f>
        <v>0</v>
      </c>
      <c r="BM109" s="52">
        <f>$BL109+$AP109</f>
        <v>0</v>
      </c>
      <c r="BN109" s="52">
        <f>$BM109+$AQ109</f>
        <v>0</v>
      </c>
      <c r="BO109" s="52">
        <f>$BN109+$AR109</f>
        <v>0</v>
      </c>
      <c r="BP109" s="52">
        <f>$BO109+$AS109</f>
        <v>0</v>
      </c>
      <c r="BQ109" s="52">
        <f>SUM($T$1:$T108)</f>
        <v>11</v>
      </c>
      <c r="BR109" s="52" t="str">
        <f>IF(ISNUMBER($T109),IF($T109&gt;0,COUNTIF($T$2:$T109,"&gt;0"),""),"")</f>
        <v/>
      </c>
      <c r="BS109" s="52" t="str">
        <f>IF($BR109="","",$BQ109+$T109)</f>
        <v/>
      </c>
      <c r="BT109" s="52" t="str">
        <f>IF($U109="Ready",COUNTIF($U$2:$U109,"Ready"),"")</f>
        <v/>
      </c>
      <c r="BU109" s="52">
        <f>IF(AND($U109="Ready",$C109="Receipt"),IF(COUNTIF(Batches!$A$2:$A$301,$F109)+COUNTIFS($F$1:$F108,$F109,$C$1:$C108,"Receipt",$U$1:$U108,"Ready")=0,1,0),0)</f>
        <v>0</v>
      </c>
      <c r="BV109" s="52" t="str">
        <f>IF($BU109=1,SUM($BU$2:$BU109),"")</f>
        <v/>
      </c>
    </row>
    <row r="110">
      <c r="A110" s="46" t="n"/>
      <c r="B110" s="46" t="n"/>
      <c r="C110" s="46" t="n"/>
      <c r="D110" s="46" t="n"/>
      <c r="E110" s="46" t="n"/>
      <c r="F110" s="46" t="n"/>
      <c r="G110" s="46" t="n"/>
      <c r="H110" s="46" t="n"/>
      <c r="I110" s="46" t="n"/>
      <c r="J110" s="46" t="n"/>
      <c r="K110" s="46" t="n"/>
      <c r="L110" s="46" t="n"/>
      <c r="M110" s="62" t="str">
        <f>IF($B110="","",IF(ISNUMBER($B110),$B110,IF(AND(LEN($B110)=10,MID($B110,5,1)="-",MID($B110,8,1)="-"),IFERROR(IF(AND(MONTH(DATE(VALUE(LEFT($B110,4)),VALUE(MID($B110,6,2)),VALUE(RIGHT($B110,2))))=VALUE(MID($B110,6,2)),DAY(DATE(VALUE(LEFT($B110,4)),VALUE(MID($B110,6,2)),VALUE(RIGHT($B110,2))))=VALUE(RIGHT($B110,2))),DATE(VALUE(LEFT($B110,4)),VALUE(MID($B110,6,2)),VALUE(RIGHT($B110,2))),"ERR"),"ERR"),"ERR")))</f>
        <v/>
      </c>
      <c r="N110" s="62" t="str">
        <f>IF($G110="","",IF(ISNUMBER($G110),$G110,IF(AND(LEN($G110)=10,MID($G110,5,1)="-",MID($G110,8,1)="-"),IFERROR(IF(AND(MONTH(DATE(VALUE(LEFT($G110,4)),VALUE(MID($G110,6,2)),VALUE(RIGHT($G110,2))))=VALUE(MID($G110,6,2)),DAY(DATE(VALUE(LEFT($G110,4)),VALUE(MID($G110,6,2)),VALUE(RIGHT($G110,2))))=VALUE(RIGHT($G110,2))),DATE(VALUE(LEFT($G110,4)),VALUE(MID($G110,6,2)),VALUE(RIGHT($G110,2))),"ERR"),"ERR"),"ERR")))</f>
        <v/>
      </c>
      <c r="O110" s="51" t="str">
        <f>IF($H110="","",IF(ISNUMBER($H110),$H110,IFERROR(VALUE($H110),"ERR")))</f>
        <v/>
      </c>
      <c r="P110" s="51" t="str">
        <f>IF(AND(ISNUMBER($O110),OR($C110="Receipt",$C110="Shipment",$C110="Adjustment")),IF($C110="Shipment",-$O110,$O110),"")</f>
        <v/>
      </c>
      <c r="Q110" s="51" t="str">
        <f>IF($D110="","",IFERROR(INDEX(Products!$R$2:$R$101,MATCH($D110,Products!$A$2:$A$101,0)),""))</f>
        <v/>
      </c>
      <c r="R110" s="51" t="str">
        <f>IF(OR($Q110="",$P110=""),"",$Q110+SUMIFS($P$1:$P109,$D$1:$D109,$D110,$U$1:$U109,"Ready"))</f>
        <v/>
      </c>
      <c r="S110" s="51" t="str">
        <f>IF($R110="","",$R110+$P110)</f>
        <v/>
      </c>
      <c r="T110" s="52" t="str">
        <f>IF(COUNTA($A110:$L110)&gt;0,$BP110,"")</f>
        <v/>
      </c>
      <c r="U110" s="49" t="str">
        <f>IF($T110="","",IF($T110=0,"Ready","Rejected"))</f>
        <v/>
      </c>
      <c r="V110" s="49" t="str">
        <f>IF(OR($T110="",$T110=0),"",INDEX(Config!$D$39:$D$61,MATCH(1,$AT110:$BP110,0))&amp;IF($T110&gt;1," (+"&amp;($T110-1)&amp;" more)",""))</f>
        <v/>
      </c>
      <c r="W110" s="52">
        <f>IF(AND(COUNTA($A110:$L110)&gt;0,$A110=""),1,0)</f>
        <v>0</v>
      </c>
      <c r="X110" s="52">
        <f>IF(AND(COUNTA($A110:$L110)&gt;0,$A110&lt;&gt;""),IF(COUNTIF($A$1:$A109,$A110)&gt;0,1,0),0)</f>
        <v>0</v>
      </c>
      <c r="Y110" s="52">
        <f>IF(AND(COUNTA($A110:$L110)&gt;0,$A110&lt;&gt;""),IF(COUNTIF(Inventory_Ledger!$A$2:$A$2001,$A110)&gt;0,1,0),0)</f>
        <v>0</v>
      </c>
      <c r="Z110" s="52">
        <f>IF(AND(COUNTA($A110:$L110)&gt;0,$B110=""),1,0)</f>
        <v>0</v>
      </c>
      <c r="AA110" s="52">
        <f>IF(AND(COUNTA($A110:$L110)&gt;0,$B110&lt;&gt;""),IF($M110="ERR",1,0),0)</f>
        <v>0</v>
      </c>
      <c r="AB110" s="52">
        <f>IF(AND(COUNTA($A110:$L110)&gt;0,ISNUMBER($M110)),IF($M110&gt;Config!$B$4,1,0),0)</f>
        <v>0</v>
      </c>
      <c r="AC110" s="52">
        <f>IF(AND(COUNTA($A110:$L110)&gt;0,$C110=""),1,0)</f>
        <v>0</v>
      </c>
      <c r="AD110" s="52">
        <f>IF(AND(COUNTA($A110:$L110)&gt;0,$C110&lt;&gt;""),IF(COUNTIF(Config!$A$15:$A$34,$C110)=0,1,0),0)</f>
        <v>0</v>
      </c>
      <c r="AE110" s="52">
        <f>IF(AND(COUNTA($A110:$L110)&gt;0,$D110=""),1,0)</f>
        <v>0</v>
      </c>
      <c r="AF110" s="52">
        <f>IF(AND(COUNTA($A110:$L110)&gt;0,$D110&lt;&gt;""),IF(COUNTIF(Products!$A$2:$A$101,$D110)=0,1,0),0)</f>
        <v>0</v>
      </c>
      <c r="AG110" s="52">
        <f>IF(AND(COUNTA($A110:$L110)&gt;0,$C110="Receipt",$E110=""),1,0)</f>
        <v>0</v>
      </c>
      <c r="AH110" s="52">
        <f>IF(AND(COUNTA($A110:$L110)&gt;0,$E110&lt;&gt;""),IF(COUNTIF(Suppliers!$A$2:$A$51,$E110)=0,1,0),0)</f>
        <v>0</v>
      </c>
      <c r="AI110" s="52">
        <f>IF(AND(COUNTA($A110:$L110)&gt;0,$F110=""),1,0)</f>
        <v>0</v>
      </c>
      <c r="AJ110" s="52">
        <f>IF(AND(COUNTA($A110:$L110)&gt;0,$F110&lt;&gt;"",$D110&lt;&gt;"",OR($C110="Shipment",$C110="Adjustment")),IF($AF110=1,0,IF(COUNTIFS(Batches!$A$2:$A$301,$F110,Batches!$B$2:$B$301,$D110)+COUNTIFS($F$1:$F109,$F110,$D$1:$D109,$D110,$C$1:$C109,"Receipt")=0,1,0)),0)</f>
        <v>0</v>
      </c>
      <c r="AK110" s="52">
        <f>IF(AND(COUNTA($A110:$L110)&gt;0,$C110="Receipt",$G110=""),1,0)</f>
        <v>0</v>
      </c>
      <c r="AL110" s="52">
        <f>IF(AND(COUNTA($A110:$L110)&gt;0,$G110&lt;&gt;""),IF($N110="ERR",1,0),0)</f>
        <v>0</v>
      </c>
      <c r="AM110" s="52">
        <f>IF(AND(COUNTA($A110:$L110)&gt;0,$H110=""),1,0)</f>
        <v>0</v>
      </c>
      <c r="AN110" s="52">
        <f>IF(AND(COUNTA($A110:$L110)&gt;0,$H110&lt;&gt;""),IF($O110="ERR",1,IF(INT($O110)&lt;&gt;$O110,1,IF(AND(OR($C110="Receipt",$C110="Shipment"),$O110&lt;=0),1,IF(AND($C110="Adjustment",$O110=0),1,0)))),0)</f>
        <v>0</v>
      </c>
      <c r="AO110" s="52">
        <f>IF(AND(COUNTA($A110:$L110)&gt;0,$C110="Receipt",$I110=""),1,0)</f>
        <v>0</v>
      </c>
      <c r="AP110" s="52">
        <f>IF(AND(COUNTA($A110:$L110)&gt;0,$I110&lt;&gt;""),IF(IFERROR(INDEX(Config!$G$15:$G$34,MATCH($I110,Config!$E$15:$E$34,0)),"No")="Yes",0,1),0)</f>
        <v>0</v>
      </c>
      <c r="AQ110" s="52">
        <f>IF(AND(COUNTA($A110:$L110)&gt;0,$C110="Adjustment",$J110=""),1,0)</f>
        <v>0</v>
      </c>
      <c r="AR110" s="52">
        <f>IF(AND(COUNTA($A110:$L110)&gt;0,$L110=""),1,0)</f>
        <v>0</v>
      </c>
      <c r="AS110" s="52">
        <f>IF(AND(COUNTA($A110:$L110)&gt;0,ISNUMBER($S110)),IF($S110&lt;0,1,0),0)</f>
        <v>0</v>
      </c>
      <c r="AT110" s="52">
        <f>$W110</f>
        <v>0</v>
      </c>
      <c r="AU110" s="52">
        <f>$AT110+$X110</f>
        <v>0</v>
      </c>
      <c r="AV110" s="52">
        <f>$AU110+$Y110</f>
        <v>0</v>
      </c>
      <c r="AW110" s="52">
        <f>$AV110+$Z110</f>
        <v>0</v>
      </c>
      <c r="AX110" s="52">
        <f>$AW110+$AA110</f>
        <v>0</v>
      </c>
      <c r="AY110" s="52">
        <f>$AX110+$AB110</f>
        <v>0</v>
      </c>
      <c r="AZ110" s="52">
        <f>$AY110+$AC110</f>
        <v>0</v>
      </c>
      <c r="BA110" s="52">
        <f>$AZ110+$AD110</f>
        <v>0</v>
      </c>
      <c r="BB110" s="52">
        <f>$BA110+$AE110</f>
        <v>0</v>
      </c>
      <c r="BC110" s="52">
        <f>$BB110+$AF110</f>
        <v>0</v>
      </c>
      <c r="BD110" s="52">
        <f>$BC110+$AG110</f>
        <v>0</v>
      </c>
      <c r="BE110" s="52">
        <f>$BD110+$AH110</f>
        <v>0</v>
      </c>
      <c r="BF110" s="52">
        <f>$BE110+$AI110</f>
        <v>0</v>
      </c>
      <c r="BG110" s="52">
        <f>$BF110+$AJ110</f>
        <v>0</v>
      </c>
      <c r="BH110" s="52">
        <f>$BG110+$AK110</f>
        <v>0</v>
      </c>
      <c r="BI110" s="52">
        <f>$BH110+$AL110</f>
        <v>0</v>
      </c>
      <c r="BJ110" s="52">
        <f>$BI110+$AM110</f>
        <v>0</v>
      </c>
      <c r="BK110" s="52">
        <f>$BJ110+$AN110</f>
        <v>0</v>
      </c>
      <c r="BL110" s="52">
        <f>$BK110+$AO110</f>
        <v>0</v>
      </c>
      <c r="BM110" s="52">
        <f>$BL110+$AP110</f>
        <v>0</v>
      </c>
      <c r="BN110" s="52">
        <f>$BM110+$AQ110</f>
        <v>0</v>
      </c>
      <c r="BO110" s="52">
        <f>$BN110+$AR110</f>
        <v>0</v>
      </c>
      <c r="BP110" s="52">
        <f>$BO110+$AS110</f>
        <v>0</v>
      </c>
      <c r="BQ110" s="52">
        <f>SUM($T$1:$T109)</f>
        <v>11</v>
      </c>
      <c r="BR110" s="52" t="str">
        <f>IF(ISNUMBER($T110),IF($T110&gt;0,COUNTIF($T$2:$T110,"&gt;0"),""),"")</f>
        <v/>
      </c>
      <c r="BS110" s="52" t="str">
        <f>IF($BR110="","",$BQ110+$T110)</f>
        <v/>
      </c>
      <c r="BT110" s="52" t="str">
        <f>IF($U110="Ready",COUNTIF($U$2:$U110,"Ready"),"")</f>
        <v/>
      </c>
      <c r="BU110" s="52">
        <f>IF(AND($U110="Ready",$C110="Receipt"),IF(COUNTIF(Batches!$A$2:$A$301,$F110)+COUNTIFS($F$1:$F109,$F110,$C$1:$C109,"Receipt",$U$1:$U109,"Ready")=0,1,0),0)</f>
        <v>0</v>
      </c>
      <c r="BV110" s="52" t="str">
        <f>IF($BU110=1,SUM($BU$2:$BU110),"")</f>
        <v/>
      </c>
    </row>
    <row r="111">
      <c r="A111" s="46" t="n"/>
      <c r="B111" s="46" t="n"/>
      <c r="C111" s="46" t="n"/>
      <c r="D111" s="46" t="n"/>
      <c r="E111" s="46" t="n"/>
      <c r="F111" s="46" t="n"/>
      <c r="G111" s="46" t="n"/>
      <c r="H111" s="46" t="n"/>
      <c r="I111" s="46" t="n"/>
      <c r="J111" s="46" t="n"/>
      <c r="K111" s="46" t="n"/>
      <c r="L111" s="46" t="n"/>
      <c r="M111" s="62" t="str">
        <f>IF($B111="","",IF(ISNUMBER($B111),$B111,IF(AND(LEN($B111)=10,MID($B111,5,1)="-",MID($B111,8,1)="-"),IFERROR(IF(AND(MONTH(DATE(VALUE(LEFT($B111,4)),VALUE(MID($B111,6,2)),VALUE(RIGHT($B111,2))))=VALUE(MID($B111,6,2)),DAY(DATE(VALUE(LEFT($B111,4)),VALUE(MID($B111,6,2)),VALUE(RIGHT($B111,2))))=VALUE(RIGHT($B111,2))),DATE(VALUE(LEFT($B111,4)),VALUE(MID($B111,6,2)),VALUE(RIGHT($B111,2))),"ERR"),"ERR"),"ERR")))</f>
        <v/>
      </c>
      <c r="N111" s="62" t="str">
        <f>IF($G111="","",IF(ISNUMBER($G111),$G111,IF(AND(LEN($G111)=10,MID($G111,5,1)="-",MID($G111,8,1)="-"),IFERROR(IF(AND(MONTH(DATE(VALUE(LEFT($G111,4)),VALUE(MID($G111,6,2)),VALUE(RIGHT($G111,2))))=VALUE(MID($G111,6,2)),DAY(DATE(VALUE(LEFT($G111,4)),VALUE(MID($G111,6,2)),VALUE(RIGHT($G111,2))))=VALUE(RIGHT($G111,2))),DATE(VALUE(LEFT($G111,4)),VALUE(MID($G111,6,2)),VALUE(RIGHT($G111,2))),"ERR"),"ERR"),"ERR")))</f>
        <v/>
      </c>
      <c r="O111" s="51" t="str">
        <f>IF($H111="","",IF(ISNUMBER($H111),$H111,IFERROR(VALUE($H111),"ERR")))</f>
        <v/>
      </c>
      <c r="P111" s="51" t="str">
        <f>IF(AND(ISNUMBER($O111),OR($C111="Receipt",$C111="Shipment",$C111="Adjustment")),IF($C111="Shipment",-$O111,$O111),"")</f>
        <v/>
      </c>
      <c r="Q111" s="51" t="str">
        <f>IF($D111="","",IFERROR(INDEX(Products!$R$2:$R$101,MATCH($D111,Products!$A$2:$A$101,0)),""))</f>
        <v/>
      </c>
      <c r="R111" s="51" t="str">
        <f>IF(OR($Q111="",$P111=""),"",$Q111+SUMIFS($P$1:$P110,$D$1:$D110,$D111,$U$1:$U110,"Ready"))</f>
        <v/>
      </c>
      <c r="S111" s="51" t="str">
        <f>IF($R111="","",$R111+$P111)</f>
        <v/>
      </c>
      <c r="T111" s="52" t="str">
        <f>IF(COUNTA($A111:$L111)&gt;0,$BP111,"")</f>
        <v/>
      </c>
      <c r="U111" s="49" t="str">
        <f>IF($T111="","",IF($T111=0,"Ready","Rejected"))</f>
        <v/>
      </c>
      <c r="V111" s="49" t="str">
        <f>IF(OR($T111="",$T111=0),"",INDEX(Config!$D$39:$D$61,MATCH(1,$AT111:$BP111,0))&amp;IF($T111&gt;1," (+"&amp;($T111-1)&amp;" more)",""))</f>
        <v/>
      </c>
      <c r="W111" s="52">
        <f>IF(AND(COUNTA($A111:$L111)&gt;0,$A111=""),1,0)</f>
        <v>0</v>
      </c>
      <c r="X111" s="52">
        <f>IF(AND(COUNTA($A111:$L111)&gt;0,$A111&lt;&gt;""),IF(COUNTIF($A$1:$A110,$A111)&gt;0,1,0),0)</f>
        <v>0</v>
      </c>
      <c r="Y111" s="52">
        <f>IF(AND(COUNTA($A111:$L111)&gt;0,$A111&lt;&gt;""),IF(COUNTIF(Inventory_Ledger!$A$2:$A$2001,$A111)&gt;0,1,0),0)</f>
        <v>0</v>
      </c>
      <c r="Z111" s="52">
        <f>IF(AND(COUNTA($A111:$L111)&gt;0,$B111=""),1,0)</f>
        <v>0</v>
      </c>
      <c r="AA111" s="52">
        <f>IF(AND(COUNTA($A111:$L111)&gt;0,$B111&lt;&gt;""),IF($M111="ERR",1,0),0)</f>
        <v>0</v>
      </c>
      <c r="AB111" s="52">
        <f>IF(AND(COUNTA($A111:$L111)&gt;0,ISNUMBER($M111)),IF($M111&gt;Config!$B$4,1,0),0)</f>
        <v>0</v>
      </c>
      <c r="AC111" s="52">
        <f>IF(AND(COUNTA($A111:$L111)&gt;0,$C111=""),1,0)</f>
        <v>0</v>
      </c>
      <c r="AD111" s="52">
        <f>IF(AND(COUNTA($A111:$L111)&gt;0,$C111&lt;&gt;""),IF(COUNTIF(Config!$A$15:$A$34,$C111)=0,1,0),0)</f>
        <v>0</v>
      </c>
      <c r="AE111" s="52">
        <f>IF(AND(COUNTA($A111:$L111)&gt;0,$D111=""),1,0)</f>
        <v>0</v>
      </c>
      <c r="AF111" s="52">
        <f>IF(AND(COUNTA($A111:$L111)&gt;0,$D111&lt;&gt;""),IF(COUNTIF(Products!$A$2:$A$101,$D111)=0,1,0),0)</f>
        <v>0</v>
      </c>
      <c r="AG111" s="52">
        <f>IF(AND(COUNTA($A111:$L111)&gt;0,$C111="Receipt",$E111=""),1,0)</f>
        <v>0</v>
      </c>
      <c r="AH111" s="52">
        <f>IF(AND(COUNTA($A111:$L111)&gt;0,$E111&lt;&gt;""),IF(COUNTIF(Suppliers!$A$2:$A$51,$E111)=0,1,0),0)</f>
        <v>0</v>
      </c>
      <c r="AI111" s="52">
        <f>IF(AND(COUNTA($A111:$L111)&gt;0,$F111=""),1,0)</f>
        <v>0</v>
      </c>
      <c r="AJ111" s="52">
        <f>IF(AND(COUNTA($A111:$L111)&gt;0,$F111&lt;&gt;"",$D111&lt;&gt;"",OR($C111="Shipment",$C111="Adjustment")),IF($AF111=1,0,IF(COUNTIFS(Batches!$A$2:$A$301,$F111,Batches!$B$2:$B$301,$D111)+COUNTIFS($F$1:$F110,$F111,$D$1:$D110,$D111,$C$1:$C110,"Receipt")=0,1,0)),0)</f>
        <v>0</v>
      </c>
      <c r="AK111" s="52">
        <f>IF(AND(COUNTA($A111:$L111)&gt;0,$C111="Receipt",$G111=""),1,0)</f>
        <v>0</v>
      </c>
      <c r="AL111" s="52">
        <f>IF(AND(COUNTA($A111:$L111)&gt;0,$G111&lt;&gt;""),IF($N111="ERR",1,0),0)</f>
        <v>0</v>
      </c>
      <c r="AM111" s="52">
        <f>IF(AND(COUNTA($A111:$L111)&gt;0,$H111=""),1,0)</f>
        <v>0</v>
      </c>
      <c r="AN111" s="52">
        <f>IF(AND(COUNTA($A111:$L111)&gt;0,$H111&lt;&gt;""),IF($O111="ERR",1,IF(INT($O111)&lt;&gt;$O111,1,IF(AND(OR($C111="Receipt",$C111="Shipment"),$O111&lt;=0),1,IF(AND($C111="Adjustment",$O111=0),1,0)))),0)</f>
        <v>0</v>
      </c>
      <c r="AO111" s="52">
        <f>IF(AND(COUNTA($A111:$L111)&gt;0,$C111="Receipt",$I111=""),1,0)</f>
        <v>0</v>
      </c>
      <c r="AP111" s="52">
        <f>IF(AND(COUNTA($A111:$L111)&gt;0,$I111&lt;&gt;""),IF(IFERROR(INDEX(Config!$G$15:$G$34,MATCH($I111,Config!$E$15:$E$34,0)),"No")="Yes",0,1),0)</f>
        <v>0</v>
      </c>
      <c r="AQ111" s="52">
        <f>IF(AND(COUNTA($A111:$L111)&gt;0,$C111="Adjustment",$J111=""),1,0)</f>
        <v>0</v>
      </c>
      <c r="AR111" s="52">
        <f>IF(AND(COUNTA($A111:$L111)&gt;0,$L111=""),1,0)</f>
        <v>0</v>
      </c>
      <c r="AS111" s="52">
        <f>IF(AND(COUNTA($A111:$L111)&gt;0,ISNUMBER($S111)),IF($S111&lt;0,1,0),0)</f>
        <v>0</v>
      </c>
      <c r="AT111" s="52">
        <f>$W111</f>
        <v>0</v>
      </c>
      <c r="AU111" s="52">
        <f>$AT111+$X111</f>
        <v>0</v>
      </c>
      <c r="AV111" s="52">
        <f>$AU111+$Y111</f>
        <v>0</v>
      </c>
      <c r="AW111" s="52">
        <f>$AV111+$Z111</f>
        <v>0</v>
      </c>
      <c r="AX111" s="52">
        <f>$AW111+$AA111</f>
        <v>0</v>
      </c>
      <c r="AY111" s="52">
        <f>$AX111+$AB111</f>
        <v>0</v>
      </c>
      <c r="AZ111" s="52">
        <f>$AY111+$AC111</f>
        <v>0</v>
      </c>
      <c r="BA111" s="52">
        <f>$AZ111+$AD111</f>
        <v>0</v>
      </c>
      <c r="BB111" s="52">
        <f>$BA111+$AE111</f>
        <v>0</v>
      </c>
      <c r="BC111" s="52">
        <f>$BB111+$AF111</f>
        <v>0</v>
      </c>
      <c r="BD111" s="52">
        <f>$BC111+$AG111</f>
        <v>0</v>
      </c>
      <c r="BE111" s="52">
        <f>$BD111+$AH111</f>
        <v>0</v>
      </c>
      <c r="BF111" s="52">
        <f>$BE111+$AI111</f>
        <v>0</v>
      </c>
      <c r="BG111" s="52">
        <f>$BF111+$AJ111</f>
        <v>0</v>
      </c>
      <c r="BH111" s="52">
        <f>$BG111+$AK111</f>
        <v>0</v>
      </c>
      <c r="BI111" s="52">
        <f>$BH111+$AL111</f>
        <v>0</v>
      </c>
      <c r="BJ111" s="52">
        <f>$BI111+$AM111</f>
        <v>0</v>
      </c>
      <c r="BK111" s="52">
        <f>$BJ111+$AN111</f>
        <v>0</v>
      </c>
      <c r="BL111" s="52">
        <f>$BK111+$AO111</f>
        <v>0</v>
      </c>
      <c r="BM111" s="52">
        <f>$BL111+$AP111</f>
        <v>0</v>
      </c>
      <c r="BN111" s="52">
        <f>$BM111+$AQ111</f>
        <v>0</v>
      </c>
      <c r="BO111" s="52">
        <f>$BN111+$AR111</f>
        <v>0</v>
      </c>
      <c r="BP111" s="52">
        <f>$BO111+$AS111</f>
        <v>0</v>
      </c>
      <c r="BQ111" s="52">
        <f>SUM($T$1:$T110)</f>
        <v>11</v>
      </c>
      <c r="BR111" s="52" t="str">
        <f>IF(ISNUMBER($T111),IF($T111&gt;0,COUNTIF($T$2:$T111,"&gt;0"),""),"")</f>
        <v/>
      </c>
      <c r="BS111" s="52" t="str">
        <f>IF($BR111="","",$BQ111+$T111)</f>
        <v/>
      </c>
      <c r="BT111" s="52" t="str">
        <f>IF($U111="Ready",COUNTIF($U$2:$U111,"Ready"),"")</f>
        <v/>
      </c>
      <c r="BU111" s="52">
        <f>IF(AND($U111="Ready",$C111="Receipt"),IF(COUNTIF(Batches!$A$2:$A$301,$F111)+COUNTIFS($F$1:$F110,$F111,$C$1:$C110,"Receipt",$U$1:$U110,"Ready")=0,1,0),0)</f>
        <v>0</v>
      </c>
      <c r="BV111" s="52" t="str">
        <f>IF($BU111=1,SUM($BU$2:$BU111),"")</f>
        <v/>
      </c>
    </row>
    <row r="112">
      <c r="A112" s="46" t="n"/>
      <c r="B112" s="46" t="n"/>
      <c r="C112" s="46" t="n"/>
      <c r="D112" s="46" t="n"/>
      <c r="E112" s="46" t="n"/>
      <c r="F112" s="46" t="n"/>
      <c r="G112" s="46" t="n"/>
      <c r="H112" s="46" t="n"/>
      <c r="I112" s="46" t="n"/>
      <c r="J112" s="46" t="n"/>
      <c r="K112" s="46" t="n"/>
      <c r="L112" s="46" t="n"/>
      <c r="M112" s="62" t="str">
        <f>IF($B112="","",IF(ISNUMBER($B112),$B112,IF(AND(LEN($B112)=10,MID($B112,5,1)="-",MID($B112,8,1)="-"),IFERROR(IF(AND(MONTH(DATE(VALUE(LEFT($B112,4)),VALUE(MID($B112,6,2)),VALUE(RIGHT($B112,2))))=VALUE(MID($B112,6,2)),DAY(DATE(VALUE(LEFT($B112,4)),VALUE(MID($B112,6,2)),VALUE(RIGHT($B112,2))))=VALUE(RIGHT($B112,2))),DATE(VALUE(LEFT($B112,4)),VALUE(MID($B112,6,2)),VALUE(RIGHT($B112,2))),"ERR"),"ERR"),"ERR")))</f>
        <v/>
      </c>
      <c r="N112" s="62" t="str">
        <f>IF($G112="","",IF(ISNUMBER($G112),$G112,IF(AND(LEN($G112)=10,MID($G112,5,1)="-",MID($G112,8,1)="-"),IFERROR(IF(AND(MONTH(DATE(VALUE(LEFT($G112,4)),VALUE(MID($G112,6,2)),VALUE(RIGHT($G112,2))))=VALUE(MID($G112,6,2)),DAY(DATE(VALUE(LEFT($G112,4)),VALUE(MID($G112,6,2)),VALUE(RIGHT($G112,2))))=VALUE(RIGHT($G112,2))),DATE(VALUE(LEFT($G112,4)),VALUE(MID($G112,6,2)),VALUE(RIGHT($G112,2))),"ERR"),"ERR"),"ERR")))</f>
        <v/>
      </c>
      <c r="O112" s="51" t="str">
        <f>IF($H112="","",IF(ISNUMBER($H112),$H112,IFERROR(VALUE($H112),"ERR")))</f>
        <v/>
      </c>
      <c r="P112" s="51" t="str">
        <f>IF(AND(ISNUMBER($O112),OR($C112="Receipt",$C112="Shipment",$C112="Adjustment")),IF($C112="Shipment",-$O112,$O112),"")</f>
        <v/>
      </c>
      <c r="Q112" s="51" t="str">
        <f>IF($D112="","",IFERROR(INDEX(Products!$R$2:$R$101,MATCH($D112,Products!$A$2:$A$101,0)),""))</f>
        <v/>
      </c>
      <c r="R112" s="51" t="str">
        <f>IF(OR($Q112="",$P112=""),"",$Q112+SUMIFS($P$1:$P111,$D$1:$D111,$D112,$U$1:$U111,"Ready"))</f>
        <v/>
      </c>
      <c r="S112" s="51" t="str">
        <f>IF($R112="","",$R112+$P112)</f>
        <v/>
      </c>
      <c r="T112" s="52" t="str">
        <f>IF(COUNTA($A112:$L112)&gt;0,$BP112,"")</f>
        <v/>
      </c>
      <c r="U112" s="49" t="str">
        <f>IF($T112="","",IF($T112=0,"Ready","Rejected"))</f>
        <v/>
      </c>
      <c r="V112" s="49" t="str">
        <f>IF(OR($T112="",$T112=0),"",INDEX(Config!$D$39:$D$61,MATCH(1,$AT112:$BP112,0))&amp;IF($T112&gt;1," (+"&amp;($T112-1)&amp;" more)",""))</f>
        <v/>
      </c>
      <c r="W112" s="52">
        <f>IF(AND(COUNTA($A112:$L112)&gt;0,$A112=""),1,0)</f>
        <v>0</v>
      </c>
      <c r="X112" s="52">
        <f>IF(AND(COUNTA($A112:$L112)&gt;0,$A112&lt;&gt;""),IF(COUNTIF($A$1:$A111,$A112)&gt;0,1,0),0)</f>
        <v>0</v>
      </c>
      <c r="Y112" s="52">
        <f>IF(AND(COUNTA($A112:$L112)&gt;0,$A112&lt;&gt;""),IF(COUNTIF(Inventory_Ledger!$A$2:$A$2001,$A112)&gt;0,1,0),0)</f>
        <v>0</v>
      </c>
      <c r="Z112" s="52">
        <f>IF(AND(COUNTA($A112:$L112)&gt;0,$B112=""),1,0)</f>
        <v>0</v>
      </c>
      <c r="AA112" s="52">
        <f>IF(AND(COUNTA($A112:$L112)&gt;0,$B112&lt;&gt;""),IF($M112="ERR",1,0),0)</f>
        <v>0</v>
      </c>
      <c r="AB112" s="52">
        <f>IF(AND(COUNTA($A112:$L112)&gt;0,ISNUMBER($M112)),IF($M112&gt;Config!$B$4,1,0),0)</f>
        <v>0</v>
      </c>
      <c r="AC112" s="52">
        <f>IF(AND(COUNTA($A112:$L112)&gt;0,$C112=""),1,0)</f>
        <v>0</v>
      </c>
      <c r="AD112" s="52">
        <f>IF(AND(COUNTA($A112:$L112)&gt;0,$C112&lt;&gt;""),IF(COUNTIF(Config!$A$15:$A$34,$C112)=0,1,0),0)</f>
        <v>0</v>
      </c>
      <c r="AE112" s="52">
        <f>IF(AND(COUNTA($A112:$L112)&gt;0,$D112=""),1,0)</f>
        <v>0</v>
      </c>
      <c r="AF112" s="52">
        <f>IF(AND(COUNTA($A112:$L112)&gt;0,$D112&lt;&gt;""),IF(COUNTIF(Products!$A$2:$A$101,$D112)=0,1,0),0)</f>
        <v>0</v>
      </c>
      <c r="AG112" s="52">
        <f>IF(AND(COUNTA($A112:$L112)&gt;0,$C112="Receipt",$E112=""),1,0)</f>
        <v>0</v>
      </c>
      <c r="AH112" s="52">
        <f>IF(AND(COUNTA($A112:$L112)&gt;0,$E112&lt;&gt;""),IF(COUNTIF(Suppliers!$A$2:$A$51,$E112)=0,1,0),0)</f>
        <v>0</v>
      </c>
      <c r="AI112" s="52">
        <f>IF(AND(COUNTA($A112:$L112)&gt;0,$F112=""),1,0)</f>
        <v>0</v>
      </c>
      <c r="AJ112" s="52">
        <f>IF(AND(COUNTA($A112:$L112)&gt;0,$F112&lt;&gt;"",$D112&lt;&gt;"",OR($C112="Shipment",$C112="Adjustment")),IF($AF112=1,0,IF(COUNTIFS(Batches!$A$2:$A$301,$F112,Batches!$B$2:$B$301,$D112)+COUNTIFS($F$1:$F111,$F112,$D$1:$D111,$D112,$C$1:$C111,"Receipt")=0,1,0)),0)</f>
        <v>0</v>
      </c>
      <c r="AK112" s="52">
        <f>IF(AND(COUNTA($A112:$L112)&gt;0,$C112="Receipt",$G112=""),1,0)</f>
        <v>0</v>
      </c>
      <c r="AL112" s="52">
        <f>IF(AND(COUNTA($A112:$L112)&gt;0,$G112&lt;&gt;""),IF($N112="ERR",1,0),0)</f>
        <v>0</v>
      </c>
      <c r="AM112" s="52">
        <f>IF(AND(COUNTA($A112:$L112)&gt;0,$H112=""),1,0)</f>
        <v>0</v>
      </c>
      <c r="AN112" s="52">
        <f>IF(AND(COUNTA($A112:$L112)&gt;0,$H112&lt;&gt;""),IF($O112="ERR",1,IF(INT($O112)&lt;&gt;$O112,1,IF(AND(OR($C112="Receipt",$C112="Shipment"),$O112&lt;=0),1,IF(AND($C112="Adjustment",$O112=0),1,0)))),0)</f>
        <v>0</v>
      </c>
      <c r="AO112" s="52">
        <f>IF(AND(COUNTA($A112:$L112)&gt;0,$C112="Receipt",$I112=""),1,0)</f>
        <v>0</v>
      </c>
      <c r="AP112" s="52">
        <f>IF(AND(COUNTA($A112:$L112)&gt;0,$I112&lt;&gt;""),IF(IFERROR(INDEX(Config!$G$15:$G$34,MATCH($I112,Config!$E$15:$E$34,0)),"No")="Yes",0,1),0)</f>
        <v>0</v>
      </c>
      <c r="AQ112" s="52">
        <f>IF(AND(COUNTA($A112:$L112)&gt;0,$C112="Adjustment",$J112=""),1,0)</f>
        <v>0</v>
      </c>
      <c r="AR112" s="52">
        <f>IF(AND(COUNTA($A112:$L112)&gt;0,$L112=""),1,0)</f>
        <v>0</v>
      </c>
      <c r="AS112" s="52">
        <f>IF(AND(COUNTA($A112:$L112)&gt;0,ISNUMBER($S112)),IF($S112&lt;0,1,0),0)</f>
        <v>0</v>
      </c>
      <c r="AT112" s="52">
        <f>$W112</f>
        <v>0</v>
      </c>
      <c r="AU112" s="52">
        <f>$AT112+$X112</f>
        <v>0</v>
      </c>
      <c r="AV112" s="52">
        <f>$AU112+$Y112</f>
        <v>0</v>
      </c>
      <c r="AW112" s="52">
        <f>$AV112+$Z112</f>
        <v>0</v>
      </c>
      <c r="AX112" s="52">
        <f>$AW112+$AA112</f>
        <v>0</v>
      </c>
      <c r="AY112" s="52">
        <f>$AX112+$AB112</f>
        <v>0</v>
      </c>
      <c r="AZ112" s="52">
        <f>$AY112+$AC112</f>
        <v>0</v>
      </c>
      <c r="BA112" s="52">
        <f>$AZ112+$AD112</f>
        <v>0</v>
      </c>
      <c r="BB112" s="52">
        <f>$BA112+$AE112</f>
        <v>0</v>
      </c>
      <c r="BC112" s="52">
        <f>$BB112+$AF112</f>
        <v>0</v>
      </c>
      <c r="BD112" s="52">
        <f>$BC112+$AG112</f>
        <v>0</v>
      </c>
      <c r="BE112" s="52">
        <f>$BD112+$AH112</f>
        <v>0</v>
      </c>
      <c r="BF112" s="52">
        <f>$BE112+$AI112</f>
        <v>0</v>
      </c>
      <c r="BG112" s="52">
        <f>$BF112+$AJ112</f>
        <v>0</v>
      </c>
      <c r="BH112" s="52">
        <f>$BG112+$AK112</f>
        <v>0</v>
      </c>
      <c r="BI112" s="52">
        <f>$BH112+$AL112</f>
        <v>0</v>
      </c>
      <c r="BJ112" s="52">
        <f>$BI112+$AM112</f>
        <v>0</v>
      </c>
      <c r="BK112" s="52">
        <f>$BJ112+$AN112</f>
        <v>0</v>
      </c>
      <c r="BL112" s="52">
        <f>$BK112+$AO112</f>
        <v>0</v>
      </c>
      <c r="BM112" s="52">
        <f>$BL112+$AP112</f>
        <v>0</v>
      </c>
      <c r="BN112" s="52">
        <f>$BM112+$AQ112</f>
        <v>0</v>
      </c>
      <c r="BO112" s="52">
        <f>$BN112+$AR112</f>
        <v>0</v>
      </c>
      <c r="BP112" s="52">
        <f>$BO112+$AS112</f>
        <v>0</v>
      </c>
      <c r="BQ112" s="52">
        <f>SUM($T$1:$T111)</f>
        <v>11</v>
      </c>
      <c r="BR112" s="52" t="str">
        <f>IF(ISNUMBER($T112),IF($T112&gt;0,COUNTIF($T$2:$T112,"&gt;0"),""),"")</f>
        <v/>
      </c>
      <c r="BS112" s="52" t="str">
        <f>IF($BR112="","",$BQ112+$T112)</f>
        <v/>
      </c>
      <c r="BT112" s="52" t="str">
        <f>IF($U112="Ready",COUNTIF($U$2:$U112,"Ready"),"")</f>
        <v/>
      </c>
      <c r="BU112" s="52">
        <f>IF(AND($U112="Ready",$C112="Receipt"),IF(COUNTIF(Batches!$A$2:$A$301,$F112)+COUNTIFS($F$1:$F111,$F112,$C$1:$C111,"Receipt",$U$1:$U111,"Ready")=0,1,0),0)</f>
        <v>0</v>
      </c>
      <c r="BV112" s="52" t="str">
        <f>IF($BU112=1,SUM($BU$2:$BU112),"")</f>
        <v/>
      </c>
    </row>
    <row r="113">
      <c r="A113" s="46" t="n"/>
      <c r="B113" s="46" t="n"/>
      <c r="C113" s="46" t="n"/>
      <c r="D113" s="46" t="n"/>
      <c r="E113" s="46" t="n"/>
      <c r="F113" s="46" t="n"/>
      <c r="G113" s="46" t="n"/>
      <c r="H113" s="46" t="n"/>
      <c r="I113" s="46" t="n"/>
      <c r="J113" s="46" t="n"/>
      <c r="K113" s="46" t="n"/>
      <c r="L113" s="46" t="n"/>
      <c r="M113" s="62" t="str">
        <f>IF($B113="","",IF(ISNUMBER($B113),$B113,IF(AND(LEN($B113)=10,MID($B113,5,1)="-",MID($B113,8,1)="-"),IFERROR(IF(AND(MONTH(DATE(VALUE(LEFT($B113,4)),VALUE(MID($B113,6,2)),VALUE(RIGHT($B113,2))))=VALUE(MID($B113,6,2)),DAY(DATE(VALUE(LEFT($B113,4)),VALUE(MID($B113,6,2)),VALUE(RIGHT($B113,2))))=VALUE(RIGHT($B113,2))),DATE(VALUE(LEFT($B113,4)),VALUE(MID($B113,6,2)),VALUE(RIGHT($B113,2))),"ERR"),"ERR"),"ERR")))</f>
        <v/>
      </c>
      <c r="N113" s="62" t="str">
        <f>IF($G113="","",IF(ISNUMBER($G113),$G113,IF(AND(LEN($G113)=10,MID($G113,5,1)="-",MID($G113,8,1)="-"),IFERROR(IF(AND(MONTH(DATE(VALUE(LEFT($G113,4)),VALUE(MID($G113,6,2)),VALUE(RIGHT($G113,2))))=VALUE(MID($G113,6,2)),DAY(DATE(VALUE(LEFT($G113,4)),VALUE(MID($G113,6,2)),VALUE(RIGHT($G113,2))))=VALUE(RIGHT($G113,2))),DATE(VALUE(LEFT($G113,4)),VALUE(MID($G113,6,2)),VALUE(RIGHT($G113,2))),"ERR"),"ERR"),"ERR")))</f>
        <v/>
      </c>
      <c r="O113" s="51" t="str">
        <f>IF($H113="","",IF(ISNUMBER($H113),$H113,IFERROR(VALUE($H113),"ERR")))</f>
        <v/>
      </c>
      <c r="P113" s="51" t="str">
        <f>IF(AND(ISNUMBER($O113),OR($C113="Receipt",$C113="Shipment",$C113="Adjustment")),IF($C113="Shipment",-$O113,$O113),"")</f>
        <v/>
      </c>
      <c r="Q113" s="51" t="str">
        <f>IF($D113="","",IFERROR(INDEX(Products!$R$2:$R$101,MATCH($D113,Products!$A$2:$A$101,0)),""))</f>
        <v/>
      </c>
      <c r="R113" s="51" t="str">
        <f>IF(OR($Q113="",$P113=""),"",$Q113+SUMIFS($P$1:$P112,$D$1:$D112,$D113,$U$1:$U112,"Ready"))</f>
        <v/>
      </c>
      <c r="S113" s="51" t="str">
        <f>IF($R113="","",$R113+$P113)</f>
        <v/>
      </c>
      <c r="T113" s="52" t="str">
        <f>IF(COUNTA($A113:$L113)&gt;0,$BP113,"")</f>
        <v/>
      </c>
      <c r="U113" s="49" t="str">
        <f>IF($T113="","",IF($T113=0,"Ready","Rejected"))</f>
        <v/>
      </c>
      <c r="V113" s="49" t="str">
        <f>IF(OR($T113="",$T113=0),"",INDEX(Config!$D$39:$D$61,MATCH(1,$AT113:$BP113,0))&amp;IF($T113&gt;1," (+"&amp;($T113-1)&amp;" more)",""))</f>
        <v/>
      </c>
      <c r="W113" s="52">
        <f>IF(AND(COUNTA($A113:$L113)&gt;0,$A113=""),1,0)</f>
        <v>0</v>
      </c>
      <c r="X113" s="52">
        <f>IF(AND(COUNTA($A113:$L113)&gt;0,$A113&lt;&gt;""),IF(COUNTIF($A$1:$A112,$A113)&gt;0,1,0),0)</f>
        <v>0</v>
      </c>
      <c r="Y113" s="52">
        <f>IF(AND(COUNTA($A113:$L113)&gt;0,$A113&lt;&gt;""),IF(COUNTIF(Inventory_Ledger!$A$2:$A$2001,$A113)&gt;0,1,0),0)</f>
        <v>0</v>
      </c>
      <c r="Z113" s="52">
        <f>IF(AND(COUNTA($A113:$L113)&gt;0,$B113=""),1,0)</f>
        <v>0</v>
      </c>
      <c r="AA113" s="52">
        <f>IF(AND(COUNTA($A113:$L113)&gt;0,$B113&lt;&gt;""),IF($M113="ERR",1,0),0)</f>
        <v>0</v>
      </c>
      <c r="AB113" s="52">
        <f>IF(AND(COUNTA($A113:$L113)&gt;0,ISNUMBER($M113)),IF($M113&gt;Config!$B$4,1,0),0)</f>
        <v>0</v>
      </c>
      <c r="AC113" s="52">
        <f>IF(AND(COUNTA($A113:$L113)&gt;0,$C113=""),1,0)</f>
        <v>0</v>
      </c>
      <c r="AD113" s="52">
        <f>IF(AND(COUNTA($A113:$L113)&gt;0,$C113&lt;&gt;""),IF(COUNTIF(Config!$A$15:$A$34,$C113)=0,1,0),0)</f>
        <v>0</v>
      </c>
      <c r="AE113" s="52">
        <f>IF(AND(COUNTA($A113:$L113)&gt;0,$D113=""),1,0)</f>
        <v>0</v>
      </c>
      <c r="AF113" s="52">
        <f>IF(AND(COUNTA($A113:$L113)&gt;0,$D113&lt;&gt;""),IF(COUNTIF(Products!$A$2:$A$101,$D113)=0,1,0),0)</f>
        <v>0</v>
      </c>
      <c r="AG113" s="52">
        <f>IF(AND(COUNTA($A113:$L113)&gt;0,$C113="Receipt",$E113=""),1,0)</f>
        <v>0</v>
      </c>
      <c r="AH113" s="52">
        <f>IF(AND(COUNTA($A113:$L113)&gt;0,$E113&lt;&gt;""),IF(COUNTIF(Suppliers!$A$2:$A$51,$E113)=0,1,0),0)</f>
        <v>0</v>
      </c>
      <c r="AI113" s="52">
        <f>IF(AND(COUNTA($A113:$L113)&gt;0,$F113=""),1,0)</f>
        <v>0</v>
      </c>
      <c r="AJ113" s="52">
        <f>IF(AND(COUNTA($A113:$L113)&gt;0,$F113&lt;&gt;"",$D113&lt;&gt;"",OR($C113="Shipment",$C113="Adjustment")),IF($AF113=1,0,IF(COUNTIFS(Batches!$A$2:$A$301,$F113,Batches!$B$2:$B$301,$D113)+COUNTIFS($F$1:$F112,$F113,$D$1:$D112,$D113,$C$1:$C112,"Receipt")=0,1,0)),0)</f>
        <v>0</v>
      </c>
      <c r="AK113" s="52">
        <f>IF(AND(COUNTA($A113:$L113)&gt;0,$C113="Receipt",$G113=""),1,0)</f>
        <v>0</v>
      </c>
      <c r="AL113" s="52">
        <f>IF(AND(COUNTA($A113:$L113)&gt;0,$G113&lt;&gt;""),IF($N113="ERR",1,0),0)</f>
        <v>0</v>
      </c>
      <c r="AM113" s="52">
        <f>IF(AND(COUNTA($A113:$L113)&gt;0,$H113=""),1,0)</f>
        <v>0</v>
      </c>
      <c r="AN113" s="52">
        <f>IF(AND(COUNTA($A113:$L113)&gt;0,$H113&lt;&gt;""),IF($O113="ERR",1,IF(INT($O113)&lt;&gt;$O113,1,IF(AND(OR($C113="Receipt",$C113="Shipment"),$O113&lt;=0),1,IF(AND($C113="Adjustment",$O113=0),1,0)))),0)</f>
        <v>0</v>
      </c>
      <c r="AO113" s="52">
        <f>IF(AND(COUNTA($A113:$L113)&gt;0,$C113="Receipt",$I113=""),1,0)</f>
        <v>0</v>
      </c>
      <c r="AP113" s="52">
        <f>IF(AND(COUNTA($A113:$L113)&gt;0,$I113&lt;&gt;""),IF(IFERROR(INDEX(Config!$G$15:$G$34,MATCH($I113,Config!$E$15:$E$34,0)),"No")="Yes",0,1),0)</f>
        <v>0</v>
      </c>
      <c r="AQ113" s="52">
        <f>IF(AND(COUNTA($A113:$L113)&gt;0,$C113="Adjustment",$J113=""),1,0)</f>
        <v>0</v>
      </c>
      <c r="AR113" s="52">
        <f>IF(AND(COUNTA($A113:$L113)&gt;0,$L113=""),1,0)</f>
        <v>0</v>
      </c>
      <c r="AS113" s="52">
        <f>IF(AND(COUNTA($A113:$L113)&gt;0,ISNUMBER($S113)),IF($S113&lt;0,1,0),0)</f>
        <v>0</v>
      </c>
      <c r="AT113" s="52">
        <f>$W113</f>
        <v>0</v>
      </c>
      <c r="AU113" s="52">
        <f>$AT113+$X113</f>
        <v>0</v>
      </c>
      <c r="AV113" s="52">
        <f>$AU113+$Y113</f>
        <v>0</v>
      </c>
      <c r="AW113" s="52">
        <f>$AV113+$Z113</f>
        <v>0</v>
      </c>
      <c r="AX113" s="52">
        <f>$AW113+$AA113</f>
        <v>0</v>
      </c>
      <c r="AY113" s="52">
        <f>$AX113+$AB113</f>
        <v>0</v>
      </c>
      <c r="AZ113" s="52">
        <f>$AY113+$AC113</f>
        <v>0</v>
      </c>
      <c r="BA113" s="52">
        <f>$AZ113+$AD113</f>
        <v>0</v>
      </c>
      <c r="BB113" s="52">
        <f>$BA113+$AE113</f>
        <v>0</v>
      </c>
      <c r="BC113" s="52">
        <f>$BB113+$AF113</f>
        <v>0</v>
      </c>
      <c r="BD113" s="52">
        <f>$BC113+$AG113</f>
        <v>0</v>
      </c>
      <c r="BE113" s="52">
        <f>$BD113+$AH113</f>
        <v>0</v>
      </c>
      <c r="BF113" s="52">
        <f>$BE113+$AI113</f>
        <v>0</v>
      </c>
      <c r="BG113" s="52">
        <f>$BF113+$AJ113</f>
        <v>0</v>
      </c>
      <c r="BH113" s="52">
        <f>$BG113+$AK113</f>
        <v>0</v>
      </c>
      <c r="BI113" s="52">
        <f>$BH113+$AL113</f>
        <v>0</v>
      </c>
      <c r="BJ113" s="52">
        <f>$BI113+$AM113</f>
        <v>0</v>
      </c>
      <c r="BK113" s="52">
        <f>$BJ113+$AN113</f>
        <v>0</v>
      </c>
      <c r="BL113" s="52">
        <f>$BK113+$AO113</f>
        <v>0</v>
      </c>
      <c r="BM113" s="52">
        <f>$BL113+$AP113</f>
        <v>0</v>
      </c>
      <c r="BN113" s="52">
        <f>$BM113+$AQ113</f>
        <v>0</v>
      </c>
      <c r="BO113" s="52">
        <f>$BN113+$AR113</f>
        <v>0</v>
      </c>
      <c r="BP113" s="52">
        <f>$BO113+$AS113</f>
        <v>0</v>
      </c>
      <c r="BQ113" s="52">
        <f>SUM($T$1:$T112)</f>
        <v>11</v>
      </c>
      <c r="BR113" s="52" t="str">
        <f>IF(ISNUMBER($T113),IF($T113&gt;0,COUNTIF($T$2:$T113,"&gt;0"),""),"")</f>
        <v/>
      </c>
      <c r="BS113" s="52" t="str">
        <f>IF($BR113="","",$BQ113+$T113)</f>
        <v/>
      </c>
      <c r="BT113" s="52" t="str">
        <f>IF($U113="Ready",COUNTIF($U$2:$U113,"Ready"),"")</f>
        <v/>
      </c>
      <c r="BU113" s="52">
        <f>IF(AND($U113="Ready",$C113="Receipt"),IF(COUNTIF(Batches!$A$2:$A$301,$F113)+COUNTIFS($F$1:$F112,$F113,$C$1:$C112,"Receipt",$U$1:$U112,"Ready")=0,1,0),0)</f>
        <v>0</v>
      </c>
      <c r="BV113" s="52" t="str">
        <f>IF($BU113=1,SUM($BU$2:$BU113),"")</f>
        <v/>
      </c>
    </row>
    <row r="114">
      <c r="A114" s="46" t="n"/>
      <c r="B114" s="46" t="n"/>
      <c r="C114" s="46" t="n"/>
      <c r="D114" s="46" t="n"/>
      <c r="E114" s="46" t="n"/>
      <c r="F114" s="46" t="n"/>
      <c r="G114" s="46" t="n"/>
      <c r="H114" s="46" t="n"/>
      <c r="I114" s="46" t="n"/>
      <c r="J114" s="46" t="n"/>
      <c r="K114" s="46" t="n"/>
      <c r="L114" s="46" t="n"/>
      <c r="M114" s="62" t="str">
        <f>IF($B114="","",IF(ISNUMBER($B114),$B114,IF(AND(LEN($B114)=10,MID($B114,5,1)="-",MID($B114,8,1)="-"),IFERROR(IF(AND(MONTH(DATE(VALUE(LEFT($B114,4)),VALUE(MID($B114,6,2)),VALUE(RIGHT($B114,2))))=VALUE(MID($B114,6,2)),DAY(DATE(VALUE(LEFT($B114,4)),VALUE(MID($B114,6,2)),VALUE(RIGHT($B114,2))))=VALUE(RIGHT($B114,2))),DATE(VALUE(LEFT($B114,4)),VALUE(MID($B114,6,2)),VALUE(RIGHT($B114,2))),"ERR"),"ERR"),"ERR")))</f>
        <v/>
      </c>
      <c r="N114" s="62" t="str">
        <f>IF($G114="","",IF(ISNUMBER($G114),$G114,IF(AND(LEN($G114)=10,MID($G114,5,1)="-",MID($G114,8,1)="-"),IFERROR(IF(AND(MONTH(DATE(VALUE(LEFT($G114,4)),VALUE(MID($G114,6,2)),VALUE(RIGHT($G114,2))))=VALUE(MID($G114,6,2)),DAY(DATE(VALUE(LEFT($G114,4)),VALUE(MID($G114,6,2)),VALUE(RIGHT($G114,2))))=VALUE(RIGHT($G114,2))),DATE(VALUE(LEFT($G114,4)),VALUE(MID($G114,6,2)),VALUE(RIGHT($G114,2))),"ERR"),"ERR"),"ERR")))</f>
        <v/>
      </c>
      <c r="O114" s="51" t="str">
        <f>IF($H114="","",IF(ISNUMBER($H114),$H114,IFERROR(VALUE($H114),"ERR")))</f>
        <v/>
      </c>
      <c r="P114" s="51" t="str">
        <f>IF(AND(ISNUMBER($O114),OR($C114="Receipt",$C114="Shipment",$C114="Adjustment")),IF($C114="Shipment",-$O114,$O114),"")</f>
        <v/>
      </c>
      <c r="Q114" s="51" t="str">
        <f>IF($D114="","",IFERROR(INDEX(Products!$R$2:$R$101,MATCH($D114,Products!$A$2:$A$101,0)),""))</f>
        <v/>
      </c>
      <c r="R114" s="51" t="str">
        <f>IF(OR($Q114="",$P114=""),"",$Q114+SUMIFS($P$1:$P113,$D$1:$D113,$D114,$U$1:$U113,"Ready"))</f>
        <v/>
      </c>
      <c r="S114" s="51" t="str">
        <f>IF($R114="","",$R114+$P114)</f>
        <v/>
      </c>
      <c r="T114" s="52" t="str">
        <f>IF(COUNTA($A114:$L114)&gt;0,$BP114,"")</f>
        <v/>
      </c>
      <c r="U114" s="49" t="str">
        <f>IF($T114="","",IF($T114=0,"Ready","Rejected"))</f>
        <v/>
      </c>
      <c r="V114" s="49" t="str">
        <f>IF(OR($T114="",$T114=0),"",INDEX(Config!$D$39:$D$61,MATCH(1,$AT114:$BP114,0))&amp;IF($T114&gt;1," (+"&amp;($T114-1)&amp;" more)",""))</f>
        <v/>
      </c>
      <c r="W114" s="52">
        <f>IF(AND(COUNTA($A114:$L114)&gt;0,$A114=""),1,0)</f>
        <v>0</v>
      </c>
      <c r="X114" s="52">
        <f>IF(AND(COUNTA($A114:$L114)&gt;0,$A114&lt;&gt;""),IF(COUNTIF($A$1:$A113,$A114)&gt;0,1,0),0)</f>
        <v>0</v>
      </c>
      <c r="Y114" s="52">
        <f>IF(AND(COUNTA($A114:$L114)&gt;0,$A114&lt;&gt;""),IF(COUNTIF(Inventory_Ledger!$A$2:$A$2001,$A114)&gt;0,1,0),0)</f>
        <v>0</v>
      </c>
      <c r="Z114" s="52">
        <f>IF(AND(COUNTA($A114:$L114)&gt;0,$B114=""),1,0)</f>
        <v>0</v>
      </c>
      <c r="AA114" s="52">
        <f>IF(AND(COUNTA($A114:$L114)&gt;0,$B114&lt;&gt;""),IF($M114="ERR",1,0),0)</f>
        <v>0</v>
      </c>
      <c r="AB114" s="52">
        <f>IF(AND(COUNTA($A114:$L114)&gt;0,ISNUMBER($M114)),IF($M114&gt;Config!$B$4,1,0),0)</f>
        <v>0</v>
      </c>
      <c r="AC114" s="52">
        <f>IF(AND(COUNTA($A114:$L114)&gt;0,$C114=""),1,0)</f>
        <v>0</v>
      </c>
      <c r="AD114" s="52">
        <f>IF(AND(COUNTA($A114:$L114)&gt;0,$C114&lt;&gt;""),IF(COUNTIF(Config!$A$15:$A$34,$C114)=0,1,0),0)</f>
        <v>0</v>
      </c>
      <c r="AE114" s="52">
        <f>IF(AND(COUNTA($A114:$L114)&gt;0,$D114=""),1,0)</f>
        <v>0</v>
      </c>
      <c r="AF114" s="52">
        <f>IF(AND(COUNTA($A114:$L114)&gt;0,$D114&lt;&gt;""),IF(COUNTIF(Products!$A$2:$A$101,$D114)=0,1,0),0)</f>
        <v>0</v>
      </c>
      <c r="AG114" s="52">
        <f>IF(AND(COUNTA($A114:$L114)&gt;0,$C114="Receipt",$E114=""),1,0)</f>
        <v>0</v>
      </c>
      <c r="AH114" s="52">
        <f>IF(AND(COUNTA($A114:$L114)&gt;0,$E114&lt;&gt;""),IF(COUNTIF(Suppliers!$A$2:$A$51,$E114)=0,1,0),0)</f>
        <v>0</v>
      </c>
      <c r="AI114" s="52">
        <f>IF(AND(COUNTA($A114:$L114)&gt;0,$F114=""),1,0)</f>
        <v>0</v>
      </c>
      <c r="AJ114" s="52">
        <f>IF(AND(COUNTA($A114:$L114)&gt;0,$F114&lt;&gt;"",$D114&lt;&gt;"",OR($C114="Shipment",$C114="Adjustment")),IF($AF114=1,0,IF(COUNTIFS(Batches!$A$2:$A$301,$F114,Batches!$B$2:$B$301,$D114)+COUNTIFS($F$1:$F113,$F114,$D$1:$D113,$D114,$C$1:$C113,"Receipt")=0,1,0)),0)</f>
        <v>0</v>
      </c>
      <c r="AK114" s="52">
        <f>IF(AND(COUNTA($A114:$L114)&gt;0,$C114="Receipt",$G114=""),1,0)</f>
        <v>0</v>
      </c>
      <c r="AL114" s="52">
        <f>IF(AND(COUNTA($A114:$L114)&gt;0,$G114&lt;&gt;""),IF($N114="ERR",1,0),0)</f>
        <v>0</v>
      </c>
      <c r="AM114" s="52">
        <f>IF(AND(COUNTA($A114:$L114)&gt;0,$H114=""),1,0)</f>
        <v>0</v>
      </c>
      <c r="AN114" s="52">
        <f>IF(AND(COUNTA($A114:$L114)&gt;0,$H114&lt;&gt;""),IF($O114="ERR",1,IF(INT($O114)&lt;&gt;$O114,1,IF(AND(OR($C114="Receipt",$C114="Shipment"),$O114&lt;=0),1,IF(AND($C114="Adjustment",$O114=0),1,0)))),0)</f>
        <v>0</v>
      </c>
      <c r="AO114" s="52">
        <f>IF(AND(COUNTA($A114:$L114)&gt;0,$C114="Receipt",$I114=""),1,0)</f>
        <v>0</v>
      </c>
      <c r="AP114" s="52">
        <f>IF(AND(COUNTA($A114:$L114)&gt;0,$I114&lt;&gt;""),IF(IFERROR(INDEX(Config!$G$15:$G$34,MATCH($I114,Config!$E$15:$E$34,0)),"No")="Yes",0,1),0)</f>
        <v>0</v>
      </c>
      <c r="AQ114" s="52">
        <f>IF(AND(COUNTA($A114:$L114)&gt;0,$C114="Adjustment",$J114=""),1,0)</f>
        <v>0</v>
      </c>
      <c r="AR114" s="52">
        <f>IF(AND(COUNTA($A114:$L114)&gt;0,$L114=""),1,0)</f>
        <v>0</v>
      </c>
      <c r="AS114" s="52">
        <f>IF(AND(COUNTA($A114:$L114)&gt;0,ISNUMBER($S114)),IF($S114&lt;0,1,0),0)</f>
        <v>0</v>
      </c>
      <c r="AT114" s="52">
        <f>$W114</f>
        <v>0</v>
      </c>
      <c r="AU114" s="52">
        <f>$AT114+$X114</f>
        <v>0</v>
      </c>
      <c r="AV114" s="52">
        <f>$AU114+$Y114</f>
        <v>0</v>
      </c>
      <c r="AW114" s="52">
        <f>$AV114+$Z114</f>
        <v>0</v>
      </c>
      <c r="AX114" s="52">
        <f>$AW114+$AA114</f>
        <v>0</v>
      </c>
      <c r="AY114" s="52">
        <f>$AX114+$AB114</f>
        <v>0</v>
      </c>
      <c r="AZ114" s="52">
        <f>$AY114+$AC114</f>
        <v>0</v>
      </c>
      <c r="BA114" s="52">
        <f>$AZ114+$AD114</f>
        <v>0</v>
      </c>
      <c r="BB114" s="52">
        <f>$BA114+$AE114</f>
        <v>0</v>
      </c>
      <c r="BC114" s="52">
        <f>$BB114+$AF114</f>
        <v>0</v>
      </c>
      <c r="BD114" s="52">
        <f>$BC114+$AG114</f>
        <v>0</v>
      </c>
      <c r="BE114" s="52">
        <f>$BD114+$AH114</f>
        <v>0</v>
      </c>
      <c r="BF114" s="52">
        <f>$BE114+$AI114</f>
        <v>0</v>
      </c>
      <c r="BG114" s="52">
        <f>$BF114+$AJ114</f>
        <v>0</v>
      </c>
      <c r="BH114" s="52">
        <f>$BG114+$AK114</f>
        <v>0</v>
      </c>
      <c r="BI114" s="52">
        <f>$BH114+$AL114</f>
        <v>0</v>
      </c>
      <c r="BJ114" s="52">
        <f>$BI114+$AM114</f>
        <v>0</v>
      </c>
      <c r="BK114" s="52">
        <f>$BJ114+$AN114</f>
        <v>0</v>
      </c>
      <c r="BL114" s="52">
        <f>$BK114+$AO114</f>
        <v>0</v>
      </c>
      <c r="BM114" s="52">
        <f>$BL114+$AP114</f>
        <v>0</v>
      </c>
      <c r="BN114" s="52">
        <f>$BM114+$AQ114</f>
        <v>0</v>
      </c>
      <c r="BO114" s="52">
        <f>$BN114+$AR114</f>
        <v>0</v>
      </c>
      <c r="BP114" s="52">
        <f>$BO114+$AS114</f>
        <v>0</v>
      </c>
      <c r="BQ114" s="52">
        <f>SUM($T$1:$T113)</f>
        <v>11</v>
      </c>
      <c r="BR114" s="52" t="str">
        <f>IF(ISNUMBER($T114),IF($T114&gt;0,COUNTIF($T$2:$T114,"&gt;0"),""),"")</f>
        <v/>
      </c>
      <c r="BS114" s="52" t="str">
        <f>IF($BR114="","",$BQ114+$T114)</f>
        <v/>
      </c>
      <c r="BT114" s="52" t="str">
        <f>IF($U114="Ready",COUNTIF($U$2:$U114,"Ready"),"")</f>
        <v/>
      </c>
      <c r="BU114" s="52">
        <f>IF(AND($U114="Ready",$C114="Receipt"),IF(COUNTIF(Batches!$A$2:$A$301,$F114)+COUNTIFS($F$1:$F113,$F114,$C$1:$C113,"Receipt",$U$1:$U113,"Ready")=0,1,0),0)</f>
        <v>0</v>
      </c>
      <c r="BV114" s="52" t="str">
        <f>IF($BU114=1,SUM($BU$2:$BU114),"")</f>
        <v/>
      </c>
    </row>
    <row r="115">
      <c r="A115" s="46" t="n"/>
      <c r="B115" s="46" t="n"/>
      <c r="C115" s="46" t="n"/>
      <c r="D115" s="46" t="n"/>
      <c r="E115" s="46" t="n"/>
      <c r="F115" s="46" t="n"/>
      <c r="G115" s="46" t="n"/>
      <c r="H115" s="46" t="n"/>
      <c r="I115" s="46" t="n"/>
      <c r="J115" s="46" t="n"/>
      <c r="K115" s="46" t="n"/>
      <c r="L115" s="46" t="n"/>
      <c r="M115" s="62" t="str">
        <f>IF($B115="","",IF(ISNUMBER($B115),$B115,IF(AND(LEN($B115)=10,MID($B115,5,1)="-",MID($B115,8,1)="-"),IFERROR(IF(AND(MONTH(DATE(VALUE(LEFT($B115,4)),VALUE(MID($B115,6,2)),VALUE(RIGHT($B115,2))))=VALUE(MID($B115,6,2)),DAY(DATE(VALUE(LEFT($B115,4)),VALUE(MID($B115,6,2)),VALUE(RIGHT($B115,2))))=VALUE(RIGHT($B115,2))),DATE(VALUE(LEFT($B115,4)),VALUE(MID($B115,6,2)),VALUE(RIGHT($B115,2))),"ERR"),"ERR"),"ERR")))</f>
        <v/>
      </c>
      <c r="N115" s="62" t="str">
        <f>IF($G115="","",IF(ISNUMBER($G115),$G115,IF(AND(LEN($G115)=10,MID($G115,5,1)="-",MID($G115,8,1)="-"),IFERROR(IF(AND(MONTH(DATE(VALUE(LEFT($G115,4)),VALUE(MID($G115,6,2)),VALUE(RIGHT($G115,2))))=VALUE(MID($G115,6,2)),DAY(DATE(VALUE(LEFT($G115,4)),VALUE(MID($G115,6,2)),VALUE(RIGHT($G115,2))))=VALUE(RIGHT($G115,2))),DATE(VALUE(LEFT($G115,4)),VALUE(MID($G115,6,2)),VALUE(RIGHT($G115,2))),"ERR"),"ERR"),"ERR")))</f>
        <v/>
      </c>
      <c r="O115" s="51" t="str">
        <f>IF($H115="","",IF(ISNUMBER($H115),$H115,IFERROR(VALUE($H115),"ERR")))</f>
        <v/>
      </c>
      <c r="P115" s="51" t="str">
        <f>IF(AND(ISNUMBER($O115),OR($C115="Receipt",$C115="Shipment",$C115="Adjustment")),IF($C115="Shipment",-$O115,$O115),"")</f>
        <v/>
      </c>
      <c r="Q115" s="51" t="str">
        <f>IF($D115="","",IFERROR(INDEX(Products!$R$2:$R$101,MATCH($D115,Products!$A$2:$A$101,0)),""))</f>
        <v/>
      </c>
      <c r="R115" s="51" t="str">
        <f>IF(OR($Q115="",$P115=""),"",$Q115+SUMIFS($P$1:$P114,$D$1:$D114,$D115,$U$1:$U114,"Ready"))</f>
        <v/>
      </c>
      <c r="S115" s="51" t="str">
        <f>IF($R115="","",$R115+$P115)</f>
        <v/>
      </c>
      <c r="T115" s="52" t="str">
        <f>IF(COUNTA($A115:$L115)&gt;0,$BP115,"")</f>
        <v/>
      </c>
      <c r="U115" s="49" t="str">
        <f>IF($T115="","",IF($T115=0,"Ready","Rejected"))</f>
        <v/>
      </c>
      <c r="V115" s="49" t="str">
        <f>IF(OR($T115="",$T115=0),"",INDEX(Config!$D$39:$D$61,MATCH(1,$AT115:$BP115,0))&amp;IF($T115&gt;1," (+"&amp;($T115-1)&amp;" more)",""))</f>
        <v/>
      </c>
      <c r="W115" s="52">
        <f>IF(AND(COUNTA($A115:$L115)&gt;0,$A115=""),1,0)</f>
        <v>0</v>
      </c>
      <c r="X115" s="52">
        <f>IF(AND(COUNTA($A115:$L115)&gt;0,$A115&lt;&gt;""),IF(COUNTIF($A$1:$A114,$A115)&gt;0,1,0),0)</f>
        <v>0</v>
      </c>
      <c r="Y115" s="52">
        <f>IF(AND(COUNTA($A115:$L115)&gt;0,$A115&lt;&gt;""),IF(COUNTIF(Inventory_Ledger!$A$2:$A$2001,$A115)&gt;0,1,0),0)</f>
        <v>0</v>
      </c>
      <c r="Z115" s="52">
        <f>IF(AND(COUNTA($A115:$L115)&gt;0,$B115=""),1,0)</f>
        <v>0</v>
      </c>
      <c r="AA115" s="52">
        <f>IF(AND(COUNTA($A115:$L115)&gt;0,$B115&lt;&gt;""),IF($M115="ERR",1,0),0)</f>
        <v>0</v>
      </c>
      <c r="AB115" s="52">
        <f>IF(AND(COUNTA($A115:$L115)&gt;0,ISNUMBER($M115)),IF($M115&gt;Config!$B$4,1,0),0)</f>
        <v>0</v>
      </c>
      <c r="AC115" s="52">
        <f>IF(AND(COUNTA($A115:$L115)&gt;0,$C115=""),1,0)</f>
        <v>0</v>
      </c>
      <c r="AD115" s="52">
        <f>IF(AND(COUNTA($A115:$L115)&gt;0,$C115&lt;&gt;""),IF(COUNTIF(Config!$A$15:$A$34,$C115)=0,1,0),0)</f>
        <v>0</v>
      </c>
      <c r="AE115" s="52">
        <f>IF(AND(COUNTA($A115:$L115)&gt;0,$D115=""),1,0)</f>
        <v>0</v>
      </c>
      <c r="AF115" s="52">
        <f>IF(AND(COUNTA($A115:$L115)&gt;0,$D115&lt;&gt;""),IF(COUNTIF(Products!$A$2:$A$101,$D115)=0,1,0),0)</f>
        <v>0</v>
      </c>
      <c r="AG115" s="52">
        <f>IF(AND(COUNTA($A115:$L115)&gt;0,$C115="Receipt",$E115=""),1,0)</f>
        <v>0</v>
      </c>
      <c r="AH115" s="52">
        <f>IF(AND(COUNTA($A115:$L115)&gt;0,$E115&lt;&gt;""),IF(COUNTIF(Suppliers!$A$2:$A$51,$E115)=0,1,0),0)</f>
        <v>0</v>
      </c>
      <c r="AI115" s="52">
        <f>IF(AND(COUNTA($A115:$L115)&gt;0,$F115=""),1,0)</f>
        <v>0</v>
      </c>
      <c r="AJ115" s="52">
        <f>IF(AND(COUNTA($A115:$L115)&gt;0,$F115&lt;&gt;"",$D115&lt;&gt;"",OR($C115="Shipment",$C115="Adjustment")),IF($AF115=1,0,IF(COUNTIFS(Batches!$A$2:$A$301,$F115,Batches!$B$2:$B$301,$D115)+COUNTIFS($F$1:$F114,$F115,$D$1:$D114,$D115,$C$1:$C114,"Receipt")=0,1,0)),0)</f>
        <v>0</v>
      </c>
      <c r="AK115" s="52">
        <f>IF(AND(COUNTA($A115:$L115)&gt;0,$C115="Receipt",$G115=""),1,0)</f>
        <v>0</v>
      </c>
      <c r="AL115" s="52">
        <f>IF(AND(COUNTA($A115:$L115)&gt;0,$G115&lt;&gt;""),IF($N115="ERR",1,0),0)</f>
        <v>0</v>
      </c>
      <c r="AM115" s="52">
        <f>IF(AND(COUNTA($A115:$L115)&gt;0,$H115=""),1,0)</f>
        <v>0</v>
      </c>
      <c r="AN115" s="52">
        <f>IF(AND(COUNTA($A115:$L115)&gt;0,$H115&lt;&gt;""),IF($O115="ERR",1,IF(INT($O115)&lt;&gt;$O115,1,IF(AND(OR($C115="Receipt",$C115="Shipment"),$O115&lt;=0),1,IF(AND($C115="Adjustment",$O115=0),1,0)))),0)</f>
        <v>0</v>
      </c>
      <c r="AO115" s="52">
        <f>IF(AND(COUNTA($A115:$L115)&gt;0,$C115="Receipt",$I115=""),1,0)</f>
        <v>0</v>
      </c>
      <c r="AP115" s="52">
        <f>IF(AND(COUNTA($A115:$L115)&gt;0,$I115&lt;&gt;""),IF(IFERROR(INDEX(Config!$G$15:$G$34,MATCH($I115,Config!$E$15:$E$34,0)),"No")="Yes",0,1),0)</f>
        <v>0</v>
      </c>
      <c r="AQ115" s="52">
        <f>IF(AND(COUNTA($A115:$L115)&gt;0,$C115="Adjustment",$J115=""),1,0)</f>
        <v>0</v>
      </c>
      <c r="AR115" s="52">
        <f>IF(AND(COUNTA($A115:$L115)&gt;0,$L115=""),1,0)</f>
        <v>0</v>
      </c>
      <c r="AS115" s="52">
        <f>IF(AND(COUNTA($A115:$L115)&gt;0,ISNUMBER($S115)),IF($S115&lt;0,1,0),0)</f>
        <v>0</v>
      </c>
      <c r="AT115" s="52">
        <f>$W115</f>
        <v>0</v>
      </c>
      <c r="AU115" s="52">
        <f>$AT115+$X115</f>
        <v>0</v>
      </c>
      <c r="AV115" s="52">
        <f>$AU115+$Y115</f>
        <v>0</v>
      </c>
      <c r="AW115" s="52">
        <f>$AV115+$Z115</f>
        <v>0</v>
      </c>
      <c r="AX115" s="52">
        <f>$AW115+$AA115</f>
        <v>0</v>
      </c>
      <c r="AY115" s="52">
        <f>$AX115+$AB115</f>
        <v>0</v>
      </c>
      <c r="AZ115" s="52">
        <f>$AY115+$AC115</f>
        <v>0</v>
      </c>
      <c r="BA115" s="52">
        <f>$AZ115+$AD115</f>
        <v>0</v>
      </c>
      <c r="BB115" s="52">
        <f>$BA115+$AE115</f>
        <v>0</v>
      </c>
      <c r="BC115" s="52">
        <f>$BB115+$AF115</f>
        <v>0</v>
      </c>
      <c r="BD115" s="52">
        <f>$BC115+$AG115</f>
        <v>0</v>
      </c>
      <c r="BE115" s="52">
        <f>$BD115+$AH115</f>
        <v>0</v>
      </c>
      <c r="BF115" s="52">
        <f>$BE115+$AI115</f>
        <v>0</v>
      </c>
      <c r="BG115" s="52">
        <f>$BF115+$AJ115</f>
        <v>0</v>
      </c>
      <c r="BH115" s="52">
        <f>$BG115+$AK115</f>
        <v>0</v>
      </c>
      <c r="BI115" s="52">
        <f>$BH115+$AL115</f>
        <v>0</v>
      </c>
      <c r="BJ115" s="52">
        <f>$BI115+$AM115</f>
        <v>0</v>
      </c>
      <c r="BK115" s="52">
        <f>$BJ115+$AN115</f>
        <v>0</v>
      </c>
      <c r="BL115" s="52">
        <f>$BK115+$AO115</f>
        <v>0</v>
      </c>
      <c r="BM115" s="52">
        <f>$BL115+$AP115</f>
        <v>0</v>
      </c>
      <c r="BN115" s="52">
        <f>$BM115+$AQ115</f>
        <v>0</v>
      </c>
      <c r="BO115" s="52">
        <f>$BN115+$AR115</f>
        <v>0</v>
      </c>
      <c r="BP115" s="52">
        <f>$BO115+$AS115</f>
        <v>0</v>
      </c>
      <c r="BQ115" s="52">
        <f>SUM($T$1:$T114)</f>
        <v>11</v>
      </c>
      <c r="BR115" s="52" t="str">
        <f>IF(ISNUMBER($T115),IF($T115&gt;0,COUNTIF($T$2:$T115,"&gt;0"),""),"")</f>
        <v/>
      </c>
      <c r="BS115" s="52" t="str">
        <f>IF($BR115="","",$BQ115+$T115)</f>
        <v/>
      </c>
      <c r="BT115" s="52" t="str">
        <f>IF($U115="Ready",COUNTIF($U$2:$U115,"Ready"),"")</f>
        <v/>
      </c>
      <c r="BU115" s="52">
        <f>IF(AND($U115="Ready",$C115="Receipt"),IF(COUNTIF(Batches!$A$2:$A$301,$F115)+COUNTIFS($F$1:$F114,$F115,$C$1:$C114,"Receipt",$U$1:$U114,"Ready")=0,1,0),0)</f>
        <v>0</v>
      </c>
      <c r="BV115" s="52" t="str">
        <f>IF($BU115=1,SUM($BU$2:$BU115),"")</f>
        <v/>
      </c>
    </row>
    <row r="116">
      <c r="A116" s="46" t="n"/>
      <c r="B116" s="46" t="n"/>
      <c r="C116" s="46" t="n"/>
      <c r="D116" s="46" t="n"/>
      <c r="E116" s="46" t="n"/>
      <c r="F116" s="46" t="n"/>
      <c r="G116" s="46" t="n"/>
      <c r="H116" s="46" t="n"/>
      <c r="I116" s="46" t="n"/>
      <c r="J116" s="46" t="n"/>
      <c r="K116" s="46" t="n"/>
      <c r="L116" s="46" t="n"/>
      <c r="M116" s="62" t="str">
        <f>IF($B116="","",IF(ISNUMBER($B116),$B116,IF(AND(LEN($B116)=10,MID($B116,5,1)="-",MID($B116,8,1)="-"),IFERROR(IF(AND(MONTH(DATE(VALUE(LEFT($B116,4)),VALUE(MID($B116,6,2)),VALUE(RIGHT($B116,2))))=VALUE(MID($B116,6,2)),DAY(DATE(VALUE(LEFT($B116,4)),VALUE(MID($B116,6,2)),VALUE(RIGHT($B116,2))))=VALUE(RIGHT($B116,2))),DATE(VALUE(LEFT($B116,4)),VALUE(MID($B116,6,2)),VALUE(RIGHT($B116,2))),"ERR"),"ERR"),"ERR")))</f>
        <v/>
      </c>
      <c r="N116" s="62" t="str">
        <f>IF($G116="","",IF(ISNUMBER($G116),$G116,IF(AND(LEN($G116)=10,MID($G116,5,1)="-",MID($G116,8,1)="-"),IFERROR(IF(AND(MONTH(DATE(VALUE(LEFT($G116,4)),VALUE(MID($G116,6,2)),VALUE(RIGHT($G116,2))))=VALUE(MID($G116,6,2)),DAY(DATE(VALUE(LEFT($G116,4)),VALUE(MID($G116,6,2)),VALUE(RIGHT($G116,2))))=VALUE(RIGHT($G116,2))),DATE(VALUE(LEFT($G116,4)),VALUE(MID($G116,6,2)),VALUE(RIGHT($G116,2))),"ERR"),"ERR"),"ERR")))</f>
        <v/>
      </c>
      <c r="O116" s="51" t="str">
        <f>IF($H116="","",IF(ISNUMBER($H116),$H116,IFERROR(VALUE($H116),"ERR")))</f>
        <v/>
      </c>
      <c r="P116" s="51" t="str">
        <f>IF(AND(ISNUMBER($O116),OR($C116="Receipt",$C116="Shipment",$C116="Adjustment")),IF($C116="Shipment",-$O116,$O116),"")</f>
        <v/>
      </c>
      <c r="Q116" s="51" t="str">
        <f>IF($D116="","",IFERROR(INDEX(Products!$R$2:$R$101,MATCH($D116,Products!$A$2:$A$101,0)),""))</f>
        <v/>
      </c>
      <c r="R116" s="51" t="str">
        <f>IF(OR($Q116="",$P116=""),"",$Q116+SUMIFS($P$1:$P115,$D$1:$D115,$D116,$U$1:$U115,"Ready"))</f>
        <v/>
      </c>
      <c r="S116" s="51" t="str">
        <f>IF($R116="","",$R116+$P116)</f>
        <v/>
      </c>
      <c r="T116" s="52" t="str">
        <f>IF(COUNTA($A116:$L116)&gt;0,$BP116,"")</f>
        <v/>
      </c>
      <c r="U116" s="49" t="str">
        <f>IF($T116="","",IF($T116=0,"Ready","Rejected"))</f>
        <v/>
      </c>
      <c r="V116" s="49" t="str">
        <f>IF(OR($T116="",$T116=0),"",INDEX(Config!$D$39:$D$61,MATCH(1,$AT116:$BP116,0))&amp;IF($T116&gt;1," (+"&amp;($T116-1)&amp;" more)",""))</f>
        <v/>
      </c>
      <c r="W116" s="52">
        <f>IF(AND(COUNTA($A116:$L116)&gt;0,$A116=""),1,0)</f>
        <v>0</v>
      </c>
      <c r="X116" s="52">
        <f>IF(AND(COUNTA($A116:$L116)&gt;0,$A116&lt;&gt;""),IF(COUNTIF($A$1:$A115,$A116)&gt;0,1,0),0)</f>
        <v>0</v>
      </c>
      <c r="Y116" s="52">
        <f>IF(AND(COUNTA($A116:$L116)&gt;0,$A116&lt;&gt;""),IF(COUNTIF(Inventory_Ledger!$A$2:$A$2001,$A116)&gt;0,1,0),0)</f>
        <v>0</v>
      </c>
      <c r="Z116" s="52">
        <f>IF(AND(COUNTA($A116:$L116)&gt;0,$B116=""),1,0)</f>
        <v>0</v>
      </c>
      <c r="AA116" s="52">
        <f>IF(AND(COUNTA($A116:$L116)&gt;0,$B116&lt;&gt;""),IF($M116="ERR",1,0),0)</f>
        <v>0</v>
      </c>
      <c r="AB116" s="52">
        <f>IF(AND(COUNTA($A116:$L116)&gt;0,ISNUMBER($M116)),IF($M116&gt;Config!$B$4,1,0),0)</f>
        <v>0</v>
      </c>
      <c r="AC116" s="52">
        <f>IF(AND(COUNTA($A116:$L116)&gt;0,$C116=""),1,0)</f>
        <v>0</v>
      </c>
      <c r="AD116" s="52">
        <f>IF(AND(COUNTA($A116:$L116)&gt;0,$C116&lt;&gt;""),IF(COUNTIF(Config!$A$15:$A$34,$C116)=0,1,0),0)</f>
        <v>0</v>
      </c>
      <c r="AE116" s="52">
        <f>IF(AND(COUNTA($A116:$L116)&gt;0,$D116=""),1,0)</f>
        <v>0</v>
      </c>
      <c r="AF116" s="52">
        <f>IF(AND(COUNTA($A116:$L116)&gt;0,$D116&lt;&gt;""),IF(COUNTIF(Products!$A$2:$A$101,$D116)=0,1,0),0)</f>
        <v>0</v>
      </c>
      <c r="AG116" s="52">
        <f>IF(AND(COUNTA($A116:$L116)&gt;0,$C116="Receipt",$E116=""),1,0)</f>
        <v>0</v>
      </c>
      <c r="AH116" s="52">
        <f>IF(AND(COUNTA($A116:$L116)&gt;0,$E116&lt;&gt;""),IF(COUNTIF(Suppliers!$A$2:$A$51,$E116)=0,1,0),0)</f>
        <v>0</v>
      </c>
      <c r="AI116" s="52">
        <f>IF(AND(COUNTA($A116:$L116)&gt;0,$F116=""),1,0)</f>
        <v>0</v>
      </c>
      <c r="AJ116" s="52">
        <f>IF(AND(COUNTA($A116:$L116)&gt;0,$F116&lt;&gt;"",$D116&lt;&gt;"",OR($C116="Shipment",$C116="Adjustment")),IF($AF116=1,0,IF(COUNTIFS(Batches!$A$2:$A$301,$F116,Batches!$B$2:$B$301,$D116)+COUNTIFS($F$1:$F115,$F116,$D$1:$D115,$D116,$C$1:$C115,"Receipt")=0,1,0)),0)</f>
        <v>0</v>
      </c>
      <c r="AK116" s="52">
        <f>IF(AND(COUNTA($A116:$L116)&gt;0,$C116="Receipt",$G116=""),1,0)</f>
        <v>0</v>
      </c>
      <c r="AL116" s="52">
        <f>IF(AND(COUNTA($A116:$L116)&gt;0,$G116&lt;&gt;""),IF($N116="ERR",1,0),0)</f>
        <v>0</v>
      </c>
      <c r="AM116" s="52">
        <f>IF(AND(COUNTA($A116:$L116)&gt;0,$H116=""),1,0)</f>
        <v>0</v>
      </c>
      <c r="AN116" s="52">
        <f>IF(AND(COUNTA($A116:$L116)&gt;0,$H116&lt;&gt;""),IF($O116="ERR",1,IF(INT($O116)&lt;&gt;$O116,1,IF(AND(OR($C116="Receipt",$C116="Shipment"),$O116&lt;=0),1,IF(AND($C116="Adjustment",$O116=0),1,0)))),0)</f>
        <v>0</v>
      </c>
      <c r="AO116" s="52">
        <f>IF(AND(COUNTA($A116:$L116)&gt;0,$C116="Receipt",$I116=""),1,0)</f>
        <v>0</v>
      </c>
      <c r="AP116" s="52">
        <f>IF(AND(COUNTA($A116:$L116)&gt;0,$I116&lt;&gt;""),IF(IFERROR(INDEX(Config!$G$15:$G$34,MATCH($I116,Config!$E$15:$E$34,0)),"No")="Yes",0,1),0)</f>
        <v>0</v>
      </c>
      <c r="AQ116" s="52">
        <f>IF(AND(COUNTA($A116:$L116)&gt;0,$C116="Adjustment",$J116=""),1,0)</f>
        <v>0</v>
      </c>
      <c r="AR116" s="52">
        <f>IF(AND(COUNTA($A116:$L116)&gt;0,$L116=""),1,0)</f>
        <v>0</v>
      </c>
      <c r="AS116" s="52">
        <f>IF(AND(COUNTA($A116:$L116)&gt;0,ISNUMBER($S116)),IF($S116&lt;0,1,0),0)</f>
        <v>0</v>
      </c>
      <c r="AT116" s="52">
        <f>$W116</f>
        <v>0</v>
      </c>
      <c r="AU116" s="52">
        <f>$AT116+$X116</f>
        <v>0</v>
      </c>
      <c r="AV116" s="52">
        <f>$AU116+$Y116</f>
        <v>0</v>
      </c>
      <c r="AW116" s="52">
        <f>$AV116+$Z116</f>
        <v>0</v>
      </c>
      <c r="AX116" s="52">
        <f>$AW116+$AA116</f>
        <v>0</v>
      </c>
      <c r="AY116" s="52">
        <f>$AX116+$AB116</f>
        <v>0</v>
      </c>
      <c r="AZ116" s="52">
        <f>$AY116+$AC116</f>
        <v>0</v>
      </c>
      <c r="BA116" s="52">
        <f>$AZ116+$AD116</f>
        <v>0</v>
      </c>
      <c r="BB116" s="52">
        <f>$BA116+$AE116</f>
        <v>0</v>
      </c>
      <c r="BC116" s="52">
        <f>$BB116+$AF116</f>
        <v>0</v>
      </c>
      <c r="BD116" s="52">
        <f>$BC116+$AG116</f>
        <v>0</v>
      </c>
      <c r="BE116" s="52">
        <f>$BD116+$AH116</f>
        <v>0</v>
      </c>
      <c r="BF116" s="52">
        <f>$BE116+$AI116</f>
        <v>0</v>
      </c>
      <c r="BG116" s="52">
        <f>$BF116+$AJ116</f>
        <v>0</v>
      </c>
      <c r="BH116" s="52">
        <f>$BG116+$AK116</f>
        <v>0</v>
      </c>
      <c r="BI116" s="52">
        <f>$BH116+$AL116</f>
        <v>0</v>
      </c>
      <c r="BJ116" s="52">
        <f>$BI116+$AM116</f>
        <v>0</v>
      </c>
      <c r="BK116" s="52">
        <f>$BJ116+$AN116</f>
        <v>0</v>
      </c>
      <c r="BL116" s="52">
        <f>$BK116+$AO116</f>
        <v>0</v>
      </c>
      <c r="BM116" s="52">
        <f>$BL116+$AP116</f>
        <v>0</v>
      </c>
      <c r="BN116" s="52">
        <f>$BM116+$AQ116</f>
        <v>0</v>
      </c>
      <c r="BO116" s="52">
        <f>$BN116+$AR116</f>
        <v>0</v>
      </c>
      <c r="BP116" s="52">
        <f>$BO116+$AS116</f>
        <v>0</v>
      </c>
      <c r="BQ116" s="52">
        <f>SUM($T$1:$T115)</f>
        <v>11</v>
      </c>
      <c r="BR116" s="52" t="str">
        <f>IF(ISNUMBER($T116),IF($T116&gt;0,COUNTIF($T$2:$T116,"&gt;0"),""),"")</f>
        <v/>
      </c>
      <c r="BS116" s="52" t="str">
        <f>IF($BR116="","",$BQ116+$T116)</f>
        <v/>
      </c>
      <c r="BT116" s="52" t="str">
        <f>IF($U116="Ready",COUNTIF($U$2:$U116,"Ready"),"")</f>
        <v/>
      </c>
      <c r="BU116" s="52">
        <f>IF(AND($U116="Ready",$C116="Receipt"),IF(COUNTIF(Batches!$A$2:$A$301,$F116)+COUNTIFS($F$1:$F115,$F116,$C$1:$C115,"Receipt",$U$1:$U115,"Ready")=0,1,0),0)</f>
        <v>0</v>
      </c>
      <c r="BV116" s="52" t="str">
        <f>IF($BU116=1,SUM($BU$2:$BU116),"")</f>
        <v/>
      </c>
    </row>
    <row r="117">
      <c r="A117" s="46" t="n"/>
      <c r="B117" s="46" t="n"/>
      <c r="C117" s="46" t="n"/>
      <c r="D117" s="46" t="n"/>
      <c r="E117" s="46" t="n"/>
      <c r="F117" s="46" t="n"/>
      <c r="G117" s="46" t="n"/>
      <c r="H117" s="46" t="n"/>
      <c r="I117" s="46" t="n"/>
      <c r="J117" s="46" t="n"/>
      <c r="K117" s="46" t="n"/>
      <c r="L117" s="46" t="n"/>
      <c r="M117" s="62" t="str">
        <f>IF($B117="","",IF(ISNUMBER($B117),$B117,IF(AND(LEN($B117)=10,MID($B117,5,1)="-",MID($B117,8,1)="-"),IFERROR(IF(AND(MONTH(DATE(VALUE(LEFT($B117,4)),VALUE(MID($B117,6,2)),VALUE(RIGHT($B117,2))))=VALUE(MID($B117,6,2)),DAY(DATE(VALUE(LEFT($B117,4)),VALUE(MID($B117,6,2)),VALUE(RIGHT($B117,2))))=VALUE(RIGHT($B117,2))),DATE(VALUE(LEFT($B117,4)),VALUE(MID($B117,6,2)),VALUE(RIGHT($B117,2))),"ERR"),"ERR"),"ERR")))</f>
        <v/>
      </c>
      <c r="N117" s="62" t="str">
        <f>IF($G117="","",IF(ISNUMBER($G117),$G117,IF(AND(LEN($G117)=10,MID($G117,5,1)="-",MID($G117,8,1)="-"),IFERROR(IF(AND(MONTH(DATE(VALUE(LEFT($G117,4)),VALUE(MID($G117,6,2)),VALUE(RIGHT($G117,2))))=VALUE(MID($G117,6,2)),DAY(DATE(VALUE(LEFT($G117,4)),VALUE(MID($G117,6,2)),VALUE(RIGHT($G117,2))))=VALUE(RIGHT($G117,2))),DATE(VALUE(LEFT($G117,4)),VALUE(MID($G117,6,2)),VALUE(RIGHT($G117,2))),"ERR"),"ERR"),"ERR")))</f>
        <v/>
      </c>
      <c r="O117" s="51" t="str">
        <f>IF($H117="","",IF(ISNUMBER($H117),$H117,IFERROR(VALUE($H117),"ERR")))</f>
        <v/>
      </c>
      <c r="P117" s="51" t="str">
        <f>IF(AND(ISNUMBER($O117),OR($C117="Receipt",$C117="Shipment",$C117="Adjustment")),IF($C117="Shipment",-$O117,$O117),"")</f>
        <v/>
      </c>
      <c r="Q117" s="51" t="str">
        <f>IF($D117="","",IFERROR(INDEX(Products!$R$2:$R$101,MATCH($D117,Products!$A$2:$A$101,0)),""))</f>
        <v/>
      </c>
      <c r="R117" s="51" t="str">
        <f>IF(OR($Q117="",$P117=""),"",$Q117+SUMIFS($P$1:$P116,$D$1:$D116,$D117,$U$1:$U116,"Ready"))</f>
        <v/>
      </c>
      <c r="S117" s="51" t="str">
        <f>IF($R117="","",$R117+$P117)</f>
        <v/>
      </c>
      <c r="T117" s="52" t="str">
        <f>IF(COUNTA($A117:$L117)&gt;0,$BP117,"")</f>
        <v/>
      </c>
      <c r="U117" s="49" t="str">
        <f>IF($T117="","",IF($T117=0,"Ready","Rejected"))</f>
        <v/>
      </c>
      <c r="V117" s="49" t="str">
        <f>IF(OR($T117="",$T117=0),"",INDEX(Config!$D$39:$D$61,MATCH(1,$AT117:$BP117,0))&amp;IF($T117&gt;1," (+"&amp;($T117-1)&amp;" more)",""))</f>
        <v/>
      </c>
      <c r="W117" s="52">
        <f>IF(AND(COUNTA($A117:$L117)&gt;0,$A117=""),1,0)</f>
        <v>0</v>
      </c>
      <c r="X117" s="52">
        <f>IF(AND(COUNTA($A117:$L117)&gt;0,$A117&lt;&gt;""),IF(COUNTIF($A$1:$A116,$A117)&gt;0,1,0),0)</f>
        <v>0</v>
      </c>
      <c r="Y117" s="52">
        <f>IF(AND(COUNTA($A117:$L117)&gt;0,$A117&lt;&gt;""),IF(COUNTIF(Inventory_Ledger!$A$2:$A$2001,$A117)&gt;0,1,0),0)</f>
        <v>0</v>
      </c>
      <c r="Z117" s="52">
        <f>IF(AND(COUNTA($A117:$L117)&gt;0,$B117=""),1,0)</f>
        <v>0</v>
      </c>
      <c r="AA117" s="52">
        <f>IF(AND(COUNTA($A117:$L117)&gt;0,$B117&lt;&gt;""),IF($M117="ERR",1,0),0)</f>
        <v>0</v>
      </c>
      <c r="AB117" s="52">
        <f>IF(AND(COUNTA($A117:$L117)&gt;0,ISNUMBER($M117)),IF($M117&gt;Config!$B$4,1,0),0)</f>
        <v>0</v>
      </c>
      <c r="AC117" s="52">
        <f>IF(AND(COUNTA($A117:$L117)&gt;0,$C117=""),1,0)</f>
        <v>0</v>
      </c>
      <c r="AD117" s="52">
        <f>IF(AND(COUNTA($A117:$L117)&gt;0,$C117&lt;&gt;""),IF(COUNTIF(Config!$A$15:$A$34,$C117)=0,1,0),0)</f>
        <v>0</v>
      </c>
      <c r="AE117" s="52">
        <f>IF(AND(COUNTA($A117:$L117)&gt;0,$D117=""),1,0)</f>
        <v>0</v>
      </c>
      <c r="AF117" s="52">
        <f>IF(AND(COUNTA($A117:$L117)&gt;0,$D117&lt;&gt;""),IF(COUNTIF(Products!$A$2:$A$101,$D117)=0,1,0),0)</f>
        <v>0</v>
      </c>
      <c r="AG117" s="52">
        <f>IF(AND(COUNTA($A117:$L117)&gt;0,$C117="Receipt",$E117=""),1,0)</f>
        <v>0</v>
      </c>
      <c r="AH117" s="52">
        <f>IF(AND(COUNTA($A117:$L117)&gt;0,$E117&lt;&gt;""),IF(COUNTIF(Suppliers!$A$2:$A$51,$E117)=0,1,0),0)</f>
        <v>0</v>
      </c>
      <c r="AI117" s="52">
        <f>IF(AND(COUNTA($A117:$L117)&gt;0,$F117=""),1,0)</f>
        <v>0</v>
      </c>
      <c r="AJ117" s="52">
        <f>IF(AND(COUNTA($A117:$L117)&gt;0,$F117&lt;&gt;"",$D117&lt;&gt;"",OR($C117="Shipment",$C117="Adjustment")),IF($AF117=1,0,IF(COUNTIFS(Batches!$A$2:$A$301,$F117,Batches!$B$2:$B$301,$D117)+COUNTIFS($F$1:$F116,$F117,$D$1:$D116,$D117,$C$1:$C116,"Receipt")=0,1,0)),0)</f>
        <v>0</v>
      </c>
      <c r="AK117" s="52">
        <f>IF(AND(COUNTA($A117:$L117)&gt;0,$C117="Receipt",$G117=""),1,0)</f>
        <v>0</v>
      </c>
      <c r="AL117" s="52">
        <f>IF(AND(COUNTA($A117:$L117)&gt;0,$G117&lt;&gt;""),IF($N117="ERR",1,0),0)</f>
        <v>0</v>
      </c>
      <c r="AM117" s="52">
        <f>IF(AND(COUNTA($A117:$L117)&gt;0,$H117=""),1,0)</f>
        <v>0</v>
      </c>
      <c r="AN117" s="52">
        <f>IF(AND(COUNTA($A117:$L117)&gt;0,$H117&lt;&gt;""),IF($O117="ERR",1,IF(INT($O117)&lt;&gt;$O117,1,IF(AND(OR($C117="Receipt",$C117="Shipment"),$O117&lt;=0),1,IF(AND($C117="Adjustment",$O117=0),1,0)))),0)</f>
        <v>0</v>
      </c>
      <c r="AO117" s="52">
        <f>IF(AND(COUNTA($A117:$L117)&gt;0,$C117="Receipt",$I117=""),1,0)</f>
        <v>0</v>
      </c>
      <c r="AP117" s="52">
        <f>IF(AND(COUNTA($A117:$L117)&gt;0,$I117&lt;&gt;""),IF(IFERROR(INDEX(Config!$G$15:$G$34,MATCH($I117,Config!$E$15:$E$34,0)),"No")="Yes",0,1),0)</f>
        <v>0</v>
      </c>
      <c r="AQ117" s="52">
        <f>IF(AND(COUNTA($A117:$L117)&gt;0,$C117="Adjustment",$J117=""),1,0)</f>
        <v>0</v>
      </c>
      <c r="AR117" s="52">
        <f>IF(AND(COUNTA($A117:$L117)&gt;0,$L117=""),1,0)</f>
        <v>0</v>
      </c>
      <c r="AS117" s="52">
        <f>IF(AND(COUNTA($A117:$L117)&gt;0,ISNUMBER($S117)),IF($S117&lt;0,1,0),0)</f>
        <v>0</v>
      </c>
      <c r="AT117" s="52">
        <f>$W117</f>
        <v>0</v>
      </c>
      <c r="AU117" s="52">
        <f>$AT117+$X117</f>
        <v>0</v>
      </c>
      <c r="AV117" s="52">
        <f>$AU117+$Y117</f>
        <v>0</v>
      </c>
      <c r="AW117" s="52">
        <f>$AV117+$Z117</f>
        <v>0</v>
      </c>
      <c r="AX117" s="52">
        <f>$AW117+$AA117</f>
        <v>0</v>
      </c>
      <c r="AY117" s="52">
        <f>$AX117+$AB117</f>
        <v>0</v>
      </c>
      <c r="AZ117" s="52">
        <f>$AY117+$AC117</f>
        <v>0</v>
      </c>
      <c r="BA117" s="52">
        <f>$AZ117+$AD117</f>
        <v>0</v>
      </c>
      <c r="BB117" s="52">
        <f>$BA117+$AE117</f>
        <v>0</v>
      </c>
      <c r="BC117" s="52">
        <f>$BB117+$AF117</f>
        <v>0</v>
      </c>
      <c r="BD117" s="52">
        <f>$BC117+$AG117</f>
        <v>0</v>
      </c>
      <c r="BE117" s="52">
        <f>$BD117+$AH117</f>
        <v>0</v>
      </c>
      <c r="BF117" s="52">
        <f>$BE117+$AI117</f>
        <v>0</v>
      </c>
      <c r="BG117" s="52">
        <f>$BF117+$AJ117</f>
        <v>0</v>
      </c>
      <c r="BH117" s="52">
        <f>$BG117+$AK117</f>
        <v>0</v>
      </c>
      <c r="BI117" s="52">
        <f>$BH117+$AL117</f>
        <v>0</v>
      </c>
      <c r="BJ117" s="52">
        <f>$BI117+$AM117</f>
        <v>0</v>
      </c>
      <c r="BK117" s="52">
        <f>$BJ117+$AN117</f>
        <v>0</v>
      </c>
      <c r="BL117" s="52">
        <f>$BK117+$AO117</f>
        <v>0</v>
      </c>
      <c r="BM117" s="52">
        <f>$BL117+$AP117</f>
        <v>0</v>
      </c>
      <c r="BN117" s="52">
        <f>$BM117+$AQ117</f>
        <v>0</v>
      </c>
      <c r="BO117" s="52">
        <f>$BN117+$AR117</f>
        <v>0</v>
      </c>
      <c r="BP117" s="52">
        <f>$BO117+$AS117</f>
        <v>0</v>
      </c>
      <c r="BQ117" s="52">
        <f>SUM($T$1:$T116)</f>
        <v>11</v>
      </c>
      <c r="BR117" s="52" t="str">
        <f>IF(ISNUMBER($T117),IF($T117&gt;0,COUNTIF($T$2:$T117,"&gt;0"),""),"")</f>
        <v/>
      </c>
      <c r="BS117" s="52" t="str">
        <f>IF($BR117="","",$BQ117+$T117)</f>
        <v/>
      </c>
      <c r="BT117" s="52" t="str">
        <f>IF($U117="Ready",COUNTIF($U$2:$U117,"Ready"),"")</f>
        <v/>
      </c>
      <c r="BU117" s="52">
        <f>IF(AND($U117="Ready",$C117="Receipt"),IF(COUNTIF(Batches!$A$2:$A$301,$F117)+COUNTIFS($F$1:$F116,$F117,$C$1:$C116,"Receipt",$U$1:$U116,"Ready")=0,1,0),0)</f>
        <v>0</v>
      </c>
      <c r="BV117" s="52" t="str">
        <f>IF($BU117=1,SUM($BU$2:$BU117),"")</f>
        <v/>
      </c>
    </row>
    <row r="118">
      <c r="A118" s="46" t="n"/>
      <c r="B118" s="46" t="n"/>
      <c r="C118" s="46" t="n"/>
      <c r="D118" s="46" t="n"/>
      <c r="E118" s="46" t="n"/>
      <c r="F118" s="46" t="n"/>
      <c r="G118" s="46" t="n"/>
      <c r="H118" s="46" t="n"/>
      <c r="I118" s="46" t="n"/>
      <c r="J118" s="46" t="n"/>
      <c r="K118" s="46" t="n"/>
      <c r="L118" s="46" t="n"/>
      <c r="M118" s="62" t="str">
        <f>IF($B118="","",IF(ISNUMBER($B118),$B118,IF(AND(LEN($B118)=10,MID($B118,5,1)="-",MID($B118,8,1)="-"),IFERROR(IF(AND(MONTH(DATE(VALUE(LEFT($B118,4)),VALUE(MID($B118,6,2)),VALUE(RIGHT($B118,2))))=VALUE(MID($B118,6,2)),DAY(DATE(VALUE(LEFT($B118,4)),VALUE(MID($B118,6,2)),VALUE(RIGHT($B118,2))))=VALUE(RIGHT($B118,2))),DATE(VALUE(LEFT($B118,4)),VALUE(MID($B118,6,2)),VALUE(RIGHT($B118,2))),"ERR"),"ERR"),"ERR")))</f>
        <v/>
      </c>
      <c r="N118" s="62" t="str">
        <f>IF($G118="","",IF(ISNUMBER($G118),$G118,IF(AND(LEN($G118)=10,MID($G118,5,1)="-",MID($G118,8,1)="-"),IFERROR(IF(AND(MONTH(DATE(VALUE(LEFT($G118,4)),VALUE(MID($G118,6,2)),VALUE(RIGHT($G118,2))))=VALUE(MID($G118,6,2)),DAY(DATE(VALUE(LEFT($G118,4)),VALUE(MID($G118,6,2)),VALUE(RIGHT($G118,2))))=VALUE(RIGHT($G118,2))),DATE(VALUE(LEFT($G118,4)),VALUE(MID($G118,6,2)),VALUE(RIGHT($G118,2))),"ERR"),"ERR"),"ERR")))</f>
        <v/>
      </c>
      <c r="O118" s="51" t="str">
        <f>IF($H118="","",IF(ISNUMBER($H118),$H118,IFERROR(VALUE($H118),"ERR")))</f>
        <v/>
      </c>
      <c r="P118" s="51" t="str">
        <f>IF(AND(ISNUMBER($O118),OR($C118="Receipt",$C118="Shipment",$C118="Adjustment")),IF($C118="Shipment",-$O118,$O118),"")</f>
        <v/>
      </c>
      <c r="Q118" s="51" t="str">
        <f>IF($D118="","",IFERROR(INDEX(Products!$R$2:$R$101,MATCH($D118,Products!$A$2:$A$101,0)),""))</f>
        <v/>
      </c>
      <c r="R118" s="51" t="str">
        <f>IF(OR($Q118="",$P118=""),"",$Q118+SUMIFS($P$1:$P117,$D$1:$D117,$D118,$U$1:$U117,"Ready"))</f>
        <v/>
      </c>
      <c r="S118" s="51" t="str">
        <f>IF($R118="","",$R118+$P118)</f>
        <v/>
      </c>
      <c r="T118" s="52" t="str">
        <f>IF(COUNTA($A118:$L118)&gt;0,$BP118,"")</f>
        <v/>
      </c>
      <c r="U118" s="49" t="str">
        <f>IF($T118="","",IF($T118=0,"Ready","Rejected"))</f>
        <v/>
      </c>
      <c r="V118" s="49" t="str">
        <f>IF(OR($T118="",$T118=0),"",INDEX(Config!$D$39:$D$61,MATCH(1,$AT118:$BP118,0))&amp;IF($T118&gt;1," (+"&amp;($T118-1)&amp;" more)",""))</f>
        <v/>
      </c>
      <c r="W118" s="52">
        <f>IF(AND(COUNTA($A118:$L118)&gt;0,$A118=""),1,0)</f>
        <v>0</v>
      </c>
      <c r="X118" s="52">
        <f>IF(AND(COUNTA($A118:$L118)&gt;0,$A118&lt;&gt;""),IF(COUNTIF($A$1:$A117,$A118)&gt;0,1,0),0)</f>
        <v>0</v>
      </c>
      <c r="Y118" s="52">
        <f>IF(AND(COUNTA($A118:$L118)&gt;0,$A118&lt;&gt;""),IF(COUNTIF(Inventory_Ledger!$A$2:$A$2001,$A118)&gt;0,1,0),0)</f>
        <v>0</v>
      </c>
      <c r="Z118" s="52">
        <f>IF(AND(COUNTA($A118:$L118)&gt;0,$B118=""),1,0)</f>
        <v>0</v>
      </c>
      <c r="AA118" s="52">
        <f>IF(AND(COUNTA($A118:$L118)&gt;0,$B118&lt;&gt;""),IF($M118="ERR",1,0),0)</f>
        <v>0</v>
      </c>
      <c r="AB118" s="52">
        <f>IF(AND(COUNTA($A118:$L118)&gt;0,ISNUMBER($M118)),IF($M118&gt;Config!$B$4,1,0),0)</f>
        <v>0</v>
      </c>
      <c r="AC118" s="52">
        <f>IF(AND(COUNTA($A118:$L118)&gt;0,$C118=""),1,0)</f>
        <v>0</v>
      </c>
      <c r="AD118" s="52">
        <f>IF(AND(COUNTA($A118:$L118)&gt;0,$C118&lt;&gt;""),IF(COUNTIF(Config!$A$15:$A$34,$C118)=0,1,0),0)</f>
        <v>0</v>
      </c>
      <c r="AE118" s="52">
        <f>IF(AND(COUNTA($A118:$L118)&gt;0,$D118=""),1,0)</f>
        <v>0</v>
      </c>
      <c r="AF118" s="52">
        <f>IF(AND(COUNTA($A118:$L118)&gt;0,$D118&lt;&gt;""),IF(COUNTIF(Products!$A$2:$A$101,$D118)=0,1,0),0)</f>
        <v>0</v>
      </c>
      <c r="AG118" s="52">
        <f>IF(AND(COUNTA($A118:$L118)&gt;0,$C118="Receipt",$E118=""),1,0)</f>
        <v>0</v>
      </c>
      <c r="AH118" s="52">
        <f>IF(AND(COUNTA($A118:$L118)&gt;0,$E118&lt;&gt;""),IF(COUNTIF(Suppliers!$A$2:$A$51,$E118)=0,1,0),0)</f>
        <v>0</v>
      </c>
      <c r="AI118" s="52">
        <f>IF(AND(COUNTA($A118:$L118)&gt;0,$F118=""),1,0)</f>
        <v>0</v>
      </c>
      <c r="AJ118" s="52">
        <f>IF(AND(COUNTA($A118:$L118)&gt;0,$F118&lt;&gt;"",$D118&lt;&gt;"",OR($C118="Shipment",$C118="Adjustment")),IF($AF118=1,0,IF(COUNTIFS(Batches!$A$2:$A$301,$F118,Batches!$B$2:$B$301,$D118)+COUNTIFS($F$1:$F117,$F118,$D$1:$D117,$D118,$C$1:$C117,"Receipt")=0,1,0)),0)</f>
        <v>0</v>
      </c>
      <c r="AK118" s="52">
        <f>IF(AND(COUNTA($A118:$L118)&gt;0,$C118="Receipt",$G118=""),1,0)</f>
        <v>0</v>
      </c>
      <c r="AL118" s="52">
        <f>IF(AND(COUNTA($A118:$L118)&gt;0,$G118&lt;&gt;""),IF($N118="ERR",1,0),0)</f>
        <v>0</v>
      </c>
      <c r="AM118" s="52">
        <f>IF(AND(COUNTA($A118:$L118)&gt;0,$H118=""),1,0)</f>
        <v>0</v>
      </c>
      <c r="AN118" s="52">
        <f>IF(AND(COUNTA($A118:$L118)&gt;0,$H118&lt;&gt;""),IF($O118="ERR",1,IF(INT($O118)&lt;&gt;$O118,1,IF(AND(OR($C118="Receipt",$C118="Shipment"),$O118&lt;=0),1,IF(AND($C118="Adjustment",$O118=0),1,0)))),0)</f>
        <v>0</v>
      </c>
      <c r="AO118" s="52">
        <f>IF(AND(COUNTA($A118:$L118)&gt;0,$C118="Receipt",$I118=""),1,0)</f>
        <v>0</v>
      </c>
      <c r="AP118" s="52">
        <f>IF(AND(COUNTA($A118:$L118)&gt;0,$I118&lt;&gt;""),IF(IFERROR(INDEX(Config!$G$15:$G$34,MATCH($I118,Config!$E$15:$E$34,0)),"No")="Yes",0,1),0)</f>
        <v>0</v>
      </c>
      <c r="AQ118" s="52">
        <f>IF(AND(COUNTA($A118:$L118)&gt;0,$C118="Adjustment",$J118=""),1,0)</f>
        <v>0</v>
      </c>
      <c r="AR118" s="52">
        <f>IF(AND(COUNTA($A118:$L118)&gt;0,$L118=""),1,0)</f>
        <v>0</v>
      </c>
      <c r="AS118" s="52">
        <f>IF(AND(COUNTA($A118:$L118)&gt;0,ISNUMBER($S118)),IF($S118&lt;0,1,0),0)</f>
        <v>0</v>
      </c>
      <c r="AT118" s="52">
        <f>$W118</f>
        <v>0</v>
      </c>
      <c r="AU118" s="52">
        <f>$AT118+$X118</f>
        <v>0</v>
      </c>
      <c r="AV118" s="52">
        <f>$AU118+$Y118</f>
        <v>0</v>
      </c>
      <c r="AW118" s="52">
        <f>$AV118+$Z118</f>
        <v>0</v>
      </c>
      <c r="AX118" s="52">
        <f>$AW118+$AA118</f>
        <v>0</v>
      </c>
      <c r="AY118" s="52">
        <f>$AX118+$AB118</f>
        <v>0</v>
      </c>
      <c r="AZ118" s="52">
        <f>$AY118+$AC118</f>
        <v>0</v>
      </c>
      <c r="BA118" s="52">
        <f>$AZ118+$AD118</f>
        <v>0</v>
      </c>
      <c r="BB118" s="52">
        <f>$BA118+$AE118</f>
        <v>0</v>
      </c>
      <c r="BC118" s="52">
        <f>$BB118+$AF118</f>
        <v>0</v>
      </c>
      <c r="BD118" s="52">
        <f>$BC118+$AG118</f>
        <v>0</v>
      </c>
      <c r="BE118" s="52">
        <f>$BD118+$AH118</f>
        <v>0</v>
      </c>
      <c r="BF118" s="52">
        <f>$BE118+$AI118</f>
        <v>0</v>
      </c>
      <c r="BG118" s="52">
        <f>$BF118+$AJ118</f>
        <v>0</v>
      </c>
      <c r="BH118" s="52">
        <f>$BG118+$AK118</f>
        <v>0</v>
      </c>
      <c r="BI118" s="52">
        <f>$BH118+$AL118</f>
        <v>0</v>
      </c>
      <c r="BJ118" s="52">
        <f>$BI118+$AM118</f>
        <v>0</v>
      </c>
      <c r="BK118" s="52">
        <f>$BJ118+$AN118</f>
        <v>0</v>
      </c>
      <c r="BL118" s="52">
        <f>$BK118+$AO118</f>
        <v>0</v>
      </c>
      <c r="BM118" s="52">
        <f>$BL118+$AP118</f>
        <v>0</v>
      </c>
      <c r="BN118" s="52">
        <f>$BM118+$AQ118</f>
        <v>0</v>
      </c>
      <c r="BO118" s="52">
        <f>$BN118+$AR118</f>
        <v>0</v>
      </c>
      <c r="BP118" s="52">
        <f>$BO118+$AS118</f>
        <v>0</v>
      </c>
      <c r="BQ118" s="52">
        <f>SUM($T$1:$T117)</f>
        <v>11</v>
      </c>
      <c r="BR118" s="52" t="str">
        <f>IF(ISNUMBER($T118),IF($T118&gt;0,COUNTIF($T$2:$T118,"&gt;0"),""),"")</f>
        <v/>
      </c>
      <c r="BS118" s="52" t="str">
        <f>IF($BR118="","",$BQ118+$T118)</f>
        <v/>
      </c>
      <c r="BT118" s="52" t="str">
        <f>IF($U118="Ready",COUNTIF($U$2:$U118,"Ready"),"")</f>
        <v/>
      </c>
      <c r="BU118" s="52">
        <f>IF(AND($U118="Ready",$C118="Receipt"),IF(COUNTIF(Batches!$A$2:$A$301,$F118)+COUNTIFS($F$1:$F117,$F118,$C$1:$C117,"Receipt",$U$1:$U117,"Ready")=0,1,0),0)</f>
        <v>0</v>
      </c>
      <c r="BV118" s="52" t="str">
        <f>IF($BU118=1,SUM($BU$2:$BU118),"")</f>
        <v/>
      </c>
    </row>
    <row r="119">
      <c r="A119" s="46" t="n"/>
      <c r="B119" s="46" t="n"/>
      <c r="C119" s="46" t="n"/>
      <c r="D119" s="46" t="n"/>
      <c r="E119" s="46" t="n"/>
      <c r="F119" s="46" t="n"/>
      <c r="G119" s="46" t="n"/>
      <c r="H119" s="46" t="n"/>
      <c r="I119" s="46" t="n"/>
      <c r="J119" s="46" t="n"/>
      <c r="K119" s="46" t="n"/>
      <c r="L119" s="46" t="n"/>
      <c r="M119" s="62" t="str">
        <f>IF($B119="","",IF(ISNUMBER($B119),$B119,IF(AND(LEN($B119)=10,MID($B119,5,1)="-",MID($B119,8,1)="-"),IFERROR(IF(AND(MONTH(DATE(VALUE(LEFT($B119,4)),VALUE(MID($B119,6,2)),VALUE(RIGHT($B119,2))))=VALUE(MID($B119,6,2)),DAY(DATE(VALUE(LEFT($B119,4)),VALUE(MID($B119,6,2)),VALUE(RIGHT($B119,2))))=VALUE(RIGHT($B119,2))),DATE(VALUE(LEFT($B119,4)),VALUE(MID($B119,6,2)),VALUE(RIGHT($B119,2))),"ERR"),"ERR"),"ERR")))</f>
        <v/>
      </c>
      <c r="N119" s="62" t="str">
        <f>IF($G119="","",IF(ISNUMBER($G119),$G119,IF(AND(LEN($G119)=10,MID($G119,5,1)="-",MID($G119,8,1)="-"),IFERROR(IF(AND(MONTH(DATE(VALUE(LEFT($G119,4)),VALUE(MID($G119,6,2)),VALUE(RIGHT($G119,2))))=VALUE(MID($G119,6,2)),DAY(DATE(VALUE(LEFT($G119,4)),VALUE(MID($G119,6,2)),VALUE(RIGHT($G119,2))))=VALUE(RIGHT($G119,2))),DATE(VALUE(LEFT($G119,4)),VALUE(MID($G119,6,2)),VALUE(RIGHT($G119,2))),"ERR"),"ERR"),"ERR")))</f>
        <v/>
      </c>
      <c r="O119" s="51" t="str">
        <f>IF($H119="","",IF(ISNUMBER($H119),$H119,IFERROR(VALUE($H119),"ERR")))</f>
        <v/>
      </c>
      <c r="P119" s="51" t="str">
        <f>IF(AND(ISNUMBER($O119),OR($C119="Receipt",$C119="Shipment",$C119="Adjustment")),IF($C119="Shipment",-$O119,$O119),"")</f>
        <v/>
      </c>
      <c r="Q119" s="51" t="str">
        <f>IF($D119="","",IFERROR(INDEX(Products!$R$2:$R$101,MATCH($D119,Products!$A$2:$A$101,0)),""))</f>
        <v/>
      </c>
      <c r="R119" s="51" t="str">
        <f>IF(OR($Q119="",$P119=""),"",$Q119+SUMIFS($P$1:$P118,$D$1:$D118,$D119,$U$1:$U118,"Ready"))</f>
        <v/>
      </c>
      <c r="S119" s="51" t="str">
        <f>IF($R119="","",$R119+$P119)</f>
        <v/>
      </c>
      <c r="T119" s="52" t="str">
        <f>IF(COUNTA($A119:$L119)&gt;0,$BP119,"")</f>
        <v/>
      </c>
      <c r="U119" s="49" t="str">
        <f>IF($T119="","",IF($T119=0,"Ready","Rejected"))</f>
        <v/>
      </c>
      <c r="V119" s="49" t="str">
        <f>IF(OR($T119="",$T119=0),"",INDEX(Config!$D$39:$D$61,MATCH(1,$AT119:$BP119,0))&amp;IF($T119&gt;1," (+"&amp;($T119-1)&amp;" more)",""))</f>
        <v/>
      </c>
      <c r="W119" s="52">
        <f>IF(AND(COUNTA($A119:$L119)&gt;0,$A119=""),1,0)</f>
        <v>0</v>
      </c>
      <c r="X119" s="52">
        <f>IF(AND(COUNTA($A119:$L119)&gt;0,$A119&lt;&gt;""),IF(COUNTIF($A$1:$A118,$A119)&gt;0,1,0),0)</f>
        <v>0</v>
      </c>
      <c r="Y119" s="52">
        <f>IF(AND(COUNTA($A119:$L119)&gt;0,$A119&lt;&gt;""),IF(COUNTIF(Inventory_Ledger!$A$2:$A$2001,$A119)&gt;0,1,0),0)</f>
        <v>0</v>
      </c>
      <c r="Z119" s="52">
        <f>IF(AND(COUNTA($A119:$L119)&gt;0,$B119=""),1,0)</f>
        <v>0</v>
      </c>
      <c r="AA119" s="52">
        <f>IF(AND(COUNTA($A119:$L119)&gt;0,$B119&lt;&gt;""),IF($M119="ERR",1,0),0)</f>
        <v>0</v>
      </c>
      <c r="AB119" s="52">
        <f>IF(AND(COUNTA($A119:$L119)&gt;0,ISNUMBER($M119)),IF($M119&gt;Config!$B$4,1,0),0)</f>
        <v>0</v>
      </c>
      <c r="AC119" s="52">
        <f>IF(AND(COUNTA($A119:$L119)&gt;0,$C119=""),1,0)</f>
        <v>0</v>
      </c>
      <c r="AD119" s="52">
        <f>IF(AND(COUNTA($A119:$L119)&gt;0,$C119&lt;&gt;""),IF(COUNTIF(Config!$A$15:$A$34,$C119)=0,1,0),0)</f>
        <v>0</v>
      </c>
      <c r="AE119" s="52">
        <f>IF(AND(COUNTA($A119:$L119)&gt;0,$D119=""),1,0)</f>
        <v>0</v>
      </c>
      <c r="AF119" s="52">
        <f>IF(AND(COUNTA($A119:$L119)&gt;0,$D119&lt;&gt;""),IF(COUNTIF(Products!$A$2:$A$101,$D119)=0,1,0),0)</f>
        <v>0</v>
      </c>
      <c r="AG119" s="52">
        <f>IF(AND(COUNTA($A119:$L119)&gt;0,$C119="Receipt",$E119=""),1,0)</f>
        <v>0</v>
      </c>
      <c r="AH119" s="52">
        <f>IF(AND(COUNTA($A119:$L119)&gt;0,$E119&lt;&gt;""),IF(COUNTIF(Suppliers!$A$2:$A$51,$E119)=0,1,0),0)</f>
        <v>0</v>
      </c>
      <c r="AI119" s="52">
        <f>IF(AND(COUNTA($A119:$L119)&gt;0,$F119=""),1,0)</f>
        <v>0</v>
      </c>
      <c r="AJ119" s="52">
        <f>IF(AND(COUNTA($A119:$L119)&gt;0,$F119&lt;&gt;"",$D119&lt;&gt;"",OR($C119="Shipment",$C119="Adjustment")),IF($AF119=1,0,IF(COUNTIFS(Batches!$A$2:$A$301,$F119,Batches!$B$2:$B$301,$D119)+COUNTIFS($F$1:$F118,$F119,$D$1:$D118,$D119,$C$1:$C118,"Receipt")=0,1,0)),0)</f>
        <v>0</v>
      </c>
      <c r="AK119" s="52">
        <f>IF(AND(COUNTA($A119:$L119)&gt;0,$C119="Receipt",$G119=""),1,0)</f>
        <v>0</v>
      </c>
      <c r="AL119" s="52">
        <f>IF(AND(COUNTA($A119:$L119)&gt;0,$G119&lt;&gt;""),IF($N119="ERR",1,0),0)</f>
        <v>0</v>
      </c>
      <c r="AM119" s="52">
        <f>IF(AND(COUNTA($A119:$L119)&gt;0,$H119=""),1,0)</f>
        <v>0</v>
      </c>
      <c r="AN119" s="52">
        <f>IF(AND(COUNTA($A119:$L119)&gt;0,$H119&lt;&gt;""),IF($O119="ERR",1,IF(INT($O119)&lt;&gt;$O119,1,IF(AND(OR($C119="Receipt",$C119="Shipment"),$O119&lt;=0),1,IF(AND($C119="Adjustment",$O119=0),1,0)))),0)</f>
        <v>0</v>
      </c>
      <c r="AO119" s="52">
        <f>IF(AND(COUNTA($A119:$L119)&gt;0,$C119="Receipt",$I119=""),1,0)</f>
        <v>0</v>
      </c>
      <c r="AP119" s="52">
        <f>IF(AND(COUNTA($A119:$L119)&gt;0,$I119&lt;&gt;""),IF(IFERROR(INDEX(Config!$G$15:$G$34,MATCH($I119,Config!$E$15:$E$34,0)),"No")="Yes",0,1),0)</f>
        <v>0</v>
      </c>
      <c r="AQ119" s="52">
        <f>IF(AND(COUNTA($A119:$L119)&gt;0,$C119="Adjustment",$J119=""),1,0)</f>
        <v>0</v>
      </c>
      <c r="AR119" s="52">
        <f>IF(AND(COUNTA($A119:$L119)&gt;0,$L119=""),1,0)</f>
        <v>0</v>
      </c>
      <c r="AS119" s="52">
        <f>IF(AND(COUNTA($A119:$L119)&gt;0,ISNUMBER($S119)),IF($S119&lt;0,1,0),0)</f>
        <v>0</v>
      </c>
      <c r="AT119" s="52">
        <f>$W119</f>
        <v>0</v>
      </c>
      <c r="AU119" s="52">
        <f>$AT119+$X119</f>
        <v>0</v>
      </c>
      <c r="AV119" s="52">
        <f>$AU119+$Y119</f>
        <v>0</v>
      </c>
      <c r="AW119" s="52">
        <f>$AV119+$Z119</f>
        <v>0</v>
      </c>
      <c r="AX119" s="52">
        <f>$AW119+$AA119</f>
        <v>0</v>
      </c>
      <c r="AY119" s="52">
        <f>$AX119+$AB119</f>
        <v>0</v>
      </c>
      <c r="AZ119" s="52">
        <f>$AY119+$AC119</f>
        <v>0</v>
      </c>
      <c r="BA119" s="52">
        <f>$AZ119+$AD119</f>
        <v>0</v>
      </c>
      <c r="BB119" s="52">
        <f>$BA119+$AE119</f>
        <v>0</v>
      </c>
      <c r="BC119" s="52">
        <f>$BB119+$AF119</f>
        <v>0</v>
      </c>
      <c r="BD119" s="52">
        <f>$BC119+$AG119</f>
        <v>0</v>
      </c>
      <c r="BE119" s="52">
        <f>$BD119+$AH119</f>
        <v>0</v>
      </c>
      <c r="BF119" s="52">
        <f>$BE119+$AI119</f>
        <v>0</v>
      </c>
      <c r="BG119" s="52">
        <f>$BF119+$AJ119</f>
        <v>0</v>
      </c>
      <c r="BH119" s="52">
        <f>$BG119+$AK119</f>
        <v>0</v>
      </c>
      <c r="BI119" s="52">
        <f>$BH119+$AL119</f>
        <v>0</v>
      </c>
      <c r="BJ119" s="52">
        <f>$BI119+$AM119</f>
        <v>0</v>
      </c>
      <c r="BK119" s="52">
        <f>$BJ119+$AN119</f>
        <v>0</v>
      </c>
      <c r="BL119" s="52">
        <f>$BK119+$AO119</f>
        <v>0</v>
      </c>
      <c r="BM119" s="52">
        <f>$BL119+$AP119</f>
        <v>0</v>
      </c>
      <c r="BN119" s="52">
        <f>$BM119+$AQ119</f>
        <v>0</v>
      </c>
      <c r="BO119" s="52">
        <f>$BN119+$AR119</f>
        <v>0</v>
      </c>
      <c r="BP119" s="52">
        <f>$BO119+$AS119</f>
        <v>0</v>
      </c>
      <c r="BQ119" s="52">
        <f>SUM($T$1:$T118)</f>
        <v>11</v>
      </c>
      <c r="BR119" s="52" t="str">
        <f>IF(ISNUMBER($T119),IF($T119&gt;0,COUNTIF($T$2:$T119,"&gt;0"),""),"")</f>
        <v/>
      </c>
      <c r="BS119" s="52" t="str">
        <f>IF($BR119="","",$BQ119+$T119)</f>
        <v/>
      </c>
      <c r="BT119" s="52" t="str">
        <f>IF($U119="Ready",COUNTIF($U$2:$U119,"Ready"),"")</f>
        <v/>
      </c>
      <c r="BU119" s="52">
        <f>IF(AND($U119="Ready",$C119="Receipt"),IF(COUNTIF(Batches!$A$2:$A$301,$F119)+COUNTIFS($F$1:$F118,$F119,$C$1:$C118,"Receipt",$U$1:$U118,"Ready")=0,1,0),0)</f>
        <v>0</v>
      </c>
      <c r="BV119" s="52" t="str">
        <f>IF($BU119=1,SUM($BU$2:$BU119),"")</f>
        <v/>
      </c>
    </row>
    <row r="120">
      <c r="A120" s="46" t="n"/>
      <c r="B120" s="46" t="n"/>
      <c r="C120" s="46" t="n"/>
      <c r="D120" s="46" t="n"/>
      <c r="E120" s="46" t="n"/>
      <c r="F120" s="46" t="n"/>
      <c r="G120" s="46" t="n"/>
      <c r="H120" s="46" t="n"/>
      <c r="I120" s="46" t="n"/>
      <c r="J120" s="46" t="n"/>
      <c r="K120" s="46" t="n"/>
      <c r="L120" s="46" t="n"/>
      <c r="M120" s="62" t="str">
        <f>IF($B120="","",IF(ISNUMBER($B120),$B120,IF(AND(LEN($B120)=10,MID($B120,5,1)="-",MID($B120,8,1)="-"),IFERROR(IF(AND(MONTH(DATE(VALUE(LEFT($B120,4)),VALUE(MID($B120,6,2)),VALUE(RIGHT($B120,2))))=VALUE(MID($B120,6,2)),DAY(DATE(VALUE(LEFT($B120,4)),VALUE(MID($B120,6,2)),VALUE(RIGHT($B120,2))))=VALUE(RIGHT($B120,2))),DATE(VALUE(LEFT($B120,4)),VALUE(MID($B120,6,2)),VALUE(RIGHT($B120,2))),"ERR"),"ERR"),"ERR")))</f>
        <v/>
      </c>
      <c r="N120" s="62" t="str">
        <f>IF($G120="","",IF(ISNUMBER($G120),$G120,IF(AND(LEN($G120)=10,MID($G120,5,1)="-",MID($G120,8,1)="-"),IFERROR(IF(AND(MONTH(DATE(VALUE(LEFT($G120,4)),VALUE(MID($G120,6,2)),VALUE(RIGHT($G120,2))))=VALUE(MID($G120,6,2)),DAY(DATE(VALUE(LEFT($G120,4)),VALUE(MID($G120,6,2)),VALUE(RIGHT($G120,2))))=VALUE(RIGHT($G120,2))),DATE(VALUE(LEFT($G120,4)),VALUE(MID($G120,6,2)),VALUE(RIGHT($G120,2))),"ERR"),"ERR"),"ERR")))</f>
        <v/>
      </c>
      <c r="O120" s="51" t="str">
        <f>IF($H120="","",IF(ISNUMBER($H120),$H120,IFERROR(VALUE($H120),"ERR")))</f>
        <v/>
      </c>
      <c r="P120" s="51" t="str">
        <f>IF(AND(ISNUMBER($O120),OR($C120="Receipt",$C120="Shipment",$C120="Adjustment")),IF($C120="Shipment",-$O120,$O120),"")</f>
        <v/>
      </c>
      <c r="Q120" s="51" t="str">
        <f>IF($D120="","",IFERROR(INDEX(Products!$R$2:$R$101,MATCH($D120,Products!$A$2:$A$101,0)),""))</f>
        <v/>
      </c>
      <c r="R120" s="51" t="str">
        <f>IF(OR($Q120="",$P120=""),"",$Q120+SUMIFS($P$1:$P119,$D$1:$D119,$D120,$U$1:$U119,"Ready"))</f>
        <v/>
      </c>
      <c r="S120" s="51" t="str">
        <f>IF($R120="","",$R120+$P120)</f>
        <v/>
      </c>
      <c r="T120" s="52" t="str">
        <f>IF(COUNTA($A120:$L120)&gt;0,$BP120,"")</f>
        <v/>
      </c>
      <c r="U120" s="49" t="str">
        <f>IF($T120="","",IF($T120=0,"Ready","Rejected"))</f>
        <v/>
      </c>
      <c r="V120" s="49" t="str">
        <f>IF(OR($T120="",$T120=0),"",INDEX(Config!$D$39:$D$61,MATCH(1,$AT120:$BP120,0))&amp;IF($T120&gt;1," (+"&amp;($T120-1)&amp;" more)",""))</f>
        <v/>
      </c>
      <c r="W120" s="52">
        <f>IF(AND(COUNTA($A120:$L120)&gt;0,$A120=""),1,0)</f>
        <v>0</v>
      </c>
      <c r="X120" s="52">
        <f>IF(AND(COUNTA($A120:$L120)&gt;0,$A120&lt;&gt;""),IF(COUNTIF($A$1:$A119,$A120)&gt;0,1,0),0)</f>
        <v>0</v>
      </c>
      <c r="Y120" s="52">
        <f>IF(AND(COUNTA($A120:$L120)&gt;0,$A120&lt;&gt;""),IF(COUNTIF(Inventory_Ledger!$A$2:$A$2001,$A120)&gt;0,1,0),0)</f>
        <v>0</v>
      </c>
      <c r="Z120" s="52">
        <f>IF(AND(COUNTA($A120:$L120)&gt;0,$B120=""),1,0)</f>
        <v>0</v>
      </c>
      <c r="AA120" s="52">
        <f>IF(AND(COUNTA($A120:$L120)&gt;0,$B120&lt;&gt;""),IF($M120="ERR",1,0),0)</f>
        <v>0</v>
      </c>
      <c r="AB120" s="52">
        <f>IF(AND(COUNTA($A120:$L120)&gt;0,ISNUMBER($M120)),IF($M120&gt;Config!$B$4,1,0),0)</f>
        <v>0</v>
      </c>
      <c r="AC120" s="52">
        <f>IF(AND(COUNTA($A120:$L120)&gt;0,$C120=""),1,0)</f>
        <v>0</v>
      </c>
      <c r="AD120" s="52">
        <f>IF(AND(COUNTA($A120:$L120)&gt;0,$C120&lt;&gt;""),IF(COUNTIF(Config!$A$15:$A$34,$C120)=0,1,0),0)</f>
        <v>0</v>
      </c>
      <c r="AE120" s="52">
        <f>IF(AND(COUNTA($A120:$L120)&gt;0,$D120=""),1,0)</f>
        <v>0</v>
      </c>
      <c r="AF120" s="52">
        <f>IF(AND(COUNTA($A120:$L120)&gt;0,$D120&lt;&gt;""),IF(COUNTIF(Products!$A$2:$A$101,$D120)=0,1,0),0)</f>
        <v>0</v>
      </c>
      <c r="AG120" s="52">
        <f>IF(AND(COUNTA($A120:$L120)&gt;0,$C120="Receipt",$E120=""),1,0)</f>
        <v>0</v>
      </c>
      <c r="AH120" s="52">
        <f>IF(AND(COUNTA($A120:$L120)&gt;0,$E120&lt;&gt;""),IF(COUNTIF(Suppliers!$A$2:$A$51,$E120)=0,1,0),0)</f>
        <v>0</v>
      </c>
      <c r="AI120" s="52">
        <f>IF(AND(COUNTA($A120:$L120)&gt;0,$F120=""),1,0)</f>
        <v>0</v>
      </c>
      <c r="AJ120" s="52">
        <f>IF(AND(COUNTA($A120:$L120)&gt;0,$F120&lt;&gt;"",$D120&lt;&gt;"",OR($C120="Shipment",$C120="Adjustment")),IF($AF120=1,0,IF(COUNTIFS(Batches!$A$2:$A$301,$F120,Batches!$B$2:$B$301,$D120)+COUNTIFS($F$1:$F119,$F120,$D$1:$D119,$D120,$C$1:$C119,"Receipt")=0,1,0)),0)</f>
        <v>0</v>
      </c>
      <c r="AK120" s="52">
        <f>IF(AND(COUNTA($A120:$L120)&gt;0,$C120="Receipt",$G120=""),1,0)</f>
        <v>0</v>
      </c>
      <c r="AL120" s="52">
        <f>IF(AND(COUNTA($A120:$L120)&gt;0,$G120&lt;&gt;""),IF($N120="ERR",1,0),0)</f>
        <v>0</v>
      </c>
      <c r="AM120" s="52">
        <f>IF(AND(COUNTA($A120:$L120)&gt;0,$H120=""),1,0)</f>
        <v>0</v>
      </c>
      <c r="AN120" s="52">
        <f>IF(AND(COUNTA($A120:$L120)&gt;0,$H120&lt;&gt;""),IF($O120="ERR",1,IF(INT($O120)&lt;&gt;$O120,1,IF(AND(OR($C120="Receipt",$C120="Shipment"),$O120&lt;=0),1,IF(AND($C120="Adjustment",$O120=0),1,0)))),0)</f>
        <v>0</v>
      </c>
      <c r="AO120" s="52">
        <f>IF(AND(COUNTA($A120:$L120)&gt;0,$C120="Receipt",$I120=""),1,0)</f>
        <v>0</v>
      </c>
      <c r="AP120" s="52">
        <f>IF(AND(COUNTA($A120:$L120)&gt;0,$I120&lt;&gt;""),IF(IFERROR(INDEX(Config!$G$15:$G$34,MATCH($I120,Config!$E$15:$E$34,0)),"No")="Yes",0,1),0)</f>
        <v>0</v>
      </c>
      <c r="AQ120" s="52">
        <f>IF(AND(COUNTA($A120:$L120)&gt;0,$C120="Adjustment",$J120=""),1,0)</f>
        <v>0</v>
      </c>
      <c r="AR120" s="52">
        <f>IF(AND(COUNTA($A120:$L120)&gt;0,$L120=""),1,0)</f>
        <v>0</v>
      </c>
      <c r="AS120" s="52">
        <f>IF(AND(COUNTA($A120:$L120)&gt;0,ISNUMBER($S120)),IF($S120&lt;0,1,0),0)</f>
        <v>0</v>
      </c>
      <c r="AT120" s="52">
        <f>$W120</f>
        <v>0</v>
      </c>
      <c r="AU120" s="52">
        <f>$AT120+$X120</f>
        <v>0</v>
      </c>
      <c r="AV120" s="52">
        <f>$AU120+$Y120</f>
        <v>0</v>
      </c>
      <c r="AW120" s="52">
        <f>$AV120+$Z120</f>
        <v>0</v>
      </c>
      <c r="AX120" s="52">
        <f>$AW120+$AA120</f>
        <v>0</v>
      </c>
      <c r="AY120" s="52">
        <f>$AX120+$AB120</f>
        <v>0</v>
      </c>
      <c r="AZ120" s="52">
        <f>$AY120+$AC120</f>
        <v>0</v>
      </c>
      <c r="BA120" s="52">
        <f>$AZ120+$AD120</f>
        <v>0</v>
      </c>
      <c r="BB120" s="52">
        <f>$BA120+$AE120</f>
        <v>0</v>
      </c>
      <c r="BC120" s="52">
        <f>$BB120+$AF120</f>
        <v>0</v>
      </c>
      <c r="BD120" s="52">
        <f>$BC120+$AG120</f>
        <v>0</v>
      </c>
      <c r="BE120" s="52">
        <f>$BD120+$AH120</f>
        <v>0</v>
      </c>
      <c r="BF120" s="52">
        <f>$BE120+$AI120</f>
        <v>0</v>
      </c>
      <c r="BG120" s="52">
        <f>$BF120+$AJ120</f>
        <v>0</v>
      </c>
      <c r="BH120" s="52">
        <f>$BG120+$AK120</f>
        <v>0</v>
      </c>
      <c r="BI120" s="52">
        <f>$BH120+$AL120</f>
        <v>0</v>
      </c>
      <c r="BJ120" s="52">
        <f>$BI120+$AM120</f>
        <v>0</v>
      </c>
      <c r="BK120" s="52">
        <f>$BJ120+$AN120</f>
        <v>0</v>
      </c>
      <c r="BL120" s="52">
        <f>$BK120+$AO120</f>
        <v>0</v>
      </c>
      <c r="BM120" s="52">
        <f>$BL120+$AP120</f>
        <v>0</v>
      </c>
      <c r="BN120" s="52">
        <f>$BM120+$AQ120</f>
        <v>0</v>
      </c>
      <c r="BO120" s="52">
        <f>$BN120+$AR120</f>
        <v>0</v>
      </c>
      <c r="BP120" s="52">
        <f>$BO120+$AS120</f>
        <v>0</v>
      </c>
      <c r="BQ120" s="52">
        <f>SUM($T$1:$T119)</f>
        <v>11</v>
      </c>
      <c r="BR120" s="52" t="str">
        <f>IF(ISNUMBER($T120),IF($T120&gt;0,COUNTIF($T$2:$T120,"&gt;0"),""),"")</f>
        <v/>
      </c>
      <c r="BS120" s="52" t="str">
        <f>IF($BR120="","",$BQ120+$T120)</f>
        <v/>
      </c>
      <c r="BT120" s="52" t="str">
        <f>IF($U120="Ready",COUNTIF($U$2:$U120,"Ready"),"")</f>
        <v/>
      </c>
      <c r="BU120" s="52">
        <f>IF(AND($U120="Ready",$C120="Receipt"),IF(COUNTIF(Batches!$A$2:$A$301,$F120)+COUNTIFS($F$1:$F119,$F120,$C$1:$C119,"Receipt",$U$1:$U119,"Ready")=0,1,0),0)</f>
        <v>0</v>
      </c>
      <c r="BV120" s="52" t="str">
        <f>IF($BU120=1,SUM($BU$2:$BU120),"")</f>
        <v/>
      </c>
    </row>
    <row r="121">
      <c r="A121" s="46" t="n"/>
      <c r="B121" s="46" t="n"/>
      <c r="C121" s="46" t="n"/>
      <c r="D121" s="46" t="n"/>
      <c r="E121" s="46" t="n"/>
      <c r="F121" s="46" t="n"/>
      <c r="G121" s="46" t="n"/>
      <c r="H121" s="46" t="n"/>
      <c r="I121" s="46" t="n"/>
      <c r="J121" s="46" t="n"/>
      <c r="K121" s="46" t="n"/>
      <c r="L121" s="46" t="n"/>
      <c r="M121" s="62" t="str">
        <f>IF($B121="","",IF(ISNUMBER($B121),$B121,IF(AND(LEN($B121)=10,MID($B121,5,1)="-",MID($B121,8,1)="-"),IFERROR(IF(AND(MONTH(DATE(VALUE(LEFT($B121,4)),VALUE(MID($B121,6,2)),VALUE(RIGHT($B121,2))))=VALUE(MID($B121,6,2)),DAY(DATE(VALUE(LEFT($B121,4)),VALUE(MID($B121,6,2)),VALUE(RIGHT($B121,2))))=VALUE(RIGHT($B121,2))),DATE(VALUE(LEFT($B121,4)),VALUE(MID($B121,6,2)),VALUE(RIGHT($B121,2))),"ERR"),"ERR"),"ERR")))</f>
        <v/>
      </c>
      <c r="N121" s="62" t="str">
        <f>IF($G121="","",IF(ISNUMBER($G121),$G121,IF(AND(LEN($G121)=10,MID($G121,5,1)="-",MID($G121,8,1)="-"),IFERROR(IF(AND(MONTH(DATE(VALUE(LEFT($G121,4)),VALUE(MID($G121,6,2)),VALUE(RIGHT($G121,2))))=VALUE(MID($G121,6,2)),DAY(DATE(VALUE(LEFT($G121,4)),VALUE(MID($G121,6,2)),VALUE(RIGHT($G121,2))))=VALUE(RIGHT($G121,2))),DATE(VALUE(LEFT($G121,4)),VALUE(MID($G121,6,2)),VALUE(RIGHT($G121,2))),"ERR"),"ERR"),"ERR")))</f>
        <v/>
      </c>
      <c r="O121" s="51" t="str">
        <f>IF($H121="","",IF(ISNUMBER($H121),$H121,IFERROR(VALUE($H121),"ERR")))</f>
        <v/>
      </c>
      <c r="P121" s="51" t="str">
        <f>IF(AND(ISNUMBER($O121),OR($C121="Receipt",$C121="Shipment",$C121="Adjustment")),IF($C121="Shipment",-$O121,$O121),"")</f>
        <v/>
      </c>
      <c r="Q121" s="51" t="str">
        <f>IF($D121="","",IFERROR(INDEX(Products!$R$2:$R$101,MATCH($D121,Products!$A$2:$A$101,0)),""))</f>
        <v/>
      </c>
      <c r="R121" s="51" t="str">
        <f>IF(OR($Q121="",$P121=""),"",$Q121+SUMIFS($P$1:$P120,$D$1:$D120,$D121,$U$1:$U120,"Ready"))</f>
        <v/>
      </c>
      <c r="S121" s="51" t="str">
        <f>IF($R121="","",$R121+$P121)</f>
        <v/>
      </c>
      <c r="T121" s="52" t="str">
        <f>IF(COUNTA($A121:$L121)&gt;0,$BP121,"")</f>
        <v/>
      </c>
      <c r="U121" s="49" t="str">
        <f>IF($T121="","",IF($T121=0,"Ready","Rejected"))</f>
        <v/>
      </c>
      <c r="V121" s="49" t="str">
        <f>IF(OR($T121="",$T121=0),"",INDEX(Config!$D$39:$D$61,MATCH(1,$AT121:$BP121,0))&amp;IF($T121&gt;1," (+"&amp;($T121-1)&amp;" more)",""))</f>
        <v/>
      </c>
      <c r="W121" s="52">
        <f>IF(AND(COUNTA($A121:$L121)&gt;0,$A121=""),1,0)</f>
        <v>0</v>
      </c>
      <c r="X121" s="52">
        <f>IF(AND(COUNTA($A121:$L121)&gt;0,$A121&lt;&gt;""),IF(COUNTIF($A$1:$A120,$A121)&gt;0,1,0),0)</f>
        <v>0</v>
      </c>
      <c r="Y121" s="52">
        <f>IF(AND(COUNTA($A121:$L121)&gt;0,$A121&lt;&gt;""),IF(COUNTIF(Inventory_Ledger!$A$2:$A$2001,$A121)&gt;0,1,0),0)</f>
        <v>0</v>
      </c>
      <c r="Z121" s="52">
        <f>IF(AND(COUNTA($A121:$L121)&gt;0,$B121=""),1,0)</f>
        <v>0</v>
      </c>
      <c r="AA121" s="52">
        <f>IF(AND(COUNTA($A121:$L121)&gt;0,$B121&lt;&gt;""),IF($M121="ERR",1,0),0)</f>
        <v>0</v>
      </c>
      <c r="AB121" s="52">
        <f>IF(AND(COUNTA($A121:$L121)&gt;0,ISNUMBER($M121)),IF($M121&gt;Config!$B$4,1,0),0)</f>
        <v>0</v>
      </c>
      <c r="AC121" s="52">
        <f>IF(AND(COUNTA($A121:$L121)&gt;0,$C121=""),1,0)</f>
        <v>0</v>
      </c>
      <c r="AD121" s="52">
        <f>IF(AND(COUNTA($A121:$L121)&gt;0,$C121&lt;&gt;""),IF(COUNTIF(Config!$A$15:$A$34,$C121)=0,1,0),0)</f>
        <v>0</v>
      </c>
      <c r="AE121" s="52">
        <f>IF(AND(COUNTA($A121:$L121)&gt;0,$D121=""),1,0)</f>
        <v>0</v>
      </c>
      <c r="AF121" s="52">
        <f>IF(AND(COUNTA($A121:$L121)&gt;0,$D121&lt;&gt;""),IF(COUNTIF(Products!$A$2:$A$101,$D121)=0,1,0),0)</f>
        <v>0</v>
      </c>
      <c r="AG121" s="52">
        <f>IF(AND(COUNTA($A121:$L121)&gt;0,$C121="Receipt",$E121=""),1,0)</f>
        <v>0</v>
      </c>
      <c r="AH121" s="52">
        <f>IF(AND(COUNTA($A121:$L121)&gt;0,$E121&lt;&gt;""),IF(COUNTIF(Suppliers!$A$2:$A$51,$E121)=0,1,0),0)</f>
        <v>0</v>
      </c>
      <c r="AI121" s="52">
        <f>IF(AND(COUNTA($A121:$L121)&gt;0,$F121=""),1,0)</f>
        <v>0</v>
      </c>
      <c r="AJ121" s="52">
        <f>IF(AND(COUNTA($A121:$L121)&gt;0,$F121&lt;&gt;"",$D121&lt;&gt;"",OR($C121="Shipment",$C121="Adjustment")),IF($AF121=1,0,IF(COUNTIFS(Batches!$A$2:$A$301,$F121,Batches!$B$2:$B$301,$D121)+COUNTIFS($F$1:$F120,$F121,$D$1:$D120,$D121,$C$1:$C120,"Receipt")=0,1,0)),0)</f>
        <v>0</v>
      </c>
      <c r="AK121" s="52">
        <f>IF(AND(COUNTA($A121:$L121)&gt;0,$C121="Receipt",$G121=""),1,0)</f>
        <v>0</v>
      </c>
      <c r="AL121" s="52">
        <f>IF(AND(COUNTA($A121:$L121)&gt;0,$G121&lt;&gt;""),IF($N121="ERR",1,0),0)</f>
        <v>0</v>
      </c>
      <c r="AM121" s="52">
        <f>IF(AND(COUNTA($A121:$L121)&gt;0,$H121=""),1,0)</f>
        <v>0</v>
      </c>
      <c r="AN121" s="52">
        <f>IF(AND(COUNTA($A121:$L121)&gt;0,$H121&lt;&gt;""),IF($O121="ERR",1,IF(INT($O121)&lt;&gt;$O121,1,IF(AND(OR($C121="Receipt",$C121="Shipment"),$O121&lt;=0),1,IF(AND($C121="Adjustment",$O121=0),1,0)))),0)</f>
        <v>0</v>
      </c>
      <c r="AO121" s="52">
        <f>IF(AND(COUNTA($A121:$L121)&gt;0,$C121="Receipt",$I121=""),1,0)</f>
        <v>0</v>
      </c>
      <c r="AP121" s="52">
        <f>IF(AND(COUNTA($A121:$L121)&gt;0,$I121&lt;&gt;""),IF(IFERROR(INDEX(Config!$G$15:$G$34,MATCH($I121,Config!$E$15:$E$34,0)),"No")="Yes",0,1),0)</f>
        <v>0</v>
      </c>
      <c r="AQ121" s="52">
        <f>IF(AND(COUNTA($A121:$L121)&gt;0,$C121="Adjustment",$J121=""),1,0)</f>
        <v>0</v>
      </c>
      <c r="AR121" s="52">
        <f>IF(AND(COUNTA($A121:$L121)&gt;0,$L121=""),1,0)</f>
        <v>0</v>
      </c>
      <c r="AS121" s="52">
        <f>IF(AND(COUNTA($A121:$L121)&gt;0,ISNUMBER($S121)),IF($S121&lt;0,1,0),0)</f>
        <v>0</v>
      </c>
      <c r="AT121" s="52">
        <f>$W121</f>
        <v>0</v>
      </c>
      <c r="AU121" s="52">
        <f>$AT121+$X121</f>
        <v>0</v>
      </c>
      <c r="AV121" s="52">
        <f>$AU121+$Y121</f>
        <v>0</v>
      </c>
      <c r="AW121" s="52">
        <f>$AV121+$Z121</f>
        <v>0</v>
      </c>
      <c r="AX121" s="52">
        <f>$AW121+$AA121</f>
        <v>0</v>
      </c>
      <c r="AY121" s="52">
        <f>$AX121+$AB121</f>
        <v>0</v>
      </c>
      <c r="AZ121" s="52">
        <f>$AY121+$AC121</f>
        <v>0</v>
      </c>
      <c r="BA121" s="52">
        <f>$AZ121+$AD121</f>
        <v>0</v>
      </c>
      <c r="BB121" s="52">
        <f>$BA121+$AE121</f>
        <v>0</v>
      </c>
      <c r="BC121" s="52">
        <f>$BB121+$AF121</f>
        <v>0</v>
      </c>
      <c r="BD121" s="52">
        <f>$BC121+$AG121</f>
        <v>0</v>
      </c>
      <c r="BE121" s="52">
        <f>$BD121+$AH121</f>
        <v>0</v>
      </c>
      <c r="BF121" s="52">
        <f>$BE121+$AI121</f>
        <v>0</v>
      </c>
      <c r="BG121" s="52">
        <f>$BF121+$AJ121</f>
        <v>0</v>
      </c>
      <c r="BH121" s="52">
        <f>$BG121+$AK121</f>
        <v>0</v>
      </c>
      <c r="BI121" s="52">
        <f>$BH121+$AL121</f>
        <v>0</v>
      </c>
      <c r="BJ121" s="52">
        <f>$BI121+$AM121</f>
        <v>0</v>
      </c>
      <c r="BK121" s="52">
        <f>$BJ121+$AN121</f>
        <v>0</v>
      </c>
      <c r="BL121" s="52">
        <f>$BK121+$AO121</f>
        <v>0</v>
      </c>
      <c r="BM121" s="52">
        <f>$BL121+$AP121</f>
        <v>0</v>
      </c>
      <c r="BN121" s="52">
        <f>$BM121+$AQ121</f>
        <v>0</v>
      </c>
      <c r="BO121" s="52">
        <f>$BN121+$AR121</f>
        <v>0</v>
      </c>
      <c r="BP121" s="52">
        <f>$BO121+$AS121</f>
        <v>0</v>
      </c>
      <c r="BQ121" s="52">
        <f>SUM($T$1:$T120)</f>
        <v>11</v>
      </c>
      <c r="BR121" s="52" t="str">
        <f>IF(ISNUMBER($T121),IF($T121&gt;0,COUNTIF($T$2:$T121,"&gt;0"),""),"")</f>
        <v/>
      </c>
      <c r="BS121" s="52" t="str">
        <f>IF($BR121="","",$BQ121+$T121)</f>
        <v/>
      </c>
      <c r="BT121" s="52" t="str">
        <f>IF($U121="Ready",COUNTIF($U$2:$U121,"Ready"),"")</f>
        <v/>
      </c>
      <c r="BU121" s="52">
        <f>IF(AND($U121="Ready",$C121="Receipt"),IF(COUNTIF(Batches!$A$2:$A$301,$F121)+COUNTIFS($F$1:$F120,$F121,$C$1:$C120,"Receipt",$U$1:$U120,"Ready")=0,1,0),0)</f>
        <v>0</v>
      </c>
      <c r="BV121" s="52" t="str">
        <f>IF($BU121=1,SUM($BU$2:$BU121),"")</f>
        <v/>
      </c>
    </row>
    <row r="122">
      <c r="A122" s="46" t="n"/>
      <c r="B122" s="46" t="n"/>
      <c r="C122" s="46" t="n"/>
      <c r="D122" s="46" t="n"/>
      <c r="E122" s="46" t="n"/>
      <c r="F122" s="46" t="n"/>
      <c r="G122" s="46" t="n"/>
      <c r="H122" s="46" t="n"/>
      <c r="I122" s="46" t="n"/>
      <c r="J122" s="46" t="n"/>
      <c r="K122" s="46" t="n"/>
      <c r="L122" s="46" t="n"/>
      <c r="M122" s="62" t="str">
        <f>IF($B122="","",IF(ISNUMBER($B122),$B122,IF(AND(LEN($B122)=10,MID($B122,5,1)="-",MID($B122,8,1)="-"),IFERROR(IF(AND(MONTH(DATE(VALUE(LEFT($B122,4)),VALUE(MID($B122,6,2)),VALUE(RIGHT($B122,2))))=VALUE(MID($B122,6,2)),DAY(DATE(VALUE(LEFT($B122,4)),VALUE(MID($B122,6,2)),VALUE(RIGHT($B122,2))))=VALUE(RIGHT($B122,2))),DATE(VALUE(LEFT($B122,4)),VALUE(MID($B122,6,2)),VALUE(RIGHT($B122,2))),"ERR"),"ERR"),"ERR")))</f>
        <v/>
      </c>
      <c r="N122" s="62" t="str">
        <f>IF($G122="","",IF(ISNUMBER($G122),$G122,IF(AND(LEN($G122)=10,MID($G122,5,1)="-",MID($G122,8,1)="-"),IFERROR(IF(AND(MONTH(DATE(VALUE(LEFT($G122,4)),VALUE(MID($G122,6,2)),VALUE(RIGHT($G122,2))))=VALUE(MID($G122,6,2)),DAY(DATE(VALUE(LEFT($G122,4)),VALUE(MID($G122,6,2)),VALUE(RIGHT($G122,2))))=VALUE(RIGHT($G122,2))),DATE(VALUE(LEFT($G122,4)),VALUE(MID($G122,6,2)),VALUE(RIGHT($G122,2))),"ERR"),"ERR"),"ERR")))</f>
        <v/>
      </c>
      <c r="O122" s="51" t="str">
        <f>IF($H122="","",IF(ISNUMBER($H122),$H122,IFERROR(VALUE($H122),"ERR")))</f>
        <v/>
      </c>
      <c r="P122" s="51" t="str">
        <f>IF(AND(ISNUMBER($O122),OR($C122="Receipt",$C122="Shipment",$C122="Adjustment")),IF($C122="Shipment",-$O122,$O122),"")</f>
        <v/>
      </c>
      <c r="Q122" s="51" t="str">
        <f>IF($D122="","",IFERROR(INDEX(Products!$R$2:$R$101,MATCH($D122,Products!$A$2:$A$101,0)),""))</f>
        <v/>
      </c>
      <c r="R122" s="51" t="str">
        <f>IF(OR($Q122="",$P122=""),"",$Q122+SUMIFS($P$1:$P121,$D$1:$D121,$D122,$U$1:$U121,"Ready"))</f>
        <v/>
      </c>
      <c r="S122" s="51" t="str">
        <f>IF($R122="","",$R122+$P122)</f>
        <v/>
      </c>
      <c r="T122" s="52" t="str">
        <f>IF(COUNTA($A122:$L122)&gt;0,$BP122,"")</f>
        <v/>
      </c>
      <c r="U122" s="49" t="str">
        <f>IF($T122="","",IF($T122=0,"Ready","Rejected"))</f>
        <v/>
      </c>
      <c r="V122" s="49" t="str">
        <f>IF(OR($T122="",$T122=0),"",INDEX(Config!$D$39:$D$61,MATCH(1,$AT122:$BP122,0))&amp;IF($T122&gt;1," (+"&amp;($T122-1)&amp;" more)",""))</f>
        <v/>
      </c>
      <c r="W122" s="52">
        <f>IF(AND(COUNTA($A122:$L122)&gt;0,$A122=""),1,0)</f>
        <v>0</v>
      </c>
      <c r="X122" s="52">
        <f>IF(AND(COUNTA($A122:$L122)&gt;0,$A122&lt;&gt;""),IF(COUNTIF($A$1:$A121,$A122)&gt;0,1,0),0)</f>
        <v>0</v>
      </c>
      <c r="Y122" s="52">
        <f>IF(AND(COUNTA($A122:$L122)&gt;0,$A122&lt;&gt;""),IF(COUNTIF(Inventory_Ledger!$A$2:$A$2001,$A122)&gt;0,1,0),0)</f>
        <v>0</v>
      </c>
      <c r="Z122" s="52">
        <f>IF(AND(COUNTA($A122:$L122)&gt;0,$B122=""),1,0)</f>
        <v>0</v>
      </c>
      <c r="AA122" s="52">
        <f>IF(AND(COUNTA($A122:$L122)&gt;0,$B122&lt;&gt;""),IF($M122="ERR",1,0),0)</f>
        <v>0</v>
      </c>
      <c r="AB122" s="52">
        <f>IF(AND(COUNTA($A122:$L122)&gt;0,ISNUMBER($M122)),IF($M122&gt;Config!$B$4,1,0),0)</f>
        <v>0</v>
      </c>
      <c r="AC122" s="52">
        <f>IF(AND(COUNTA($A122:$L122)&gt;0,$C122=""),1,0)</f>
        <v>0</v>
      </c>
      <c r="AD122" s="52">
        <f>IF(AND(COUNTA($A122:$L122)&gt;0,$C122&lt;&gt;""),IF(COUNTIF(Config!$A$15:$A$34,$C122)=0,1,0),0)</f>
        <v>0</v>
      </c>
      <c r="AE122" s="52">
        <f>IF(AND(COUNTA($A122:$L122)&gt;0,$D122=""),1,0)</f>
        <v>0</v>
      </c>
      <c r="AF122" s="52">
        <f>IF(AND(COUNTA($A122:$L122)&gt;0,$D122&lt;&gt;""),IF(COUNTIF(Products!$A$2:$A$101,$D122)=0,1,0),0)</f>
        <v>0</v>
      </c>
      <c r="AG122" s="52">
        <f>IF(AND(COUNTA($A122:$L122)&gt;0,$C122="Receipt",$E122=""),1,0)</f>
        <v>0</v>
      </c>
      <c r="AH122" s="52">
        <f>IF(AND(COUNTA($A122:$L122)&gt;0,$E122&lt;&gt;""),IF(COUNTIF(Suppliers!$A$2:$A$51,$E122)=0,1,0),0)</f>
        <v>0</v>
      </c>
      <c r="AI122" s="52">
        <f>IF(AND(COUNTA($A122:$L122)&gt;0,$F122=""),1,0)</f>
        <v>0</v>
      </c>
      <c r="AJ122" s="52">
        <f>IF(AND(COUNTA($A122:$L122)&gt;0,$F122&lt;&gt;"",$D122&lt;&gt;"",OR($C122="Shipment",$C122="Adjustment")),IF($AF122=1,0,IF(COUNTIFS(Batches!$A$2:$A$301,$F122,Batches!$B$2:$B$301,$D122)+COUNTIFS($F$1:$F121,$F122,$D$1:$D121,$D122,$C$1:$C121,"Receipt")=0,1,0)),0)</f>
        <v>0</v>
      </c>
      <c r="AK122" s="52">
        <f>IF(AND(COUNTA($A122:$L122)&gt;0,$C122="Receipt",$G122=""),1,0)</f>
        <v>0</v>
      </c>
      <c r="AL122" s="52">
        <f>IF(AND(COUNTA($A122:$L122)&gt;0,$G122&lt;&gt;""),IF($N122="ERR",1,0),0)</f>
        <v>0</v>
      </c>
      <c r="AM122" s="52">
        <f>IF(AND(COUNTA($A122:$L122)&gt;0,$H122=""),1,0)</f>
        <v>0</v>
      </c>
      <c r="AN122" s="52">
        <f>IF(AND(COUNTA($A122:$L122)&gt;0,$H122&lt;&gt;""),IF($O122="ERR",1,IF(INT($O122)&lt;&gt;$O122,1,IF(AND(OR($C122="Receipt",$C122="Shipment"),$O122&lt;=0),1,IF(AND($C122="Adjustment",$O122=0),1,0)))),0)</f>
        <v>0</v>
      </c>
      <c r="AO122" s="52">
        <f>IF(AND(COUNTA($A122:$L122)&gt;0,$C122="Receipt",$I122=""),1,0)</f>
        <v>0</v>
      </c>
      <c r="AP122" s="52">
        <f>IF(AND(COUNTA($A122:$L122)&gt;0,$I122&lt;&gt;""),IF(IFERROR(INDEX(Config!$G$15:$G$34,MATCH($I122,Config!$E$15:$E$34,0)),"No")="Yes",0,1),0)</f>
        <v>0</v>
      </c>
      <c r="AQ122" s="52">
        <f>IF(AND(COUNTA($A122:$L122)&gt;0,$C122="Adjustment",$J122=""),1,0)</f>
        <v>0</v>
      </c>
      <c r="AR122" s="52">
        <f>IF(AND(COUNTA($A122:$L122)&gt;0,$L122=""),1,0)</f>
        <v>0</v>
      </c>
      <c r="AS122" s="52">
        <f>IF(AND(COUNTA($A122:$L122)&gt;0,ISNUMBER($S122)),IF($S122&lt;0,1,0),0)</f>
        <v>0</v>
      </c>
      <c r="AT122" s="52">
        <f>$W122</f>
        <v>0</v>
      </c>
      <c r="AU122" s="52">
        <f>$AT122+$X122</f>
        <v>0</v>
      </c>
      <c r="AV122" s="52">
        <f>$AU122+$Y122</f>
        <v>0</v>
      </c>
      <c r="AW122" s="52">
        <f>$AV122+$Z122</f>
        <v>0</v>
      </c>
      <c r="AX122" s="52">
        <f>$AW122+$AA122</f>
        <v>0</v>
      </c>
      <c r="AY122" s="52">
        <f>$AX122+$AB122</f>
        <v>0</v>
      </c>
      <c r="AZ122" s="52">
        <f>$AY122+$AC122</f>
        <v>0</v>
      </c>
      <c r="BA122" s="52">
        <f>$AZ122+$AD122</f>
        <v>0</v>
      </c>
      <c r="BB122" s="52">
        <f>$BA122+$AE122</f>
        <v>0</v>
      </c>
      <c r="BC122" s="52">
        <f>$BB122+$AF122</f>
        <v>0</v>
      </c>
      <c r="BD122" s="52">
        <f>$BC122+$AG122</f>
        <v>0</v>
      </c>
      <c r="BE122" s="52">
        <f>$BD122+$AH122</f>
        <v>0</v>
      </c>
      <c r="BF122" s="52">
        <f>$BE122+$AI122</f>
        <v>0</v>
      </c>
      <c r="BG122" s="52">
        <f>$BF122+$AJ122</f>
        <v>0</v>
      </c>
      <c r="BH122" s="52">
        <f>$BG122+$AK122</f>
        <v>0</v>
      </c>
      <c r="BI122" s="52">
        <f>$BH122+$AL122</f>
        <v>0</v>
      </c>
      <c r="BJ122" s="52">
        <f>$BI122+$AM122</f>
        <v>0</v>
      </c>
      <c r="BK122" s="52">
        <f>$BJ122+$AN122</f>
        <v>0</v>
      </c>
      <c r="BL122" s="52">
        <f>$BK122+$AO122</f>
        <v>0</v>
      </c>
      <c r="BM122" s="52">
        <f>$BL122+$AP122</f>
        <v>0</v>
      </c>
      <c r="BN122" s="52">
        <f>$BM122+$AQ122</f>
        <v>0</v>
      </c>
      <c r="BO122" s="52">
        <f>$BN122+$AR122</f>
        <v>0</v>
      </c>
      <c r="BP122" s="52">
        <f>$BO122+$AS122</f>
        <v>0</v>
      </c>
      <c r="BQ122" s="52">
        <f>SUM($T$1:$T121)</f>
        <v>11</v>
      </c>
      <c r="BR122" s="52" t="str">
        <f>IF(ISNUMBER($T122),IF($T122&gt;0,COUNTIF($T$2:$T122,"&gt;0"),""),"")</f>
        <v/>
      </c>
      <c r="BS122" s="52" t="str">
        <f>IF($BR122="","",$BQ122+$T122)</f>
        <v/>
      </c>
      <c r="BT122" s="52" t="str">
        <f>IF($U122="Ready",COUNTIF($U$2:$U122,"Ready"),"")</f>
        <v/>
      </c>
      <c r="BU122" s="52">
        <f>IF(AND($U122="Ready",$C122="Receipt"),IF(COUNTIF(Batches!$A$2:$A$301,$F122)+COUNTIFS($F$1:$F121,$F122,$C$1:$C121,"Receipt",$U$1:$U121,"Ready")=0,1,0),0)</f>
        <v>0</v>
      </c>
      <c r="BV122" s="52" t="str">
        <f>IF($BU122=1,SUM($BU$2:$BU122),"")</f>
        <v/>
      </c>
    </row>
    <row r="123">
      <c r="A123" s="46" t="n"/>
      <c r="B123" s="46" t="n"/>
      <c r="C123" s="46" t="n"/>
      <c r="D123" s="46" t="n"/>
      <c r="E123" s="46" t="n"/>
      <c r="F123" s="46" t="n"/>
      <c r="G123" s="46" t="n"/>
      <c r="H123" s="46" t="n"/>
      <c r="I123" s="46" t="n"/>
      <c r="J123" s="46" t="n"/>
      <c r="K123" s="46" t="n"/>
      <c r="L123" s="46" t="n"/>
      <c r="M123" s="62" t="str">
        <f>IF($B123="","",IF(ISNUMBER($B123),$B123,IF(AND(LEN($B123)=10,MID($B123,5,1)="-",MID($B123,8,1)="-"),IFERROR(IF(AND(MONTH(DATE(VALUE(LEFT($B123,4)),VALUE(MID($B123,6,2)),VALUE(RIGHT($B123,2))))=VALUE(MID($B123,6,2)),DAY(DATE(VALUE(LEFT($B123,4)),VALUE(MID($B123,6,2)),VALUE(RIGHT($B123,2))))=VALUE(RIGHT($B123,2))),DATE(VALUE(LEFT($B123,4)),VALUE(MID($B123,6,2)),VALUE(RIGHT($B123,2))),"ERR"),"ERR"),"ERR")))</f>
        <v/>
      </c>
      <c r="N123" s="62" t="str">
        <f>IF($G123="","",IF(ISNUMBER($G123),$G123,IF(AND(LEN($G123)=10,MID($G123,5,1)="-",MID($G123,8,1)="-"),IFERROR(IF(AND(MONTH(DATE(VALUE(LEFT($G123,4)),VALUE(MID($G123,6,2)),VALUE(RIGHT($G123,2))))=VALUE(MID($G123,6,2)),DAY(DATE(VALUE(LEFT($G123,4)),VALUE(MID($G123,6,2)),VALUE(RIGHT($G123,2))))=VALUE(RIGHT($G123,2))),DATE(VALUE(LEFT($G123,4)),VALUE(MID($G123,6,2)),VALUE(RIGHT($G123,2))),"ERR"),"ERR"),"ERR")))</f>
        <v/>
      </c>
      <c r="O123" s="51" t="str">
        <f>IF($H123="","",IF(ISNUMBER($H123),$H123,IFERROR(VALUE($H123),"ERR")))</f>
        <v/>
      </c>
      <c r="P123" s="51" t="str">
        <f>IF(AND(ISNUMBER($O123),OR($C123="Receipt",$C123="Shipment",$C123="Adjustment")),IF($C123="Shipment",-$O123,$O123),"")</f>
        <v/>
      </c>
      <c r="Q123" s="51" t="str">
        <f>IF($D123="","",IFERROR(INDEX(Products!$R$2:$R$101,MATCH($D123,Products!$A$2:$A$101,0)),""))</f>
        <v/>
      </c>
      <c r="R123" s="51" t="str">
        <f>IF(OR($Q123="",$P123=""),"",$Q123+SUMIFS($P$1:$P122,$D$1:$D122,$D123,$U$1:$U122,"Ready"))</f>
        <v/>
      </c>
      <c r="S123" s="51" t="str">
        <f>IF($R123="","",$R123+$P123)</f>
        <v/>
      </c>
      <c r="T123" s="52" t="str">
        <f>IF(COUNTA($A123:$L123)&gt;0,$BP123,"")</f>
        <v/>
      </c>
      <c r="U123" s="49" t="str">
        <f>IF($T123="","",IF($T123=0,"Ready","Rejected"))</f>
        <v/>
      </c>
      <c r="V123" s="49" t="str">
        <f>IF(OR($T123="",$T123=0),"",INDEX(Config!$D$39:$D$61,MATCH(1,$AT123:$BP123,0))&amp;IF($T123&gt;1," (+"&amp;($T123-1)&amp;" more)",""))</f>
        <v/>
      </c>
      <c r="W123" s="52">
        <f>IF(AND(COUNTA($A123:$L123)&gt;0,$A123=""),1,0)</f>
        <v>0</v>
      </c>
      <c r="X123" s="52">
        <f>IF(AND(COUNTA($A123:$L123)&gt;0,$A123&lt;&gt;""),IF(COUNTIF($A$1:$A122,$A123)&gt;0,1,0),0)</f>
        <v>0</v>
      </c>
      <c r="Y123" s="52">
        <f>IF(AND(COUNTA($A123:$L123)&gt;0,$A123&lt;&gt;""),IF(COUNTIF(Inventory_Ledger!$A$2:$A$2001,$A123)&gt;0,1,0),0)</f>
        <v>0</v>
      </c>
      <c r="Z123" s="52">
        <f>IF(AND(COUNTA($A123:$L123)&gt;0,$B123=""),1,0)</f>
        <v>0</v>
      </c>
      <c r="AA123" s="52">
        <f>IF(AND(COUNTA($A123:$L123)&gt;0,$B123&lt;&gt;""),IF($M123="ERR",1,0),0)</f>
        <v>0</v>
      </c>
      <c r="AB123" s="52">
        <f>IF(AND(COUNTA($A123:$L123)&gt;0,ISNUMBER($M123)),IF($M123&gt;Config!$B$4,1,0),0)</f>
        <v>0</v>
      </c>
      <c r="AC123" s="52">
        <f>IF(AND(COUNTA($A123:$L123)&gt;0,$C123=""),1,0)</f>
        <v>0</v>
      </c>
      <c r="AD123" s="52">
        <f>IF(AND(COUNTA($A123:$L123)&gt;0,$C123&lt;&gt;""),IF(COUNTIF(Config!$A$15:$A$34,$C123)=0,1,0),0)</f>
        <v>0</v>
      </c>
      <c r="AE123" s="52">
        <f>IF(AND(COUNTA($A123:$L123)&gt;0,$D123=""),1,0)</f>
        <v>0</v>
      </c>
      <c r="AF123" s="52">
        <f>IF(AND(COUNTA($A123:$L123)&gt;0,$D123&lt;&gt;""),IF(COUNTIF(Products!$A$2:$A$101,$D123)=0,1,0),0)</f>
        <v>0</v>
      </c>
      <c r="AG123" s="52">
        <f>IF(AND(COUNTA($A123:$L123)&gt;0,$C123="Receipt",$E123=""),1,0)</f>
        <v>0</v>
      </c>
      <c r="AH123" s="52">
        <f>IF(AND(COUNTA($A123:$L123)&gt;0,$E123&lt;&gt;""),IF(COUNTIF(Suppliers!$A$2:$A$51,$E123)=0,1,0),0)</f>
        <v>0</v>
      </c>
      <c r="AI123" s="52">
        <f>IF(AND(COUNTA($A123:$L123)&gt;0,$F123=""),1,0)</f>
        <v>0</v>
      </c>
      <c r="AJ123" s="52">
        <f>IF(AND(COUNTA($A123:$L123)&gt;0,$F123&lt;&gt;"",$D123&lt;&gt;"",OR($C123="Shipment",$C123="Adjustment")),IF($AF123=1,0,IF(COUNTIFS(Batches!$A$2:$A$301,$F123,Batches!$B$2:$B$301,$D123)+COUNTIFS($F$1:$F122,$F123,$D$1:$D122,$D123,$C$1:$C122,"Receipt")=0,1,0)),0)</f>
        <v>0</v>
      </c>
      <c r="AK123" s="52">
        <f>IF(AND(COUNTA($A123:$L123)&gt;0,$C123="Receipt",$G123=""),1,0)</f>
        <v>0</v>
      </c>
      <c r="AL123" s="52">
        <f>IF(AND(COUNTA($A123:$L123)&gt;0,$G123&lt;&gt;""),IF($N123="ERR",1,0),0)</f>
        <v>0</v>
      </c>
      <c r="AM123" s="52">
        <f>IF(AND(COUNTA($A123:$L123)&gt;0,$H123=""),1,0)</f>
        <v>0</v>
      </c>
      <c r="AN123" s="52">
        <f>IF(AND(COUNTA($A123:$L123)&gt;0,$H123&lt;&gt;""),IF($O123="ERR",1,IF(INT($O123)&lt;&gt;$O123,1,IF(AND(OR($C123="Receipt",$C123="Shipment"),$O123&lt;=0),1,IF(AND($C123="Adjustment",$O123=0),1,0)))),0)</f>
        <v>0</v>
      </c>
      <c r="AO123" s="52">
        <f>IF(AND(COUNTA($A123:$L123)&gt;0,$C123="Receipt",$I123=""),1,0)</f>
        <v>0</v>
      </c>
      <c r="AP123" s="52">
        <f>IF(AND(COUNTA($A123:$L123)&gt;0,$I123&lt;&gt;""),IF(IFERROR(INDEX(Config!$G$15:$G$34,MATCH($I123,Config!$E$15:$E$34,0)),"No")="Yes",0,1),0)</f>
        <v>0</v>
      </c>
      <c r="AQ123" s="52">
        <f>IF(AND(COUNTA($A123:$L123)&gt;0,$C123="Adjustment",$J123=""),1,0)</f>
        <v>0</v>
      </c>
      <c r="AR123" s="52">
        <f>IF(AND(COUNTA($A123:$L123)&gt;0,$L123=""),1,0)</f>
        <v>0</v>
      </c>
      <c r="AS123" s="52">
        <f>IF(AND(COUNTA($A123:$L123)&gt;0,ISNUMBER($S123)),IF($S123&lt;0,1,0),0)</f>
        <v>0</v>
      </c>
      <c r="AT123" s="52">
        <f>$W123</f>
        <v>0</v>
      </c>
      <c r="AU123" s="52">
        <f>$AT123+$X123</f>
        <v>0</v>
      </c>
      <c r="AV123" s="52">
        <f>$AU123+$Y123</f>
        <v>0</v>
      </c>
      <c r="AW123" s="52">
        <f>$AV123+$Z123</f>
        <v>0</v>
      </c>
      <c r="AX123" s="52">
        <f>$AW123+$AA123</f>
        <v>0</v>
      </c>
      <c r="AY123" s="52">
        <f>$AX123+$AB123</f>
        <v>0</v>
      </c>
      <c r="AZ123" s="52">
        <f>$AY123+$AC123</f>
        <v>0</v>
      </c>
      <c r="BA123" s="52">
        <f>$AZ123+$AD123</f>
        <v>0</v>
      </c>
      <c r="BB123" s="52">
        <f>$BA123+$AE123</f>
        <v>0</v>
      </c>
      <c r="BC123" s="52">
        <f>$BB123+$AF123</f>
        <v>0</v>
      </c>
      <c r="BD123" s="52">
        <f>$BC123+$AG123</f>
        <v>0</v>
      </c>
      <c r="BE123" s="52">
        <f>$BD123+$AH123</f>
        <v>0</v>
      </c>
      <c r="BF123" s="52">
        <f>$BE123+$AI123</f>
        <v>0</v>
      </c>
      <c r="BG123" s="52">
        <f>$BF123+$AJ123</f>
        <v>0</v>
      </c>
      <c r="BH123" s="52">
        <f>$BG123+$AK123</f>
        <v>0</v>
      </c>
      <c r="BI123" s="52">
        <f>$BH123+$AL123</f>
        <v>0</v>
      </c>
      <c r="BJ123" s="52">
        <f>$BI123+$AM123</f>
        <v>0</v>
      </c>
      <c r="BK123" s="52">
        <f>$BJ123+$AN123</f>
        <v>0</v>
      </c>
      <c r="BL123" s="52">
        <f>$BK123+$AO123</f>
        <v>0</v>
      </c>
      <c r="BM123" s="52">
        <f>$BL123+$AP123</f>
        <v>0</v>
      </c>
      <c r="BN123" s="52">
        <f>$BM123+$AQ123</f>
        <v>0</v>
      </c>
      <c r="BO123" s="52">
        <f>$BN123+$AR123</f>
        <v>0</v>
      </c>
      <c r="BP123" s="52">
        <f>$BO123+$AS123</f>
        <v>0</v>
      </c>
      <c r="BQ123" s="52">
        <f>SUM($T$1:$T122)</f>
        <v>11</v>
      </c>
      <c r="BR123" s="52" t="str">
        <f>IF(ISNUMBER($T123),IF($T123&gt;0,COUNTIF($T$2:$T123,"&gt;0"),""),"")</f>
        <v/>
      </c>
      <c r="BS123" s="52" t="str">
        <f>IF($BR123="","",$BQ123+$T123)</f>
        <v/>
      </c>
      <c r="BT123" s="52" t="str">
        <f>IF($U123="Ready",COUNTIF($U$2:$U123,"Ready"),"")</f>
        <v/>
      </c>
      <c r="BU123" s="52">
        <f>IF(AND($U123="Ready",$C123="Receipt"),IF(COUNTIF(Batches!$A$2:$A$301,$F123)+COUNTIFS($F$1:$F122,$F123,$C$1:$C122,"Receipt",$U$1:$U122,"Ready")=0,1,0),0)</f>
        <v>0</v>
      </c>
      <c r="BV123" s="52" t="str">
        <f>IF($BU123=1,SUM($BU$2:$BU123),"")</f>
        <v/>
      </c>
    </row>
    <row r="124">
      <c r="A124" s="46" t="n"/>
      <c r="B124" s="46" t="n"/>
      <c r="C124" s="46" t="n"/>
      <c r="D124" s="46" t="n"/>
      <c r="E124" s="46" t="n"/>
      <c r="F124" s="46" t="n"/>
      <c r="G124" s="46" t="n"/>
      <c r="H124" s="46" t="n"/>
      <c r="I124" s="46" t="n"/>
      <c r="J124" s="46" t="n"/>
      <c r="K124" s="46" t="n"/>
      <c r="L124" s="46" t="n"/>
      <c r="M124" s="62" t="str">
        <f>IF($B124="","",IF(ISNUMBER($B124),$B124,IF(AND(LEN($B124)=10,MID($B124,5,1)="-",MID($B124,8,1)="-"),IFERROR(IF(AND(MONTH(DATE(VALUE(LEFT($B124,4)),VALUE(MID($B124,6,2)),VALUE(RIGHT($B124,2))))=VALUE(MID($B124,6,2)),DAY(DATE(VALUE(LEFT($B124,4)),VALUE(MID($B124,6,2)),VALUE(RIGHT($B124,2))))=VALUE(RIGHT($B124,2))),DATE(VALUE(LEFT($B124,4)),VALUE(MID($B124,6,2)),VALUE(RIGHT($B124,2))),"ERR"),"ERR"),"ERR")))</f>
        <v/>
      </c>
      <c r="N124" s="62" t="str">
        <f>IF($G124="","",IF(ISNUMBER($G124),$G124,IF(AND(LEN($G124)=10,MID($G124,5,1)="-",MID($G124,8,1)="-"),IFERROR(IF(AND(MONTH(DATE(VALUE(LEFT($G124,4)),VALUE(MID($G124,6,2)),VALUE(RIGHT($G124,2))))=VALUE(MID($G124,6,2)),DAY(DATE(VALUE(LEFT($G124,4)),VALUE(MID($G124,6,2)),VALUE(RIGHT($G124,2))))=VALUE(RIGHT($G124,2))),DATE(VALUE(LEFT($G124,4)),VALUE(MID($G124,6,2)),VALUE(RIGHT($G124,2))),"ERR"),"ERR"),"ERR")))</f>
        <v/>
      </c>
      <c r="O124" s="51" t="str">
        <f>IF($H124="","",IF(ISNUMBER($H124),$H124,IFERROR(VALUE($H124),"ERR")))</f>
        <v/>
      </c>
      <c r="P124" s="51" t="str">
        <f>IF(AND(ISNUMBER($O124),OR($C124="Receipt",$C124="Shipment",$C124="Adjustment")),IF($C124="Shipment",-$O124,$O124),"")</f>
        <v/>
      </c>
      <c r="Q124" s="51" t="str">
        <f>IF($D124="","",IFERROR(INDEX(Products!$R$2:$R$101,MATCH($D124,Products!$A$2:$A$101,0)),""))</f>
        <v/>
      </c>
      <c r="R124" s="51" t="str">
        <f>IF(OR($Q124="",$P124=""),"",$Q124+SUMIFS($P$1:$P123,$D$1:$D123,$D124,$U$1:$U123,"Ready"))</f>
        <v/>
      </c>
      <c r="S124" s="51" t="str">
        <f>IF($R124="","",$R124+$P124)</f>
        <v/>
      </c>
      <c r="T124" s="52" t="str">
        <f>IF(COUNTA($A124:$L124)&gt;0,$BP124,"")</f>
        <v/>
      </c>
      <c r="U124" s="49" t="str">
        <f>IF($T124="","",IF($T124=0,"Ready","Rejected"))</f>
        <v/>
      </c>
      <c r="V124" s="49" t="str">
        <f>IF(OR($T124="",$T124=0),"",INDEX(Config!$D$39:$D$61,MATCH(1,$AT124:$BP124,0))&amp;IF($T124&gt;1," (+"&amp;($T124-1)&amp;" more)",""))</f>
        <v/>
      </c>
      <c r="W124" s="52">
        <f>IF(AND(COUNTA($A124:$L124)&gt;0,$A124=""),1,0)</f>
        <v>0</v>
      </c>
      <c r="X124" s="52">
        <f>IF(AND(COUNTA($A124:$L124)&gt;0,$A124&lt;&gt;""),IF(COUNTIF($A$1:$A123,$A124)&gt;0,1,0),0)</f>
        <v>0</v>
      </c>
      <c r="Y124" s="52">
        <f>IF(AND(COUNTA($A124:$L124)&gt;0,$A124&lt;&gt;""),IF(COUNTIF(Inventory_Ledger!$A$2:$A$2001,$A124)&gt;0,1,0),0)</f>
        <v>0</v>
      </c>
      <c r="Z124" s="52">
        <f>IF(AND(COUNTA($A124:$L124)&gt;0,$B124=""),1,0)</f>
        <v>0</v>
      </c>
      <c r="AA124" s="52">
        <f>IF(AND(COUNTA($A124:$L124)&gt;0,$B124&lt;&gt;""),IF($M124="ERR",1,0),0)</f>
        <v>0</v>
      </c>
      <c r="AB124" s="52">
        <f>IF(AND(COUNTA($A124:$L124)&gt;0,ISNUMBER($M124)),IF($M124&gt;Config!$B$4,1,0),0)</f>
        <v>0</v>
      </c>
      <c r="AC124" s="52">
        <f>IF(AND(COUNTA($A124:$L124)&gt;0,$C124=""),1,0)</f>
        <v>0</v>
      </c>
      <c r="AD124" s="52">
        <f>IF(AND(COUNTA($A124:$L124)&gt;0,$C124&lt;&gt;""),IF(COUNTIF(Config!$A$15:$A$34,$C124)=0,1,0),0)</f>
        <v>0</v>
      </c>
      <c r="AE124" s="52">
        <f>IF(AND(COUNTA($A124:$L124)&gt;0,$D124=""),1,0)</f>
        <v>0</v>
      </c>
      <c r="AF124" s="52">
        <f>IF(AND(COUNTA($A124:$L124)&gt;0,$D124&lt;&gt;""),IF(COUNTIF(Products!$A$2:$A$101,$D124)=0,1,0),0)</f>
        <v>0</v>
      </c>
      <c r="AG124" s="52">
        <f>IF(AND(COUNTA($A124:$L124)&gt;0,$C124="Receipt",$E124=""),1,0)</f>
        <v>0</v>
      </c>
      <c r="AH124" s="52">
        <f>IF(AND(COUNTA($A124:$L124)&gt;0,$E124&lt;&gt;""),IF(COUNTIF(Suppliers!$A$2:$A$51,$E124)=0,1,0),0)</f>
        <v>0</v>
      </c>
      <c r="AI124" s="52">
        <f>IF(AND(COUNTA($A124:$L124)&gt;0,$F124=""),1,0)</f>
        <v>0</v>
      </c>
      <c r="AJ124" s="52">
        <f>IF(AND(COUNTA($A124:$L124)&gt;0,$F124&lt;&gt;"",$D124&lt;&gt;"",OR($C124="Shipment",$C124="Adjustment")),IF($AF124=1,0,IF(COUNTIFS(Batches!$A$2:$A$301,$F124,Batches!$B$2:$B$301,$D124)+COUNTIFS($F$1:$F123,$F124,$D$1:$D123,$D124,$C$1:$C123,"Receipt")=0,1,0)),0)</f>
        <v>0</v>
      </c>
      <c r="AK124" s="52">
        <f>IF(AND(COUNTA($A124:$L124)&gt;0,$C124="Receipt",$G124=""),1,0)</f>
        <v>0</v>
      </c>
      <c r="AL124" s="52">
        <f>IF(AND(COUNTA($A124:$L124)&gt;0,$G124&lt;&gt;""),IF($N124="ERR",1,0),0)</f>
        <v>0</v>
      </c>
      <c r="AM124" s="52">
        <f>IF(AND(COUNTA($A124:$L124)&gt;0,$H124=""),1,0)</f>
        <v>0</v>
      </c>
      <c r="AN124" s="52">
        <f>IF(AND(COUNTA($A124:$L124)&gt;0,$H124&lt;&gt;""),IF($O124="ERR",1,IF(INT($O124)&lt;&gt;$O124,1,IF(AND(OR($C124="Receipt",$C124="Shipment"),$O124&lt;=0),1,IF(AND($C124="Adjustment",$O124=0),1,0)))),0)</f>
        <v>0</v>
      </c>
      <c r="AO124" s="52">
        <f>IF(AND(COUNTA($A124:$L124)&gt;0,$C124="Receipt",$I124=""),1,0)</f>
        <v>0</v>
      </c>
      <c r="AP124" s="52">
        <f>IF(AND(COUNTA($A124:$L124)&gt;0,$I124&lt;&gt;""),IF(IFERROR(INDEX(Config!$G$15:$G$34,MATCH($I124,Config!$E$15:$E$34,0)),"No")="Yes",0,1),0)</f>
        <v>0</v>
      </c>
      <c r="AQ124" s="52">
        <f>IF(AND(COUNTA($A124:$L124)&gt;0,$C124="Adjustment",$J124=""),1,0)</f>
        <v>0</v>
      </c>
      <c r="AR124" s="52">
        <f>IF(AND(COUNTA($A124:$L124)&gt;0,$L124=""),1,0)</f>
        <v>0</v>
      </c>
      <c r="AS124" s="52">
        <f>IF(AND(COUNTA($A124:$L124)&gt;0,ISNUMBER($S124)),IF($S124&lt;0,1,0),0)</f>
        <v>0</v>
      </c>
      <c r="AT124" s="52">
        <f>$W124</f>
        <v>0</v>
      </c>
      <c r="AU124" s="52">
        <f>$AT124+$X124</f>
        <v>0</v>
      </c>
      <c r="AV124" s="52">
        <f>$AU124+$Y124</f>
        <v>0</v>
      </c>
      <c r="AW124" s="52">
        <f>$AV124+$Z124</f>
        <v>0</v>
      </c>
      <c r="AX124" s="52">
        <f>$AW124+$AA124</f>
        <v>0</v>
      </c>
      <c r="AY124" s="52">
        <f>$AX124+$AB124</f>
        <v>0</v>
      </c>
      <c r="AZ124" s="52">
        <f>$AY124+$AC124</f>
        <v>0</v>
      </c>
      <c r="BA124" s="52">
        <f>$AZ124+$AD124</f>
        <v>0</v>
      </c>
      <c r="BB124" s="52">
        <f>$BA124+$AE124</f>
        <v>0</v>
      </c>
      <c r="BC124" s="52">
        <f>$BB124+$AF124</f>
        <v>0</v>
      </c>
      <c r="BD124" s="52">
        <f>$BC124+$AG124</f>
        <v>0</v>
      </c>
      <c r="BE124" s="52">
        <f>$BD124+$AH124</f>
        <v>0</v>
      </c>
      <c r="BF124" s="52">
        <f>$BE124+$AI124</f>
        <v>0</v>
      </c>
      <c r="BG124" s="52">
        <f>$BF124+$AJ124</f>
        <v>0</v>
      </c>
      <c r="BH124" s="52">
        <f>$BG124+$AK124</f>
        <v>0</v>
      </c>
      <c r="BI124" s="52">
        <f>$BH124+$AL124</f>
        <v>0</v>
      </c>
      <c r="BJ124" s="52">
        <f>$BI124+$AM124</f>
        <v>0</v>
      </c>
      <c r="BK124" s="52">
        <f>$BJ124+$AN124</f>
        <v>0</v>
      </c>
      <c r="BL124" s="52">
        <f>$BK124+$AO124</f>
        <v>0</v>
      </c>
      <c r="BM124" s="52">
        <f>$BL124+$AP124</f>
        <v>0</v>
      </c>
      <c r="BN124" s="52">
        <f>$BM124+$AQ124</f>
        <v>0</v>
      </c>
      <c r="BO124" s="52">
        <f>$BN124+$AR124</f>
        <v>0</v>
      </c>
      <c r="BP124" s="52">
        <f>$BO124+$AS124</f>
        <v>0</v>
      </c>
      <c r="BQ124" s="52">
        <f>SUM($T$1:$T123)</f>
        <v>11</v>
      </c>
      <c r="BR124" s="52" t="str">
        <f>IF(ISNUMBER($T124),IF($T124&gt;0,COUNTIF($T$2:$T124,"&gt;0"),""),"")</f>
        <v/>
      </c>
      <c r="BS124" s="52" t="str">
        <f>IF($BR124="","",$BQ124+$T124)</f>
        <v/>
      </c>
      <c r="BT124" s="52" t="str">
        <f>IF($U124="Ready",COUNTIF($U$2:$U124,"Ready"),"")</f>
        <v/>
      </c>
      <c r="BU124" s="52">
        <f>IF(AND($U124="Ready",$C124="Receipt"),IF(COUNTIF(Batches!$A$2:$A$301,$F124)+COUNTIFS($F$1:$F123,$F124,$C$1:$C123,"Receipt",$U$1:$U123,"Ready")=0,1,0),0)</f>
        <v>0</v>
      </c>
      <c r="BV124" s="52" t="str">
        <f>IF($BU124=1,SUM($BU$2:$BU124),"")</f>
        <v/>
      </c>
    </row>
    <row r="125">
      <c r="A125" s="46" t="n"/>
      <c r="B125" s="46" t="n"/>
      <c r="C125" s="46" t="n"/>
      <c r="D125" s="46" t="n"/>
      <c r="E125" s="46" t="n"/>
      <c r="F125" s="46" t="n"/>
      <c r="G125" s="46" t="n"/>
      <c r="H125" s="46" t="n"/>
      <c r="I125" s="46" t="n"/>
      <c r="J125" s="46" t="n"/>
      <c r="K125" s="46" t="n"/>
      <c r="L125" s="46" t="n"/>
      <c r="M125" s="62" t="str">
        <f>IF($B125="","",IF(ISNUMBER($B125),$B125,IF(AND(LEN($B125)=10,MID($B125,5,1)="-",MID($B125,8,1)="-"),IFERROR(IF(AND(MONTH(DATE(VALUE(LEFT($B125,4)),VALUE(MID($B125,6,2)),VALUE(RIGHT($B125,2))))=VALUE(MID($B125,6,2)),DAY(DATE(VALUE(LEFT($B125,4)),VALUE(MID($B125,6,2)),VALUE(RIGHT($B125,2))))=VALUE(RIGHT($B125,2))),DATE(VALUE(LEFT($B125,4)),VALUE(MID($B125,6,2)),VALUE(RIGHT($B125,2))),"ERR"),"ERR"),"ERR")))</f>
        <v/>
      </c>
      <c r="N125" s="62" t="str">
        <f>IF($G125="","",IF(ISNUMBER($G125),$G125,IF(AND(LEN($G125)=10,MID($G125,5,1)="-",MID($G125,8,1)="-"),IFERROR(IF(AND(MONTH(DATE(VALUE(LEFT($G125,4)),VALUE(MID($G125,6,2)),VALUE(RIGHT($G125,2))))=VALUE(MID($G125,6,2)),DAY(DATE(VALUE(LEFT($G125,4)),VALUE(MID($G125,6,2)),VALUE(RIGHT($G125,2))))=VALUE(RIGHT($G125,2))),DATE(VALUE(LEFT($G125,4)),VALUE(MID($G125,6,2)),VALUE(RIGHT($G125,2))),"ERR"),"ERR"),"ERR")))</f>
        <v/>
      </c>
      <c r="O125" s="51" t="str">
        <f>IF($H125="","",IF(ISNUMBER($H125),$H125,IFERROR(VALUE($H125),"ERR")))</f>
        <v/>
      </c>
      <c r="P125" s="51" t="str">
        <f>IF(AND(ISNUMBER($O125),OR($C125="Receipt",$C125="Shipment",$C125="Adjustment")),IF($C125="Shipment",-$O125,$O125),"")</f>
        <v/>
      </c>
      <c r="Q125" s="51" t="str">
        <f>IF($D125="","",IFERROR(INDEX(Products!$R$2:$R$101,MATCH($D125,Products!$A$2:$A$101,0)),""))</f>
        <v/>
      </c>
      <c r="R125" s="51" t="str">
        <f>IF(OR($Q125="",$P125=""),"",$Q125+SUMIFS($P$1:$P124,$D$1:$D124,$D125,$U$1:$U124,"Ready"))</f>
        <v/>
      </c>
      <c r="S125" s="51" t="str">
        <f>IF($R125="","",$R125+$P125)</f>
        <v/>
      </c>
      <c r="T125" s="52" t="str">
        <f>IF(COUNTA($A125:$L125)&gt;0,$BP125,"")</f>
        <v/>
      </c>
      <c r="U125" s="49" t="str">
        <f>IF($T125="","",IF($T125=0,"Ready","Rejected"))</f>
        <v/>
      </c>
      <c r="V125" s="49" t="str">
        <f>IF(OR($T125="",$T125=0),"",INDEX(Config!$D$39:$D$61,MATCH(1,$AT125:$BP125,0))&amp;IF($T125&gt;1," (+"&amp;($T125-1)&amp;" more)",""))</f>
        <v/>
      </c>
      <c r="W125" s="52">
        <f>IF(AND(COUNTA($A125:$L125)&gt;0,$A125=""),1,0)</f>
        <v>0</v>
      </c>
      <c r="X125" s="52">
        <f>IF(AND(COUNTA($A125:$L125)&gt;0,$A125&lt;&gt;""),IF(COUNTIF($A$1:$A124,$A125)&gt;0,1,0),0)</f>
        <v>0</v>
      </c>
      <c r="Y125" s="52">
        <f>IF(AND(COUNTA($A125:$L125)&gt;0,$A125&lt;&gt;""),IF(COUNTIF(Inventory_Ledger!$A$2:$A$2001,$A125)&gt;0,1,0),0)</f>
        <v>0</v>
      </c>
      <c r="Z125" s="52">
        <f>IF(AND(COUNTA($A125:$L125)&gt;0,$B125=""),1,0)</f>
        <v>0</v>
      </c>
      <c r="AA125" s="52">
        <f>IF(AND(COUNTA($A125:$L125)&gt;0,$B125&lt;&gt;""),IF($M125="ERR",1,0),0)</f>
        <v>0</v>
      </c>
      <c r="AB125" s="52">
        <f>IF(AND(COUNTA($A125:$L125)&gt;0,ISNUMBER($M125)),IF($M125&gt;Config!$B$4,1,0),0)</f>
        <v>0</v>
      </c>
      <c r="AC125" s="52">
        <f>IF(AND(COUNTA($A125:$L125)&gt;0,$C125=""),1,0)</f>
        <v>0</v>
      </c>
      <c r="AD125" s="52">
        <f>IF(AND(COUNTA($A125:$L125)&gt;0,$C125&lt;&gt;""),IF(COUNTIF(Config!$A$15:$A$34,$C125)=0,1,0),0)</f>
        <v>0</v>
      </c>
      <c r="AE125" s="52">
        <f>IF(AND(COUNTA($A125:$L125)&gt;0,$D125=""),1,0)</f>
        <v>0</v>
      </c>
      <c r="AF125" s="52">
        <f>IF(AND(COUNTA($A125:$L125)&gt;0,$D125&lt;&gt;""),IF(COUNTIF(Products!$A$2:$A$101,$D125)=0,1,0),0)</f>
        <v>0</v>
      </c>
      <c r="AG125" s="52">
        <f>IF(AND(COUNTA($A125:$L125)&gt;0,$C125="Receipt",$E125=""),1,0)</f>
        <v>0</v>
      </c>
      <c r="AH125" s="52">
        <f>IF(AND(COUNTA($A125:$L125)&gt;0,$E125&lt;&gt;""),IF(COUNTIF(Suppliers!$A$2:$A$51,$E125)=0,1,0),0)</f>
        <v>0</v>
      </c>
      <c r="AI125" s="52">
        <f>IF(AND(COUNTA($A125:$L125)&gt;0,$F125=""),1,0)</f>
        <v>0</v>
      </c>
      <c r="AJ125" s="52">
        <f>IF(AND(COUNTA($A125:$L125)&gt;0,$F125&lt;&gt;"",$D125&lt;&gt;"",OR($C125="Shipment",$C125="Adjustment")),IF($AF125=1,0,IF(COUNTIFS(Batches!$A$2:$A$301,$F125,Batches!$B$2:$B$301,$D125)+COUNTIFS($F$1:$F124,$F125,$D$1:$D124,$D125,$C$1:$C124,"Receipt")=0,1,0)),0)</f>
        <v>0</v>
      </c>
      <c r="AK125" s="52">
        <f>IF(AND(COUNTA($A125:$L125)&gt;0,$C125="Receipt",$G125=""),1,0)</f>
        <v>0</v>
      </c>
      <c r="AL125" s="52">
        <f>IF(AND(COUNTA($A125:$L125)&gt;0,$G125&lt;&gt;""),IF($N125="ERR",1,0),0)</f>
        <v>0</v>
      </c>
      <c r="AM125" s="52">
        <f>IF(AND(COUNTA($A125:$L125)&gt;0,$H125=""),1,0)</f>
        <v>0</v>
      </c>
      <c r="AN125" s="52">
        <f>IF(AND(COUNTA($A125:$L125)&gt;0,$H125&lt;&gt;""),IF($O125="ERR",1,IF(INT($O125)&lt;&gt;$O125,1,IF(AND(OR($C125="Receipt",$C125="Shipment"),$O125&lt;=0),1,IF(AND($C125="Adjustment",$O125=0),1,0)))),0)</f>
        <v>0</v>
      </c>
      <c r="AO125" s="52">
        <f>IF(AND(COUNTA($A125:$L125)&gt;0,$C125="Receipt",$I125=""),1,0)</f>
        <v>0</v>
      </c>
      <c r="AP125" s="52">
        <f>IF(AND(COUNTA($A125:$L125)&gt;0,$I125&lt;&gt;""),IF(IFERROR(INDEX(Config!$G$15:$G$34,MATCH($I125,Config!$E$15:$E$34,0)),"No")="Yes",0,1),0)</f>
        <v>0</v>
      </c>
      <c r="AQ125" s="52">
        <f>IF(AND(COUNTA($A125:$L125)&gt;0,$C125="Adjustment",$J125=""),1,0)</f>
        <v>0</v>
      </c>
      <c r="AR125" s="52">
        <f>IF(AND(COUNTA($A125:$L125)&gt;0,$L125=""),1,0)</f>
        <v>0</v>
      </c>
      <c r="AS125" s="52">
        <f>IF(AND(COUNTA($A125:$L125)&gt;0,ISNUMBER($S125)),IF($S125&lt;0,1,0),0)</f>
        <v>0</v>
      </c>
      <c r="AT125" s="52">
        <f>$W125</f>
        <v>0</v>
      </c>
      <c r="AU125" s="52">
        <f>$AT125+$X125</f>
        <v>0</v>
      </c>
      <c r="AV125" s="52">
        <f>$AU125+$Y125</f>
        <v>0</v>
      </c>
      <c r="AW125" s="52">
        <f>$AV125+$Z125</f>
        <v>0</v>
      </c>
      <c r="AX125" s="52">
        <f>$AW125+$AA125</f>
        <v>0</v>
      </c>
      <c r="AY125" s="52">
        <f>$AX125+$AB125</f>
        <v>0</v>
      </c>
      <c r="AZ125" s="52">
        <f>$AY125+$AC125</f>
        <v>0</v>
      </c>
      <c r="BA125" s="52">
        <f>$AZ125+$AD125</f>
        <v>0</v>
      </c>
      <c r="BB125" s="52">
        <f>$BA125+$AE125</f>
        <v>0</v>
      </c>
      <c r="BC125" s="52">
        <f>$BB125+$AF125</f>
        <v>0</v>
      </c>
      <c r="BD125" s="52">
        <f>$BC125+$AG125</f>
        <v>0</v>
      </c>
      <c r="BE125" s="52">
        <f>$BD125+$AH125</f>
        <v>0</v>
      </c>
      <c r="BF125" s="52">
        <f>$BE125+$AI125</f>
        <v>0</v>
      </c>
      <c r="BG125" s="52">
        <f>$BF125+$AJ125</f>
        <v>0</v>
      </c>
      <c r="BH125" s="52">
        <f>$BG125+$AK125</f>
        <v>0</v>
      </c>
      <c r="BI125" s="52">
        <f>$BH125+$AL125</f>
        <v>0</v>
      </c>
      <c r="BJ125" s="52">
        <f>$BI125+$AM125</f>
        <v>0</v>
      </c>
      <c r="BK125" s="52">
        <f>$BJ125+$AN125</f>
        <v>0</v>
      </c>
      <c r="BL125" s="52">
        <f>$BK125+$AO125</f>
        <v>0</v>
      </c>
      <c r="BM125" s="52">
        <f>$BL125+$AP125</f>
        <v>0</v>
      </c>
      <c r="BN125" s="52">
        <f>$BM125+$AQ125</f>
        <v>0</v>
      </c>
      <c r="BO125" s="52">
        <f>$BN125+$AR125</f>
        <v>0</v>
      </c>
      <c r="BP125" s="52">
        <f>$BO125+$AS125</f>
        <v>0</v>
      </c>
      <c r="BQ125" s="52">
        <f>SUM($T$1:$T124)</f>
        <v>11</v>
      </c>
      <c r="BR125" s="52" t="str">
        <f>IF(ISNUMBER($T125),IF($T125&gt;0,COUNTIF($T$2:$T125,"&gt;0"),""),"")</f>
        <v/>
      </c>
      <c r="BS125" s="52" t="str">
        <f>IF($BR125="","",$BQ125+$T125)</f>
        <v/>
      </c>
      <c r="BT125" s="52" t="str">
        <f>IF($U125="Ready",COUNTIF($U$2:$U125,"Ready"),"")</f>
        <v/>
      </c>
      <c r="BU125" s="52">
        <f>IF(AND($U125="Ready",$C125="Receipt"),IF(COUNTIF(Batches!$A$2:$A$301,$F125)+COUNTIFS($F$1:$F124,$F125,$C$1:$C124,"Receipt",$U$1:$U124,"Ready")=0,1,0),0)</f>
        <v>0</v>
      </c>
      <c r="BV125" s="52" t="str">
        <f>IF($BU125=1,SUM($BU$2:$BU125),"")</f>
        <v/>
      </c>
    </row>
    <row r="126">
      <c r="A126" s="46" t="n"/>
      <c r="B126" s="46" t="n"/>
      <c r="C126" s="46" t="n"/>
      <c r="D126" s="46" t="n"/>
      <c r="E126" s="46" t="n"/>
      <c r="F126" s="46" t="n"/>
      <c r="G126" s="46" t="n"/>
      <c r="H126" s="46" t="n"/>
      <c r="I126" s="46" t="n"/>
      <c r="J126" s="46" t="n"/>
      <c r="K126" s="46" t="n"/>
      <c r="L126" s="46" t="n"/>
      <c r="M126" s="62" t="str">
        <f>IF($B126="","",IF(ISNUMBER($B126),$B126,IF(AND(LEN($B126)=10,MID($B126,5,1)="-",MID($B126,8,1)="-"),IFERROR(IF(AND(MONTH(DATE(VALUE(LEFT($B126,4)),VALUE(MID($B126,6,2)),VALUE(RIGHT($B126,2))))=VALUE(MID($B126,6,2)),DAY(DATE(VALUE(LEFT($B126,4)),VALUE(MID($B126,6,2)),VALUE(RIGHT($B126,2))))=VALUE(RIGHT($B126,2))),DATE(VALUE(LEFT($B126,4)),VALUE(MID($B126,6,2)),VALUE(RIGHT($B126,2))),"ERR"),"ERR"),"ERR")))</f>
        <v/>
      </c>
      <c r="N126" s="62" t="str">
        <f>IF($G126="","",IF(ISNUMBER($G126),$G126,IF(AND(LEN($G126)=10,MID($G126,5,1)="-",MID($G126,8,1)="-"),IFERROR(IF(AND(MONTH(DATE(VALUE(LEFT($G126,4)),VALUE(MID($G126,6,2)),VALUE(RIGHT($G126,2))))=VALUE(MID($G126,6,2)),DAY(DATE(VALUE(LEFT($G126,4)),VALUE(MID($G126,6,2)),VALUE(RIGHT($G126,2))))=VALUE(RIGHT($G126,2))),DATE(VALUE(LEFT($G126,4)),VALUE(MID($G126,6,2)),VALUE(RIGHT($G126,2))),"ERR"),"ERR"),"ERR")))</f>
        <v/>
      </c>
      <c r="O126" s="51" t="str">
        <f>IF($H126="","",IF(ISNUMBER($H126),$H126,IFERROR(VALUE($H126),"ERR")))</f>
        <v/>
      </c>
      <c r="P126" s="51" t="str">
        <f>IF(AND(ISNUMBER($O126),OR($C126="Receipt",$C126="Shipment",$C126="Adjustment")),IF($C126="Shipment",-$O126,$O126),"")</f>
        <v/>
      </c>
      <c r="Q126" s="51" t="str">
        <f>IF($D126="","",IFERROR(INDEX(Products!$R$2:$R$101,MATCH($D126,Products!$A$2:$A$101,0)),""))</f>
        <v/>
      </c>
      <c r="R126" s="51" t="str">
        <f>IF(OR($Q126="",$P126=""),"",$Q126+SUMIFS($P$1:$P125,$D$1:$D125,$D126,$U$1:$U125,"Ready"))</f>
        <v/>
      </c>
      <c r="S126" s="51" t="str">
        <f>IF($R126="","",$R126+$P126)</f>
        <v/>
      </c>
      <c r="T126" s="52" t="str">
        <f>IF(COUNTA($A126:$L126)&gt;0,$BP126,"")</f>
        <v/>
      </c>
      <c r="U126" s="49" t="str">
        <f>IF($T126="","",IF($T126=0,"Ready","Rejected"))</f>
        <v/>
      </c>
      <c r="V126" s="49" t="str">
        <f>IF(OR($T126="",$T126=0),"",INDEX(Config!$D$39:$D$61,MATCH(1,$AT126:$BP126,0))&amp;IF($T126&gt;1," (+"&amp;($T126-1)&amp;" more)",""))</f>
        <v/>
      </c>
      <c r="W126" s="52">
        <f>IF(AND(COUNTA($A126:$L126)&gt;0,$A126=""),1,0)</f>
        <v>0</v>
      </c>
      <c r="X126" s="52">
        <f>IF(AND(COUNTA($A126:$L126)&gt;0,$A126&lt;&gt;""),IF(COUNTIF($A$1:$A125,$A126)&gt;0,1,0),0)</f>
        <v>0</v>
      </c>
      <c r="Y126" s="52">
        <f>IF(AND(COUNTA($A126:$L126)&gt;0,$A126&lt;&gt;""),IF(COUNTIF(Inventory_Ledger!$A$2:$A$2001,$A126)&gt;0,1,0),0)</f>
        <v>0</v>
      </c>
      <c r="Z126" s="52">
        <f>IF(AND(COUNTA($A126:$L126)&gt;0,$B126=""),1,0)</f>
        <v>0</v>
      </c>
      <c r="AA126" s="52">
        <f>IF(AND(COUNTA($A126:$L126)&gt;0,$B126&lt;&gt;""),IF($M126="ERR",1,0),0)</f>
        <v>0</v>
      </c>
      <c r="AB126" s="52">
        <f>IF(AND(COUNTA($A126:$L126)&gt;0,ISNUMBER($M126)),IF($M126&gt;Config!$B$4,1,0),0)</f>
        <v>0</v>
      </c>
      <c r="AC126" s="52">
        <f>IF(AND(COUNTA($A126:$L126)&gt;0,$C126=""),1,0)</f>
        <v>0</v>
      </c>
      <c r="AD126" s="52">
        <f>IF(AND(COUNTA($A126:$L126)&gt;0,$C126&lt;&gt;""),IF(COUNTIF(Config!$A$15:$A$34,$C126)=0,1,0),0)</f>
        <v>0</v>
      </c>
      <c r="AE126" s="52">
        <f>IF(AND(COUNTA($A126:$L126)&gt;0,$D126=""),1,0)</f>
        <v>0</v>
      </c>
      <c r="AF126" s="52">
        <f>IF(AND(COUNTA($A126:$L126)&gt;0,$D126&lt;&gt;""),IF(COUNTIF(Products!$A$2:$A$101,$D126)=0,1,0),0)</f>
        <v>0</v>
      </c>
      <c r="AG126" s="52">
        <f>IF(AND(COUNTA($A126:$L126)&gt;0,$C126="Receipt",$E126=""),1,0)</f>
        <v>0</v>
      </c>
      <c r="AH126" s="52">
        <f>IF(AND(COUNTA($A126:$L126)&gt;0,$E126&lt;&gt;""),IF(COUNTIF(Suppliers!$A$2:$A$51,$E126)=0,1,0),0)</f>
        <v>0</v>
      </c>
      <c r="AI126" s="52">
        <f>IF(AND(COUNTA($A126:$L126)&gt;0,$F126=""),1,0)</f>
        <v>0</v>
      </c>
      <c r="AJ126" s="52">
        <f>IF(AND(COUNTA($A126:$L126)&gt;0,$F126&lt;&gt;"",$D126&lt;&gt;"",OR($C126="Shipment",$C126="Adjustment")),IF($AF126=1,0,IF(COUNTIFS(Batches!$A$2:$A$301,$F126,Batches!$B$2:$B$301,$D126)+COUNTIFS($F$1:$F125,$F126,$D$1:$D125,$D126,$C$1:$C125,"Receipt")=0,1,0)),0)</f>
        <v>0</v>
      </c>
      <c r="AK126" s="52">
        <f>IF(AND(COUNTA($A126:$L126)&gt;0,$C126="Receipt",$G126=""),1,0)</f>
        <v>0</v>
      </c>
      <c r="AL126" s="52">
        <f>IF(AND(COUNTA($A126:$L126)&gt;0,$G126&lt;&gt;""),IF($N126="ERR",1,0),0)</f>
        <v>0</v>
      </c>
      <c r="AM126" s="52">
        <f>IF(AND(COUNTA($A126:$L126)&gt;0,$H126=""),1,0)</f>
        <v>0</v>
      </c>
      <c r="AN126" s="52">
        <f>IF(AND(COUNTA($A126:$L126)&gt;0,$H126&lt;&gt;""),IF($O126="ERR",1,IF(INT($O126)&lt;&gt;$O126,1,IF(AND(OR($C126="Receipt",$C126="Shipment"),$O126&lt;=0),1,IF(AND($C126="Adjustment",$O126=0),1,0)))),0)</f>
        <v>0</v>
      </c>
      <c r="AO126" s="52">
        <f>IF(AND(COUNTA($A126:$L126)&gt;0,$C126="Receipt",$I126=""),1,0)</f>
        <v>0</v>
      </c>
      <c r="AP126" s="52">
        <f>IF(AND(COUNTA($A126:$L126)&gt;0,$I126&lt;&gt;""),IF(IFERROR(INDEX(Config!$G$15:$G$34,MATCH($I126,Config!$E$15:$E$34,0)),"No")="Yes",0,1),0)</f>
        <v>0</v>
      </c>
      <c r="AQ126" s="52">
        <f>IF(AND(COUNTA($A126:$L126)&gt;0,$C126="Adjustment",$J126=""),1,0)</f>
        <v>0</v>
      </c>
      <c r="AR126" s="52">
        <f>IF(AND(COUNTA($A126:$L126)&gt;0,$L126=""),1,0)</f>
        <v>0</v>
      </c>
      <c r="AS126" s="52">
        <f>IF(AND(COUNTA($A126:$L126)&gt;0,ISNUMBER($S126)),IF($S126&lt;0,1,0),0)</f>
        <v>0</v>
      </c>
      <c r="AT126" s="52">
        <f>$W126</f>
        <v>0</v>
      </c>
      <c r="AU126" s="52">
        <f>$AT126+$X126</f>
        <v>0</v>
      </c>
      <c r="AV126" s="52">
        <f>$AU126+$Y126</f>
        <v>0</v>
      </c>
      <c r="AW126" s="52">
        <f>$AV126+$Z126</f>
        <v>0</v>
      </c>
      <c r="AX126" s="52">
        <f>$AW126+$AA126</f>
        <v>0</v>
      </c>
      <c r="AY126" s="52">
        <f>$AX126+$AB126</f>
        <v>0</v>
      </c>
      <c r="AZ126" s="52">
        <f>$AY126+$AC126</f>
        <v>0</v>
      </c>
      <c r="BA126" s="52">
        <f>$AZ126+$AD126</f>
        <v>0</v>
      </c>
      <c r="BB126" s="52">
        <f>$BA126+$AE126</f>
        <v>0</v>
      </c>
      <c r="BC126" s="52">
        <f>$BB126+$AF126</f>
        <v>0</v>
      </c>
      <c r="BD126" s="52">
        <f>$BC126+$AG126</f>
        <v>0</v>
      </c>
      <c r="BE126" s="52">
        <f>$BD126+$AH126</f>
        <v>0</v>
      </c>
      <c r="BF126" s="52">
        <f>$BE126+$AI126</f>
        <v>0</v>
      </c>
      <c r="BG126" s="52">
        <f>$BF126+$AJ126</f>
        <v>0</v>
      </c>
      <c r="BH126" s="52">
        <f>$BG126+$AK126</f>
        <v>0</v>
      </c>
      <c r="BI126" s="52">
        <f>$BH126+$AL126</f>
        <v>0</v>
      </c>
      <c r="BJ126" s="52">
        <f>$BI126+$AM126</f>
        <v>0</v>
      </c>
      <c r="BK126" s="52">
        <f>$BJ126+$AN126</f>
        <v>0</v>
      </c>
      <c r="BL126" s="52">
        <f>$BK126+$AO126</f>
        <v>0</v>
      </c>
      <c r="BM126" s="52">
        <f>$BL126+$AP126</f>
        <v>0</v>
      </c>
      <c r="BN126" s="52">
        <f>$BM126+$AQ126</f>
        <v>0</v>
      </c>
      <c r="BO126" s="52">
        <f>$BN126+$AR126</f>
        <v>0</v>
      </c>
      <c r="BP126" s="52">
        <f>$BO126+$AS126</f>
        <v>0</v>
      </c>
      <c r="BQ126" s="52">
        <f>SUM($T$1:$T125)</f>
        <v>11</v>
      </c>
      <c r="BR126" s="52" t="str">
        <f>IF(ISNUMBER($T126),IF($T126&gt;0,COUNTIF($T$2:$T126,"&gt;0"),""),"")</f>
        <v/>
      </c>
      <c r="BS126" s="52" t="str">
        <f>IF($BR126="","",$BQ126+$T126)</f>
        <v/>
      </c>
      <c r="BT126" s="52" t="str">
        <f>IF($U126="Ready",COUNTIF($U$2:$U126,"Ready"),"")</f>
        <v/>
      </c>
      <c r="BU126" s="52">
        <f>IF(AND($U126="Ready",$C126="Receipt"),IF(COUNTIF(Batches!$A$2:$A$301,$F126)+COUNTIFS($F$1:$F125,$F126,$C$1:$C125,"Receipt",$U$1:$U125,"Ready")=0,1,0),0)</f>
        <v>0</v>
      </c>
      <c r="BV126" s="52" t="str">
        <f>IF($BU126=1,SUM($BU$2:$BU126),"")</f>
        <v/>
      </c>
    </row>
    <row r="127">
      <c r="A127" s="46" t="n"/>
      <c r="B127" s="46" t="n"/>
      <c r="C127" s="46" t="n"/>
      <c r="D127" s="46" t="n"/>
      <c r="E127" s="46" t="n"/>
      <c r="F127" s="46" t="n"/>
      <c r="G127" s="46" t="n"/>
      <c r="H127" s="46" t="n"/>
      <c r="I127" s="46" t="n"/>
      <c r="J127" s="46" t="n"/>
      <c r="K127" s="46" t="n"/>
      <c r="L127" s="46" t="n"/>
      <c r="M127" s="62" t="str">
        <f>IF($B127="","",IF(ISNUMBER($B127),$B127,IF(AND(LEN($B127)=10,MID($B127,5,1)="-",MID($B127,8,1)="-"),IFERROR(IF(AND(MONTH(DATE(VALUE(LEFT($B127,4)),VALUE(MID($B127,6,2)),VALUE(RIGHT($B127,2))))=VALUE(MID($B127,6,2)),DAY(DATE(VALUE(LEFT($B127,4)),VALUE(MID($B127,6,2)),VALUE(RIGHT($B127,2))))=VALUE(RIGHT($B127,2))),DATE(VALUE(LEFT($B127,4)),VALUE(MID($B127,6,2)),VALUE(RIGHT($B127,2))),"ERR"),"ERR"),"ERR")))</f>
        <v/>
      </c>
      <c r="N127" s="62" t="str">
        <f>IF($G127="","",IF(ISNUMBER($G127),$G127,IF(AND(LEN($G127)=10,MID($G127,5,1)="-",MID($G127,8,1)="-"),IFERROR(IF(AND(MONTH(DATE(VALUE(LEFT($G127,4)),VALUE(MID($G127,6,2)),VALUE(RIGHT($G127,2))))=VALUE(MID($G127,6,2)),DAY(DATE(VALUE(LEFT($G127,4)),VALUE(MID($G127,6,2)),VALUE(RIGHT($G127,2))))=VALUE(RIGHT($G127,2))),DATE(VALUE(LEFT($G127,4)),VALUE(MID($G127,6,2)),VALUE(RIGHT($G127,2))),"ERR"),"ERR"),"ERR")))</f>
        <v/>
      </c>
      <c r="O127" s="51" t="str">
        <f>IF($H127="","",IF(ISNUMBER($H127),$H127,IFERROR(VALUE($H127),"ERR")))</f>
        <v/>
      </c>
      <c r="P127" s="51" t="str">
        <f>IF(AND(ISNUMBER($O127),OR($C127="Receipt",$C127="Shipment",$C127="Adjustment")),IF($C127="Shipment",-$O127,$O127),"")</f>
        <v/>
      </c>
      <c r="Q127" s="51" t="str">
        <f>IF($D127="","",IFERROR(INDEX(Products!$R$2:$R$101,MATCH($D127,Products!$A$2:$A$101,0)),""))</f>
        <v/>
      </c>
      <c r="R127" s="51" t="str">
        <f>IF(OR($Q127="",$P127=""),"",$Q127+SUMIFS($P$1:$P126,$D$1:$D126,$D127,$U$1:$U126,"Ready"))</f>
        <v/>
      </c>
      <c r="S127" s="51" t="str">
        <f>IF($R127="","",$R127+$P127)</f>
        <v/>
      </c>
      <c r="T127" s="52" t="str">
        <f>IF(COUNTA($A127:$L127)&gt;0,$BP127,"")</f>
        <v/>
      </c>
      <c r="U127" s="49" t="str">
        <f>IF($T127="","",IF($T127=0,"Ready","Rejected"))</f>
        <v/>
      </c>
      <c r="V127" s="49" t="str">
        <f>IF(OR($T127="",$T127=0),"",INDEX(Config!$D$39:$D$61,MATCH(1,$AT127:$BP127,0))&amp;IF($T127&gt;1," (+"&amp;($T127-1)&amp;" more)",""))</f>
        <v/>
      </c>
      <c r="W127" s="52">
        <f>IF(AND(COUNTA($A127:$L127)&gt;0,$A127=""),1,0)</f>
        <v>0</v>
      </c>
      <c r="X127" s="52">
        <f>IF(AND(COUNTA($A127:$L127)&gt;0,$A127&lt;&gt;""),IF(COUNTIF($A$1:$A126,$A127)&gt;0,1,0),0)</f>
        <v>0</v>
      </c>
      <c r="Y127" s="52">
        <f>IF(AND(COUNTA($A127:$L127)&gt;0,$A127&lt;&gt;""),IF(COUNTIF(Inventory_Ledger!$A$2:$A$2001,$A127)&gt;0,1,0),0)</f>
        <v>0</v>
      </c>
      <c r="Z127" s="52">
        <f>IF(AND(COUNTA($A127:$L127)&gt;0,$B127=""),1,0)</f>
        <v>0</v>
      </c>
      <c r="AA127" s="52">
        <f>IF(AND(COUNTA($A127:$L127)&gt;0,$B127&lt;&gt;""),IF($M127="ERR",1,0),0)</f>
        <v>0</v>
      </c>
      <c r="AB127" s="52">
        <f>IF(AND(COUNTA($A127:$L127)&gt;0,ISNUMBER($M127)),IF($M127&gt;Config!$B$4,1,0),0)</f>
        <v>0</v>
      </c>
      <c r="AC127" s="52">
        <f>IF(AND(COUNTA($A127:$L127)&gt;0,$C127=""),1,0)</f>
        <v>0</v>
      </c>
      <c r="AD127" s="52">
        <f>IF(AND(COUNTA($A127:$L127)&gt;0,$C127&lt;&gt;""),IF(COUNTIF(Config!$A$15:$A$34,$C127)=0,1,0),0)</f>
        <v>0</v>
      </c>
      <c r="AE127" s="52">
        <f>IF(AND(COUNTA($A127:$L127)&gt;0,$D127=""),1,0)</f>
        <v>0</v>
      </c>
      <c r="AF127" s="52">
        <f>IF(AND(COUNTA($A127:$L127)&gt;0,$D127&lt;&gt;""),IF(COUNTIF(Products!$A$2:$A$101,$D127)=0,1,0),0)</f>
        <v>0</v>
      </c>
      <c r="AG127" s="52">
        <f>IF(AND(COUNTA($A127:$L127)&gt;0,$C127="Receipt",$E127=""),1,0)</f>
        <v>0</v>
      </c>
      <c r="AH127" s="52">
        <f>IF(AND(COUNTA($A127:$L127)&gt;0,$E127&lt;&gt;""),IF(COUNTIF(Suppliers!$A$2:$A$51,$E127)=0,1,0),0)</f>
        <v>0</v>
      </c>
      <c r="AI127" s="52">
        <f>IF(AND(COUNTA($A127:$L127)&gt;0,$F127=""),1,0)</f>
        <v>0</v>
      </c>
      <c r="AJ127" s="52">
        <f>IF(AND(COUNTA($A127:$L127)&gt;0,$F127&lt;&gt;"",$D127&lt;&gt;"",OR($C127="Shipment",$C127="Adjustment")),IF($AF127=1,0,IF(COUNTIFS(Batches!$A$2:$A$301,$F127,Batches!$B$2:$B$301,$D127)+COUNTIFS($F$1:$F126,$F127,$D$1:$D126,$D127,$C$1:$C126,"Receipt")=0,1,0)),0)</f>
        <v>0</v>
      </c>
      <c r="AK127" s="52">
        <f>IF(AND(COUNTA($A127:$L127)&gt;0,$C127="Receipt",$G127=""),1,0)</f>
        <v>0</v>
      </c>
      <c r="AL127" s="52">
        <f>IF(AND(COUNTA($A127:$L127)&gt;0,$G127&lt;&gt;""),IF($N127="ERR",1,0),0)</f>
        <v>0</v>
      </c>
      <c r="AM127" s="52">
        <f>IF(AND(COUNTA($A127:$L127)&gt;0,$H127=""),1,0)</f>
        <v>0</v>
      </c>
      <c r="AN127" s="52">
        <f>IF(AND(COUNTA($A127:$L127)&gt;0,$H127&lt;&gt;""),IF($O127="ERR",1,IF(INT($O127)&lt;&gt;$O127,1,IF(AND(OR($C127="Receipt",$C127="Shipment"),$O127&lt;=0),1,IF(AND($C127="Adjustment",$O127=0),1,0)))),0)</f>
        <v>0</v>
      </c>
      <c r="AO127" s="52">
        <f>IF(AND(COUNTA($A127:$L127)&gt;0,$C127="Receipt",$I127=""),1,0)</f>
        <v>0</v>
      </c>
      <c r="AP127" s="52">
        <f>IF(AND(COUNTA($A127:$L127)&gt;0,$I127&lt;&gt;""),IF(IFERROR(INDEX(Config!$G$15:$G$34,MATCH($I127,Config!$E$15:$E$34,0)),"No")="Yes",0,1),0)</f>
        <v>0</v>
      </c>
      <c r="AQ127" s="52">
        <f>IF(AND(COUNTA($A127:$L127)&gt;0,$C127="Adjustment",$J127=""),1,0)</f>
        <v>0</v>
      </c>
      <c r="AR127" s="52">
        <f>IF(AND(COUNTA($A127:$L127)&gt;0,$L127=""),1,0)</f>
        <v>0</v>
      </c>
      <c r="AS127" s="52">
        <f>IF(AND(COUNTA($A127:$L127)&gt;0,ISNUMBER($S127)),IF($S127&lt;0,1,0),0)</f>
        <v>0</v>
      </c>
      <c r="AT127" s="52">
        <f>$W127</f>
        <v>0</v>
      </c>
      <c r="AU127" s="52">
        <f>$AT127+$X127</f>
        <v>0</v>
      </c>
      <c r="AV127" s="52">
        <f>$AU127+$Y127</f>
        <v>0</v>
      </c>
      <c r="AW127" s="52">
        <f>$AV127+$Z127</f>
        <v>0</v>
      </c>
      <c r="AX127" s="52">
        <f>$AW127+$AA127</f>
        <v>0</v>
      </c>
      <c r="AY127" s="52">
        <f>$AX127+$AB127</f>
        <v>0</v>
      </c>
      <c r="AZ127" s="52">
        <f>$AY127+$AC127</f>
        <v>0</v>
      </c>
      <c r="BA127" s="52">
        <f>$AZ127+$AD127</f>
        <v>0</v>
      </c>
      <c r="BB127" s="52">
        <f>$BA127+$AE127</f>
        <v>0</v>
      </c>
      <c r="BC127" s="52">
        <f>$BB127+$AF127</f>
        <v>0</v>
      </c>
      <c r="BD127" s="52">
        <f>$BC127+$AG127</f>
        <v>0</v>
      </c>
      <c r="BE127" s="52">
        <f>$BD127+$AH127</f>
        <v>0</v>
      </c>
      <c r="BF127" s="52">
        <f>$BE127+$AI127</f>
        <v>0</v>
      </c>
      <c r="BG127" s="52">
        <f>$BF127+$AJ127</f>
        <v>0</v>
      </c>
      <c r="BH127" s="52">
        <f>$BG127+$AK127</f>
        <v>0</v>
      </c>
      <c r="BI127" s="52">
        <f>$BH127+$AL127</f>
        <v>0</v>
      </c>
      <c r="BJ127" s="52">
        <f>$BI127+$AM127</f>
        <v>0</v>
      </c>
      <c r="BK127" s="52">
        <f>$BJ127+$AN127</f>
        <v>0</v>
      </c>
      <c r="BL127" s="52">
        <f>$BK127+$AO127</f>
        <v>0</v>
      </c>
      <c r="BM127" s="52">
        <f>$BL127+$AP127</f>
        <v>0</v>
      </c>
      <c r="BN127" s="52">
        <f>$BM127+$AQ127</f>
        <v>0</v>
      </c>
      <c r="BO127" s="52">
        <f>$BN127+$AR127</f>
        <v>0</v>
      </c>
      <c r="BP127" s="52">
        <f>$BO127+$AS127</f>
        <v>0</v>
      </c>
      <c r="BQ127" s="52">
        <f>SUM($T$1:$T126)</f>
        <v>11</v>
      </c>
      <c r="BR127" s="52" t="str">
        <f>IF(ISNUMBER($T127),IF($T127&gt;0,COUNTIF($T$2:$T127,"&gt;0"),""),"")</f>
        <v/>
      </c>
      <c r="BS127" s="52" t="str">
        <f>IF($BR127="","",$BQ127+$T127)</f>
        <v/>
      </c>
      <c r="BT127" s="52" t="str">
        <f>IF($U127="Ready",COUNTIF($U$2:$U127,"Ready"),"")</f>
        <v/>
      </c>
      <c r="BU127" s="52">
        <f>IF(AND($U127="Ready",$C127="Receipt"),IF(COUNTIF(Batches!$A$2:$A$301,$F127)+COUNTIFS($F$1:$F126,$F127,$C$1:$C126,"Receipt",$U$1:$U126,"Ready")=0,1,0),0)</f>
        <v>0</v>
      </c>
      <c r="BV127" s="52" t="str">
        <f>IF($BU127=1,SUM($BU$2:$BU127),"")</f>
        <v/>
      </c>
    </row>
    <row r="128">
      <c r="A128" s="46" t="n"/>
      <c r="B128" s="46" t="n"/>
      <c r="C128" s="46" t="n"/>
      <c r="D128" s="46" t="n"/>
      <c r="E128" s="46" t="n"/>
      <c r="F128" s="46" t="n"/>
      <c r="G128" s="46" t="n"/>
      <c r="H128" s="46" t="n"/>
      <c r="I128" s="46" t="n"/>
      <c r="J128" s="46" t="n"/>
      <c r="K128" s="46" t="n"/>
      <c r="L128" s="46" t="n"/>
      <c r="M128" s="62" t="str">
        <f>IF($B128="","",IF(ISNUMBER($B128),$B128,IF(AND(LEN($B128)=10,MID($B128,5,1)="-",MID($B128,8,1)="-"),IFERROR(IF(AND(MONTH(DATE(VALUE(LEFT($B128,4)),VALUE(MID($B128,6,2)),VALUE(RIGHT($B128,2))))=VALUE(MID($B128,6,2)),DAY(DATE(VALUE(LEFT($B128,4)),VALUE(MID($B128,6,2)),VALUE(RIGHT($B128,2))))=VALUE(RIGHT($B128,2))),DATE(VALUE(LEFT($B128,4)),VALUE(MID($B128,6,2)),VALUE(RIGHT($B128,2))),"ERR"),"ERR"),"ERR")))</f>
        <v/>
      </c>
      <c r="N128" s="62" t="str">
        <f>IF($G128="","",IF(ISNUMBER($G128),$G128,IF(AND(LEN($G128)=10,MID($G128,5,1)="-",MID($G128,8,1)="-"),IFERROR(IF(AND(MONTH(DATE(VALUE(LEFT($G128,4)),VALUE(MID($G128,6,2)),VALUE(RIGHT($G128,2))))=VALUE(MID($G128,6,2)),DAY(DATE(VALUE(LEFT($G128,4)),VALUE(MID($G128,6,2)),VALUE(RIGHT($G128,2))))=VALUE(RIGHT($G128,2))),DATE(VALUE(LEFT($G128,4)),VALUE(MID($G128,6,2)),VALUE(RIGHT($G128,2))),"ERR"),"ERR"),"ERR")))</f>
        <v/>
      </c>
      <c r="O128" s="51" t="str">
        <f>IF($H128="","",IF(ISNUMBER($H128),$H128,IFERROR(VALUE($H128),"ERR")))</f>
        <v/>
      </c>
      <c r="P128" s="51" t="str">
        <f>IF(AND(ISNUMBER($O128),OR($C128="Receipt",$C128="Shipment",$C128="Adjustment")),IF($C128="Shipment",-$O128,$O128),"")</f>
        <v/>
      </c>
      <c r="Q128" s="51" t="str">
        <f>IF($D128="","",IFERROR(INDEX(Products!$R$2:$R$101,MATCH($D128,Products!$A$2:$A$101,0)),""))</f>
        <v/>
      </c>
      <c r="R128" s="51" t="str">
        <f>IF(OR($Q128="",$P128=""),"",$Q128+SUMIFS($P$1:$P127,$D$1:$D127,$D128,$U$1:$U127,"Ready"))</f>
        <v/>
      </c>
      <c r="S128" s="51" t="str">
        <f>IF($R128="","",$R128+$P128)</f>
        <v/>
      </c>
      <c r="T128" s="52" t="str">
        <f>IF(COUNTA($A128:$L128)&gt;0,$BP128,"")</f>
        <v/>
      </c>
      <c r="U128" s="49" t="str">
        <f>IF($T128="","",IF($T128=0,"Ready","Rejected"))</f>
        <v/>
      </c>
      <c r="V128" s="49" t="str">
        <f>IF(OR($T128="",$T128=0),"",INDEX(Config!$D$39:$D$61,MATCH(1,$AT128:$BP128,0))&amp;IF($T128&gt;1," (+"&amp;($T128-1)&amp;" more)",""))</f>
        <v/>
      </c>
      <c r="W128" s="52">
        <f>IF(AND(COUNTA($A128:$L128)&gt;0,$A128=""),1,0)</f>
        <v>0</v>
      </c>
      <c r="X128" s="52">
        <f>IF(AND(COUNTA($A128:$L128)&gt;0,$A128&lt;&gt;""),IF(COUNTIF($A$1:$A127,$A128)&gt;0,1,0),0)</f>
        <v>0</v>
      </c>
      <c r="Y128" s="52">
        <f>IF(AND(COUNTA($A128:$L128)&gt;0,$A128&lt;&gt;""),IF(COUNTIF(Inventory_Ledger!$A$2:$A$2001,$A128)&gt;0,1,0),0)</f>
        <v>0</v>
      </c>
      <c r="Z128" s="52">
        <f>IF(AND(COUNTA($A128:$L128)&gt;0,$B128=""),1,0)</f>
        <v>0</v>
      </c>
      <c r="AA128" s="52">
        <f>IF(AND(COUNTA($A128:$L128)&gt;0,$B128&lt;&gt;""),IF($M128="ERR",1,0),0)</f>
        <v>0</v>
      </c>
      <c r="AB128" s="52">
        <f>IF(AND(COUNTA($A128:$L128)&gt;0,ISNUMBER($M128)),IF($M128&gt;Config!$B$4,1,0),0)</f>
        <v>0</v>
      </c>
      <c r="AC128" s="52">
        <f>IF(AND(COUNTA($A128:$L128)&gt;0,$C128=""),1,0)</f>
        <v>0</v>
      </c>
      <c r="AD128" s="52">
        <f>IF(AND(COUNTA($A128:$L128)&gt;0,$C128&lt;&gt;""),IF(COUNTIF(Config!$A$15:$A$34,$C128)=0,1,0),0)</f>
        <v>0</v>
      </c>
      <c r="AE128" s="52">
        <f>IF(AND(COUNTA($A128:$L128)&gt;0,$D128=""),1,0)</f>
        <v>0</v>
      </c>
      <c r="AF128" s="52">
        <f>IF(AND(COUNTA($A128:$L128)&gt;0,$D128&lt;&gt;""),IF(COUNTIF(Products!$A$2:$A$101,$D128)=0,1,0),0)</f>
        <v>0</v>
      </c>
      <c r="AG128" s="52">
        <f>IF(AND(COUNTA($A128:$L128)&gt;0,$C128="Receipt",$E128=""),1,0)</f>
        <v>0</v>
      </c>
      <c r="AH128" s="52">
        <f>IF(AND(COUNTA($A128:$L128)&gt;0,$E128&lt;&gt;""),IF(COUNTIF(Suppliers!$A$2:$A$51,$E128)=0,1,0),0)</f>
        <v>0</v>
      </c>
      <c r="AI128" s="52">
        <f>IF(AND(COUNTA($A128:$L128)&gt;0,$F128=""),1,0)</f>
        <v>0</v>
      </c>
      <c r="AJ128" s="52">
        <f>IF(AND(COUNTA($A128:$L128)&gt;0,$F128&lt;&gt;"",$D128&lt;&gt;"",OR($C128="Shipment",$C128="Adjustment")),IF($AF128=1,0,IF(COUNTIFS(Batches!$A$2:$A$301,$F128,Batches!$B$2:$B$301,$D128)+COUNTIFS($F$1:$F127,$F128,$D$1:$D127,$D128,$C$1:$C127,"Receipt")=0,1,0)),0)</f>
        <v>0</v>
      </c>
      <c r="AK128" s="52">
        <f>IF(AND(COUNTA($A128:$L128)&gt;0,$C128="Receipt",$G128=""),1,0)</f>
        <v>0</v>
      </c>
      <c r="AL128" s="52">
        <f>IF(AND(COUNTA($A128:$L128)&gt;0,$G128&lt;&gt;""),IF($N128="ERR",1,0),0)</f>
        <v>0</v>
      </c>
      <c r="AM128" s="52">
        <f>IF(AND(COUNTA($A128:$L128)&gt;0,$H128=""),1,0)</f>
        <v>0</v>
      </c>
      <c r="AN128" s="52">
        <f>IF(AND(COUNTA($A128:$L128)&gt;0,$H128&lt;&gt;""),IF($O128="ERR",1,IF(INT($O128)&lt;&gt;$O128,1,IF(AND(OR($C128="Receipt",$C128="Shipment"),$O128&lt;=0),1,IF(AND($C128="Adjustment",$O128=0),1,0)))),0)</f>
        <v>0</v>
      </c>
      <c r="AO128" s="52">
        <f>IF(AND(COUNTA($A128:$L128)&gt;0,$C128="Receipt",$I128=""),1,0)</f>
        <v>0</v>
      </c>
      <c r="AP128" s="52">
        <f>IF(AND(COUNTA($A128:$L128)&gt;0,$I128&lt;&gt;""),IF(IFERROR(INDEX(Config!$G$15:$G$34,MATCH($I128,Config!$E$15:$E$34,0)),"No")="Yes",0,1),0)</f>
        <v>0</v>
      </c>
      <c r="AQ128" s="52">
        <f>IF(AND(COUNTA($A128:$L128)&gt;0,$C128="Adjustment",$J128=""),1,0)</f>
        <v>0</v>
      </c>
      <c r="AR128" s="52">
        <f>IF(AND(COUNTA($A128:$L128)&gt;0,$L128=""),1,0)</f>
        <v>0</v>
      </c>
      <c r="AS128" s="52">
        <f>IF(AND(COUNTA($A128:$L128)&gt;0,ISNUMBER($S128)),IF($S128&lt;0,1,0),0)</f>
        <v>0</v>
      </c>
      <c r="AT128" s="52">
        <f>$W128</f>
        <v>0</v>
      </c>
      <c r="AU128" s="52">
        <f>$AT128+$X128</f>
        <v>0</v>
      </c>
      <c r="AV128" s="52">
        <f>$AU128+$Y128</f>
        <v>0</v>
      </c>
      <c r="AW128" s="52">
        <f>$AV128+$Z128</f>
        <v>0</v>
      </c>
      <c r="AX128" s="52">
        <f>$AW128+$AA128</f>
        <v>0</v>
      </c>
      <c r="AY128" s="52">
        <f>$AX128+$AB128</f>
        <v>0</v>
      </c>
      <c r="AZ128" s="52">
        <f>$AY128+$AC128</f>
        <v>0</v>
      </c>
      <c r="BA128" s="52">
        <f>$AZ128+$AD128</f>
        <v>0</v>
      </c>
      <c r="BB128" s="52">
        <f>$BA128+$AE128</f>
        <v>0</v>
      </c>
      <c r="BC128" s="52">
        <f>$BB128+$AF128</f>
        <v>0</v>
      </c>
      <c r="BD128" s="52">
        <f>$BC128+$AG128</f>
        <v>0</v>
      </c>
      <c r="BE128" s="52">
        <f>$BD128+$AH128</f>
        <v>0</v>
      </c>
      <c r="BF128" s="52">
        <f>$BE128+$AI128</f>
        <v>0</v>
      </c>
      <c r="BG128" s="52">
        <f>$BF128+$AJ128</f>
        <v>0</v>
      </c>
      <c r="BH128" s="52">
        <f>$BG128+$AK128</f>
        <v>0</v>
      </c>
      <c r="BI128" s="52">
        <f>$BH128+$AL128</f>
        <v>0</v>
      </c>
      <c r="BJ128" s="52">
        <f>$BI128+$AM128</f>
        <v>0</v>
      </c>
      <c r="BK128" s="52">
        <f>$BJ128+$AN128</f>
        <v>0</v>
      </c>
      <c r="BL128" s="52">
        <f>$BK128+$AO128</f>
        <v>0</v>
      </c>
      <c r="BM128" s="52">
        <f>$BL128+$AP128</f>
        <v>0</v>
      </c>
      <c r="BN128" s="52">
        <f>$BM128+$AQ128</f>
        <v>0</v>
      </c>
      <c r="BO128" s="52">
        <f>$BN128+$AR128</f>
        <v>0</v>
      </c>
      <c r="BP128" s="52">
        <f>$BO128+$AS128</f>
        <v>0</v>
      </c>
      <c r="BQ128" s="52">
        <f>SUM($T$1:$T127)</f>
        <v>11</v>
      </c>
      <c r="BR128" s="52" t="str">
        <f>IF(ISNUMBER($T128),IF($T128&gt;0,COUNTIF($T$2:$T128,"&gt;0"),""),"")</f>
        <v/>
      </c>
      <c r="BS128" s="52" t="str">
        <f>IF($BR128="","",$BQ128+$T128)</f>
        <v/>
      </c>
      <c r="BT128" s="52" t="str">
        <f>IF($U128="Ready",COUNTIF($U$2:$U128,"Ready"),"")</f>
        <v/>
      </c>
      <c r="BU128" s="52">
        <f>IF(AND($U128="Ready",$C128="Receipt"),IF(COUNTIF(Batches!$A$2:$A$301,$F128)+COUNTIFS($F$1:$F127,$F128,$C$1:$C127,"Receipt",$U$1:$U127,"Ready")=0,1,0),0)</f>
        <v>0</v>
      </c>
      <c r="BV128" s="52" t="str">
        <f>IF($BU128=1,SUM($BU$2:$BU128),"")</f>
        <v/>
      </c>
    </row>
    <row r="129">
      <c r="A129" s="46" t="n"/>
      <c r="B129" s="46" t="n"/>
      <c r="C129" s="46" t="n"/>
      <c r="D129" s="46" t="n"/>
      <c r="E129" s="46" t="n"/>
      <c r="F129" s="46" t="n"/>
      <c r="G129" s="46" t="n"/>
      <c r="H129" s="46" t="n"/>
      <c r="I129" s="46" t="n"/>
      <c r="J129" s="46" t="n"/>
      <c r="K129" s="46" t="n"/>
      <c r="L129" s="46" t="n"/>
      <c r="M129" s="62" t="str">
        <f>IF($B129="","",IF(ISNUMBER($B129),$B129,IF(AND(LEN($B129)=10,MID($B129,5,1)="-",MID($B129,8,1)="-"),IFERROR(IF(AND(MONTH(DATE(VALUE(LEFT($B129,4)),VALUE(MID($B129,6,2)),VALUE(RIGHT($B129,2))))=VALUE(MID($B129,6,2)),DAY(DATE(VALUE(LEFT($B129,4)),VALUE(MID($B129,6,2)),VALUE(RIGHT($B129,2))))=VALUE(RIGHT($B129,2))),DATE(VALUE(LEFT($B129,4)),VALUE(MID($B129,6,2)),VALUE(RIGHT($B129,2))),"ERR"),"ERR"),"ERR")))</f>
        <v/>
      </c>
      <c r="N129" s="62" t="str">
        <f>IF($G129="","",IF(ISNUMBER($G129),$G129,IF(AND(LEN($G129)=10,MID($G129,5,1)="-",MID($G129,8,1)="-"),IFERROR(IF(AND(MONTH(DATE(VALUE(LEFT($G129,4)),VALUE(MID($G129,6,2)),VALUE(RIGHT($G129,2))))=VALUE(MID($G129,6,2)),DAY(DATE(VALUE(LEFT($G129,4)),VALUE(MID($G129,6,2)),VALUE(RIGHT($G129,2))))=VALUE(RIGHT($G129,2))),DATE(VALUE(LEFT($G129,4)),VALUE(MID($G129,6,2)),VALUE(RIGHT($G129,2))),"ERR"),"ERR"),"ERR")))</f>
        <v/>
      </c>
      <c r="O129" s="51" t="str">
        <f>IF($H129="","",IF(ISNUMBER($H129),$H129,IFERROR(VALUE($H129),"ERR")))</f>
        <v/>
      </c>
      <c r="P129" s="51" t="str">
        <f>IF(AND(ISNUMBER($O129),OR($C129="Receipt",$C129="Shipment",$C129="Adjustment")),IF($C129="Shipment",-$O129,$O129),"")</f>
        <v/>
      </c>
      <c r="Q129" s="51" t="str">
        <f>IF($D129="","",IFERROR(INDEX(Products!$R$2:$R$101,MATCH($D129,Products!$A$2:$A$101,0)),""))</f>
        <v/>
      </c>
      <c r="R129" s="51" t="str">
        <f>IF(OR($Q129="",$P129=""),"",$Q129+SUMIFS($P$1:$P128,$D$1:$D128,$D129,$U$1:$U128,"Ready"))</f>
        <v/>
      </c>
      <c r="S129" s="51" t="str">
        <f>IF($R129="","",$R129+$P129)</f>
        <v/>
      </c>
      <c r="T129" s="52" t="str">
        <f>IF(COUNTA($A129:$L129)&gt;0,$BP129,"")</f>
        <v/>
      </c>
      <c r="U129" s="49" t="str">
        <f>IF($T129="","",IF($T129=0,"Ready","Rejected"))</f>
        <v/>
      </c>
      <c r="V129" s="49" t="str">
        <f>IF(OR($T129="",$T129=0),"",INDEX(Config!$D$39:$D$61,MATCH(1,$AT129:$BP129,0))&amp;IF($T129&gt;1," (+"&amp;($T129-1)&amp;" more)",""))</f>
        <v/>
      </c>
      <c r="W129" s="52">
        <f>IF(AND(COUNTA($A129:$L129)&gt;0,$A129=""),1,0)</f>
        <v>0</v>
      </c>
      <c r="X129" s="52">
        <f>IF(AND(COUNTA($A129:$L129)&gt;0,$A129&lt;&gt;""),IF(COUNTIF($A$1:$A128,$A129)&gt;0,1,0),0)</f>
        <v>0</v>
      </c>
      <c r="Y129" s="52">
        <f>IF(AND(COUNTA($A129:$L129)&gt;0,$A129&lt;&gt;""),IF(COUNTIF(Inventory_Ledger!$A$2:$A$2001,$A129)&gt;0,1,0),0)</f>
        <v>0</v>
      </c>
      <c r="Z129" s="52">
        <f>IF(AND(COUNTA($A129:$L129)&gt;0,$B129=""),1,0)</f>
        <v>0</v>
      </c>
      <c r="AA129" s="52">
        <f>IF(AND(COUNTA($A129:$L129)&gt;0,$B129&lt;&gt;""),IF($M129="ERR",1,0),0)</f>
        <v>0</v>
      </c>
      <c r="AB129" s="52">
        <f>IF(AND(COUNTA($A129:$L129)&gt;0,ISNUMBER($M129)),IF($M129&gt;Config!$B$4,1,0),0)</f>
        <v>0</v>
      </c>
      <c r="AC129" s="52">
        <f>IF(AND(COUNTA($A129:$L129)&gt;0,$C129=""),1,0)</f>
        <v>0</v>
      </c>
      <c r="AD129" s="52">
        <f>IF(AND(COUNTA($A129:$L129)&gt;0,$C129&lt;&gt;""),IF(COUNTIF(Config!$A$15:$A$34,$C129)=0,1,0),0)</f>
        <v>0</v>
      </c>
      <c r="AE129" s="52">
        <f>IF(AND(COUNTA($A129:$L129)&gt;0,$D129=""),1,0)</f>
        <v>0</v>
      </c>
      <c r="AF129" s="52">
        <f>IF(AND(COUNTA($A129:$L129)&gt;0,$D129&lt;&gt;""),IF(COUNTIF(Products!$A$2:$A$101,$D129)=0,1,0),0)</f>
        <v>0</v>
      </c>
      <c r="AG129" s="52">
        <f>IF(AND(COUNTA($A129:$L129)&gt;0,$C129="Receipt",$E129=""),1,0)</f>
        <v>0</v>
      </c>
      <c r="AH129" s="52">
        <f>IF(AND(COUNTA($A129:$L129)&gt;0,$E129&lt;&gt;""),IF(COUNTIF(Suppliers!$A$2:$A$51,$E129)=0,1,0),0)</f>
        <v>0</v>
      </c>
      <c r="AI129" s="52">
        <f>IF(AND(COUNTA($A129:$L129)&gt;0,$F129=""),1,0)</f>
        <v>0</v>
      </c>
      <c r="AJ129" s="52">
        <f>IF(AND(COUNTA($A129:$L129)&gt;0,$F129&lt;&gt;"",$D129&lt;&gt;"",OR($C129="Shipment",$C129="Adjustment")),IF($AF129=1,0,IF(COUNTIFS(Batches!$A$2:$A$301,$F129,Batches!$B$2:$B$301,$D129)+COUNTIFS($F$1:$F128,$F129,$D$1:$D128,$D129,$C$1:$C128,"Receipt")=0,1,0)),0)</f>
        <v>0</v>
      </c>
      <c r="AK129" s="52">
        <f>IF(AND(COUNTA($A129:$L129)&gt;0,$C129="Receipt",$G129=""),1,0)</f>
        <v>0</v>
      </c>
      <c r="AL129" s="52">
        <f>IF(AND(COUNTA($A129:$L129)&gt;0,$G129&lt;&gt;""),IF($N129="ERR",1,0),0)</f>
        <v>0</v>
      </c>
      <c r="AM129" s="52">
        <f>IF(AND(COUNTA($A129:$L129)&gt;0,$H129=""),1,0)</f>
        <v>0</v>
      </c>
      <c r="AN129" s="52">
        <f>IF(AND(COUNTA($A129:$L129)&gt;0,$H129&lt;&gt;""),IF($O129="ERR",1,IF(INT($O129)&lt;&gt;$O129,1,IF(AND(OR($C129="Receipt",$C129="Shipment"),$O129&lt;=0),1,IF(AND($C129="Adjustment",$O129=0),1,0)))),0)</f>
        <v>0</v>
      </c>
      <c r="AO129" s="52">
        <f>IF(AND(COUNTA($A129:$L129)&gt;0,$C129="Receipt",$I129=""),1,0)</f>
        <v>0</v>
      </c>
      <c r="AP129" s="52">
        <f>IF(AND(COUNTA($A129:$L129)&gt;0,$I129&lt;&gt;""),IF(IFERROR(INDEX(Config!$G$15:$G$34,MATCH($I129,Config!$E$15:$E$34,0)),"No")="Yes",0,1),0)</f>
        <v>0</v>
      </c>
      <c r="AQ129" s="52">
        <f>IF(AND(COUNTA($A129:$L129)&gt;0,$C129="Adjustment",$J129=""),1,0)</f>
        <v>0</v>
      </c>
      <c r="AR129" s="52">
        <f>IF(AND(COUNTA($A129:$L129)&gt;0,$L129=""),1,0)</f>
        <v>0</v>
      </c>
      <c r="AS129" s="52">
        <f>IF(AND(COUNTA($A129:$L129)&gt;0,ISNUMBER($S129)),IF($S129&lt;0,1,0),0)</f>
        <v>0</v>
      </c>
      <c r="AT129" s="52">
        <f>$W129</f>
        <v>0</v>
      </c>
      <c r="AU129" s="52">
        <f>$AT129+$X129</f>
        <v>0</v>
      </c>
      <c r="AV129" s="52">
        <f>$AU129+$Y129</f>
        <v>0</v>
      </c>
      <c r="AW129" s="52">
        <f>$AV129+$Z129</f>
        <v>0</v>
      </c>
      <c r="AX129" s="52">
        <f>$AW129+$AA129</f>
        <v>0</v>
      </c>
      <c r="AY129" s="52">
        <f>$AX129+$AB129</f>
        <v>0</v>
      </c>
      <c r="AZ129" s="52">
        <f>$AY129+$AC129</f>
        <v>0</v>
      </c>
      <c r="BA129" s="52">
        <f>$AZ129+$AD129</f>
        <v>0</v>
      </c>
      <c r="BB129" s="52">
        <f>$BA129+$AE129</f>
        <v>0</v>
      </c>
      <c r="BC129" s="52">
        <f>$BB129+$AF129</f>
        <v>0</v>
      </c>
      <c r="BD129" s="52">
        <f>$BC129+$AG129</f>
        <v>0</v>
      </c>
      <c r="BE129" s="52">
        <f>$BD129+$AH129</f>
        <v>0</v>
      </c>
      <c r="BF129" s="52">
        <f>$BE129+$AI129</f>
        <v>0</v>
      </c>
      <c r="BG129" s="52">
        <f>$BF129+$AJ129</f>
        <v>0</v>
      </c>
      <c r="BH129" s="52">
        <f>$BG129+$AK129</f>
        <v>0</v>
      </c>
      <c r="BI129" s="52">
        <f>$BH129+$AL129</f>
        <v>0</v>
      </c>
      <c r="BJ129" s="52">
        <f>$BI129+$AM129</f>
        <v>0</v>
      </c>
      <c r="BK129" s="52">
        <f>$BJ129+$AN129</f>
        <v>0</v>
      </c>
      <c r="BL129" s="52">
        <f>$BK129+$AO129</f>
        <v>0</v>
      </c>
      <c r="BM129" s="52">
        <f>$BL129+$AP129</f>
        <v>0</v>
      </c>
      <c r="BN129" s="52">
        <f>$BM129+$AQ129</f>
        <v>0</v>
      </c>
      <c r="BO129" s="52">
        <f>$BN129+$AR129</f>
        <v>0</v>
      </c>
      <c r="BP129" s="52">
        <f>$BO129+$AS129</f>
        <v>0</v>
      </c>
      <c r="BQ129" s="52">
        <f>SUM($T$1:$T128)</f>
        <v>11</v>
      </c>
      <c r="BR129" s="52" t="str">
        <f>IF(ISNUMBER($T129),IF($T129&gt;0,COUNTIF($T$2:$T129,"&gt;0"),""),"")</f>
        <v/>
      </c>
      <c r="BS129" s="52" t="str">
        <f>IF($BR129="","",$BQ129+$T129)</f>
        <v/>
      </c>
      <c r="BT129" s="52" t="str">
        <f>IF($U129="Ready",COUNTIF($U$2:$U129,"Ready"),"")</f>
        <v/>
      </c>
      <c r="BU129" s="52">
        <f>IF(AND($U129="Ready",$C129="Receipt"),IF(COUNTIF(Batches!$A$2:$A$301,$F129)+COUNTIFS($F$1:$F128,$F129,$C$1:$C128,"Receipt",$U$1:$U128,"Ready")=0,1,0),0)</f>
        <v>0</v>
      </c>
      <c r="BV129" s="52" t="str">
        <f>IF($BU129=1,SUM($BU$2:$BU129),"")</f>
        <v/>
      </c>
    </row>
    <row r="130">
      <c r="A130" s="46" t="n"/>
      <c r="B130" s="46" t="n"/>
      <c r="C130" s="46" t="n"/>
      <c r="D130" s="46" t="n"/>
      <c r="E130" s="46" t="n"/>
      <c r="F130" s="46" t="n"/>
      <c r="G130" s="46" t="n"/>
      <c r="H130" s="46" t="n"/>
      <c r="I130" s="46" t="n"/>
      <c r="J130" s="46" t="n"/>
      <c r="K130" s="46" t="n"/>
      <c r="L130" s="46" t="n"/>
      <c r="M130" s="62" t="str">
        <f>IF($B130="","",IF(ISNUMBER($B130),$B130,IF(AND(LEN($B130)=10,MID($B130,5,1)="-",MID($B130,8,1)="-"),IFERROR(IF(AND(MONTH(DATE(VALUE(LEFT($B130,4)),VALUE(MID($B130,6,2)),VALUE(RIGHT($B130,2))))=VALUE(MID($B130,6,2)),DAY(DATE(VALUE(LEFT($B130,4)),VALUE(MID($B130,6,2)),VALUE(RIGHT($B130,2))))=VALUE(RIGHT($B130,2))),DATE(VALUE(LEFT($B130,4)),VALUE(MID($B130,6,2)),VALUE(RIGHT($B130,2))),"ERR"),"ERR"),"ERR")))</f>
        <v/>
      </c>
      <c r="N130" s="62" t="str">
        <f>IF($G130="","",IF(ISNUMBER($G130),$G130,IF(AND(LEN($G130)=10,MID($G130,5,1)="-",MID($G130,8,1)="-"),IFERROR(IF(AND(MONTH(DATE(VALUE(LEFT($G130,4)),VALUE(MID($G130,6,2)),VALUE(RIGHT($G130,2))))=VALUE(MID($G130,6,2)),DAY(DATE(VALUE(LEFT($G130,4)),VALUE(MID($G130,6,2)),VALUE(RIGHT($G130,2))))=VALUE(RIGHT($G130,2))),DATE(VALUE(LEFT($G130,4)),VALUE(MID($G130,6,2)),VALUE(RIGHT($G130,2))),"ERR"),"ERR"),"ERR")))</f>
        <v/>
      </c>
      <c r="O130" s="51" t="str">
        <f>IF($H130="","",IF(ISNUMBER($H130),$H130,IFERROR(VALUE($H130),"ERR")))</f>
        <v/>
      </c>
      <c r="P130" s="51" t="str">
        <f>IF(AND(ISNUMBER($O130),OR($C130="Receipt",$C130="Shipment",$C130="Adjustment")),IF($C130="Shipment",-$O130,$O130),"")</f>
        <v/>
      </c>
      <c r="Q130" s="51" t="str">
        <f>IF($D130="","",IFERROR(INDEX(Products!$R$2:$R$101,MATCH($D130,Products!$A$2:$A$101,0)),""))</f>
        <v/>
      </c>
      <c r="R130" s="51" t="str">
        <f>IF(OR($Q130="",$P130=""),"",$Q130+SUMIFS($P$1:$P129,$D$1:$D129,$D130,$U$1:$U129,"Ready"))</f>
        <v/>
      </c>
      <c r="S130" s="51" t="str">
        <f>IF($R130="","",$R130+$P130)</f>
        <v/>
      </c>
      <c r="T130" s="52" t="str">
        <f>IF(COUNTA($A130:$L130)&gt;0,$BP130,"")</f>
        <v/>
      </c>
      <c r="U130" s="49" t="str">
        <f>IF($T130="","",IF($T130=0,"Ready","Rejected"))</f>
        <v/>
      </c>
      <c r="V130" s="49" t="str">
        <f>IF(OR($T130="",$T130=0),"",INDEX(Config!$D$39:$D$61,MATCH(1,$AT130:$BP130,0))&amp;IF($T130&gt;1," (+"&amp;($T130-1)&amp;" more)",""))</f>
        <v/>
      </c>
      <c r="W130" s="52">
        <f>IF(AND(COUNTA($A130:$L130)&gt;0,$A130=""),1,0)</f>
        <v>0</v>
      </c>
      <c r="X130" s="52">
        <f>IF(AND(COUNTA($A130:$L130)&gt;0,$A130&lt;&gt;""),IF(COUNTIF($A$1:$A129,$A130)&gt;0,1,0),0)</f>
        <v>0</v>
      </c>
      <c r="Y130" s="52">
        <f>IF(AND(COUNTA($A130:$L130)&gt;0,$A130&lt;&gt;""),IF(COUNTIF(Inventory_Ledger!$A$2:$A$2001,$A130)&gt;0,1,0),0)</f>
        <v>0</v>
      </c>
      <c r="Z130" s="52">
        <f>IF(AND(COUNTA($A130:$L130)&gt;0,$B130=""),1,0)</f>
        <v>0</v>
      </c>
      <c r="AA130" s="52">
        <f>IF(AND(COUNTA($A130:$L130)&gt;0,$B130&lt;&gt;""),IF($M130="ERR",1,0),0)</f>
        <v>0</v>
      </c>
      <c r="AB130" s="52">
        <f>IF(AND(COUNTA($A130:$L130)&gt;0,ISNUMBER($M130)),IF($M130&gt;Config!$B$4,1,0),0)</f>
        <v>0</v>
      </c>
      <c r="AC130" s="52">
        <f>IF(AND(COUNTA($A130:$L130)&gt;0,$C130=""),1,0)</f>
        <v>0</v>
      </c>
      <c r="AD130" s="52">
        <f>IF(AND(COUNTA($A130:$L130)&gt;0,$C130&lt;&gt;""),IF(COUNTIF(Config!$A$15:$A$34,$C130)=0,1,0),0)</f>
        <v>0</v>
      </c>
      <c r="AE130" s="52">
        <f>IF(AND(COUNTA($A130:$L130)&gt;0,$D130=""),1,0)</f>
        <v>0</v>
      </c>
      <c r="AF130" s="52">
        <f>IF(AND(COUNTA($A130:$L130)&gt;0,$D130&lt;&gt;""),IF(COUNTIF(Products!$A$2:$A$101,$D130)=0,1,0),0)</f>
        <v>0</v>
      </c>
      <c r="AG130" s="52">
        <f>IF(AND(COUNTA($A130:$L130)&gt;0,$C130="Receipt",$E130=""),1,0)</f>
        <v>0</v>
      </c>
      <c r="AH130" s="52">
        <f>IF(AND(COUNTA($A130:$L130)&gt;0,$E130&lt;&gt;""),IF(COUNTIF(Suppliers!$A$2:$A$51,$E130)=0,1,0),0)</f>
        <v>0</v>
      </c>
      <c r="AI130" s="52">
        <f>IF(AND(COUNTA($A130:$L130)&gt;0,$F130=""),1,0)</f>
        <v>0</v>
      </c>
      <c r="AJ130" s="52">
        <f>IF(AND(COUNTA($A130:$L130)&gt;0,$F130&lt;&gt;"",$D130&lt;&gt;"",OR($C130="Shipment",$C130="Adjustment")),IF($AF130=1,0,IF(COUNTIFS(Batches!$A$2:$A$301,$F130,Batches!$B$2:$B$301,$D130)+COUNTIFS($F$1:$F129,$F130,$D$1:$D129,$D130,$C$1:$C129,"Receipt")=0,1,0)),0)</f>
        <v>0</v>
      </c>
      <c r="AK130" s="52">
        <f>IF(AND(COUNTA($A130:$L130)&gt;0,$C130="Receipt",$G130=""),1,0)</f>
        <v>0</v>
      </c>
      <c r="AL130" s="52">
        <f>IF(AND(COUNTA($A130:$L130)&gt;0,$G130&lt;&gt;""),IF($N130="ERR",1,0),0)</f>
        <v>0</v>
      </c>
      <c r="AM130" s="52">
        <f>IF(AND(COUNTA($A130:$L130)&gt;0,$H130=""),1,0)</f>
        <v>0</v>
      </c>
      <c r="AN130" s="52">
        <f>IF(AND(COUNTA($A130:$L130)&gt;0,$H130&lt;&gt;""),IF($O130="ERR",1,IF(INT($O130)&lt;&gt;$O130,1,IF(AND(OR($C130="Receipt",$C130="Shipment"),$O130&lt;=0),1,IF(AND($C130="Adjustment",$O130=0),1,0)))),0)</f>
        <v>0</v>
      </c>
      <c r="AO130" s="52">
        <f>IF(AND(COUNTA($A130:$L130)&gt;0,$C130="Receipt",$I130=""),1,0)</f>
        <v>0</v>
      </c>
      <c r="AP130" s="52">
        <f>IF(AND(COUNTA($A130:$L130)&gt;0,$I130&lt;&gt;""),IF(IFERROR(INDEX(Config!$G$15:$G$34,MATCH($I130,Config!$E$15:$E$34,0)),"No")="Yes",0,1),0)</f>
        <v>0</v>
      </c>
      <c r="AQ130" s="52">
        <f>IF(AND(COUNTA($A130:$L130)&gt;0,$C130="Adjustment",$J130=""),1,0)</f>
        <v>0</v>
      </c>
      <c r="AR130" s="52">
        <f>IF(AND(COUNTA($A130:$L130)&gt;0,$L130=""),1,0)</f>
        <v>0</v>
      </c>
      <c r="AS130" s="52">
        <f>IF(AND(COUNTA($A130:$L130)&gt;0,ISNUMBER($S130)),IF($S130&lt;0,1,0),0)</f>
        <v>0</v>
      </c>
      <c r="AT130" s="52">
        <f>$W130</f>
        <v>0</v>
      </c>
      <c r="AU130" s="52">
        <f>$AT130+$X130</f>
        <v>0</v>
      </c>
      <c r="AV130" s="52">
        <f>$AU130+$Y130</f>
        <v>0</v>
      </c>
      <c r="AW130" s="52">
        <f>$AV130+$Z130</f>
        <v>0</v>
      </c>
      <c r="AX130" s="52">
        <f>$AW130+$AA130</f>
        <v>0</v>
      </c>
      <c r="AY130" s="52">
        <f>$AX130+$AB130</f>
        <v>0</v>
      </c>
      <c r="AZ130" s="52">
        <f>$AY130+$AC130</f>
        <v>0</v>
      </c>
      <c r="BA130" s="52">
        <f>$AZ130+$AD130</f>
        <v>0</v>
      </c>
      <c r="BB130" s="52">
        <f>$BA130+$AE130</f>
        <v>0</v>
      </c>
      <c r="BC130" s="52">
        <f>$BB130+$AF130</f>
        <v>0</v>
      </c>
      <c r="BD130" s="52">
        <f>$BC130+$AG130</f>
        <v>0</v>
      </c>
      <c r="BE130" s="52">
        <f>$BD130+$AH130</f>
        <v>0</v>
      </c>
      <c r="BF130" s="52">
        <f>$BE130+$AI130</f>
        <v>0</v>
      </c>
      <c r="BG130" s="52">
        <f>$BF130+$AJ130</f>
        <v>0</v>
      </c>
      <c r="BH130" s="52">
        <f>$BG130+$AK130</f>
        <v>0</v>
      </c>
      <c r="BI130" s="52">
        <f>$BH130+$AL130</f>
        <v>0</v>
      </c>
      <c r="BJ130" s="52">
        <f>$BI130+$AM130</f>
        <v>0</v>
      </c>
      <c r="BK130" s="52">
        <f>$BJ130+$AN130</f>
        <v>0</v>
      </c>
      <c r="BL130" s="52">
        <f>$BK130+$AO130</f>
        <v>0</v>
      </c>
      <c r="BM130" s="52">
        <f>$BL130+$AP130</f>
        <v>0</v>
      </c>
      <c r="BN130" s="52">
        <f>$BM130+$AQ130</f>
        <v>0</v>
      </c>
      <c r="BO130" s="52">
        <f>$BN130+$AR130</f>
        <v>0</v>
      </c>
      <c r="BP130" s="52">
        <f>$BO130+$AS130</f>
        <v>0</v>
      </c>
      <c r="BQ130" s="52">
        <f>SUM($T$1:$T129)</f>
        <v>11</v>
      </c>
      <c r="BR130" s="52" t="str">
        <f>IF(ISNUMBER($T130),IF($T130&gt;0,COUNTIF($T$2:$T130,"&gt;0"),""),"")</f>
        <v/>
      </c>
      <c r="BS130" s="52" t="str">
        <f>IF($BR130="","",$BQ130+$T130)</f>
        <v/>
      </c>
      <c r="BT130" s="52" t="str">
        <f>IF($U130="Ready",COUNTIF($U$2:$U130,"Ready"),"")</f>
        <v/>
      </c>
      <c r="BU130" s="52">
        <f>IF(AND($U130="Ready",$C130="Receipt"),IF(COUNTIF(Batches!$A$2:$A$301,$F130)+COUNTIFS($F$1:$F129,$F130,$C$1:$C129,"Receipt",$U$1:$U129,"Ready")=0,1,0),0)</f>
        <v>0</v>
      </c>
      <c r="BV130" s="52" t="str">
        <f>IF($BU130=1,SUM($BU$2:$BU130),"")</f>
        <v/>
      </c>
    </row>
    <row r="131">
      <c r="A131" s="46" t="n"/>
      <c r="B131" s="46" t="n"/>
      <c r="C131" s="46" t="n"/>
      <c r="D131" s="46" t="n"/>
      <c r="E131" s="46" t="n"/>
      <c r="F131" s="46" t="n"/>
      <c r="G131" s="46" t="n"/>
      <c r="H131" s="46" t="n"/>
      <c r="I131" s="46" t="n"/>
      <c r="J131" s="46" t="n"/>
      <c r="K131" s="46" t="n"/>
      <c r="L131" s="46" t="n"/>
      <c r="M131" s="62" t="str">
        <f>IF($B131="","",IF(ISNUMBER($B131),$B131,IF(AND(LEN($B131)=10,MID($B131,5,1)="-",MID($B131,8,1)="-"),IFERROR(IF(AND(MONTH(DATE(VALUE(LEFT($B131,4)),VALUE(MID($B131,6,2)),VALUE(RIGHT($B131,2))))=VALUE(MID($B131,6,2)),DAY(DATE(VALUE(LEFT($B131,4)),VALUE(MID($B131,6,2)),VALUE(RIGHT($B131,2))))=VALUE(RIGHT($B131,2))),DATE(VALUE(LEFT($B131,4)),VALUE(MID($B131,6,2)),VALUE(RIGHT($B131,2))),"ERR"),"ERR"),"ERR")))</f>
        <v/>
      </c>
      <c r="N131" s="62" t="str">
        <f>IF($G131="","",IF(ISNUMBER($G131),$G131,IF(AND(LEN($G131)=10,MID($G131,5,1)="-",MID($G131,8,1)="-"),IFERROR(IF(AND(MONTH(DATE(VALUE(LEFT($G131,4)),VALUE(MID($G131,6,2)),VALUE(RIGHT($G131,2))))=VALUE(MID($G131,6,2)),DAY(DATE(VALUE(LEFT($G131,4)),VALUE(MID($G131,6,2)),VALUE(RIGHT($G131,2))))=VALUE(RIGHT($G131,2))),DATE(VALUE(LEFT($G131,4)),VALUE(MID($G131,6,2)),VALUE(RIGHT($G131,2))),"ERR"),"ERR"),"ERR")))</f>
        <v/>
      </c>
      <c r="O131" s="51" t="str">
        <f>IF($H131="","",IF(ISNUMBER($H131),$H131,IFERROR(VALUE($H131),"ERR")))</f>
        <v/>
      </c>
      <c r="P131" s="51" t="str">
        <f>IF(AND(ISNUMBER($O131),OR($C131="Receipt",$C131="Shipment",$C131="Adjustment")),IF($C131="Shipment",-$O131,$O131),"")</f>
        <v/>
      </c>
      <c r="Q131" s="51" t="str">
        <f>IF($D131="","",IFERROR(INDEX(Products!$R$2:$R$101,MATCH($D131,Products!$A$2:$A$101,0)),""))</f>
        <v/>
      </c>
      <c r="R131" s="51" t="str">
        <f>IF(OR($Q131="",$P131=""),"",$Q131+SUMIFS($P$1:$P130,$D$1:$D130,$D131,$U$1:$U130,"Ready"))</f>
        <v/>
      </c>
      <c r="S131" s="51" t="str">
        <f>IF($R131="","",$R131+$P131)</f>
        <v/>
      </c>
      <c r="T131" s="52" t="str">
        <f>IF(COUNTA($A131:$L131)&gt;0,$BP131,"")</f>
        <v/>
      </c>
      <c r="U131" s="49" t="str">
        <f>IF($T131="","",IF($T131=0,"Ready","Rejected"))</f>
        <v/>
      </c>
      <c r="V131" s="49" t="str">
        <f>IF(OR($T131="",$T131=0),"",INDEX(Config!$D$39:$D$61,MATCH(1,$AT131:$BP131,0))&amp;IF($T131&gt;1," (+"&amp;($T131-1)&amp;" more)",""))</f>
        <v/>
      </c>
      <c r="W131" s="52">
        <f>IF(AND(COUNTA($A131:$L131)&gt;0,$A131=""),1,0)</f>
        <v>0</v>
      </c>
      <c r="X131" s="52">
        <f>IF(AND(COUNTA($A131:$L131)&gt;0,$A131&lt;&gt;""),IF(COUNTIF($A$1:$A130,$A131)&gt;0,1,0),0)</f>
        <v>0</v>
      </c>
      <c r="Y131" s="52">
        <f>IF(AND(COUNTA($A131:$L131)&gt;0,$A131&lt;&gt;""),IF(COUNTIF(Inventory_Ledger!$A$2:$A$2001,$A131)&gt;0,1,0),0)</f>
        <v>0</v>
      </c>
      <c r="Z131" s="52">
        <f>IF(AND(COUNTA($A131:$L131)&gt;0,$B131=""),1,0)</f>
        <v>0</v>
      </c>
      <c r="AA131" s="52">
        <f>IF(AND(COUNTA($A131:$L131)&gt;0,$B131&lt;&gt;""),IF($M131="ERR",1,0),0)</f>
        <v>0</v>
      </c>
      <c r="AB131" s="52">
        <f>IF(AND(COUNTA($A131:$L131)&gt;0,ISNUMBER($M131)),IF($M131&gt;Config!$B$4,1,0),0)</f>
        <v>0</v>
      </c>
      <c r="AC131" s="52">
        <f>IF(AND(COUNTA($A131:$L131)&gt;0,$C131=""),1,0)</f>
        <v>0</v>
      </c>
      <c r="AD131" s="52">
        <f>IF(AND(COUNTA($A131:$L131)&gt;0,$C131&lt;&gt;""),IF(COUNTIF(Config!$A$15:$A$34,$C131)=0,1,0),0)</f>
        <v>0</v>
      </c>
      <c r="AE131" s="52">
        <f>IF(AND(COUNTA($A131:$L131)&gt;0,$D131=""),1,0)</f>
        <v>0</v>
      </c>
      <c r="AF131" s="52">
        <f>IF(AND(COUNTA($A131:$L131)&gt;0,$D131&lt;&gt;""),IF(COUNTIF(Products!$A$2:$A$101,$D131)=0,1,0),0)</f>
        <v>0</v>
      </c>
      <c r="AG131" s="52">
        <f>IF(AND(COUNTA($A131:$L131)&gt;0,$C131="Receipt",$E131=""),1,0)</f>
        <v>0</v>
      </c>
      <c r="AH131" s="52">
        <f>IF(AND(COUNTA($A131:$L131)&gt;0,$E131&lt;&gt;""),IF(COUNTIF(Suppliers!$A$2:$A$51,$E131)=0,1,0),0)</f>
        <v>0</v>
      </c>
      <c r="AI131" s="52">
        <f>IF(AND(COUNTA($A131:$L131)&gt;0,$F131=""),1,0)</f>
        <v>0</v>
      </c>
      <c r="AJ131" s="52">
        <f>IF(AND(COUNTA($A131:$L131)&gt;0,$F131&lt;&gt;"",$D131&lt;&gt;"",OR($C131="Shipment",$C131="Adjustment")),IF($AF131=1,0,IF(COUNTIFS(Batches!$A$2:$A$301,$F131,Batches!$B$2:$B$301,$D131)+COUNTIFS($F$1:$F130,$F131,$D$1:$D130,$D131,$C$1:$C130,"Receipt")=0,1,0)),0)</f>
        <v>0</v>
      </c>
      <c r="AK131" s="52">
        <f>IF(AND(COUNTA($A131:$L131)&gt;0,$C131="Receipt",$G131=""),1,0)</f>
        <v>0</v>
      </c>
      <c r="AL131" s="52">
        <f>IF(AND(COUNTA($A131:$L131)&gt;0,$G131&lt;&gt;""),IF($N131="ERR",1,0),0)</f>
        <v>0</v>
      </c>
      <c r="AM131" s="52">
        <f>IF(AND(COUNTA($A131:$L131)&gt;0,$H131=""),1,0)</f>
        <v>0</v>
      </c>
      <c r="AN131" s="52">
        <f>IF(AND(COUNTA($A131:$L131)&gt;0,$H131&lt;&gt;""),IF($O131="ERR",1,IF(INT($O131)&lt;&gt;$O131,1,IF(AND(OR($C131="Receipt",$C131="Shipment"),$O131&lt;=0),1,IF(AND($C131="Adjustment",$O131=0),1,0)))),0)</f>
        <v>0</v>
      </c>
      <c r="AO131" s="52">
        <f>IF(AND(COUNTA($A131:$L131)&gt;0,$C131="Receipt",$I131=""),1,0)</f>
        <v>0</v>
      </c>
      <c r="AP131" s="52">
        <f>IF(AND(COUNTA($A131:$L131)&gt;0,$I131&lt;&gt;""),IF(IFERROR(INDEX(Config!$G$15:$G$34,MATCH($I131,Config!$E$15:$E$34,0)),"No")="Yes",0,1),0)</f>
        <v>0</v>
      </c>
      <c r="AQ131" s="52">
        <f>IF(AND(COUNTA($A131:$L131)&gt;0,$C131="Adjustment",$J131=""),1,0)</f>
        <v>0</v>
      </c>
      <c r="AR131" s="52">
        <f>IF(AND(COUNTA($A131:$L131)&gt;0,$L131=""),1,0)</f>
        <v>0</v>
      </c>
      <c r="AS131" s="52">
        <f>IF(AND(COUNTA($A131:$L131)&gt;0,ISNUMBER($S131)),IF($S131&lt;0,1,0),0)</f>
        <v>0</v>
      </c>
      <c r="AT131" s="52">
        <f>$W131</f>
        <v>0</v>
      </c>
      <c r="AU131" s="52">
        <f>$AT131+$X131</f>
        <v>0</v>
      </c>
      <c r="AV131" s="52">
        <f>$AU131+$Y131</f>
        <v>0</v>
      </c>
      <c r="AW131" s="52">
        <f>$AV131+$Z131</f>
        <v>0</v>
      </c>
      <c r="AX131" s="52">
        <f>$AW131+$AA131</f>
        <v>0</v>
      </c>
      <c r="AY131" s="52">
        <f>$AX131+$AB131</f>
        <v>0</v>
      </c>
      <c r="AZ131" s="52">
        <f>$AY131+$AC131</f>
        <v>0</v>
      </c>
      <c r="BA131" s="52">
        <f>$AZ131+$AD131</f>
        <v>0</v>
      </c>
      <c r="BB131" s="52">
        <f>$BA131+$AE131</f>
        <v>0</v>
      </c>
      <c r="BC131" s="52">
        <f>$BB131+$AF131</f>
        <v>0</v>
      </c>
      <c r="BD131" s="52">
        <f>$BC131+$AG131</f>
        <v>0</v>
      </c>
      <c r="BE131" s="52">
        <f>$BD131+$AH131</f>
        <v>0</v>
      </c>
      <c r="BF131" s="52">
        <f>$BE131+$AI131</f>
        <v>0</v>
      </c>
      <c r="BG131" s="52">
        <f>$BF131+$AJ131</f>
        <v>0</v>
      </c>
      <c r="BH131" s="52">
        <f>$BG131+$AK131</f>
        <v>0</v>
      </c>
      <c r="BI131" s="52">
        <f>$BH131+$AL131</f>
        <v>0</v>
      </c>
      <c r="BJ131" s="52">
        <f>$BI131+$AM131</f>
        <v>0</v>
      </c>
      <c r="BK131" s="52">
        <f>$BJ131+$AN131</f>
        <v>0</v>
      </c>
      <c r="BL131" s="52">
        <f>$BK131+$AO131</f>
        <v>0</v>
      </c>
      <c r="BM131" s="52">
        <f>$BL131+$AP131</f>
        <v>0</v>
      </c>
      <c r="BN131" s="52">
        <f>$BM131+$AQ131</f>
        <v>0</v>
      </c>
      <c r="BO131" s="52">
        <f>$BN131+$AR131</f>
        <v>0</v>
      </c>
      <c r="BP131" s="52">
        <f>$BO131+$AS131</f>
        <v>0</v>
      </c>
      <c r="BQ131" s="52">
        <f>SUM($T$1:$T130)</f>
        <v>11</v>
      </c>
      <c r="BR131" s="52" t="str">
        <f>IF(ISNUMBER($T131),IF($T131&gt;0,COUNTIF($T$2:$T131,"&gt;0"),""),"")</f>
        <v/>
      </c>
      <c r="BS131" s="52" t="str">
        <f>IF($BR131="","",$BQ131+$T131)</f>
        <v/>
      </c>
      <c r="BT131" s="52" t="str">
        <f>IF($U131="Ready",COUNTIF($U$2:$U131,"Ready"),"")</f>
        <v/>
      </c>
      <c r="BU131" s="52">
        <f>IF(AND($U131="Ready",$C131="Receipt"),IF(COUNTIF(Batches!$A$2:$A$301,$F131)+COUNTIFS($F$1:$F130,$F131,$C$1:$C130,"Receipt",$U$1:$U130,"Ready")=0,1,0),0)</f>
        <v>0</v>
      </c>
      <c r="BV131" s="52" t="str">
        <f>IF($BU131=1,SUM($BU$2:$BU131),"")</f>
        <v/>
      </c>
    </row>
    <row r="132">
      <c r="A132" s="46" t="n"/>
      <c r="B132" s="46" t="n"/>
      <c r="C132" s="46" t="n"/>
      <c r="D132" s="46" t="n"/>
      <c r="E132" s="46" t="n"/>
      <c r="F132" s="46" t="n"/>
      <c r="G132" s="46" t="n"/>
      <c r="H132" s="46" t="n"/>
      <c r="I132" s="46" t="n"/>
      <c r="J132" s="46" t="n"/>
      <c r="K132" s="46" t="n"/>
      <c r="L132" s="46" t="n"/>
      <c r="M132" s="62" t="str">
        <f>IF($B132="","",IF(ISNUMBER($B132),$B132,IF(AND(LEN($B132)=10,MID($B132,5,1)="-",MID($B132,8,1)="-"),IFERROR(IF(AND(MONTH(DATE(VALUE(LEFT($B132,4)),VALUE(MID($B132,6,2)),VALUE(RIGHT($B132,2))))=VALUE(MID($B132,6,2)),DAY(DATE(VALUE(LEFT($B132,4)),VALUE(MID($B132,6,2)),VALUE(RIGHT($B132,2))))=VALUE(RIGHT($B132,2))),DATE(VALUE(LEFT($B132,4)),VALUE(MID($B132,6,2)),VALUE(RIGHT($B132,2))),"ERR"),"ERR"),"ERR")))</f>
        <v/>
      </c>
      <c r="N132" s="62" t="str">
        <f>IF($G132="","",IF(ISNUMBER($G132),$G132,IF(AND(LEN($G132)=10,MID($G132,5,1)="-",MID($G132,8,1)="-"),IFERROR(IF(AND(MONTH(DATE(VALUE(LEFT($G132,4)),VALUE(MID($G132,6,2)),VALUE(RIGHT($G132,2))))=VALUE(MID($G132,6,2)),DAY(DATE(VALUE(LEFT($G132,4)),VALUE(MID($G132,6,2)),VALUE(RIGHT($G132,2))))=VALUE(RIGHT($G132,2))),DATE(VALUE(LEFT($G132,4)),VALUE(MID($G132,6,2)),VALUE(RIGHT($G132,2))),"ERR"),"ERR"),"ERR")))</f>
        <v/>
      </c>
      <c r="O132" s="51" t="str">
        <f>IF($H132="","",IF(ISNUMBER($H132),$H132,IFERROR(VALUE($H132),"ERR")))</f>
        <v/>
      </c>
      <c r="P132" s="51" t="str">
        <f>IF(AND(ISNUMBER($O132),OR($C132="Receipt",$C132="Shipment",$C132="Adjustment")),IF($C132="Shipment",-$O132,$O132),"")</f>
        <v/>
      </c>
      <c r="Q132" s="51" t="str">
        <f>IF($D132="","",IFERROR(INDEX(Products!$R$2:$R$101,MATCH($D132,Products!$A$2:$A$101,0)),""))</f>
        <v/>
      </c>
      <c r="R132" s="51" t="str">
        <f>IF(OR($Q132="",$P132=""),"",$Q132+SUMIFS($P$1:$P131,$D$1:$D131,$D132,$U$1:$U131,"Ready"))</f>
        <v/>
      </c>
      <c r="S132" s="51" t="str">
        <f>IF($R132="","",$R132+$P132)</f>
        <v/>
      </c>
      <c r="T132" s="52" t="str">
        <f>IF(COUNTA($A132:$L132)&gt;0,$BP132,"")</f>
        <v/>
      </c>
      <c r="U132" s="49" t="str">
        <f>IF($T132="","",IF($T132=0,"Ready","Rejected"))</f>
        <v/>
      </c>
      <c r="V132" s="49" t="str">
        <f>IF(OR($T132="",$T132=0),"",INDEX(Config!$D$39:$D$61,MATCH(1,$AT132:$BP132,0))&amp;IF($T132&gt;1," (+"&amp;($T132-1)&amp;" more)",""))</f>
        <v/>
      </c>
      <c r="W132" s="52">
        <f>IF(AND(COUNTA($A132:$L132)&gt;0,$A132=""),1,0)</f>
        <v>0</v>
      </c>
      <c r="X132" s="52">
        <f>IF(AND(COUNTA($A132:$L132)&gt;0,$A132&lt;&gt;""),IF(COUNTIF($A$1:$A131,$A132)&gt;0,1,0),0)</f>
        <v>0</v>
      </c>
      <c r="Y132" s="52">
        <f>IF(AND(COUNTA($A132:$L132)&gt;0,$A132&lt;&gt;""),IF(COUNTIF(Inventory_Ledger!$A$2:$A$2001,$A132)&gt;0,1,0),0)</f>
        <v>0</v>
      </c>
      <c r="Z132" s="52">
        <f>IF(AND(COUNTA($A132:$L132)&gt;0,$B132=""),1,0)</f>
        <v>0</v>
      </c>
      <c r="AA132" s="52">
        <f>IF(AND(COUNTA($A132:$L132)&gt;0,$B132&lt;&gt;""),IF($M132="ERR",1,0),0)</f>
        <v>0</v>
      </c>
      <c r="AB132" s="52">
        <f>IF(AND(COUNTA($A132:$L132)&gt;0,ISNUMBER($M132)),IF($M132&gt;Config!$B$4,1,0),0)</f>
        <v>0</v>
      </c>
      <c r="AC132" s="52">
        <f>IF(AND(COUNTA($A132:$L132)&gt;0,$C132=""),1,0)</f>
        <v>0</v>
      </c>
      <c r="AD132" s="52">
        <f>IF(AND(COUNTA($A132:$L132)&gt;0,$C132&lt;&gt;""),IF(COUNTIF(Config!$A$15:$A$34,$C132)=0,1,0),0)</f>
        <v>0</v>
      </c>
      <c r="AE132" s="52">
        <f>IF(AND(COUNTA($A132:$L132)&gt;0,$D132=""),1,0)</f>
        <v>0</v>
      </c>
      <c r="AF132" s="52">
        <f>IF(AND(COUNTA($A132:$L132)&gt;0,$D132&lt;&gt;""),IF(COUNTIF(Products!$A$2:$A$101,$D132)=0,1,0),0)</f>
        <v>0</v>
      </c>
      <c r="AG132" s="52">
        <f>IF(AND(COUNTA($A132:$L132)&gt;0,$C132="Receipt",$E132=""),1,0)</f>
        <v>0</v>
      </c>
      <c r="AH132" s="52">
        <f>IF(AND(COUNTA($A132:$L132)&gt;0,$E132&lt;&gt;""),IF(COUNTIF(Suppliers!$A$2:$A$51,$E132)=0,1,0),0)</f>
        <v>0</v>
      </c>
      <c r="AI132" s="52">
        <f>IF(AND(COUNTA($A132:$L132)&gt;0,$F132=""),1,0)</f>
        <v>0</v>
      </c>
      <c r="AJ132" s="52">
        <f>IF(AND(COUNTA($A132:$L132)&gt;0,$F132&lt;&gt;"",$D132&lt;&gt;"",OR($C132="Shipment",$C132="Adjustment")),IF($AF132=1,0,IF(COUNTIFS(Batches!$A$2:$A$301,$F132,Batches!$B$2:$B$301,$D132)+COUNTIFS($F$1:$F131,$F132,$D$1:$D131,$D132,$C$1:$C131,"Receipt")=0,1,0)),0)</f>
        <v>0</v>
      </c>
      <c r="AK132" s="52">
        <f>IF(AND(COUNTA($A132:$L132)&gt;0,$C132="Receipt",$G132=""),1,0)</f>
        <v>0</v>
      </c>
      <c r="AL132" s="52">
        <f>IF(AND(COUNTA($A132:$L132)&gt;0,$G132&lt;&gt;""),IF($N132="ERR",1,0),0)</f>
        <v>0</v>
      </c>
      <c r="AM132" s="52">
        <f>IF(AND(COUNTA($A132:$L132)&gt;0,$H132=""),1,0)</f>
        <v>0</v>
      </c>
      <c r="AN132" s="52">
        <f>IF(AND(COUNTA($A132:$L132)&gt;0,$H132&lt;&gt;""),IF($O132="ERR",1,IF(INT($O132)&lt;&gt;$O132,1,IF(AND(OR($C132="Receipt",$C132="Shipment"),$O132&lt;=0),1,IF(AND($C132="Adjustment",$O132=0),1,0)))),0)</f>
        <v>0</v>
      </c>
      <c r="AO132" s="52">
        <f>IF(AND(COUNTA($A132:$L132)&gt;0,$C132="Receipt",$I132=""),1,0)</f>
        <v>0</v>
      </c>
      <c r="AP132" s="52">
        <f>IF(AND(COUNTA($A132:$L132)&gt;0,$I132&lt;&gt;""),IF(IFERROR(INDEX(Config!$G$15:$G$34,MATCH($I132,Config!$E$15:$E$34,0)),"No")="Yes",0,1),0)</f>
        <v>0</v>
      </c>
      <c r="AQ132" s="52">
        <f>IF(AND(COUNTA($A132:$L132)&gt;0,$C132="Adjustment",$J132=""),1,0)</f>
        <v>0</v>
      </c>
      <c r="AR132" s="52">
        <f>IF(AND(COUNTA($A132:$L132)&gt;0,$L132=""),1,0)</f>
        <v>0</v>
      </c>
      <c r="AS132" s="52">
        <f>IF(AND(COUNTA($A132:$L132)&gt;0,ISNUMBER($S132)),IF($S132&lt;0,1,0),0)</f>
        <v>0</v>
      </c>
      <c r="AT132" s="52">
        <f>$W132</f>
        <v>0</v>
      </c>
      <c r="AU132" s="52">
        <f>$AT132+$X132</f>
        <v>0</v>
      </c>
      <c r="AV132" s="52">
        <f>$AU132+$Y132</f>
        <v>0</v>
      </c>
      <c r="AW132" s="52">
        <f>$AV132+$Z132</f>
        <v>0</v>
      </c>
      <c r="AX132" s="52">
        <f>$AW132+$AA132</f>
        <v>0</v>
      </c>
      <c r="AY132" s="52">
        <f>$AX132+$AB132</f>
        <v>0</v>
      </c>
      <c r="AZ132" s="52">
        <f>$AY132+$AC132</f>
        <v>0</v>
      </c>
      <c r="BA132" s="52">
        <f>$AZ132+$AD132</f>
        <v>0</v>
      </c>
      <c r="BB132" s="52">
        <f>$BA132+$AE132</f>
        <v>0</v>
      </c>
      <c r="BC132" s="52">
        <f>$BB132+$AF132</f>
        <v>0</v>
      </c>
      <c r="BD132" s="52">
        <f>$BC132+$AG132</f>
        <v>0</v>
      </c>
      <c r="BE132" s="52">
        <f>$BD132+$AH132</f>
        <v>0</v>
      </c>
      <c r="BF132" s="52">
        <f>$BE132+$AI132</f>
        <v>0</v>
      </c>
      <c r="BG132" s="52">
        <f>$BF132+$AJ132</f>
        <v>0</v>
      </c>
      <c r="BH132" s="52">
        <f>$BG132+$AK132</f>
        <v>0</v>
      </c>
      <c r="BI132" s="52">
        <f>$BH132+$AL132</f>
        <v>0</v>
      </c>
      <c r="BJ132" s="52">
        <f>$BI132+$AM132</f>
        <v>0</v>
      </c>
      <c r="BK132" s="52">
        <f>$BJ132+$AN132</f>
        <v>0</v>
      </c>
      <c r="BL132" s="52">
        <f>$BK132+$AO132</f>
        <v>0</v>
      </c>
      <c r="BM132" s="52">
        <f>$BL132+$AP132</f>
        <v>0</v>
      </c>
      <c r="BN132" s="52">
        <f>$BM132+$AQ132</f>
        <v>0</v>
      </c>
      <c r="BO132" s="52">
        <f>$BN132+$AR132</f>
        <v>0</v>
      </c>
      <c r="BP132" s="52">
        <f>$BO132+$AS132</f>
        <v>0</v>
      </c>
      <c r="BQ132" s="52">
        <f>SUM($T$1:$T131)</f>
        <v>11</v>
      </c>
      <c r="BR132" s="52" t="str">
        <f>IF(ISNUMBER($T132),IF($T132&gt;0,COUNTIF($T$2:$T132,"&gt;0"),""),"")</f>
        <v/>
      </c>
      <c r="BS132" s="52" t="str">
        <f>IF($BR132="","",$BQ132+$T132)</f>
        <v/>
      </c>
      <c r="BT132" s="52" t="str">
        <f>IF($U132="Ready",COUNTIF($U$2:$U132,"Ready"),"")</f>
        <v/>
      </c>
      <c r="BU132" s="52">
        <f>IF(AND($U132="Ready",$C132="Receipt"),IF(COUNTIF(Batches!$A$2:$A$301,$F132)+COUNTIFS($F$1:$F131,$F132,$C$1:$C131,"Receipt",$U$1:$U131,"Ready")=0,1,0),0)</f>
        <v>0</v>
      </c>
      <c r="BV132" s="52" t="str">
        <f>IF($BU132=1,SUM($BU$2:$BU132),"")</f>
        <v/>
      </c>
    </row>
    <row r="133">
      <c r="A133" s="46" t="n"/>
      <c r="B133" s="46" t="n"/>
      <c r="C133" s="46" t="n"/>
      <c r="D133" s="46" t="n"/>
      <c r="E133" s="46" t="n"/>
      <c r="F133" s="46" t="n"/>
      <c r="G133" s="46" t="n"/>
      <c r="H133" s="46" t="n"/>
      <c r="I133" s="46" t="n"/>
      <c r="J133" s="46" t="n"/>
      <c r="K133" s="46" t="n"/>
      <c r="L133" s="46" t="n"/>
      <c r="M133" s="62" t="str">
        <f>IF($B133="","",IF(ISNUMBER($B133),$B133,IF(AND(LEN($B133)=10,MID($B133,5,1)="-",MID($B133,8,1)="-"),IFERROR(IF(AND(MONTH(DATE(VALUE(LEFT($B133,4)),VALUE(MID($B133,6,2)),VALUE(RIGHT($B133,2))))=VALUE(MID($B133,6,2)),DAY(DATE(VALUE(LEFT($B133,4)),VALUE(MID($B133,6,2)),VALUE(RIGHT($B133,2))))=VALUE(RIGHT($B133,2))),DATE(VALUE(LEFT($B133,4)),VALUE(MID($B133,6,2)),VALUE(RIGHT($B133,2))),"ERR"),"ERR"),"ERR")))</f>
        <v/>
      </c>
      <c r="N133" s="62" t="str">
        <f>IF($G133="","",IF(ISNUMBER($G133),$G133,IF(AND(LEN($G133)=10,MID($G133,5,1)="-",MID($G133,8,1)="-"),IFERROR(IF(AND(MONTH(DATE(VALUE(LEFT($G133,4)),VALUE(MID($G133,6,2)),VALUE(RIGHT($G133,2))))=VALUE(MID($G133,6,2)),DAY(DATE(VALUE(LEFT($G133,4)),VALUE(MID($G133,6,2)),VALUE(RIGHT($G133,2))))=VALUE(RIGHT($G133,2))),DATE(VALUE(LEFT($G133,4)),VALUE(MID($G133,6,2)),VALUE(RIGHT($G133,2))),"ERR"),"ERR"),"ERR")))</f>
        <v/>
      </c>
      <c r="O133" s="51" t="str">
        <f>IF($H133="","",IF(ISNUMBER($H133),$H133,IFERROR(VALUE($H133),"ERR")))</f>
        <v/>
      </c>
      <c r="P133" s="51" t="str">
        <f>IF(AND(ISNUMBER($O133),OR($C133="Receipt",$C133="Shipment",$C133="Adjustment")),IF($C133="Shipment",-$O133,$O133),"")</f>
        <v/>
      </c>
      <c r="Q133" s="51" t="str">
        <f>IF($D133="","",IFERROR(INDEX(Products!$R$2:$R$101,MATCH($D133,Products!$A$2:$A$101,0)),""))</f>
        <v/>
      </c>
      <c r="R133" s="51" t="str">
        <f>IF(OR($Q133="",$P133=""),"",$Q133+SUMIFS($P$1:$P132,$D$1:$D132,$D133,$U$1:$U132,"Ready"))</f>
        <v/>
      </c>
      <c r="S133" s="51" t="str">
        <f>IF($R133="","",$R133+$P133)</f>
        <v/>
      </c>
      <c r="T133" s="52" t="str">
        <f>IF(COUNTA($A133:$L133)&gt;0,$BP133,"")</f>
        <v/>
      </c>
      <c r="U133" s="49" t="str">
        <f>IF($T133="","",IF($T133=0,"Ready","Rejected"))</f>
        <v/>
      </c>
      <c r="V133" s="49" t="str">
        <f>IF(OR($T133="",$T133=0),"",INDEX(Config!$D$39:$D$61,MATCH(1,$AT133:$BP133,0))&amp;IF($T133&gt;1," (+"&amp;($T133-1)&amp;" more)",""))</f>
        <v/>
      </c>
      <c r="W133" s="52">
        <f>IF(AND(COUNTA($A133:$L133)&gt;0,$A133=""),1,0)</f>
        <v>0</v>
      </c>
      <c r="X133" s="52">
        <f>IF(AND(COUNTA($A133:$L133)&gt;0,$A133&lt;&gt;""),IF(COUNTIF($A$1:$A132,$A133)&gt;0,1,0),0)</f>
        <v>0</v>
      </c>
      <c r="Y133" s="52">
        <f>IF(AND(COUNTA($A133:$L133)&gt;0,$A133&lt;&gt;""),IF(COUNTIF(Inventory_Ledger!$A$2:$A$2001,$A133)&gt;0,1,0),0)</f>
        <v>0</v>
      </c>
      <c r="Z133" s="52">
        <f>IF(AND(COUNTA($A133:$L133)&gt;0,$B133=""),1,0)</f>
        <v>0</v>
      </c>
      <c r="AA133" s="52">
        <f>IF(AND(COUNTA($A133:$L133)&gt;0,$B133&lt;&gt;""),IF($M133="ERR",1,0),0)</f>
        <v>0</v>
      </c>
      <c r="AB133" s="52">
        <f>IF(AND(COUNTA($A133:$L133)&gt;0,ISNUMBER($M133)),IF($M133&gt;Config!$B$4,1,0),0)</f>
        <v>0</v>
      </c>
      <c r="AC133" s="52">
        <f>IF(AND(COUNTA($A133:$L133)&gt;0,$C133=""),1,0)</f>
        <v>0</v>
      </c>
      <c r="AD133" s="52">
        <f>IF(AND(COUNTA($A133:$L133)&gt;0,$C133&lt;&gt;""),IF(COUNTIF(Config!$A$15:$A$34,$C133)=0,1,0),0)</f>
        <v>0</v>
      </c>
      <c r="AE133" s="52">
        <f>IF(AND(COUNTA($A133:$L133)&gt;0,$D133=""),1,0)</f>
        <v>0</v>
      </c>
      <c r="AF133" s="52">
        <f>IF(AND(COUNTA($A133:$L133)&gt;0,$D133&lt;&gt;""),IF(COUNTIF(Products!$A$2:$A$101,$D133)=0,1,0),0)</f>
        <v>0</v>
      </c>
      <c r="AG133" s="52">
        <f>IF(AND(COUNTA($A133:$L133)&gt;0,$C133="Receipt",$E133=""),1,0)</f>
        <v>0</v>
      </c>
      <c r="AH133" s="52">
        <f>IF(AND(COUNTA($A133:$L133)&gt;0,$E133&lt;&gt;""),IF(COUNTIF(Suppliers!$A$2:$A$51,$E133)=0,1,0),0)</f>
        <v>0</v>
      </c>
      <c r="AI133" s="52">
        <f>IF(AND(COUNTA($A133:$L133)&gt;0,$F133=""),1,0)</f>
        <v>0</v>
      </c>
      <c r="AJ133" s="52">
        <f>IF(AND(COUNTA($A133:$L133)&gt;0,$F133&lt;&gt;"",$D133&lt;&gt;"",OR($C133="Shipment",$C133="Adjustment")),IF($AF133=1,0,IF(COUNTIFS(Batches!$A$2:$A$301,$F133,Batches!$B$2:$B$301,$D133)+COUNTIFS($F$1:$F132,$F133,$D$1:$D132,$D133,$C$1:$C132,"Receipt")=0,1,0)),0)</f>
        <v>0</v>
      </c>
      <c r="AK133" s="52">
        <f>IF(AND(COUNTA($A133:$L133)&gt;0,$C133="Receipt",$G133=""),1,0)</f>
        <v>0</v>
      </c>
      <c r="AL133" s="52">
        <f>IF(AND(COUNTA($A133:$L133)&gt;0,$G133&lt;&gt;""),IF($N133="ERR",1,0),0)</f>
        <v>0</v>
      </c>
      <c r="AM133" s="52">
        <f>IF(AND(COUNTA($A133:$L133)&gt;0,$H133=""),1,0)</f>
        <v>0</v>
      </c>
      <c r="AN133" s="52">
        <f>IF(AND(COUNTA($A133:$L133)&gt;0,$H133&lt;&gt;""),IF($O133="ERR",1,IF(INT($O133)&lt;&gt;$O133,1,IF(AND(OR($C133="Receipt",$C133="Shipment"),$O133&lt;=0),1,IF(AND($C133="Adjustment",$O133=0),1,0)))),0)</f>
        <v>0</v>
      </c>
      <c r="AO133" s="52">
        <f>IF(AND(COUNTA($A133:$L133)&gt;0,$C133="Receipt",$I133=""),1,0)</f>
        <v>0</v>
      </c>
      <c r="AP133" s="52">
        <f>IF(AND(COUNTA($A133:$L133)&gt;0,$I133&lt;&gt;""),IF(IFERROR(INDEX(Config!$G$15:$G$34,MATCH($I133,Config!$E$15:$E$34,0)),"No")="Yes",0,1),0)</f>
        <v>0</v>
      </c>
      <c r="AQ133" s="52">
        <f>IF(AND(COUNTA($A133:$L133)&gt;0,$C133="Adjustment",$J133=""),1,0)</f>
        <v>0</v>
      </c>
      <c r="AR133" s="52">
        <f>IF(AND(COUNTA($A133:$L133)&gt;0,$L133=""),1,0)</f>
        <v>0</v>
      </c>
      <c r="AS133" s="52">
        <f>IF(AND(COUNTA($A133:$L133)&gt;0,ISNUMBER($S133)),IF($S133&lt;0,1,0),0)</f>
        <v>0</v>
      </c>
      <c r="AT133" s="52">
        <f>$W133</f>
        <v>0</v>
      </c>
      <c r="AU133" s="52">
        <f>$AT133+$X133</f>
        <v>0</v>
      </c>
      <c r="AV133" s="52">
        <f>$AU133+$Y133</f>
        <v>0</v>
      </c>
      <c r="AW133" s="52">
        <f>$AV133+$Z133</f>
        <v>0</v>
      </c>
      <c r="AX133" s="52">
        <f>$AW133+$AA133</f>
        <v>0</v>
      </c>
      <c r="AY133" s="52">
        <f>$AX133+$AB133</f>
        <v>0</v>
      </c>
      <c r="AZ133" s="52">
        <f>$AY133+$AC133</f>
        <v>0</v>
      </c>
      <c r="BA133" s="52">
        <f>$AZ133+$AD133</f>
        <v>0</v>
      </c>
      <c r="BB133" s="52">
        <f>$BA133+$AE133</f>
        <v>0</v>
      </c>
      <c r="BC133" s="52">
        <f>$BB133+$AF133</f>
        <v>0</v>
      </c>
      <c r="BD133" s="52">
        <f>$BC133+$AG133</f>
        <v>0</v>
      </c>
      <c r="BE133" s="52">
        <f>$BD133+$AH133</f>
        <v>0</v>
      </c>
      <c r="BF133" s="52">
        <f>$BE133+$AI133</f>
        <v>0</v>
      </c>
      <c r="BG133" s="52">
        <f>$BF133+$AJ133</f>
        <v>0</v>
      </c>
      <c r="BH133" s="52">
        <f>$BG133+$AK133</f>
        <v>0</v>
      </c>
      <c r="BI133" s="52">
        <f>$BH133+$AL133</f>
        <v>0</v>
      </c>
      <c r="BJ133" s="52">
        <f>$BI133+$AM133</f>
        <v>0</v>
      </c>
      <c r="BK133" s="52">
        <f>$BJ133+$AN133</f>
        <v>0</v>
      </c>
      <c r="BL133" s="52">
        <f>$BK133+$AO133</f>
        <v>0</v>
      </c>
      <c r="BM133" s="52">
        <f>$BL133+$AP133</f>
        <v>0</v>
      </c>
      <c r="BN133" s="52">
        <f>$BM133+$AQ133</f>
        <v>0</v>
      </c>
      <c r="BO133" s="52">
        <f>$BN133+$AR133</f>
        <v>0</v>
      </c>
      <c r="BP133" s="52">
        <f>$BO133+$AS133</f>
        <v>0</v>
      </c>
      <c r="BQ133" s="52">
        <f>SUM($T$1:$T132)</f>
        <v>11</v>
      </c>
      <c r="BR133" s="52" t="str">
        <f>IF(ISNUMBER($T133),IF($T133&gt;0,COUNTIF($T$2:$T133,"&gt;0"),""),"")</f>
        <v/>
      </c>
      <c r="BS133" s="52" t="str">
        <f>IF($BR133="","",$BQ133+$T133)</f>
        <v/>
      </c>
      <c r="BT133" s="52" t="str">
        <f>IF($U133="Ready",COUNTIF($U$2:$U133,"Ready"),"")</f>
        <v/>
      </c>
      <c r="BU133" s="52">
        <f>IF(AND($U133="Ready",$C133="Receipt"),IF(COUNTIF(Batches!$A$2:$A$301,$F133)+COUNTIFS($F$1:$F132,$F133,$C$1:$C132,"Receipt",$U$1:$U132,"Ready")=0,1,0),0)</f>
        <v>0</v>
      </c>
      <c r="BV133" s="52" t="str">
        <f>IF($BU133=1,SUM($BU$2:$BU133),"")</f>
        <v/>
      </c>
    </row>
    <row r="134">
      <c r="A134" s="46" t="n"/>
      <c r="B134" s="46" t="n"/>
      <c r="C134" s="46" t="n"/>
      <c r="D134" s="46" t="n"/>
      <c r="E134" s="46" t="n"/>
      <c r="F134" s="46" t="n"/>
      <c r="G134" s="46" t="n"/>
      <c r="H134" s="46" t="n"/>
      <c r="I134" s="46" t="n"/>
      <c r="J134" s="46" t="n"/>
      <c r="K134" s="46" t="n"/>
      <c r="L134" s="46" t="n"/>
      <c r="M134" s="62" t="str">
        <f>IF($B134="","",IF(ISNUMBER($B134),$B134,IF(AND(LEN($B134)=10,MID($B134,5,1)="-",MID($B134,8,1)="-"),IFERROR(IF(AND(MONTH(DATE(VALUE(LEFT($B134,4)),VALUE(MID($B134,6,2)),VALUE(RIGHT($B134,2))))=VALUE(MID($B134,6,2)),DAY(DATE(VALUE(LEFT($B134,4)),VALUE(MID($B134,6,2)),VALUE(RIGHT($B134,2))))=VALUE(RIGHT($B134,2))),DATE(VALUE(LEFT($B134,4)),VALUE(MID($B134,6,2)),VALUE(RIGHT($B134,2))),"ERR"),"ERR"),"ERR")))</f>
        <v/>
      </c>
      <c r="N134" s="62" t="str">
        <f>IF($G134="","",IF(ISNUMBER($G134),$G134,IF(AND(LEN($G134)=10,MID($G134,5,1)="-",MID($G134,8,1)="-"),IFERROR(IF(AND(MONTH(DATE(VALUE(LEFT($G134,4)),VALUE(MID($G134,6,2)),VALUE(RIGHT($G134,2))))=VALUE(MID($G134,6,2)),DAY(DATE(VALUE(LEFT($G134,4)),VALUE(MID($G134,6,2)),VALUE(RIGHT($G134,2))))=VALUE(RIGHT($G134,2))),DATE(VALUE(LEFT($G134,4)),VALUE(MID($G134,6,2)),VALUE(RIGHT($G134,2))),"ERR"),"ERR"),"ERR")))</f>
        <v/>
      </c>
      <c r="O134" s="51" t="str">
        <f>IF($H134="","",IF(ISNUMBER($H134),$H134,IFERROR(VALUE($H134),"ERR")))</f>
        <v/>
      </c>
      <c r="P134" s="51" t="str">
        <f>IF(AND(ISNUMBER($O134),OR($C134="Receipt",$C134="Shipment",$C134="Adjustment")),IF($C134="Shipment",-$O134,$O134),"")</f>
        <v/>
      </c>
      <c r="Q134" s="51" t="str">
        <f>IF($D134="","",IFERROR(INDEX(Products!$R$2:$R$101,MATCH($D134,Products!$A$2:$A$101,0)),""))</f>
        <v/>
      </c>
      <c r="R134" s="51" t="str">
        <f>IF(OR($Q134="",$P134=""),"",$Q134+SUMIFS($P$1:$P133,$D$1:$D133,$D134,$U$1:$U133,"Ready"))</f>
        <v/>
      </c>
      <c r="S134" s="51" t="str">
        <f>IF($R134="","",$R134+$P134)</f>
        <v/>
      </c>
      <c r="T134" s="52" t="str">
        <f>IF(COUNTA($A134:$L134)&gt;0,$BP134,"")</f>
        <v/>
      </c>
      <c r="U134" s="49" t="str">
        <f>IF($T134="","",IF($T134=0,"Ready","Rejected"))</f>
        <v/>
      </c>
      <c r="V134" s="49" t="str">
        <f>IF(OR($T134="",$T134=0),"",INDEX(Config!$D$39:$D$61,MATCH(1,$AT134:$BP134,0))&amp;IF($T134&gt;1," (+"&amp;($T134-1)&amp;" more)",""))</f>
        <v/>
      </c>
      <c r="W134" s="52">
        <f>IF(AND(COUNTA($A134:$L134)&gt;0,$A134=""),1,0)</f>
        <v>0</v>
      </c>
      <c r="X134" s="52">
        <f>IF(AND(COUNTA($A134:$L134)&gt;0,$A134&lt;&gt;""),IF(COUNTIF($A$1:$A133,$A134)&gt;0,1,0),0)</f>
        <v>0</v>
      </c>
      <c r="Y134" s="52">
        <f>IF(AND(COUNTA($A134:$L134)&gt;0,$A134&lt;&gt;""),IF(COUNTIF(Inventory_Ledger!$A$2:$A$2001,$A134)&gt;0,1,0),0)</f>
        <v>0</v>
      </c>
      <c r="Z134" s="52">
        <f>IF(AND(COUNTA($A134:$L134)&gt;0,$B134=""),1,0)</f>
        <v>0</v>
      </c>
      <c r="AA134" s="52">
        <f>IF(AND(COUNTA($A134:$L134)&gt;0,$B134&lt;&gt;""),IF($M134="ERR",1,0),0)</f>
        <v>0</v>
      </c>
      <c r="AB134" s="52">
        <f>IF(AND(COUNTA($A134:$L134)&gt;0,ISNUMBER($M134)),IF($M134&gt;Config!$B$4,1,0),0)</f>
        <v>0</v>
      </c>
      <c r="AC134" s="52">
        <f>IF(AND(COUNTA($A134:$L134)&gt;0,$C134=""),1,0)</f>
        <v>0</v>
      </c>
      <c r="AD134" s="52">
        <f>IF(AND(COUNTA($A134:$L134)&gt;0,$C134&lt;&gt;""),IF(COUNTIF(Config!$A$15:$A$34,$C134)=0,1,0),0)</f>
        <v>0</v>
      </c>
      <c r="AE134" s="52">
        <f>IF(AND(COUNTA($A134:$L134)&gt;0,$D134=""),1,0)</f>
        <v>0</v>
      </c>
      <c r="AF134" s="52">
        <f>IF(AND(COUNTA($A134:$L134)&gt;0,$D134&lt;&gt;""),IF(COUNTIF(Products!$A$2:$A$101,$D134)=0,1,0),0)</f>
        <v>0</v>
      </c>
      <c r="AG134" s="52">
        <f>IF(AND(COUNTA($A134:$L134)&gt;0,$C134="Receipt",$E134=""),1,0)</f>
        <v>0</v>
      </c>
      <c r="AH134" s="52">
        <f>IF(AND(COUNTA($A134:$L134)&gt;0,$E134&lt;&gt;""),IF(COUNTIF(Suppliers!$A$2:$A$51,$E134)=0,1,0),0)</f>
        <v>0</v>
      </c>
      <c r="AI134" s="52">
        <f>IF(AND(COUNTA($A134:$L134)&gt;0,$F134=""),1,0)</f>
        <v>0</v>
      </c>
      <c r="AJ134" s="52">
        <f>IF(AND(COUNTA($A134:$L134)&gt;0,$F134&lt;&gt;"",$D134&lt;&gt;"",OR($C134="Shipment",$C134="Adjustment")),IF($AF134=1,0,IF(COUNTIFS(Batches!$A$2:$A$301,$F134,Batches!$B$2:$B$301,$D134)+COUNTIFS($F$1:$F133,$F134,$D$1:$D133,$D134,$C$1:$C133,"Receipt")=0,1,0)),0)</f>
        <v>0</v>
      </c>
      <c r="AK134" s="52">
        <f>IF(AND(COUNTA($A134:$L134)&gt;0,$C134="Receipt",$G134=""),1,0)</f>
        <v>0</v>
      </c>
      <c r="AL134" s="52">
        <f>IF(AND(COUNTA($A134:$L134)&gt;0,$G134&lt;&gt;""),IF($N134="ERR",1,0),0)</f>
        <v>0</v>
      </c>
      <c r="AM134" s="52">
        <f>IF(AND(COUNTA($A134:$L134)&gt;0,$H134=""),1,0)</f>
        <v>0</v>
      </c>
      <c r="AN134" s="52">
        <f>IF(AND(COUNTA($A134:$L134)&gt;0,$H134&lt;&gt;""),IF($O134="ERR",1,IF(INT($O134)&lt;&gt;$O134,1,IF(AND(OR($C134="Receipt",$C134="Shipment"),$O134&lt;=0),1,IF(AND($C134="Adjustment",$O134=0),1,0)))),0)</f>
        <v>0</v>
      </c>
      <c r="AO134" s="52">
        <f>IF(AND(COUNTA($A134:$L134)&gt;0,$C134="Receipt",$I134=""),1,0)</f>
        <v>0</v>
      </c>
      <c r="AP134" s="52">
        <f>IF(AND(COUNTA($A134:$L134)&gt;0,$I134&lt;&gt;""),IF(IFERROR(INDEX(Config!$G$15:$G$34,MATCH($I134,Config!$E$15:$E$34,0)),"No")="Yes",0,1),0)</f>
        <v>0</v>
      </c>
      <c r="AQ134" s="52">
        <f>IF(AND(COUNTA($A134:$L134)&gt;0,$C134="Adjustment",$J134=""),1,0)</f>
        <v>0</v>
      </c>
      <c r="AR134" s="52">
        <f>IF(AND(COUNTA($A134:$L134)&gt;0,$L134=""),1,0)</f>
        <v>0</v>
      </c>
      <c r="AS134" s="52">
        <f>IF(AND(COUNTA($A134:$L134)&gt;0,ISNUMBER($S134)),IF($S134&lt;0,1,0),0)</f>
        <v>0</v>
      </c>
      <c r="AT134" s="52">
        <f>$W134</f>
        <v>0</v>
      </c>
      <c r="AU134" s="52">
        <f>$AT134+$X134</f>
        <v>0</v>
      </c>
      <c r="AV134" s="52">
        <f>$AU134+$Y134</f>
        <v>0</v>
      </c>
      <c r="AW134" s="52">
        <f>$AV134+$Z134</f>
        <v>0</v>
      </c>
      <c r="AX134" s="52">
        <f>$AW134+$AA134</f>
        <v>0</v>
      </c>
      <c r="AY134" s="52">
        <f>$AX134+$AB134</f>
        <v>0</v>
      </c>
      <c r="AZ134" s="52">
        <f>$AY134+$AC134</f>
        <v>0</v>
      </c>
      <c r="BA134" s="52">
        <f>$AZ134+$AD134</f>
        <v>0</v>
      </c>
      <c r="BB134" s="52">
        <f>$BA134+$AE134</f>
        <v>0</v>
      </c>
      <c r="BC134" s="52">
        <f>$BB134+$AF134</f>
        <v>0</v>
      </c>
      <c r="BD134" s="52">
        <f>$BC134+$AG134</f>
        <v>0</v>
      </c>
      <c r="BE134" s="52">
        <f>$BD134+$AH134</f>
        <v>0</v>
      </c>
      <c r="BF134" s="52">
        <f>$BE134+$AI134</f>
        <v>0</v>
      </c>
      <c r="BG134" s="52">
        <f>$BF134+$AJ134</f>
        <v>0</v>
      </c>
      <c r="BH134" s="52">
        <f>$BG134+$AK134</f>
        <v>0</v>
      </c>
      <c r="BI134" s="52">
        <f>$BH134+$AL134</f>
        <v>0</v>
      </c>
      <c r="BJ134" s="52">
        <f>$BI134+$AM134</f>
        <v>0</v>
      </c>
      <c r="BK134" s="52">
        <f>$BJ134+$AN134</f>
        <v>0</v>
      </c>
      <c r="BL134" s="52">
        <f>$BK134+$AO134</f>
        <v>0</v>
      </c>
      <c r="BM134" s="52">
        <f>$BL134+$AP134</f>
        <v>0</v>
      </c>
      <c r="BN134" s="52">
        <f>$BM134+$AQ134</f>
        <v>0</v>
      </c>
      <c r="BO134" s="52">
        <f>$BN134+$AR134</f>
        <v>0</v>
      </c>
      <c r="BP134" s="52">
        <f>$BO134+$AS134</f>
        <v>0</v>
      </c>
      <c r="BQ134" s="52">
        <f>SUM($T$1:$T133)</f>
        <v>11</v>
      </c>
      <c r="BR134" s="52" t="str">
        <f>IF(ISNUMBER($T134),IF($T134&gt;0,COUNTIF($T$2:$T134,"&gt;0"),""),"")</f>
        <v/>
      </c>
      <c r="BS134" s="52" t="str">
        <f>IF($BR134="","",$BQ134+$T134)</f>
        <v/>
      </c>
      <c r="BT134" s="52" t="str">
        <f>IF($U134="Ready",COUNTIF($U$2:$U134,"Ready"),"")</f>
        <v/>
      </c>
      <c r="BU134" s="52">
        <f>IF(AND($U134="Ready",$C134="Receipt"),IF(COUNTIF(Batches!$A$2:$A$301,$F134)+COUNTIFS($F$1:$F133,$F134,$C$1:$C133,"Receipt",$U$1:$U133,"Ready")=0,1,0),0)</f>
        <v>0</v>
      </c>
      <c r="BV134" s="52" t="str">
        <f>IF($BU134=1,SUM($BU$2:$BU134),"")</f>
        <v/>
      </c>
    </row>
    <row r="135">
      <c r="A135" s="46" t="n"/>
      <c r="B135" s="46" t="n"/>
      <c r="C135" s="46" t="n"/>
      <c r="D135" s="46" t="n"/>
      <c r="E135" s="46" t="n"/>
      <c r="F135" s="46" t="n"/>
      <c r="G135" s="46" t="n"/>
      <c r="H135" s="46" t="n"/>
      <c r="I135" s="46" t="n"/>
      <c r="J135" s="46" t="n"/>
      <c r="K135" s="46" t="n"/>
      <c r="L135" s="46" t="n"/>
      <c r="M135" s="62" t="str">
        <f>IF($B135="","",IF(ISNUMBER($B135),$B135,IF(AND(LEN($B135)=10,MID($B135,5,1)="-",MID($B135,8,1)="-"),IFERROR(IF(AND(MONTH(DATE(VALUE(LEFT($B135,4)),VALUE(MID($B135,6,2)),VALUE(RIGHT($B135,2))))=VALUE(MID($B135,6,2)),DAY(DATE(VALUE(LEFT($B135,4)),VALUE(MID($B135,6,2)),VALUE(RIGHT($B135,2))))=VALUE(RIGHT($B135,2))),DATE(VALUE(LEFT($B135,4)),VALUE(MID($B135,6,2)),VALUE(RIGHT($B135,2))),"ERR"),"ERR"),"ERR")))</f>
        <v/>
      </c>
      <c r="N135" s="62" t="str">
        <f>IF($G135="","",IF(ISNUMBER($G135),$G135,IF(AND(LEN($G135)=10,MID($G135,5,1)="-",MID($G135,8,1)="-"),IFERROR(IF(AND(MONTH(DATE(VALUE(LEFT($G135,4)),VALUE(MID($G135,6,2)),VALUE(RIGHT($G135,2))))=VALUE(MID($G135,6,2)),DAY(DATE(VALUE(LEFT($G135,4)),VALUE(MID($G135,6,2)),VALUE(RIGHT($G135,2))))=VALUE(RIGHT($G135,2))),DATE(VALUE(LEFT($G135,4)),VALUE(MID($G135,6,2)),VALUE(RIGHT($G135,2))),"ERR"),"ERR"),"ERR")))</f>
        <v/>
      </c>
      <c r="O135" s="51" t="str">
        <f>IF($H135="","",IF(ISNUMBER($H135),$H135,IFERROR(VALUE($H135),"ERR")))</f>
        <v/>
      </c>
      <c r="P135" s="51" t="str">
        <f>IF(AND(ISNUMBER($O135),OR($C135="Receipt",$C135="Shipment",$C135="Adjustment")),IF($C135="Shipment",-$O135,$O135),"")</f>
        <v/>
      </c>
      <c r="Q135" s="51" t="str">
        <f>IF($D135="","",IFERROR(INDEX(Products!$R$2:$R$101,MATCH($D135,Products!$A$2:$A$101,0)),""))</f>
        <v/>
      </c>
      <c r="R135" s="51" t="str">
        <f>IF(OR($Q135="",$P135=""),"",$Q135+SUMIFS($P$1:$P134,$D$1:$D134,$D135,$U$1:$U134,"Ready"))</f>
        <v/>
      </c>
      <c r="S135" s="51" t="str">
        <f>IF($R135="","",$R135+$P135)</f>
        <v/>
      </c>
      <c r="T135" s="52" t="str">
        <f>IF(COUNTA($A135:$L135)&gt;0,$BP135,"")</f>
        <v/>
      </c>
      <c r="U135" s="49" t="str">
        <f>IF($T135="","",IF($T135=0,"Ready","Rejected"))</f>
        <v/>
      </c>
      <c r="V135" s="49" t="str">
        <f>IF(OR($T135="",$T135=0),"",INDEX(Config!$D$39:$D$61,MATCH(1,$AT135:$BP135,0))&amp;IF($T135&gt;1," (+"&amp;($T135-1)&amp;" more)",""))</f>
        <v/>
      </c>
      <c r="W135" s="52">
        <f>IF(AND(COUNTA($A135:$L135)&gt;0,$A135=""),1,0)</f>
        <v>0</v>
      </c>
      <c r="X135" s="52">
        <f>IF(AND(COUNTA($A135:$L135)&gt;0,$A135&lt;&gt;""),IF(COUNTIF($A$1:$A134,$A135)&gt;0,1,0),0)</f>
        <v>0</v>
      </c>
      <c r="Y135" s="52">
        <f>IF(AND(COUNTA($A135:$L135)&gt;0,$A135&lt;&gt;""),IF(COUNTIF(Inventory_Ledger!$A$2:$A$2001,$A135)&gt;0,1,0),0)</f>
        <v>0</v>
      </c>
      <c r="Z135" s="52">
        <f>IF(AND(COUNTA($A135:$L135)&gt;0,$B135=""),1,0)</f>
        <v>0</v>
      </c>
      <c r="AA135" s="52">
        <f>IF(AND(COUNTA($A135:$L135)&gt;0,$B135&lt;&gt;""),IF($M135="ERR",1,0),0)</f>
        <v>0</v>
      </c>
      <c r="AB135" s="52">
        <f>IF(AND(COUNTA($A135:$L135)&gt;0,ISNUMBER($M135)),IF($M135&gt;Config!$B$4,1,0),0)</f>
        <v>0</v>
      </c>
      <c r="AC135" s="52">
        <f>IF(AND(COUNTA($A135:$L135)&gt;0,$C135=""),1,0)</f>
        <v>0</v>
      </c>
      <c r="AD135" s="52">
        <f>IF(AND(COUNTA($A135:$L135)&gt;0,$C135&lt;&gt;""),IF(COUNTIF(Config!$A$15:$A$34,$C135)=0,1,0),0)</f>
        <v>0</v>
      </c>
      <c r="AE135" s="52">
        <f>IF(AND(COUNTA($A135:$L135)&gt;0,$D135=""),1,0)</f>
        <v>0</v>
      </c>
      <c r="AF135" s="52">
        <f>IF(AND(COUNTA($A135:$L135)&gt;0,$D135&lt;&gt;""),IF(COUNTIF(Products!$A$2:$A$101,$D135)=0,1,0),0)</f>
        <v>0</v>
      </c>
      <c r="AG135" s="52">
        <f>IF(AND(COUNTA($A135:$L135)&gt;0,$C135="Receipt",$E135=""),1,0)</f>
        <v>0</v>
      </c>
      <c r="AH135" s="52">
        <f>IF(AND(COUNTA($A135:$L135)&gt;0,$E135&lt;&gt;""),IF(COUNTIF(Suppliers!$A$2:$A$51,$E135)=0,1,0),0)</f>
        <v>0</v>
      </c>
      <c r="AI135" s="52">
        <f>IF(AND(COUNTA($A135:$L135)&gt;0,$F135=""),1,0)</f>
        <v>0</v>
      </c>
      <c r="AJ135" s="52">
        <f>IF(AND(COUNTA($A135:$L135)&gt;0,$F135&lt;&gt;"",$D135&lt;&gt;"",OR($C135="Shipment",$C135="Adjustment")),IF($AF135=1,0,IF(COUNTIFS(Batches!$A$2:$A$301,$F135,Batches!$B$2:$B$301,$D135)+COUNTIFS($F$1:$F134,$F135,$D$1:$D134,$D135,$C$1:$C134,"Receipt")=0,1,0)),0)</f>
        <v>0</v>
      </c>
      <c r="AK135" s="52">
        <f>IF(AND(COUNTA($A135:$L135)&gt;0,$C135="Receipt",$G135=""),1,0)</f>
        <v>0</v>
      </c>
      <c r="AL135" s="52">
        <f>IF(AND(COUNTA($A135:$L135)&gt;0,$G135&lt;&gt;""),IF($N135="ERR",1,0),0)</f>
        <v>0</v>
      </c>
      <c r="AM135" s="52">
        <f>IF(AND(COUNTA($A135:$L135)&gt;0,$H135=""),1,0)</f>
        <v>0</v>
      </c>
      <c r="AN135" s="52">
        <f>IF(AND(COUNTA($A135:$L135)&gt;0,$H135&lt;&gt;""),IF($O135="ERR",1,IF(INT($O135)&lt;&gt;$O135,1,IF(AND(OR($C135="Receipt",$C135="Shipment"),$O135&lt;=0),1,IF(AND($C135="Adjustment",$O135=0),1,0)))),0)</f>
        <v>0</v>
      </c>
      <c r="AO135" s="52">
        <f>IF(AND(COUNTA($A135:$L135)&gt;0,$C135="Receipt",$I135=""),1,0)</f>
        <v>0</v>
      </c>
      <c r="AP135" s="52">
        <f>IF(AND(COUNTA($A135:$L135)&gt;0,$I135&lt;&gt;""),IF(IFERROR(INDEX(Config!$G$15:$G$34,MATCH($I135,Config!$E$15:$E$34,0)),"No")="Yes",0,1),0)</f>
        <v>0</v>
      </c>
      <c r="AQ135" s="52">
        <f>IF(AND(COUNTA($A135:$L135)&gt;0,$C135="Adjustment",$J135=""),1,0)</f>
        <v>0</v>
      </c>
      <c r="AR135" s="52">
        <f>IF(AND(COUNTA($A135:$L135)&gt;0,$L135=""),1,0)</f>
        <v>0</v>
      </c>
      <c r="AS135" s="52">
        <f>IF(AND(COUNTA($A135:$L135)&gt;0,ISNUMBER($S135)),IF($S135&lt;0,1,0),0)</f>
        <v>0</v>
      </c>
      <c r="AT135" s="52">
        <f>$W135</f>
        <v>0</v>
      </c>
      <c r="AU135" s="52">
        <f>$AT135+$X135</f>
        <v>0</v>
      </c>
      <c r="AV135" s="52">
        <f>$AU135+$Y135</f>
        <v>0</v>
      </c>
      <c r="AW135" s="52">
        <f>$AV135+$Z135</f>
        <v>0</v>
      </c>
      <c r="AX135" s="52">
        <f>$AW135+$AA135</f>
        <v>0</v>
      </c>
      <c r="AY135" s="52">
        <f>$AX135+$AB135</f>
        <v>0</v>
      </c>
      <c r="AZ135" s="52">
        <f>$AY135+$AC135</f>
        <v>0</v>
      </c>
      <c r="BA135" s="52">
        <f>$AZ135+$AD135</f>
        <v>0</v>
      </c>
      <c r="BB135" s="52">
        <f>$BA135+$AE135</f>
        <v>0</v>
      </c>
      <c r="BC135" s="52">
        <f>$BB135+$AF135</f>
        <v>0</v>
      </c>
      <c r="BD135" s="52">
        <f>$BC135+$AG135</f>
        <v>0</v>
      </c>
      <c r="BE135" s="52">
        <f>$BD135+$AH135</f>
        <v>0</v>
      </c>
      <c r="BF135" s="52">
        <f>$BE135+$AI135</f>
        <v>0</v>
      </c>
      <c r="BG135" s="52">
        <f>$BF135+$AJ135</f>
        <v>0</v>
      </c>
      <c r="BH135" s="52">
        <f>$BG135+$AK135</f>
        <v>0</v>
      </c>
      <c r="BI135" s="52">
        <f>$BH135+$AL135</f>
        <v>0</v>
      </c>
      <c r="BJ135" s="52">
        <f>$BI135+$AM135</f>
        <v>0</v>
      </c>
      <c r="BK135" s="52">
        <f>$BJ135+$AN135</f>
        <v>0</v>
      </c>
      <c r="BL135" s="52">
        <f>$BK135+$AO135</f>
        <v>0</v>
      </c>
      <c r="BM135" s="52">
        <f>$BL135+$AP135</f>
        <v>0</v>
      </c>
      <c r="BN135" s="52">
        <f>$BM135+$AQ135</f>
        <v>0</v>
      </c>
      <c r="BO135" s="52">
        <f>$BN135+$AR135</f>
        <v>0</v>
      </c>
      <c r="BP135" s="52">
        <f>$BO135+$AS135</f>
        <v>0</v>
      </c>
      <c r="BQ135" s="52">
        <f>SUM($T$1:$T134)</f>
        <v>11</v>
      </c>
      <c r="BR135" s="52" t="str">
        <f>IF(ISNUMBER($T135),IF($T135&gt;0,COUNTIF($T$2:$T135,"&gt;0"),""),"")</f>
        <v/>
      </c>
      <c r="BS135" s="52" t="str">
        <f>IF($BR135="","",$BQ135+$T135)</f>
        <v/>
      </c>
      <c r="BT135" s="52" t="str">
        <f>IF($U135="Ready",COUNTIF($U$2:$U135,"Ready"),"")</f>
        <v/>
      </c>
      <c r="BU135" s="52">
        <f>IF(AND($U135="Ready",$C135="Receipt"),IF(COUNTIF(Batches!$A$2:$A$301,$F135)+COUNTIFS($F$1:$F134,$F135,$C$1:$C134,"Receipt",$U$1:$U134,"Ready")=0,1,0),0)</f>
        <v>0</v>
      </c>
      <c r="BV135" s="52" t="str">
        <f>IF($BU135=1,SUM($BU$2:$BU135),"")</f>
        <v/>
      </c>
    </row>
    <row r="136">
      <c r="A136" s="46" t="n"/>
      <c r="B136" s="46" t="n"/>
      <c r="C136" s="46" t="n"/>
      <c r="D136" s="46" t="n"/>
      <c r="E136" s="46" t="n"/>
      <c r="F136" s="46" t="n"/>
      <c r="G136" s="46" t="n"/>
      <c r="H136" s="46" t="n"/>
      <c r="I136" s="46" t="n"/>
      <c r="J136" s="46" t="n"/>
      <c r="K136" s="46" t="n"/>
      <c r="L136" s="46" t="n"/>
      <c r="M136" s="62" t="str">
        <f>IF($B136="","",IF(ISNUMBER($B136),$B136,IF(AND(LEN($B136)=10,MID($B136,5,1)="-",MID($B136,8,1)="-"),IFERROR(IF(AND(MONTH(DATE(VALUE(LEFT($B136,4)),VALUE(MID($B136,6,2)),VALUE(RIGHT($B136,2))))=VALUE(MID($B136,6,2)),DAY(DATE(VALUE(LEFT($B136,4)),VALUE(MID($B136,6,2)),VALUE(RIGHT($B136,2))))=VALUE(RIGHT($B136,2))),DATE(VALUE(LEFT($B136,4)),VALUE(MID($B136,6,2)),VALUE(RIGHT($B136,2))),"ERR"),"ERR"),"ERR")))</f>
        <v/>
      </c>
      <c r="N136" s="62" t="str">
        <f>IF($G136="","",IF(ISNUMBER($G136),$G136,IF(AND(LEN($G136)=10,MID($G136,5,1)="-",MID($G136,8,1)="-"),IFERROR(IF(AND(MONTH(DATE(VALUE(LEFT($G136,4)),VALUE(MID($G136,6,2)),VALUE(RIGHT($G136,2))))=VALUE(MID($G136,6,2)),DAY(DATE(VALUE(LEFT($G136,4)),VALUE(MID($G136,6,2)),VALUE(RIGHT($G136,2))))=VALUE(RIGHT($G136,2))),DATE(VALUE(LEFT($G136,4)),VALUE(MID($G136,6,2)),VALUE(RIGHT($G136,2))),"ERR"),"ERR"),"ERR")))</f>
        <v/>
      </c>
      <c r="O136" s="51" t="str">
        <f>IF($H136="","",IF(ISNUMBER($H136),$H136,IFERROR(VALUE($H136),"ERR")))</f>
        <v/>
      </c>
      <c r="P136" s="51" t="str">
        <f>IF(AND(ISNUMBER($O136),OR($C136="Receipt",$C136="Shipment",$C136="Adjustment")),IF($C136="Shipment",-$O136,$O136),"")</f>
        <v/>
      </c>
      <c r="Q136" s="51" t="str">
        <f>IF($D136="","",IFERROR(INDEX(Products!$R$2:$R$101,MATCH($D136,Products!$A$2:$A$101,0)),""))</f>
        <v/>
      </c>
      <c r="R136" s="51" t="str">
        <f>IF(OR($Q136="",$P136=""),"",$Q136+SUMIFS($P$1:$P135,$D$1:$D135,$D136,$U$1:$U135,"Ready"))</f>
        <v/>
      </c>
      <c r="S136" s="51" t="str">
        <f>IF($R136="","",$R136+$P136)</f>
        <v/>
      </c>
      <c r="T136" s="52" t="str">
        <f>IF(COUNTA($A136:$L136)&gt;0,$BP136,"")</f>
        <v/>
      </c>
      <c r="U136" s="49" t="str">
        <f>IF($T136="","",IF($T136=0,"Ready","Rejected"))</f>
        <v/>
      </c>
      <c r="V136" s="49" t="str">
        <f>IF(OR($T136="",$T136=0),"",INDEX(Config!$D$39:$D$61,MATCH(1,$AT136:$BP136,0))&amp;IF($T136&gt;1," (+"&amp;($T136-1)&amp;" more)",""))</f>
        <v/>
      </c>
      <c r="W136" s="52">
        <f>IF(AND(COUNTA($A136:$L136)&gt;0,$A136=""),1,0)</f>
        <v>0</v>
      </c>
      <c r="X136" s="52">
        <f>IF(AND(COUNTA($A136:$L136)&gt;0,$A136&lt;&gt;""),IF(COUNTIF($A$1:$A135,$A136)&gt;0,1,0),0)</f>
        <v>0</v>
      </c>
      <c r="Y136" s="52">
        <f>IF(AND(COUNTA($A136:$L136)&gt;0,$A136&lt;&gt;""),IF(COUNTIF(Inventory_Ledger!$A$2:$A$2001,$A136)&gt;0,1,0),0)</f>
        <v>0</v>
      </c>
      <c r="Z136" s="52">
        <f>IF(AND(COUNTA($A136:$L136)&gt;0,$B136=""),1,0)</f>
        <v>0</v>
      </c>
      <c r="AA136" s="52">
        <f>IF(AND(COUNTA($A136:$L136)&gt;0,$B136&lt;&gt;""),IF($M136="ERR",1,0),0)</f>
        <v>0</v>
      </c>
      <c r="AB136" s="52">
        <f>IF(AND(COUNTA($A136:$L136)&gt;0,ISNUMBER($M136)),IF($M136&gt;Config!$B$4,1,0),0)</f>
        <v>0</v>
      </c>
      <c r="AC136" s="52">
        <f>IF(AND(COUNTA($A136:$L136)&gt;0,$C136=""),1,0)</f>
        <v>0</v>
      </c>
      <c r="AD136" s="52">
        <f>IF(AND(COUNTA($A136:$L136)&gt;0,$C136&lt;&gt;""),IF(COUNTIF(Config!$A$15:$A$34,$C136)=0,1,0),0)</f>
        <v>0</v>
      </c>
      <c r="AE136" s="52">
        <f>IF(AND(COUNTA($A136:$L136)&gt;0,$D136=""),1,0)</f>
        <v>0</v>
      </c>
      <c r="AF136" s="52">
        <f>IF(AND(COUNTA($A136:$L136)&gt;0,$D136&lt;&gt;""),IF(COUNTIF(Products!$A$2:$A$101,$D136)=0,1,0),0)</f>
        <v>0</v>
      </c>
      <c r="AG136" s="52">
        <f>IF(AND(COUNTA($A136:$L136)&gt;0,$C136="Receipt",$E136=""),1,0)</f>
        <v>0</v>
      </c>
      <c r="AH136" s="52">
        <f>IF(AND(COUNTA($A136:$L136)&gt;0,$E136&lt;&gt;""),IF(COUNTIF(Suppliers!$A$2:$A$51,$E136)=0,1,0),0)</f>
        <v>0</v>
      </c>
      <c r="AI136" s="52">
        <f>IF(AND(COUNTA($A136:$L136)&gt;0,$F136=""),1,0)</f>
        <v>0</v>
      </c>
      <c r="AJ136" s="52">
        <f>IF(AND(COUNTA($A136:$L136)&gt;0,$F136&lt;&gt;"",$D136&lt;&gt;"",OR($C136="Shipment",$C136="Adjustment")),IF($AF136=1,0,IF(COUNTIFS(Batches!$A$2:$A$301,$F136,Batches!$B$2:$B$301,$D136)+COUNTIFS($F$1:$F135,$F136,$D$1:$D135,$D136,$C$1:$C135,"Receipt")=0,1,0)),0)</f>
        <v>0</v>
      </c>
      <c r="AK136" s="52">
        <f>IF(AND(COUNTA($A136:$L136)&gt;0,$C136="Receipt",$G136=""),1,0)</f>
        <v>0</v>
      </c>
      <c r="AL136" s="52">
        <f>IF(AND(COUNTA($A136:$L136)&gt;0,$G136&lt;&gt;""),IF($N136="ERR",1,0),0)</f>
        <v>0</v>
      </c>
      <c r="AM136" s="52">
        <f>IF(AND(COUNTA($A136:$L136)&gt;0,$H136=""),1,0)</f>
        <v>0</v>
      </c>
      <c r="AN136" s="52">
        <f>IF(AND(COUNTA($A136:$L136)&gt;0,$H136&lt;&gt;""),IF($O136="ERR",1,IF(INT($O136)&lt;&gt;$O136,1,IF(AND(OR($C136="Receipt",$C136="Shipment"),$O136&lt;=0),1,IF(AND($C136="Adjustment",$O136=0),1,0)))),0)</f>
        <v>0</v>
      </c>
      <c r="AO136" s="52">
        <f>IF(AND(COUNTA($A136:$L136)&gt;0,$C136="Receipt",$I136=""),1,0)</f>
        <v>0</v>
      </c>
      <c r="AP136" s="52">
        <f>IF(AND(COUNTA($A136:$L136)&gt;0,$I136&lt;&gt;""),IF(IFERROR(INDEX(Config!$G$15:$G$34,MATCH($I136,Config!$E$15:$E$34,0)),"No")="Yes",0,1),0)</f>
        <v>0</v>
      </c>
      <c r="AQ136" s="52">
        <f>IF(AND(COUNTA($A136:$L136)&gt;0,$C136="Adjustment",$J136=""),1,0)</f>
        <v>0</v>
      </c>
      <c r="AR136" s="52">
        <f>IF(AND(COUNTA($A136:$L136)&gt;0,$L136=""),1,0)</f>
        <v>0</v>
      </c>
      <c r="AS136" s="52">
        <f>IF(AND(COUNTA($A136:$L136)&gt;0,ISNUMBER($S136)),IF($S136&lt;0,1,0),0)</f>
        <v>0</v>
      </c>
      <c r="AT136" s="52">
        <f>$W136</f>
        <v>0</v>
      </c>
      <c r="AU136" s="52">
        <f>$AT136+$X136</f>
        <v>0</v>
      </c>
      <c r="AV136" s="52">
        <f>$AU136+$Y136</f>
        <v>0</v>
      </c>
      <c r="AW136" s="52">
        <f>$AV136+$Z136</f>
        <v>0</v>
      </c>
      <c r="AX136" s="52">
        <f>$AW136+$AA136</f>
        <v>0</v>
      </c>
      <c r="AY136" s="52">
        <f>$AX136+$AB136</f>
        <v>0</v>
      </c>
      <c r="AZ136" s="52">
        <f>$AY136+$AC136</f>
        <v>0</v>
      </c>
      <c r="BA136" s="52">
        <f>$AZ136+$AD136</f>
        <v>0</v>
      </c>
      <c r="BB136" s="52">
        <f>$BA136+$AE136</f>
        <v>0</v>
      </c>
      <c r="BC136" s="52">
        <f>$BB136+$AF136</f>
        <v>0</v>
      </c>
      <c r="BD136" s="52">
        <f>$BC136+$AG136</f>
        <v>0</v>
      </c>
      <c r="BE136" s="52">
        <f>$BD136+$AH136</f>
        <v>0</v>
      </c>
      <c r="BF136" s="52">
        <f>$BE136+$AI136</f>
        <v>0</v>
      </c>
      <c r="BG136" s="52">
        <f>$BF136+$AJ136</f>
        <v>0</v>
      </c>
      <c r="BH136" s="52">
        <f>$BG136+$AK136</f>
        <v>0</v>
      </c>
      <c r="BI136" s="52">
        <f>$BH136+$AL136</f>
        <v>0</v>
      </c>
      <c r="BJ136" s="52">
        <f>$BI136+$AM136</f>
        <v>0</v>
      </c>
      <c r="BK136" s="52">
        <f>$BJ136+$AN136</f>
        <v>0</v>
      </c>
      <c r="BL136" s="52">
        <f>$BK136+$AO136</f>
        <v>0</v>
      </c>
      <c r="BM136" s="52">
        <f>$BL136+$AP136</f>
        <v>0</v>
      </c>
      <c r="BN136" s="52">
        <f>$BM136+$AQ136</f>
        <v>0</v>
      </c>
      <c r="BO136" s="52">
        <f>$BN136+$AR136</f>
        <v>0</v>
      </c>
      <c r="BP136" s="52">
        <f>$BO136+$AS136</f>
        <v>0</v>
      </c>
      <c r="BQ136" s="52">
        <f>SUM($T$1:$T135)</f>
        <v>11</v>
      </c>
      <c r="BR136" s="52" t="str">
        <f>IF(ISNUMBER($T136),IF($T136&gt;0,COUNTIF($T$2:$T136,"&gt;0"),""),"")</f>
        <v/>
      </c>
      <c r="BS136" s="52" t="str">
        <f>IF($BR136="","",$BQ136+$T136)</f>
        <v/>
      </c>
      <c r="BT136" s="52" t="str">
        <f>IF($U136="Ready",COUNTIF($U$2:$U136,"Ready"),"")</f>
        <v/>
      </c>
      <c r="BU136" s="52">
        <f>IF(AND($U136="Ready",$C136="Receipt"),IF(COUNTIF(Batches!$A$2:$A$301,$F136)+COUNTIFS($F$1:$F135,$F136,$C$1:$C135,"Receipt",$U$1:$U135,"Ready")=0,1,0),0)</f>
        <v>0</v>
      </c>
      <c r="BV136" s="52" t="str">
        <f>IF($BU136=1,SUM($BU$2:$BU136),"")</f>
        <v/>
      </c>
    </row>
    <row r="137">
      <c r="A137" s="46" t="n"/>
      <c r="B137" s="46" t="n"/>
      <c r="C137" s="46" t="n"/>
      <c r="D137" s="46" t="n"/>
      <c r="E137" s="46" t="n"/>
      <c r="F137" s="46" t="n"/>
      <c r="G137" s="46" t="n"/>
      <c r="H137" s="46" t="n"/>
      <c r="I137" s="46" t="n"/>
      <c r="J137" s="46" t="n"/>
      <c r="K137" s="46" t="n"/>
      <c r="L137" s="46" t="n"/>
      <c r="M137" s="62" t="str">
        <f>IF($B137="","",IF(ISNUMBER($B137),$B137,IF(AND(LEN($B137)=10,MID($B137,5,1)="-",MID($B137,8,1)="-"),IFERROR(IF(AND(MONTH(DATE(VALUE(LEFT($B137,4)),VALUE(MID($B137,6,2)),VALUE(RIGHT($B137,2))))=VALUE(MID($B137,6,2)),DAY(DATE(VALUE(LEFT($B137,4)),VALUE(MID($B137,6,2)),VALUE(RIGHT($B137,2))))=VALUE(RIGHT($B137,2))),DATE(VALUE(LEFT($B137,4)),VALUE(MID($B137,6,2)),VALUE(RIGHT($B137,2))),"ERR"),"ERR"),"ERR")))</f>
        <v/>
      </c>
      <c r="N137" s="62" t="str">
        <f>IF($G137="","",IF(ISNUMBER($G137),$G137,IF(AND(LEN($G137)=10,MID($G137,5,1)="-",MID($G137,8,1)="-"),IFERROR(IF(AND(MONTH(DATE(VALUE(LEFT($G137,4)),VALUE(MID($G137,6,2)),VALUE(RIGHT($G137,2))))=VALUE(MID($G137,6,2)),DAY(DATE(VALUE(LEFT($G137,4)),VALUE(MID($G137,6,2)),VALUE(RIGHT($G137,2))))=VALUE(RIGHT($G137,2))),DATE(VALUE(LEFT($G137,4)),VALUE(MID($G137,6,2)),VALUE(RIGHT($G137,2))),"ERR"),"ERR"),"ERR")))</f>
        <v/>
      </c>
      <c r="O137" s="51" t="str">
        <f>IF($H137="","",IF(ISNUMBER($H137),$H137,IFERROR(VALUE($H137),"ERR")))</f>
        <v/>
      </c>
      <c r="P137" s="51" t="str">
        <f>IF(AND(ISNUMBER($O137),OR($C137="Receipt",$C137="Shipment",$C137="Adjustment")),IF($C137="Shipment",-$O137,$O137),"")</f>
        <v/>
      </c>
      <c r="Q137" s="51" t="str">
        <f>IF($D137="","",IFERROR(INDEX(Products!$R$2:$R$101,MATCH($D137,Products!$A$2:$A$101,0)),""))</f>
        <v/>
      </c>
      <c r="R137" s="51" t="str">
        <f>IF(OR($Q137="",$P137=""),"",$Q137+SUMIFS($P$1:$P136,$D$1:$D136,$D137,$U$1:$U136,"Ready"))</f>
        <v/>
      </c>
      <c r="S137" s="51" t="str">
        <f>IF($R137="","",$R137+$P137)</f>
        <v/>
      </c>
      <c r="T137" s="52" t="str">
        <f>IF(COUNTA($A137:$L137)&gt;0,$BP137,"")</f>
        <v/>
      </c>
      <c r="U137" s="49" t="str">
        <f>IF($T137="","",IF($T137=0,"Ready","Rejected"))</f>
        <v/>
      </c>
      <c r="V137" s="49" t="str">
        <f>IF(OR($T137="",$T137=0),"",INDEX(Config!$D$39:$D$61,MATCH(1,$AT137:$BP137,0))&amp;IF($T137&gt;1," (+"&amp;($T137-1)&amp;" more)",""))</f>
        <v/>
      </c>
      <c r="W137" s="52">
        <f>IF(AND(COUNTA($A137:$L137)&gt;0,$A137=""),1,0)</f>
        <v>0</v>
      </c>
      <c r="X137" s="52">
        <f>IF(AND(COUNTA($A137:$L137)&gt;0,$A137&lt;&gt;""),IF(COUNTIF($A$1:$A136,$A137)&gt;0,1,0),0)</f>
        <v>0</v>
      </c>
      <c r="Y137" s="52">
        <f>IF(AND(COUNTA($A137:$L137)&gt;0,$A137&lt;&gt;""),IF(COUNTIF(Inventory_Ledger!$A$2:$A$2001,$A137)&gt;0,1,0),0)</f>
        <v>0</v>
      </c>
      <c r="Z137" s="52">
        <f>IF(AND(COUNTA($A137:$L137)&gt;0,$B137=""),1,0)</f>
        <v>0</v>
      </c>
      <c r="AA137" s="52">
        <f>IF(AND(COUNTA($A137:$L137)&gt;0,$B137&lt;&gt;""),IF($M137="ERR",1,0),0)</f>
        <v>0</v>
      </c>
      <c r="AB137" s="52">
        <f>IF(AND(COUNTA($A137:$L137)&gt;0,ISNUMBER($M137)),IF($M137&gt;Config!$B$4,1,0),0)</f>
        <v>0</v>
      </c>
      <c r="AC137" s="52">
        <f>IF(AND(COUNTA($A137:$L137)&gt;0,$C137=""),1,0)</f>
        <v>0</v>
      </c>
      <c r="AD137" s="52">
        <f>IF(AND(COUNTA($A137:$L137)&gt;0,$C137&lt;&gt;""),IF(COUNTIF(Config!$A$15:$A$34,$C137)=0,1,0),0)</f>
        <v>0</v>
      </c>
      <c r="AE137" s="52">
        <f>IF(AND(COUNTA($A137:$L137)&gt;0,$D137=""),1,0)</f>
        <v>0</v>
      </c>
      <c r="AF137" s="52">
        <f>IF(AND(COUNTA($A137:$L137)&gt;0,$D137&lt;&gt;""),IF(COUNTIF(Products!$A$2:$A$101,$D137)=0,1,0),0)</f>
        <v>0</v>
      </c>
      <c r="AG137" s="52">
        <f>IF(AND(COUNTA($A137:$L137)&gt;0,$C137="Receipt",$E137=""),1,0)</f>
        <v>0</v>
      </c>
      <c r="AH137" s="52">
        <f>IF(AND(COUNTA($A137:$L137)&gt;0,$E137&lt;&gt;""),IF(COUNTIF(Suppliers!$A$2:$A$51,$E137)=0,1,0),0)</f>
        <v>0</v>
      </c>
      <c r="AI137" s="52">
        <f>IF(AND(COUNTA($A137:$L137)&gt;0,$F137=""),1,0)</f>
        <v>0</v>
      </c>
      <c r="AJ137" s="52">
        <f>IF(AND(COUNTA($A137:$L137)&gt;0,$F137&lt;&gt;"",$D137&lt;&gt;"",OR($C137="Shipment",$C137="Adjustment")),IF($AF137=1,0,IF(COUNTIFS(Batches!$A$2:$A$301,$F137,Batches!$B$2:$B$301,$D137)+COUNTIFS($F$1:$F136,$F137,$D$1:$D136,$D137,$C$1:$C136,"Receipt")=0,1,0)),0)</f>
        <v>0</v>
      </c>
      <c r="AK137" s="52">
        <f>IF(AND(COUNTA($A137:$L137)&gt;0,$C137="Receipt",$G137=""),1,0)</f>
        <v>0</v>
      </c>
      <c r="AL137" s="52">
        <f>IF(AND(COUNTA($A137:$L137)&gt;0,$G137&lt;&gt;""),IF($N137="ERR",1,0),0)</f>
        <v>0</v>
      </c>
      <c r="AM137" s="52">
        <f>IF(AND(COUNTA($A137:$L137)&gt;0,$H137=""),1,0)</f>
        <v>0</v>
      </c>
      <c r="AN137" s="52">
        <f>IF(AND(COUNTA($A137:$L137)&gt;0,$H137&lt;&gt;""),IF($O137="ERR",1,IF(INT($O137)&lt;&gt;$O137,1,IF(AND(OR($C137="Receipt",$C137="Shipment"),$O137&lt;=0),1,IF(AND($C137="Adjustment",$O137=0),1,0)))),0)</f>
        <v>0</v>
      </c>
      <c r="AO137" s="52">
        <f>IF(AND(COUNTA($A137:$L137)&gt;0,$C137="Receipt",$I137=""),1,0)</f>
        <v>0</v>
      </c>
      <c r="AP137" s="52">
        <f>IF(AND(COUNTA($A137:$L137)&gt;0,$I137&lt;&gt;""),IF(IFERROR(INDEX(Config!$G$15:$G$34,MATCH($I137,Config!$E$15:$E$34,0)),"No")="Yes",0,1),0)</f>
        <v>0</v>
      </c>
      <c r="AQ137" s="52">
        <f>IF(AND(COUNTA($A137:$L137)&gt;0,$C137="Adjustment",$J137=""),1,0)</f>
        <v>0</v>
      </c>
      <c r="AR137" s="52">
        <f>IF(AND(COUNTA($A137:$L137)&gt;0,$L137=""),1,0)</f>
        <v>0</v>
      </c>
      <c r="AS137" s="52">
        <f>IF(AND(COUNTA($A137:$L137)&gt;0,ISNUMBER($S137)),IF($S137&lt;0,1,0),0)</f>
        <v>0</v>
      </c>
      <c r="AT137" s="52">
        <f>$W137</f>
        <v>0</v>
      </c>
      <c r="AU137" s="52">
        <f>$AT137+$X137</f>
        <v>0</v>
      </c>
      <c r="AV137" s="52">
        <f>$AU137+$Y137</f>
        <v>0</v>
      </c>
      <c r="AW137" s="52">
        <f>$AV137+$Z137</f>
        <v>0</v>
      </c>
      <c r="AX137" s="52">
        <f>$AW137+$AA137</f>
        <v>0</v>
      </c>
      <c r="AY137" s="52">
        <f>$AX137+$AB137</f>
        <v>0</v>
      </c>
      <c r="AZ137" s="52">
        <f>$AY137+$AC137</f>
        <v>0</v>
      </c>
      <c r="BA137" s="52">
        <f>$AZ137+$AD137</f>
        <v>0</v>
      </c>
      <c r="BB137" s="52">
        <f>$BA137+$AE137</f>
        <v>0</v>
      </c>
      <c r="BC137" s="52">
        <f>$BB137+$AF137</f>
        <v>0</v>
      </c>
      <c r="BD137" s="52">
        <f>$BC137+$AG137</f>
        <v>0</v>
      </c>
      <c r="BE137" s="52">
        <f>$BD137+$AH137</f>
        <v>0</v>
      </c>
      <c r="BF137" s="52">
        <f>$BE137+$AI137</f>
        <v>0</v>
      </c>
      <c r="BG137" s="52">
        <f>$BF137+$AJ137</f>
        <v>0</v>
      </c>
      <c r="BH137" s="52">
        <f>$BG137+$AK137</f>
        <v>0</v>
      </c>
      <c r="BI137" s="52">
        <f>$BH137+$AL137</f>
        <v>0</v>
      </c>
      <c r="BJ137" s="52">
        <f>$BI137+$AM137</f>
        <v>0</v>
      </c>
      <c r="BK137" s="52">
        <f>$BJ137+$AN137</f>
        <v>0</v>
      </c>
      <c r="BL137" s="52">
        <f>$BK137+$AO137</f>
        <v>0</v>
      </c>
      <c r="BM137" s="52">
        <f>$BL137+$AP137</f>
        <v>0</v>
      </c>
      <c r="BN137" s="52">
        <f>$BM137+$AQ137</f>
        <v>0</v>
      </c>
      <c r="BO137" s="52">
        <f>$BN137+$AR137</f>
        <v>0</v>
      </c>
      <c r="BP137" s="52">
        <f>$BO137+$AS137</f>
        <v>0</v>
      </c>
      <c r="BQ137" s="52">
        <f>SUM($T$1:$T136)</f>
        <v>11</v>
      </c>
      <c r="BR137" s="52" t="str">
        <f>IF(ISNUMBER($T137),IF($T137&gt;0,COUNTIF($T$2:$T137,"&gt;0"),""),"")</f>
        <v/>
      </c>
      <c r="BS137" s="52" t="str">
        <f>IF($BR137="","",$BQ137+$T137)</f>
        <v/>
      </c>
      <c r="BT137" s="52" t="str">
        <f>IF($U137="Ready",COUNTIF($U$2:$U137,"Ready"),"")</f>
        <v/>
      </c>
      <c r="BU137" s="52">
        <f>IF(AND($U137="Ready",$C137="Receipt"),IF(COUNTIF(Batches!$A$2:$A$301,$F137)+COUNTIFS($F$1:$F136,$F137,$C$1:$C136,"Receipt",$U$1:$U136,"Ready")=0,1,0),0)</f>
        <v>0</v>
      </c>
      <c r="BV137" s="52" t="str">
        <f>IF($BU137=1,SUM($BU$2:$BU137),"")</f>
        <v/>
      </c>
    </row>
    <row r="138">
      <c r="A138" s="46" t="n"/>
      <c r="B138" s="46" t="n"/>
      <c r="C138" s="46" t="n"/>
      <c r="D138" s="46" t="n"/>
      <c r="E138" s="46" t="n"/>
      <c r="F138" s="46" t="n"/>
      <c r="G138" s="46" t="n"/>
      <c r="H138" s="46" t="n"/>
      <c r="I138" s="46" t="n"/>
      <c r="J138" s="46" t="n"/>
      <c r="K138" s="46" t="n"/>
      <c r="L138" s="46" t="n"/>
      <c r="M138" s="62" t="str">
        <f>IF($B138="","",IF(ISNUMBER($B138),$B138,IF(AND(LEN($B138)=10,MID($B138,5,1)="-",MID($B138,8,1)="-"),IFERROR(IF(AND(MONTH(DATE(VALUE(LEFT($B138,4)),VALUE(MID($B138,6,2)),VALUE(RIGHT($B138,2))))=VALUE(MID($B138,6,2)),DAY(DATE(VALUE(LEFT($B138,4)),VALUE(MID($B138,6,2)),VALUE(RIGHT($B138,2))))=VALUE(RIGHT($B138,2))),DATE(VALUE(LEFT($B138,4)),VALUE(MID($B138,6,2)),VALUE(RIGHT($B138,2))),"ERR"),"ERR"),"ERR")))</f>
        <v/>
      </c>
      <c r="N138" s="62" t="str">
        <f>IF($G138="","",IF(ISNUMBER($G138),$G138,IF(AND(LEN($G138)=10,MID($G138,5,1)="-",MID($G138,8,1)="-"),IFERROR(IF(AND(MONTH(DATE(VALUE(LEFT($G138,4)),VALUE(MID($G138,6,2)),VALUE(RIGHT($G138,2))))=VALUE(MID($G138,6,2)),DAY(DATE(VALUE(LEFT($G138,4)),VALUE(MID($G138,6,2)),VALUE(RIGHT($G138,2))))=VALUE(RIGHT($G138,2))),DATE(VALUE(LEFT($G138,4)),VALUE(MID($G138,6,2)),VALUE(RIGHT($G138,2))),"ERR"),"ERR"),"ERR")))</f>
        <v/>
      </c>
      <c r="O138" s="51" t="str">
        <f>IF($H138="","",IF(ISNUMBER($H138),$H138,IFERROR(VALUE($H138),"ERR")))</f>
        <v/>
      </c>
      <c r="P138" s="51" t="str">
        <f>IF(AND(ISNUMBER($O138),OR($C138="Receipt",$C138="Shipment",$C138="Adjustment")),IF($C138="Shipment",-$O138,$O138),"")</f>
        <v/>
      </c>
      <c r="Q138" s="51" t="str">
        <f>IF($D138="","",IFERROR(INDEX(Products!$R$2:$R$101,MATCH($D138,Products!$A$2:$A$101,0)),""))</f>
        <v/>
      </c>
      <c r="R138" s="51" t="str">
        <f>IF(OR($Q138="",$P138=""),"",$Q138+SUMIFS($P$1:$P137,$D$1:$D137,$D138,$U$1:$U137,"Ready"))</f>
        <v/>
      </c>
      <c r="S138" s="51" t="str">
        <f>IF($R138="","",$R138+$P138)</f>
        <v/>
      </c>
      <c r="T138" s="52" t="str">
        <f>IF(COUNTA($A138:$L138)&gt;0,$BP138,"")</f>
        <v/>
      </c>
      <c r="U138" s="49" t="str">
        <f>IF($T138="","",IF($T138=0,"Ready","Rejected"))</f>
        <v/>
      </c>
      <c r="V138" s="49" t="str">
        <f>IF(OR($T138="",$T138=0),"",INDEX(Config!$D$39:$D$61,MATCH(1,$AT138:$BP138,0))&amp;IF($T138&gt;1," (+"&amp;($T138-1)&amp;" more)",""))</f>
        <v/>
      </c>
      <c r="W138" s="52">
        <f>IF(AND(COUNTA($A138:$L138)&gt;0,$A138=""),1,0)</f>
        <v>0</v>
      </c>
      <c r="X138" s="52">
        <f>IF(AND(COUNTA($A138:$L138)&gt;0,$A138&lt;&gt;""),IF(COUNTIF($A$1:$A137,$A138)&gt;0,1,0),0)</f>
        <v>0</v>
      </c>
      <c r="Y138" s="52">
        <f>IF(AND(COUNTA($A138:$L138)&gt;0,$A138&lt;&gt;""),IF(COUNTIF(Inventory_Ledger!$A$2:$A$2001,$A138)&gt;0,1,0),0)</f>
        <v>0</v>
      </c>
      <c r="Z138" s="52">
        <f>IF(AND(COUNTA($A138:$L138)&gt;0,$B138=""),1,0)</f>
        <v>0</v>
      </c>
      <c r="AA138" s="52">
        <f>IF(AND(COUNTA($A138:$L138)&gt;0,$B138&lt;&gt;""),IF($M138="ERR",1,0),0)</f>
        <v>0</v>
      </c>
      <c r="AB138" s="52">
        <f>IF(AND(COUNTA($A138:$L138)&gt;0,ISNUMBER($M138)),IF($M138&gt;Config!$B$4,1,0),0)</f>
        <v>0</v>
      </c>
      <c r="AC138" s="52">
        <f>IF(AND(COUNTA($A138:$L138)&gt;0,$C138=""),1,0)</f>
        <v>0</v>
      </c>
      <c r="AD138" s="52">
        <f>IF(AND(COUNTA($A138:$L138)&gt;0,$C138&lt;&gt;""),IF(COUNTIF(Config!$A$15:$A$34,$C138)=0,1,0),0)</f>
        <v>0</v>
      </c>
      <c r="AE138" s="52">
        <f>IF(AND(COUNTA($A138:$L138)&gt;0,$D138=""),1,0)</f>
        <v>0</v>
      </c>
      <c r="AF138" s="52">
        <f>IF(AND(COUNTA($A138:$L138)&gt;0,$D138&lt;&gt;""),IF(COUNTIF(Products!$A$2:$A$101,$D138)=0,1,0),0)</f>
        <v>0</v>
      </c>
      <c r="AG138" s="52">
        <f>IF(AND(COUNTA($A138:$L138)&gt;0,$C138="Receipt",$E138=""),1,0)</f>
        <v>0</v>
      </c>
      <c r="AH138" s="52">
        <f>IF(AND(COUNTA($A138:$L138)&gt;0,$E138&lt;&gt;""),IF(COUNTIF(Suppliers!$A$2:$A$51,$E138)=0,1,0),0)</f>
        <v>0</v>
      </c>
      <c r="AI138" s="52">
        <f>IF(AND(COUNTA($A138:$L138)&gt;0,$F138=""),1,0)</f>
        <v>0</v>
      </c>
      <c r="AJ138" s="52">
        <f>IF(AND(COUNTA($A138:$L138)&gt;0,$F138&lt;&gt;"",$D138&lt;&gt;"",OR($C138="Shipment",$C138="Adjustment")),IF($AF138=1,0,IF(COUNTIFS(Batches!$A$2:$A$301,$F138,Batches!$B$2:$B$301,$D138)+COUNTIFS($F$1:$F137,$F138,$D$1:$D137,$D138,$C$1:$C137,"Receipt")=0,1,0)),0)</f>
        <v>0</v>
      </c>
      <c r="AK138" s="52">
        <f>IF(AND(COUNTA($A138:$L138)&gt;0,$C138="Receipt",$G138=""),1,0)</f>
        <v>0</v>
      </c>
      <c r="AL138" s="52">
        <f>IF(AND(COUNTA($A138:$L138)&gt;0,$G138&lt;&gt;""),IF($N138="ERR",1,0),0)</f>
        <v>0</v>
      </c>
      <c r="AM138" s="52">
        <f>IF(AND(COUNTA($A138:$L138)&gt;0,$H138=""),1,0)</f>
        <v>0</v>
      </c>
      <c r="AN138" s="52">
        <f>IF(AND(COUNTA($A138:$L138)&gt;0,$H138&lt;&gt;""),IF($O138="ERR",1,IF(INT($O138)&lt;&gt;$O138,1,IF(AND(OR($C138="Receipt",$C138="Shipment"),$O138&lt;=0),1,IF(AND($C138="Adjustment",$O138=0),1,0)))),0)</f>
        <v>0</v>
      </c>
      <c r="AO138" s="52">
        <f>IF(AND(COUNTA($A138:$L138)&gt;0,$C138="Receipt",$I138=""),1,0)</f>
        <v>0</v>
      </c>
      <c r="AP138" s="52">
        <f>IF(AND(COUNTA($A138:$L138)&gt;0,$I138&lt;&gt;""),IF(IFERROR(INDEX(Config!$G$15:$G$34,MATCH($I138,Config!$E$15:$E$34,0)),"No")="Yes",0,1),0)</f>
        <v>0</v>
      </c>
      <c r="AQ138" s="52">
        <f>IF(AND(COUNTA($A138:$L138)&gt;0,$C138="Adjustment",$J138=""),1,0)</f>
        <v>0</v>
      </c>
      <c r="AR138" s="52">
        <f>IF(AND(COUNTA($A138:$L138)&gt;0,$L138=""),1,0)</f>
        <v>0</v>
      </c>
      <c r="AS138" s="52">
        <f>IF(AND(COUNTA($A138:$L138)&gt;0,ISNUMBER($S138)),IF($S138&lt;0,1,0),0)</f>
        <v>0</v>
      </c>
      <c r="AT138" s="52">
        <f>$W138</f>
        <v>0</v>
      </c>
      <c r="AU138" s="52">
        <f>$AT138+$X138</f>
        <v>0</v>
      </c>
      <c r="AV138" s="52">
        <f>$AU138+$Y138</f>
        <v>0</v>
      </c>
      <c r="AW138" s="52">
        <f>$AV138+$Z138</f>
        <v>0</v>
      </c>
      <c r="AX138" s="52">
        <f>$AW138+$AA138</f>
        <v>0</v>
      </c>
      <c r="AY138" s="52">
        <f>$AX138+$AB138</f>
        <v>0</v>
      </c>
      <c r="AZ138" s="52">
        <f>$AY138+$AC138</f>
        <v>0</v>
      </c>
      <c r="BA138" s="52">
        <f>$AZ138+$AD138</f>
        <v>0</v>
      </c>
      <c r="BB138" s="52">
        <f>$BA138+$AE138</f>
        <v>0</v>
      </c>
      <c r="BC138" s="52">
        <f>$BB138+$AF138</f>
        <v>0</v>
      </c>
      <c r="BD138" s="52">
        <f>$BC138+$AG138</f>
        <v>0</v>
      </c>
      <c r="BE138" s="52">
        <f>$BD138+$AH138</f>
        <v>0</v>
      </c>
      <c r="BF138" s="52">
        <f>$BE138+$AI138</f>
        <v>0</v>
      </c>
      <c r="BG138" s="52">
        <f>$BF138+$AJ138</f>
        <v>0</v>
      </c>
      <c r="BH138" s="52">
        <f>$BG138+$AK138</f>
        <v>0</v>
      </c>
      <c r="BI138" s="52">
        <f>$BH138+$AL138</f>
        <v>0</v>
      </c>
      <c r="BJ138" s="52">
        <f>$BI138+$AM138</f>
        <v>0</v>
      </c>
      <c r="BK138" s="52">
        <f>$BJ138+$AN138</f>
        <v>0</v>
      </c>
      <c r="BL138" s="52">
        <f>$BK138+$AO138</f>
        <v>0</v>
      </c>
      <c r="BM138" s="52">
        <f>$BL138+$AP138</f>
        <v>0</v>
      </c>
      <c r="BN138" s="52">
        <f>$BM138+$AQ138</f>
        <v>0</v>
      </c>
      <c r="BO138" s="52">
        <f>$BN138+$AR138</f>
        <v>0</v>
      </c>
      <c r="BP138" s="52">
        <f>$BO138+$AS138</f>
        <v>0</v>
      </c>
      <c r="BQ138" s="52">
        <f>SUM($T$1:$T137)</f>
        <v>11</v>
      </c>
      <c r="BR138" s="52" t="str">
        <f>IF(ISNUMBER($T138),IF($T138&gt;0,COUNTIF($T$2:$T138,"&gt;0"),""),"")</f>
        <v/>
      </c>
      <c r="BS138" s="52" t="str">
        <f>IF($BR138="","",$BQ138+$T138)</f>
        <v/>
      </c>
      <c r="BT138" s="52" t="str">
        <f>IF($U138="Ready",COUNTIF($U$2:$U138,"Ready"),"")</f>
        <v/>
      </c>
      <c r="BU138" s="52">
        <f>IF(AND($U138="Ready",$C138="Receipt"),IF(COUNTIF(Batches!$A$2:$A$301,$F138)+COUNTIFS($F$1:$F137,$F138,$C$1:$C137,"Receipt",$U$1:$U137,"Ready")=0,1,0),0)</f>
        <v>0</v>
      </c>
      <c r="BV138" s="52" t="str">
        <f>IF($BU138=1,SUM($BU$2:$BU138),"")</f>
        <v/>
      </c>
    </row>
    <row r="139">
      <c r="A139" s="46" t="n"/>
      <c r="B139" s="46" t="n"/>
      <c r="C139" s="46" t="n"/>
      <c r="D139" s="46" t="n"/>
      <c r="E139" s="46" t="n"/>
      <c r="F139" s="46" t="n"/>
      <c r="G139" s="46" t="n"/>
      <c r="H139" s="46" t="n"/>
      <c r="I139" s="46" t="n"/>
      <c r="J139" s="46" t="n"/>
      <c r="K139" s="46" t="n"/>
      <c r="L139" s="46" t="n"/>
      <c r="M139" s="62" t="str">
        <f>IF($B139="","",IF(ISNUMBER($B139),$B139,IF(AND(LEN($B139)=10,MID($B139,5,1)="-",MID($B139,8,1)="-"),IFERROR(IF(AND(MONTH(DATE(VALUE(LEFT($B139,4)),VALUE(MID($B139,6,2)),VALUE(RIGHT($B139,2))))=VALUE(MID($B139,6,2)),DAY(DATE(VALUE(LEFT($B139,4)),VALUE(MID($B139,6,2)),VALUE(RIGHT($B139,2))))=VALUE(RIGHT($B139,2))),DATE(VALUE(LEFT($B139,4)),VALUE(MID($B139,6,2)),VALUE(RIGHT($B139,2))),"ERR"),"ERR"),"ERR")))</f>
        <v/>
      </c>
      <c r="N139" s="62" t="str">
        <f>IF($G139="","",IF(ISNUMBER($G139),$G139,IF(AND(LEN($G139)=10,MID($G139,5,1)="-",MID($G139,8,1)="-"),IFERROR(IF(AND(MONTH(DATE(VALUE(LEFT($G139,4)),VALUE(MID($G139,6,2)),VALUE(RIGHT($G139,2))))=VALUE(MID($G139,6,2)),DAY(DATE(VALUE(LEFT($G139,4)),VALUE(MID($G139,6,2)),VALUE(RIGHT($G139,2))))=VALUE(RIGHT($G139,2))),DATE(VALUE(LEFT($G139,4)),VALUE(MID($G139,6,2)),VALUE(RIGHT($G139,2))),"ERR"),"ERR"),"ERR")))</f>
        <v/>
      </c>
      <c r="O139" s="51" t="str">
        <f>IF($H139="","",IF(ISNUMBER($H139),$H139,IFERROR(VALUE($H139),"ERR")))</f>
        <v/>
      </c>
      <c r="P139" s="51" t="str">
        <f>IF(AND(ISNUMBER($O139),OR($C139="Receipt",$C139="Shipment",$C139="Adjustment")),IF($C139="Shipment",-$O139,$O139),"")</f>
        <v/>
      </c>
      <c r="Q139" s="51" t="str">
        <f>IF($D139="","",IFERROR(INDEX(Products!$R$2:$R$101,MATCH($D139,Products!$A$2:$A$101,0)),""))</f>
        <v/>
      </c>
      <c r="R139" s="51" t="str">
        <f>IF(OR($Q139="",$P139=""),"",$Q139+SUMIFS($P$1:$P138,$D$1:$D138,$D139,$U$1:$U138,"Ready"))</f>
        <v/>
      </c>
      <c r="S139" s="51" t="str">
        <f>IF($R139="","",$R139+$P139)</f>
        <v/>
      </c>
      <c r="T139" s="52" t="str">
        <f>IF(COUNTA($A139:$L139)&gt;0,$BP139,"")</f>
        <v/>
      </c>
      <c r="U139" s="49" t="str">
        <f>IF($T139="","",IF($T139=0,"Ready","Rejected"))</f>
        <v/>
      </c>
      <c r="V139" s="49" t="str">
        <f>IF(OR($T139="",$T139=0),"",INDEX(Config!$D$39:$D$61,MATCH(1,$AT139:$BP139,0))&amp;IF($T139&gt;1," (+"&amp;($T139-1)&amp;" more)",""))</f>
        <v/>
      </c>
      <c r="W139" s="52">
        <f>IF(AND(COUNTA($A139:$L139)&gt;0,$A139=""),1,0)</f>
        <v>0</v>
      </c>
      <c r="X139" s="52">
        <f>IF(AND(COUNTA($A139:$L139)&gt;0,$A139&lt;&gt;""),IF(COUNTIF($A$1:$A138,$A139)&gt;0,1,0),0)</f>
        <v>0</v>
      </c>
      <c r="Y139" s="52">
        <f>IF(AND(COUNTA($A139:$L139)&gt;0,$A139&lt;&gt;""),IF(COUNTIF(Inventory_Ledger!$A$2:$A$2001,$A139)&gt;0,1,0),0)</f>
        <v>0</v>
      </c>
      <c r="Z139" s="52">
        <f>IF(AND(COUNTA($A139:$L139)&gt;0,$B139=""),1,0)</f>
        <v>0</v>
      </c>
      <c r="AA139" s="52">
        <f>IF(AND(COUNTA($A139:$L139)&gt;0,$B139&lt;&gt;""),IF($M139="ERR",1,0),0)</f>
        <v>0</v>
      </c>
      <c r="AB139" s="52">
        <f>IF(AND(COUNTA($A139:$L139)&gt;0,ISNUMBER($M139)),IF($M139&gt;Config!$B$4,1,0),0)</f>
        <v>0</v>
      </c>
      <c r="AC139" s="52">
        <f>IF(AND(COUNTA($A139:$L139)&gt;0,$C139=""),1,0)</f>
        <v>0</v>
      </c>
      <c r="AD139" s="52">
        <f>IF(AND(COUNTA($A139:$L139)&gt;0,$C139&lt;&gt;""),IF(COUNTIF(Config!$A$15:$A$34,$C139)=0,1,0),0)</f>
        <v>0</v>
      </c>
      <c r="AE139" s="52">
        <f>IF(AND(COUNTA($A139:$L139)&gt;0,$D139=""),1,0)</f>
        <v>0</v>
      </c>
      <c r="AF139" s="52">
        <f>IF(AND(COUNTA($A139:$L139)&gt;0,$D139&lt;&gt;""),IF(COUNTIF(Products!$A$2:$A$101,$D139)=0,1,0),0)</f>
        <v>0</v>
      </c>
      <c r="AG139" s="52">
        <f>IF(AND(COUNTA($A139:$L139)&gt;0,$C139="Receipt",$E139=""),1,0)</f>
        <v>0</v>
      </c>
      <c r="AH139" s="52">
        <f>IF(AND(COUNTA($A139:$L139)&gt;0,$E139&lt;&gt;""),IF(COUNTIF(Suppliers!$A$2:$A$51,$E139)=0,1,0),0)</f>
        <v>0</v>
      </c>
      <c r="AI139" s="52">
        <f>IF(AND(COUNTA($A139:$L139)&gt;0,$F139=""),1,0)</f>
        <v>0</v>
      </c>
      <c r="AJ139" s="52">
        <f>IF(AND(COUNTA($A139:$L139)&gt;0,$F139&lt;&gt;"",$D139&lt;&gt;"",OR($C139="Shipment",$C139="Adjustment")),IF($AF139=1,0,IF(COUNTIFS(Batches!$A$2:$A$301,$F139,Batches!$B$2:$B$301,$D139)+COUNTIFS($F$1:$F138,$F139,$D$1:$D138,$D139,$C$1:$C138,"Receipt")=0,1,0)),0)</f>
        <v>0</v>
      </c>
      <c r="AK139" s="52">
        <f>IF(AND(COUNTA($A139:$L139)&gt;0,$C139="Receipt",$G139=""),1,0)</f>
        <v>0</v>
      </c>
      <c r="AL139" s="52">
        <f>IF(AND(COUNTA($A139:$L139)&gt;0,$G139&lt;&gt;""),IF($N139="ERR",1,0),0)</f>
        <v>0</v>
      </c>
      <c r="AM139" s="52">
        <f>IF(AND(COUNTA($A139:$L139)&gt;0,$H139=""),1,0)</f>
        <v>0</v>
      </c>
      <c r="AN139" s="52">
        <f>IF(AND(COUNTA($A139:$L139)&gt;0,$H139&lt;&gt;""),IF($O139="ERR",1,IF(INT($O139)&lt;&gt;$O139,1,IF(AND(OR($C139="Receipt",$C139="Shipment"),$O139&lt;=0),1,IF(AND($C139="Adjustment",$O139=0),1,0)))),0)</f>
        <v>0</v>
      </c>
      <c r="AO139" s="52">
        <f>IF(AND(COUNTA($A139:$L139)&gt;0,$C139="Receipt",$I139=""),1,0)</f>
        <v>0</v>
      </c>
      <c r="AP139" s="52">
        <f>IF(AND(COUNTA($A139:$L139)&gt;0,$I139&lt;&gt;""),IF(IFERROR(INDEX(Config!$G$15:$G$34,MATCH($I139,Config!$E$15:$E$34,0)),"No")="Yes",0,1),0)</f>
        <v>0</v>
      </c>
      <c r="AQ139" s="52">
        <f>IF(AND(COUNTA($A139:$L139)&gt;0,$C139="Adjustment",$J139=""),1,0)</f>
        <v>0</v>
      </c>
      <c r="AR139" s="52">
        <f>IF(AND(COUNTA($A139:$L139)&gt;0,$L139=""),1,0)</f>
        <v>0</v>
      </c>
      <c r="AS139" s="52">
        <f>IF(AND(COUNTA($A139:$L139)&gt;0,ISNUMBER($S139)),IF($S139&lt;0,1,0),0)</f>
        <v>0</v>
      </c>
      <c r="AT139" s="52">
        <f>$W139</f>
        <v>0</v>
      </c>
      <c r="AU139" s="52">
        <f>$AT139+$X139</f>
        <v>0</v>
      </c>
      <c r="AV139" s="52">
        <f>$AU139+$Y139</f>
        <v>0</v>
      </c>
      <c r="AW139" s="52">
        <f>$AV139+$Z139</f>
        <v>0</v>
      </c>
      <c r="AX139" s="52">
        <f>$AW139+$AA139</f>
        <v>0</v>
      </c>
      <c r="AY139" s="52">
        <f>$AX139+$AB139</f>
        <v>0</v>
      </c>
      <c r="AZ139" s="52">
        <f>$AY139+$AC139</f>
        <v>0</v>
      </c>
      <c r="BA139" s="52">
        <f>$AZ139+$AD139</f>
        <v>0</v>
      </c>
      <c r="BB139" s="52">
        <f>$BA139+$AE139</f>
        <v>0</v>
      </c>
      <c r="BC139" s="52">
        <f>$BB139+$AF139</f>
        <v>0</v>
      </c>
      <c r="BD139" s="52">
        <f>$BC139+$AG139</f>
        <v>0</v>
      </c>
      <c r="BE139" s="52">
        <f>$BD139+$AH139</f>
        <v>0</v>
      </c>
      <c r="BF139" s="52">
        <f>$BE139+$AI139</f>
        <v>0</v>
      </c>
      <c r="BG139" s="52">
        <f>$BF139+$AJ139</f>
        <v>0</v>
      </c>
      <c r="BH139" s="52">
        <f>$BG139+$AK139</f>
        <v>0</v>
      </c>
      <c r="BI139" s="52">
        <f>$BH139+$AL139</f>
        <v>0</v>
      </c>
      <c r="BJ139" s="52">
        <f>$BI139+$AM139</f>
        <v>0</v>
      </c>
      <c r="BK139" s="52">
        <f>$BJ139+$AN139</f>
        <v>0</v>
      </c>
      <c r="BL139" s="52">
        <f>$BK139+$AO139</f>
        <v>0</v>
      </c>
      <c r="BM139" s="52">
        <f>$BL139+$AP139</f>
        <v>0</v>
      </c>
      <c r="BN139" s="52">
        <f>$BM139+$AQ139</f>
        <v>0</v>
      </c>
      <c r="BO139" s="52">
        <f>$BN139+$AR139</f>
        <v>0</v>
      </c>
      <c r="BP139" s="52">
        <f>$BO139+$AS139</f>
        <v>0</v>
      </c>
      <c r="BQ139" s="52">
        <f>SUM($T$1:$T138)</f>
        <v>11</v>
      </c>
      <c r="BR139" s="52" t="str">
        <f>IF(ISNUMBER($T139),IF($T139&gt;0,COUNTIF($T$2:$T139,"&gt;0"),""),"")</f>
        <v/>
      </c>
      <c r="BS139" s="52" t="str">
        <f>IF($BR139="","",$BQ139+$T139)</f>
        <v/>
      </c>
      <c r="BT139" s="52" t="str">
        <f>IF($U139="Ready",COUNTIF($U$2:$U139,"Ready"),"")</f>
        <v/>
      </c>
      <c r="BU139" s="52">
        <f>IF(AND($U139="Ready",$C139="Receipt"),IF(COUNTIF(Batches!$A$2:$A$301,$F139)+COUNTIFS($F$1:$F138,$F139,$C$1:$C138,"Receipt",$U$1:$U138,"Ready")=0,1,0),0)</f>
        <v>0</v>
      </c>
      <c r="BV139" s="52" t="str">
        <f>IF($BU139=1,SUM($BU$2:$BU139),"")</f>
        <v/>
      </c>
    </row>
    <row r="140">
      <c r="A140" s="46" t="n"/>
      <c r="B140" s="46" t="n"/>
      <c r="C140" s="46" t="n"/>
      <c r="D140" s="46" t="n"/>
      <c r="E140" s="46" t="n"/>
      <c r="F140" s="46" t="n"/>
      <c r="G140" s="46" t="n"/>
      <c r="H140" s="46" t="n"/>
      <c r="I140" s="46" t="n"/>
      <c r="J140" s="46" t="n"/>
      <c r="K140" s="46" t="n"/>
      <c r="L140" s="46" t="n"/>
      <c r="M140" s="62" t="str">
        <f>IF($B140="","",IF(ISNUMBER($B140),$B140,IF(AND(LEN($B140)=10,MID($B140,5,1)="-",MID($B140,8,1)="-"),IFERROR(IF(AND(MONTH(DATE(VALUE(LEFT($B140,4)),VALUE(MID($B140,6,2)),VALUE(RIGHT($B140,2))))=VALUE(MID($B140,6,2)),DAY(DATE(VALUE(LEFT($B140,4)),VALUE(MID($B140,6,2)),VALUE(RIGHT($B140,2))))=VALUE(RIGHT($B140,2))),DATE(VALUE(LEFT($B140,4)),VALUE(MID($B140,6,2)),VALUE(RIGHT($B140,2))),"ERR"),"ERR"),"ERR")))</f>
        <v/>
      </c>
      <c r="N140" s="62" t="str">
        <f>IF($G140="","",IF(ISNUMBER($G140),$G140,IF(AND(LEN($G140)=10,MID($G140,5,1)="-",MID($G140,8,1)="-"),IFERROR(IF(AND(MONTH(DATE(VALUE(LEFT($G140,4)),VALUE(MID($G140,6,2)),VALUE(RIGHT($G140,2))))=VALUE(MID($G140,6,2)),DAY(DATE(VALUE(LEFT($G140,4)),VALUE(MID($G140,6,2)),VALUE(RIGHT($G140,2))))=VALUE(RIGHT($G140,2))),DATE(VALUE(LEFT($G140,4)),VALUE(MID($G140,6,2)),VALUE(RIGHT($G140,2))),"ERR"),"ERR"),"ERR")))</f>
        <v/>
      </c>
      <c r="O140" s="51" t="str">
        <f>IF($H140="","",IF(ISNUMBER($H140),$H140,IFERROR(VALUE($H140),"ERR")))</f>
        <v/>
      </c>
      <c r="P140" s="51" t="str">
        <f>IF(AND(ISNUMBER($O140),OR($C140="Receipt",$C140="Shipment",$C140="Adjustment")),IF($C140="Shipment",-$O140,$O140),"")</f>
        <v/>
      </c>
      <c r="Q140" s="51" t="str">
        <f>IF($D140="","",IFERROR(INDEX(Products!$R$2:$R$101,MATCH($D140,Products!$A$2:$A$101,0)),""))</f>
        <v/>
      </c>
      <c r="R140" s="51" t="str">
        <f>IF(OR($Q140="",$P140=""),"",$Q140+SUMIFS($P$1:$P139,$D$1:$D139,$D140,$U$1:$U139,"Ready"))</f>
        <v/>
      </c>
      <c r="S140" s="51" t="str">
        <f>IF($R140="","",$R140+$P140)</f>
        <v/>
      </c>
      <c r="T140" s="52" t="str">
        <f>IF(COUNTA($A140:$L140)&gt;0,$BP140,"")</f>
        <v/>
      </c>
      <c r="U140" s="49" t="str">
        <f>IF($T140="","",IF($T140=0,"Ready","Rejected"))</f>
        <v/>
      </c>
      <c r="V140" s="49" t="str">
        <f>IF(OR($T140="",$T140=0),"",INDEX(Config!$D$39:$D$61,MATCH(1,$AT140:$BP140,0))&amp;IF($T140&gt;1," (+"&amp;($T140-1)&amp;" more)",""))</f>
        <v/>
      </c>
      <c r="W140" s="52">
        <f>IF(AND(COUNTA($A140:$L140)&gt;0,$A140=""),1,0)</f>
        <v>0</v>
      </c>
      <c r="X140" s="52">
        <f>IF(AND(COUNTA($A140:$L140)&gt;0,$A140&lt;&gt;""),IF(COUNTIF($A$1:$A139,$A140)&gt;0,1,0),0)</f>
        <v>0</v>
      </c>
      <c r="Y140" s="52">
        <f>IF(AND(COUNTA($A140:$L140)&gt;0,$A140&lt;&gt;""),IF(COUNTIF(Inventory_Ledger!$A$2:$A$2001,$A140)&gt;0,1,0),0)</f>
        <v>0</v>
      </c>
      <c r="Z140" s="52">
        <f>IF(AND(COUNTA($A140:$L140)&gt;0,$B140=""),1,0)</f>
        <v>0</v>
      </c>
      <c r="AA140" s="52">
        <f>IF(AND(COUNTA($A140:$L140)&gt;0,$B140&lt;&gt;""),IF($M140="ERR",1,0),0)</f>
        <v>0</v>
      </c>
      <c r="AB140" s="52">
        <f>IF(AND(COUNTA($A140:$L140)&gt;0,ISNUMBER($M140)),IF($M140&gt;Config!$B$4,1,0),0)</f>
        <v>0</v>
      </c>
      <c r="AC140" s="52">
        <f>IF(AND(COUNTA($A140:$L140)&gt;0,$C140=""),1,0)</f>
        <v>0</v>
      </c>
      <c r="AD140" s="52">
        <f>IF(AND(COUNTA($A140:$L140)&gt;0,$C140&lt;&gt;""),IF(COUNTIF(Config!$A$15:$A$34,$C140)=0,1,0),0)</f>
        <v>0</v>
      </c>
      <c r="AE140" s="52">
        <f>IF(AND(COUNTA($A140:$L140)&gt;0,$D140=""),1,0)</f>
        <v>0</v>
      </c>
      <c r="AF140" s="52">
        <f>IF(AND(COUNTA($A140:$L140)&gt;0,$D140&lt;&gt;""),IF(COUNTIF(Products!$A$2:$A$101,$D140)=0,1,0),0)</f>
        <v>0</v>
      </c>
      <c r="AG140" s="52">
        <f>IF(AND(COUNTA($A140:$L140)&gt;0,$C140="Receipt",$E140=""),1,0)</f>
        <v>0</v>
      </c>
      <c r="AH140" s="52">
        <f>IF(AND(COUNTA($A140:$L140)&gt;0,$E140&lt;&gt;""),IF(COUNTIF(Suppliers!$A$2:$A$51,$E140)=0,1,0),0)</f>
        <v>0</v>
      </c>
      <c r="AI140" s="52">
        <f>IF(AND(COUNTA($A140:$L140)&gt;0,$F140=""),1,0)</f>
        <v>0</v>
      </c>
      <c r="AJ140" s="52">
        <f>IF(AND(COUNTA($A140:$L140)&gt;0,$F140&lt;&gt;"",$D140&lt;&gt;"",OR($C140="Shipment",$C140="Adjustment")),IF($AF140=1,0,IF(COUNTIFS(Batches!$A$2:$A$301,$F140,Batches!$B$2:$B$301,$D140)+COUNTIFS($F$1:$F139,$F140,$D$1:$D139,$D140,$C$1:$C139,"Receipt")=0,1,0)),0)</f>
        <v>0</v>
      </c>
      <c r="AK140" s="52">
        <f>IF(AND(COUNTA($A140:$L140)&gt;0,$C140="Receipt",$G140=""),1,0)</f>
        <v>0</v>
      </c>
      <c r="AL140" s="52">
        <f>IF(AND(COUNTA($A140:$L140)&gt;0,$G140&lt;&gt;""),IF($N140="ERR",1,0),0)</f>
        <v>0</v>
      </c>
      <c r="AM140" s="52">
        <f>IF(AND(COUNTA($A140:$L140)&gt;0,$H140=""),1,0)</f>
        <v>0</v>
      </c>
      <c r="AN140" s="52">
        <f>IF(AND(COUNTA($A140:$L140)&gt;0,$H140&lt;&gt;""),IF($O140="ERR",1,IF(INT($O140)&lt;&gt;$O140,1,IF(AND(OR($C140="Receipt",$C140="Shipment"),$O140&lt;=0),1,IF(AND($C140="Adjustment",$O140=0),1,0)))),0)</f>
        <v>0</v>
      </c>
      <c r="AO140" s="52">
        <f>IF(AND(COUNTA($A140:$L140)&gt;0,$C140="Receipt",$I140=""),1,0)</f>
        <v>0</v>
      </c>
      <c r="AP140" s="52">
        <f>IF(AND(COUNTA($A140:$L140)&gt;0,$I140&lt;&gt;""),IF(IFERROR(INDEX(Config!$G$15:$G$34,MATCH($I140,Config!$E$15:$E$34,0)),"No")="Yes",0,1),0)</f>
        <v>0</v>
      </c>
      <c r="AQ140" s="52">
        <f>IF(AND(COUNTA($A140:$L140)&gt;0,$C140="Adjustment",$J140=""),1,0)</f>
        <v>0</v>
      </c>
      <c r="AR140" s="52">
        <f>IF(AND(COUNTA($A140:$L140)&gt;0,$L140=""),1,0)</f>
        <v>0</v>
      </c>
      <c r="AS140" s="52">
        <f>IF(AND(COUNTA($A140:$L140)&gt;0,ISNUMBER($S140)),IF($S140&lt;0,1,0),0)</f>
        <v>0</v>
      </c>
      <c r="AT140" s="52">
        <f>$W140</f>
        <v>0</v>
      </c>
      <c r="AU140" s="52">
        <f>$AT140+$X140</f>
        <v>0</v>
      </c>
      <c r="AV140" s="52">
        <f>$AU140+$Y140</f>
        <v>0</v>
      </c>
      <c r="AW140" s="52">
        <f>$AV140+$Z140</f>
        <v>0</v>
      </c>
      <c r="AX140" s="52">
        <f>$AW140+$AA140</f>
        <v>0</v>
      </c>
      <c r="AY140" s="52">
        <f>$AX140+$AB140</f>
        <v>0</v>
      </c>
      <c r="AZ140" s="52">
        <f>$AY140+$AC140</f>
        <v>0</v>
      </c>
      <c r="BA140" s="52">
        <f>$AZ140+$AD140</f>
        <v>0</v>
      </c>
      <c r="BB140" s="52">
        <f>$BA140+$AE140</f>
        <v>0</v>
      </c>
      <c r="BC140" s="52">
        <f>$BB140+$AF140</f>
        <v>0</v>
      </c>
      <c r="BD140" s="52">
        <f>$BC140+$AG140</f>
        <v>0</v>
      </c>
      <c r="BE140" s="52">
        <f>$BD140+$AH140</f>
        <v>0</v>
      </c>
      <c r="BF140" s="52">
        <f>$BE140+$AI140</f>
        <v>0</v>
      </c>
      <c r="BG140" s="52">
        <f>$BF140+$AJ140</f>
        <v>0</v>
      </c>
      <c r="BH140" s="52">
        <f>$BG140+$AK140</f>
        <v>0</v>
      </c>
      <c r="BI140" s="52">
        <f>$BH140+$AL140</f>
        <v>0</v>
      </c>
      <c r="BJ140" s="52">
        <f>$BI140+$AM140</f>
        <v>0</v>
      </c>
      <c r="BK140" s="52">
        <f>$BJ140+$AN140</f>
        <v>0</v>
      </c>
      <c r="BL140" s="52">
        <f>$BK140+$AO140</f>
        <v>0</v>
      </c>
      <c r="BM140" s="52">
        <f>$BL140+$AP140</f>
        <v>0</v>
      </c>
      <c r="BN140" s="52">
        <f>$BM140+$AQ140</f>
        <v>0</v>
      </c>
      <c r="BO140" s="52">
        <f>$BN140+$AR140</f>
        <v>0</v>
      </c>
      <c r="BP140" s="52">
        <f>$BO140+$AS140</f>
        <v>0</v>
      </c>
      <c r="BQ140" s="52">
        <f>SUM($T$1:$T139)</f>
        <v>11</v>
      </c>
      <c r="BR140" s="52" t="str">
        <f>IF(ISNUMBER($T140),IF($T140&gt;0,COUNTIF($T$2:$T140,"&gt;0"),""),"")</f>
        <v/>
      </c>
      <c r="BS140" s="52" t="str">
        <f>IF($BR140="","",$BQ140+$T140)</f>
        <v/>
      </c>
      <c r="BT140" s="52" t="str">
        <f>IF($U140="Ready",COUNTIF($U$2:$U140,"Ready"),"")</f>
        <v/>
      </c>
      <c r="BU140" s="52">
        <f>IF(AND($U140="Ready",$C140="Receipt"),IF(COUNTIF(Batches!$A$2:$A$301,$F140)+COUNTIFS($F$1:$F139,$F140,$C$1:$C139,"Receipt",$U$1:$U139,"Ready")=0,1,0),0)</f>
        <v>0</v>
      </c>
      <c r="BV140" s="52" t="str">
        <f>IF($BU140=1,SUM($BU$2:$BU140),"")</f>
        <v/>
      </c>
    </row>
    <row r="141">
      <c r="A141" s="46" t="n"/>
      <c r="B141" s="46" t="n"/>
      <c r="C141" s="46" t="n"/>
      <c r="D141" s="46" t="n"/>
      <c r="E141" s="46" t="n"/>
      <c r="F141" s="46" t="n"/>
      <c r="G141" s="46" t="n"/>
      <c r="H141" s="46" t="n"/>
      <c r="I141" s="46" t="n"/>
      <c r="J141" s="46" t="n"/>
      <c r="K141" s="46" t="n"/>
      <c r="L141" s="46" t="n"/>
      <c r="M141" s="62" t="str">
        <f>IF($B141="","",IF(ISNUMBER($B141),$B141,IF(AND(LEN($B141)=10,MID($B141,5,1)="-",MID($B141,8,1)="-"),IFERROR(IF(AND(MONTH(DATE(VALUE(LEFT($B141,4)),VALUE(MID($B141,6,2)),VALUE(RIGHT($B141,2))))=VALUE(MID($B141,6,2)),DAY(DATE(VALUE(LEFT($B141,4)),VALUE(MID($B141,6,2)),VALUE(RIGHT($B141,2))))=VALUE(RIGHT($B141,2))),DATE(VALUE(LEFT($B141,4)),VALUE(MID($B141,6,2)),VALUE(RIGHT($B141,2))),"ERR"),"ERR"),"ERR")))</f>
        <v/>
      </c>
      <c r="N141" s="62" t="str">
        <f>IF($G141="","",IF(ISNUMBER($G141),$G141,IF(AND(LEN($G141)=10,MID($G141,5,1)="-",MID($G141,8,1)="-"),IFERROR(IF(AND(MONTH(DATE(VALUE(LEFT($G141,4)),VALUE(MID($G141,6,2)),VALUE(RIGHT($G141,2))))=VALUE(MID($G141,6,2)),DAY(DATE(VALUE(LEFT($G141,4)),VALUE(MID($G141,6,2)),VALUE(RIGHT($G141,2))))=VALUE(RIGHT($G141,2))),DATE(VALUE(LEFT($G141,4)),VALUE(MID($G141,6,2)),VALUE(RIGHT($G141,2))),"ERR"),"ERR"),"ERR")))</f>
        <v/>
      </c>
      <c r="O141" s="51" t="str">
        <f>IF($H141="","",IF(ISNUMBER($H141),$H141,IFERROR(VALUE($H141),"ERR")))</f>
        <v/>
      </c>
      <c r="P141" s="51" t="str">
        <f>IF(AND(ISNUMBER($O141),OR($C141="Receipt",$C141="Shipment",$C141="Adjustment")),IF($C141="Shipment",-$O141,$O141),"")</f>
        <v/>
      </c>
      <c r="Q141" s="51" t="str">
        <f>IF($D141="","",IFERROR(INDEX(Products!$R$2:$R$101,MATCH($D141,Products!$A$2:$A$101,0)),""))</f>
        <v/>
      </c>
      <c r="R141" s="51" t="str">
        <f>IF(OR($Q141="",$P141=""),"",$Q141+SUMIFS($P$1:$P140,$D$1:$D140,$D141,$U$1:$U140,"Ready"))</f>
        <v/>
      </c>
      <c r="S141" s="51" t="str">
        <f>IF($R141="","",$R141+$P141)</f>
        <v/>
      </c>
      <c r="T141" s="52" t="str">
        <f>IF(COUNTA($A141:$L141)&gt;0,$BP141,"")</f>
        <v/>
      </c>
      <c r="U141" s="49" t="str">
        <f>IF($T141="","",IF($T141=0,"Ready","Rejected"))</f>
        <v/>
      </c>
      <c r="V141" s="49" t="str">
        <f>IF(OR($T141="",$T141=0),"",INDEX(Config!$D$39:$D$61,MATCH(1,$AT141:$BP141,0))&amp;IF($T141&gt;1," (+"&amp;($T141-1)&amp;" more)",""))</f>
        <v/>
      </c>
      <c r="W141" s="52">
        <f>IF(AND(COUNTA($A141:$L141)&gt;0,$A141=""),1,0)</f>
        <v>0</v>
      </c>
      <c r="X141" s="52">
        <f>IF(AND(COUNTA($A141:$L141)&gt;0,$A141&lt;&gt;""),IF(COUNTIF($A$1:$A140,$A141)&gt;0,1,0),0)</f>
        <v>0</v>
      </c>
      <c r="Y141" s="52">
        <f>IF(AND(COUNTA($A141:$L141)&gt;0,$A141&lt;&gt;""),IF(COUNTIF(Inventory_Ledger!$A$2:$A$2001,$A141)&gt;0,1,0),0)</f>
        <v>0</v>
      </c>
      <c r="Z141" s="52">
        <f>IF(AND(COUNTA($A141:$L141)&gt;0,$B141=""),1,0)</f>
        <v>0</v>
      </c>
      <c r="AA141" s="52">
        <f>IF(AND(COUNTA($A141:$L141)&gt;0,$B141&lt;&gt;""),IF($M141="ERR",1,0),0)</f>
        <v>0</v>
      </c>
      <c r="AB141" s="52">
        <f>IF(AND(COUNTA($A141:$L141)&gt;0,ISNUMBER($M141)),IF($M141&gt;Config!$B$4,1,0),0)</f>
        <v>0</v>
      </c>
      <c r="AC141" s="52">
        <f>IF(AND(COUNTA($A141:$L141)&gt;0,$C141=""),1,0)</f>
        <v>0</v>
      </c>
      <c r="AD141" s="52">
        <f>IF(AND(COUNTA($A141:$L141)&gt;0,$C141&lt;&gt;""),IF(COUNTIF(Config!$A$15:$A$34,$C141)=0,1,0),0)</f>
        <v>0</v>
      </c>
      <c r="AE141" s="52">
        <f>IF(AND(COUNTA($A141:$L141)&gt;0,$D141=""),1,0)</f>
        <v>0</v>
      </c>
      <c r="AF141" s="52">
        <f>IF(AND(COUNTA($A141:$L141)&gt;0,$D141&lt;&gt;""),IF(COUNTIF(Products!$A$2:$A$101,$D141)=0,1,0),0)</f>
        <v>0</v>
      </c>
      <c r="AG141" s="52">
        <f>IF(AND(COUNTA($A141:$L141)&gt;0,$C141="Receipt",$E141=""),1,0)</f>
        <v>0</v>
      </c>
      <c r="AH141" s="52">
        <f>IF(AND(COUNTA($A141:$L141)&gt;0,$E141&lt;&gt;""),IF(COUNTIF(Suppliers!$A$2:$A$51,$E141)=0,1,0),0)</f>
        <v>0</v>
      </c>
      <c r="AI141" s="52">
        <f>IF(AND(COUNTA($A141:$L141)&gt;0,$F141=""),1,0)</f>
        <v>0</v>
      </c>
      <c r="AJ141" s="52">
        <f>IF(AND(COUNTA($A141:$L141)&gt;0,$F141&lt;&gt;"",$D141&lt;&gt;"",OR($C141="Shipment",$C141="Adjustment")),IF($AF141=1,0,IF(COUNTIFS(Batches!$A$2:$A$301,$F141,Batches!$B$2:$B$301,$D141)+COUNTIFS($F$1:$F140,$F141,$D$1:$D140,$D141,$C$1:$C140,"Receipt")=0,1,0)),0)</f>
        <v>0</v>
      </c>
      <c r="AK141" s="52">
        <f>IF(AND(COUNTA($A141:$L141)&gt;0,$C141="Receipt",$G141=""),1,0)</f>
        <v>0</v>
      </c>
      <c r="AL141" s="52">
        <f>IF(AND(COUNTA($A141:$L141)&gt;0,$G141&lt;&gt;""),IF($N141="ERR",1,0),0)</f>
        <v>0</v>
      </c>
      <c r="AM141" s="52">
        <f>IF(AND(COUNTA($A141:$L141)&gt;0,$H141=""),1,0)</f>
        <v>0</v>
      </c>
      <c r="AN141" s="52">
        <f>IF(AND(COUNTA($A141:$L141)&gt;0,$H141&lt;&gt;""),IF($O141="ERR",1,IF(INT($O141)&lt;&gt;$O141,1,IF(AND(OR($C141="Receipt",$C141="Shipment"),$O141&lt;=0),1,IF(AND($C141="Adjustment",$O141=0),1,0)))),0)</f>
        <v>0</v>
      </c>
      <c r="AO141" s="52">
        <f>IF(AND(COUNTA($A141:$L141)&gt;0,$C141="Receipt",$I141=""),1,0)</f>
        <v>0</v>
      </c>
      <c r="AP141" s="52">
        <f>IF(AND(COUNTA($A141:$L141)&gt;0,$I141&lt;&gt;""),IF(IFERROR(INDEX(Config!$G$15:$G$34,MATCH($I141,Config!$E$15:$E$34,0)),"No")="Yes",0,1),0)</f>
        <v>0</v>
      </c>
      <c r="AQ141" s="52">
        <f>IF(AND(COUNTA($A141:$L141)&gt;0,$C141="Adjustment",$J141=""),1,0)</f>
        <v>0</v>
      </c>
      <c r="AR141" s="52">
        <f>IF(AND(COUNTA($A141:$L141)&gt;0,$L141=""),1,0)</f>
        <v>0</v>
      </c>
      <c r="AS141" s="52">
        <f>IF(AND(COUNTA($A141:$L141)&gt;0,ISNUMBER($S141)),IF($S141&lt;0,1,0),0)</f>
        <v>0</v>
      </c>
      <c r="AT141" s="52">
        <f>$W141</f>
        <v>0</v>
      </c>
      <c r="AU141" s="52">
        <f>$AT141+$X141</f>
        <v>0</v>
      </c>
      <c r="AV141" s="52">
        <f>$AU141+$Y141</f>
        <v>0</v>
      </c>
      <c r="AW141" s="52">
        <f>$AV141+$Z141</f>
        <v>0</v>
      </c>
      <c r="AX141" s="52">
        <f>$AW141+$AA141</f>
        <v>0</v>
      </c>
      <c r="AY141" s="52">
        <f>$AX141+$AB141</f>
        <v>0</v>
      </c>
      <c r="AZ141" s="52">
        <f>$AY141+$AC141</f>
        <v>0</v>
      </c>
      <c r="BA141" s="52">
        <f>$AZ141+$AD141</f>
        <v>0</v>
      </c>
      <c r="BB141" s="52">
        <f>$BA141+$AE141</f>
        <v>0</v>
      </c>
      <c r="BC141" s="52">
        <f>$BB141+$AF141</f>
        <v>0</v>
      </c>
      <c r="BD141" s="52">
        <f>$BC141+$AG141</f>
        <v>0</v>
      </c>
      <c r="BE141" s="52">
        <f>$BD141+$AH141</f>
        <v>0</v>
      </c>
      <c r="BF141" s="52">
        <f>$BE141+$AI141</f>
        <v>0</v>
      </c>
      <c r="BG141" s="52">
        <f>$BF141+$AJ141</f>
        <v>0</v>
      </c>
      <c r="BH141" s="52">
        <f>$BG141+$AK141</f>
        <v>0</v>
      </c>
      <c r="BI141" s="52">
        <f>$BH141+$AL141</f>
        <v>0</v>
      </c>
      <c r="BJ141" s="52">
        <f>$BI141+$AM141</f>
        <v>0</v>
      </c>
      <c r="BK141" s="52">
        <f>$BJ141+$AN141</f>
        <v>0</v>
      </c>
      <c r="BL141" s="52">
        <f>$BK141+$AO141</f>
        <v>0</v>
      </c>
      <c r="BM141" s="52">
        <f>$BL141+$AP141</f>
        <v>0</v>
      </c>
      <c r="BN141" s="52">
        <f>$BM141+$AQ141</f>
        <v>0</v>
      </c>
      <c r="BO141" s="52">
        <f>$BN141+$AR141</f>
        <v>0</v>
      </c>
      <c r="BP141" s="52">
        <f>$BO141+$AS141</f>
        <v>0</v>
      </c>
      <c r="BQ141" s="52">
        <f>SUM($T$1:$T140)</f>
        <v>11</v>
      </c>
      <c r="BR141" s="52" t="str">
        <f>IF(ISNUMBER($T141),IF($T141&gt;0,COUNTIF($T$2:$T141,"&gt;0"),""),"")</f>
        <v/>
      </c>
      <c r="BS141" s="52" t="str">
        <f>IF($BR141="","",$BQ141+$T141)</f>
        <v/>
      </c>
      <c r="BT141" s="52" t="str">
        <f>IF($U141="Ready",COUNTIF($U$2:$U141,"Ready"),"")</f>
        <v/>
      </c>
      <c r="BU141" s="52">
        <f>IF(AND($U141="Ready",$C141="Receipt"),IF(COUNTIF(Batches!$A$2:$A$301,$F141)+COUNTIFS($F$1:$F140,$F141,$C$1:$C140,"Receipt",$U$1:$U140,"Ready")=0,1,0),0)</f>
        <v>0</v>
      </c>
      <c r="BV141" s="52" t="str">
        <f>IF($BU141=1,SUM($BU$2:$BU141),"")</f>
        <v/>
      </c>
    </row>
    <row r="142">
      <c r="A142" s="46" t="n"/>
      <c r="B142" s="46" t="n"/>
      <c r="C142" s="46" t="n"/>
      <c r="D142" s="46" t="n"/>
      <c r="E142" s="46" t="n"/>
      <c r="F142" s="46" t="n"/>
      <c r="G142" s="46" t="n"/>
      <c r="H142" s="46" t="n"/>
      <c r="I142" s="46" t="n"/>
      <c r="J142" s="46" t="n"/>
      <c r="K142" s="46" t="n"/>
      <c r="L142" s="46" t="n"/>
      <c r="M142" s="62" t="str">
        <f>IF($B142="","",IF(ISNUMBER($B142),$B142,IF(AND(LEN($B142)=10,MID($B142,5,1)="-",MID($B142,8,1)="-"),IFERROR(IF(AND(MONTH(DATE(VALUE(LEFT($B142,4)),VALUE(MID($B142,6,2)),VALUE(RIGHT($B142,2))))=VALUE(MID($B142,6,2)),DAY(DATE(VALUE(LEFT($B142,4)),VALUE(MID($B142,6,2)),VALUE(RIGHT($B142,2))))=VALUE(RIGHT($B142,2))),DATE(VALUE(LEFT($B142,4)),VALUE(MID($B142,6,2)),VALUE(RIGHT($B142,2))),"ERR"),"ERR"),"ERR")))</f>
        <v/>
      </c>
      <c r="N142" s="62" t="str">
        <f>IF($G142="","",IF(ISNUMBER($G142),$G142,IF(AND(LEN($G142)=10,MID($G142,5,1)="-",MID($G142,8,1)="-"),IFERROR(IF(AND(MONTH(DATE(VALUE(LEFT($G142,4)),VALUE(MID($G142,6,2)),VALUE(RIGHT($G142,2))))=VALUE(MID($G142,6,2)),DAY(DATE(VALUE(LEFT($G142,4)),VALUE(MID($G142,6,2)),VALUE(RIGHT($G142,2))))=VALUE(RIGHT($G142,2))),DATE(VALUE(LEFT($G142,4)),VALUE(MID($G142,6,2)),VALUE(RIGHT($G142,2))),"ERR"),"ERR"),"ERR")))</f>
        <v/>
      </c>
      <c r="O142" s="51" t="str">
        <f>IF($H142="","",IF(ISNUMBER($H142),$H142,IFERROR(VALUE($H142),"ERR")))</f>
        <v/>
      </c>
      <c r="P142" s="51" t="str">
        <f>IF(AND(ISNUMBER($O142),OR($C142="Receipt",$C142="Shipment",$C142="Adjustment")),IF($C142="Shipment",-$O142,$O142),"")</f>
        <v/>
      </c>
      <c r="Q142" s="51" t="str">
        <f>IF($D142="","",IFERROR(INDEX(Products!$R$2:$R$101,MATCH($D142,Products!$A$2:$A$101,0)),""))</f>
        <v/>
      </c>
      <c r="R142" s="51" t="str">
        <f>IF(OR($Q142="",$P142=""),"",$Q142+SUMIFS($P$1:$P141,$D$1:$D141,$D142,$U$1:$U141,"Ready"))</f>
        <v/>
      </c>
      <c r="S142" s="51" t="str">
        <f>IF($R142="","",$R142+$P142)</f>
        <v/>
      </c>
      <c r="T142" s="52" t="str">
        <f>IF(COUNTA($A142:$L142)&gt;0,$BP142,"")</f>
        <v/>
      </c>
      <c r="U142" s="49" t="str">
        <f>IF($T142="","",IF($T142=0,"Ready","Rejected"))</f>
        <v/>
      </c>
      <c r="V142" s="49" t="str">
        <f>IF(OR($T142="",$T142=0),"",INDEX(Config!$D$39:$D$61,MATCH(1,$AT142:$BP142,0))&amp;IF($T142&gt;1," (+"&amp;($T142-1)&amp;" more)",""))</f>
        <v/>
      </c>
      <c r="W142" s="52">
        <f>IF(AND(COUNTA($A142:$L142)&gt;0,$A142=""),1,0)</f>
        <v>0</v>
      </c>
      <c r="X142" s="52">
        <f>IF(AND(COUNTA($A142:$L142)&gt;0,$A142&lt;&gt;""),IF(COUNTIF($A$1:$A141,$A142)&gt;0,1,0),0)</f>
        <v>0</v>
      </c>
      <c r="Y142" s="52">
        <f>IF(AND(COUNTA($A142:$L142)&gt;0,$A142&lt;&gt;""),IF(COUNTIF(Inventory_Ledger!$A$2:$A$2001,$A142)&gt;0,1,0),0)</f>
        <v>0</v>
      </c>
      <c r="Z142" s="52">
        <f>IF(AND(COUNTA($A142:$L142)&gt;0,$B142=""),1,0)</f>
        <v>0</v>
      </c>
      <c r="AA142" s="52">
        <f>IF(AND(COUNTA($A142:$L142)&gt;0,$B142&lt;&gt;""),IF($M142="ERR",1,0),0)</f>
        <v>0</v>
      </c>
      <c r="AB142" s="52">
        <f>IF(AND(COUNTA($A142:$L142)&gt;0,ISNUMBER($M142)),IF($M142&gt;Config!$B$4,1,0),0)</f>
        <v>0</v>
      </c>
      <c r="AC142" s="52">
        <f>IF(AND(COUNTA($A142:$L142)&gt;0,$C142=""),1,0)</f>
        <v>0</v>
      </c>
      <c r="AD142" s="52">
        <f>IF(AND(COUNTA($A142:$L142)&gt;0,$C142&lt;&gt;""),IF(COUNTIF(Config!$A$15:$A$34,$C142)=0,1,0),0)</f>
        <v>0</v>
      </c>
      <c r="AE142" s="52">
        <f>IF(AND(COUNTA($A142:$L142)&gt;0,$D142=""),1,0)</f>
        <v>0</v>
      </c>
      <c r="AF142" s="52">
        <f>IF(AND(COUNTA($A142:$L142)&gt;0,$D142&lt;&gt;""),IF(COUNTIF(Products!$A$2:$A$101,$D142)=0,1,0),0)</f>
        <v>0</v>
      </c>
      <c r="AG142" s="52">
        <f>IF(AND(COUNTA($A142:$L142)&gt;0,$C142="Receipt",$E142=""),1,0)</f>
        <v>0</v>
      </c>
      <c r="AH142" s="52">
        <f>IF(AND(COUNTA($A142:$L142)&gt;0,$E142&lt;&gt;""),IF(COUNTIF(Suppliers!$A$2:$A$51,$E142)=0,1,0),0)</f>
        <v>0</v>
      </c>
      <c r="AI142" s="52">
        <f>IF(AND(COUNTA($A142:$L142)&gt;0,$F142=""),1,0)</f>
        <v>0</v>
      </c>
      <c r="AJ142" s="52">
        <f>IF(AND(COUNTA($A142:$L142)&gt;0,$F142&lt;&gt;"",$D142&lt;&gt;"",OR($C142="Shipment",$C142="Adjustment")),IF($AF142=1,0,IF(COUNTIFS(Batches!$A$2:$A$301,$F142,Batches!$B$2:$B$301,$D142)+COUNTIFS($F$1:$F141,$F142,$D$1:$D141,$D142,$C$1:$C141,"Receipt")=0,1,0)),0)</f>
        <v>0</v>
      </c>
      <c r="AK142" s="52">
        <f>IF(AND(COUNTA($A142:$L142)&gt;0,$C142="Receipt",$G142=""),1,0)</f>
        <v>0</v>
      </c>
      <c r="AL142" s="52">
        <f>IF(AND(COUNTA($A142:$L142)&gt;0,$G142&lt;&gt;""),IF($N142="ERR",1,0),0)</f>
        <v>0</v>
      </c>
      <c r="AM142" s="52">
        <f>IF(AND(COUNTA($A142:$L142)&gt;0,$H142=""),1,0)</f>
        <v>0</v>
      </c>
      <c r="AN142" s="52">
        <f>IF(AND(COUNTA($A142:$L142)&gt;0,$H142&lt;&gt;""),IF($O142="ERR",1,IF(INT($O142)&lt;&gt;$O142,1,IF(AND(OR($C142="Receipt",$C142="Shipment"),$O142&lt;=0),1,IF(AND($C142="Adjustment",$O142=0),1,0)))),0)</f>
        <v>0</v>
      </c>
      <c r="AO142" s="52">
        <f>IF(AND(COUNTA($A142:$L142)&gt;0,$C142="Receipt",$I142=""),1,0)</f>
        <v>0</v>
      </c>
      <c r="AP142" s="52">
        <f>IF(AND(COUNTA($A142:$L142)&gt;0,$I142&lt;&gt;""),IF(IFERROR(INDEX(Config!$G$15:$G$34,MATCH($I142,Config!$E$15:$E$34,0)),"No")="Yes",0,1),0)</f>
        <v>0</v>
      </c>
      <c r="AQ142" s="52">
        <f>IF(AND(COUNTA($A142:$L142)&gt;0,$C142="Adjustment",$J142=""),1,0)</f>
        <v>0</v>
      </c>
      <c r="AR142" s="52">
        <f>IF(AND(COUNTA($A142:$L142)&gt;0,$L142=""),1,0)</f>
        <v>0</v>
      </c>
      <c r="AS142" s="52">
        <f>IF(AND(COUNTA($A142:$L142)&gt;0,ISNUMBER($S142)),IF($S142&lt;0,1,0),0)</f>
        <v>0</v>
      </c>
      <c r="AT142" s="52">
        <f>$W142</f>
        <v>0</v>
      </c>
      <c r="AU142" s="52">
        <f>$AT142+$X142</f>
        <v>0</v>
      </c>
      <c r="AV142" s="52">
        <f>$AU142+$Y142</f>
        <v>0</v>
      </c>
      <c r="AW142" s="52">
        <f>$AV142+$Z142</f>
        <v>0</v>
      </c>
      <c r="AX142" s="52">
        <f>$AW142+$AA142</f>
        <v>0</v>
      </c>
      <c r="AY142" s="52">
        <f>$AX142+$AB142</f>
        <v>0</v>
      </c>
      <c r="AZ142" s="52">
        <f>$AY142+$AC142</f>
        <v>0</v>
      </c>
      <c r="BA142" s="52">
        <f>$AZ142+$AD142</f>
        <v>0</v>
      </c>
      <c r="BB142" s="52">
        <f>$BA142+$AE142</f>
        <v>0</v>
      </c>
      <c r="BC142" s="52">
        <f>$BB142+$AF142</f>
        <v>0</v>
      </c>
      <c r="BD142" s="52">
        <f>$BC142+$AG142</f>
        <v>0</v>
      </c>
      <c r="BE142" s="52">
        <f>$BD142+$AH142</f>
        <v>0</v>
      </c>
      <c r="BF142" s="52">
        <f>$BE142+$AI142</f>
        <v>0</v>
      </c>
      <c r="BG142" s="52">
        <f>$BF142+$AJ142</f>
        <v>0</v>
      </c>
      <c r="BH142" s="52">
        <f>$BG142+$AK142</f>
        <v>0</v>
      </c>
      <c r="BI142" s="52">
        <f>$BH142+$AL142</f>
        <v>0</v>
      </c>
      <c r="BJ142" s="52">
        <f>$BI142+$AM142</f>
        <v>0</v>
      </c>
      <c r="BK142" s="52">
        <f>$BJ142+$AN142</f>
        <v>0</v>
      </c>
      <c r="BL142" s="52">
        <f>$BK142+$AO142</f>
        <v>0</v>
      </c>
      <c r="BM142" s="52">
        <f>$BL142+$AP142</f>
        <v>0</v>
      </c>
      <c r="BN142" s="52">
        <f>$BM142+$AQ142</f>
        <v>0</v>
      </c>
      <c r="BO142" s="52">
        <f>$BN142+$AR142</f>
        <v>0</v>
      </c>
      <c r="BP142" s="52">
        <f>$BO142+$AS142</f>
        <v>0</v>
      </c>
      <c r="BQ142" s="52">
        <f>SUM($T$1:$T141)</f>
        <v>11</v>
      </c>
      <c r="BR142" s="52" t="str">
        <f>IF(ISNUMBER($T142),IF($T142&gt;0,COUNTIF($T$2:$T142,"&gt;0"),""),"")</f>
        <v/>
      </c>
      <c r="BS142" s="52" t="str">
        <f>IF($BR142="","",$BQ142+$T142)</f>
        <v/>
      </c>
      <c r="BT142" s="52" t="str">
        <f>IF($U142="Ready",COUNTIF($U$2:$U142,"Ready"),"")</f>
        <v/>
      </c>
      <c r="BU142" s="52">
        <f>IF(AND($U142="Ready",$C142="Receipt"),IF(COUNTIF(Batches!$A$2:$A$301,$F142)+COUNTIFS($F$1:$F141,$F142,$C$1:$C141,"Receipt",$U$1:$U141,"Ready")=0,1,0),0)</f>
        <v>0</v>
      </c>
      <c r="BV142" s="52" t="str">
        <f>IF($BU142=1,SUM($BU$2:$BU142),"")</f>
        <v/>
      </c>
    </row>
    <row r="143">
      <c r="A143" s="46" t="n"/>
      <c r="B143" s="46" t="n"/>
      <c r="C143" s="46" t="n"/>
      <c r="D143" s="46" t="n"/>
      <c r="E143" s="46" t="n"/>
      <c r="F143" s="46" t="n"/>
      <c r="G143" s="46" t="n"/>
      <c r="H143" s="46" t="n"/>
      <c r="I143" s="46" t="n"/>
      <c r="J143" s="46" t="n"/>
      <c r="K143" s="46" t="n"/>
      <c r="L143" s="46" t="n"/>
      <c r="M143" s="62" t="str">
        <f>IF($B143="","",IF(ISNUMBER($B143),$B143,IF(AND(LEN($B143)=10,MID($B143,5,1)="-",MID($B143,8,1)="-"),IFERROR(IF(AND(MONTH(DATE(VALUE(LEFT($B143,4)),VALUE(MID($B143,6,2)),VALUE(RIGHT($B143,2))))=VALUE(MID($B143,6,2)),DAY(DATE(VALUE(LEFT($B143,4)),VALUE(MID($B143,6,2)),VALUE(RIGHT($B143,2))))=VALUE(RIGHT($B143,2))),DATE(VALUE(LEFT($B143,4)),VALUE(MID($B143,6,2)),VALUE(RIGHT($B143,2))),"ERR"),"ERR"),"ERR")))</f>
        <v/>
      </c>
      <c r="N143" s="62" t="str">
        <f>IF($G143="","",IF(ISNUMBER($G143),$G143,IF(AND(LEN($G143)=10,MID($G143,5,1)="-",MID($G143,8,1)="-"),IFERROR(IF(AND(MONTH(DATE(VALUE(LEFT($G143,4)),VALUE(MID($G143,6,2)),VALUE(RIGHT($G143,2))))=VALUE(MID($G143,6,2)),DAY(DATE(VALUE(LEFT($G143,4)),VALUE(MID($G143,6,2)),VALUE(RIGHT($G143,2))))=VALUE(RIGHT($G143,2))),DATE(VALUE(LEFT($G143,4)),VALUE(MID($G143,6,2)),VALUE(RIGHT($G143,2))),"ERR"),"ERR"),"ERR")))</f>
        <v/>
      </c>
      <c r="O143" s="51" t="str">
        <f>IF($H143="","",IF(ISNUMBER($H143),$H143,IFERROR(VALUE($H143),"ERR")))</f>
        <v/>
      </c>
      <c r="P143" s="51" t="str">
        <f>IF(AND(ISNUMBER($O143),OR($C143="Receipt",$C143="Shipment",$C143="Adjustment")),IF($C143="Shipment",-$O143,$O143),"")</f>
        <v/>
      </c>
      <c r="Q143" s="51" t="str">
        <f>IF($D143="","",IFERROR(INDEX(Products!$R$2:$R$101,MATCH($D143,Products!$A$2:$A$101,0)),""))</f>
        <v/>
      </c>
      <c r="R143" s="51" t="str">
        <f>IF(OR($Q143="",$P143=""),"",$Q143+SUMIFS($P$1:$P142,$D$1:$D142,$D143,$U$1:$U142,"Ready"))</f>
        <v/>
      </c>
      <c r="S143" s="51" t="str">
        <f>IF($R143="","",$R143+$P143)</f>
        <v/>
      </c>
      <c r="T143" s="52" t="str">
        <f>IF(COUNTA($A143:$L143)&gt;0,$BP143,"")</f>
        <v/>
      </c>
      <c r="U143" s="49" t="str">
        <f>IF($T143="","",IF($T143=0,"Ready","Rejected"))</f>
        <v/>
      </c>
      <c r="V143" s="49" t="str">
        <f>IF(OR($T143="",$T143=0),"",INDEX(Config!$D$39:$D$61,MATCH(1,$AT143:$BP143,0))&amp;IF($T143&gt;1," (+"&amp;($T143-1)&amp;" more)",""))</f>
        <v/>
      </c>
      <c r="W143" s="52">
        <f>IF(AND(COUNTA($A143:$L143)&gt;0,$A143=""),1,0)</f>
        <v>0</v>
      </c>
      <c r="X143" s="52">
        <f>IF(AND(COUNTA($A143:$L143)&gt;0,$A143&lt;&gt;""),IF(COUNTIF($A$1:$A142,$A143)&gt;0,1,0),0)</f>
        <v>0</v>
      </c>
      <c r="Y143" s="52">
        <f>IF(AND(COUNTA($A143:$L143)&gt;0,$A143&lt;&gt;""),IF(COUNTIF(Inventory_Ledger!$A$2:$A$2001,$A143)&gt;0,1,0),0)</f>
        <v>0</v>
      </c>
      <c r="Z143" s="52">
        <f>IF(AND(COUNTA($A143:$L143)&gt;0,$B143=""),1,0)</f>
        <v>0</v>
      </c>
      <c r="AA143" s="52">
        <f>IF(AND(COUNTA($A143:$L143)&gt;0,$B143&lt;&gt;""),IF($M143="ERR",1,0),0)</f>
        <v>0</v>
      </c>
      <c r="AB143" s="52">
        <f>IF(AND(COUNTA($A143:$L143)&gt;0,ISNUMBER($M143)),IF($M143&gt;Config!$B$4,1,0),0)</f>
        <v>0</v>
      </c>
      <c r="AC143" s="52">
        <f>IF(AND(COUNTA($A143:$L143)&gt;0,$C143=""),1,0)</f>
        <v>0</v>
      </c>
      <c r="AD143" s="52">
        <f>IF(AND(COUNTA($A143:$L143)&gt;0,$C143&lt;&gt;""),IF(COUNTIF(Config!$A$15:$A$34,$C143)=0,1,0),0)</f>
        <v>0</v>
      </c>
      <c r="AE143" s="52">
        <f>IF(AND(COUNTA($A143:$L143)&gt;0,$D143=""),1,0)</f>
        <v>0</v>
      </c>
      <c r="AF143" s="52">
        <f>IF(AND(COUNTA($A143:$L143)&gt;0,$D143&lt;&gt;""),IF(COUNTIF(Products!$A$2:$A$101,$D143)=0,1,0),0)</f>
        <v>0</v>
      </c>
      <c r="AG143" s="52">
        <f>IF(AND(COUNTA($A143:$L143)&gt;0,$C143="Receipt",$E143=""),1,0)</f>
        <v>0</v>
      </c>
      <c r="AH143" s="52">
        <f>IF(AND(COUNTA($A143:$L143)&gt;0,$E143&lt;&gt;""),IF(COUNTIF(Suppliers!$A$2:$A$51,$E143)=0,1,0),0)</f>
        <v>0</v>
      </c>
      <c r="AI143" s="52">
        <f>IF(AND(COUNTA($A143:$L143)&gt;0,$F143=""),1,0)</f>
        <v>0</v>
      </c>
      <c r="AJ143" s="52">
        <f>IF(AND(COUNTA($A143:$L143)&gt;0,$F143&lt;&gt;"",$D143&lt;&gt;"",OR($C143="Shipment",$C143="Adjustment")),IF($AF143=1,0,IF(COUNTIFS(Batches!$A$2:$A$301,$F143,Batches!$B$2:$B$301,$D143)+COUNTIFS($F$1:$F142,$F143,$D$1:$D142,$D143,$C$1:$C142,"Receipt")=0,1,0)),0)</f>
        <v>0</v>
      </c>
      <c r="AK143" s="52">
        <f>IF(AND(COUNTA($A143:$L143)&gt;0,$C143="Receipt",$G143=""),1,0)</f>
        <v>0</v>
      </c>
      <c r="AL143" s="52">
        <f>IF(AND(COUNTA($A143:$L143)&gt;0,$G143&lt;&gt;""),IF($N143="ERR",1,0),0)</f>
        <v>0</v>
      </c>
      <c r="AM143" s="52">
        <f>IF(AND(COUNTA($A143:$L143)&gt;0,$H143=""),1,0)</f>
        <v>0</v>
      </c>
      <c r="AN143" s="52">
        <f>IF(AND(COUNTA($A143:$L143)&gt;0,$H143&lt;&gt;""),IF($O143="ERR",1,IF(INT($O143)&lt;&gt;$O143,1,IF(AND(OR($C143="Receipt",$C143="Shipment"),$O143&lt;=0),1,IF(AND($C143="Adjustment",$O143=0),1,0)))),0)</f>
        <v>0</v>
      </c>
      <c r="AO143" s="52">
        <f>IF(AND(COUNTA($A143:$L143)&gt;0,$C143="Receipt",$I143=""),1,0)</f>
        <v>0</v>
      </c>
      <c r="AP143" s="52">
        <f>IF(AND(COUNTA($A143:$L143)&gt;0,$I143&lt;&gt;""),IF(IFERROR(INDEX(Config!$G$15:$G$34,MATCH($I143,Config!$E$15:$E$34,0)),"No")="Yes",0,1),0)</f>
        <v>0</v>
      </c>
      <c r="AQ143" s="52">
        <f>IF(AND(COUNTA($A143:$L143)&gt;0,$C143="Adjustment",$J143=""),1,0)</f>
        <v>0</v>
      </c>
      <c r="AR143" s="52">
        <f>IF(AND(COUNTA($A143:$L143)&gt;0,$L143=""),1,0)</f>
        <v>0</v>
      </c>
      <c r="AS143" s="52">
        <f>IF(AND(COUNTA($A143:$L143)&gt;0,ISNUMBER($S143)),IF($S143&lt;0,1,0),0)</f>
        <v>0</v>
      </c>
      <c r="AT143" s="52">
        <f>$W143</f>
        <v>0</v>
      </c>
      <c r="AU143" s="52">
        <f>$AT143+$X143</f>
        <v>0</v>
      </c>
      <c r="AV143" s="52">
        <f>$AU143+$Y143</f>
        <v>0</v>
      </c>
      <c r="AW143" s="52">
        <f>$AV143+$Z143</f>
        <v>0</v>
      </c>
      <c r="AX143" s="52">
        <f>$AW143+$AA143</f>
        <v>0</v>
      </c>
      <c r="AY143" s="52">
        <f>$AX143+$AB143</f>
        <v>0</v>
      </c>
      <c r="AZ143" s="52">
        <f>$AY143+$AC143</f>
        <v>0</v>
      </c>
      <c r="BA143" s="52">
        <f>$AZ143+$AD143</f>
        <v>0</v>
      </c>
      <c r="BB143" s="52">
        <f>$BA143+$AE143</f>
        <v>0</v>
      </c>
      <c r="BC143" s="52">
        <f>$BB143+$AF143</f>
        <v>0</v>
      </c>
      <c r="BD143" s="52">
        <f>$BC143+$AG143</f>
        <v>0</v>
      </c>
      <c r="BE143" s="52">
        <f>$BD143+$AH143</f>
        <v>0</v>
      </c>
      <c r="BF143" s="52">
        <f>$BE143+$AI143</f>
        <v>0</v>
      </c>
      <c r="BG143" s="52">
        <f>$BF143+$AJ143</f>
        <v>0</v>
      </c>
      <c r="BH143" s="52">
        <f>$BG143+$AK143</f>
        <v>0</v>
      </c>
      <c r="BI143" s="52">
        <f>$BH143+$AL143</f>
        <v>0</v>
      </c>
      <c r="BJ143" s="52">
        <f>$BI143+$AM143</f>
        <v>0</v>
      </c>
      <c r="BK143" s="52">
        <f>$BJ143+$AN143</f>
        <v>0</v>
      </c>
      <c r="BL143" s="52">
        <f>$BK143+$AO143</f>
        <v>0</v>
      </c>
      <c r="BM143" s="52">
        <f>$BL143+$AP143</f>
        <v>0</v>
      </c>
      <c r="BN143" s="52">
        <f>$BM143+$AQ143</f>
        <v>0</v>
      </c>
      <c r="BO143" s="52">
        <f>$BN143+$AR143</f>
        <v>0</v>
      </c>
      <c r="BP143" s="52">
        <f>$BO143+$AS143</f>
        <v>0</v>
      </c>
      <c r="BQ143" s="52">
        <f>SUM($T$1:$T142)</f>
        <v>11</v>
      </c>
      <c r="BR143" s="52" t="str">
        <f>IF(ISNUMBER($T143),IF($T143&gt;0,COUNTIF($T$2:$T143,"&gt;0"),""),"")</f>
        <v/>
      </c>
      <c r="BS143" s="52" t="str">
        <f>IF($BR143="","",$BQ143+$T143)</f>
        <v/>
      </c>
      <c r="BT143" s="52" t="str">
        <f>IF($U143="Ready",COUNTIF($U$2:$U143,"Ready"),"")</f>
        <v/>
      </c>
      <c r="BU143" s="52">
        <f>IF(AND($U143="Ready",$C143="Receipt"),IF(COUNTIF(Batches!$A$2:$A$301,$F143)+COUNTIFS($F$1:$F142,$F143,$C$1:$C142,"Receipt",$U$1:$U142,"Ready")=0,1,0),0)</f>
        <v>0</v>
      </c>
      <c r="BV143" s="52" t="str">
        <f>IF($BU143=1,SUM($BU$2:$BU143),"")</f>
        <v/>
      </c>
    </row>
    <row r="144">
      <c r="A144" s="46" t="n"/>
      <c r="B144" s="46" t="n"/>
      <c r="C144" s="46" t="n"/>
      <c r="D144" s="46" t="n"/>
      <c r="E144" s="46" t="n"/>
      <c r="F144" s="46" t="n"/>
      <c r="G144" s="46" t="n"/>
      <c r="H144" s="46" t="n"/>
      <c r="I144" s="46" t="n"/>
      <c r="J144" s="46" t="n"/>
      <c r="K144" s="46" t="n"/>
      <c r="L144" s="46" t="n"/>
      <c r="M144" s="62" t="str">
        <f>IF($B144="","",IF(ISNUMBER($B144),$B144,IF(AND(LEN($B144)=10,MID($B144,5,1)="-",MID($B144,8,1)="-"),IFERROR(IF(AND(MONTH(DATE(VALUE(LEFT($B144,4)),VALUE(MID($B144,6,2)),VALUE(RIGHT($B144,2))))=VALUE(MID($B144,6,2)),DAY(DATE(VALUE(LEFT($B144,4)),VALUE(MID($B144,6,2)),VALUE(RIGHT($B144,2))))=VALUE(RIGHT($B144,2))),DATE(VALUE(LEFT($B144,4)),VALUE(MID($B144,6,2)),VALUE(RIGHT($B144,2))),"ERR"),"ERR"),"ERR")))</f>
        <v/>
      </c>
      <c r="N144" s="62" t="str">
        <f>IF($G144="","",IF(ISNUMBER($G144),$G144,IF(AND(LEN($G144)=10,MID($G144,5,1)="-",MID($G144,8,1)="-"),IFERROR(IF(AND(MONTH(DATE(VALUE(LEFT($G144,4)),VALUE(MID($G144,6,2)),VALUE(RIGHT($G144,2))))=VALUE(MID($G144,6,2)),DAY(DATE(VALUE(LEFT($G144,4)),VALUE(MID($G144,6,2)),VALUE(RIGHT($G144,2))))=VALUE(RIGHT($G144,2))),DATE(VALUE(LEFT($G144,4)),VALUE(MID($G144,6,2)),VALUE(RIGHT($G144,2))),"ERR"),"ERR"),"ERR")))</f>
        <v/>
      </c>
      <c r="O144" s="51" t="str">
        <f>IF($H144="","",IF(ISNUMBER($H144),$H144,IFERROR(VALUE($H144),"ERR")))</f>
        <v/>
      </c>
      <c r="P144" s="51" t="str">
        <f>IF(AND(ISNUMBER($O144),OR($C144="Receipt",$C144="Shipment",$C144="Adjustment")),IF($C144="Shipment",-$O144,$O144),"")</f>
        <v/>
      </c>
      <c r="Q144" s="51" t="str">
        <f>IF($D144="","",IFERROR(INDEX(Products!$R$2:$R$101,MATCH($D144,Products!$A$2:$A$101,0)),""))</f>
        <v/>
      </c>
      <c r="R144" s="51" t="str">
        <f>IF(OR($Q144="",$P144=""),"",$Q144+SUMIFS($P$1:$P143,$D$1:$D143,$D144,$U$1:$U143,"Ready"))</f>
        <v/>
      </c>
      <c r="S144" s="51" t="str">
        <f>IF($R144="","",$R144+$P144)</f>
        <v/>
      </c>
      <c r="T144" s="52" t="str">
        <f>IF(COUNTA($A144:$L144)&gt;0,$BP144,"")</f>
        <v/>
      </c>
      <c r="U144" s="49" t="str">
        <f>IF($T144="","",IF($T144=0,"Ready","Rejected"))</f>
        <v/>
      </c>
      <c r="V144" s="49" t="str">
        <f>IF(OR($T144="",$T144=0),"",INDEX(Config!$D$39:$D$61,MATCH(1,$AT144:$BP144,0))&amp;IF($T144&gt;1," (+"&amp;($T144-1)&amp;" more)",""))</f>
        <v/>
      </c>
      <c r="W144" s="52">
        <f>IF(AND(COUNTA($A144:$L144)&gt;0,$A144=""),1,0)</f>
        <v>0</v>
      </c>
      <c r="X144" s="52">
        <f>IF(AND(COUNTA($A144:$L144)&gt;0,$A144&lt;&gt;""),IF(COUNTIF($A$1:$A143,$A144)&gt;0,1,0),0)</f>
        <v>0</v>
      </c>
      <c r="Y144" s="52">
        <f>IF(AND(COUNTA($A144:$L144)&gt;0,$A144&lt;&gt;""),IF(COUNTIF(Inventory_Ledger!$A$2:$A$2001,$A144)&gt;0,1,0),0)</f>
        <v>0</v>
      </c>
      <c r="Z144" s="52">
        <f>IF(AND(COUNTA($A144:$L144)&gt;0,$B144=""),1,0)</f>
        <v>0</v>
      </c>
      <c r="AA144" s="52">
        <f>IF(AND(COUNTA($A144:$L144)&gt;0,$B144&lt;&gt;""),IF($M144="ERR",1,0),0)</f>
        <v>0</v>
      </c>
      <c r="AB144" s="52">
        <f>IF(AND(COUNTA($A144:$L144)&gt;0,ISNUMBER($M144)),IF($M144&gt;Config!$B$4,1,0),0)</f>
        <v>0</v>
      </c>
      <c r="AC144" s="52">
        <f>IF(AND(COUNTA($A144:$L144)&gt;0,$C144=""),1,0)</f>
        <v>0</v>
      </c>
      <c r="AD144" s="52">
        <f>IF(AND(COUNTA($A144:$L144)&gt;0,$C144&lt;&gt;""),IF(COUNTIF(Config!$A$15:$A$34,$C144)=0,1,0),0)</f>
        <v>0</v>
      </c>
      <c r="AE144" s="52">
        <f>IF(AND(COUNTA($A144:$L144)&gt;0,$D144=""),1,0)</f>
        <v>0</v>
      </c>
      <c r="AF144" s="52">
        <f>IF(AND(COUNTA($A144:$L144)&gt;0,$D144&lt;&gt;""),IF(COUNTIF(Products!$A$2:$A$101,$D144)=0,1,0),0)</f>
        <v>0</v>
      </c>
      <c r="AG144" s="52">
        <f>IF(AND(COUNTA($A144:$L144)&gt;0,$C144="Receipt",$E144=""),1,0)</f>
        <v>0</v>
      </c>
      <c r="AH144" s="52">
        <f>IF(AND(COUNTA($A144:$L144)&gt;0,$E144&lt;&gt;""),IF(COUNTIF(Suppliers!$A$2:$A$51,$E144)=0,1,0),0)</f>
        <v>0</v>
      </c>
      <c r="AI144" s="52">
        <f>IF(AND(COUNTA($A144:$L144)&gt;0,$F144=""),1,0)</f>
        <v>0</v>
      </c>
      <c r="AJ144" s="52">
        <f>IF(AND(COUNTA($A144:$L144)&gt;0,$F144&lt;&gt;"",$D144&lt;&gt;"",OR($C144="Shipment",$C144="Adjustment")),IF($AF144=1,0,IF(COUNTIFS(Batches!$A$2:$A$301,$F144,Batches!$B$2:$B$301,$D144)+COUNTIFS($F$1:$F143,$F144,$D$1:$D143,$D144,$C$1:$C143,"Receipt")=0,1,0)),0)</f>
        <v>0</v>
      </c>
      <c r="AK144" s="52">
        <f>IF(AND(COUNTA($A144:$L144)&gt;0,$C144="Receipt",$G144=""),1,0)</f>
        <v>0</v>
      </c>
      <c r="AL144" s="52">
        <f>IF(AND(COUNTA($A144:$L144)&gt;0,$G144&lt;&gt;""),IF($N144="ERR",1,0),0)</f>
        <v>0</v>
      </c>
      <c r="AM144" s="52">
        <f>IF(AND(COUNTA($A144:$L144)&gt;0,$H144=""),1,0)</f>
        <v>0</v>
      </c>
      <c r="AN144" s="52">
        <f>IF(AND(COUNTA($A144:$L144)&gt;0,$H144&lt;&gt;""),IF($O144="ERR",1,IF(INT($O144)&lt;&gt;$O144,1,IF(AND(OR($C144="Receipt",$C144="Shipment"),$O144&lt;=0),1,IF(AND($C144="Adjustment",$O144=0),1,0)))),0)</f>
        <v>0</v>
      </c>
      <c r="AO144" s="52">
        <f>IF(AND(COUNTA($A144:$L144)&gt;0,$C144="Receipt",$I144=""),1,0)</f>
        <v>0</v>
      </c>
      <c r="AP144" s="52">
        <f>IF(AND(COUNTA($A144:$L144)&gt;0,$I144&lt;&gt;""),IF(IFERROR(INDEX(Config!$G$15:$G$34,MATCH($I144,Config!$E$15:$E$34,0)),"No")="Yes",0,1),0)</f>
        <v>0</v>
      </c>
      <c r="AQ144" s="52">
        <f>IF(AND(COUNTA($A144:$L144)&gt;0,$C144="Adjustment",$J144=""),1,0)</f>
        <v>0</v>
      </c>
      <c r="AR144" s="52">
        <f>IF(AND(COUNTA($A144:$L144)&gt;0,$L144=""),1,0)</f>
        <v>0</v>
      </c>
      <c r="AS144" s="52">
        <f>IF(AND(COUNTA($A144:$L144)&gt;0,ISNUMBER($S144)),IF($S144&lt;0,1,0),0)</f>
        <v>0</v>
      </c>
      <c r="AT144" s="52">
        <f>$W144</f>
        <v>0</v>
      </c>
      <c r="AU144" s="52">
        <f>$AT144+$X144</f>
        <v>0</v>
      </c>
      <c r="AV144" s="52">
        <f>$AU144+$Y144</f>
        <v>0</v>
      </c>
      <c r="AW144" s="52">
        <f>$AV144+$Z144</f>
        <v>0</v>
      </c>
      <c r="AX144" s="52">
        <f>$AW144+$AA144</f>
        <v>0</v>
      </c>
      <c r="AY144" s="52">
        <f>$AX144+$AB144</f>
        <v>0</v>
      </c>
      <c r="AZ144" s="52">
        <f>$AY144+$AC144</f>
        <v>0</v>
      </c>
      <c r="BA144" s="52">
        <f>$AZ144+$AD144</f>
        <v>0</v>
      </c>
      <c r="BB144" s="52">
        <f>$BA144+$AE144</f>
        <v>0</v>
      </c>
      <c r="BC144" s="52">
        <f>$BB144+$AF144</f>
        <v>0</v>
      </c>
      <c r="BD144" s="52">
        <f>$BC144+$AG144</f>
        <v>0</v>
      </c>
      <c r="BE144" s="52">
        <f>$BD144+$AH144</f>
        <v>0</v>
      </c>
      <c r="BF144" s="52">
        <f>$BE144+$AI144</f>
        <v>0</v>
      </c>
      <c r="BG144" s="52">
        <f>$BF144+$AJ144</f>
        <v>0</v>
      </c>
      <c r="BH144" s="52">
        <f>$BG144+$AK144</f>
        <v>0</v>
      </c>
      <c r="BI144" s="52">
        <f>$BH144+$AL144</f>
        <v>0</v>
      </c>
      <c r="BJ144" s="52">
        <f>$BI144+$AM144</f>
        <v>0</v>
      </c>
      <c r="BK144" s="52">
        <f>$BJ144+$AN144</f>
        <v>0</v>
      </c>
      <c r="BL144" s="52">
        <f>$BK144+$AO144</f>
        <v>0</v>
      </c>
      <c r="BM144" s="52">
        <f>$BL144+$AP144</f>
        <v>0</v>
      </c>
      <c r="BN144" s="52">
        <f>$BM144+$AQ144</f>
        <v>0</v>
      </c>
      <c r="BO144" s="52">
        <f>$BN144+$AR144</f>
        <v>0</v>
      </c>
      <c r="BP144" s="52">
        <f>$BO144+$AS144</f>
        <v>0</v>
      </c>
      <c r="BQ144" s="52">
        <f>SUM($T$1:$T143)</f>
        <v>11</v>
      </c>
      <c r="BR144" s="52" t="str">
        <f>IF(ISNUMBER($T144),IF($T144&gt;0,COUNTIF($T$2:$T144,"&gt;0"),""),"")</f>
        <v/>
      </c>
      <c r="BS144" s="52" t="str">
        <f>IF($BR144="","",$BQ144+$T144)</f>
        <v/>
      </c>
      <c r="BT144" s="52" t="str">
        <f>IF($U144="Ready",COUNTIF($U$2:$U144,"Ready"),"")</f>
        <v/>
      </c>
      <c r="BU144" s="52">
        <f>IF(AND($U144="Ready",$C144="Receipt"),IF(COUNTIF(Batches!$A$2:$A$301,$F144)+COUNTIFS($F$1:$F143,$F144,$C$1:$C143,"Receipt",$U$1:$U143,"Ready")=0,1,0),0)</f>
        <v>0</v>
      </c>
      <c r="BV144" s="52" t="str">
        <f>IF($BU144=1,SUM($BU$2:$BU144),"")</f>
        <v/>
      </c>
    </row>
    <row r="145">
      <c r="A145" s="46" t="n"/>
      <c r="B145" s="46" t="n"/>
      <c r="C145" s="46" t="n"/>
      <c r="D145" s="46" t="n"/>
      <c r="E145" s="46" t="n"/>
      <c r="F145" s="46" t="n"/>
      <c r="G145" s="46" t="n"/>
      <c r="H145" s="46" t="n"/>
      <c r="I145" s="46" t="n"/>
      <c r="J145" s="46" t="n"/>
      <c r="K145" s="46" t="n"/>
      <c r="L145" s="46" t="n"/>
      <c r="M145" s="62" t="str">
        <f>IF($B145="","",IF(ISNUMBER($B145),$B145,IF(AND(LEN($B145)=10,MID($B145,5,1)="-",MID($B145,8,1)="-"),IFERROR(IF(AND(MONTH(DATE(VALUE(LEFT($B145,4)),VALUE(MID($B145,6,2)),VALUE(RIGHT($B145,2))))=VALUE(MID($B145,6,2)),DAY(DATE(VALUE(LEFT($B145,4)),VALUE(MID($B145,6,2)),VALUE(RIGHT($B145,2))))=VALUE(RIGHT($B145,2))),DATE(VALUE(LEFT($B145,4)),VALUE(MID($B145,6,2)),VALUE(RIGHT($B145,2))),"ERR"),"ERR"),"ERR")))</f>
        <v/>
      </c>
      <c r="N145" s="62" t="str">
        <f>IF($G145="","",IF(ISNUMBER($G145),$G145,IF(AND(LEN($G145)=10,MID($G145,5,1)="-",MID($G145,8,1)="-"),IFERROR(IF(AND(MONTH(DATE(VALUE(LEFT($G145,4)),VALUE(MID($G145,6,2)),VALUE(RIGHT($G145,2))))=VALUE(MID($G145,6,2)),DAY(DATE(VALUE(LEFT($G145,4)),VALUE(MID($G145,6,2)),VALUE(RIGHT($G145,2))))=VALUE(RIGHT($G145,2))),DATE(VALUE(LEFT($G145,4)),VALUE(MID($G145,6,2)),VALUE(RIGHT($G145,2))),"ERR"),"ERR"),"ERR")))</f>
        <v/>
      </c>
      <c r="O145" s="51" t="str">
        <f>IF($H145="","",IF(ISNUMBER($H145),$H145,IFERROR(VALUE($H145),"ERR")))</f>
        <v/>
      </c>
      <c r="P145" s="51" t="str">
        <f>IF(AND(ISNUMBER($O145),OR($C145="Receipt",$C145="Shipment",$C145="Adjustment")),IF($C145="Shipment",-$O145,$O145),"")</f>
        <v/>
      </c>
      <c r="Q145" s="51" t="str">
        <f>IF($D145="","",IFERROR(INDEX(Products!$R$2:$R$101,MATCH($D145,Products!$A$2:$A$101,0)),""))</f>
        <v/>
      </c>
      <c r="R145" s="51" t="str">
        <f>IF(OR($Q145="",$P145=""),"",$Q145+SUMIFS($P$1:$P144,$D$1:$D144,$D145,$U$1:$U144,"Ready"))</f>
        <v/>
      </c>
      <c r="S145" s="51" t="str">
        <f>IF($R145="","",$R145+$P145)</f>
        <v/>
      </c>
      <c r="T145" s="52" t="str">
        <f>IF(COUNTA($A145:$L145)&gt;0,$BP145,"")</f>
        <v/>
      </c>
      <c r="U145" s="49" t="str">
        <f>IF($T145="","",IF($T145=0,"Ready","Rejected"))</f>
        <v/>
      </c>
      <c r="V145" s="49" t="str">
        <f>IF(OR($T145="",$T145=0),"",INDEX(Config!$D$39:$D$61,MATCH(1,$AT145:$BP145,0))&amp;IF($T145&gt;1," (+"&amp;($T145-1)&amp;" more)",""))</f>
        <v/>
      </c>
      <c r="W145" s="52">
        <f>IF(AND(COUNTA($A145:$L145)&gt;0,$A145=""),1,0)</f>
        <v>0</v>
      </c>
      <c r="X145" s="52">
        <f>IF(AND(COUNTA($A145:$L145)&gt;0,$A145&lt;&gt;""),IF(COUNTIF($A$1:$A144,$A145)&gt;0,1,0),0)</f>
        <v>0</v>
      </c>
      <c r="Y145" s="52">
        <f>IF(AND(COUNTA($A145:$L145)&gt;0,$A145&lt;&gt;""),IF(COUNTIF(Inventory_Ledger!$A$2:$A$2001,$A145)&gt;0,1,0),0)</f>
        <v>0</v>
      </c>
      <c r="Z145" s="52">
        <f>IF(AND(COUNTA($A145:$L145)&gt;0,$B145=""),1,0)</f>
        <v>0</v>
      </c>
      <c r="AA145" s="52">
        <f>IF(AND(COUNTA($A145:$L145)&gt;0,$B145&lt;&gt;""),IF($M145="ERR",1,0),0)</f>
        <v>0</v>
      </c>
      <c r="AB145" s="52">
        <f>IF(AND(COUNTA($A145:$L145)&gt;0,ISNUMBER($M145)),IF($M145&gt;Config!$B$4,1,0),0)</f>
        <v>0</v>
      </c>
      <c r="AC145" s="52">
        <f>IF(AND(COUNTA($A145:$L145)&gt;0,$C145=""),1,0)</f>
        <v>0</v>
      </c>
      <c r="AD145" s="52">
        <f>IF(AND(COUNTA($A145:$L145)&gt;0,$C145&lt;&gt;""),IF(COUNTIF(Config!$A$15:$A$34,$C145)=0,1,0),0)</f>
        <v>0</v>
      </c>
      <c r="AE145" s="52">
        <f>IF(AND(COUNTA($A145:$L145)&gt;0,$D145=""),1,0)</f>
        <v>0</v>
      </c>
      <c r="AF145" s="52">
        <f>IF(AND(COUNTA($A145:$L145)&gt;0,$D145&lt;&gt;""),IF(COUNTIF(Products!$A$2:$A$101,$D145)=0,1,0),0)</f>
        <v>0</v>
      </c>
      <c r="AG145" s="52">
        <f>IF(AND(COUNTA($A145:$L145)&gt;0,$C145="Receipt",$E145=""),1,0)</f>
        <v>0</v>
      </c>
      <c r="AH145" s="52">
        <f>IF(AND(COUNTA($A145:$L145)&gt;0,$E145&lt;&gt;""),IF(COUNTIF(Suppliers!$A$2:$A$51,$E145)=0,1,0),0)</f>
        <v>0</v>
      </c>
      <c r="AI145" s="52">
        <f>IF(AND(COUNTA($A145:$L145)&gt;0,$F145=""),1,0)</f>
        <v>0</v>
      </c>
      <c r="AJ145" s="52">
        <f>IF(AND(COUNTA($A145:$L145)&gt;0,$F145&lt;&gt;"",$D145&lt;&gt;"",OR($C145="Shipment",$C145="Adjustment")),IF($AF145=1,0,IF(COUNTIFS(Batches!$A$2:$A$301,$F145,Batches!$B$2:$B$301,$D145)+COUNTIFS($F$1:$F144,$F145,$D$1:$D144,$D145,$C$1:$C144,"Receipt")=0,1,0)),0)</f>
        <v>0</v>
      </c>
      <c r="AK145" s="52">
        <f>IF(AND(COUNTA($A145:$L145)&gt;0,$C145="Receipt",$G145=""),1,0)</f>
        <v>0</v>
      </c>
      <c r="AL145" s="52">
        <f>IF(AND(COUNTA($A145:$L145)&gt;0,$G145&lt;&gt;""),IF($N145="ERR",1,0),0)</f>
        <v>0</v>
      </c>
      <c r="AM145" s="52">
        <f>IF(AND(COUNTA($A145:$L145)&gt;0,$H145=""),1,0)</f>
        <v>0</v>
      </c>
      <c r="AN145" s="52">
        <f>IF(AND(COUNTA($A145:$L145)&gt;0,$H145&lt;&gt;""),IF($O145="ERR",1,IF(INT($O145)&lt;&gt;$O145,1,IF(AND(OR($C145="Receipt",$C145="Shipment"),$O145&lt;=0),1,IF(AND($C145="Adjustment",$O145=0),1,0)))),0)</f>
        <v>0</v>
      </c>
      <c r="AO145" s="52">
        <f>IF(AND(COUNTA($A145:$L145)&gt;0,$C145="Receipt",$I145=""),1,0)</f>
        <v>0</v>
      </c>
      <c r="AP145" s="52">
        <f>IF(AND(COUNTA($A145:$L145)&gt;0,$I145&lt;&gt;""),IF(IFERROR(INDEX(Config!$G$15:$G$34,MATCH($I145,Config!$E$15:$E$34,0)),"No")="Yes",0,1),0)</f>
        <v>0</v>
      </c>
      <c r="AQ145" s="52">
        <f>IF(AND(COUNTA($A145:$L145)&gt;0,$C145="Adjustment",$J145=""),1,0)</f>
        <v>0</v>
      </c>
      <c r="AR145" s="52">
        <f>IF(AND(COUNTA($A145:$L145)&gt;0,$L145=""),1,0)</f>
        <v>0</v>
      </c>
      <c r="AS145" s="52">
        <f>IF(AND(COUNTA($A145:$L145)&gt;0,ISNUMBER($S145)),IF($S145&lt;0,1,0),0)</f>
        <v>0</v>
      </c>
      <c r="AT145" s="52">
        <f>$W145</f>
        <v>0</v>
      </c>
      <c r="AU145" s="52">
        <f>$AT145+$X145</f>
        <v>0</v>
      </c>
      <c r="AV145" s="52">
        <f>$AU145+$Y145</f>
        <v>0</v>
      </c>
      <c r="AW145" s="52">
        <f>$AV145+$Z145</f>
        <v>0</v>
      </c>
      <c r="AX145" s="52">
        <f>$AW145+$AA145</f>
        <v>0</v>
      </c>
      <c r="AY145" s="52">
        <f>$AX145+$AB145</f>
        <v>0</v>
      </c>
      <c r="AZ145" s="52">
        <f>$AY145+$AC145</f>
        <v>0</v>
      </c>
      <c r="BA145" s="52">
        <f>$AZ145+$AD145</f>
        <v>0</v>
      </c>
      <c r="BB145" s="52">
        <f>$BA145+$AE145</f>
        <v>0</v>
      </c>
      <c r="BC145" s="52">
        <f>$BB145+$AF145</f>
        <v>0</v>
      </c>
      <c r="BD145" s="52">
        <f>$BC145+$AG145</f>
        <v>0</v>
      </c>
      <c r="BE145" s="52">
        <f>$BD145+$AH145</f>
        <v>0</v>
      </c>
      <c r="BF145" s="52">
        <f>$BE145+$AI145</f>
        <v>0</v>
      </c>
      <c r="BG145" s="52">
        <f>$BF145+$AJ145</f>
        <v>0</v>
      </c>
      <c r="BH145" s="52">
        <f>$BG145+$AK145</f>
        <v>0</v>
      </c>
      <c r="BI145" s="52">
        <f>$BH145+$AL145</f>
        <v>0</v>
      </c>
      <c r="BJ145" s="52">
        <f>$BI145+$AM145</f>
        <v>0</v>
      </c>
      <c r="BK145" s="52">
        <f>$BJ145+$AN145</f>
        <v>0</v>
      </c>
      <c r="BL145" s="52">
        <f>$BK145+$AO145</f>
        <v>0</v>
      </c>
      <c r="BM145" s="52">
        <f>$BL145+$AP145</f>
        <v>0</v>
      </c>
      <c r="BN145" s="52">
        <f>$BM145+$AQ145</f>
        <v>0</v>
      </c>
      <c r="BO145" s="52">
        <f>$BN145+$AR145</f>
        <v>0</v>
      </c>
      <c r="BP145" s="52">
        <f>$BO145+$AS145</f>
        <v>0</v>
      </c>
      <c r="BQ145" s="52">
        <f>SUM($T$1:$T144)</f>
        <v>11</v>
      </c>
      <c r="BR145" s="52" t="str">
        <f>IF(ISNUMBER($T145),IF($T145&gt;0,COUNTIF($T$2:$T145,"&gt;0"),""),"")</f>
        <v/>
      </c>
      <c r="BS145" s="52" t="str">
        <f>IF($BR145="","",$BQ145+$T145)</f>
        <v/>
      </c>
      <c r="BT145" s="52" t="str">
        <f>IF($U145="Ready",COUNTIF($U$2:$U145,"Ready"),"")</f>
        <v/>
      </c>
      <c r="BU145" s="52">
        <f>IF(AND($U145="Ready",$C145="Receipt"),IF(COUNTIF(Batches!$A$2:$A$301,$F145)+COUNTIFS($F$1:$F144,$F145,$C$1:$C144,"Receipt",$U$1:$U144,"Ready")=0,1,0),0)</f>
        <v>0</v>
      </c>
      <c r="BV145" s="52" t="str">
        <f>IF($BU145=1,SUM($BU$2:$BU145),"")</f>
        <v/>
      </c>
    </row>
    <row r="146">
      <c r="A146" s="46" t="n"/>
      <c r="B146" s="46" t="n"/>
      <c r="C146" s="46" t="n"/>
      <c r="D146" s="46" t="n"/>
      <c r="E146" s="46" t="n"/>
      <c r="F146" s="46" t="n"/>
      <c r="G146" s="46" t="n"/>
      <c r="H146" s="46" t="n"/>
      <c r="I146" s="46" t="n"/>
      <c r="J146" s="46" t="n"/>
      <c r="K146" s="46" t="n"/>
      <c r="L146" s="46" t="n"/>
      <c r="M146" s="62" t="str">
        <f>IF($B146="","",IF(ISNUMBER($B146),$B146,IF(AND(LEN($B146)=10,MID($B146,5,1)="-",MID($B146,8,1)="-"),IFERROR(IF(AND(MONTH(DATE(VALUE(LEFT($B146,4)),VALUE(MID($B146,6,2)),VALUE(RIGHT($B146,2))))=VALUE(MID($B146,6,2)),DAY(DATE(VALUE(LEFT($B146,4)),VALUE(MID($B146,6,2)),VALUE(RIGHT($B146,2))))=VALUE(RIGHT($B146,2))),DATE(VALUE(LEFT($B146,4)),VALUE(MID($B146,6,2)),VALUE(RIGHT($B146,2))),"ERR"),"ERR"),"ERR")))</f>
        <v/>
      </c>
      <c r="N146" s="62" t="str">
        <f>IF($G146="","",IF(ISNUMBER($G146),$G146,IF(AND(LEN($G146)=10,MID($G146,5,1)="-",MID($G146,8,1)="-"),IFERROR(IF(AND(MONTH(DATE(VALUE(LEFT($G146,4)),VALUE(MID($G146,6,2)),VALUE(RIGHT($G146,2))))=VALUE(MID($G146,6,2)),DAY(DATE(VALUE(LEFT($G146,4)),VALUE(MID($G146,6,2)),VALUE(RIGHT($G146,2))))=VALUE(RIGHT($G146,2))),DATE(VALUE(LEFT($G146,4)),VALUE(MID($G146,6,2)),VALUE(RIGHT($G146,2))),"ERR"),"ERR"),"ERR")))</f>
        <v/>
      </c>
      <c r="O146" s="51" t="str">
        <f>IF($H146="","",IF(ISNUMBER($H146),$H146,IFERROR(VALUE($H146),"ERR")))</f>
        <v/>
      </c>
      <c r="P146" s="51" t="str">
        <f>IF(AND(ISNUMBER($O146),OR($C146="Receipt",$C146="Shipment",$C146="Adjustment")),IF($C146="Shipment",-$O146,$O146),"")</f>
        <v/>
      </c>
      <c r="Q146" s="51" t="str">
        <f>IF($D146="","",IFERROR(INDEX(Products!$R$2:$R$101,MATCH($D146,Products!$A$2:$A$101,0)),""))</f>
        <v/>
      </c>
      <c r="R146" s="51" t="str">
        <f>IF(OR($Q146="",$P146=""),"",$Q146+SUMIFS($P$1:$P145,$D$1:$D145,$D146,$U$1:$U145,"Ready"))</f>
        <v/>
      </c>
      <c r="S146" s="51" t="str">
        <f>IF($R146="","",$R146+$P146)</f>
        <v/>
      </c>
      <c r="T146" s="52" t="str">
        <f>IF(COUNTA($A146:$L146)&gt;0,$BP146,"")</f>
        <v/>
      </c>
      <c r="U146" s="49" t="str">
        <f>IF($T146="","",IF($T146=0,"Ready","Rejected"))</f>
        <v/>
      </c>
      <c r="V146" s="49" t="str">
        <f>IF(OR($T146="",$T146=0),"",INDEX(Config!$D$39:$D$61,MATCH(1,$AT146:$BP146,0))&amp;IF($T146&gt;1," (+"&amp;($T146-1)&amp;" more)",""))</f>
        <v/>
      </c>
      <c r="W146" s="52">
        <f>IF(AND(COUNTA($A146:$L146)&gt;0,$A146=""),1,0)</f>
        <v>0</v>
      </c>
      <c r="X146" s="52">
        <f>IF(AND(COUNTA($A146:$L146)&gt;0,$A146&lt;&gt;""),IF(COUNTIF($A$1:$A145,$A146)&gt;0,1,0),0)</f>
        <v>0</v>
      </c>
      <c r="Y146" s="52">
        <f>IF(AND(COUNTA($A146:$L146)&gt;0,$A146&lt;&gt;""),IF(COUNTIF(Inventory_Ledger!$A$2:$A$2001,$A146)&gt;0,1,0),0)</f>
        <v>0</v>
      </c>
      <c r="Z146" s="52">
        <f>IF(AND(COUNTA($A146:$L146)&gt;0,$B146=""),1,0)</f>
        <v>0</v>
      </c>
      <c r="AA146" s="52">
        <f>IF(AND(COUNTA($A146:$L146)&gt;0,$B146&lt;&gt;""),IF($M146="ERR",1,0),0)</f>
        <v>0</v>
      </c>
      <c r="AB146" s="52">
        <f>IF(AND(COUNTA($A146:$L146)&gt;0,ISNUMBER($M146)),IF($M146&gt;Config!$B$4,1,0),0)</f>
        <v>0</v>
      </c>
      <c r="AC146" s="52">
        <f>IF(AND(COUNTA($A146:$L146)&gt;0,$C146=""),1,0)</f>
        <v>0</v>
      </c>
      <c r="AD146" s="52">
        <f>IF(AND(COUNTA($A146:$L146)&gt;0,$C146&lt;&gt;""),IF(COUNTIF(Config!$A$15:$A$34,$C146)=0,1,0),0)</f>
        <v>0</v>
      </c>
      <c r="AE146" s="52">
        <f>IF(AND(COUNTA($A146:$L146)&gt;0,$D146=""),1,0)</f>
        <v>0</v>
      </c>
      <c r="AF146" s="52">
        <f>IF(AND(COUNTA($A146:$L146)&gt;0,$D146&lt;&gt;""),IF(COUNTIF(Products!$A$2:$A$101,$D146)=0,1,0),0)</f>
        <v>0</v>
      </c>
      <c r="AG146" s="52">
        <f>IF(AND(COUNTA($A146:$L146)&gt;0,$C146="Receipt",$E146=""),1,0)</f>
        <v>0</v>
      </c>
      <c r="AH146" s="52">
        <f>IF(AND(COUNTA($A146:$L146)&gt;0,$E146&lt;&gt;""),IF(COUNTIF(Suppliers!$A$2:$A$51,$E146)=0,1,0),0)</f>
        <v>0</v>
      </c>
      <c r="AI146" s="52">
        <f>IF(AND(COUNTA($A146:$L146)&gt;0,$F146=""),1,0)</f>
        <v>0</v>
      </c>
      <c r="AJ146" s="52">
        <f>IF(AND(COUNTA($A146:$L146)&gt;0,$F146&lt;&gt;"",$D146&lt;&gt;"",OR($C146="Shipment",$C146="Adjustment")),IF($AF146=1,0,IF(COUNTIFS(Batches!$A$2:$A$301,$F146,Batches!$B$2:$B$301,$D146)+COUNTIFS($F$1:$F145,$F146,$D$1:$D145,$D146,$C$1:$C145,"Receipt")=0,1,0)),0)</f>
        <v>0</v>
      </c>
      <c r="AK146" s="52">
        <f>IF(AND(COUNTA($A146:$L146)&gt;0,$C146="Receipt",$G146=""),1,0)</f>
        <v>0</v>
      </c>
      <c r="AL146" s="52">
        <f>IF(AND(COUNTA($A146:$L146)&gt;0,$G146&lt;&gt;""),IF($N146="ERR",1,0),0)</f>
        <v>0</v>
      </c>
      <c r="AM146" s="52">
        <f>IF(AND(COUNTA($A146:$L146)&gt;0,$H146=""),1,0)</f>
        <v>0</v>
      </c>
      <c r="AN146" s="52">
        <f>IF(AND(COUNTA($A146:$L146)&gt;0,$H146&lt;&gt;""),IF($O146="ERR",1,IF(INT($O146)&lt;&gt;$O146,1,IF(AND(OR($C146="Receipt",$C146="Shipment"),$O146&lt;=0),1,IF(AND($C146="Adjustment",$O146=0),1,0)))),0)</f>
        <v>0</v>
      </c>
      <c r="AO146" s="52">
        <f>IF(AND(COUNTA($A146:$L146)&gt;0,$C146="Receipt",$I146=""),1,0)</f>
        <v>0</v>
      </c>
      <c r="AP146" s="52">
        <f>IF(AND(COUNTA($A146:$L146)&gt;0,$I146&lt;&gt;""),IF(IFERROR(INDEX(Config!$G$15:$G$34,MATCH($I146,Config!$E$15:$E$34,0)),"No")="Yes",0,1),0)</f>
        <v>0</v>
      </c>
      <c r="AQ146" s="52">
        <f>IF(AND(COUNTA($A146:$L146)&gt;0,$C146="Adjustment",$J146=""),1,0)</f>
        <v>0</v>
      </c>
      <c r="AR146" s="52">
        <f>IF(AND(COUNTA($A146:$L146)&gt;0,$L146=""),1,0)</f>
        <v>0</v>
      </c>
      <c r="AS146" s="52">
        <f>IF(AND(COUNTA($A146:$L146)&gt;0,ISNUMBER($S146)),IF($S146&lt;0,1,0),0)</f>
        <v>0</v>
      </c>
      <c r="AT146" s="52">
        <f>$W146</f>
        <v>0</v>
      </c>
      <c r="AU146" s="52">
        <f>$AT146+$X146</f>
        <v>0</v>
      </c>
      <c r="AV146" s="52">
        <f>$AU146+$Y146</f>
        <v>0</v>
      </c>
      <c r="AW146" s="52">
        <f>$AV146+$Z146</f>
        <v>0</v>
      </c>
      <c r="AX146" s="52">
        <f>$AW146+$AA146</f>
        <v>0</v>
      </c>
      <c r="AY146" s="52">
        <f>$AX146+$AB146</f>
        <v>0</v>
      </c>
      <c r="AZ146" s="52">
        <f>$AY146+$AC146</f>
        <v>0</v>
      </c>
      <c r="BA146" s="52">
        <f>$AZ146+$AD146</f>
        <v>0</v>
      </c>
      <c r="BB146" s="52">
        <f>$BA146+$AE146</f>
        <v>0</v>
      </c>
      <c r="BC146" s="52">
        <f>$BB146+$AF146</f>
        <v>0</v>
      </c>
      <c r="BD146" s="52">
        <f>$BC146+$AG146</f>
        <v>0</v>
      </c>
      <c r="BE146" s="52">
        <f>$BD146+$AH146</f>
        <v>0</v>
      </c>
      <c r="BF146" s="52">
        <f>$BE146+$AI146</f>
        <v>0</v>
      </c>
      <c r="BG146" s="52">
        <f>$BF146+$AJ146</f>
        <v>0</v>
      </c>
      <c r="BH146" s="52">
        <f>$BG146+$AK146</f>
        <v>0</v>
      </c>
      <c r="BI146" s="52">
        <f>$BH146+$AL146</f>
        <v>0</v>
      </c>
      <c r="BJ146" s="52">
        <f>$BI146+$AM146</f>
        <v>0</v>
      </c>
      <c r="BK146" s="52">
        <f>$BJ146+$AN146</f>
        <v>0</v>
      </c>
      <c r="BL146" s="52">
        <f>$BK146+$AO146</f>
        <v>0</v>
      </c>
      <c r="BM146" s="52">
        <f>$BL146+$AP146</f>
        <v>0</v>
      </c>
      <c r="BN146" s="52">
        <f>$BM146+$AQ146</f>
        <v>0</v>
      </c>
      <c r="BO146" s="52">
        <f>$BN146+$AR146</f>
        <v>0</v>
      </c>
      <c r="BP146" s="52">
        <f>$BO146+$AS146</f>
        <v>0</v>
      </c>
      <c r="BQ146" s="52">
        <f>SUM($T$1:$T145)</f>
        <v>11</v>
      </c>
      <c r="BR146" s="52" t="str">
        <f>IF(ISNUMBER($T146),IF($T146&gt;0,COUNTIF($T$2:$T146,"&gt;0"),""),"")</f>
        <v/>
      </c>
      <c r="BS146" s="52" t="str">
        <f>IF($BR146="","",$BQ146+$T146)</f>
        <v/>
      </c>
      <c r="BT146" s="52" t="str">
        <f>IF($U146="Ready",COUNTIF($U$2:$U146,"Ready"),"")</f>
        <v/>
      </c>
      <c r="BU146" s="52">
        <f>IF(AND($U146="Ready",$C146="Receipt"),IF(COUNTIF(Batches!$A$2:$A$301,$F146)+COUNTIFS($F$1:$F145,$F146,$C$1:$C145,"Receipt",$U$1:$U145,"Ready")=0,1,0),0)</f>
        <v>0</v>
      </c>
      <c r="BV146" s="52" t="str">
        <f>IF($BU146=1,SUM($BU$2:$BU146),"")</f>
        <v/>
      </c>
    </row>
    <row r="147">
      <c r="A147" s="46" t="n"/>
      <c r="B147" s="46" t="n"/>
      <c r="C147" s="46" t="n"/>
      <c r="D147" s="46" t="n"/>
      <c r="E147" s="46" t="n"/>
      <c r="F147" s="46" t="n"/>
      <c r="G147" s="46" t="n"/>
      <c r="H147" s="46" t="n"/>
      <c r="I147" s="46" t="n"/>
      <c r="J147" s="46" t="n"/>
      <c r="K147" s="46" t="n"/>
      <c r="L147" s="46" t="n"/>
      <c r="M147" s="62" t="str">
        <f>IF($B147="","",IF(ISNUMBER($B147),$B147,IF(AND(LEN($B147)=10,MID($B147,5,1)="-",MID($B147,8,1)="-"),IFERROR(IF(AND(MONTH(DATE(VALUE(LEFT($B147,4)),VALUE(MID($B147,6,2)),VALUE(RIGHT($B147,2))))=VALUE(MID($B147,6,2)),DAY(DATE(VALUE(LEFT($B147,4)),VALUE(MID($B147,6,2)),VALUE(RIGHT($B147,2))))=VALUE(RIGHT($B147,2))),DATE(VALUE(LEFT($B147,4)),VALUE(MID($B147,6,2)),VALUE(RIGHT($B147,2))),"ERR"),"ERR"),"ERR")))</f>
        <v/>
      </c>
      <c r="N147" s="62" t="str">
        <f>IF($G147="","",IF(ISNUMBER($G147),$G147,IF(AND(LEN($G147)=10,MID($G147,5,1)="-",MID($G147,8,1)="-"),IFERROR(IF(AND(MONTH(DATE(VALUE(LEFT($G147,4)),VALUE(MID($G147,6,2)),VALUE(RIGHT($G147,2))))=VALUE(MID($G147,6,2)),DAY(DATE(VALUE(LEFT($G147,4)),VALUE(MID($G147,6,2)),VALUE(RIGHT($G147,2))))=VALUE(RIGHT($G147,2))),DATE(VALUE(LEFT($G147,4)),VALUE(MID($G147,6,2)),VALUE(RIGHT($G147,2))),"ERR"),"ERR"),"ERR")))</f>
        <v/>
      </c>
      <c r="O147" s="51" t="str">
        <f>IF($H147="","",IF(ISNUMBER($H147),$H147,IFERROR(VALUE($H147),"ERR")))</f>
        <v/>
      </c>
      <c r="P147" s="51" t="str">
        <f>IF(AND(ISNUMBER($O147),OR($C147="Receipt",$C147="Shipment",$C147="Adjustment")),IF($C147="Shipment",-$O147,$O147),"")</f>
        <v/>
      </c>
      <c r="Q147" s="51" t="str">
        <f>IF($D147="","",IFERROR(INDEX(Products!$R$2:$R$101,MATCH($D147,Products!$A$2:$A$101,0)),""))</f>
        <v/>
      </c>
      <c r="R147" s="51" t="str">
        <f>IF(OR($Q147="",$P147=""),"",$Q147+SUMIFS($P$1:$P146,$D$1:$D146,$D147,$U$1:$U146,"Ready"))</f>
        <v/>
      </c>
      <c r="S147" s="51" t="str">
        <f>IF($R147="","",$R147+$P147)</f>
        <v/>
      </c>
      <c r="T147" s="52" t="str">
        <f>IF(COUNTA($A147:$L147)&gt;0,$BP147,"")</f>
        <v/>
      </c>
      <c r="U147" s="49" t="str">
        <f>IF($T147="","",IF($T147=0,"Ready","Rejected"))</f>
        <v/>
      </c>
      <c r="V147" s="49" t="str">
        <f>IF(OR($T147="",$T147=0),"",INDEX(Config!$D$39:$D$61,MATCH(1,$AT147:$BP147,0))&amp;IF($T147&gt;1," (+"&amp;($T147-1)&amp;" more)",""))</f>
        <v/>
      </c>
      <c r="W147" s="52">
        <f>IF(AND(COUNTA($A147:$L147)&gt;0,$A147=""),1,0)</f>
        <v>0</v>
      </c>
      <c r="X147" s="52">
        <f>IF(AND(COUNTA($A147:$L147)&gt;0,$A147&lt;&gt;""),IF(COUNTIF($A$1:$A146,$A147)&gt;0,1,0),0)</f>
        <v>0</v>
      </c>
      <c r="Y147" s="52">
        <f>IF(AND(COUNTA($A147:$L147)&gt;0,$A147&lt;&gt;""),IF(COUNTIF(Inventory_Ledger!$A$2:$A$2001,$A147)&gt;0,1,0),0)</f>
        <v>0</v>
      </c>
      <c r="Z147" s="52">
        <f>IF(AND(COUNTA($A147:$L147)&gt;0,$B147=""),1,0)</f>
        <v>0</v>
      </c>
      <c r="AA147" s="52">
        <f>IF(AND(COUNTA($A147:$L147)&gt;0,$B147&lt;&gt;""),IF($M147="ERR",1,0),0)</f>
        <v>0</v>
      </c>
      <c r="AB147" s="52">
        <f>IF(AND(COUNTA($A147:$L147)&gt;0,ISNUMBER($M147)),IF($M147&gt;Config!$B$4,1,0),0)</f>
        <v>0</v>
      </c>
      <c r="AC147" s="52">
        <f>IF(AND(COUNTA($A147:$L147)&gt;0,$C147=""),1,0)</f>
        <v>0</v>
      </c>
      <c r="AD147" s="52">
        <f>IF(AND(COUNTA($A147:$L147)&gt;0,$C147&lt;&gt;""),IF(COUNTIF(Config!$A$15:$A$34,$C147)=0,1,0),0)</f>
        <v>0</v>
      </c>
      <c r="AE147" s="52">
        <f>IF(AND(COUNTA($A147:$L147)&gt;0,$D147=""),1,0)</f>
        <v>0</v>
      </c>
      <c r="AF147" s="52">
        <f>IF(AND(COUNTA($A147:$L147)&gt;0,$D147&lt;&gt;""),IF(COUNTIF(Products!$A$2:$A$101,$D147)=0,1,0),0)</f>
        <v>0</v>
      </c>
      <c r="AG147" s="52">
        <f>IF(AND(COUNTA($A147:$L147)&gt;0,$C147="Receipt",$E147=""),1,0)</f>
        <v>0</v>
      </c>
      <c r="AH147" s="52">
        <f>IF(AND(COUNTA($A147:$L147)&gt;0,$E147&lt;&gt;""),IF(COUNTIF(Suppliers!$A$2:$A$51,$E147)=0,1,0),0)</f>
        <v>0</v>
      </c>
      <c r="AI147" s="52">
        <f>IF(AND(COUNTA($A147:$L147)&gt;0,$F147=""),1,0)</f>
        <v>0</v>
      </c>
      <c r="AJ147" s="52">
        <f>IF(AND(COUNTA($A147:$L147)&gt;0,$F147&lt;&gt;"",$D147&lt;&gt;"",OR($C147="Shipment",$C147="Adjustment")),IF($AF147=1,0,IF(COUNTIFS(Batches!$A$2:$A$301,$F147,Batches!$B$2:$B$301,$D147)+COUNTIFS($F$1:$F146,$F147,$D$1:$D146,$D147,$C$1:$C146,"Receipt")=0,1,0)),0)</f>
        <v>0</v>
      </c>
      <c r="AK147" s="52">
        <f>IF(AND(COUNTA($A147:$L147)&gt;0,$C147="Receipt",$G147=""),1,0)</f>
        <v>0</v>
      </c>
      <c r="AL147" s="52">
        <f>IF(AND(COUNTA($A147:$L147)&gt;0,$G147&lt;&gt;""),IF($N147="ERR",1,0),0)</f>
        <v>0</v>
      </c>
      <c r="AM147" s="52">
        <f>IF(AND(COUNTA($A147:$L147)&gt;0,$H147=""),1,0)</f>
        <v>0</v>
      </c>
      <c r="AN147" s="52">
        <f>IF(AND(COUNTA($A147:$L147)&gt;0,$H147&lt;&gt;""),IF($O147="ERR",1,IF(INT($O147)&lt;&gt;$O147,1,IF(AND(OR($C147="Receipt",$C147="Shipment"),$O147&lt;=0),1,IF(AND($C147="Adjustment",$O147=0),1,0)))),0)</f>
        <v>0</v>
      </c>
      <c r="AO147" s="52">
        <f>IF(AND(COUNTA($A147:$L147)&gt;0,$C147="Receipt",$I147=""),1,0)</f>
        <v>0</v>
      </c>
      <c r="AP147" s="52">
        <f>IF(AND(COUNTA($A147:$L147)&gt;0,$I147&lt;&gt;""),IF(IFERROR(INDEX(Config!$G$15:$G$34,MATCH($I147,Config!$E$15:$E$34,0)),"No")="Yes",0,1),0)</f>
        <v>0</v>
      </c>
      <c r="AQ147" s="52">
        <f>IF(AND(COUNTA($A147:$L147)&gt;0,$C147="Adjustment",$J147=""),1,0)</f>
        <v>0</v>
      </c>
      <c r="AR147" s="52">
        <f>IF(AND(COUNTA($A147:$L147)&gt;0,$L147=""),1,0)</f>
        <v>0</v>
      </c>
      <c r="AS147" s="52">
        <f>IF(AND(COUNTA($A147:$L147)&gt;0,ISNUMBER($S147)),IF($S147&lt;0,1,0),0)</f>
        <v>0</v>
      </c>
      <c r="AT147" s="52">
        <f>$W147</f>
        <v>0</v>
      </c>
      <c r="AU147" s="52">
        <f>$AT147+$X147</f>
        <v>0</v>
      </c>
      <c r="AV147" s="52">
        <f>$AU147+$Y147</f>
        <v>0</v>
      </c>
      <c r="AW147" s="52">
        <f>$AV147+$Z147</f>
        <v>0</v>
      </c>
      <c r="AX147" s="52">
        <f>$AW147+$AA147</f>
        <v>0</v>
      </c>
      <c r="AY147" s="52">
        <f>$AX147+$AB147</f>
        <v>0</v>
      </c>
      <c r="AZ147" s="52">
        <f>$AY147+$AC147</f>
        <v>0</v>
      </c>
      <c r="BA147" s="52">
        <f>$AZ147+$AD147</f>
        <v>0</v>
      </c>
      <c r="BB147" s="52">
        <f>$BA147+$AE147</f>
        <v>0</v>
      </c>
      <c r="BC147" s="52">
        <f>$BB147+$AF147</f>
        <v>0</v>
      </c>
      <c r="BD147" s="52">
        <f>$BC147+$AG147</f>
        <v>0</v>
      </c>
      <c r="BE147" s="52">
        <f>$BD147+$AH147</f>
        <v>0</v>
      </c>
      <c r="BF147" s="52">
        <f>$BE147+$AI147</f>
        <v>0</v>
      </c>
      <c r="BG147" s="52">
        <f>$BF147+$AJ147</f>
        <v>0</v>
      </c>
      <c r="BH147" s="52">
        <f>$BG147+$AK147</f>
        <v>0</v>
      </c>
      <c r="BI147" s="52">
        <f>$BH147+$AL147</f>
        <v>0</v>
      </c>
      <c r="BJ147" s="52">
        <f>$BI147+$AM147</f>
        <v>0</v>
      </c>
      <c r="BK147" s="52">
        <f>$BJ147+$AN147</f>
        <v>0</v>
      </c>
      <c r="BL147" s="52">
        <f>$BK147+$AO147</f>
        <v>0</v>
      </c>
      <c r="BM147" s="52">
        <f>$BL147+$AP147</f>
        <v>0</v>
      </c>
      <c r="BN147" s="52">
        <f>$BM147+$AQ147</f>
        <v>0</v>
      </c>
      <c r="BO147" s="52">
        <f>$BN147+$AR147</f>
        <v>0</v>
      </c>
      <c r="BP147" s="52">
        <f>$BO147+$AS147</f>
        <v>0</v>
      </c>
      <c r="BQ147" s="52">
        <f>SUM($T$1:$T146)</f>
        <v>11</v>
      </c>
      <c r="BR147" s="52" t="str">
        <f>IF(ISNUMBER($T147),IF($T147&gt;0,COUNTIF($T$2:$T147,"&gt;0"),""),"")</f>
        <v/>
      </c>
      <c r="BS147" s="52" t="str">
        <f>IF($BR147="","",$BQ147+$T147)</f>
        <v/>
      </c>
      <c r="BT147" s="52" t="str">
        <f>IF($U147="Ready",COUNTIF($U$2:$U147,"Ready"),"")</f>
        <v/>
      </c>
      <c r="BU147" s="52">
        <f>IF(AND($U147="Ready",$C147="Receipt"),IF(COUNTIF(Batches!$A$2:$A$301,$F147)+COUNTIFS($F$1:$F146,$F147,$C$1:$C146,"Receipt",$U$1:$U146,"Ready")=0,1,0),0)</f>
        <v>0</v>
      </c>
      <c r="BV147" s="52" t="str">
        <f>IF($BU147=1,SUM($BU$2:$BU147),"")</f>
        <v/>
      </c>
    </row>
    <row r="148">
      <c r="A148" s="46" t="n"/>
      <c r="B148" s="46" t="n"/>
      <c r="C148" s="46" t="n"/>
      <c r="D148" s="46" t="n"/>
      <c r="E148" s="46" t="n"/>
      <c r="F148" s="46" t="n"/>
      <c r="G148" s="46" t="n"/>
      <c r="H148" s="46" t="n"/>
      <c r="I148" s="46" t="n"/>
      <c r="J148" s="46" t="n"/>
      <c r="K148" s="46" t="n"/>
      <c r="L148" s="46" t="n"/>
      <c r="M148" s="62" t="str">
        <f>IF($B148="","",IF(ISNUMBER($B148),$B148,IF(AND(LEN($B148)=10,MID($B148,5,1)="-",MID($B148,8,1)="-"),IFERROR(IF(AND(MONTH(DATE(VALUE(LEFT($B148,4)),VALUE(MID($B148,6,2)),VALUE(RIGHT($B148,2))))=VALUE(MID($B148,6,2)),DAY(DATE(VALUE(LEFT($B148,4)),VALUE(MID($B148,6,2)),VALUE(RIGHT($B148,2))))=VALUE(RIGHT($B148,2))),DATE(VALUE(LEFT($B148,4)),VALUE(MID($B148,6,2)),VALUE(RIGHT($B148,2))),"ERR"),"ERR"),"ERR")))</f>
        <v/>
      </c>
      <c r="N148" s="62" t="str">
        <f>IF($G148="","",IF(ISNUMBER($G148),$G148,IF(AND(LEN($G148)=10,MID($G148,5,1)="-",MID($G148,8,1)="-"),IFERROR(IF(AND(MONTH(DATE(VALUE(LEFT($G148,4)),VALUE(MID($G148,6,2)),VALUE(RIGHT($G148,2))))=VALUE(MID($G148,6,2)),DAY(DATE(VALUE(LEFT($G148,4)),VALUE(MID($G148,6,2)),VALUE(RIGHT($G148,2))))=VALUE(RIGHT($G148,2))),DATE(VALUE(LEFT($G148,4)),VALUE(MID($G148,6,2)),VALUE(RIGHT($G148,2))),"ERR"),"ERR"),"ERR")))</f>
        <v/>
      </c>
      <c r="O148" s="51" t="str">
        <f>IF($H148="","",IF(ISNUMBER($H148),$H148,IFERROR(VALUE($H148),"ERR")))</f>
        <v/>
      </c>
      <c r="P148" s="51" t="str">
        <f>IF(AND(ISNUMBER($O148),OR($C148="Receipt",$C148="Shipment",$C148="Adjustment")),IF($C148="Shipment",-$O148,$O148),"")</f>
        <v/>
      </c>
      <c r="Q148" s="51" t="str">
        <f>IF($D148="","",IFERROR(INDEX(Products!$R$2:$R$101,MATCH($D148,Products!$A$2:$A$101,0)),""))</f>
        <v/>
      </c>
      <c r="R148" s="51" t="str">
        <f>IF(OR($Q148="",$P148=""),"",$Q148+SUMIFS($P$1:$P147,$D$1:$D147,$D148,$U$1:$U147,"Ready"))</f>
        <v/>
      </c>
      <c r="S148" s="51" t="str">
        <f>IF($R148="","",$R148+$P148)</f>
        <v/>
      </c>
      <c r="T148" s="52" t="str">
        <f>IF(COUNTA($A148:$L148)&gt;0,$BP148,"")</f>
        <v/>
      </c>
      <c r="U148" s="49" t="str">
        <f>IF($T148="","",IF($T148=0,"Ready","Rejected"))</f>
        <v/>
      </c>
      <c r="V148" s="49" t="str">
        <f>IF(OR($T148="",$T148=0),"",INDEX(Config!$D$39:$D$61,MATCH(1,$AT148:$BP148,0))&amp;IF($T148&gt;1," (+"&amp;($T148-1)&amp;" more)",""))</f>
        <v/>
      </c>
      <c r="W148" s="52">
        <f>IF(AND(COUNTA($A148:$L148)&gt;0,$A148=""),1,0)</f>
        <v>0</v>
      </c>
      <c r="X148" s="52">
        <f>IF(AND(COUNTA($A148:$L148)&gt;0,$A148&lt;&gt;""),IF(COUNTIF($A$1:$A147,$A148)&gt;0,1,0),0)</f>
        <v>0</v>
      </c>
      <c r="Y148" s="52">
        <f>IF(AND(COUNTA($A148:$L148)&gt;0,$A148&lt;&gt;""),IF(COUNTIF(Inventory_Ledger!$A$2:$A$2001,$A148)&gt;0,1,0),0)</f>
        <v>0</v>
      </c>
      <c r="Z148" s="52">
        <f>IF(AND(COUNTA($A148:$L148)&gt;0,$B148=""),1,0)</f>
        <v>0</v>
      </c>
      <c r="AA148" s="52">
        <f>IF(AND(COUNTA($A148:$L148)&gt;0,$B148&lt;&gt;""),IF($M148="ERR",1,0),0)</f>
        <v>0</v>
      </c>
      <c r="AB148" s="52">
        <f>IF(AND(COUNTA($A148:$L148)&gt;0,ISNUMBER($M148)),IF($M148&gt;Config!$B$4,1,0),0)</f>
        <v>0</v>
      </c>
      <c r="AC148" s="52">
        <f>IF(AND(COUNTA($A148:$L148)&gt;0,$C148=""),1,0)</f>
        <v>0</v>
      </c>
      <c r="AD148" s="52">
        <f>IF(AND(COUNTA($A148:$L148)&gt;0,$C148&lt;&gt;""),IF(COUNTIF(Config!$A$15:$A$34,$C148)=0,1,0),0)</f>
        <v>0</v>
      </c>
      <c r="AE148" s="52">
        <f>IF(AND(COUNTA($A148:$L148)&gt;0,$D148=""),1,0)</f>
        <v>0</v>
      </c>
      <c r="AF148" s="52">
        <f>IF(AND(COUNTA($A148:$L148)&gt;0,$D148&lt;&gt;""),IF(COUNTIF(Products!$A$2:$A$101,$D148)=0,1,0),0)</f>
        <v>0</v>
      </c>
      <c r="AG148" s="52">
        <f>IF(AND(COUNTA($A148:$L148)&gt;0,$C148="Receipt",$E148=""),1,0)</f>
        <v>0</v>
      </c>
      <c r="AH148" s="52">
        <f>IF(AND(COUNTA($A148:$L148)&gt;0,$E148&lt;&gt;""),IF(COUNTIF(Suppliers!$A$2:$A$51,$E148)=0,1,0),0)</f>
        <v>0</v>
      </c>
      <c r="AI148" s="52">
        <f>IF(AND(COUNTA($A148:$L148)&gt;0,$F148=""),1,0)</f>
        <v>0</v>
      </c>
      <c r="AJ148" s="52">
        <f>IF(AND(COUNTA($A148:$L148)&gt;0,$F148&lt;&gt;"",$D148&lt;&gt;"",OR($C148="Shipment",$C148="Adjustment")),IF($AF148=1,0,IF(COUNTIFS(Batches!$A$2:$A$301,$F148,Batches!$B$2:$B$301,$D148)+COUNTIFS($F$1:$F147,$F148,$D$1:$D147,$D148,$C$1:$C147,"Receipt")=0,1,0)),0)</f>
        <v>0</v>
      </c>
      <c r="AK148" s="52">
        <f>IF(AND(COUNTA($A148:$L148)&gt;0,$C148="Receipt",$G148=""),1,0)</f>
        <v>0</v>
      </c>
      <c r="AL148" s="52">
        <f>IF(AND(COUNTA($A148:$L148)&gt;0,$G148&lt;&gt;""),IF($N148="ERR",1,0),0)</f>
        <v>0</v>
      </c>
      <c r="AM148" s="52">
        <f>IF(AND(COUNTA($A148:$L148)&gt;0,$H148=""),1,0)</f>
        <v>0</v>
      </c>
      <c r="AN148" s="52">
        <f>IF(AND(COUNTA($A148:$L148)&gt;0,$H148&lt;&gt;""),IF($O148="ERR",1,IF(INT($O148)&lt;&gt;$O148,1,IF(AND(OR($C148="Receipt",$C148="Shipment"),$O148&lt;=0),1,IF(AND($C148="Adjustment",$O148=0),1,0)))),0)</f>
        <v>0</v>
      </c>
      <c r="AO148" s="52">
        <f>IF(AND(COUNTA($A148:$L148)&gt;0,$C148="Receipt",$I148=""),1,0)</f>
        <v>0</v>
      </c>
      <c r="AP148" s="52">
        <f>IF(AND(COUNTA($A148:$L148)&gt;0,$I148&lt;&gt;""),IF(IFERROR(INDEX(Config!$G$15:$G$34,MATCH($I148,Config!$E$15:$E$34,0)),"No")="Yes",0,1),0)</f>
        <v>0</v>
      </c>
      <c r="AQ148" s="52">
        <f>IF(AND(COUNTA($A148:$L148)&gt;0,$C148="Adjustment",$J148=""),1,0)</f>
        <v>0</v>
      </c>
      <c r="AR148" s="52">
        <f>IF(AND(COUNTA($A148:$L148)&gt;0,$L148=""),1,0)</f>
        <v>0</v>
      </c>
      <c r="AS148" s="52">
        <f>IF(AND(COUNTA($A148:$L148)&gt;0,ISNUMBER($S148)),IF($S148&lt;0,1,0),0)</f>
        <v>0</v>
      </c>
      <c r="AT148" s="52">
        <f>$W148</f>
        <v>0</v>
      </c>
      <c r="AU148" s="52">
        <f>$AT148+$X148</f>
        <v>0</v>
      </c>
      <c r="AV148" s="52">
        <f>$AU148+$Y148</f>
        <v>0</v>
      </c>
      <c r="AW148" s="52">
        <f>$AV148+$Z148</f>
        <v>0</v>
      </c>
      <c r="AX148" s="52">
        <f>$AW148+$AA148</f>
        <v>0</v>
      </c>
      <c r="AY148" s="52">
        <f>$AX148+$AB148</f>
        <v>0</v>
      </c>
      <c r="AZ148" s="52">
        <f>$AY148+$AC148</f>
        <v>0</v>
      </c>
      <c r="BA148" s="52">
        <f>$AZ148+$AD148</f>
        <v>0</v>
      </c>
      <c r="BB148" s="52">
        <f>$BA148+$AE148</f>
        <v>0</v>
      </c>
      <c r="BC148" s="52">
        <f>$BB148+$AF148</f>
        <v>0</v>
      </c>
      <c r="BD148" s="52">
        <f>$BC148+$AG148</f>
        <v>0</v>
      </c>
      <c r="BE148" s="52">
        <f>$BD148+$AH148</f>
        <v>0</v>
      </c>
      <c r="BF148" s="52">
        <f>$BE148+$AI148</f>
        <v>0</v>
      </c>
      <c r="BG148" s="52">
        <f>$BF148+$AJ148</f>
        <v>0</v>
      </c>
      <c r="BH148" s="52">
        <f>$BG148+$AK148</f>
        <v>0</v>
      </c>
      <c r="BI148" s="52">
        <f>$BH148+$AL148</f>
        <v>0</v>
      </c>
      <c r="BJ148" s="52">
        <f>$BI148+$AM148</f>
        <v>0</v>
      </c>
      <c r="BK148" s="52">
        <f>$BJ148+$AN148</f>
        <v>0</v>
      </c>
      <c r="BL148" s="52">
        <f>$BK148+$AO148</f>
        <v>0</v>
      </c>
      <c r="BM148" s="52">
        <f>$BL148+$AP148</f>
        <v>0</v>
      </c>
      <c r="BN148" s="52">
        <f>$BM148+$AQ148</f>
        <v>0</v>
      </c>
      <c r="BO148" s="52">
        <f>$BN148+$AR148</f>
        <v>0</v>
      </c>
      <c r="BP148" s="52">
        <f>$BO148+$AS148</f>
        <v>0</v>
      </c>
      <c r="BQ148" s="52">
        <f>SUM($T$1:$T147)</f>
        <v>11</v>
      </c>
      <c r="BR148" s="52" t="str">
        <f>IF(ISNUMBER($T148),IF($T148&gt;0,COUNTIF($T$2:$T148,"&gt;0"),""),"")</f>
        <v/>
      </c>
      <c r="BS148" s="52" t="str">
        <f>IF($BR148="","",$BQ148+$T148)</f>
        <v/>
      </c>
      <c r="BT148" s="52" t="str">
        <f>IF($U148="Ready",COUNTIF($U$2:$U148,"Ready"),"")</f>
        <v/>
      </c>
      <c r="BU148" s="52">
        <f>IF(AND($U148="Ready",$C148="Receipt"),IF(COUNTIF(Batches!$A$2:$A$301,$F148)+COUNTIFS($F$1:$F147,$F148,$C$1:$C147,"Receipt",$U$1:$U147,"Ready")=0,1,0),0)</f>
        <v>0</v>
      </c>
      <c r="BV148" s="52" t="str">
        <f>IF($BU148=1,SUM($BU$2:$BU148),"")</f>
        <v/>
      </c>
    </row>
    <row r="149">
      <c r="A149" s="46" t="n"/>
      <c r="B149" s="46" t="n"/>
      <c r="C149" s="46" t="n"/>
      <c r="D149" s="46" t="n"/>
      <c r="E149" s="46" t="n"/>
      <c r="F149" s="46" t="n"/>
      <c r="G149" s="46" t="n"/>
      <c r="H149" s="46" t="n"/>
      <c r="I149" s="46" t="n"/>
      <c r="J149" s="46" t="n"/>
      <c r="K149" s="46" t="n"/>
      <c r="L149" s="46" t="n"/>
      <c r="M149" s="62" t="str">
        <f>IF($B149="","",IF(ISNUMBER($B149),$B149,IF(AND(LEN($B149)=10,MID($B149,5,1)="-",MID($B149,8,1)="-"),IFERROR(IF(AND(MONTH(DATE(VALUE(LEFT($B149,4)),VALUE(MID($B149,6,2)),VALUE(RIGHT($B149,2))))=VALUE(MID($B149,6,2)),DAY(DATE(VALUE(LEFT($B149,4)),VALUE(MID($B149,6,2)),VALUE(RIGHT($B149,2))))=VALUE(RIGHT($B149,2))),DATE(VALUE(LEFT($B149,4)),VALUE(MID($B149,6,2)),VALUE(RIGHT($B149,2))),"ERR"),"ERR"),"ERR")))</f>
        <v/>
      </c>
      <c r="N149" s="62" t="str">
        <f>IF($G149="","",IF(ISNUMBER($G149),$G149,IF(AND(LEN($G149)=10,MID($G149,5,1)="-",MID($G149,8,1)="-"),IFERROR(IF(AND(MONTH(DATE(VALUE(LEFT($G149,4)),VALUE(MID($G149,6,2)),VALUE(RIGHT($G149,2))))=VALUE(MID($G149,6,2)),DAY(DATE(VALUE(LEFT($G149,4)),VALUE(MID($G149,6,2)),VALUE(RIGHT($G149,2))))=VALUE(RIGHT($G149,2))),DATE(VALUE(LEFT($G149,4)),VALUE(MID($G149,6,2)),VALUE(RIGHT($G149,2))),"ERR"),"ERR"),"ERR")))</f>
        <v/>
      </c>
      <c r="O149" s="51" t="str">
        <f>IF($H149="","",IF(ISNUMBER($H149),$H149,IFERROR(VALUE($H149),"ERR")))</f>
        <v/>
      </c>
      <c r="P149" s="51" t="str">
        <f>IF(AND(ISNUMBER($O149),OR($C149="Receipt",$C149="Shipment",$C149="Adjustment")),IF($C149="Shipment",-$O149,$O149),"")</f>
        <v/>
      </c>
      <c r="Q149" s="51" t="str">
        <f>IF($D149="","",IFERROR(INDEX(Products!$R$2:$R$101,MATCH($D149,Products!$A$2:$A$101,0)),""))</f>
        <v/>
      </c>
      <c r="R149" s="51" t="str">
        <f>IF(OR($Q149="",$P149=""),"",$Q149+SUMIFS($P$1:$P148,$D$1:$D148,$D149,$U$1:$U148,"Ready"))</f>
        <v/>
      </c>
      <c r="S149" s="51" t="str">
        <f>IF($R149="","",$R149+$P149)</f>
        <v/>
      </c>
      <c r="T149" s="52" t="str">
        <f>IF(COUNTA($A149:$L149)&gt;0,$BP149,"")</f>
        <v/>
      </c>
      <c r="U149" s="49" t="str">
        <f>IF($T149="","",IF($T149=0,"Ready","Rejected"))</f>
        <v/>
      </c>
      <c r="V149" s="49" t="str">
        <f>IF(OR($T149="",$T149=0),"",INDEX(Config!$D$39:$D$61,MATCH(1,$AT149:$BP149,0))&amp;IF($T149&gt;1," (+"&amp;($T149-1)&amp;" more)",""))</f>
        <v/>
      </c>
      <c r="W149" s="52">
        <f>IF(AND(COUNTA($A149:$L149)&gt;0,$A149=""),1,0)</f>
        <v>0</v>
      </c>
      <c r="X149" s="52">
        <f>IF(AND(COUNTA($A149:$L149)&gt;0,$A149&lt;&gt;""),IF(COUNTIF($A$1:$A148,$A149)&gt;0,1,0),0)</f>
        <v>0</v>
      </c>
      <c r="Y149" s="52">
        <f>IF(AND(COUNTA($A149:$L149)&gt;0,$A149&lt;&gt;""),IF(COUNTIF(Inventory_Ledger!$A$2:$A$2001,$A149)&gt;0,1,0),0)</f>
        <v>0</v>
      </c>
      <c r="Z149" s="52">
        <f>IF(AND(COUNTA($A149:$L149)&gt;0,$B149=""),1,0)</f>
        <v>0</v>
      </c>
      <c r="AA149" s="52">
        <f>IF(AND(COUNTA($A149:$L149)&gt;0,$B149&lt;&gt;""),IF($M149="ERR",1,0),0)</f>
        <v>0</v>
      </c>
      <c r="AB149" s="52">
        <f>IF(AND(COUNTA($A149:$L149)&gt;0,ISNUMBER($M149)),IF($M149&gt;Config!$B$4,1,0),0)</f>
        <v>0</v>
      </c>
      <c r="AC149" s="52">
        <f>IF(AND(COUNTA($A149:$L149)&gt;0,$C149=""),1,0)</f>
        <v>0</v>
      </c>
      <c r="AD149" s="52">
        <f>IF(AND(COUNTA($A149:$L149)&gt;0,$C149&lt;&gt;""),IF(COUNTIF(Config!$A$15:$A$34,$C149)=0,1,0),0)</f>
        <v>0</v>
      </c>
      <c r="AE149" s="52">
        <f>IF(AND(COUNTA($A149:$L149)&gt;0,$D149=""),1,0)</f>
        <v>0</v>
      </c>
      <c r="AF149" s="52">
        <f>IF(AND(COUNTA($A149:$L149)&gt;0,$D149&lt;&gt;""),IF(COUNTIF(Products!$A$2:$A$101,$D149)=0,1,0),0)</f>
        <v>0</v>
      </c>
      <c r="AG149" s="52">
        <f>IF(AND(COUNTA($A149:$L149)&gt;0,$C149="Receipt",$E149=""),1,0)</f>
        <v>0</v>
      </c>
      <c r="AH149" s="52">
        <f>IF(AND(COUNTA($A149:$L149)&gt;0,$E149&lt;&gt;""),IF(COUNTIF(Suppliers!$A$2:$A$51,$E149)=0,1,0),0)</f>
        <v>0</v>
      </c>
      <c r="AI149" s="52">
        <f>IF(AND(COUNTA($A149:$L149)&gt;0,$F149=""),1,0)</f>
        <v>0</v>
      </c>
      <c r="AJ149" s="52">
        <f>IF(AND(COUNTA($A149:$L149)&gt;0,$F149&lt;&gt;"",$D149&lt;&gt;"",OR($C149="Shipment",$C149="Adjustment")),IF($AF149=1,0,IF(COUNTIFS(Batches!$A$2:$A$301,$F149,Batches!$B$2:$B$301,$D149)+COUNTIFS($F$1:$F148,$F149,$D$1:$D148,$D149,$C$1:$C148,"Receipt")=0,1,0)),0)</f>
        <v>0</v>
      </c>
      <c r="AK149" s="52">
        <f>IF(AND(COUNTA($A149:$L149)&gt;0,$C149="Receipt",$G149=""),1,0)</f>
        <v>0</v>
      </c>
      <c r="AL149" s="52">
        <f>IF(AND(COUNTA($A149:$L149)&gt;0,$G149&lt;&gt;""),IF($N149="ERR",1,0),0)</f>
        <v>0</v>
      </c>
      <c r="AM149" s="52">
        <f>IF(AND(COUNTA($A149:$L149)&gt;0,$H149=""),1,0)</f>
        <v>0</v>
      </c>
      <c r="AN149" s="52">
        <f>IF(AND(COUNTA($A149:$L149)&gt;0,$H149&lt;&gt;""),IF($O149="ERR",1,IF(INT($O149)&lt;&gt;$O149,1,IF(AND(OR($C149="Receipt",$C149="Shipment"),$O149&lt;=0),1,IF(AND($C149="Adjustment",$O149=0),1,0)))),0)</f>
        <v>0</v>
      </c>
      <c r="AO149" s="52">
        <f>IF(AND(COUNTA($A149:$L149)&gt;0,$C149="Receipt",$I149=""),1,0)</f>
        <v>0</v>
      </c>
      <c r="AP149" s="52">
        <f>IF(AND(COUNTA($A149:$L149)&gt;0,$I149&lt;&gt;""),IF(IFERROR(INDEX(Config!$G$15:$G$34,MATCH($I149,Config!$E$15:$E$34,0)),"No")="Yes",0,1),0)</f>
        <v>0</v>
      </c>
      <c r="AQ149" s="52">
        <f>IF(AND(COUNTA($A149:$L149)&gt;0,$C149="Adjustment",$J149=""),1,0)</f>
        <v>0</v>
      </c>
      <c r="AR149" s="52">
        <f>IF(AND(COUNTA($A149:$L149)&gt;0,$L149=""),1,0)</f>
        <v>0</v>
      </c>
      <c r="AS149" s="52">
        <f>IF(AND(COUNTA($A149:$L149)&gt;0,ISNUMBER($S149)),IF($S149&lt;0,1,0),0)</f>
        <v>0</v>
      </c>
      <c r="AT149" s="52">
        <f>$W149</f>
        <v>0</v>
      </c>
      <c r="AU149" s="52">
        <f>$AT149+$X149</f>
        <v>0</v>
      </c>
      <c r="AV149" s="52">
        <f>$AU149+$Y149</f>
        <v>0</v>
      </c>
      <c r="AW149" s="52">
        <f>$AV149+$Z149</f>
        <v>0</v>
      </c>
      <c r="AX149" s="52">
        <f>$AW149+$AA149</f>
        <v>0</v>
      </c>
      <c r="AY149" s="52">
        <f>$AX149+$AB149</f>
        <v>0</v>
      </c>
      <c r="AZ149" s="52">
        <f>$AY149+$AC149</f>
        <v>0</v>
      </c>
      <c r="BA149" s="52">
        <f>$AZ149+$AD149</f>
        <v>0</v>
      </c>
      <c r="BB149" s="52">
        <f>$BA149+$AE149</f>
        <v>0</v>
      </c>
      <c r="BC149" s="52">
        <f>$BB149+$AF149</f>
        <v>0</v>
      </c>
      <c r="BD149" s="52">
        <f>$BC149+$AG149</f>
        <v>0</v>
      </c>
      <c r="BE149" s="52">
        <f>$BD149+$AH149</f>
        <v>0</v>
      </c>
      <c r="BF149" s="52">
        <f>$BE149+$AI149</f>
        <v>0</v>
      </c>
      <c r="BG149" s="52">
        <f>$BF149+$AJ149</f>
        <v>0</v>
      </c>
      <c r="BH149" s="52">
        <f>$BG149+$AK149</f>
        <v>0</v>
      </c>
      <c r="BI149" s="52">
        <f>$BH149+$AL149</f>
        <v>0</v>
      </c>
      <c r="BJ149" s="52">
        <f>$BI149+$AM149</f>
        <v>0</v>
      </c>
      <c r="BK149" s="52">
        <f>$BJ149+$AN149</f>
        <v>0</v>
      </c>
      <c r="BL149" s="52">
        <f>$BK149+$AO149</f>
        <v>0</v>
      </c>
      <c r="BM149" s="52">
        <f>$BL149+$AP149</f>
        <v>0</v>
      </c>
      <c r="BN149" s="52">
        <f>$BM149+$AQ149</f>
        <v>0</v>
      </c>
      <c r="BO149" s="52">
        <f>$BN149+$AR149</f>
        <v>0</v>
      </c>
      <c r="BP149" s="52">
        <f>$BO149+$AS149</f>
        <v>0</v>
      </c>
      <c r="BQ149" s="52">
        <f>SUM($T$1:$T148)</f>
        <v>11</v>
      </c>
      <c r="BR149" s="52" t="str">
        <f>IF(ISNUMBER($T149),IF($T149&gt;0,COUNTIF($T$2:$T149,"&gt;0"),""),"")</f>
        <v/>
      </c>
      <c r="BS149" s="52" t="str">
        <f>IF($BR149="","",$BQ149+$T149)</f>
        <v/>
      </c>
      <c r="BT149" s="52" t="str">
        <f>IF($U149="Ready",COUNTIF($U$2:$U149,"Ready"),"")</f>
        <v/>
      </c>
      <c r="BU149" s="52">
        <f>IF(AND($U149="Ready",$C149="Receipt"),IF(COUNTIF(Batches!$A$2:$A$301,$F149)+COUNTIFS($F$1:$F148,$F149,$C$1:$C148,"Receipt",$U$1:$U148,"Ready")=0,1,0),0)</f>
        <v>0</v>
      </c>
      <c r="BV149" s="52" t="str">
        <f>IF($BU149=1,SUM($BU$2:$BU149),"")</f>
        <v/>
      </c>
    </row>
    <row r="150">
      <c r="A150" s="46" t="n"/>
      <c r="B150" s="46" t="n"/>
      <c r="C150" s="46" t="n"/>
      <c r="D150" s="46" t="n"/>
      <c r="E150" s="46" t="n"/>
      <c r="F150" s="46" t="n"/>
      <c r="G150" s="46" t="n"/>
      <c r="H150" s="46" t="n"/>
      <c r="I150" s="46" t="n"/>
      <c r="J150" s="46" t="n"/>
      <c r="K150" s="46" t="n"/>
      <c r="L150" s="46" t="n"/>
      <c r="M150" s="62" t="str">
        <f>IF($B150="","",IF(ISNUMBER($B150),$B150,IF(AND(LEN($B150)=10,MID($B150,5,1)="-",MID($B150,8,1)="-"),IFERROR(IF(AND(MONTH(DATE(VALUE(LEFT($B150,4)),VALUE(MID($B150,6,2)),VALUE(RIGHT($B150,2))))=VALUE(MID($B150,6,2)),DAY(DATE(VALUE(LEFT($B150,4)),VALUE(MID($B150,6,2)),VALUE(RIGHT($B150,2))))=VALUE(RIGHT($B150,2))),DATE(VALUE(LEFT($B150,4)),VALUE(MID($B150,6,2)),VALUE(RIGHT($B150,2))),"ERR"),"ERR"),"ERR")))</f>
        <v/>
      </c>
      <c r="N150" s="62" t="str">
        <f>IF($G150="","",IF(ISNUMBER($G150),$G150,IF(AND(LEN($G150)=10,MID($G150,5,1)="-",MID($G150,8,1)="-"),IFERROR(IF(AND(MONTH(DATE(VALUE(LEFT($G150,4)),VALUE(MID($G150,6,2)),VALUE(RIGHT($G150,2))))=VALUE(MID($G150,6,2)),DAY(DATE(VALUE(LEFT($G150,4)),VALUE(MID($G150,6,2)),VALUE(RIGHT($G150,2))))=VALUE(RIGHT($G150,2))),DATE(VALUE(LEFT($G150,4)),VALUE(MID($G150,6,2)),VALUE(RIGHT($G150,2))),"ERR"),"ERR"),"ERR")))</f>
        <v/>
      </c>
      <c r="O150" s="51" t="str">
        <f>IF($H150="","",IF(ISNUMBER($H150),$H150,IFERROR(VALUE($H150),"ERR")))</f>
        <v/>
      </c>
      <c r="P150" s="51" t="str">
        <f>IF(AND(ISNUMBER($O150),OR($C150="Receipt",$C150="Shipment",$C150="Adjustment")),IF($C150="Shipment",-$O150,$O150),"")</f>
        <v/>
      </c>
      <c r="Q150" s="51" t="str">
        <f>IF($D150="","",IFERROR(INDEX(Products!$R$2:$R$101,MATCH($D150,Products!$A$2:$A$101,0)),""))</f>
        <v/>
      </c>
      <c r="R150" s="51" t="str">
        <f>IF(OR($Q150="",$P150=""),"",$Q150+SUMIFS($P$1:$P149,$D$1:$D149,$D150,$U$1:$U149,"Ready"))</f>
        <v/>
      </c>
      <c r="S150" s="51" t="str">
        <f>IF($R150="","",$R150+$P150)</f>
        <v/>
      </c>
      <c r="T150" s="52" t="str">
        <f>IF(COUNTA($A150:$L150)&gt;0,$BP150,"")</f>
        <v/>
      </c>
      <c r="U150" s="49" t="str">
        <f>IF($T150="","",IF($T150=0,"Ready","Rejected"))</f>
        <v/>
      </c>
      <c r="V150" s="49" t="str">
        <f>IF(OR($T150="",$T150=0),"",INDEX(Config!$D$39:$D$61,MATCH(1,$AT150:$BP150,0))&amp;IF($T150&gt;1," (+"&amp;($T150-1)&amp;" more)",""))</f>
        <v/>
      </c>
      <c r="W150" s="52">
        <f>IF(AND(COUNTA($A150:$L150)&gt;0,$A150=""),1,0)</f>
        <v>0</v>
      </c>
      <c r="X150" s="52">
        <f>IF(AND(COUNTA($A150:$L150)&gt;0,$A150&lt;&gt;""),IF(COUNTIF($A$1:$A149,$A150)&gt;0,1,0),0)</f>
        <v>0</v>
      </c>
      <c r="Y150" s="52">
        <f>IF(AND(COUNTA($A150:$L150)&gt;0,$A150&lt;&gt;""),IF(COUNTIF(Inventory_Ledger!$A$2:$A$2001,$A150)&gt;0,1,0),0)</f>
        <v>0</v>
      </c>
      <c r="Z150" s="52">
        <f>IF(AND(COUNTA($A150:$L150)&gt;0,$B150=""),1,0)</f>
        <v>0</v>
      </c>
      <c r="AA150" s="52">
        <f>IF(AND(COUNTA($A150:$L150)&gt;0,$B150&lt;&gt;""),IF($M150="ERR",1,0),0)</f>
        <v>0</v>
      </c>
      <c r="AB150" s="52">
        <f>IF(AND(COUNTA($A150:$L150)&gt;0,ISNUMBER($M150)),IF($M150&gt;Config!$B$4,1,0),0)</f>
        <v>0</v>
      </c>
      <c r="AC150" s="52">
        <f>IF(AND(COUNTA($A150:$L150)&gt;0,$C150=""),1,0)</f>
        <v>0</v>
      </c>
      <c r="AD150" s="52">
        <f>IF(AND(COUNTA($A150:$L150)&gt;0,$C150&lt;&gt;""),IF(COUNTIF(Config!$A$15:$A$34,$C150)=0,1,0),0)</f>
        <v>0</v>
      </c>
      <c r="AE150" s="52">
        <f>IF(AND(COUNTA($A150:$L150)&gt;0,$D150=""),1,0)</f>
        <v>0</v>
      </c>
      <c r="AF150" s="52">
        <f>IF(AND(COUNTA($A150:$L150)&gt;0,$D150&lt;&gt;""),IF(COUNTIF(Products!$A$2:$A$101,$D150)=0,1,0),0)</f>
        <v>0</v>
      </c>
      <c r="AG150" s="52">
        <f>IF(AND(COUNTA($A150:$L150)&gt;0,$C150="Receipt",$E150=""),1,0)</f>
        <v>0</v>
      </c>
      <c r="AH150" s="52">
        <f>IF(AND(COUNTA($A150:$L150)&gt;0,$E150&lt;&gt;""),IF(COUNTIF(Suppliers!$A$2:$A$51,$E150)=0,1,0),0)</f>
        <v>0</v>
      </c>
      <c r="AI150" s="52">
        <f>IF(AND(COUNTA($A150:$L150)&gt;0,$F150=""),1,0)</f>
        <v>0</v>
      </c>
      <c r="AJ150" s="52">
        <f>IF(AND(COUNTA($A150:$L150)&gt;0,$F150&lt;&gt;"",$D150&lt;&gt;"",OR($C150="Shipment",$C150="Adjustment")),IF($AF150=1,0,IF(COUNTIFS(Batches!$A$2:$A$301,$F150,Batches!$B$2:$B$301,$D150)+COUNTIFS($F$1:$F149,$F150,$D$1:$D149,$D150,$C$1:$C149,"Receipt")=0,1,0)),0)</f>
        <v>0</v>
      </c>
      <c r="AK150" s="52">
        <f>IF(AND(COUNTA($A150:$L150)&gt;0,$C150="Receipt",$G150=""),1,0)</f>
        <v>0</v>
      </c>
      <c r="AL150" s="52">
        <f>IF(AND(COUNTA($A150:$L150)&gt;0,$G150&lt;&gt;""),IF($N150="ERR",1,0),0)</f>
        <v>0</v>
      </c>
      <c r="AM150" s="52">
        <f>IF(AND(COUNTA($A150:$L150)&gt;0,$H150=""),1,0)</f>
        <v>0</v>
      </c>
      <c r="AN150" s="52">
        <f>IF(AND(COUNTA($A150:$L150)&gt;0,$H150&lt;&gt;""),IF($O150="ERR",1,IF(INT($O150)&lt;&gt;$O150,1,IF(AND(OR($C150="Receipt",$C150="Shipment"),$O150&lt;=0),1,IF(AND($C150="Adjustment",$O150=0),1,0)))),0)</f>
        <v>0</v>
      </c>
      <c r="AO150" s="52">
        <f>IF(AND(COUNTA($A150:$L150)&gt;0,$C150="Receipt",$I150=""),1,0)</f>
        <v>0</v>
      </c>
      <c r="AP150" s="52">
        <f>IF(AND(COUNTA($A150:$L150)&gt;0,$I150&lt;&gt;""),IF(IFERROR(INDEX(Config!$G$15:$G$34,MATCH($I150,Config!$E$15:$E$34,0)),"No")="Yes",0,1),0)</f>
        <v>0</v>
      </c>
      <c r="AQ150" s="52">
        <f>IF(AND(COUNTA($A150:$L150)&gt;0,$C150="Adjustment",$J150=""),1,0)</f>
        <v>0</v>
      </c>
      <c r="AR150" s="52">
        <f>IF(AND(COUNTA($A150:$L150)&gt;0,$L150=""),1,0)</f>
        <v>0</v>
      </c>
      <c r="AS150" s="52">
        <f>IF(AND(COUNTA($A150:$L150)&gt;0,ISNUMBER($S150)),IF($S150&lt;0,1,0),0)</f>
        <v>0</v>
      </c>
      <c r="AT150" s="52">
        <f>$W150</f>
        <v>0</v>
      </c>
      <c r="AU150" s="52">
        <f>$AT150+$X150</f>
        <v>0</v>
      </c>
      <c r="AV150" s="52">
        <f>$AU150+$Y150</f>
        <v>0</v>
      </c>
      <c r="AW150" s="52">
        <f>$AV150+$Z150</f>
        <v>0</v>
      </c>
      <c r="AX150" s="52">
        <f>$AW150+$AA150</f>
        <v>0</v>
      </c>
      <c r="AY150" s="52">
        <f>$AX150+$AB150</f>
        <v>0</v>
      </c>
      <c r="AZ150" s="52">
        <f>$AY150+$AC150</f>
        <v>0</v>
      </c>
      <c r="BA150" s="52">
        <f>$AZ150+$AD150</f>
        <v>0</v>
      </c>
      <c r="BB150" s="52">
        <f>$BA150+$AE150</f>
        <v>0</v>
      </c>
      <c r="BC150" s="52">
        <f>$BB150+$AF150</f>
        <v>0</v>
      </c>
      <c r="BD150" s="52">
        <f>$BC150+$AG150</f>
        <v>0</v>
      </c>
      <c r="BE150" s="52">
        <f>$BD150+$AH150</f>
        <v>0</v>
      </c>
      <c r="BF150" s="52">
        <f>$BE150+$AI150</f>
        <v>0</v>
      </c>
      <c r="BG150" s="52">
        <f>$BF150+$AJ150</f>
        <v>0</v>
      </c>
      <c r="BH150" s="52">
        <f>$BG150+$AK150</f>
        <v>0</v>
      </c>
      <c r="BI150" s="52">
        <f>$BH150+$AL150</f>
        <v>0</v>
      </c>
      <c r="BJ150" s="52">
        <f>$BI150+$AM150</f>
        <v>0</v>
      </c>
      <c r="BK150" s="52">
        <f>$BJ150+$AN150</f>
        <v>0</v>
      </c>
      <c r="BL150" s="52">
        <f>$BK150+$AO150</f>
        <v>0</v>
      </c>
      <c r="BM150" s="52">
        <f>$BL150+$AP150</f>
        <v>0</v>
      </c>
      <c r="BN150" s="52">
        <f>$BM150+$AQ150</f>
        <v>0</v>
      </c>
      <c r="BO150" s="52">
        <f>$BN150+$AR150</f>
        <v>0</v>
      </c>
      <c r="BP150" s="52">
        <f>$BO150+$AS150</f>
        <v>0</v>
      </c>
      <c r="BQ150" s="52">
        <f>SUM($T$1:$T149)</f>
        <v>11</v>
      </c>
      <c r="BR150" s="52" t="str">
        <f>IF(ISNUMBER($T150),IF($T150&gt;0,COUNTIF($T$2:$T150,"&gt;0"),""),"")</f>
        <v/>
      </c>
      <c r="BS150" s="52" t="str">
        <f>IF($BR150="","",$BQ150+$T150)</f>
        <v/>
      </c>
      <c r="BT150" s="52" t="str">
        <f>IF($U150="Ready",COUNTIF($U$2:$U150,"Ready"),"")</f>
        <v/>
      </c>
      <c r="BU150" s="52">
        <f>IF(AND($U150="Ready",$C150="Receipt"),IF(COUNTIF(Batches!$A$2:$A$301,$F150)+COUNTIFS($F$1:$F149,$F150,$C$1:$C149,"Receipt",$U$1:$U149,"Ready")=0,1,0),0)</f>
        <v>0</v>
      </c>
      <c r="BV150" s="52" t="str">
        <f>IF($BU150=1,SUM($BU$2:$BU150),"")</f>
        <v/>
      </c>
    </row>
    <row r="151">
      <c r="A151" s="46" t="n"/>
      <c r="B151" s="46" t="n"/>
      <c r="C151" s="46" t="n"/>
      <c r="D151" s="46" t="n"/>
      <c r="E151" s="46" t="n"/>
      <c r="F151" s="46" t="n"/>
      <c r="G151" s="46" t="n"/>
      <c r="H151" s="46" t="n"/>
      <c r="I151" s="46" t="n"/>
      <c r="J151" s="46" t="n"/>
      <c r="K151" s="46" t="n"/>
      <c r="L151" s="46" t="n"/>
      <c r="M151" s="62" t="str">
        <f>IF($B151="","",IF(ISNUMBER($B151),$B151,IF(AND(LEN($B151)=10,MID($B151,5,1)="-",MID($B151,8,1)="-"),IFERROR(IF(AND(MONTH(DATE(VALUE(LEFT($B151,4)),VALUE(MID($B151,6,2)),VALUE(RIGHT($B151,2))))=VALUE(MID($B151,6,2)),DAY(DATE(VALUE(LEFT($B151,4)),VALUE(MID($B151,6,2)),VALUE(RIGHT($B151,2))))=VALUE(RIGHT($B151,2))),DATE(VALUE(LEFT($B151,4)),VALUE(MID($B151,6,2)),VALUE(RIGHT($B151,2))),"ERR"),"ERR"),"ERR")))</f>
        <v/>
      </c>
      <c r="N151" s="62" t="str">
        <f>IF($G151="","",IF(ISNUMBER($G151),$G151,IF(AND(LEN($G151)=10,MID($G151,5,1)="-",MID($G151,8,1)="-"),IFERROR(IF(AND(MONTH(DATE(VALUE(LEFT($G151,4)),VALUE(MID($G151,6,2)),VALUE(RIGHT($G151,2))))=VALUE(MID($G151,6,2)),DAY(DATE(VALUE(LEFT($G151,4)),VALUE(MID($G151,6,2)),VALUE(RIGHT($G151,2))))=VALUE(RIGHT($G151,2))),DATE(VALUE(LEFT($G151,4)),VALUE(MID($G151,6,2)),VALUE(RIGHT($G151,2))),"ERR"),"ERR"),"ERR")))</f>
        <v/>
      </c>
      <c r="O151" s="51" t="str">
        <f>IF($H151="","",IF(ISNUMBER($H151),$H151,IFERROR(VALUE($H151),"ERR")))</f>
        <v/>
      </c>
      <c r="P151" s="51" t="str">
        <f>IF(AND(ISNUMBER($O151),OR($C151="Receipt",$C151="Shipment",$C151="Adjustment")),IF($C151="Shipment",-$O151,$O151),"")</f>
        <v/>
      </c>
      <c r="Q151" s="51" t="str">
        <f>IF($D151="","",IFERROR(INDEX(Products!$R$2:$R$101,MATCH($D151,Products!$A$2:$A$101,0)),""))</f>
        <v/>
      </c>
      <c r="R151" s="51" t="str">
        <f>IF(OR($Q151="",$P151=""),"",$Q151+SUMIFS($P$1:$P150,$D$1:$D150,$D151,$U$1:$U150,"Ready"))</f>
        <v/>
      </c>
      <c r="S151" s="51" t="str">
        <f>IF($R151="","",$R151+$P151)</f>
        <v/>
      </c>
      <c r="T151" s="52" t="str">
        <f>IF(COUNTA($A151:$L151)&gt;0,$BP151,"")</f>
        <v/>
      </c>
      <c r="U151" s="49" t="str">
        <f>IF($T151="","",IF($T151=0,"Ready","Rejected"))</f>
        <v/>
      </c>
      <c r="V151" s="49" t="str">
        <f>IF(OR($T151="",$T151=0),"",INDEX(Config!$D$39:$D$61,MATCH(1,$AT151:$BP151,0))&amp;IF($T151&gt;1," (+"&amp;($T151-1)&amp;" more)",""))</f>
        <v/>
      </c>
      <c r="W151" s="52">
        <f>IF(AND(COUNTA($A151:$L151)&gt;0,$A151=""),1,0)</f>
        <v>0</v>
      </c>
      <c r="X151" s="52">
        <f>IF(AND(COUNTA($A151:$L151)&gt;0,$A151&lt;&gt;""),IF(COUNTIF($A$1:$A150,$A151)&gt;0,1,0),0)</f>
        <v>0</v>
      </c>
      <c r="Y151" s="52">
        <f>IF(AND(COUNTA($A151:$L151)&gt;0,$A151&lt;&gt;""),IF(COUNTIF(Inventory_Ledger!$A$2:$A$2001,$A151)&gt;0,1,0),0)</f>
        <v>0</v>
      </c>
      <c r="Z151" s="52">
        <f>IF(AND(COUNTA($A151:$L151)&gt;0,$B151=""),1,0)</f>
        <v>0</v>
      </c>
      <c r="AA151" s="52">
        <f>IF(AND(COUNTA($A151:$L151)&gt;0,$B151&lt;&gt;""),IF($M151="ERR",1,0),0)</f>
        <v>0</v>
      </c>
      <c r="AB151" s="52">
        <f>IF(AND(COUNTA($A151:$L151)&gt;0,ISNUMBER($M151)),IF($M151&gt;Config!$B$4,1,0),0)</f>
        <v>0</v>
      </c>
      <c r="AC151" s="52">
        <f>IF(AND(COUNTA($A151:$L151)&gt;0,$C151=""),1,0)</f>
        <v>0</v>
      </c>
      <c r="AD151" s="52">
        <f>IF(AND(COUNTA($A151:$L151)&gt;0,$C151&lt;&gt;""),IF(COUNTIF(Config!$A$15:$A$34,$C151)=0,1,0),0)</f>
        <v>0</v>
      </c>
      <c r="AE151" s="52">
        <f>IF(AND(COUNTA($A151:$L151)&gt;0,$D151=""),1,0)</f>
        <v>0</v>
      </c>
      <c r="AF151" s="52">
        <f>IF(AND(COUNTA($A151:$L151)&gt;0,$D151&lt;&gt;""),IF(COUNTIF(Products!$A$2:$A$101,$D151)=0,1,0),0)</f>
        <v>0</v>
      </c>
      <c r="AG151" s="52">
        <f>IF(AND(COUNTA($A151:$L151)&gt;0,$C151="Receipt",$E151=""),1,0)</f>
        <v>0</v>
      </c>
      <c r="AH151" s="52">
        <f>IF(AND(COUNTA($A151:$L151)&gt;0,$E151&lt;&gt;""),IF(COUNTIF(Suppliers!$A$2:$A$51,$E151)=0,1,0),0)</f>
        <v>0</v>
      </c>
      <c r="AI151" s="52">
        <f>IF(AND(COUNTA($A151:$L151)&gt;0,$F151=""),1,0)</f>
        <v>0</v>
      </c>
      <c r="AJ151" s="52">
        <f>IF(AND(COUNTA($A151:$L151)&gt;0,$F151&lt;&gt;"",$D151&lt;&gt;"",OR($C151="Shipment",$C151="Adjustment")),IF($AF151=1,0,IF(COUNTIFS(Batches!$A$2:$A$301,$F151,Batches!$B$2:$B$301,$D151)+COUNTIFS($F$1:$F150,$F151,$D$1:$D150,$D151,$C$1:$C150,"Receipt")=0,1,0)),0)</f>
        <v>0</v>
      </c>
      <c r="AK151" s="52">
        <f>IF(AND(COUNTA($A151:$L151)&gt;0,$C151="Receipt",$G151=""),1,0)</f>
        <v>0</v>
      </c>
      <c r="AL151" s="52">
        <f>IF(AND(COUNTA($A151:$L151)&gt;0,$G151&lt;&gt;""),IF($N151="ERR",1,0),0)</f>
        <v>0</v>
      </c>
      <c r="AM151" s="52">
        <f>IF(AND(COUNTA($A151:$L151)&gt;0,$H151=""),1,0)</f>
        <v>0</v>
      </c>
      <c r="AN151" s="52">
        <f>IF(AND(COUNTA($A151:$L151)&gt;0,$H151&lt;&gt;""),IF($O151="ERR",1,IF(INT($O151)&lt;&gt;$O151,1,IF(AND(OR($C151="Receipt",$C151="Shipment"),$O151&lt;=0),1,IF(AND($C151="Adjustment",$O151=0),1,0)))),0)</f>
        <v>0</v>
      </c>
      <c r="AO151" s="52">
        <f>IF(AND(COUNTA($A151:$L151)&gt;0,$C151="Receipt",$I151=""),1,0)</f>
        <v>0</v>
      </c>
      <c r="AP151" s="52">
        <f>IF(AND(COUNTA($A151:$L151)&gt;0,$I151&lt;&gt;""),IF(IFERROR(INDEX(Config!$G$15:$G$34,MATCH($I151,Config!$E$15:$E$34,0)),"No")="Yes",0,1),0)</f>
        <v>0</v>
      </c>
      <c r="AQ151" s="52">
        <f>IF(AND(COUNTA($A151:$L151)&gt;0,$C151="Adjustment",$J151=""),1,0)</f>
        <v>0</v>
      </c>
      <c r="AR151" s="52">
        <f>IF(AND(COUNTA($A151:$L151)&gt;0,$L151=""),1,0)</f>
        <v>0</v>
      </c>
      <c r="AS151" s="52">
        <f>IF(AND(COUNTA($A151:$L151)&gt;0,ISNUMBER($S151)),IF($S151&lt;0,1,0),0)</f>
        <v>0</v>
      </c>
      <c r="AT151" s="52">
        <f>$W151</f>
        <v>0</v>
      </c>
      <c r="AU151" s="52">
        <f>$AT151+$X151</f>
        <v>0</v>
      </c>
      <c r="AV151" s="52">
        <f>$AU151+$Y151</f>
        <v>0</v>
      </c>
      <c r="AW151" s="52">
        <f>$AV151+$Z151</f>
        <v>0</v>
      </c>
      <c r="AX151" s="52">
        <f>$AW151+$AA151</f>
        <v>0</v>
      </c>
      <c r="AY151" s="52">
        <f>$AX151+$AB151</f>
        <v>0</v>
      </c>
      <c r="AZ151" s="52">
        <f>$AY151+$AC151</f>
        <v>0</v>
      </c>
      <c r="BA151" s="52">
        <f>$AZ151+$AD151</f>
        <v>0</v>
      </c>
      <c r="BB151" s="52">
        <f>$BA151+$AE151</f>
        <v>0</v>
      </c>
      <c r="BC151" s="52">
        <f>$BB151+$AF151</f>
        <v>0</v>
      </c>
      <c r="BD151" s="52">
        <f>$BC151+$AG151</f>
        <v>0</v>
      </c>
      <c r="BE151" s="52">
        <f>$BD151+$AH151</f>
        <v>0</v>
      </c>
      <c r="BF151" s="52">
        <f>$BE151+$AI151</f>
        <v>0</v>
      </c>
      <c r="BG151" s="52">
        <f>$BF151+$AJ151</f>
        <v>0</v>
      </c>
      <c r="BH151" s="52">
        <f>$BG151+$AK151</f>
        <v>0</v>
      </c>
      <c r="BI151" s="52">
        <f>$BH151+$AL151</f>
        <v>0</v>
      </c>
      <c r="BJ151" s="52">
        <f>$BI151+$AM151</f>
        <v>0</v>
      </c>
      <c r="BK151" s="52">
        <f>$BJ151+$AN151</f>
        <v>0</v>
      </c>
      <c r="BL151" s="52">
        <f>$BK151+$AO151</f>
        <v>0</v>
      </c>
      <c r="BM151" s="52">
        <f>$BL151+$AP151</f>
        <v>0</v>
      </c>
      <c r="BN151" s="52">
        <f>$BM151+$AQ151</f>
        <v>0</v>
      </c>
      <c r="BO151" s="52">
        <f>$BN151+$AR151</f>
        <v>0</v>
      </c>
      <c r="BP151" s="52">
        <f>$BO151+$AS151</f>
        <v>0</v>
      </c>
      <c r="BQ151" s="52">
        <f>SUM($T$1:$T150)</f>
        <v>11</v>
      </c>
      <c r="BR151" s="52" t="str">
        <f>IF(ISNUMBER($T151),IF($T151&gt;0,COUNTIF($T$2:$T151,"&gt;0"),""),"")</f>
        <v/>
      </c>
      <c r="BS151" s="52" t="str">
        <f>IF($BR151="","",$BQ151+$T151)</f>
        <v/>
      </c>
      <c r="BT151" s="52" t="str">
        <f>IF($U151="Ready",COUNTIF($U$2:$U151,"Ready"),"")</f>
        <v/>
      </c>
      <c r="BU151" s="52">
        <f>IF(AND($U151="Ready",$C151="Receipt"),IF(COUNTIF(Batches!$A$2:$A$301,$F151)+COUNTIFS($F$1:$F150,$F151,$C$1:$C150,"Receipt",$U$1:$U150,"Ready")=0,1,0),0)</f>
        <v>0</v>
      </c>
      <c r="BV151" s="52" t="str">
        <f>IF($BU151=1,SUM($BU$2:$BU151),"")</f>
        <v/>
      </c>
    </row>
    <row r="152">
      <c r="A152" s="46" t="n"/>
      <c r="B152" s="46" t="n"/>
      <c r="C152" s="46" t="n"/>
      <c r="D152" s="46" t="n"/>
      <c r="E152" s="46" t="n"/>
      <c r="F152" s="46" t="n"/>
      <c r="G152" s="46" t="n"/>
      <c r="H152" s="46" t="n"/>
      <c r="I152" s="46" t="n"/>
      <c r="J152" s="46" t="n"/>
      <c r="K152" s="46" t="n"/>
      <c r="L152" s="46" t="n"/>
      <c r="M152" s="62" t="str">
        <f>IF($B152="","",IF(ISNUMBER($B152),$B152,IF(AND(LEN($B152)=10,MID($B152,5,1)="-",MID($B152,8,1)="-"),IFERROR(IF(AND(MONTH(DATE(VALUE(LEFT($B152,4)),VALUE(MID($B152,6,2)),VALUE(RIGHT($B152,2))))=VALUE(MID($B152,6,2)),DAY(DATE(VALUE(LEFT($B152,4)),VALUE(MID($B152,6,2)),VALUE(RIGHT($B152,2))))=VALUE(RIGHT($B152,2))),DATE(VALUE(LEFT($B152,4)),VALUE(MID($B152,6,2)),VALUE(RIGHT($B152,2))),"ERR"),"ERR"),"ERR")))</f>
        <v/>
      </c>
      <c r="N152" s="62" t="str">
        <f>IF($G152="","",IF(ISNUMBER($G152),$G152,IF(AND(LEN($G152)=10,MID($G152,5,1)="-",MID($G152,8,1)="-"),IFERROR(IF(AND(MONTH(DATE(VALUE(LEFT($G152,4)),VALUE(MID($G152,6,2)),VALUE(RIGHT($G152,2))))=VALUE(MID($G152,6,2)),DAY(DATE(VALUE(LEFT($G152,4)),VALUE(MID($G152,6,2)),VALUE(RIGHT($G152,2))))=VALUE(RIGHT($G152,2))),DATE(VALUE(LEFT($G152,4)),VALUE(MID($G152,6,2)),VALUE(RIGHT($G152,2))),"ERR"),"ERR"),"ERR")))</f>
        <v/>
      </c>
      <c r="O152" s="51" t="str">
        <f>IF($H152="","",IF(ISNUMBER($H152),$H152,IFERROR(VALUE($H152),"ERR")))</f>
        <v/>
      </c>
      <c r="P152" s="51" t="str">
        <f>IF(AND(ISNUMBER($O152),OR($C152="Receipt",$C152="Shipment",$C152="Adjustment")),IF($C152="Shipment",-$O152,$O152),"")</f>
        <v/>
      </c>
      <c r="Q152" s="51" t="str">
        <f>IF($D152="","",IFERROR(INDEX(Products!$R$2:$R$101,MATCH($D152,Products!$A$2:$A$101,0)),""))</f>
        <v/>
      </c>
      <c r="R152" s="51" t="str">
        <f>IF(OR($Q152="",$P152=""),"",$Q152+SUMIFS($P$1:$P151,$D$1:$D151,$D152,$U$1:$U151,"Ready"))</f>
        <v/>
      </c>
      <c r="S152" s="51" t="str">
        <f>IF($R152="","",$R152+$P152)</f>
        <v/>
      </c>
      <c r="T152" s="52" t="str">
        <f>IF(COUNTA($A152:$L152)&gt;0,$BP152,"")</f>
        <v/>
      </c>
      <c r="U152" s="49" t="str">
        <f>IF($T152="","",IF($T152=0,"Ready","Rejected"))</f>
        <v/>
      </c>
      <c r="V152" s="49" t="str">
        <f>IF(OR($T152="",$T152=0),"",INDEX(Config!$D$39:$D$61,MATCH(1,$AT152:$BP152,0))&amp;IF($T152&gt;1," (+"&amp;($T152-1)&amp;" more)",""))</f>
        <v/>
      </c>
      <c r="W152" s="52">
        <f>IF(AND(COUNTA($A152:$L152)&gt;0,$A152=""),1,0)</f>
        <v>0</v>
      </c>
      <c r="X152" s="52">
        <f>IF(AND(COUNTA($A152:$L152)&gt;0,$A152&lt;&gt;""),IF(COUNTIF($A$1:$A151,$A152)&gt;0,1,0),0)</f>
        <v>0</v>
      </c>
      <c r="Y152" s="52">
        <f>IF(AND(COUNTA($A152:$L152)&gt;0,$A152&lt;&gt;""),IF(COUNTIF(Inventory_Ledger!$A$2:$A$2001,$A152)&gt;0,1,0),0)</f>
        <v>0</v>
      </c>
      <c r="Z152" s="52">
        <f>IF(AND(COUNTA($A152:$L152)&gt;0,$B152=""),1,0)</f>
        <v>0</v>
      </c>
      <c r="AA152" s="52">
        <f>IF(AND(COUNTA($A152:$L152)&gt;0,$B152&lt;&gt;""),IF($M152="ERR",1,0),0)</f>
        <v>0</v>
      </c>
      <c r="AB152" s="52">
        <f>IF(AND(COUNTA($A152:$L152)&gt;0,ISNUMBER($M152)),IF($M152&gt;Config!$B$4,1,0),0)</f>
        <v>0</v>
      </c>
      <c r="AC152" s="52">
        <f>IF(AND(COUNTA($A152:$L152)&gt;0,$C152=""),1,0)</f>
        <v>0</v>
      </c>
      <c r="AD152" s="52">
        <f>IF(AND(COUNTA($A152:$L152)&gt;0,$C152&lt;&gt;""),IF(COUNTIF(Config!$A$15:$A$34,$C152)=0,1,0),0)</f>
        <v>0</v>
      </c>
      <c r="AE152" s="52">
        <f>IF(AND(COUNTA($A152:$L152)&gt;0,$D152=""),1,0)</f>
        <v>0</v>
      </c>
      <c r="AF152" s="52">
        <f>IF(AND(COUNTA($A152:$L152)&gt;0,$D152&lt;&gt;""),IF(COUNTIF(Products!$A$2:$A$101,$D152)=0,1,0),0)</f>
        <v>0</v>
      </c>
      <c r="AG152" s="52">
        <f>IF(AND(COUNTA($A152:$L152)&gt;0,$C152="Receipt",$E152=""),1,0)</f>
        <v>0</v>
      </c>
      <c r="AH152" s="52">
        <f>IF(AND(COUNTA($A152:$L152)&gt;0,$E152&lt;&gt;""),IF(COUNTIF(Suppliers!$A$2:$A$51,$E152)=0,1,0),0)</f>
        <v>0</v>
      </c>
      <c r="AI152" s="52">
        <f>IF(AND(COUNTA($A152:$L152)&gt;0,$F152=""),1,0)</f>
        <v>0</v>
      </c>
      <c r="AJ152" s="52">
        <f>IF(AND(COUNTA($A152:$L152)&gt;0,$F152&lt;&gt;"",$D152&lt;&gt;"",OR($C152="Shipment",$C152="Adjustment")),IF($AF152=1,0,IF(COUNTIFS(Batches!$A$2:$A$301,$F152,Batches!$B$2:$B$301,$D152)+COUNTIFS($F$1:$F151,$F152,$D$1:$D151,$D152,$C$1:$C151,"Receipt")=0,1,0)),0)</f>
        <v>0</v>
      </c>
      <c r="AK152" s="52">
        <f>IF(AND(COUNTA($A152:$L152)&gt;0,$C152="Receipt",$G152=""),1,0)</f>
        <v>0</v>
      </c>
      <c r="AL152" s="52">
        <f>IF(AND(COUNTA($A152:$L152)&gt;0,$G152&lt;&gt;""),IF($N152="ERR",1,0),0)</f>
        <v>0</v>
      </c>
      <c r="AM152" s="52">
        <f>IF(AND(COUNTA($A152:$L152)&gt;0,$H152=""),1,0)</f>
        <v>0</v>
      </c>
      <c r="AN152" s="52">
        <f>IF(AND(COUNTA($A152:$L152)&gt;0,$H152&lt;&gt;""),IF($O152="ERR",1,IF(INT($O152)&lt;&gt;$O152,1,IF(AND(OR($C152="Receipt",$C152="Shipment"),$O152&lt;=0),1,IF(AND($C152="Adjustment",$O152=0),1,0)))),0)</f>
        <v>0</v>
      </c>
      <c r="AO152" s="52">
        <f>IF(AND(COUNTA($A152:$L152)&gt;0,$C152="Receipt",$I152=""),1,0)</f>
        <v>0</v>
      </c>
      <c r="AP152" s="52">
        <f>IF(AND(COUNTA($A152:$L152)&gt;0,$I152&lt;&gt;""),IF(IFERROR(INDEX(Config!$G$15:$G$34,MATCH($I152,Config!$E$15:$E$34,0)),"No")="Yes",0,1),0)</f>
        <v>0</v>
      </c>
      <c r="AQ152" s="52">
        <f>IF(AND(COUNTA($A152:$L152)&gt;0,$C152="Adjustment",$J152=""),1,0)</f>
        <v>0</v>
      </c>
      <c r="AR152" s="52">
        <f>IF(AND(COUNTA($A152:$L152)&gt;0,$L152=""),1,0)</f>
        <v>0</v>
      </c>
      <c r="AS152" s="52">
        <f>IF(AND(COUNTA($A152:$L152)&gt;0,ISNUMBER($S152)),IF($S152&lt;0,1,0),0)</f>
        <v>0</v>
      </c>
      <c r="AT152" s="52">
        <f>$W152</f>
        <v>0</v>
      </c>
      <c r="AU152" s="52">
        <f>$AT152+$X152</f>
        <v>0</v>
      </c>
      <c r="AV152" s="52">
        <f>$AU152+$Y152</f>
        <v>0</v>
      </c>
      <c r="AW152" s="52">
        <f>$AV152+$Z152</f>
        <v>0</v>
      </c>
      <c r="AX152" s="52">
        <f>$AW152+$AA152</f>
        <v>0</v>
      </c>
      <c r="AY152" s="52">
        <f>$AX152+$AB152</f>
        <v>0</v>
      </c>
      <c r="AZ152" s="52">
        <f>$AY152+$AC152</f>
        <v>0</v>
      </c>
      <c r="BA152" s="52">
        <f>$AZ152+$AD152</f>
        <v>0</v>
      </c>
      <c r="BB152" s="52">
        <f>$BA152+$AE152</f>
        <v>0</v>
      </c>
      <c r="BC152" s="52">
        <f>$BB152+$AF152</f>
        <v>0</v>
      </c>
      <c r="BD152" s="52">
        <f>$BC152+$AG152</f>
        <v>0</v>
      </c>
      <c r="BE152" s="52">
        <f>$BD152+$AH152</f>
        <v>0</v>
      </c>
      <c r="BF152" s="52">
        <f>$BE152+$AI152</f>
        <v>0</v>
      </c>
      <c r="BG152" s="52">
        <f>$BF152+$AJ152</f>
        <v>0</v>
      </c>
      <c r="BH152" s="52">
        <f>$BG152+$AK152</f>
        <v>0</v>
      </c>
      <c r="BI152" s="52">
        <f>$BH152+$AL152</f>
        <v>0</v>
      </c>
      <c r="BJ152" s="52">
        <f>$BI152+$AM152</f>
        <v>0</v>
      </c>
      <c r="BK152" s="52">
        <f>$BJ152+$AN152</f>
        <v>0</v>
      </c>
      <c r="BL152" s="52">
        <f>$BK152+$AO152</f>
        <v>0</v>
      </c>
      <c r="BM152" s="52">
        <f>$BL152+$AP152</f>
        <v>0</v>
      </c>
      <c r="BN152" s="52">
        <f>$BM152+$AQ152</f>
        <v>0</v>
      </c>
      <c r="BO152" s="52">
        <f>$BN152+$AR152</f>
        <v>0</v>
      </c>
      <c r="BP152" s="52">
        <f>$BO152+$AS152</f>
        <v>0</v>
      </c>
      <c r="BQ152" s="52">
        <f>SUM($T$1:$T151)</f>
        <v>11</v>
      </c>
      <c r="BR152" s="52" t="str">
        <f>IF(ISNUMBER($T152),IF($T152&gt;0,COUNTIF($T$2:$T152,"&gt;0"),""),"")</f>
        <v/>
      </c>
      <c r="BS152" s="52" t="str">
        <f>IF($BR152="","",$BQ152+$T152)</f>
        <v/>
      </c>
      <c r="BT152" s="52" t="str">
        <f>IF($U152="Ready",COUNTIF($U$2:$U152,"Ready"),"")</f>
        <v/>
      </c>
      <c r="BU152" s="52">
        <f>IF(AND($U152="Ready",$C152="Receipt"),IF(COUNTIF(Batches!$A$2:$A$301,$F152)+COUNTIFS($F$1:$F151,$F152,$C$1:$C151,"Receipt",$U$1:$U151,"Ready")=0,1,0),0)</f>
        <v>0</v>
      </c>
      <c r="BV152" s="52" t="str">
        <f>IF($BU152=1,SUM($BU$2:$BU152),"")</f>
        <v/>
      </c>
    </row>
    <row r="153">
      <c r="A153" s="46" t="n"/>
      <c r="B153" s="46" t="n"/>
      <c r="C153" s="46" t="n"/>
      <c r="D153" s="46" t="n"/>
      <c r="E153" s="46" t="n"/>
      <c r="F153" s="46" t="n"/>
      <c r="G153" s="46" t="n"/>
      <c r="H153" s="46" t="n"/>
      <c r="I153" s="46" t="n"/>
      <c r="J153" s="46" t="n"/>
      <c r="K153" s="46" t="n"/>
      <c r="L153" s="46" t="n"/>
      <c r="M153" s="62" t="str">
        <f>IF($B153="","",IF(ISNUMBER($B153),$B153,IF(AND(LEN($B153)=10,MID($B153,5,1)="-",MID($B153,8,1)="-"),IFERROR(IF(AND(MONTH(DATE(VALUE(LEFT($B153,4)),VALUE(MID($B153,6,2)),VALUE(RIGHT($B153,2))))=VALUE(MID($B153,6,2)),DAY(DATE(VALUE(LEFT($B153,4)),VALUE(MID($B153,6,2)),VALUE(RIGHT($B153,2))))=VALUE(RIGHT($B153,2))),DATE(VALUE(LEFT($B153,4)),VALUE(MID($B153,6,2)),VALUE(RIGHT($B153,2))),"ERR"),"ERR"),"ERR")))</f>
        <v/>
      </c>
      <c r="N153" s="62" t="str">
        <f>IF($G153="","",IF(ISNUMBER($G153),$G153,IF(AND(LEN($G153)=10,MID($G153,5,1)="-",MID($G153,8,1)="-"),IFERROR(IF(AND(MONTH(DATE(VALUE(LEFT($G153,4)),VALUE(MID($G153,6,2)),VALUE(RIGHT($G153,2))))=VALUE(MID($G153,6,2)),DAY(DATE(VALUE(LEFT($G153,4)),VALUE(MID($G153,6,2)),VALUE(RIGHT($G153,2))))=VALUE(RIGHT($G153,2))),DATE(VALUE(LEFT($G153,4)),VALUE(MID($G153,6,2)),VALUE(RIGHT($G153,2))),"ERR"),"ERR"),"ERR")))</f>
        <v/>
      </c>
      <c r="O153" s="51" t="str">
        <f>IF($H153="","",IF(ISNUMBER($H153),$H153,IFERROR(VALUE($H153),"ERR")))</f>
        <v/>
      </c>
      <c r="P153" s="51" t="str">
        <f>IF(AND(ISNUMBER($O153),OR($C153="Receipt",$C153="Shipment",$C153="Adjustment")),IF($C153="Shipment",-$O153,$O153),"")</f>
        <v/>
      </c>
      <c r="Q153" s="51" t="str">
        <f>IF($D153="","",IFERROR(INDEX(Products!$R$2:$R$101,MATCH($D153,Products!$A$2:$A$101,0)),""))</f>
        <v/>
      </c>
      <c r="R153" s="51" t="str">
        <f>IF(OR($Q153="",$P153=""),"",$Q153+SUMIFS($P$1:$P152,$D$1:$D152,$D153,$U$1:$U152,"Ready"))</f>
        <v/>
      </c>
      <c r="S153" s="51" t="str">
        <f>IF($R153="","",$R153+$P153)</f>
        <v/>
      </c>
      <c r="T153" s="52" t="str">
        <f>IF(COUNTA($A153:$L153)&gt;0,$BP153,"")</f>
        <v/>
      </c>
      <c r="U153" s="49" t="str">
        <f>IF($T153="","",IF($T153=0,"Ready","Rejected"))</f>
        <v/>
      </c>
      <c r="V153" s="49" t="str">
        <f>IF(OR($T153="",$T153=0),"",INDEX(Config!$D$39:$D$61,MATCH(1,$AT153:$BP153,0))&amp;IF($T153&gt;1," (+"&amp;($T153-1)&amp;" more)",""))</f>
        <v/>
      </c>
      <c r="W153" s="52">
        <f>IF(AND(COUNTA($A153:$L153)&gt;0,$A153=""),1,0)</f>
        <v>0</v>
      </c>
      <c r="X153" s="52">
        <f>IF(AND(COUNTA($A153:$L153)&gt;0,$A153&lt;&gt;""),IF(COUNTIF($A$1:$A152,$A153)&gt;0,1,0),0)</f>
        <v>0</v>
      </c>
      <c r="Y153" s="52">
        <f>IF(AND(COUNTA($A153:$L153)&gt;0,$A153&lt;&gt;""),IF(COUNTIF(Inventory_Ledger!$A$2:$A$2001,$A153)&gt;0,1,0),0)</f>
        <v>0</v>
      </c>
      <c r="Z153" s="52">
        <f>IF(AND(COUNTA($A153:$L153)&gt;0,$B153=""),1,0)</f>
        <v>0</v>
      </c>
      <c r="AA153" s="52">
        <f>IF(AND(COUNTA($A153:$L153)&gt;0,$B153&lt;&gt;""),IF($M153="ERR",1,0),0)</f>
        <v>0</v>
      </c>
      <c r="AB153" s="52">
        <f>IF(AND(COUNTA($A153:$L153)&gt;0,ISNUMBER($M153)),IF($M153&gt;Config!$B$4,1,0),0)</f>
        <v>0</v>
      </c>
      <c r="AC153" s="52">
        <f>IF(AND(COUNTA($A153:$L153)&gt;0,$C153=""),1,0)</f>
        <v>0</v>
      </c>
      <c r="AD153" s="52">
        <f>IF(AND(COUNTA($A153:$L153)&gt;0,$C153&lt;&gt;""),IF(COUNTIF(Config!$A$15:$A$34,$C153)=0,1,0),0)</f>
        <v>0</v>
      </c>
      <c r="AE153" s="52">
        <f>IF(AND(COUNTA($A153:$L153)&gt;0,$D153=""),1,0)</f>
        <v>0</v>
      </c>
      <c r="AF153" s="52">
        <f>IF(AND(COUNTA($A153:$L153)&gt;0,$D153&lt;&gt;""),IF(COUNTIF(Products!$A$2:$A$101,$D153)=0,1,0),0)</f>
        <v>0</v>
      </c>
      <c r="AG153" s="52">
        <f>IF(AND(COUNTA($A153:$L153)&gt;0,$C153="Receipt",$E153=""),1,0)</f>
        <v>0</v>
      </c>
      <c r="AH153" s="52">
        <f>IF(AND(COUNTA($A153:$L153)&gt;0,$E153&lt;&gt;""),IF(COUNTIF(Suppliers!$A$2:$A$51,$E153)=0,1,0),0)</f>
        <v>0</v>
      </c>
      <c r="AI153" s="52">
        <f>IF(AND(COUNTA($A153:$L153)&gt;0,$F153=""),1,0)</f>
        <v>0</v>
      </c>
      <c r="AJ153" s="52">
        <f>IF(AND(COUNTA($A153:$L153)&gt;0,$F153&lt;&gt;"",$D153&lt;&gt;"",OR($C153="Shipment",$C153="Adjustment")),IF($AF153=1,0,IF(COUNTIFS(Batches!$A$2:$A$301,$F153,Batches!$B$2:$B$301,$D153)+COUNTIFS($F$1:$F152,$F153,$D$1:$D152,$D153,$C$1:$C152,"Receipt")=0,1,0)),0)</f>
        <v>0</v>
      </c>
      <c r="AK153" s="52">
        <f>IF(AND(COUNTA($A153:$L153)&gt;0,$C153="Receipt",$G153=""),1,0)</f>
        <v>0</v>
      </c>
      <c r="AL153" s="52">
        <f>IF(AND(COUNTA($A153:$L153)&gt;0,$G153&lt;&gt;""),IF($N153="ERR",1,0),0)</f>
        <v>0</v>
      </c>
      <c r="AM153" s="52">
        <f>IF(AND(COUNTA($A153:$L153)&gt;0,$H153=""),1,0)</f>
        <v>0</v>
      </c>
      <c r="AN153" s="52">
        <f>IF(AND(COUNTA($A153:$L153)&gt;0,$H153&lt;&gt;""),IF($O153="ERR",1,IF(INT($O153)&lt;&gt;$O153,1,IF(AND(OR($C153="Receipt",$C153="Shipment"),$O153&lt;=0),1,IF(AND($C153="Adjustment",$O153=0),1,0)))),0)</f>
        <v>0</v>
      </c>
      <c r="AO153" s="52">
        <f>IF(AND(COUNTA($A153:$L153)&gt;0,$C153="Receipt",$I153=""),1,0)</f>
        <v>0</v>
      </c>
      <c r="AP153" s="52">
        <f>IF(AND(COUNTA($A153:$L153)&gt;0,$I153&lt;&gt;""),IF(IFERROR(INDEX(Config!$G$15:$G$34,MATCH($I153,Config!$E$15:$E$34,0)),"No")="Yes",0,1),0)</f>
        <v>0</v>
      </c>
      <c r="AQ153" s="52">
        <f>IF(AND(COUNTA($A153:$L153)&gt;0,$C153="Adjustment",$J153=""),1,0)</f>
        <v>0</v>
      </c>
      <c r="AR153" s="52">
        <f>IF(AND(COUNTA($A153:$L153)&gt;0,$L153=""),1,0)</f>
        <v>0</v>
      </c>
      <c r="AS153" s="52">
        <f>IF(AND(COUNTA($A153:$L153)&gt;0,ISNUMBER($S153)),IF($S153&lt;0,1,0),0)</f>
        <v>0</v>
      </c>
      <c r="AT153" s="52">
        <f>$W153</f>
        <v>0</v>
      </c>
      <c r="AU153" s="52">
        <f>$AT153+$X153</f>
        <v>0</v>
      </c>
      <c r="AV153" s="52">
        <f>$AU153+$Y153</f>
        <v>0</v>
      </c>
      <c r="AW153" s="52">
        <f>$AV153+$Z153</f>
        <v>0</v>
      </c>
      <c r="AX153" s="52">
        <f>$AW153+$AA153</f>
        <v>0</v>
      </c>
      <c r="AY153" s="52">
        <f>$AX153+$AB153</f>
        <v>0</v>
      </c>
      <c r="AZ153" s="52">
        <f>$AY153+$AC153</f>
        <v>0</v>
      </c>
      <c r="BA153" s="52">
        <f>$AZ153+$AD153</f>
        <v>0</v>
      </c>
      <c r="BB153" s="52">
        <f>$BA153+$AE153</f>
        <v>0</v>
      </c>
      <c r="BC153" s="52">
        <f>$BB153+$AF153</f>
        <v>0</v>
      </c>
      <c r="BD153" s="52">
        <f>$BC153+$AG153</f>
        <v>0</v>
      </c>
      <c r="BE153" s="52">
        <f>$BD153+$AH153</f>
        <v>0</v>
      </c>
      <c r="BF153" s="52">
        <f>$BE153+$AI153</f>
        <v>0</v>
      </c>
      <c r="BG153" s="52">
        <f>$BF153+$AJ153</f>
        <v>0</v>
      </c>
      <c r="BH153" s="52">
        <f>$BG153+$AK153</f>
        <v>0</v>
      </c>
      <c r="BI153" s="52">
        <f>$BH153+$AL153</f>
        <v>0</v>
      </c>
      <c r="BJ153" s="52">
        <f>$BI153+$AM153</f>
        <v>0</v>
      </c>
      <c r="BK153" s="52">
        <f>$BJ153+$AN153</f>
        <v>0</v>
      </c>
      <c r="BL153" s="52">
        <f>$BK153+$AO153</f>
        <v>0</v>
      </c>
      <c r="BM153" s="52">
        <f>$BL153+$AP153</f>
        <v>0</v>
      </c>
      <c r="BN153" s="52">
        <f>$BM153+$AQ153</f>
        <v>0</v>
      </c>
      <c r="BO153" s="52">
        <f>$BN153+$AR153</f>
        <v>0</v>
      </c>
      <c r="BP153" s="52">
        <f>$BO153+$AS153</f>
        <v>0</v>
      </c>
      <c r="BQ153" s="52">
        <f>SUM($T$1:$T152)</f>
        <v>11</v>
      </c>
      <c r="BR153" s="52" t="str">
        <f>IF(ISNUMBER($T153),IF($T153&gt;0,COUNTIF($T$2:$T153,"&gt;0"),""),"")</f>
        <v/>
      </c>
      <c r="BS153" s="52" t="str">
        <f>IF($BR153="","",$BQ153+$T153)</f>
        <v/>
      </c>
      <c r="BT153" s="52" t="str">
        <f>IF($U153="Ready",COUNTIF($U$2:$U153,"Ready"),"")</f>
        <v/>
      </c>
      <c r="BU153" s="52">
        <f>IF(AND($U153="Ready",$C153="Receipt"),IF(COUNTIF(Batches!$A$2:$A$301,$F153)+COUNTIFS($F$1:$F152,$F153,$C$1:$C152,"Receipt",$U$1:$U152,"Ready")=0,1,0),0)</f>
        <v>0</v>
      </c>
      <c r="BV153" s="52" t="str">
        <f>IF($BU153=1,SUM($BU$2:$BU153),"")</f>
        <v/>
      </c>
    </row>
    <row r="154">
      <c r="A154" s="46" t="n"/>
      <c r="B154" s="46" t="n"/>
      <c r="C154" s="46" t="n"/>
      <c r="D154" s="46" t="n"/>
      <c r="E154" s="46" t="n"/>
      <c r="F154" s="46" t="n"/>
      <c r="G154" s="46" t="n"/>
      <c r="H154" s="46" t="n"/>
      <c r="I154" s="46" t="n"/>
      <c r="J154" s="46" t="n"/>
      <c r="K154" s="46" t="n"/>
      <c r="L154" s="46" t="n"/>
      <c r="M154" s="62" t="str">
        <f>IF($B154="","",IF(ISNUMBER($B154),$B154,IF(AND(LEN($B154)=10,MID($B154,5,1)="-",MID($B154,8,1)="-"),IFERROR(IF(AND(MONTH(DATE(VALUE(LEFT($B154,4)),VALUE(MID($B154,6,2)),VALUE(RIGHT($B154,2))))=VALUE(MID($B154,6,2)),DAY(DATE(VALUE(LEFT($B154,4)),VALUE(MID($B154,6,2)),VALUE(RIGHT($B154,2))))=VALUE(RIGHT($B154,2))),DATE(VALUE(LEFT($B154,4)),VALUE(MID($B154,6,2)),VALUE(RIGHT($B154,2))),"ERR"),"ERR"),"ERR")))</f>
        <v/>
      </c>
      <c r="N154" s="62" t="str">
        <f>IF($G154="","",IF(ISNUMBER($G154),$G154,IF(AND(LEN($G154)=10,MID($G154,5,1)="-",MID($G154,8,1)="-"),IFERROR(IF(AND(MONTH(DATE(VALUE(LEFT($G154,4)),VALUE(MID($G154,6,2)),VALUE(RIGHT($G154,2))))=VALUE(MID($G154,6,2)),DAY(DATE(VALUE(LEFT($G154,4)),VALUE(MID($G154,6,2)),VALUE(RIGHT($G154,2))))=VALUE(RIGHT($G154,2))),DATE(VALUE(LEFT($G154,4)),VALUE(MID($G154,6,2)),VALUE(RIGHT($G154,2))),"ERR"),"ERR"),"ERR")))</f>
        <v/>
      </c>
      <c r="O154" s="51" t="str">
        <f>IF($H154="","",IF(ISNUMBER($H154),$H154,IFERROR(VALUE($H154),"ERR")))</f>
        <v/>
      </c>
      <c r="P154" s="51" t="str">
        <f>IF(AND(ISNUMBER($O154),OR($C154="Receipt",$C154="Shipment",$C154="Adjustment")),IF($C154="Shipment",-$O154,$O154),"")</f>
        <v/>
      </c>
      <c r="Q154" s="51" t="str">
        <f>IF($D154="","",IFERROR(INDEX(Products!$R$2:$R$101,MATCH($D154,Products!$A$2:$A$101,0)),""))</f>
        <v/>
      </c>
      <c r="R154" s="51" t="str">
        <f>IF(OR($Q154="",$P154=""),"",$Q154+SUMIFS($P$1:$P153,$D$1:$D153,$D154,$U$1:$U153,"Ready"))</f>
        <v/>
      </c>
      <c r="S154" s="51" t="str">
        <f>IF($R154="","",$R154+$P154)</f>
        <v/>
      </c>
      <c r="T154" s="52" t="str">
        <f>IF(COUNTA($A154:$L154)&gt;0,$BP154,"")</f>
        <v/>
      </c>
      <c r="U154" s="49" t="str">
        <f>IF($T154="","",IF($T154=0,"Ready","Rejected"))</f>
        <v/>
      </c>
      <c r="V154" s="49" t="str">
        <f>IF(OR($T154="",$T154=0),"",INDEX(Config!$D$39:$D$61,MATCH(1,$AT154:$BP154,0))&amp;IF($T154&gt;1," (+"&amp;($T154-1)&amp;" more)",""))</f>
        <v/>
      </c>
      <c r="W154" s="52">
        <f>IF(AND(COUNTA($A154:$L154)&gt;0,$A154=""),1,0)</f>
        <v>0</v>
      </c>
      <c r="X154" s="52">
        <f>IF(AND(COUNTA($A154:$L154)&gt;0,$A154&lt;&gt;""),IF(COUNTIF($A$1:$A153,$A154)&gt;0,1,0),0)</f>
        <v>0</v>
      </c>
      <c r="Y154" s="52">
        <f>IF(AND(COUNTA($A154:$L154)&gt;0,$A154&lt;&gt;""),IF(COUNTIF(Inventory_Ledger!$A$2:$A$2001,$A154)&gt;0,1,0),0)</f>
        <v>0</v>
      </c>
      <c r="Z154" s="52">
        <f>IF(AND(COUNTA($A154:$L154)&gt;0,$B154=""),1,0)</f>
        <v>0</v>
      </c>
      <c r="AA154" s="52">
        <f>IF(AND(COUNTA($A154:$L154)&gt;0,$B154&lt;&gt;""),IF($M154="ERR",1,0),0)</f>
        <v>0</v>
      </c>
      <c r="AB154" s="52">
        <f>IF(AND(COUNTA($A154:$L154)&gt;0,ISNUMBER($M154)),IF($M154&gt;Config!$B$4,1,0),0)</f>
        <v>0</v>
      </c>
      <c r="AC154" s="52">
        <f>IF(AND(COUNTA($A154:$L154)&gt;0,$C154=""),1,0)</f>
        <v>0</v>
      </c>
      <c r="AD154" s="52">
        <f>IF(AND(COUNTA($A154:$L154)&gt;0,$C154&lt;&gt;""),IF(COUNTIF(Config!$A$15:$A$34,$C154)=0,1,0),0)</f>
        <v>0</v>
      </c>
      <c r="AE154" s="52">
        <f>IF(AND(COUNTA($A154:$L154)&gt;0,$D154=""),1,0)</f>
        <v>0</v>
      </c>
      <c r="AF154" s="52">
        <f>IF(AND(COUNTA($A154:$L154)&gt;0,$D154&lt;&gt;""),IF(COUNTIF(Products!$A$2:$A$101,$D154)=0,1,0),0)</f>
        <v>0</v>
      </c>
      <c r="AG154" s="52">
        <f>IF(AND(COUNTA($A154:$L154)&gt;0,$C154="Receipt",$E154=""),1,0)</f>
        <v>0</v>
      </c>
      <c r="AH154" s="52">
        <f>IF(AND(COUNTA($A154:$L154)&gt;0,$E154&lt;&gt;""),IF(COUNTIF(Suppliers!$A$2:$A$51,$E154)=0,1,0),0)</f>
        <v>0</v>
      </c>
      <c r="AI154" s="52">
        <f>IF(AND(COUNTA($A154:$L154)&gt;0,$F154=""),1,0)</f>
        <v>0</v>
      </c>
      <c r="AJ154" s="52">
        <f>IF(AND(COUNTA($A154:$L154)&gt;0,$F154&lt;&gt;"",$D154&lt;&gt;"",OR($C154="Shipment",$C154="Adjustment")),IF($AF154=1,0,IF(COUNTIFS(Batches!$A$2:$A$301,$F154,Batches!$B$2:$B$301,$D154)+COUNTIFS($F$1:$F153,$F154,$D$1:$D153,$D154,$C$1:$C153,"Receipt")=0,1,0)),0)</f>
        <v>0</v>
      </c>
      <c r="AK154" s="52">
        <f>IF(AND(COUNTA($A154:$L154)&gt;0,$C154="Receipt",$G154=""),1,0)</f>
        <v>0</v>
      </c>
      <c r="AL154" s="52">
        <f>IF(AND(COUNTA($A154:$L154)&gt;0,$G154&lt;&gt;""),IF($N154="ERR",1,0),0)</f>
        <v>0</v>
      </c>
      <c r="AM154" s="52">
        <f>IF(AND(COUNTA($A154:$L154)&gt;0,$H154=""),1,0)</f>
        <v>0</v>
      </c>
      <c r="AN154" s="52">
        <f>IF(AND(COUNTA($A154:$L154)&gt;0,$H154&lt;&gt;""),IF($O154="ERR",1,IF(INT($O154)&lt;&gt;$O154,1,IF(AND(OR($C154="Receipt",$C154="Shipment"),$O154&lt;=0),1,IF(AND($C154="Adjustment",$O154=0),1,0)))),0)</f>
        <v>0</v>
      </c>
      <c r="AO154" s="52">
        <f>IF(AND(COUNTA($A154:$L154)&gt;0,$C154="Receipt",$I154=""),1,0)</f>
        <v>0</v>
      </c>
      <c r="AP154" s="52">
        <f>IF(AND(COUNTA($A154:$L154)&gt;0,$I154&lt;&gt;""),IF(IFERROR(INDEX(Config!$G$15:$G$34,MATCH($I154,Config!$E$15:$E$34,0)),"No")="Yes",0,1),0)</f>
        <v>0</v>
      </c>
      <c r="AQ154" s="52">
        <f>IF(AND(COUNTA($A154:$L154)&gt;0,$C154="Adjustment",$J154=""),1,0)</f>
        <v>0</v>
      </c>
      <c r="AR154" s="52">
        <f>IF(AND(COUNTA($A154:$L154)&gt;0,$L154=""),1,0)</f>
        <v>0</v>
      </c>
      <c r="AS154" s="52">
        <f>IF(AND(COUNTA($A154:$L154)&gt;0,ISNUMBER($S154)),IF($S154&lt;0,1,0),0)</f>
        <v>0</v>
      </c>
      <c r="AT154" s="52">
        <f>$W154</f>
        <v>0</v>
      </c>
      <c r="AU154" s="52">
        <f>$AT154+$X154</f>
        <v>0</v>
      </c>
      <c r="AV154" s="52">
        <f>$AU154+$Y154</f>
        <v>0</v>
      </c>
      <c r="AW154" s="52">
        <f>$AV154+$Z154</f>
        <v>0</v>
      </c>
      <c r="AX154" s="52">
        <f>$AW154+$AA154</f>
        <v>0</v>
      </c>
      <c r="AY154" s="52">
        <f>$AX154+$AB154</f>
        <v>0</v>
      </c>
      <c r="AZ154" s="52">
        <f>$AY154+$AC154</f>
        <v>0</v>
      </c>
      <c r="BA154" s="52">
        <f>$AZ154+$AD154</f>
        <v>0</v>
      </c>
      <c r="BB154" s="52">
        <f>$BA154+$AE154</f>
        <v>0</v>
      </c>
      <c r="BC154" s="52">
        <f>$BB154+$AF154</f>
        <v>0</v>
      </c>
      <c r="BD154" s="52">
        <f>$BC154+$AG154</f>
        <v>0</v>
      </c>
      <c r="BE154" s="52">
        <f>$BD154+$AH154</f>
        <v>0</v>
      </c>
      <c r="BF154" s="52">
        <f>$BE154+$AI154</f>
        <v>0</v>
      </c>
      <c r="BG154" s="52">
        <f>$BF154+$AJ154</f>
        <v>0</v>
      </c>
      <c r="BH154" s="52">
        <f>$BG154+$AK154</f>
        <v>0</v>
      </c>
      <c r="BI154" s="52">
        <f>$BH154+$AL154</f>
        <v>0</v>
      </c>
      <c r="BJ154" s="52">
        <f>$BI154+$AM154</f>
        <v>0</v>
      </c>
      <c r="BK154" s="52">
        <f>$BJ154+$AN154</f>
        <v>0</v>
      </c>
      <c r="BL154" s="52">
        <f>$BK154+$AO154</f>
        <v>0</v>
      </c>
      <c r="BM154" s="52">
        <f>$BL154+$AP154</f>
        <v>0</v>
      </c>
      <c r="BN154" s="52">
        <f>$BM154+$AQ154</f>
        <v>0</v>
      </c>
      <c r="BO154" s="52">
        <f>$BN154+$AR154</f>
        <v>0</v>
      </c>
      <c r="BP154" s="52">
        <f>$BO154+$AS154</f>
        <v>0</v>
      </c>
      <c r="BQ154" s="52">
        <f>SUM($T$1:$T153)</f>
        <v>11</v>
      </c>
      <c r="BR154" s="52" t="str">
        <f>IF(ISNUMBER($T154),IF($T154&gt;0,COUNTIF($T$2:$T154,"&gt;0"),""),"")</f>
        <v/>
      </c>
      <c r="BS154" s="52" t="str">
        <f>IF($BR154="","",$BQ154+$T154)</f>
        <v/>
      </c>
      <c r="BT154" s="52" t="str">
        <f>IF($U154="Ready",COUNTIF($U$2:$U154,"Ready"),"")</f>
        <v/>
      </c>
      <c r="BU154" s="52">
        <f>IF(AND($U154="Ready",$C154="Receipt"),IF(COUNTIF(Batches!$A$2:$A$301,$F154)+COUNTIFS($F$1:$F153,$F154,$C$1:$C153,"Receipt",$U$1:$U153,"Ready")=0,1,0),0)</f>
        <v>0</v>
      </c>
      <c r="BV154" s="52" t="str">
        <f>IF($BU154=1,SUM($BU$2:$BU154),"")</f>
        <v/>
      </c>
    </row>
    <row r="155">
      <c r="A155" s="46" t="n"/>
      <c r="B155" s="46" t="n"/>
      <c r="C155" s="46" t="n"/>
      <c r="D155" s="46" t="n"/>
      <c r="E155" s="46" t="n"/>
      <c r="F155" s="46" t="n"/>
      <c r="G155" s="46" t="n"/>
      <c r="H155" s="46" t="n"/>
      <c r="I155" s="46" t="n"/>
      <c r="J155" s="46" t="n"/>
      <c r="K155" s="46" t="n"/>
      <c r="L155" s="46" t="n"/>
      <c r="M155" s="62" t="str">
        <f>IF($B155="","",IF(ISNUMBER($B155),$B155,IF(AND(LEN($B155)=10,MID($B155,5,1)="-",MID($B155,8,1)="-"),IFERROR(IF(AND(MONTH(DATE(VALUE(LEFT($B155,4)),VALUE(MID($B155,6,2)),VALUE(RIGHT($B155,2))))=VALUE(MID($B155,6,2)),DAY(DATE(VALUE(LEFT($B155,4)),VALUE(MID($B155,6,2)),VALUE(RIGHT($B155,2))))=VALUE(RIGHT($B155,2))),DATE(VALUE(LEFT($B155,4)),VALUE(MID($B155,6,2)),VALUE(RIGHT($B155,2))),"ERR"),"ERR"),"ERR")))</f>
        <v/>
      </c>
      <c r="N155" s="62" t="str">
        <f>IF($G155="","",IF(ISNUMBER($G155),$G155,IF(AND(LEN($G155)=10,MID($G155,5,1)="-",MID($G155,8,1)="-"),IFERROR(IF(AND(MONTH(DATE(VALUE(LEFT($G155,4)),VALUE(MID($G155,6,2)),VALUE(RIGHT($G155,2))))=VALUE(MID($G155,6,2)),DAY(DATE(VALUE(LEFT($G155,4)),VALUE(MID($G155,6,2)),VALUE(RIGHT($G155,2))))=VALUE(RIGHT($G155,2))),DATE(VALUE(LEFT($G155,4)),VALUE(MID($G155,6,2)),VALUE(RIGHT($G155,2))),"ERR"),"ERR"),"ERR")))</f>
        <v/>
      </c>
      <c r="O155" s="51" t="str">
        <f>IF($H155="","",IF(ISNUMBER($H155),$H155,IFERROR(VALUE($H155),"ERR")))</f>
        <v/>
      </c>
      <c r="P155" s="51" t="str">
        <f>IF(AND(ISNUMBER($O155),OR($C155="Receipt",$C155="Shipment",$C155="Adjustment")),IF($C155="Shipment",-$O155,$O155),"")</f>
        <v/>
      </c>
      <c r="Q155" s="51" t="str">
        <f>IF($D155="","",IFERROR(INDEX(Products!$R$2:$R$101,MATCH($D155,Products!$A$2:$A$101,0)),""))</f>
        <v/>
      </c>
      <c r="R155" s="51" t="str">
        <f>IF(OR($Q155="",$P155=""),"",$Q155+SUMIFS($P$1:$P154,$D$1:$D154,$D155,$U$1:$U154,"Ready"))</f>
        <v/>
      </c>
      <c r="S155" s="51" t="str">
        <f>IF($R155="","",$R155+$P155)</f>
        <v/>
      </c>
      <c r="T155" s="52" t="str">
        <f>IF(COUNTA($A155:$L155)&gt;0,$BP155,"")</f>
        <v/>
      </c>
      <c r="U155" s="49" t="str">
        <f>IF($T155="","",IF($T155=0,"Ready","Rejected"))</f>
        <v/>
      </c>
      <c r="V155" s="49" t="str">
        <f>IF(OR($T155="",$T155=0),"",INDEX(Config!$D$39:$D$61,MATCH(1,$AT155:$BP155,0))&amp;IF($T155&gt;1," (+"&amp;($T155-1)&amp;" more)",""))</f>
        <v/>
      </c>
      <c r="W155" s="52">
        <f>IF(AND(COUNTA($A155:$L155)&gt;0,$A155=""),1,0)</f>
        <v>0</v>
      </c>
      <c r="X155" s="52">
        <f>IF(AND(COUNTA($A155:$L155)&gt;0,$A155&lt;&gt;""),IF(COUNTIF($A$1:$A154,$A155)&gt;0,1,0),0)</f>
        <v>0</v>
      </c>
      <c r="Y155" s="52">
        <f>IF(AND(COUNTA($A155:$L155)&gt;0,$A155&lt;&gt;""),IF(COUNTIF(Inventory_Ledger!$A$2:$A$2001,$A155)&gt;0,1,0),0)</f>
        <v>0</v>
      </c>
      <c r="Z155" s="52">
        <f>IF(AND(COUNTA($A155:$L155)&gt;0,$B155=""),1,0)</f>
        <v>0</v>
      </c>
      <c r="AA155" s="52">
        <f>IF(AND(COUNTA($A155:$L155)&gt;0,$B155&lt;&gt;""),IF($M155="ERR",1,0),0)</f>
        <v>0</v>
      </c>
      <c r="AB155" s="52">
        <f>IF(AND(COUNTA($A155:$L155)&gt;0,ISNUMBER($M155)),IF($M155&gt;Config!$B$4,1,0),0)</f>
        <v>0</v>
      </c>
      <c r="AC155" s="52">
        <f>IF(AND(COUNTA($A155:$L155)&gt;0,$C155=""),1,0)</f>
        <v>0</v>
      </c>
      <c r="AD155" s="52">
        <f>IF(AND(COUNTA($A155:$L155)&gt;0,$C155&lt;&gt;""),IF(COUNTIF(Config!$A$15:$A$34,$C155)=0,1,0),0)</f>
        <v>0</v>
      </c>
      <c r="AE155" s="52">
        <f>IF(AND(COUNTA($A155:$L155)&gt;0,$D155=""),1,0)</f>
        <v>0</v>
      </c>
      <c r="AF155" s="52">
        <f>IF(AND(COUNTA($A155:$L155)&gt;0,$D155&lt;&gt;""),IF(COUNTIF(Products!$A$2:$A$101,$D155)=0,1,0),0)</f>
        <v>0</v>
      </c>
      <c r="AG155" s="52">
        <f>IF(AND(COUNTA($A155:$L155)&gt;0,$C155="Receipt",$E155=""),1,0)</f>
        <v>0</v>
      </c>
      <c r="AH155" s="52">
        <f>IF(AND(COUNTA($A155:$L155)&gt;0,$E155&lt;&gt;""),IF(COUNTIF(Suppliers!$A$2:$A$51,$E155)=0,1,0),0)</f>
        <v>0</v>
      </c>
      <c r="AI155" s="52">
        <f>IF(AND(COUNTA($A155:$L155)&gt;0,$F155=""),1,0)</f>
        <v>0</v>
      </c>
      <c r="AJ155" s="52">
        <f>IF(AND(COUNTA($A155:$L155)&gt;0,$F155&lt;&gt;"",$D155&lt;&gt;"",OR($C155="Shipment",$C155="Adjustment")),IF($AF155=1,0,IF(COUNTIFS(Batches!$A$2:$A$301,$F155,Batches!$B$2:$B$301,$D155)+COUNTIFS($F$1:$F154,$F155,$D$1:$D154,$D155,$C$1:$C154,"Receipt")=0,1,0)),0)</f>
        <v>0</v>
      </c>
      <c r="AK155" s="52">
        <f>IF(AND(COUNTA($A155:$L155)&gt;0,$C155="Receipt",$G155=""),1,0)</f>
        <v>0</v>
      </c>
      <c r="AL155" s="52">
        <f>IF(AND(COUNTA($A155:$L155)&gt;0,$G155&lt;&gt;""),IF($N155="ERR",1,0),0)</f>
        <v>0</v>
      </c>
      <c r="AM155" s="52">
        <f>IF(AND(COUNTA($A155:$L155)&gt;0,$H155=""),1,0)</f>
        <v>0</v>
      </c>
      <c r="AN155" s="52">
        <f>IF(AND(COUNTA($A155:$L155)&gt;0,$H155&lt;&gt;""),IF($O155="ERR",1,IF(INT($O155)&lt;&gt;$O155,1,IF(AND(OR($C155="Receipt",$C155="Shipment"),$O155&lt;=0),1,IF(AND($C155="Adjustment",$O155=0),1,0)))),0)</f>
        <v>0</v>
      </c>
      <c r="AO155" s="52">
        <f>IF(AND(COUNTA($A155:$L155)&gt;0,$C155="Receipt",$I155=""),1,0)</f>
        <v>0</v>
      </c>
      <c r="AP155" s="52">
        <f>IF(AND(COUNTA($A155:$L155)&gt;0,$I155&lt;&gt;""),IF(IFERROR(INDEX(Config!$G$15:$G$34,MATCH($I155,Config!$E$15:$E$34,0)),"No")="Yes",0,1),0)</f>
        <v>0</v>
      </c>
      <c r="AQ155" s="52">
        <f>IF(AND(COUNTA($A155:$L155)&gt;0,$C155="Adjustment",$J155=""),1,0)</f>
        <v>0</v>
      </c>
      <c r="AR155" s="52">
        <f>IF(AND(COUNTA($A155:$L155)&gt;0,$L155=""),1,0)</f>
        <v>0</v>
      </c>
      <c r="AS155" s="52">
        <f>IF(AND(COUNTA($A155:$L155)&gt;0,ISNUMBER($S155)),IF($S155&lt;0,1,0),0)</f>
        <v>0</v>
      </c>
      <c r="AT155" s="52">
        <f>$W155</f>
        <v>0</v>
      </c>
      <c r="AU155" s="52">
        <f>$AT155+$X155</f>
        <v>0</v>
      </c>
      <c r="AV155" s="52">
        <f>$AU155+$Y155</f>
        <v>0</v>
      </c>
      <c r="AW155" s="52">
        <f>$AV155+$Z155</f>
        <v>0</v>
      </c>
      <c r="AX155" s="52">
        <f>$AW155+$AA155</f>
        <v>0</v>
      </c>
      <c r="AY155" s="52">
        <f>$AX155+$AB155</f>
        <v>0</v>
      </c>
      <c r="AZ155" s="52">
        <f>$AY155+$AC155</f>
        <v>0</v>
      </c>
      <c r="BA155" s="52">
        <f>$AZ155+$AD155</f>
        <v>0</v>
      </c>
      <c r="BB155" s="52">
        <f>$BA155+$AE155</f>
        <v>0</v>
      </c>
      <c r="BC155" s="52">
        <f>$BB155+$AF155</f>
        <v>0</v>
      </c>
      <c r="BD155" s="52">
        <f>$BC155+$AG155</f>
        <v>0</v>
      </c>
      <c r="BE155" s="52">
        <f>$BD155+$AH155</f>
        <v>0</v>
      </c>
      <c r="BF155" s="52">
        <f>$BE155+$AI155</f>
        <v>0</v>
      </c>
      <c r="BG155" s="52">
        <f>$BF155+$AJ155</f>
        <v>0</v>
      </c>
      <c r="BH155" s="52">
        <f>$BG155+$AK155</f>
        <v>0</v>
      </c>
      <c r="BI155" s="52">
        <f>$BH155+$AL155</f>
        <v>0</v>
      </c>
      <c r="BJ155" s="52">
        <f>$BI155+$AM155</f>
        <v>0</v>
      </c>
      <c r="BK155" s="52">
        <f>$BJ155+$AN155</f>
        <v>0</v>
      </c>
      <c r="BL155" s="52">
        <f>$BK155+$AO155</f>
        <v>0</v>
      </c>
      <c r="BM155" s="52">
        <f>$BL155+$AP155</f>
        <v>0</v>
      </c>
      <c r="BN155" s="52">
        <f>$BM155+$AQ155</f>
        <v>0</v>
      </c>
      <c r="BO155" s="52">
        <f>$BN155+$AR155</f>
        <v>0</v>
      </c>
      <c r="BP155" s="52">
        <f>$BO155+$AS155</f>
        <v>0</v>
      </c>
      <c r="BQ155" s="52">
        <f>SUM($T$1:$T154)</f>
        <v>11</v>
      </c>
      <c r="BR155" s="52" t="str">
        <f>IF(ISNUMBER($T155),IF($T155&gt;0,COUNTIF($T$2:$T155,"&gt;0"),""),"")</f>
        <v/>
      </c>
      <c r="BS155" s="52" t="str">
        <f>IF($BR155="","",$BQ155+$T155)</f>
        <v/>
      </c>
      <c r="BT155" s="52" t="str">
        <f>IF($U155="Ready",COUNTIF($U$2:$U155,"Ready"),"")</f>
        <v/>
      </c>
      <c r="BU155" s="52">
        <f>IF(AND($U155="Ready",$C155="Receipt"),IF(COUNTIF(Batches!$A$2:$A$301,$F155)+COUNTIFS($F$1:$F154,$F155,$C$1:$C154,"Receipt",$U$1:$U154,"Ready")=0,1,0),0)</f>
        <v>0</v>
      </c>
      <c r="BV155" s="52" t="str">
        <f>IF($BU155=1,SUM($BU$2:$BU155),"")</f>
        <v/>
      </c>
    </row>
    <row r="156">
      <c r="A156" s="46" t="n"/>
      <c r="B156" s="46" t="n"/>
      <c r="C156" s="46" t="n"/>
      <c r="D156" s="46" t="n"/>
      <c r="E156" s="46" t="n"/>
      <c r="F156" s="46" t="n"/>
      <c r="G156" s="46" t="n"/>
      <c r="H156" s="46" t="n"/>
      <c r="I156" s="46" t="n"/>
      <c r="J156" s="46" t="n"/>
      <c r="K156" s="46" t="n"/>
      <c r="L156" s="46" t="n"/>
      <c r="M156" s="62" t="str">
        <f>IF($B156="","",IF(ISNUMBER($B156),$B156,IF(AND(LEN($B156)=10,MID($B156,5,1)="-",MID($B156,8,1)="-"),IFERROR(IF(AND(MONTH(DATE(VALUE(LEFT($B156,4)),VALUE(MID($B156,6,2)),VALUE(RIGHT($B156,2))))=VALUE(MID($B156,6,2)),DAY(DATE(VALUE(LEFT($B156,4)),VALUE(MID($B156,6,2)),VALUE(RIGHT($B156,2))))=VALUE(RIGHT($B156,2))),DATE(VALUE(LEFT($B156,4)),VALUE(MID($B156,6,2)),VALUE(RIGHT($B156,2))),"ERR"),"ERR"),"ERR")))</f>
        <v/>
      </c>
      <c r="N156" s="62" t="str">
        <f>IF($G156="","",IF(ISNUMBER($G156),$G156,IF(AND(LEN($G156)=10,MID($G156,5,1)="-",MID($G156,8,1)="-"),IFERROR(IF(AND(MONTH(DATE(VALUE(LEFT($G156,4)),VALUE(MID($G156,6,2)),VALUE(RIGHT($G156,2))))=VALUE(MID($G156,6,2)),DAY(DATE(VALUE(LEFT($G156,4)),VALUE(MID($G156,6,2)),VALUE(RIGHT($G156,2))))=VALUE(RIGHT($G156,2))),DATE(VALUE(LEFT($G156,4)),VALUE(MID($G156,6,2)),VALUE(RIGHT($G156,2))),"ERR"),"ERR"),"ERR")))</f>
        <v/>
      </c>
      <c r="O156" s="51" t="str">
        <f>IF($H156="","",IF(ISNUMBER($H156),$H156,IFERROR(VALUE($H156),"ERR")))</f>
        <v/>
      </c>
      <c r="P156" s="51" t="str">
        <f>IF(AND(ISNUMBER($O156),OR($C156="Receipt",$C156="Shipment",$C156="Adjustment")),IF($C156="Shipment",-$O156,$O156),"")</f>
        <v/>
      </c>
      <c r="Q156" s="51" t="str">
        <f>IF($D156="","",IFERROR(INDEX(Products!$R$2:$R$101,MATCH($D156,Products!$A$2:$A$101,0)),""))</f>
        <v/>
      </c>
      <c r="R156" s="51" t="str">
        <f>IF(OR($Q156="",$P156=""),"",$Q156+SUMIFS($P$1:$P155,$D$1:$D155,$D156,$U$1:$U155,"Ready"))</f>
        <v/>
      </c>
      <c r="S156" s="51" t="str">
        <f>IF($R156="","",$R156+$P156)</f>
        <v/>
      </c>
      <c r="T156" s="52" t="str">
        <f>IF(COUNTA($A156:$L156)&gt;0,$BP156,"")</f>
        <v/>
      </c>
      <c r="U156" s="49" t="str">
        <f>IF($T156="","",IF($T156=0,"Ready","Rejected"))</f>
        <v/>
      </c>
      <c r="V156" s="49" t="str">
        <f>IF(OR($T156="",$T156=0),"",INDEX(Config!$D$39:$D$61,MATCH(1,$AT156:$BP156,0))&amp;IF($T156&gt;1," (+"&amp;($T156-1)&amp;" more)",""))</f>
        <v/>
      </c>
      <c r="W156" s="52">
        <f>IF(AND(COUNTA($A156:$L156)&gt;0,$A156=""),1,0)</f>
        <v>0</v>
      </c>
      <c r="X156" s="52">
        <f>IF(AND(COUNTA($A156:$L156)&gt;0,$A156&lt;&gt;""),IF(COUNTIF($A$1:$A155,$A156)&gt;0,1,0),0)</f>
        <v>0</v>
      </c>
      <c r="Y156" s="52">
        <f>IF(AND(COUNTA($A156:$L156)&gt;0,$A156&lt;&gt;""),IF(COUNTIF(Inventory_Ledger!$A$2:$A$2001,$A156)&gt;0,1,0),0)</f>
        <v>0</v>
      </c>
      <c r="Z156" s="52">
        <f>IF(AND(COUNTA($A156:$L156)&gt;0,$B156=""),1,0)</f>
        <v>0</v>
      </c>
      <c r="AA156" s="52">
        <f>IF(AND(COUNTA($A156:$L156)&gt;0,$B156&lt;&gt;""),IF($M156="ERR",1,0),0)</f>
        <v>0</v>
      </c>
      <c r="AB156" s="52">
        <f>IF(AND(COUNTA($A156:$L156)&gt;0,ISNUMBER($M156)),IF($M156&gt;Config!$B$4,1,0),0)</f>
        <v>0</v>
      </c>
      <c r="AC156" s="52">
        <f>IF(AND(COUNTA($A156:$L156)&gt;0,$C156=""),1,0)</f>
        <v>0</v>
      </c>
      <c r="AD156" s="52">
        <f>IF(AND(COUNTA($A156:$L156)&gt;0,$C156&lt;&gt;""),IF(COUNTIF(Config!$A$15:$A$34,$C156)=0,1,0),0)</f>
        <v>0</v>
      </c>
      <c r="AE156" s="52">
        <f>IF(AND(COUNTA($A156:$L156)&gt;0,$D156=""),1,0)</f>
        <v>0</v>
      </c>
      <c r="AF156" s="52">
        <f>IF(AND(COUNTA($A156:$L156)&gt;0,$D156&lt;&gt;""),IF(COUNTIF(Products!$A$2:$A$101,$D156)=0,1,0),0)</f>
        <v>0</v>
      </c>
      <c r="AG156" s="52">
        <f>IF(AND(COUNTA($A156:$L156)&gt;0,$C156="Receipt",$E156=""),1,0)</f>
        <v>0</v>
      </c>
      <c r="AH156" s="52">
        <f>IF(AND(COUNTA($A156:$L156)&gt;0,$E156&lt;&gt;""),IF(COUNTIF(Suppliers!$A$2:$A$51,$E156)=0,1,0),0)</f>
        <v>0</v>
      </c>
      <c r="AI156" s="52">
        <f>IF(AND(COUNTA($A156:$L156)&gt;0,$F156=""),1,0)</f>
        <v>0</v>
      </c>
      <c r="AJ156" s="52">
        <f>IF(AND(COUNTA($A156:$L156)&gt;0,$F156&lt;&gt;"",$D156&lt;&gt;"",OR($C156="Shipment",$C156="Adjustment")),IF($AF156=1,0,IF(COUNTIFS(Batches!$A$2:$A$301,$F156,Batches!$B$2:$B$301,$D156)+COUNTIFS($F$1:$F155,$F156,$D$1:$D155,$D156,$C$1:$C155,"Receipt")=0,1,0)),0)</f>
        <v>0</v>
      </c>
      <c r="AK156" s="52">
        <f>IF(AND(COUNTA($A156:$L156)&gt;0,$C156="Receipt",$G156=""),1,0)</f>
        <v>0</v>
      </c>
      <c r="AL156" s="52">
        <f>IF(AND(COUNTA($A156:$L156)&gt;0,$G156&lt;&gt;""),IF($N156="ERR",1,0),0)</f>
        <v>0</v>
      </c>
      <c r="AM156" s="52">
        <f>IF(AND(COUNTA($A156:$L156)&gt;0,$H156=""),1,0)</f>
        <v>0</v>
      </c>
      <c r="AN156" s="52">
        <f>IF(AND(COUNTA($A156:$L156)&gt;0,$H156&lt;&gt;""),IF($O156="ERR",1,IF(INT($O156)&lt;&gt;$O156,1,IF(AND(OR($C156="Receipt",$C156="Shipment"),$O156&lt;=0),1,IF(AND($C156="Adjustment",$O156=0),1,0)))),0)</f>
        <v>0</v>
      </c>
      <c r="AO156" s="52">
        <f>IF(AND(COUNTA($A156:$L156)&gt;0,$C156="Receipt",$I156=""),1,0)</f>
        <v>0</v>
      </c>
      <c r="AP156" s="52">
        <f>IF(AND(COUNTA($A156:$L156)&gt;0,$I156&lt;&gt;""),IF(IFERROR(INDEX(Config!$G$15:$G$34,MATCH($I156,Config!$E$15:$E$34,0)),"No")="Yes",0,1),0)</f>
        <v>0</v>
      </c>
      <c r="AQ156" s="52">
        <f>IF(AND(COUNTA($A156:$L156)&gt;0,$C156="Adjustment",$J156=""),1,0)</f>
        <v>0</v>
      </c>
      <c r="AR156" s="52">
        <f>IF(AND(COUNTA($A156:$L156)&gt;0,$L156=""),1,0)</f>
        <v>0</v>
      </c>
      <c r="AS156" s="52">
        <f>IF(AND(COUNTA($A156:$L156)&gt;0,ISNUMBER($S156)),IF($S156&lt;0,1,0),0)</f>
        <v>0</v>
      </c>
      <c r="AT156" s="52">
        <f>$W156</f>
        <v>0</v>
      </c>
      <c r="AU156" s="52">
        <f>$AT156+$X156</f>
        <v>0</v>
      </c>
      <c r="AV156" s="52">
        <f>$AU156+$Y156</f>
        <v>0</v>
      </c>
      <c r="AW156" s="52">
        <f>$AV156+$Z156</f>
        <v>0</v>
      </c>
      <c r="AX156" s="52">
        <f>$AW156+$AA156</f>
        <v>0</v>
      </c>
      <c r="AY156" s="52">
        <f>$AX156+$AB156</f>
        <v>0</v>
      </c>
      <c r="AZ156" s="52">
        <f>$AY156+$AC156</f>
        <v>0</v>
      </c>
      <c r="BA156" s="52">
        <f>$AZ156+$AD156</f>
        <v>0</v>
      </c>
      <c r="BB156" s="52">
        <f>$BA156+$AE156</f>
        <v>0</v>
      </c>
      <c r="BC156" s="52">
        <f>$BB156+$AF156</f>
        <v>0</v>
      </c>
      <c r="BD156" s="52">
        <f>$BC156+$AG156</f>
        <v>0</v>
      </c>
      <c r="BE156" s="52">
        <f>$BD156+$AH156</f>
        <v>0</v>
      </c>
      <c r="BF156" s="52">
        <f>$BE156+$AI156</f>
        <v>0</v>
      </c>
      <c r="BG156" s="52">
        <f>$BF156+$AJ156</f>
        <v>0</v>
      </c>
      <c r="BH156" s="52">
        <f>$BG156+$AK156</f>
        <v>0</v>
      </c>
      <c r="BI156" s="52">
        <f>$BH156+$AL156</f>
        <v>0</v>
      </c>
      <c r="BJ156" s="52">
        <f>$BI156+$AM156</f>
        <v>0</v>
      </c>
      <c r="BK156" s="52">
        <f>$BJ156+$AN156</f>
        <v>0</v>
      </c>
      <c r="BL156" s="52">
        <f>$BK156+$AO156</f>
        <v>0</v>
      </c>
      <c r="BM156" s="52">
        <f>$BL156+$AP156</f>
        <v>0</v>
      </c>
      <c r="BN156" s="52">
        <f>$BM156+$AQ156</f>
        <v>0</v>
      </c>
      <c r="BO156" s="52">
        <f>$BN156+$AR156</f>
        <v>0</v>
      </c>
      <c r="BP156" s="52">
        <f>$BO156+$AS156</f>
        <v>0</v>
      </c>
      <c r="BQ156" s="52">
        <f>SUM($T$1:$T155)</f>
        <v>11</v>
      </c>
      <c r="BR156" s="52" t="str">
        <f>IF(ISNUMBER($T156),IF($T156&gt;0,COUNTIF($T$2:$T156,"&gt;0"),""),"")</f>
        <v/>
      </c>
      <c r="BS156" s="52" t="str">
        <f>IF($BR156="","",$BQ156+$T156)</f>
        <v/>
      </c>
      <c r="BT156" s="52" t="str">
        <f>IF($U156="Ready",COUNTIF($U$2:$U156,"Ready"),"")</f>
        <v/>
      </c>
      <c r="BU156" s="52">
        <f>IF(AND($U156="Ready",$C156="Receipt"),IF(COUNTIF(Batches!$A$2:$A$301,$F156)+COUNTIFS($F$1:$F155,$F156,$C$1:$C155,"Receipt",$U$1:$U155,"Ready")=0,1,0),0)</f>
        <v>0</v>
      </c>
      <c r="BV156" s="52" t="str">
        <f>IF($BU156=1,SUM($BU$2:$BU156),"")</f>
        <v/>
      </c>
    </row>
    <row r="157">
      <c r="A157" s="46" t="n"/>
      <c r="B157" s="46" t="n"/>
      <c r="C157" s="46" t="n"/>
      <c r="D157" s="46" t="n"/>
      <c r="E157" s="46" t="n"/>
      <c r="F157" s="46" t="n"/>
      <c r="G157" s="46" t="n"/>
      <c r="H157" s="46" t="n"/>
      <c r="I157" s="46" t="n"/>
      <c r="J157" s="46" t="n"/>
      <c r="K157" s="46" t="n"/>
      <c r="L157" s="46" t="n"/>
      <c r="M157" s="62" t="str">
        <f>IF($B157="","",IF(ISNUMBER($B157),$B157,IF(AND(LEN($B157)=10,MID($B157,5,1)="-",MID($B157,8,1)="-"),IFERROR(IF(AND(MONTH(DATE(VALUE(LEFT($B157,4)),VALUE(MID($B157,6,2)),VALUE(RIGHT($B157,2))))=VALUE(MID($B157,6,2)),DAY(DATE(VALUE(LEFT($B157,4)),VALUE(MID($B157,6,2)),VALUE(RIGHT($B157,2))))=VALUE(RIGHT($B157,2))),DATE(VALUE(LEFT($B157,4)),VALUE(MID($B157,6,2)),VALUE(RIGHT($B157,2))),"ERR"),"ERR"),"ERR")))</f>
        <v/>
      </c>
      <c r="N157" s="62" t="str">
        <f>IF($G157="","",IF(ISNUMBER($G157),$G157,IF(AND(LEN($G157)=10,MID($G157,5,1)="-",MID($G157,8,1)="-"),IFERROR(IF(AND(MONTH(DATE(VALUE(LEFT($G157,4)),VALUE(MID($G157,6,2)),VALUE(RIGHT($G157,2))))=VALUE(MID($G157,6,2)),DAY(DATE(VALUE(LEFT($G157,4)),VALUE(MID($G157,6,2)),VALUE(RIGHT($G157,2))))=VALUE(RIGHT($G157,2))),DATE(VALUE(LEFT($G157,4)),VALUE(MID($G157,6,2)),VALUE(RIGHT($G157,2))),"ERR"),"ERR"),"ERR")))</f>
        <v/>
      </c>
      <c r="O157" s="51" t="str">
        <f>IF($H157="","",IF(ISNUMBER($H157),$H157,IFERROR(VALUE($H157),"ERR")))</f>
        <v/>
      </c>
      <c r="P157" s="51" t="str">
        <f>IF(AND(ISNUMBER($O157),OR($C157="Receipt",$C157="Shipment",$C157="Adjustment")),IF($C157="Shipment",-$O157,$O157),"")</f>
        <v/>
      </c>
      <c r="Q157" s="51" t="str">
        <f>IF($D157="","",IFERROR(INDEX(Products!$R$2:$R$101,MATCH($D157,Products!$A$2:$A$101,0)),""))</f>
        <v/>
      </c>
      <c r="R157" s="51" t="str">
        <f>IF(OR($Q157="",$P157=""),"",$Q157+SUMIFS($P$1:$P156,$D$1:$D156,$D157,$U$1:$U156,"Ready"))</f>
        <v/>
      </c>
      <c r="S157" s="51" t="str">
        <f>IF($R157="","",$R157+$P157)</f>
        <v/>
      </c>
      <c r="T157" s="52" t="str">
        <f>IF(COUNTA($A157:$L157)&gt;0,$BP157,"")</f>
        <v/>
      </c>
      <c r="U157" s="49" t="str">
        <f>IF($T157="","",IF($T157=0,"Ready","Rejected"))</f>
        <v/>
      </c>
      <c r="V157" s="49" t="str">
        <f>IF(OR($T157="",$T157=0),"",INDEX(Config!$D$39:$D$61,MATCH(1,$AT157:$BP157,0))&amp;IF($T157&gt;1," (+"&amp;($T157-1)&amp;" more)",""))</f>
        <v/>
      </c>
      <c r="W157" s="52">
        <f>IF(AND(COUNTA($A157:$L157)&gt;0,$A157=""),1,0)</f>
        <v>0</v>
      </c>
      <c r="X157" s="52">
        <f>IF(AND(COUNTA($A157:$L157)&gt;0,$A157&lt;&gt;""),IF(COUNTIF($A$1:$A156,$A157)&gt;0,1,0),0)</f>
        <v>0</v>
      </c>
      <c r="Y157" s="52">
        <f>IF(AND(COUNTA($A157:$L157)&gt;0,$A157&lt;&gt;""),IF(COUNTIF(Inventory_Ledger!$A$2:$A$2001,$A157)&gt;0,1,0),0)</f>
        <v>0</v>
      </c>
      <c r="Z157" s="52">
        <f>IF(AND(COUNTA($A157:$L157)&gt;0,$B157=""),1,0)</f>
        <v>0</v>
      </c>
      <c r="AA157" s="52">
        <f>IF(AND(COUNTA($A157:$L157)&gt;0,$B157&lt;&gt;""),IF($M157="ERR",1,0),0)</f>
        <v>0</v>
      </c>
      <c r="AB157" s="52">
        <f>IF(AND(COUNTA($A157:$L157)&gt;0,ISNUMBER($M157)),IF($M157&gt;Config!$B$4,1,0),0)</f>
        <v>0</v>
      </c>
      <c r="AC157" s="52">
        <f>IF(AND(COUNTA($A157:$L157)&gt;0,$C157=""),1,0)</f>
        <v>0</v>
      </c>
      <c r="AD157" s="52">
        <f>IF(AND(COUNTA($A157:$L157)&gt;0,$C157&lt;&gt;""),IF(COUNTIF(Config!$A$15:$A$34,$C157)=0,1,0),0)</f>
        <v>0</v>
      </c>
      <c r="AE157" s="52">
        <f>IF(AND(COUNTA($A157:$L157)&gt;0,$D157=""),1,0)</f>
        <v>0</v>
      </c>
      <c r="AF157" s="52">
        <f>IF(AND(COUNTA($A157:$L157)&gt;0,$D157&lt;&gt;""),IF(COUNTIF(Products!$A$2:$A$101,$D157)=0,1,0),0)</f>
        <v>0</v>
      </c>
      <c r="AG157" s="52">
        <f>IF(AND(COUNTA($A157:$L157)&gt;0,$C157="Receipt",$E157=""),1,0)</f>
        <v>0</v>
      </c>
      <c r="AH157" s="52">
        <f>IF(AND(COUNTA($A157:$L157)&gt;0,$E157&lt;&gt;""),IF(COUNTIF(Suppliers!$A$2:$A$51,$E157)=0,1,0),0)</f>
        <v>0</v>
      </c>
      <c r="AI157" s="52">
        <f>IF(AND(COUNTA($A157:$L157)&gt;0,$F157=""),1,0)</f>
        <v>0</v>
      </c>
      <c r="AJ157" s="52">
        <f>IF(AND(COUNTA($A157:$L157)&gt;0,$F157&lt;&gt;"",$D157&lt;&gt;"",OR($C157="Shipment",$C157="Adjustment")),IF($AF157=1,0,IF(COUNTIFS(Batches!$A$2:$A$301,$F157,Batches!$B$2:$B$301,$D157)+COUNTIFS($F$1:$F156,$F157,$D$1:$D156,$D157,$C$1:$C156,"Receipt")=0,1,0)),0)</f>
        <v>0</v>
      </c>
      <c r="AK157" s="52">
        <f>IF(AND(COUNTA($A157:$L157)&gt;0,$C157="Receipt",$G157=""),1,0)</f>
        <v>0</v>
      </c>
      <c r="AL157" s="52">
        <f>IF(AND(COUNTA($A157:$L157)&gt;0,$G157&lt;&gt;""),IF($N157="ERR",1,0),0)</f>
        <v>0</v>
      </c>
      <c r="AM157" s="52">
        <f>IF(AND(COUNTA($A157:$L157)&gt;0,$H157=""),1,0)</f>
        <v>0</v>
      </c>
      <c r="AN157" s="52">
        <f>IF(AND(COUNTA($A157:$L157)&gt;0,$H157&lt;&gt;""),IF($O157="ERR",1,IF(INT($O157)&lt;&gt;$O157,1,IF(AND(OR($C157="Receipt",$C157="Shipment"),$O157&lt;=0),1,IF(AND($C157="Adjustment",$O157=0),1,0)))),0)</f>
        <v>0</v>
      </c>
      <c r="AO157" s="52">
        <f>IF(AND(COUNTA($A157:$L157)&gt;0,$C157="Receipt",$I157=""),1,0)</f>
        <v>0</v>
      </c>
      <c r="AP157" s="52">
        <f>IF(AND(COUNTA($A157:$L157)&gt;0,$I157&lt;&gt;""),IF(IFERROR(INDEX(Config!$G$15:$G$34,MATCH($I157,Config!$E$15:$E$34,0)),"No")="Yes",0,1),0)</f>
        <v>0</v>
      </c>
      <c r="AQ157" s="52">
        <f>IF(AND(COUNTA($A157:$L157)&gt;0,$C157="Adjustment",$J157=""),1,0)</f>
        <v>0</v>
      </c>
      <c r="AR157" s="52">
        <f>IF(AND(COUNTA($A157:$L157)&gt;0,$L157=""),1,0)</f>
        <v>0</v>
      </c>
      <c r="AS157" s="52">
        <f>IF(AND(COUNTA($A157:$L157)&gt;0,ISNUMBER($S157)),IF($S157&lt;0,1,0),0)</f>
        <v>0</v>
      </c>
      <c r="AT157" s="52">
        <f>$W157</f>
        <v>0</v>
      </c>
      <c r="AU157" s="52">
        <f>$AT157+$X157</f>
        <v>0</v>
      </c>
      <c r="AV157" s="52">
        <f>$AU157+$Y157</f>
        <v>0</v>
      </c>
      <c r="AW157" s="52">
        <f>$AV157+$Z157</f>
        <v>0</v>
      </c>
      <c r="AX157" s="52">
        <f>$AW157+$AA157</f>
        <v>0</v>
      </c>
      <c r="AY157" s="52">
        <f>$AX157+$AB157</f>
        <v>0</v>
      </c>
      <c r="AZ157" s="52">
        <f>$AY157+$AC157</f>
        <v>0</v>
      </c>
      <c r="BA157" s="52">
        <f>$AZ157+$AD157</f>
        <v>0</v>
      </c>
      <c r="BB157" s="52">
        <f>$BA157+$AE157</f>
        <v>0</v>
      </c>
      <c r="BC157" s="52">
        <f>$BB157+$AF157</f>
        <v>0</v>
      </c>
      <c r="BD157" s="52">
        <f>$BC157+$AG157</f>
        <v>0</v>
      </c>
      <c r="BE157" s="52">
        <f>$BD157+$AH157</f>
        <v>0</v>
      </c>
      <c r="BF157" s="52">
        <f>$BE157+$AI157</f>
        <v>0</v>
      </c>
      <c r="BG157" s="52">
        <f>$BF157+$AJ157</f>
        <v>0</v>
      </c>
      <c r="BH157" s="52">
        <f>$BG157+$AK157</f>
        <v>0</v>
      </c>
      <c r="BI157" s="52">
        <f>$BH157+$AL157</f>
        <v>0</v>
      </c>
      <c r="BJ157" s="52">
        <f>$BI157+$AM157</f>
        <v>0</v>
      </c>
      <c r="BK157" s="52">
        <f>$BJ157+$AN157</f>
        <v>0</v>
      </c>
      <c r="BL157" s="52">
        <f>$BK157+$AO157</f>
        <v>0</v>
      </c>
      <c r="BM157" s="52">
        <f>$BL157+$AP157</f>
        <v>0</v>
      </c>
      <c r="BN157" s="52">
        <f>$BM157+$AQ157</f>
        <v>0</v>
      </c>
      <c r="BO157" s="52">
        <f>$BN157+$AR157</f>
        <v>0</v>
      </c>
      <c r="BP157" s="52">
        <f>$BO157+$AS157</f>
        <v>0</v>
      </c>
      <c r="BQ157" s="52">
        <f>SUM($T$1:$T156)</f>
        <v>11</v>
      </c>
      <c r="BR157" s="52" t="str">
        <f>IF(ISNUMBER($T157),IF($T157&gt;0,COUNTIF($T$2:$T157,"&gt;0"),""),"")</f>
        <v/>
      </c>
      <c r="BS157" s="52" t="str">
        <f>IF($BR157="","",$BQ157+$T157)</f>
        <v/>
      </c>
      <c r="BT157" s="52" t="str">
        <f>IF($U157="Ready",COUNTIF($U$2:$U157,"Ready"),"")</f>
        <v/>
      </c>
      <c r="BU157" s="52">
        <f>IF(AND($U157="Ready",$C157="Receipt"),IF(COUNTIF(Batches!$A$2:$A$301,$F157)+COUNTIFS($F$1:$F156,$F157,$C$1:$C156,"Receipt",$U$1:$U156,"Ready")=0,1,0),0)</f>
        <v>0</v>
      </c>
      <c r="BV157" s="52" t="str">
        <f>IF($BU157=1,SUM($BU$2:$BU157),"")</f>
        <v/>
      </c>
    </row>
    <row r="158">
      <c r="A158" s="46" t="n"/>
      <c r="B158" s="46" t="n"/>
      <c r="C158" s="46" t="n"/>
      <c r="D158" s="46" t="n"/>
      <c r="E158" s="46" t="n"/>
      <c r="F158" s="46" t="n"/>
      <c r="G158" s="46" t="n"/>
      <c r="H158" s="46" t="n"/>
      <c r="I158" s="46" t="n"/>
      <c r="J158" s="46" t="n"/>
      <c r="K158" s="46" t="n"/>
      <c r="L158" s="46" t="n"/>
      <c r="M158" s="62" t="str">
        <f>IF($B158="","",IF(ISNUMBER($B158),$B158,IF(AND(LEN($B158)=10,MID($B158,5,1)="-",MID($B158,8,1)="-"),IFERROR(IF(AND(MONTH(DATE(VALUE(LEFT($B158,4)),VALUE(MID($B158,6,2)),VALUE(RIGHT($B158,2))))=VALUE(MID($B158,6,2)),DAY(DATE(VALUE(LEFT($B158,4)),VALUE(MID($B158,6,2)),VALUE(RIGHT($B158,2))))=VALUE(RIGHT($B158,2))),DATE(VALUE(LEFT($B158,4)),VALUE(MID($B158,6,2)),VALUE(RIGHT($B158,2))),"ERR"),"ERR"),"ERR")))</f>
        <v/>
      </c>
      <c r="N158" s="62" t="str">
        <f>IF($G158="","",IF(ISNUMBER($G158),$G158,IF(AND(LEN($G158)=10,MID($G158,5,1)="-",MID($G158,8,1)="-"),IFERROR(IF(AND(MONTH(DATE(VALUE(LEFT($G158,4)),VALUE(MID($G158,6,2)),VALUE(RIGHT($G158,2))))=VALUE(MID($G158,6,2)),DAY(DATE(VALUE(LEFT($G158,4)),VALUE(MID($G158,6,2)),VALUE(RIGHT($G158,2))))=VALUE(RIGHT($G158,2))),DATE(VALUE(LEFT($G158,4)),VALUE(MID($G158,6,2)),VALUE(RIGHT($G158,2))),"ERR"),"ERR"),"ERR")))</f>
        <v/>
      </c>
      <c r="O158" s="51" t="str">
        <f>IF($H158="","",IF(ISNUMBER($H158),$H158,IFERROR(VALUE($H158),"ERR")))</f>
        <v/>
      </c>
      <c r="P158" s="51" t="str">
        <f>IF(AND(ISNUMBER($O158),OR($C158="Receipt",$C158="Shipment",$C158="Adjustment")),IF($C158="Shipment",-$O158,$O158),"")</f>
        <v/>
      </c>
      <c r="Q158" s="51" t="str">
        <f>IF($D158="","",IFERROR(INDEX(Products!$R$2:$R$101,MATCH($D158,Products!$A$2:$A$101,0)),""))</f>
        <v/>
      </c>
      <c r="R158" s="51" t="str">
        <f>IF(OR($Q158="",$P158=""),"",$Q158+SUMIFS($P$1:$P157,$D$1:$D157,$D158,$U$1:$U157,"Ready"))</f>
        <v/>
      </c>
      <c r="S158" s="51" t="str">
        <f>IF($R158="","",$R158+$P158)</f>
        <v/>
      </c>
      <c r="T158" s="52" t="str">
        <f>IF(COUNTA($A158:$L158)&gt;0,$BP158,"")</f>
        <v/>
      </c>
      <c r="U158" s="49" t="str">
        <f>IF($T158="","",IF($T158=0,"Ready","Rejected"))</f>
        <v/>
      </c>
      <c r="V158" s="49" t="str">
        <f>IF(OR($T158="",$T158=0),"",INDEX(Config!$D$39:$D$61,MATCH(1,$AT158:$BP158,0))&amp;IF($T158&gt;1," (+"&amp;($T158-1)&amp;" more)",""))</f>
        <v/>
      </c>
      <c r="W158" s="52">
        <f>IF(AND(COUNTA($A158:$L158)&gt;0,$A158=""),1,0)</f>
        <v>0</v>
      </c>
      <c r="X158" s="52">
        <f>IF(AND(COUNTA($A158:$L158)&gt;0,$A158&lt;&gt;""),IF(COUNTIF($A$1:$A157,$A158)&gt;0,1,0),0)</f>
        <v>0</v>
      </c>
      <c r="Y158" s="52">
        <f>IF(AND(COUNTA($A158:$L158)&gt;0,$A158&lt;&gt;""),IF(COUNTIF(Inventory_Ledger!$A$2:$A$2001,$A158)&gt;0,1,0),0)</f>
        <v>0</v>
      </c>
      <c r="Z158" s="52">
        <f>IF(AND(COUNTA($A158:$L158)&gt;0,$B158=""),1,0)</f>
        <v>0</v>
      </c>
      <c r="AA158" s="52">
        <f>IF(AND(COUNTA($A158:$L158)&gt;0,$B158&lt;&gt;""),IF($M158="ERR",1,0),0)</f>
        <v>0</v>
      </c>
      <c r="AB158" s="52">
        <f>IF(AND(COUNTA($A158:$L158)&gt;0,ISNUMBER($M158)),IF($M158&gt;Config!$B$4,1,0),0)</f>
        <v>0</v>
      </c>
      <c r="AC158" s="52">
        <f>IF(AND(COUNTA($A158:$L158)&gt;0,$C158=""),1,0)</f>
        <v>0</v>
      </c>
      <c r="AD158" s="52">
        <f>IF(AND(COUNTA($A158:$L158)&gt;0,$C158&lt;&gt;""),IF(COUNTIF(Config!$A$15:$A$34,$C158)=0,1,0),0)</f>
        <v>0</v>
      </c>
      <c r="AE158" s="52">
        <f>IF(AND(COUNTA($A158:$L158)&gt;0,$D158=""),1,0)</f>
        <v>0</v>
      </c>
      <c r="AF158" s="52">
        <f>IF(AND(COUNTA($A158:$L158)&gt;0,$D158&lt;&gt;""),IF(COUNTIF(Products!$A$2:$A$101,$D158)=0,1,0),0)</f>
        <v>0</v>
      </c>
      <c r="AG158" s="52">
        <f>IF(AND(COUNTA($A158:$L158)&gt;0,$C158="Receipt",$E158=""),1,0)</f>
        <v>0</v>
      </c>
      <c r="AH158" s="52">
        <f>IF(AND(COUNTA($A158:$L158)&gt;0,$E158&lt;&gt;""),IF(COUNTIF(Suppliers!$A$2:$A$51,$E158)=0,1,0),0)</f>
        <v>0</v>
      </c>
      <c r="AI158" s="52">
        <f>IF(AND(COUNTA($A158:$L158)&gt;0,$F158=""),1,0)</f>
        <v>0</v>
      </c>
      <c r="AJ158" s="52">
        <f>IF(AND(COUNTA($A158:$L158)&gt;0,$F158&lt;&gt;"",$D158&lt;&gt;"",OR($C158="Shipment",$C158="Adjustment")),IF($AF158=1,0,IF(COUNTIFS(Batches!$A$2:$A$301,$F158,Batches!$B$2:$B$301,$D158)+COUNTIFS($F$1:$F157,$F158,$D$1:$D157,$D158,$C$1:$C157,"Receipt")=0,1,0)),0)</f>
        <v>0</v>
      </c>
      <c r="AK158" s="52">
        <f>IF(AND(COUNTA($A158:$L158)&gt;0,$C158="Receipt",$G158=""),1,0)</f>
        <v>0</v>
      </c>
      <c r="AL158" s="52">
        <f>IF(AND(COUNTA($A158:$L158)&gt;0,$G158&lt;&gt;""),IF($N158="ERR",1,0),0)</f>
        <v>0</v>
      </c>
      <c r="AM158" s="52">
        <f>IF(AND(COUNTA($A158:$L158)&gt;0,$H158=""),1,0)</f>
        <v>0</v>
      </c>
      <c r="AN158" s="52">
        <f>IF(AND(COUNTA($A158:$L158)&gt;0,$H158&lt;&gt;""),IF($O158="ERR",1,IF(INT($O158)&lt;&gt;$O158,1,IF(AND(OR($C158="Receipt",$C158="Shipment"),$O158&lt;=0),1,IF(AND($C158="Adjustment",$O158=0),1,0)))),0)</f>
        <v>0</v>
      </c>
      <c r="AO158" s="52">
        <f>IF(AND(COUNTA($A158:$L158)&gt;0,$C158="Receipt",$I158=""),1,0)</f>
        <v>0</v>
      </c>
      <c r="AP158" s="52">
        <f>IF(AND(COUNTA($A158:$L158)&gt;0,$I158&lt;&gt;""),IF(IFERROR(INDEX(Config!$G$15:$G$34,MATCH($I158,Config!$E$15:$E$34,0)),"No")="Yes",0,1),0)</f>
        <v>0</v>
      </c>
      <c r="AQ158" s="52">
        <f>IF(AND(COUNTA($A158:$L158)&gt;0,$C158="Adjustment",$J158=""),1,0)</f>
        <v>0</v>
      </c>
      <c r="AR158" s="52">
        <f>IF(AND(COUNTA($A158:$L158)&gt;0,$L158=""),1,0)</f>
        <v>0</v>
      </c>
      <c r="AS158" s="52">
        <f>IF(AND(COUNTA($A158:$L158)&gt;0,ISNUMBER($S158)),IF($S158&lt;0,1,0),0)</f>
        <v>0</v>
      </c>
      <c r="AT158" s="52">
        <f>$W158</f>
        <v>0</v>
      </c>
      <c r="AU158" s="52">
        <f>$AT158+$X158</f>
        <v>0</v>
      </c>
      <c r="AV158" s="52">
        <f>$AU158+$Y158</f>
        <v>0</v>
      </c>
      <c r="AW158" s="52">
        <f>$AV158+$Z158</f>
        <v>0</v>
      </c>
      <c r="AX158" s="52">
        <f>$AW158+$AA158</f>
        <v>0</v>
      </c>
      <c r="AY158" s="52">
        <f>$AX158+$AB158</f>
        <v>0</v>
      </c>
      <c r="AZ158" s="52">
        <f>$AY158+$AC158</f>
        <v>0</v>
      </c>
      <c r="BA158" s="52">
        <f>$AZ158+$AD158</f>
        <v>0</v>
      </c>
      <c r="BB158" s="52">
        <f>$BA158+$AE158</f>
        <v>0</v>
      </c>
      <c r="BC158" s="52">
        <f>$BB158+$AF158</f>
        <v>0</v>
      </c>
      <c r="BD158" s="52">
        <f>$BC158+$AG158</f>
        <v>0</v>
      </c>
      <c r="BE158" s="52">
        <f>$BD158+$AH158</f>
        <v>0</v>
      </c>
      <c r="BF158" s="52">
        <f>$BE158+$AI158</f>
        <v>0</v>
      </c>
      <c r="BG158" s="52">
        <f>$BF158+$AJ158</f>
        <v>0</v>
      </c>
      <c r="BH158" s="52">
        <f>$BG158+$AK158</f>
        <v>0</v>
      </c>
      <c r="BI158" s="52">
        <f>$BH158+$AL158</f>
        <v>0</v>
      </c>
      <c r="BJ158" s="52">
        <f>$BI158+$AM158</f>
        <v>0</v>
      </c>
      <c r="BK158" s="52">
        <f>$BJ158+$AN158</f>
        <v>0</v>
      </c>
      <c r="BL158" s="52">
        <f>$BK158+$AO158</f>
        <v>0</v>
      </c>
      <c r="BM158" s="52">
        <f>$BL158+$AP158</f>
        <v>0</v>
      </c>
      <c r="BN158" s="52">
        <f>$BM158+$AQ158</f>
        <v>0</v>
      </c>
      <c r="BO158" s="52">
        <f>$BN158+$AR158</f>
        <v>0</v>
      </c>
      <c r="BP158" s="52">
        <f>$BO158+$AS158</f>
        <v>0</v>
      </c>
      <c r="BQ158" s="52">
        <f>SUM($T$1:$T157)</f>
        <v>11</v>
      </c>
      <c r="BR158" s="52" t="str">
        <f>IF(ISNUMBER($T158),IF($T158&gt;0,COUNTIF($T$2:$T158,"&gt;0"),""),"")</f>
        <v/>
      </c>
      <c r="BS158" s="52" t="str">
        <f>IF($BR158="","",$BQ158+$T158)</f>
        <v/>
      </c>
      <c r="BT158" s="52" t="str">
        <f>IF($U158="Ready",COUNTIF($U$2:$U158,"Ready"),"")</f>
        <v/>
      </c>
      <c r="BU158" s="52">
        <f>IF(AND($U158="Ready",$C158="Receipt"),IF(COUNTIF(Batches!$A$2:$A$301,$F158)+COUNTIFS($F$1:$F157,$F158,$C$1:$C157,"Receipt",$U$1:$U157,"Ready")=0,1,0),0)</f>
        <v>0</v>
      </c>
      <c r="BV158" s="52" t="str">
        <f>IF($BU158=1,SUM($BU$2:$BU158),"")</f>
        <v/>
      </c>
    </row>
    <row r="159">
      <c r="A159" s="46" t="n"/>
      <c r="B159" s="46" t="n"/>
      <c r="C159" s="46" t="n"/>
      <c r="D159" s="46" t="n"/>
      <c r="E159" s="46" t="n"/>
      <c r="F159" s="46" t="n"/>
      <c r="G159" s="46" t="n"/>
      <c r="H159" s="46" t="n"/>
      <c r="I159" s="46" t="n"/>
      <c r="J159" s="46" t="n"/>
      <c r="K159" s="46" t="n"/>
      <c r="L159" s="46" t="n"/>
      <c r="M159" s="62" t="str">
        <f>IF($B159="","",IF(ISNUMBER($B159),$B159,IF(AND(LEN($B159)=10,MID($B159,5,1)="-",MID($B159,8,1)="-"),IFERROR(IF(AND(MONTH(DATE(VALUE(LEFT($B159,4)),VALUE(MID($B159,6,2)),VALUE(RIGHT($B159,2))))=VALUE(MID($B159,6,2)),DAY(DATE(VALUE(LEFT($B159,4)),VALUE(MID($B159,6,2)),VALUE(RIGHT($B159,2))))=VALUE(RIGHT($B159,2))),DATE(VALUE(LEFT($B159,4)),VALUE(MID($B159,6,2)),VALUE(RIGHT($B159,2))),"ERR"),"ERR"),"ERR")))</f>
        <v/>
      </c>
      <c r="N159" s="62" t="str">
        <f>IF($G159="","",IF(ISNUMBER($G159),$G159,IF(AND(LEN($G159)=10,MID($G159,5,1)="-",MID($G159,8,1)="-"),IFERROR(IF(AND(MONTH(DATE(VALUE(LEFT($G159,4)),VALUE(MID($G159,6,2)),VALUE(RIGHT($G159,2))))=VALUE(MID($G159,6,2)),DAY(DATE(VALUE(LEFT($G159,4)),VALUE(MID($G159,6,2)),VALUE(RIGHT($G159,2))))=VALUE(RIGHT($G159,2))),DATE(VALUE(LEFT($G159,4)),VALUE(MID($G159,6,2)),VALUE(RIGHT($G159,2))),"ERR"),"ERR"),"ERR")))</f>
        <v/>
      </c>
      <c r="O159" s="51" t="str">
        <f>IF($H159="","",IF(ISNUMBER($H159),$H159,IFERROR(VALUE($H159),"ERR")))</f>
        <v/>
      </c>
      <c r="P159" s="51" t="str">
        <f>IF(AND(ISNUMBER($O159),OR($C159="Receipt",$C159="Shipment",$C159="Adjustment")),IF($C159="Shipment",-$O159,$O159),"")</f>
        <v/>
      </c>
      <c r="Q159" s="51" t="str">
        <f>IF($D159="","",IFERROR(INDEX(Products!$R$2:$R$101,MATCH($D159,Products!$A$2:$A$101,0)),""))</f>
        <v/>
      </c>
      <c r="R159" s="51" t="str">
        <f>IF(OR($Q159="",$P159=""),"",$Q159+SUMIFS($P$1:$P158,$D$1:$D158,$D159,$U$1:$U158,"Ready"))</f>
        <v/>
      </c>
      <c r="S159" s="51" t="str">
        <f>IF($R159="","",$R159+$P159)</f>
        <v/>
      </c>
      <c r="T159" s="52" t="str">
        <f>IF(COUNTA($A159:$L159)&gt;0,$BP159,"")</f>
        <v/>
      </c>
      <c r="U159" s="49" t="str">
        <f>IF($T159="","",IF($T159=0,"Ready","Rejected"))</f>
        <v/>
      </c>
      <c r="V159" s="49" t="str">
        <f>IF(OR($T159="",$T159=0),"",INDEX(Config!$D$39:$D$61,MATCH(1,$AT159:$BP159,0))&amp;IF($T159&gt;1," (+"&amp;($T159-1)&amp;" more)",""))</f>
        <v/>
      </c>
      <c r="W159" s="52">
        <f>IF(AND(COUNTA($A159:$L159)&gt;0,$A159=""),1,0)</f>
        <v>0</v>
      </c>
      <c r="X159" s="52">
        <f>IF(AND(COUNTA($A159:$L159)&gt;0,$A159&lt;&gt;""),IF(COUNTIF($A$1:$A158,$A159)&gt;0,1,0),0)</f>
        <v>0</v>
      </c>
      <c r="Y159" s="52">
        <f>IF(AND(COUNTA($A159:$L159)&gt;0,$A159&lt;&gt;""),IF(COUNTIF(Inventory_Ledger!$A$2:$A$2001,$A159)&gt;0,1,0),0)</f>
        <v>0</v>
      </c>
      <c r="Z159" s="52">
        <f>IF(AND(COUNTA($A159:$L159)&gt;0,$B159=""),1,0)</f>
        <v>0</v>
      </c>
      <c r="AA159" s="52">
        <f>IF(AND(COUNTA($A159:$L159)&gt;0,$B159&lt;&gt;""),IF($M159="ERR",1,0),0)</f>
        <v>0</v>
      </c>
      <c r="AB159" s="52">
        <f>IF(AND(COUNTA($A159:$L159)&gt;0,ISNUMBER($M159)),IF($M159&gt;Config!$B$4,1,0),0)</f>
        <v>0</v>
      </c>
      <c r="AC159" s="52">
        <f>IF(AND(COUNTA($A159:$L159)&gt;0,$C159=""),1,0)</f>
        <v>0</v>
      </c>
      <c r="AD159" s="52">
        <f>IF(AND(COUNTA($A159:$L159)&gt;0,$C159&lt;&gt;""),IF(COUNTIF(Config!$A$15:$A$34,$C159)=0,1,0),0)</f>
        <v>0</v>
      </c>
      <c r="AE159" s="52">
        <f>IF(AND(COUNTA($A159:$L159)&gt;0,$D159=""),1,0)</f>
        <v>0</v>
      </c>
      <c r="AF159" s="52">
        <f>IF(AND(COUNTA($A159:$L159)&gt;0,$D159&lt;&gt;""),IF(COUNTIF(Products!$A$2:$A$101,$D159)=0,1,0),0)</f>
        <v>0</v>
      </c>
      <c r="AG159" s="52">
        <f>IF(AND(COUNTA($A159:$L159)&gt;0,$C159="Receipt",$E159=""),1,0)</f>
        <v>0</v>
      </c>
      <c r="AH159" s="52">
        <f>IF(AND(COUNTA($A159:$L159)&gt;0,$E159&lt;&gt;""),IF(COUNTIF(Suppliers!$A$2:$A$51,$E159)=0,1,0),0)</f>
        <v>0</v>
      </c>
      <c r="AI159" s="52">
        <f>IF(AND(COUNTA($A159:$L159)&gt;0,$F159=""),1,0)</f>
        <v>0</v>
      </c>
      <c r="AJ159" s="52">
        <f>IF(AND(COUNTA($A159:$L159)&gt;0,$F159&lt;&gt;"",$D159&lt;&gt;"",OR($C159="Shipment",$C159="Adjustment")),IF($AF159=1,0,IF(COUNTIFS(Batches!$A$2:$A$301,$F159,Batches!$B$2:$B$301,$D159)+COUNTIFS($F$1:$F158,$F159,$D$1:$D158,$D159,$C$1:$C158,"Receipt")=0,1,0)),0)</f>
        <v>0</v>
      </c>
      <c r="AK159" s="52">
        <f>IF(AND(COUNTA($A159:$L159)&gt;0,$C159="Receipt",$G159=""),1,0)</f>
        <v>0</v>
      </c>
      <c r="AL159" s="52">
        <f>IF(AND(COUNTA($A159:$L159)&gt;0,$G159&lt;&gt;""),IF($N159="ERR",1,0),0)</f>
        <v>0</v>
      </c>
      <c r="AM159" s="52">
        <f>IF(AND(COUNTA($A159:$L159)&gt;0,$H159=""),1,0)</f>
        <v>0</v>
      </c>
      <c r="AN159" s="52">
        <f>IF(AND(COUNTA($A159:$L159)&gt;0,$H159&lt;&gt;""),IF($O159="ERR",1,IF(INT($O159)&lt;&gt;$O159,1,IF(AND(OR($C159="Receipt",$C159="Shipment"),$O159&lt;=0),1,IF(AND($C159="Adjustment",$O159=0),1,0)))),0)</f>
        <v>0</v>
      </c>
      <c r="AO159" s="52">
        <f>IF(AND(COUNTA($A159:$L159)&gt;0,$C159="Receipt",$I159=""),1,0)</f>
        <v>0</v>
      </c>
      <c r="AP159" s="52">
        <f>IF(AND(COUNTA($A159:$L159)&gt;0,$I159&lt;&gt;""),IF(IFERROR(INDEX(Config!$G$15:$G$34,MATCH($I159,Config!$E$15:$E$34,0)),"No")="Yes",0,1),0)</f>
        <v>0</v>
      </c>
      <c r="AQ159" s="52">
        <f>IF(AND(COUNTA($A159:$L159)&gt;0,$C159="Adjustment",$J159=""),1,0)</f>
        <v>0</v>
      </c>
      <c r="AR159" s="52">
        <f>IF(AND(COUNTA($A159:$L159)&gt;0,$L159=""),1,0)</f>
        <v>0</v>
      </c>
      <c r="AS159" s="52">
        <f>IF(AND(COUNTA($A159:$L159)&gt;0,ISNUMBER($S159)),IF($S159&lt;0,1,0),0)</f>
        <v>0</v>
      </c>
      <c r="AT159" s="52">
        <f>$W159</f>
        <v>0</v>
      </c>
      <c r="AU159" s="52">
        <f>$AT159+$X159</f>
        <v>0</v>
      </c>
      <c r="AV159" s="52">
        <f>$AU159+$Y159</f>
        <v>0</v>
      </c>
      <c r="AW159" s="52">
        <f>$AV159+$Z159</f>
        <v>0</v>
      </c>
      <c r="AX159" s="52">
        <f>$AW159+$AA159</f>
        <v>0</v>
      </c>
      <c r="AY159" s="52">
        <f>$AX159+$AB159</f>
        <v>0</v>
      </c>
      <c r="AZ159" s="52">
        <f>$AY159+$AC159</f>
        <v>0</v>
      </c>
      <c r="BA159" s="52">
        <f>$AZ159+$AD159</f>
        <v>0</v>
      </c>
      <c r="BB159" s="52">
        <f>$BA159+$AE159</f>
        <v>0</v>
      </c>
      <c r="BC159" s="52">
        <f>$BB159+$AF159</f>
        <v>0</v>
      </c>
      <c r="BD159" s="52">
        <f>$BC159+$AG159</f>
        <v>0</v>
      </c>
      <c r="BE159" s="52">
        <f>$BD159+$AH159</f>
        <v>0</v>
      </c>
      <c r="BF159" s="52">
        <f>$BE159+$AI159</f>
        <v>0</v>
      </c>
      <c r="BG159" s="52">
        <f>$BF159+$AJ159</f>
        <v>0</v>
      </c>
      <c r="BH159" s="52">
        <f>$BG159+$AK159</f>
        <v>0</v>
      </c>
      <c r="BI159" s="52">
        <f>$BH159+$AL159</f>
        <v>0</v>
      </c>
      <c r="BJ159" s="52">
        <f>$BI159+$AM159</f>
        <v>0</v>
      </c>
      <c r="BK159" s="52">
        <f>$BJ159+$AN159</f>
        <v>0</v>
      </c>
      <c r="BL159" s="52">
        <f>$BK159+$AO159</f>
        <v>0</v>
      </c>
      <c r="BM159" s="52">
        <f>$BL159+$AP159</f>
        <v>0</v>
      </c>
      <c r="BN159" s="52">
        <f>$BM159+$AQ159</f>
        <v>0</v>
      </c>
      <c r="BO159" s="52">
        <f>$BN159+$AR159</f>
        <v>0</v>
      </c>
      <c r="BP159" s="52">
        <f>$BO159+$AS159</f>
        <v>0</v>
      </c>
      <c r="BQ159" s="52">
        <f>SUM($T$1:$T158)</f>
        <v>11</v>
      </c>
      <c r="BR159" s="52" t="str">
        <f>IF(ISNUMBER($T159),IF($T159&gt;0,COUNTIF($T$2:$T159,"&gt;0"),""),"")</f>
        <v/>
      </c>
      <c r="BS159" s="52" t="str">
        <f>IF($BR159="","",$BQ159+$T159)</f>
        <v/>
      </c>
      <c r="BT159" s="52" t="str">
        <f>IF($U159="Ready",COUNTIF($U$2:$U159,"Ready"),"")</f>
        <v/>
      </c>
      <c r="BU159" s="52">
        <f>IF(AND($U159="Ready",$C159="Receipt"),IF(COUNTIF(Batches!$A$2:$A$301,$F159)+COUNTIFS($F$1:$F158,$F159,$C$1:$C158,"Receipt",$U$1:$U158,"Ready")=0,1,0),0)</f>
        <v>0</v>
      </c>
      <c r="BV159" s="52" t="str">
        <f>IF($BU159=1,SUM($BU$2:$BU159),"")</f>
        <v/>
      </c>
    </row>
    <row r="160">
      <c r="A160" s="46" t="n"/>
      <c r="B160" s="46" t="n"/>
      <c r="C160" s="46" t="n"/>
      <c r="D160" s="46" t="n"/>
      <c r="E160" s="46" t="n"/>
      <c r="F160" s="46" t="n"/>
      <c r="G160" s="46" t="n"/>
      <c r="H160" s="46" t="n"/>
      <c r="I160" s="46" t="n"/>
      <c r="J160" s="46" t="n"/>
      <c r="K160" s="46" t="n"/>
      <c r="L160" s="46" t="n"/>
      <c r="M160" s="62" t="str">
        <f>IF($B160="","",IF(ISNUMBER($B160),$B160,IF(AND(LEN($B160)=10,MID($B160,5,1)="-",MID($B160,8,1)="-"),IFERROR(IF(AND(MONTH(DATE(VALUE(LEFT($B160,4)),VALUE(MID($B160,6,2)),VALUE(RIGHT($B160,2))))=VALUE(MID($B160,6,2)),DAY(DATE(VALUE(LEFT($B160,4)),VALUE(MID($B160,6,2)),VALUE(RIGHT($B160,2))))=VALUE(RIGHT($B160,2))),DATE(VALUE(LEFT($B160,4)),VALUE(MID($B160,6,2)),VALUE(RIGHT($B160,2))),"ERR"),"ERR"),"ERR")))</f>
        <v/>
      </c>
      <c r="N160" s="62" t="str">
        <f>IF($G160="","",IF(ISNUMBER($G160),$G160,IF(AND(LEN($G160)=10,MID($G160,5,1)="-",MID($G160,8,1)="-"),IFERROR(IF(AND(MONTH(DATE(VALUE(LEFT($G160,4)),VALUE(MID($G160,6,2)),VALUE(RIGHT($G160,2))))=VALUE(MID($G160,6,2)),DAY(DATE(VALUE(LEFT($G160,4)),VALUE(MID($G160,6,2)),VALUE(RIGHT($G160,2))))=VALUE(RIGHT($G160,2))),DATE(VALUE(LEFT($G160,4)),VALUE(MID($G160,6,2)),VALUE(RIGHT($G160,2))),"ERR"),"ERR"),"ERR")))</f>
        <v/>
      </c>
      <c r="O160" s="51" t="str">
        <f>IF($H160="","",IF(ISNUMBER($H160),$H160,IFERROR(VALUE($H160),"ERR")))</f>
        <v/>
      </c>
      <c r="P160" s="51" t="str">
        <f>IF(AND(ISNUMBER($O160),OR($C160="Receipt",$C160="Shipment",$C160="Adjustment")),IF($C160="Shipment",-$O160,$O160),"")</f>
        <v/>
      </c>
      <c r="Q160" s="51" t="str">
        <f>IF($D160="","",IFERROR(INDEX(Products!$R$2:$R$101,MATCH($D160,Products!$A$2:$A$101,0)),""))</f>
        <v/>
      </c>
      <c r="R160" s="51" t="str">
        <f>IF(OR($Q160="",$P160=""),"",$Q160+SUMIFS($P$1:$P159,$D$1:$D159,$D160,$U$1:$U159,"Ready"))</f>
        <v/>
      </c>
      <c r="S160" s="51" t="str">
        <f>IF($R160="","",$R160+$P160)</f>
        <v/>
      </c>
      <c r="T160" s="52" t="str">
        <f>IF(COUNTA($A160:$L160)&gt;0,$BP160,"")</f>
        <v/>
      </c>
      <c r="U160" s="49" t="str">
        <f>IF($T160="","",IF($T160=0,"Ready","Rejected"))</f>
        <v/>
      </c>
      <c r="V160" s="49" t="str">
        <f>IF(OR($T160="",$T160=0),"",INDEX(Config!$D$39:$D$61,MATCH(1,$AT160:$BP160,0))&amp;IF($T160&gt;1," (+"&amp;($T160-1)&amp;" more)",""))</f>
        <v/>
      </c>
      <c r="W160" s="52">
        <f>IF(AND(COUNTA($A160:$L160)&gt;0,$A160=""),1,0)</f>
        <v>0</v>
      </c>
      <c r="X160" s="52">
        <f>IF(AND(COUNTA($A160:$L160)&gt;0,$A160&lt;&gt;""),IF(COUNTIF($A$1:$A159,$A160)&gt;0,1,0),0)</f>
        <v>0</v>
      </c>
      <c r="Y160" s="52">
        <f>IF(AND(COUNTA($A160:$L160)&gt;0,$A160&lt;&gt;""),IF(COUNTIF(Inventory_Ledger!$A$2:$A$2001,$A160)&gt;0,1,0),0)</f>
        <v>0</v>
      </c>
      <c r="Z160" s="52">
        <f>IF(AND(COUNTA($A160:$L160)&gt;0,$B160=""),1,0)</f>
        <v>0</v>
      </c>
      <c r="AA160" s="52">
        <f>IF(AND(COUNTA($A160:$L160)&gt;0,$B160&lt;&gt;""),IF($M160="ERR",1,0),0)</f>
        <v>0</v>
      </c>
      <c r="AB160" s="52">
        <f>IF(AND(COUNTA($A160:$L160)&gt;0,ISNUMBER($M160)),IF($M160&gt;Config!$B$4,1,0),0)</f>
        <v>0</v>
      </c>
      <c r="AC160" s="52">
        <f>IF(AND(COUNTA($A160:$L160)&gt;0,$C160=""),1,0)</f>
        <v>0</v>
      </c>
      <c r="AD160" s="52">
        <f>IF(AND(COUNTA($A160:$L160)&gt;0,$C160&lt;&gt;""),IF(COUNTIF(Config!$A$15:$A$34,$C160)=0,1,0),0)</f>
        <v>0</v>
      </c>
      <c r="AE160" s="52">
        <f>IF(AND(COUNTA($A160:$L160)&gt;0,$D160=""),1,0)</f>
        <v>0</v>
      </c>
      <c r="AF160" s="52">
        <f>IF(AND(COUNTA($A160:$L160)&gt;0,$D160&lt;&gt;""),IF(COUNTIF(Products!$A$2:$A$101,$D160)=0,1,0),0)</f>
        <v>0</v>
      </c>
      <c r="AG160" s="52">
        <f>IF(AND(COUNTA($A160:$L160)&gt;0,$C160="Receipt",$E160=""),1,0)</f>
        <v>0</v>
      </c>
      <c r="AH160" s="52">
        <f>IF(AND(COUNTA($A160:$L160)&gt;0,$E160&lt;&gt;""),IF(COUNTIF(Suppliers!$A$2:$A$51,$E160)=0,1,0),0)</f>
        <v>0</v>
      </c>
      <c r="AI160" s="52">
        <f>IF(AND(COUNTA($A160:$L160)&gt;0,$F160=""),1,0)</f>
        <v>0</v>
      </c>
      <c r="AJ160" s="52">
        <f>IF(AND(COUNTA($A160:$L160)&gt;0,$F160&lt;&gt;"",$D160&lt;&gt;"",OR($C160="Shipment",$C160="Adjustment")),IF($AF160=1,0,IF(COUNTIFS(Batches!$A$2:$A$301,$F160,Batches!$B$2:$B$301,$D160)+COUNTIFS($F$1:$F159,$F160,$D$1:$D159,$D160,$C$1:$C159,"Receipt")=0,1,0)),0)</f>
        <v>0</v>
      </c>
      <c r="AK160" s="52">
        <f>IF(AND(COUNTA($A160:$L160)&gt;0,$C160="Receipt",$G160=""),1,0)</f>
        <v>0</v>
      </c>
      <c r="AL160" s="52">
        <f>IF(AND(COUNTA($A160:$L160)&gt;0,$G160&lt;&gt;""),IF($N160="ERR",1,0),0)</f>
        <v>0</v>
      </c>
      <c r="AM160" s="52">
        <f>IF(AND(COUNTA($A160:$L160)&gt;0,$H160=""),1,0)</f>
        <v>0</v>
      </c>
      <c r="AN160" s="52">
        <f>IF(AND(COUNTA($A160:$L160)&gt;0,$H160&lt;&gt;""),IF($O160="ERR",1,IF(INT($O160)&lt;&gt;$O160,1,IF(AND(OR($C160="Receipt",$C160="Shipment"),$O160&lt;=0),1,IF(AND($C160="Adjustment",$O160=0),1,0)))),0)</f>
        <v>0</v>
      </c>
      <c r="AO160" s="52">
        <f>IF(AND(COUNTA($A160:$L160)&gt;0,$C160="Receipt",$I160=""),1,0)</f>
        <v>0</v>
      </c>
      <c r="AP160" s="52">
        <f>IF(AND(COUNTA($A160:$L160)&gt;0,$I160&lt;&gt;""),IF(IFERROR(INDEX(Config!$G$15:$G$34,MATCH($I160,Config!$E$15:$E$34,0)),"No")="Yes",0,1),0)</f>
        <v>0</v>
      </c>
      <c r="AQ160" s="52">
        <f>IF(AND(COUNTA($A160:$L160)&gt;0,$C160="Adjustment",$J160=""),1,0)</f>
        <v>0</v>
      </c>
      <c r="AR160" s="52">
        <f>IF(AND(COUNTA($A160:$L160)&gt;0,$L160=""),1,0)</f>
        <v>0</v>
      </c>
      <c r="AS160" s="52">
        <f>IF(AND(COUNTA($A160:$L160)&gt;0,ISNUMBER($S160)),IF($S160&lt;0,1,0),0)</f>
        <v>0</v>
      </c>
      <c r="AT160" s="52">
        <f>$W160</f>
        <v>0</v>
      </c>
      <c r="AU160" s="52">
        <f>$AT160+$X160</f>
        <v>0</v>
      </c>
      <c r="AV160" s="52">
        <f>$AU160+$Y160</f>
        <v>0</v>
      </c>
      <c r="AW160" s="52">
        <f>$AV160+$Z160</f>
        <v>0</v>
      </c>
      <c r="AX160" s="52">
        <f>$AW160+$AA160</f>
        <v>0</v>
      </c>
      <c r="AY160" s="52">
        <f>$AX160+$AB160</f>
        <v>0</v>
      </c>
      <c r="AZ160" s="52">
        <f>$AY160+$AC160</f>
        <v>0</v>
      </c>
      <c r="BA160" s="52">
        <f>$AZ160+$AD160</f>
        <v>0</v>
      </c>
      <c r="BB160" s="52">
        <f>$BA160+$AE160</f>
        <v>0</v>
      </c>
      <c r="BC160" s="52">
        <f>$BB160+$AF160</f>
        <v>0</v>
      </c>
      <c r="BD160" s="52">
        <f>$BC160+$AG160</f>
        <v>0</v>
      </c>
      <c r="BE160" s="52">
        <f>$BD160+$AH160</f>
        <v>0</v>
      </c>
      <c r="BF160" s="52">
        <f>$BE160+$AI160</f>
        <v>0</v>
      </c>
      <c r="BG160" s="52">
        <f>$BF160+$AJ160</f>
        <v>0</v>
      </c>
      <c r="BH160" s="52">
        <f>$BG160+$AK160</f>
        <v>0</v>
      </c>
      <c r="BI160" s="52">
        <f>$BH160+$AL160</f>
        <v>0</v>
      </c>
      <c r="BJ160" s="52">
        <f>$BI160+$AM160</f>
        <v>0</v>
      </c>
      <c r="BK160" s="52">
        <f>$BJ160+$AN160</f>
        <v>0</v>
      </c>
      <c r="BL160" s="52">
        <f>$BK160+$AO160</f>
        <v>0</v>
      </c>
      <c r="BM160" s="52">
        <f>$BL160+$AP160</f>
        <v>0</v>
      </c>
      <c r="BN160" s="52">
        <f>$BM160+$AQ160</f>
        <v>0</v>
      </c>
      <c r="BO160" s="52">
        <f>$BN160+$AR160</f>
        <v>0</v>
      </c>
      <c r="BP160" s="52">
        <f>$BO160+$AS160</f>
        <v>0</v>
      </c>
      <c r="BQ160" s="52">
        <f>SUM($T$1:$T159)</f>
        <v>11</v>
      </c>
      <c r="BR160" s="52" t="str">
        <f>IF(ISNUMBER($T160),IF($T160&gt;0,COUNTIF($T$2:$T160,"&gt;0"),""),"")</f>
        <v/>
      </c>
      <c r="BS160" s="52" t="str">
        <f>IF($BR160="","",$BQ160+$T160)</f>
        <v/>
      </c>
      <c r="BT160" s="52" t="str">
        <f>IF($U160="Ready",COUNTIF($U$2:$U160,"Ready"),"")</f>
        <v/>
      </c>
      <c r="BU160" s="52">
        <f>IF(AND($U160="Ready",$C160="Receipt"),IF(COUNTIF(Batches!$A$2:$A$301,$F160)+COUNTIFS($F$1:$F159,$F160,$C$1:$C159,"Receipt",$U$1:$U159,"Ready")=0,1,0),0)</f>
        <v>0</v>
      </c>
      <c r="BV160" s="52" t="str">
        <f>IF($BU160=1,SUM($BU$2:$BU160),"")</f>
        <v/>
      </c>
    </row>
    <row r="161">
      <c r="A161" s="46" t="n"/>
      <c r="B161" s="46" t="n"/>
      <c r="C161" s="46" t="n"/>
      <c r="D161" s="46" t="n"/>
      <c r="E161" s="46" t="n"/>
      <c r="F161" s="46" t="n"/>
      <c r="G161" s="46" t="n"/>
      <c r="H161" s="46" t="n"/>
      <c r="I161" s="46" t="n"/>
      <c r="J161" s="46" t="n"/>
      <c r="K161" s="46" t="n"/>
      <c r="L161" s="46" t="n"/>
      <c r="M161" s="62" t="str">
        <f>IF($B161="","",IF(ISNUMBER($B161),$B161,IF(AND(LEN($B161)=10,MID($B161,5,1)="-",MID($B161,8,1)="-"),IFERROR(IF(AND(MONTH(DATE(VALUE(LEFT($B161,4)),VALUE(MID($B161,6,2)),VALUE(RIGHT($B161,2))))=VALUE(MID($B161,6,2)),DAY(DATE(VALUE(LEFT($B161,4)),VALUE(MID($B161,6,2)),VALUE(RIGHT($B161,2))))=VALUE(RIGHT($B161,2))),DATE(VALUE(LEFT($B161,4)),VALUE(MID($B161,6,2)),VALUE(RIGHT($B161,2))),"ERR"),"ERR"),"ERR")))</f>
        <v/>
      </c>
      <c r="N161" s="62" t="str">
        <f>IF($G161="","",IF(ISNUMBER($G161),$G161,IF(AND(LEN($G161)=10,MID($G161,5,1)="-",MID($G161,8,1)="-"),IFERROR(IF(AND(MONTH(DATE(VALUE(LEFT($G161,4)),VALUE(MID($G161,6,2)),VALUE(RIGHT($G161,2))))=VALUE(MID($G161,6,2)),DAY(DATE(VALUE(LEFT($G161,4)),VALUE(MID($G161,6,2)),VALUE(RIGHT($G161,2))))=VALUE(RIGHT($G161,2))),DATE(VALUE(LEFT($G161,4)),VALUE(MID($G161,6,2)),VALUE(RIGHT($G161,2))),"ERR"),"ERR"),"ERR")))</f>
        <v/>
      </c>
      <c r="O161" s="51" t="str">
        <f>IF($H161="","",IF(ISNUMBER($H161),$H161,IFERROR(VALUE($H161),"ERR")))</f>
        <v/>
      </c>
      <c r="P161" s="51" t="str">
        <f>IF(AND(ISNUMBER($O161),OR($C161="Receipt",$C161="Shipment",$C161="Adjustment")),IF($C161="Shipment",-$O161,$O161),"")</f>
        <v/>
      </c>
      <c r="Q161" s="51" t="str">
        <f>IF($D161="","",IFERROR(INDEX(Products!$R$2:$R$101,MATCH($D161,Products!$A$2:$A$101,0)),""))</f>
        <v/>
      </c>
      <c r="R161" s="51" t="str">
        <f>IF(OR($Q161="",$P161=""),"",$Q161+SUMIFS($P$1:$P160,$D$1:$D160,$D161,$U$1:$U160,"Ready"))</f>
        <v/>
      </c>
      <c r="S161" s="51" t="str">
        <f>IF($R161="","",$R161+$P161)</f>
        <v/>
      </c>
      <c r="T161" s="52" t="str">
        <f>IF(COUNTA($A161:$L161)&gt;0,$BP161,"")</f>
        <v/>
      </c>
      <c r="U161" s="49" t="str">
        <f>IF($T161="","",IF($T161=0,"Ready","Rejected"))</f>
        <v/>
      </c>
      <c r="V161" s="49" t="str">
        <f>IF(OR($T161="",$T161=0),"",INDEX(Config!$D$39:$D$61,MATCH(1,$AT161:$BP161,0))&amp;IF($T161&gt;1," (+"&amp;($T161-1)&amp;" more)",""))</f>
        <v/>
      </c>
      <c r="W161" s="52">
        <f>IF(AND(COUNTA($A161:$L161)&gt;0,$A161=""),1,0)</f>
        <v>0</v>
      </c>
      <c r="X161" s="52">
        <f>IF(AND(COUNTA($A161:$L161)&gt;0,$A161&lt;&gt;""),IF(COUNTIF($A$1:$A160,$A161)&gt;0,1,0),0)</f>
        <v>0</v>
      </c>
      <c r="Y161" s="52">
        <f>IF(AND(COUNTA($A161:$L161)&gt;0,$A161&lt;&gt;""),IF(COUNTIF(Inventory_Ledger!$A$2:$A$2001,$A161)&gt;0,1,0),0)</f>
        <v>0</v>
      </c>
      <c r="Z161" s="52">
        <f>IF(AND(COUNTA($A161:$L161)&gt;0,$B161=""),1,0)</f>
        <v>0</v>
      </c>
      <c r="AA161" s="52">
        <f>IF(AND(COUNTA($A161:$L161)&gt;0,$B161&lt;&gt;""),IF($M161="ERR",1,0),0)</f>
        <v>0</v>
      </c>
      <c r="AB161" s="52">
        <f>IF(AND(COUNTA($A161:$L161)&gt;0,ISNUMBER($M161)),IF($M161&gt;Config!$B$4,1,0),0)</f>
        <v>0</v>
      </c>
      <c r="AC161" s="52">
        <f>IF(AND(COUNTA($A161:$L161)&gt;0,$C161=""),1,0)</f>
        <v>0</v>
      </c>
      <c r="AD161" s="52">
        <f>IF(AND(COUNTA($A161:$L161)&gt;0,$C161&lt;&gt;""),IF(COUNTIF(Config!$A$15:$A$34,$C161)=0,1,0),0)</f>
        <v>0</v>
      </c>
      <c r="AE161" s="52">
        <f>IF(AND(COUNTA($A161:$L161)&gt;0,$D161=""),1,0)</f>
        <v>0</v>
      </c>
      <c r="AF161" s="52">
        <f>IF(AND(COUNTA($A161:$L161)&gt;0,$D161&lt;&gt;""),IF(COUNTIF(Products!$A$2:$A$101,$D161)=0,1,0),0)</f>
        <v>0</v>
      </c>
      <c r="AG161" s="52">
        <f>IF(AND(COUNTA($A161:$L161)&gt;0,$C161="Receipt",$E161=""),1,0)</f>
        <v>0</v>
      </c>
      <c r="AH161" s="52">
        <f>IF(AND(COUNTA($A161:$L161)&gt;0,$E161&lt;&gt;""),IF(COUNTIF(Suppliers!$A$2:$A$51,$E161)=0,1,0),0)</f>
        <v>0</v>
      </c>
      <c r="AI161" s="52">
        <f>IF(AND(COUNTA($A161:$L161)&gt;0,$F161=""),1,0)</f>
        <v>0</v>
      </c>
      <c r="AJ161" s="52">
        <f>IF(AND(COUNTA($A161:$L161)&gt;0,$F161&lt;&gt;"",$D161&lt;&gt;"",OR($C161="Shipment",$C161="Adjustment")),IF($AF161=1,0,IF(COUNTIFS(Batches!$A$2:$A$301,$F161,Batches!$B$2:$B$301,$D161)+COUNTIFS($F$1:$F160,$F161,$D$1:$D160,$D161,$C$1:$C160,"Receipt")=0,1,0)),0)</f>
        <v>0</v>
      </c>
      <c r="AK161" s="52">
        <f>IF(AND(COUNTA($A161:$L161)&gt;0,$C161="Receipt",$G161=""),1,0)</f>
        <v>0</v>
      </c>
      <c r="AL161" s="52">
        <f>IF(AND(COUNTA($A161:$L161)&gt;0,$G161&lt;&gt;""),IF($N161="ERR",1,0),0)</f>
        <v>0</v>
      </c>
      <c r="AM161" s="52">
        <f>IF(AND(COUNTA($A161:$L161)&gt;0,$H161=""),1,0)</f>
        <v>0</v>
      </c>
      <c r="AN161" s="52">
        <f>IF(AND(COUNTA($A161:$L161)&gt;0,$H161&lt;&gt;""),IF($O161="ERR",1,IF(INT($O161)&lt;&gt;$O161,1,IF(AND(OR($C161="Receipt",$C161="Shipment"),$O161&lt;=0),1,IF(AND($C161="Adjustment",$O161=0),1,0)))),0)</f>
        <v>0</v>
      </c>
      <c r="AO161" s="52">
        <f>IF(AND(COUNTA($A161:$L161)&gt;0,$C161="Receipt",$I161=""),1,0)</f>
        <v>0</v>
      </c>
      <c r="AP161" s="52">
        <f>IF(AND(COUNTA($A161:$L161)&gt;0,$I161&lt;&gt;""),IF(IFERROR(INDEX(Config!$G$15:$G$34,MATCH($I161,Config!$E$15:$E$34,0)),"No")="Yes",0,1),0)</f>
        <v>0</v>
      </c>
      <c r="AQ161" s="52">
        <f>IF(AND(COUNTA($A161:$L161)&gt;0,$C161="Adjustment",$J161=""),1,0)</f>
        <v>0</v>
      </c>
      <c r="AR161" s="52">
        <f>IF(AND(COUNTA($A161:$L161)&gt;0,$L161=""),1,0)</f>
        <v>0</v>
      </c>
      <c r="AS161" s="52">
        <f>IF(AND(COUNTA($A161:$L161)&gt;0,ISNUMBER($S161)),IF($S161&lt;0,1,0),0)</f>
        <v>0</v>
      </c>
      <c r="AT161" s="52">
        <f>$W161</f>
        <v>0</v>
      </c>
      <c r="AU161" s="52">
        <f>$AT161+$X161</f>
        <v>0</v>
      </c>
      <c r="AV161" s="52">
        <f>$AU161+$Y161</f>
        <v>0</v>
      </c>
      <c r="AW161" s="52">
        <f>$AV161+$Z161</f>
        <v>0</v>
      </c>
      <c r="AX161" s="52">
        <f>$AW161+$AA161</f>
        <v>0</v>
      </c>
      <c r="AY161" s="52">
        <f>$AX161+$AB161</f>
        <v>0</v>
      </c>
      <c r="AZ161" s="52">
        <f>$AY161+$AC161</f>
        <v>0</v>
      </c>
      <c r="BA161" s="52">
        <f>$AZ161+$AD161</f>
        <v>0</v>
      </c>
      <c r="BB161" s="52">
        <f>$BA161+$AE161</f>
        <v>0</v>
      </c>
      <c r="BC161" s="52">
        <f>$BB161+$AF161</f>
        <v>0</v>
      </c>
      <c r="BD161" s="52">
        <f>$BC161+$AG161</f>
        <v>0</v>
      </c>
      <c r="BE161" s="52">
        <f>$BD161+$AH161</f>
        <v>0</v>
      </c>
      <c r="BF161" s="52">
        <f>$BE161+$AI161</f>
        <v>0</v>
      </c>
      <c r="BG161" s="52">
        <f>$BF161+$AJ161</f>
        <v>0</v>
      </c>
      <c r="BH161" s="52">
        <f>$BG161+$AK161</f>
        <v>0</v>
      </c>
      <c r="BI161" s="52">
        <f>$BH161+$AL161</f>
        <v>0</v>
      </c>
      <c r="BJ161" s="52">
        <f>$BI161+$AM161</f>
        <v>0</v>
      </c>
      <c r="BK161" s="52">
        <f>$BJ161+$AN161</f>
        <v>0</v>
      </c>
      <c r="BL161" s="52">
        <f>$BK161+$AO161</f>
        <v>0</v>
      </c>
      <c r="BM161" s="52">
        <f>$BL161+$AP161</f>
        <v>0</v>
      </c>
      <c r="BN161" s="52">
        <f>$BM161+$AQ161</f>
        <v>0</v>
      </c>
      <c r="BO161" s="52">
        <f>$BN161+$AR161</f>
        <v>0</v>
      </c>
      <c r="BP161" s="52">
        <f>$BO161+$AS161</f>
        <v>0</v>
      </c>
      <c r="BQ161" s="52">
        <f>SUM($T$1:$T160)</f>
        <v>11</v>
      </c>
      <c r="BR161" s="52" t="str">
        <f>IF(ISNUMBER($T161),IF($T161&gt;0,COUNTIF($T$2:$T161,"&gt;0"),""),"")</f>
        <v/>
      </c>
      <c r="BS161" s="52" t="str">
        <f>IF($BR161="","",$BQ161+$T161)</f>
        <v/>
      </c>
      <c r="BT161" s="52" t="str">
        <f>IF($U161="Ready",COUNTIF($U$2:$U161,"Ready"),"")</f>
        <v/>
      </c>
      <c r="BU161" s="52">
        <f>IF(AND($U161="Ready",$C161="Receipt"),IF(COUNTIF(Batches!$A$2:$A$301,$F161)+COUNTIFS($F$1:$F160,$F161,$C$1:$C160,"Receipt",$U$1:$U160,"Ready")=0,1,0),0)</f>
        <v>0</v>
      </c>
      <c r="BV161" s="52" t="str">
        <f>IF($BU161=1,SUM($BU$2:$BU161),"")</f>
        <v/>
      </c>
    </row>
    <row r="162">
      <c r="A162" s="46" t="n"/>
      <c r="B162" s="46" t="n"/>
      <c r="C162" s="46" t="n"/>
      <c r="D162" s="46" t="n"/>
      <c r="E162" s="46" t="n"/>
      <c r="F162" s="46" t="n"/>
      <c r="G162" s="46" t="n"/>
      <c r="H162" s="46" t="n"/>
      <c r="I162" s="46" t="n"/>
      <c r="J162" s="46" t="n"/>
      <c r="K162" s="46" t="n"/>
      <c r="L162" s="46" t="n"/>
      <c r="M162" s="62" t="str">
        <f>IF($B162="","",IF(ISNUMBER($B162),$B162,IF(AND(LEN($B162)=10,MID($B162,5,1)="-",MID($B162,8,1)="-"),IFERROR(IF(AND(MONTH(DATE(VALUE(LEFT($B162,4)),VALUE(MID($B162,6,2)),VALUE(RIGHT($B162,2))))=VALUE(MID($B162,6,2)),DAY(DATE(VALUE(LEFT($B162,4)),VALUE(MID($B162,6,2)),VALUE(RIGHT($B162,2))))=VALUE(RIGHT($B162,2))),DATE(VALUE(LEFT($B162,4)),VALUE(MID($B162,6,2)),VALUE(RIGHT($B162,2))),"ERR"),"ERR"),"ERR")))</f>
        <v/>
      </c>
      <c r="N162" s="62" t="str">
        <f>IF($G162="","",IF(ISNUMBER($G162),$G162,IF(AND(LEN($G162)=10,MID($G162,5,1)="-",MID($G162,8,1)="-"),IFERROR(IF(AND(MONTH(DATE(VALUE(LEFT($G162,4)),VALUE(MID($G162,6,2)),VALUE(RIGHT($G162,2))))=VALUE(MID($G162,6,2)),DAY(DATE(VALUE(LEFT($G162,4)),VALUE(MID($G162,6,2)),VALUE(RIGHT($G162,2))))=VALUE(RIGHT($G162,2))),DATE(VALUE(LEFT($G162,4)),VALUE(MID($G162,6,2)),VALUE(RIGHT($G162,2))),"ERR"),"ERR"),"ERR")))</f>
        <v/>
      </c>
      <c r="O162" s="51" t="str">
        <f>IF($H162="","",IF(ISNUMBER($H162),$H162,IFERROR(VALUE($H162),"ERR")))</f>
        <v/>
      </c>
      <c r="P162" s="51" t="str">
        <f>IF(AND(ISNUMBER($O162),OR($C162="Receipt",$C162="Shipment",$C162="Adjustment")),IF($C162="Shipment",-$O162,$O162),"")</f>
        <v/>
      </c>
      <c r="Q162" s="51" t="str">
        <f>IF($D162="","",IFERROR(INDEX(Products!$R$2:$R$101,MATCH($D162,Products!$A$2:$A$101,0)),""))</f>
        <v/>
      </c>
      <c r="R162" s="51" t="str">
        <f>IF(OR($Q162="",$P162=""),"",$Q162+SUMIFS($P$1:$P161,$D$1:$D161,$D162,$U$1:$U161,"Ready"))</f>
        <v/>
      </c>
      <c r="S162" s="51" t="str">
        <f>IF($R162="","",$R162+$P162)</f>
        <v/>
      </c>
      <c r="T162" s="52" t="str">
        <f>IF(COUNTA($A162:$L162)&gt;0,$BP162,"")</f>
        <v/>
      </c>
      <c r="U162" s="49" t="str">
        <f>IF($T162="","",IF($T162=0,"Ready","Rejected"))</f>
        <v/>
      </c>
      <c r="V162" s="49" t="str">
        <f>IF(OR($T162="",$T162=0),"",INDEX(Config!$D$39:$D$61,MATCH(1,$AT162:$BP162,0))&amp;IF($T162&gt;1," (+"&amp;($T162-1)&amp;" more)",""))</f>
        <v/>
      </c>
      <c r="W162" s="52">
        <f>IF(AND(COUNTA($A162:$L162)&gt;0,$A162=""),1,0)</f>
        <v>0</v>
      </c>
      <c r="X162" s="52">
        <f>IF(AND(COUNTA($A162:$L162)&gt;0,$A162&lt;&gt;""),IF(COUNTIF($A$1:$A161,$A162)&gt;0,1,0),0)</f>
        <v>0</v>
      </c>
      <c r="Y162" s="52">
        <f>IF(AND(COUNTA($A162:$L162)&gt;0,$A162&lt;&gt;""),IF(COUNTIF(Inventory_Ledger!$A$2:$A$2001,$A162)&gt;0,1,0),0)</f>
        <v>0</v>
      </c>
      <c r="Z162" s="52">
        <f>IF(AND(COUNTA($A162:$L162)&gt;0,$B162=""),1,0)</f>
        <v>0</v>
      </c>
      <c r="AA162" s="52">
        <f>IF(AND(COUNTA($A162:$L162)&gt;0,$B162&lt;&gt;""),IF($M162="ERR",1,0),0)</f>
        <v>0</v>
      </c>
      <c r="AB162" s="52">
        <f>IF(AND(COUNTA($A162:$L162)&gt;0,ISNUMBER($M162)),IF($M162&gt;Config!$B$4,1,0),0)</f>
        <v>0</v>
      </c>
      <c r="AC162" s="52">
        <f>IF(AND(COUNTA($A162:$L162)&gt;0,$C162=""),1,0)</f>
        <v>0</v>
      </c>
      <c r="AD162" s="52">
        <f>IF(AND(COUNTA($A162:$L162)&gt;0,$C162&lt;&gt;""),IF(COUNTIF(Config!$A$15:$A$34,$C162)=0,1,0),0)</f>
        <v>0</v>
      </c>
      <c r="AE162" s="52">
        <f>IF(AND(COUNTA($A162:$L162)&gt;0,$D162=""),1,0)</f>
        <v>0</v>
      </c>
      <c r="AF162" s="52">
        <f>IF(AND(COUNTA($A162:$L162)&gt;0,$D162&lt;&gt;""),IF(COUNTIF(Products!$A$2:$A$101,$D162)=0,1,0),0)</f>
        <v>0</v>
      </c>
      <c r="AG162" s="52">
        <f>IF(AND(COUNTA($A162:$L162)&gt;0,$C162="Receipt",$E162=""),1,0)</f>
        <v>0</v>
      </c>
      <c r="AH162" s="52">
        <f>IF(AND(COUNTA($A162:$L162)&gt;0,$E162&lt;&gt;""),IF(COUNTIF(Suppliers!$A$2:$A$51,$E162)=0,1,0),0)</f>
        <v>0</v>
      </c>
      <c r="AI162" s="52">
        <f>IF(AND(COUNTA($A162:$L162)&gt;0,$F162=""),1,0)</f>
        <v>0</v>
      </c>
      <c r="AJ162" s="52">
        <f>IF(AND(COUNTA($A162:$L162)&gt;0,$F162&lt;&gt;"",$D162&lt;&gt;"",OR($C162="Shipment",$C162="Adjustment")),IF($AF162=1,0,IF(COUNTIFS(Batches!$A$2:$A$301,$F162,Batches!$B$2:$B$301,$D162)+COUNTIFS($F$1:$F161,$F162,$D$1:$D161,$D162,$C$1:$C161,"Receipt")=0,1,0)),0)</f>
        <v>0</v>
      </c>
      <c r="AK162" s="52">
        <f>IF(AND(COUNTA($A162:$L162)&gt;0,$C162="Receipt",$G162=""),1,0)</f>
        <v>0</v>
      </c>
      <c r="AL162" s="52">
        <f>IF(AND(COUNTA($A162:$L162)&gt;0,$G162&lt;&gt;""),IF($N162="ERR",1,0),0)</f>
        <v>0</v>
      </c>
      <c r="AM162" s="52">
        <f>IF(AND(COUNTA($A162:$L162)&gt;0,$H162=""),1,0)</f>
        <v>0</v>
      </c>
      <c r="AN162" s="52">
        <f>IF(AND(COUNTA($A162:$L162)&gt;0,$H162&lt;&gt;""),IF($O162="ERR",1,IF(INT($O162)&lt;&gt;$O162,1,IF(AND(OR($C162="Receipt",$C162="Shipment"),$O162&lt;=0),1,IF(AND($C162="Adjustment",$O162=0),1,0)))),0)</f>
        <v>0</v>
      </c>
      <c r="AO162" s="52">
        <f>IF(AND(COUNTA($A162:$L162)&gt;0,$C162="Receipt",$I162=""),1,0)</f>
        <v>0</v>
      </c>
      <c r="AP162" s="52">
        <f>IF(AND(COUNTA($A162:$L162)&gt;0,$I162&lt;&gt;""),IF(IFERROR(INDEX(Config!$G$15:$G$34,MATCH($I162,Config!$E$15:$E$34,0)),"No")="Yes",0,1),0)</f>
        <v>0</v>
      </c>
      <c r="AQ162" s="52">
        <f>IF(AND(COUNTA($A162:$L162)&gt;0,$C162="Adjustment",$J162=""),1,0)</f>
        <v>0</v>
      </c>
      <c r="AR162" s="52">
        <f>IF(AND(COUNTA($A162:$L162)&gt;0,$L162=""),1,0)</f>
        <v>0</v>
      </c>
      <c r="AS162" s="52">
        <f>IF(AND(COUNTA($A162:$L162)&gt;0,ISNUMBER($S162)),IF($S162&lt;0,1,0),0)</f>
        <v>0</v>
      </c>
      <c r="AT162" s="52">
        <f>$W162</f>
        <v>0</v>
      </c>
      <c r="AU162" s="52">
        <f>$AT162+$X162</f>
        <v>0</v>
      </c>
      <c r="AV162" s="52">
        <f>$AU162+$Y162</f>
        <v>0</v>
      </c>
      <c r="AW162" s="52">
        <f>$AV162+$Z162</f>
        <v>0</v>
      </c>
      <c r="AX162" s="52">
        <f>$AW162+$AA162</f>
        <v>0</v>
      </c>
      <c r="AY162" s="52">
        <f>$AX162+$AB162</f>
        <v>0</v>
      </c>
      <c r="AZ162" s="52">
        <f>$AY162+$AC162</f>
        <v>0</v>
      </c>
      <c r="BA162" s="52">
        <f>$AZ162+$AD162</f>
        <v>0</v>
      </c>
      <c r="BB162" s="52">
        <f>$BA162+$AE162</f>
        <v>0</v>
      </c>
      <c r="BC162" s="52">
        <f>$BB162+$AF162</f>
        <v>0</v>
      </c>
      <c r="BD162" s="52">
        <f>$BC162+$AG162</f>
        <v>0</v>
      </c>
      <c r="BE162" s="52">
        <f>$BD162+$AH162</f>
        <v>0</v>
      </c>
      <c r="BF162" s="52">
        <f>$BE162+$AI162</f>
        <v>0</v>
      </c>
      <c r="BG162" s="52">
        <f>$BF162+$AJ162</f>
        <v>0</v>
      </c>
      <c r="BH162" s="52">
        <f>$BG162+$AK162</f>
        <v>0</v>
      </c>
      <c r="BI162" s="52">
        <f>$BH162+$AL162</f>
        <v>0</v>
      </c>
      <c r="BJ162" s="52">
        <f>$BI162+$AM162</f>
        <v>0</v>
      </c>
      <c r="BK162" s="52">
        <f>$BJ162+$AN162</f>
        <v>0</v>
      </c>
      <c r="BL162" s="52">
        <f>$BK162+$AO162</f>
        <v>0</v>
      </c>
      <c r="BM162" s="52">
        <f>$BL162+$AP162</f>
        <v>0</v>
      </c>
      <c r="BN162" s="52">
        <f>$BM162+$AQ162</f>
        <v>0</v>
      </c>
      <c r="BO162" s="52">
        <f>$BN162+$AR162</f>
        <v>0</v>
      </c>
      <c r="BP162" s="52">
        <f>$BO162+$AS162</f>
        <v>0</v>
      </c>
      <c r="BQ162" s="52">
        <f>SUM($T$1:$T161)</f>
        <v>11</v>
      </c>
      <c r="BR162" s="52" t="str">
        <f>IF(ISNUMBER($T162),IF($T162&gt;0,COUNTIF($T$2:$T162,"&gt;0"),""),"")</f>
        <v/>
      </c>
      <c r="BS162" s="52" t="str">
        <f>IF($BR162="","",$BQ162+$T162)</f>
        <v/>
      </c>
      <c r="BT162" s="52" t="str">
        <f>IF($U162="Ready",COUNTIF($U$2:$U162,"Ready"),"")</f>
        <v/>
      </c>
      <c r="BU162" s="52">
        <f>IF(AND($U162="Ready",$C162="Receipt"),IF(COUNTIF(Batches!$A$2:$A$301,$F162)+COUNTIFS($F$1:$F161,$F162,$C$1:$C161,"Receipt",$U$1:$U161,"Ready")=0,1,0),0)</f>
        <v>0</v>
      </c>
      <c r="BV162" s="52" t="str">
        <f>IF($BU162=1,SUM($BU$2:$BU162),"")</f>
        <v/>
      </c>
    </row>
    <row r="163">
      <c r="A163" s="46" t="n"/>
      <c r="B163" s="46" t="n"/>
      <c r="C163" s="46" t="n"/>
      <c r="D163" s="46" t="n"/>
      <c r="E163" s="46" t="n"/>
      <c r="F163" s="46" t="n"/>
      <c r="G163" s="46" t="n"/>
      <c r="H163" s="46" t="n"/>
      <c r="I163" s="46" t="n"/>
      <c r="J163" s="46" t="n"/>
      <c r="K163" s="46" t="n"/>
      <c r="L163" s="46" t="n"/>
      <c r="M163" s="62" t="str">
        <f>IF($B163="","",IF(ISNUMBER($B163),$B163,IF(AND(LEN($B163)=10,MID($B163,5,1)="-",MID($B163,8,1)="-"),IFERROR(IF(AND(MONTH(DATE(VALUE(LEFT($B163,4)),VALUE(MID($B163,6,2)),VALUE(RIGHT($B163,2))))=VALUE(MID($B163,6,2)),DAY(DATE(VALUE(LEFT($B163,4)),VALUE(MID($B163,6,2)),VALUE(RIGHT($B163,2))))=VALUE(RIGHT($B163,2))),DATE(VALUE(LEFT($B163,4)),VALUE(MID($B163,6,2)),VALUE(RIGHT($B163,2))),"ERR"),"ERR"),"ERR")))</f>
        <v/>
      </c>
      <c r="N163" s="62" t="str">
        <f>IF($G163="","",IF(ISNUMBER($G163),$G163,IF(AND(LEN($G163)=10,MID($G163,5,1)="-",MID($G163,8,1)="-"),IFERROR(IF(AND(MONTH(DATE(VALUE(LEFT($G163,4)),VALUE(MID($G163,6,2)),VALUE(RIGHT($G163,2))))=VALUE(MID($G163,6,2)),DAY(DATE(VALUE(LEFT($G163,4)),VALUE(MID($G163,6,2)),VALUE(RIGHT($G163,2))))=VALUE(RIGHT($G163,2))),DATE(VALUE(LEFT($G163,4)),VALUE(MID($G163,6,2)),VALUE(RIGHT($G163,2))),"ERR"),"ERR"),"ERR")))</f>
        <v/>
      </c>
      <c r="O163" s="51" t="str">
        <f>IF($H163="","",IF(ISNUMBER($H163),$H163,IFERROR(VALUE($H163),"ERR")))</f>
        <v/>
      </c>
      <c r="P163" s="51" t="str">
        <f>IF(AND(ISNUMBER($O163),OR($C163="Receipt",$C163="Shipment",$C163="Adjustment")),IF($C163="Shipment",-$O163,$O163),"")</f>
        <v/>
      </c>
      <c r="Q163" s="51" t="str">
        <f>IF($D163="","",IFERROR(INDEX(Products!$R$2:$R$101,MATCH($D163,Products!$A$2:$A$101,0)),""))</f>
        <v/>
      </c>
      <c r="R163" s="51" t="str">
        <f>IF(OR($Q163="",$P163=""),"",$Q163+SUMIFS($P$1:$P162,$D$1:$D162,$D163,$U$1:$U162,"Ready"))</f>
        <v/>
      </c>
      <c r="S163" s="51" t="str">
        <f>IF($R163="","",$R163+$P163)</f>
        <v/>
      </c>
      <c r="T163" s="52" t="str">
        <f>IF(COUNTA($A163:$L163)&gt;0,$BP163,"")</f>
        <v/>
      </c>
      <c r="U163" s="49" t="str">
        <f>IF($T163="","",IF($T163=0,"Ready","Rejected"))</f>
        <v/>
      </c>
      <c r="V163" s="49" t="str">
        <f>IF(OR($T163="",$T163=0),"",INDEX(Config!$D$39:$D$61,MATCH(1,$AT163:$BP163,0))&amp;IF($T163&gt;1," (+"&amp;($T163-1)&amp;" more)",""))</f>
        <v/>
      </c>
      <c r="W163" s="52">
        <f>IF(AND(COUNTA($A163:$L163)&gt;0,$A163=""),1,0)</f>
        <v>0</v>
      </c>
      <c r="X163" s="52">
        <f>IF(AND(COUNTA($A163:$L163)&gt;0,$A163&lt;&gt;""),IF(COUNTIF($A$1:$A162,$A163)&gt;0,1,0),0)</f>
        <v>0</v>
      </c>
      <c r="Y163" s="52">
        <f>IF(AND(COUNTA($A163:$L163)&gt;0,$A163&lt;&gt;""),IF(COUNTIF(Inventory_Ledger!$A$2:$A$2001,$A163)&gt;0,1,0),0)</f>
        <v>0</v>
      </c>
      <c r="Z163" s="52">
        <f>IF(AND(COUNTA($A163:$L163)&gt;0,$B163=""),1,0)</f>
        <v>0</v>
      </c>
      <c r="AA163" s="52">
        <f>IF(AND(COUNTA($A163:$L163)&gt;0,$B163&lt;&gt;""),IF($M163="ERR",1,0),0)</f>
        <v>0</v>
      </c>
      <c r="AB163" s="52">
        <f>IF(AND(COUNTA($A163:$L163)&gt;0,ISNUMBER($M163)),IF($M163&gt;Config!$B$4,1,0),0)</f>
        <v>0</v>
      </c>
      <c r="AC163" s="52">
        <f>IF(AND(COUNTA($A163:$L163)&gt;0,$C163=""),1,0)</f>
        <v>0</v>
      </c>
      <c r="AD163" s="52">
        <f>IF(AND(COUNTA($A163:$L163)&gt;0,$C163&lt;&gt;""),IF(COUNTIF(Config!$A$15:$A$34,$C163)=0,1,0),0)</f>
        <v>0</v>
      </c>
      <c r="AE163" s="52">
        <f>IF(AND(COUNTA($A163:$L163)&gt;0,$D163=""),1,0)</f>
        <v>0</v>
      </c>
      <c r="AF163" s="52">
        <f>IF(AND(COUNTA($A163:$L163)&gt;0,$D163&lt;&gt;""),IF(COUNTIF(Products!$A$2:$A$101,$D163)=0,1,0),0)</f>
        <v>0</v>
      </c>
      <c r="AG163" s="52">
        <f>IF(AND(COUNTA($A163:$L163)&gt;0,$C163="Receipt",$E163=""),1,0)</f>
        <v>0</v>
      </c>
      <c r="AH163" s="52">
        <f>IF(AND(COUNTA($A163:$L163)&gt;0,$E163&lt;&gt;""),IF(COUNTIF(Suppliers!$A$2:$A$51,$E163)=0,1,0),0)</f>
        <v>0</v>
      </c>
      <c r="AI163" s="52">
        <f>IF(AND(COUNTA($A163:$L163)&gt;0,$F163=""),1,0)</f>
        <v>0</v>
      </c>
      <c r="AJ163" s="52">
        <f>IF(AND(COUNTA($A163:$L163)&gt;0,$F163&lt;&gt;"",$D163&lt;&gt;"",OR($C163="Shipment",$C163="Adjustment")),IF($AF163=1,0,IF(COUNTIFS(Batches!$A$2:$A$301,$F163,Batches!$B$2:$B$301,$D163)+COUNTIFS($F$1:$F162,$F163,$D$1:$D162,$D163,$C$1:$C162,"Receipt")=0,1,0)),0)</f>
        <v>0</v>
      </c>
      <c r="AK163" s="52">
        <f>IF(AND(COUNTA($A163:$L163)&gt;0,$C163="Receipt",$G163=""),1,0)</f>
        <v>0</v>
      </c>
      <c r="AL163" s="52">
        <f>IF(AND(COUNTA($A163:$L163)&gt;0,$G163&lt;&gt;""),IF($N163="ERR",1,0),0)</f>
        <v>0</v>
      </c>
      <c r="AM163" s="52">
        <f>IF(AND(COUNTA($A163:$L163)&gt;0,$H163=""),1,0)</f>
        <v>0</v>
      </c>
      <c r="AN163" s="52">
        <f>IF(AND(COUNTA($A163:$L163)&gt;0,$H163&lt;&gt;""),IF($O163="ERR",1,IF(INT($O163)&lt;&gt;$O163,1,IF(AND(OR($C163="Receipt",$C163="Shipment"),$O163&lt;=0),1,IF(AND($C163="Adjustment",$O163=0),1,0)))),0)</f>
        <v>0</v>
      </c>
      <c r="AO163" s="52">
        <f>IF(AND(COUNTA($A163:$L163)&gt;0,$C163="Receipt",$I163=""),1,0)</f>
        <v>0</v>
      </c>
      <c r="AP163" s="52">
        <f>IF(AND(COUNTA($A163:$L163)&gt;0,$I163&lt;&gt;""),IF(IFERROR(INDEX(Config!$G$15:$G$34,MATCH($I163,Config!$E$15:$E$34,0)),"No")="Yes",0,1),0)</f>
        <v>0</v>
      </c>
      <c r="AQ163" s="52">
        <f>IF(AND(COUNTA($A163:$L163)&gt;0,$C163="Adjustment",$J163=""),1,0)</f>
        <v>0</v>
      </c>
      <c r="AR163" s="52">
        <f>IF(AND(COUNTA($A163:$L163)&gt;0,$L163=""),1,0)</f>
        <v>0</v>
      </c>
      <c r="AS163" s="52">
        <f>IF(AND(COUNTA($A163:$L163)&gt;0,ISNUMBER($S163)),IF($S163&lt;0,1,0),0)</f>
        <v>0</v>
      </c>
      <c r="AT163" s="52">
        <f>$W163</f>
        <v>0</v>
      </c>
      <c r="AU163" s="52">
        <f>$AT163+$X163</f>
        <v>0</v>
      </c>
      <c r="AV163" s="52">
        <f>$AU163+$Y163</f>
        <v>0</v>
      </c>
      <c r="AW163" s="52">
        <f>$AV163+$Z163</f>
        <v>0</v>
      </c>
      <c r="AX163" s="52">
        <f>$AW163+$AA163</f>
        <v>0</v>
      </c>
      <c r="AY163" s="52">
        <f>$AX163+$AB163</f>
        <v>0</v>
      </c>
      <c r="AZ163" s="52">
        <f>$AY163+$AC163</f>
        <v>0</v>
      </c>
      <c r="BA163" s="52">
        <f>$AZ163+$AD163</f>
        <v>0</v>
      </c>
      <c r="BB163" s="52">
        <f>$BA163+$AE163</f>
        <v>0</v>
      </c>
      <c r="BC163" s="52">
        <f>$BB163+$AF163</f>
        <v>0</v>
      </c>
      <c r="BD163" s="52">
        <f>$BC163+$AG163</f>
        <v>0</v>
      </c>
      <c r="BE163" s="52">
        <f>$BD163+$AH163</f>
        <v>0</v>
      </c>
      <c r="BF163" s="52">
        <f>$BE163+$AI163</f>
        <v>0</v>
      </c>
      <c r="BG163" s="52">
        <f>$BF163+$AJ163</f>
        <v>0</v>
      </c>
      <c r="BH163" s="52">
        <f>$BG163+$AK163</f>
        <v>0</v>
      </c>
      <c r="BI163" s="52">
        <f>$BH163+$AL163</f>
        <v>0</v>
      </c>
      <c r="BJ163" s="52">
        <f>$BI163+$AM163</f>
        <v>0</v>
      </c>
      <c r="BK163" s="52">
        <f>$BJ163+$AN163</f>
        <v>0</v>
      </c>
      <c r="BL163" s="52">
        <f>$BK163+$AO163</f>
        <v>0</v>
      </c>
      <c r="BM163" s="52">
        <f>$BL163+$AP163</f>
        <v>0</v>
      </c>
      <c r="BN163" s="52">
        <f>$BM163+$AQ163</f>
        <v>0</v>
      </c>
      <c r="BO163" s="52">
        <f>$BN163+$AR163</f>
        <v>0</v>
      </c>
      <c r="BP163" s="52">
        <f>$BO163+$AS163</f>
        <v>0</v>
      </c>
      <c r="BQ163" s="52">
        <f>SUM($T$1:$T162)</f>
        <v>11</v>
      </c>
      <c r="BR163" s="52" t="str">
        <f>IF(ISNUMBER($T163),IF($T163&gt;0,COUNTIF($T$2:$T163,"&gt;0"),""),"")</f>
        <v/>
      </c>
      <c r="BS163" s="52" t="str">
        <f>IF($BR163="","",$BQ163+$T163)</f>
        <v/>
      </c>
      <c r="BT163" s="52" t="str">
        <f>IF($U163="Ready",COUNTIF($U$2:$U163,"Ready"),"")</f>
        <v/>
      </c>
      <c r="BU163" s="52">
        <f>IF(AND($U163="Ready",$C163="Receipt"),IF(COUNTIF(Batches!$A$2:$A$301,$F163)+COUNTIFS($F$1:$F162,$F163,$C$1:$C162,"Receipt",$U$1:$U162,"Ready")=0,1,0),0)</f>
        <v>0</v>
      </c>
      <c r="BV163" s="52" t="str">
        <f>IF($BU163=1,SUM($BU$2:$BU163),"")</f>
        <v/>
      </c>
    </row>
    <row r="164">
      <c r="A164" s="46" t="n"/>
      <c r="B164" s="46" t="n"/>
      <c r="C164" s="46" t="n"/>
      <c r="D164" s="46" t="n"/>
      <c r="E164" s="46" t="n"/>
      <c r="F164" s="46" t="n"/>
      <c r="G164" s="46" t="n"/>
      <c r="H164" s="46" t="n"/>
      <c r="I164" s="46" t="n"/>
      <c r="J164" s="46" t="n"/>
      <c r="K164" s="46" t="n"/>
      <c r="L164" s="46" t="n"/>
      <c r="M164" s="62" t="str">
        <f>IF($B164="","",IF(ISNUMBER($B164),$B164,IF(AND(LEN($B164)=10,MID($B164,5,1)="-",MID($B164,8,1)="-"),IFERROR(IF(AND(MONTH(DATE(VALUE(LEFT($B164,4)),VALUE(MID($B164,6,2)),VALUE(RIGHT($B164,2))))=VALUE(MID($B164,6,2)),DAY(DATE(VALUE(LEFT($B164,4)),VALUE(MID($B164,6,2)),VALUE(RIGHT($B164,2))))=VALUE(RIGHT($B164,2))),DATE(VALUE(LEFT($B164,4)),VALUE(MID($B164,6,2)),VALUE(RIGHT($B164,2))),"ERR"),"ERR"),"ERR")))</f>
        <v/>
      </c>
      <c r="N164" s="62" t="str">
        <f>IF($G164="","",IF(ISNUMBER($G164),$G164,IF(AND(LEN($G164)=10,MID($G164,5,1)="-",MID($G164,8,1)="-"),IFERROR(IF(AND(MONTH(DATE(VALUE(LEFT($G164,4)),VALUE(MID($G164,6,2)),VALUE(RIGHT($G164,2))))=VALUE(MID($G164,6,2)),DAY(DATE(VALUE(LEFT($G164,4)),VALUE(MID($G164,6,2)),VALUE(RIGHT($G164,2))))=VALUE(RIGHT($G164,2))),DATE(VALUE(LEFT($G164,4)),VALUE(MID($G164,6,2)),VALUE(RIGHT($G164,2))),"ERR"),"ERR"),"ERR")))</f>
        <v/>
      </c>
      <c r="O164" s="51" t="str">
        <f>IF($H164="","",IF(ISNUMBER($H164),$H164,IFERROR(VALUE($H164),"ERR")))</f>
        <v/>
      </c>
      <c r="P164" s="51" t="str">
        <f>IF(AND(ISNUMBER($O164),OR($C164="Receipt",$C164="Shipment",$C164="Adjustment")),IF($C164="Shipment",-$O164,$O164),"")</f>
        <v/>
      </c>
      <c r="Q164" s="51" t="str">
        <f>IF($D164="","",IFERROR(INDEX(Products!$R$2:$R$101,MATCH($D164,Products!$A$2:$A$101,0)),""))</f>
        <v/>
      </c>
      <c r="R164" s="51" t="str">
        <f>IF(OR($Q164="",$P164=""),"",$Q164+SUMIFS($P$1:$P163,$D$1:$D163,$D164,$U$1:$U163,"Ready"))</f>
        <v/>
      </c>
      <c r="S164" s="51" t="str">
        <f>IF($R164="","",$R164+$P164)</f>
        <v/>
      </c>
      <c r="T164" s="52" t="str">
        <f>IF(COUNTA($A164:$L164)&gt;0,$BP164,"")</f>
        <v/>
      </c>
      <c r="U164" s="49" t="str">
        <f>IF($T164="","",IF($T164=0,"Ready","Rejected"))</f>
        <v/>
      </c>
      <c r="V164" s="49" t="str">
        <f>IF(OR($T164="",$T164=0),"",INDEX(Config!$D$39:$D$61,MATCH(1,$AT164:$BP164,0))&amp;IF($T164&gt;1," (+"&amp;($T164-1)&amp;" more)",""))</f>
        <v/>
      </c>
      <c r="W164" s="52">
        <f>IF(AND(COUNTA($A164:$L164)&gt;0,$A164=""),1,0)</f>
        <v>0</v>
      </c>
      <c r="X164" s="52">
        <f>IF(AND(COUNTA($A164:$L164)&gt;0,$A164&lt;&gt;""),IF(COUNTIF($A$1:$A163,$A164)&gt;0,1,0),0)</f>
        <v>0</v>
      </c>
      <c r="Y164" s="52">
        <f>IF(AND(COUNTA($A164:$L164)&gt;0,$A164&lt;&gt;""),IF(COUNTIF(Inventory_Ledger!$A$2:$A$2001,$A164)&gt;0,1,0),0)</f>
        <v>0</v>
      </c>
      <c r="Z164" s="52">
        <f>IF(AND(COUNTA($A164:$L164)&gt;0,$B164=""),1,0)</f>
        <v>0</v>
      </c>
      <c r="AA164" s="52">
        <f>IF(AND(COUNTA($A164:$L164)&gt;0,$B164&lt;&gt;""),IF($M164="ERR",1,0),0)</f>
        <v>0</v>
      </c>
      <c r="AB164" s="52">
        <f>IF(AND(COUNTA($A164:$L164)&gt;0,ISNUMBER($M164)),IF($M164&gt;Config!$B$4,1,0),0)</f>
        <v>0</v>
      </c>
      <c r="AC164" s="52">
        <f>IF(AND(COUNTA($A164:$L164)&gt;0,$C164=""),1,0)</f>
        <v>0</v>
      </c>
      <c r="AD164" s="52">
        <f>IF(AND(COUNTA($A164:$L164)&gt;0,$C164&lt;&gt;""),IF(COUNTIF(Config!$A$15:$A$34,$C164)=0,1,0),0)</f>
        <v>0</v>
      </c>
      <c r="AE164" s="52">
        <f>IF(AND(COUNTA($A164:$L164)&gt;0,$D164=""),1,0)</f>
        <v>0</v>
      </c>
      <c r="AF164" s="52">
        <f>IF(AND(COUNTA($A164:$L164)&gt;0,$D164&lt;&gt;""),IF(COUNTIF(Products!$A$2:$A$101,$D164)=0,1,0),0)</f>
        <v>0</v>
      </c>
      <c r="AG164" s="52">
        <f>IF(AND(COUNTA($A164:$L164)&gt;0,$C164="Receipt",$E164=""),1,0)</f>
        <v>0</v>
      </c>
      <c r="AH164" s="52">
        <f>IF(AND(COUNTA($A164:$L164)&gt;0,$E164&lt;&gt;""),IF(COUNTIF(Suppliers!$A$2:$A$51,$E164)=0,1,0),0)</f>
        <v>0</v>
      </c>
      <c r="AI164" s="52">
        <f>IF(AND(COUNTA($A164:$L164)&gt;0,$F164=""),1,0)</f>
        <v>0</v>
      </c>
      <c r="AJ164" s="52">
        <f>IF(AND(COUNTA($A164:$L164)&gt;0,$F164&lt;&gt;"",$D164&lt;&gt;"",OR($C164="Shipment",$C164="Adjustment")),IF($AF164=1,0,IF(COUNTIFS(Batches!$A$2:$A$301,$F164,Batches!$B$2:$B$301,$D164)+COUNTIFS($F$1:$F163,$F164,$D$1:$D163,$D164,$C$1:$C163,"Receipt")=0,1,0)),0)</f>
        <v>0</v>
      </c>
      <c r="AK164" s="52">
        <f>IF(AND(COUNTA($A164:$L164)&gt;0,$C164="Receipt",$G164=""),1,0)</f>
        <v>0</v>
      </c>
      <c r="AL164" s="52">
        <f>IF(AND(COUNTA($A164:$L164)&gt;0,$G164&lt;&gt;""),IF($N164="ERR",1,0),0)</f>
        <v>0</v>
      </c>
      <c r="AM164" s="52">
        <f>IF(AND(COUNTA($A164:$L164)&gt;0,$H164=""),1,0)</f>
        <v>0</v>
      </c>
      <c r="AN164" s="52">
        <f>IF(AND(COUNTA($A164:$L164)&gt;0,$H164&lt;&gt;""),IF($O164="ERR",1,IF(INT($O164)&lt;&gt;$O164,1,IF(AND(OR($C164="Receipt",$C164="Shipment"),$O164&lt;=0),1,IF(AND($C164="Adjustment",$O164=0),1,0)))),0)</f>
        <v>0</v>
      </c>
      <c r="AO164" s="52">
        <f>IF(AND(COUNTA($A164:$L164)&gt;0,$C164="Receipt",$I164=""),1,0)</f>
        <v>0</v>
      </c>
      <c r="AP164" s="52">
        <f>IF(AND(COUNTA($A164:$L164)&gt;0,$I164&lt;&gt;""),IF(IFERROR(INDEX(Config!$G$15:$G$34,MATCH($I164,Config!$E$15:$E$34,0)),"No")="Yes",0,1),0)</f>
        <v>0</v>
      </c>
      <c r="AQ164" s="52">
        <f>IF(AND(COUNTA($A164:$L164)&gt;0,$C164="Adjustment",$J164=""),1,0)</f>
        <v>0</v>
      </c>
      <c r="AR164" s="52">
        <f>IF(AND(COUNTA($A164:$L164)&gt;0,$L164=""),1,0)</f>
        <v>0</v>
      </c>
      <c r="AS164" s="52">
        <f>IF(AND(COUNTA($A164:$L164)&gt;0,ISNUMBER($S164)),IF($S164&lt;0,1,0),0)</f>
        <v>0</v>
      </c>
      <c r="AT164" s="52">
        <f>$W164</f>
        <v>0</v>
      </c>
      <c r="AU164" s="52">
        <f>$AT164+$X164</f>
        <v>0</v>
      </c>
      <c r="AV164" s="52">
        <f>$AU164+$Y164</f>
        <v>0</v>
      </c>
      <c r="AW164" s="52">
        <f>$AV164+$Z164</f>
        <v>0</v>
      </c>
      <c r="AX164" s="52">
        <f>$AW164+$AA164</f>
        <v>0</v>
      </c>
      <c r="AY164" s="52">
        <f>$AX164+$AB164</f>
        <v>0</v>
      </c>
      <c r="AZ164" s="52">
        <f>$AY164+$AC164</f>
        <v>0</v>
      </c>
      <c r="BA164" s="52">
        <f>$AZ164+$AD164</f>
        <v>0</v>
      </c>
      <c r="BB164" s="52">
        <f>$BA164+$AE164</f>
        <v>0</v>
      </c>
      <c r="BC164" s="52">
        <f>$BB164+$AF164</f>
        <v>0</v>
      </c>
      <c r="BD164" s="52">
        <f>$BC164+$AG164</f>
        <v>0</v>
      </c>
      <c r="BE164" s="52">
        <f>$BD164+$AH164</f>
        <v>0</v>
      </c>
      <c r="BF164" s="52">
        <f>$BE164+$AI164</f>
        <v>0</v>
      </c>
      <c r="BG164" s="52">
        <f>$BF164+$AJ164</f>
        <v>0</v>
      </c>
      <c r="BH164" s="52">
        <f>$BG164+$AK164</f>
        <v>0</v>
      </c>
      <c r="BI164" s="52">
        <f>$BH164+$AL164</f>
        <v>0</v>
      </c>
      <c r="BJ164" s="52">
        <f>$BI164+$AM164</f>
        <v>0</v>
      </c>
      <c r="BK164" s="52">
        <f>$BJ164+$AN164</f>
        <v>0</v>
      </c>
      <c r="BL164" s="52">
        <f>$BK164+$AO164</f>
        <v>0</v>
      </c>
      <c r="BM164" s="52">
        <f>$BL164+$AP164</f>
        <v>0</v>
      </c>
      <c r="BN164" s="52">
        <f>$BM164+$AQ164</f>
        <v>0</v>
      </c>
      <c r="BO164" s="52">
        <f>$BN164+$AR164</f>
        <v>0</v>
      </c>
      <c r="BP164" s="52">
        <f>$BO164+$AS164</f>
        <v>0</v>
      </c>
      <c r="BQ164" s="52">
        <f>SUM($T$1:$T163)</f>
        <v>11</v>
      </c>
      <c r="BR164" s="52" t="str">
        <f>IF(ISNUMBER($T164),IF($T164&gt;0,COUNTIF($T$2:$T164,"&gt;0"),""),"")</f>
        <v/>
      </c>
      <c r="BS164" s="52" t="str">
        <f>IF($BR164="","",$BQ164+$T164)</f>
        <v/>
      </c>
      <c r="BT164" s="52" t="str">
        <f>IF($U164="Ready",COUNTIF($U$2:$U164,"Ready"),"")</f>
        <v/>
      </c>
      <c r="BU164" s="52">
        <f>IF(AND($U164="Ready",$C164="Receipt"),IF(COUNTIF(Batches!$A$2:$A$301,$F164)+COUNTIFS($F$1:$F163,$F164,$C$1:$C163,"Receipt",$U$1:$U163,"Ready")=0,1,0),0)</f>
        <v>0</v>
      </c>
      <c r="BV164" s="52" t="str">
        <f>IF($BU164=1,SUM($BU$2:$BU164),"")</f>
        <v/>
      </c>
    </row>
    <row r="165">
      <c r="A165" s="46" t="n"/>
      <c r="B165" s="46" t="n"/>
      <c r="C165" s="46" t="n"/>
      <c r="D165" s="46" t="n"/>
      <c r="E165" s="46" t="n"/>
      <c r="F165" s="46" t="n"/>
      <c r="G165" s="46" t="n"/>
      <c r="H165" s="46" t="n"/>
      <c r="I165" s="46" t="n"/>
      <c r="J165" s="46" t="n"/>
      <c r="K165" s="46" t="n"/>
      <c r="L165" s="46" t="n"/>
      <c r="M165" s="62" t="str">
        <f>IF($B165="","",IF(ISNUMBER($B165),$B165,IF(AND(LEN($B165)=10,MID($B165,5,1)="-",MID($B165,8,1)="-"),IFERROR(IF(AND(MONTH(DATE(VALUE(LEFT($B165,4)),VALUE(MID($B165,6,2)),VALUE(RIGHT($B165,2))))=VALUE(MID($B165,6,2)),DAY(DATE(VALUE(LEFT($B165,4)),VALUE(MID($B165,6,2)),VALUE(RIGHT($B165,2))))=VALUE(RIGHT($B165,2))),DATE(VALUE(LEFT($B165,4)),VALUE(MID($B165,6,2)),VALUE(RIGHT($B165,2))),"ERR"),"ERR"),"ERR")))</f>
        <v/>
      </c>
      <c r="N165" s="62" t="str">
        <f>IF($G165="","",IF(ISNUMBER($G165),$G165,IF(AND(LEN($G165)=10,MID($G165,5,1)="-",MID($G165,8,1)="-"),IFERROR(IF(AND(MONTH(DATE(VALUE(LEFT($G165,4)),VALUE(MID($G165,6,2)),VALUE(RIGHT($G165,2))))=VALUE(MID($G165,6,2)),DAY(DATE(VALUE(LEFT($G165,4)),VALUE(MID($G165,6,2)),VALUE(RIGHT($G165,2))))=VALUE(RIGHT($G165,2))),DATE(VALUE(LEFT($G165,4)),VALUE(MID($G165,6,2)),VALUE(RIGHT($G165,2))),"ERR"),"ERR"),"ERR")))</f>
        <v/>
      </c>
      <c r="O165" s="51" t="str">
        <f>IF($H165="","",IF(ISNUMBER($H165),$H165,IFERROR(VALUE($H165),"ERR")))</f>
        <v/>
      </c>
      <c r="P165" s="51" t="str">
        <f>IF(AND(ISNUMBER($O165),OR($C165="Receipt",$C165="Shipment",$C165="Adjustment")),IF($C165="Shipment",-$O165,$O165),"")</f>
        <v/>
      </c>
      <c r="Q165" s="51" t="str">
        <f>IF($D165="","",IFERROR(INDEX(Products!$R$2:$R$101,MATCH($D165,Products!$A$2:$A$101,0)),""))</f>
        <v/>
      </c>
      <c r="R165" s="51" t="str">
        <f>IF(OR($Q165="",$P165=""),"",$Q165+SUMIFS($P$1:$P164,$D$1:$D164,$D165,$U$1:$U164,"Ready"))</f>
        <v/>
      </c>
      <c r="S165" s="51" t="str">
        <f>IF($R165="","",$R165+$P165)</f>
        <v/>
      </c>
      <c r="T165" s="52" t="str">
        <f>IF(COUNTA($A165:$L165)&gt;0,$BP165,"")</f>
        <v/>
      </c>
      <c r="U165" s="49" t="str">
        <f>IF($T165="","",IF($T165=0,"Ready","Rejected"))</f>
        <v/>
      </c>
      <c r="V165" s="49" t="str">
        <f>IF(OR($T165="",$T165=0),"",INDEX(Config!$D$39:$D$61,MATCH(1,$AT165:$BP165,0))&amp;IF($T165&gt;1," (+"&amp;($T165-1)&amp;" more)",""))</f>
        <v/>
      </c>
      <c r="W165" s="52">
        <f>IF(AND(COUNTA($A165:$L165)&gt;0,$A165=""),1,0)</f>
        <v>0</v>
      </c>
      <c r="X165" s="52">
        <f>IF(AND(COUNTA($A165:$L165)&gt;0,$A165&lt;&gt;""),IF(COUNTIF($A$1:$A164,$A165)&gt;0,1,0),0)</f>
        <v>0</v>
      </c>
      <c r="Y165" s="52">
        <f>IF(AND(COUNTA($A165:$L165)&gt;0,$A165&lt;&gt;""),IF(COUNTIF(Inventory_Ledger!$A$2:$A$2001,$A165)&gt;0,1,0),0)</f>
        <v>0</v>
      </c>
      <c r="Z165" s="52">
        <f>IF(AND(COUNTA($A165:$L165)&gt;0,$B165=""),1,0)</f>
        <v>0</v>
      </c>
      <c r="AA165" s="52">
        <f>IF(AND(COUNTA($A165:$L165)&gt;0,$B165&lt;&gt;""),IF($M165="ERR",1,0),0)</f>
        <v>0</v>
      </c>
      <c r="AB165" s="52">
        <f>IF(AND(COUNTA($A165:$L165)&gt;0,ISNUMBER($M165)),IF($M165&gt;Config!$B$4,1,0),0)</f>
        <v>0</v>
      </c>
      <c r="AC165" s="52">
        <f>IF(AND(COUNTA($A165:$L165)&gt;0,$C165=""),1,0)</f>
        <v>0</v>
      </c>
      <c r="AD165" s="52">
        <f>IF(AND(COUNTA($A165:$L165)&gt;0,$C165&lt;&gt;""),IF(COUNTIF(Config!$A$15:$A$34,$C165)=0,1,0),0)</f>
        <v>0</v>
      </c>
      <c r="AE165" s="52">
        <f>IF(AND(COUNTA($A165:$L165)&gt;0,$D165=""),1,0)</f>
        <v>0</v>
      </c>
      <c r="AF165" s="52">
        <f>IF(AND(COUNTA($A165:$L165)&gt;0,$D165&lt;&gt;""),IF(COUNTIF(Products!$A$2:$A$101,$D165)=0,1,0),0)</f>
        <v>0</v>
      </c>
      <c r="AG165" s="52">
        <f>IF(AND(COUNTA($A165:$L165)&gt;0,$C165="Receipt",$E165=""),1,0)</f>
        <v>0</v>
      </c>
      <c r="AH165" s="52">
        <f>IF(AND(COUNTA($A165:$L165)&gt;0,$E165&lt;&gt;""),IF(COUNTIF(Suppliers!$A$2:$A$51,$E165)=0,1,0),0)</f>
        <v>0</v>
      </c>
      <c r="AI165" s="52">
        <f>IF(AND(COUNTA($A165:$L165)&gt;0,$F165=""),1,0)</f>
        <v>0</v>
      </c>
      <c r="AJ165" s="52">
        <f>IF(AND(COUNTA($A165:$L165)&gt;0,$F165&lt;&gt;"",$D165&lt;&gt;"",OR($C165="Shipment",$C165="Adjustment")),IF($AF165=1,0,IF(COUNTIFS(Batches!$A$2:$A$301,$F165,Batches!$B$2:$B$301,$D165)+COUNTIFS($F$1:$F164,$F165,$D$1:$D164,$D165,$C$1:$C164,"Receipt")=0,1,0)),0)</f>
        <v>0</v>
      </c>
      <c r="AK165" s="52">
        <f>IF(AND(COUNTA($A165:$L165)&gt;0,$C165="Receipt",$G165=""),1,0)</f>
        <v>0</v>
      </c>
      <c r="AL165" s="52">
        <f>IF(AND(COUNTA($A165:$L165)&gt;0,$G165&lt;&gt;""),IF($N165="ERR",1,0),0)</f>
        <v>0</v>
      </c>
      <c r="AM165" s="52">
        <f>IF(AND(COUNTA($A165:$L165)&gt;0,$H165=""),1,0)</f>
        <v>0</v>
      </c>
      <c r="AN165" s="52">
        <f>IF(AND(COUNTA($A165:$L165)&gt;0,$H165&lt;&gt;""),IF($O165="ERR",1,IF(INT($O165)&lt;&gt;$O165,1,IF(AND(OR($C165="Receipt",$C165="Shipment"),$O165&lt;=0),1,IF(AND($C165="Adjustment",$O165=0),1,0)))),0)</f>
        <v>0</v>
      </c>
      <c r="AO165" s="52">
        <f>IF(AND(COUNTA($A165:$L165)&gt;0,$C165="Receipt",$I165=""),1,0)</f>
        <v>0</v>
      </c>
      <c r="AP165" s="52">
        <f>IF(AND(COUNTA($A165:$L165)&gt;0,$I165&lt;&gt;""),IF(IFERROR(INDEX(Config!$G$15:$G$34,MATCH($I165,Config!$E$15:$E$34,0)),"No")="Yes",0,1),0)</f>
        <v>0</v>
      </c>
      <c r="AQ165" s="52">
        <f>IF(AND(COUNTA($A165:$L165)&gt;0,$C165="Adjustment",$J165=""),1,0)</f>
        <v>0</v>
      </c>
      <c r="AR165" s="52">
        <f>IF(AND(COUNTA($A165:$L165)&gt;0,$L165=""),1,0)</f>
        <v>0</v>
      </c>
      <c r="AS165" s="52">
        <f>IF(AND(COUNTA($A165:$L165)&gt;0,ISNUMBER($S165)),IF($S165&lt;0,1,0),0)</f>
        <v>0</v>
      </c>
      <c r="AT165" s="52">
        <f>$W165</f>
        <v>0</v>
      </c>
      <c r="AU165" s="52">
        <f>$AT165+$X165</f>
        <v>0</v>
      </c>
      <c r="AV165" s="52">
        <f>$AU165+$Y165</f>
        <v>0</v>
      </c>
      <c r="AW165" s="52">
        <f>$AV165+$Z165</f>
        <v>0</v>
      </c>
      <c r="AX165" s="52">
        <f>$AW165+$AA165</f>
        <v>0</v>
      </c>
      <c r="AY165" s="52">
        <f>$AX165+$AB165</f>
        <v>0</v>
      </c>
      <c r="AZ165" s="52">
        <f>$AY165+$AC165</f>
        <v>0</v>
      </c>
      <c r="BA165" s="52">
        <f>$AZ165+$AD165</f>
        <v>0</v>
      </c>
      <c r="BB165" s="52">
        <f>$BA165+$AE165</f>
        <v>0</v>
      </c>
      <c r="BC165" s="52">
        <f>$BB165+$AF165</f>
        <v>0</v>
      </c>
      <c r="BD165" s="52">
        <f>$BC165+$AG165</f>
        <v>0</v>
      </c>
      <c r="BE165" s="52">
        <f>$BD165+$AH165</f>
        <v>0</v>
      </c>
      <c r="BF165" s="52">
        <f>$BE165+$AI165</f>
        <v>0</v>
      </c>
      <c r="BG165" s="52">
        <f>$BF165+$AJ165</f>
        <v>0</v>
      </c>
      <c r="BH165" s="52">
        <f>$BG165+$AK165</f>
        <v>0</v>
      </c>
      <c r="BI165" s="52">
        <f>$BH165+$AL165</f>
        <v>0</v>
      </c>
      <c r="BJ165" s="52">
        <f>$BI165+$AM165</f>
        <v>0</v>
      </c>
      <c r="BK165" s="52">
        <f>$BJ165+$AN165</f>
        <v>0</v>
      </c>
      <c r="BL165" s="52">
        <f>$BK165+$AO165</f>
        <v>0</v>
      </c>
      <c r="BM165" s="52">
        <f>$BL165+$AP165</f>
        <v>0</v>
      </c>
      <c r="BN165" s="52">
        <f>$BM165+$AQ165</f>
        <v>0</v>
      </c>
      <c r="BO165" s="52">
        <f>$BN165+$AR165</f>
        <v>0</v>
      </c>
      <c r="BP165" s="52">
        <f>$BO165+$AS165</f>
        <v>0</v>
      </c>
      <c r="BQ165" s="52">
        <f>SUM($T$1:$T164)</f>
        <v>11</v>
      </c>
      <c r="BR165" s="52" t="str">
        <f>IF(ISNUMBER($T165),IF($T165&gt;0,COUNTIF($T$2:$T165,"&gt;0"),""),"")</f>
        <v/>
      </c>
      <c r="BS165" s="52" t="str">
        <f>IF($BR165="","",$BQ165+$T165)</f>
        <v/>
      </c>
      <c r="BT165" s="52" t="str">
        <f>IF($U165="Ready",COUNTIF($U$2:$U165,"Ready"),"")</f>
        <v/>
      </c>
      <c r="BU165" s="52">
        <f>IF(AND($U165="Ready",$C165="Receipt"),IF(COUNTIF(Batches!$A$2:$A$301,$F165)+COUNTIFS($F$1:$F164,$F165,$C$1:$C164,"Receipt",$U$1:$U164,"Ready")=0,1,0),0)</f>
        <v>0</v>
      </c>
      <c r="BV165" s="52" t="str">
        <f>IF($BU165=1,SUM($BU$2:$BU165),"")</f>
        <v/>
      </c>
    </row>
    <row r="166">
      <c r="A166" s="46" t="n"/>
      <c r="B166" s="46" t="n"/>
      <c r="C166" s="46" t="n"/>
      <c r="D166" s="46" t="n"/>
      <c r="E166" s="46" t="n"/>
      <c r="F166" s="46" t="n"/>
      <c r="G166" s="46" t="n"/>
      <c r="H166" s="46" t="n"/>
      <c r="I166" s="46" t="n"/>
      <c r="J166" s="46" t="n"/>
      <c r="K166" s="46" t="n"/>
      <c r="L166" s="46" t="n"/>
      <c r="M166" s="62" t="str">
        <f>IF($B166="","",IF(ISNUMBER($B166),$B166,IF(AND(LEN($B166)=10,MID($B166,5,1)="-",MID($B166,8,1)="-"),IFERROR(IF(AND(MONTH(DATE(VALUE(LEFT($B166,4)),VALUE(MID($B166,6,2)),VALUE(RIGHT($B166,2))))=VALUE(MID($B166,6,2)),DAY(DATE(VALUE(LEFT($B166,4)),VALUE(MID($B166,6,2)),VALUE(RIGHT($B166,2))))=VALUE(RIGHT($B166,2))),DATE(VALUE(LEFT($B166,4)),VALUE(MID($B166,6,2)),VALUE(RIGHT($B166,2))),"ERR"),"ERR"),"ERR")))</f>
        <v/>
      </c>
      <c r="N166" s="62" t="str">
        <f>IF($G166="","",IF(ISNUMBER($G166),$G166,IF(AND(LEN($G166)=10,MID($G166,5,1)="-",MID($G166,8,1)="-"),IFERROR(IF(AND(MONTH(DATE(VALUE(LEFT($G166,4)),VALUE(MID($G166,6,2)),VALUE(RIGHT($G166,2))))=VALUE(MID($G166,6,2)),DAY(DATE(VALUE(LEFT($G166,4)),VALUE(MID($G166,6,2)),VALUE(RIGHT($G166,2))))=VALUE(RIGHT($G166,2))),DATE(VALUE(LEFT($G166,4)),VALUE(MID($G166,6,2)),VALUE(RIGHT($G166,2))),"ERR"),"ERR"),"ERR")))</f>
        <v/>
      </c>
      <c r="O166" s="51" t="str">
        <f>IF($H166="","",IF(ISNUMBER($H166),$H166,IFERROR(VALUE($H166),"ERR")))</f>
        <v/>
      </c>
      <c r="P166" s="51" t="str">
        <f>IF(AND(ISNUMBER($O166),OR($C166="Receipt",$C166="Shipment",$C166="Adjustment")),IF($C166="Shipment",-$O166,$O166),"")</f>
        <v/>
      </c>
      <c r="Q166" s="51" t="str">
        <f>IF($D166="","",IFERROR(INDEX(Products!$R$2:$R$101,MATCH($D166,Products!$A$2:$A$101,0)),""))</f>
        <v/>
      </c>
      <c r="R166" s="51" t="str">
        <f>IF(OR($Q166="",$P166=""),"",$Q166+SUMIFS($P$1:$P165,$D$1:$D165,$D166,$U$1:$U165,"Ready"))</f>
        <v/>
      </c>
      <c r="S166" s="51" t="str">
        <f>IF($R166="","",$R166+$P166)</f>
        <v/>
      </c>
      <c r="T166" s="52" t="str">
        <f>IF(COUNTA($A166:$L166)&gt;0,$BP166,"")</f>
        <v/>
      </c>
      <c r="U166" s="49" t="str">
        <f>IF($T166="","",IF($T166=0,"Ready","Rejected"))</f>
        <v/>
      </c>
      <c r="V166" s="49" t="str">
        <f>IF(OR($T166="",$T166=0),"",INDEX(Config!$D$39:$D$61,MATCH(1,$AT166:$BP166,0))&amp;IF($T166&gt;1," (+"&amp;($T166-1)&amp;" more)",""))</f>
        <v/>
      </c>
      <c r="W166" s="52">
        <f>IF(AND(COUNTA($A166:$L166)&gt;0,$A166=""),1,0)</f>
        <v>0</v>
      </c>
      <c r="X166" s="52">
        <f>IF(AND(COUNTA($A166:$L166)&gt;0,$A166&lt;&gt;""),IF(COUNTIF($A$1:$A165,$A166)&gt;0,1,0),0)</f>
        <v>0</v>
      </c>
      <c r="Y166" s="52">
        <f>IF(AND(COUNTA($A166:$L166)&gt;0,$A166&lt;&gt;""),IF(COUNTIF(Inventory_Ledger!$A$2:$A$2001,$A166)&gt;0,1,0),0)</f>
        <v>0</v>
      </c>
      <c r="Z166" s="52">
        <f>IF(AND(COUNTA($A166:$L166)&gt;0,$B166=""),1,0)</f>
        <v>0</v>
      </c>
      <c r="AA166" s="52">
        <f>IF(AND(COUNTA($A166:$L166)&gt;0,$B166&lt;&gt;""),IF($M166="ERR",1,0),0)</f>
        <v>0</v>
      </c>
      <c r="AB166" s="52">
        <f>IF(AND(COUNTA($A166:$L166)&gt;0,ISNUMBER($M166)),IF($M166&gt;Config!$B$4,1,0),0)</f>
        <v>0</v>
      </c>
      <c r="AC166" s="52">
        <f>IF(AND(COUNTA($A166:$L166)&gt;0,$C166=""),1,0)</f>
        <v>0</v>
      </c>
      <c r="AD166" s="52">
        <f>IF(AND(COUNTA($A166:$L166)&gt;0,$C166&lt;&gt;""),IF(COUNTIF(Config!$A$15:$A$34,$C166)=0,1,0),0)</f>
        <v>0</v>
      </c>
      <c r="AE166" s="52">
        <f>IF(AND(COUNTA($A166:$L166)&gt;0,$D166=""),1,0)</f>
        <v>0</v>
      </c>
      <c r="AF166" s="52">
        <f>IF(AND(COUNTA($A166:$L166)&gt;0,$D166&lt;&gt;""),IF(COUNTIF(Products!$A$2:$A$101,$D166)=0,1,0),0)</f>
        <v>0</v>
      </c>
      <c r="AG166" s="52">
        <f>IF(AND(COUNTA($A166:$L166)&gt;0,$C166="Receipt",$E166=""),1,0)</f>
        <v>0</v>
      </c>
      <c r="AH166" s="52">
        <f>IF(AND(COUNTA($A166:$L166)&gt;0,$E166&lt;&gt;""),IF(COUNTIF(Suppliers!$A$2:$A$51,$E166)=0,1,0),0)</f>
        <v>0</v>
      </c>
      <c r="AI166" s="52">
        <f>IF(AND(COUNTA($A166:$L166)&gt;0,$F166=""),1,0)</f>
        <v>0</v>
      </c>
      <c r="AJ166" s="52">
        <f>IF(AND(COUNTA($A166:$L166)&gt;0,$F166&lt;&gt;"",$D166&lt;&gt;"",OR($C166="Shipment",$C166="Adjustment")),IF($AF166=1,0,IF(COUNTIFS(Batches!$A$2:$A$301,$F166,Batches!$B$2:$B$301,$D166)+COUNTIFS($F$1:$F165,$F166,$D$1:$D165,$D166,$C$1:$C165,"Receipt")=0,1,0)),0)</f>
        <v>0</v>
      </c>
      <c r="AK166" s="52">
        <f>IF(AND(COUNTA($A166:$L166)&gt;0,$C166="Receipt",$G166=""),1,0)</f>
        <v>0</v>
      </c>
      <c r="AL166" s="52">
        <f>IF(AND(COUNTA($A166:$L166)&gt;0,$G166&lt;&gt;""),IF($N166="ERR",1,0),0)</f>
        <v>0</v>
      </c>
      <c r="AM166" s="52">
        <f>IF(AND(COUNTA($A166:$L166)&gt;0,$H166=""),1,0)</f>
        <v>0</v>
      </c>
      <c r="AN166" s="52">
        <f>IF(AND(COUNTA($A166:$L166)&gt;0,$H166&lt;&gt;""),IF($O166="ERR",1,IF(INT($O166)&lt;&gt;$O166,1,IF(AND(OR($C166="Receipt",$C166="Shipment"),$O166&lt;=0),1,IF(AND($C166="Adjustment",$O166=0),1,0)))),0)</f>
        <v>0</v>
      </c>
      <c r="AO166" s="52">
        <f>IF(AND(COUNTA($A166:$L166)&gt;0,$C166="Receipt",$I166=""),1,0)</f>
        <v>0</v>
      </c>
      <c r="AP166" s="52">
        <f>IF(AND(COUNTA($A166:$L166)&gt;0,$I166&lt;&gt;""),IF(IFERROR(INDEX(Config!$G$15:$G$34,MATCH($I166,Config!$E$15:$E$34,0)),"No")="Yes",0,1),0)</f>
        <v>0</v>
      </c>
      <c r="AQ166" s="52">
        <f>IF(AND(COUNTA($A166:$L166)&gt;0,$C166="Adjustment",$J166=""),1,0)</f>
        <v>0</v>
      </c>
      <c r="AR166" s="52">
        <f>IF(AND(COUNTA($A166:$L166)&gt;0,$L166=""),1,0)</f>
        <v>0</v>
      </c>
      <c r="AS166" s="52">
        <f>IF(AND(COUNTA($A166:$L166)&gt;0,ISNUMBER($S166)),IF($S166&lt;0,1,0),0)</f>
        <v>0</v>
      </c>
      <c r="AT166" s="52">
        <f>$W166</f>
        <v>0</v>
      </c>
      <c r="AU166" s="52">
        <f>$AT166+$X166</f>
        <v>0</v>
      </c>
      <c r="AV166" s="52">
        <f>$AU166+$Y166</f>
        <v>0</v>
      </c>
      <c r="AW166" s="52">
        <f>$AV166+$Z166</f>
        <v>0</v>
      </c>
      <c r="AX166" s="52">
        <f>$AW166+$AA166</f>
        <v>0</v>
      </c>
      <c r="AY166" s="52">
        <f>$AX166+$AB166</f>
        <v>0</v>
      </c>
      <c r="AZ166" s="52">
        <f>$AY166+$AC166</f>
        <v>0</v>
      </c>
      <c r="BA166" s="52">
        <f>$AZ166+$AD166</f>
        <v>0</v>
      </c>
      <c r="BB166" s="52">
        <f>$BA166+$AE166</f>
        <v>0</v>
      </c>
      <c r="BC166" s="52">
        <f>$BB166+$AF166</f>
        <v>0</v>
      </c>
      <c r="BD166" s="52">
        <f>$BC166+$AG166</f>
        <v>0</v>
      </c>
      <c r="BE166" s="52">
        <f>$BD166+$AH166</f>
        <v>0</v>
      </c>
      <c r="BF166" s="52">
        <f>$BE166+$AI166</f>
        <v>0</v>
      </c>
      <c r="BG166" s="52">
        <f>$BF166+$AJ166</f>
        <v>0</v>
      </c>
      <c r="BH166" s="52">
        <f>$BG166+$AK166</f>
        <v>0</v>
      </c>
      <c r="BI166" s="52">
        <f>$BH166+$AL166</f>
        <v>0</v>
      </c>
      <c r="BJ166" s="52">
        <f>$BI166+$AM166</f>
        <v>0</v>
      </c>
      <c r="BK166" s="52">
        <f>$BJ166+$AN166</f>
        <v>0</v>
      </c>
      <c r="BL166" s="52">
        <f>$BK166+$AO166</f>
        <v>0</v>
      </c>
      <c r="BM166" s="52">
        <f>$BL166+$AP166</f>
        <v>0</v>
      </c>
      <c r="BN166" s="52">
        <f>$BM166+$AQ166</f>
        <v>0</v>
      </c>
      <c r="BO166" s="52">
        <f>$BN166+$AR166</f>
        <v>0</v>
      </c>
      <c r="BP166" s="52">
        <f>$BO166+$AS166</f>
        <v>0</v>
      </c>
      <c r="BQ166" s="52">
        <f>SUM($T$1:$T165)</f>
        <v>11</v>
      </c>
      <c r="BR166" s="52" t="str">
        <f>IF(ISNUMBER($T166),IF($T166&gt;0,COUNTIF($T$2:$T166,"&gt;0"),""),"")</f>
        <v/>
      </c>
      <c r="BS166" s="52" t="str">
        <f>IF($BR166="","",$BQ166+$T166)</f>
        <v/>
      </c>
      <c r="BT166" s="52" t="str">
        <f>IF($U166="Ready",COUNTIF($U$2:$U166,"Ready"),"")</f>
        <v/>
      </c>
      <c r="BU166" s="52">
        <f>IF(AND($U166="Ready",$C166="Receipt"),IF(COUNTIF(Batches!$A$2:$A$301,$F166)+COUNTIFS($F$1:$F165,$F166,$C$1:$C165,"Receipt",$U$1:$U165,"Ready")=0,1,0),0)</f>
        <v>0</v>
      </c>
      <c r="BV166" s="52" t="str">
        <f>IF($BU166=1,SUM($BU$2:$BU166),"")</f>
        <v/>
      </c>
    </row>
    <row r="167">
      <c r="A167" s="46" t="n"/>
      <c r="B167" s="46" t="n"/>
      <c r="C167" s="46" t="n"/>
      <c r="D167" s="46" t="n"/>
      <c r="E167" s="46" t="n"/>
      <c r="F167" s="46" t="n"/>
      <c r="G167" s="46" t="n"/>
      <c r="H167" s="46" t="n"/>
      <c r="I167" s="46" t="n"/>
      <c r="J167" s="46" t="n"/>
      <c r="K167" s="46" t="n"/>
      <c r="L167" s="46" t="n"/>
      <c r="M167" s="62" t="str">
        <f>IF($B167="","",IF(ISNUMBER($B167),$B167,IF(AND(LEN($B167)=10,MID($B167,5,1)="-",MID($B167,8,1)="-"),IFERROR(IF(AND(MONTH(DATE(VALUE(LEFT($B167,4)),VALUE(MID($B167,6,2)),VALUE(RIGHT($B167,2))))=VALUE(MID($B167,6,2)),DAY(DATE(VALUE(LEFT($B167,4)),VALUE(MID($B167,6,2)),VALUE(RIGHT($B167,2))))=VALUE(RIGHT($B167,2))),DATE(VALUE(LEFT($B167,4)),VALUE(MID($B167,6,2)),VALUE(RIGHT($B167,2))),"ERR"),"ERR"),"ERR")))</f>
        <v/>
      </c>
      <c r="N167" s="62" t="str">
        <f>IF($G167="","",IF(ISNUMBER($G167),$G167,IF(AND(LEN($G167)=10,MID($G167,5,1)="-",MID($G167,8,1)="-"),IFERROR(IF(AND(MONTH(DATE(VALUE(LEFT($G167,4)),VALUE(MID($G167,6,2)),VALUE(RIGHT($G167,2))))=VALUE(MID($G167,6,2)),DAY(DATE(VALUE(LEFT($G167,4)),VALUE(MID($G167,6,2)),VALUE(RIGHT($G167,2))))=VALUE(RIGHT($G167,2))),DATE(VALUE(LEFT($G167,4)),VALUE(MID($G167,6,2)),VALUE(RIGHT($G167,2))),"ERR"),"ERR"),"ERR")))</f>
        <v/>
      </c>
      <c r="O167" s="51" t="str">
        <f>IF($H167="","",IF(ISNUMBER($H167),$H167,IFERROR(VALUE($H167),"ERR")))</f>
        <v/>
      </c>
      <c r="P167" s="51" t="str">
        <f>IF(AND(ISNUMBER($O167),OR($C167="Receipt",$C167="Shipment",$C167="Adjustment")),IF($C167="Shipment",-$O167,$O167),"")</f>
        <v/>
      </c>
      <c r="Q167" s="51" t="str">
        <f>IF($D167="","",IFERROR(INDEX(Products!$R$2:$R$101,MATCH($D167,Products!$A$2:$A$101,0)),""))</f>
        <v/>
      </c>
      <c r="R167" s="51" t="str">
        <f>IF(OR($Q167="",$P167=""),"",$Q167+SUMIFS($P$1:$P166,$D$1:$D166,$D167,$U$1:$U166,"Ready"))</f>
        <v/>
      </c>
      <c r="S167" s="51" t="str">
        <f>IF($R167="","",$R167+$P167)</f>
        <v/>
      </c>
      <c r="T167" s="52" t="str">
        <f>IF(COUNTA($A167:$L167)&gt;0,$BP167,"")</f>
        <v/>
      </c>
      <c r="U167" s="49" t="str">
        <f>IF($T167="","",IF($T167=0,"Ready","Rejected"))</f>
        <v/>
      </c>
      <c r="V167" s="49" t="str">
        <f>IF(OR($T167="",$T167=0),"",INDEX(Config!$D$39:$D$61,MATCH(1,$AT167:$BP167,0))&amp;IF($T167&gt;1," (+"&amp;($T167-1)&amp;" more)",""))</f>
        <v/>
      </c>
      <c r="W167" s="52">
        <f>IF(AND(COUNTA($A167:$L167)&gt;0,$A167=""),1,0)</f>
        <v>0</v>
      </c>
      <c r="X167" s="52">
        <f>IF(AND(COUNTA($A167:$L167)&gt;0,$A167&lt;&gt;""),IF(COUNTIF($A$1:$A166,$A167)&gt;0,1,0),0)</f>
        <v>0</v>
      </c>
      <c r="Y167" s="52">
        <f>IF(AND(COUNTA($A167:$L167)&gt;0,$A167&lt;&gt;""),IF(COUNTIF(Inventory_Ledger!$A$2:$A$2001,$A167)&gt;0,1,0),0)</f>
        <v>0</v>
      </c>
      <c r="Z167" s="52">
        <f>IF(AND(COUNTA($A167:$L167)&gt;0,$B167=""),1,0)</f>
        <v>0</v>
      </c>
      <c r="AA167" s="52">
        <f>IF(AND(COUNTA($A167:$L167)&gt;0,$B167&lt;&gt;""),IF($M167="ERR",1,0),0)</f>
        <v>0</v>
      </c>
      <c r="AB167" s="52">
        <f>IF(AND(COUNTA($A167:$L167)&gt;0,ISNUMBER($M167)),IF($M167&gt;Config!$B$4,1,0),0)</f>
        <v>0</v>
      </c>
      <c r="AC167" s="52">
        <f>IF(AND(COUNTA($A167:$L167)&gt;0,$C167=""),1,0)</f>
        <v>0</v>
      </c>
      <c r="AD167" s="52">
        <f>IF(AND(COUNTA($A167:$L167)&gt;0,$C167&lt;&gt;""),IF(COUNTIF(Config!$A$15:$A$34,$C167)=0,1,0),0)</f>
        <v>0</v>
      </c>
      <c r="AE167" s="52">
        <f>IF(AND(COUNTA($A167:$L167)&gt;0,$D167=""),1,0)</f>
        <v>0</v>
      </c>
      <c r="AF167" s="52">
        <f>IF(AND(COUNTA($A167:$L167)&gt;0,$D167&lt;&gt;""),IF(COUNTIF(Products!$A$2:$A$101,$D167)=0,1,0),0)</f>
        <v>0</v>
      </c>
      <c r="AG167" s="52">
        <f>IF(AND(COUNTA($A167:$L167)&gt;0,$C167="Receipt",$E167=""),1,0)</f>
        <v>0</v>
      </c>
      <c r="AH167" s="52">
        <f>IF(AND(COUNTA($A167:$L167)&gt;0,$E167&lt;&gt;""),IF(COUNTIF(Suppliers!$A$2:$A$51,$E167)=0,1,0),0)</f>
        <v>0</v>
      </c>
      <c r="AI167" s="52">
        <f>IF(AND(COUNTA($A167:$L167)&gt;0,$F167=""),1,0)</f>
        <v>0</v>
      </c>
      <c r="AJ167" s="52">
        <f>IF(AND(COUNTA($A167:$L167)&gt;0,$F167&lt;&gt;"",$D167&lt;&gt;"",OR($C167="Shipment",$C167="Adjustment")),IF($AF167=1,0,IF(COUNTIFS(Batches!$A$2:$A$301,$F167,Batches!$B$2:$B$301,$D167)+COUNTIFS($F$1:$F166,$F167,$D$1:$D166,$D167,$C$1:$C166,"Receipt")=0,1,0)),0)</f>
        <v>0</v>
      </c>
      <c r="AK167" s="52">
        <f>IF(AND(COUNTA($A167:$L167)&gt;0,$C167="Receipt",$G167=""),1,0)</f>
        <v>0</v>
      </c>
      <c r="AL167" s="52">
        <f>IF(AND(COUNTA($A167:$L167)&gt;0,$G167&lt;&gt;""),IF($N167="ERR",1,0),0)</f>
        <v>0</v>
      </c>
      <c r="AM167" s="52">
        <f>IF(AND(COUNTA($A167:$L167)&gt;0,$H167=""),1,0)</f>
        <v>0</v>
      </c>
      <c r="AN167" s="52">
        <f>IF(AND(COUNTA($A167:$L167)&gt;0,$H167&lt;&gt;""),IF($O167="ERR",1,IF(INT($O167)&lt;&gt;$O167,1,IF(AND(OR($C167="Receipt",$C167="Shipment"),$O167&lt;=0),1,IF(AND($C167="Adjustment",$O167=0),1,0)))),0)</f>
        <v>0</v>
      </c>
      <c r="AO167" s="52">
        <f>IF(AND(COUNTA($A167:$L167)&gt;0,$C167="Receipt",$I167=""),1,0)</f>
        <v>0</v>
      </c>
      <c r="AP167" s="52">
        <f>IF(AND(COUNTA($A167:$L167)&gt;0,$I167&lt;&gt;""),IF(IFERROR(INDEX(Config!$G$15:$G$34,MATCH($I167,Config!$E$15:$E$34,0)),"No")="Yes",0,1),0)</f>
        <v>0</v>
      </c>
      <c r="AQ167" s="52">
        <f>IF(AND(COUNTA($A167:$L167)&gt;0,$C167="Adjustment",$J167=""),1,0)</f>
        <v>0</v>
      </c>
      <c r="AR167" s="52">
        <f>IF(AND(COUNTA($A167:$L167)&gt;0,$L167=""),1,0)</f>
        <v>0</v>
      </c>
      <c r="AS167" s="52">
        <f>IF(AND(COUNTA($A167:$L167)&gt;0,ISNUMBER($S167)),IF($S167&lt;0,1,0),0)</f>
        <v>0</v>
      </c>
      <c r="AT167" s="52">
        <f>$W167</f>
        <v>0</v>
      </c>
      <c r="AU167" s="52">
        <f>$AT167+$X167</f>
        <v>0</v>
      </c>
      <c r="AV167" s="52">
        <f>$AU167+$Y167</f>
        <v>0</v>
      </c>
      <c r="AW167" s="52">
        <f>$AV167+$Z167</f>
        <v>0</v>
      </c>
      <c r="AX167" s="52">
        <f>$AW167+$AA167</f>
        <v>0</v>
      </c>
      <c r="AY167" s="52">
        <f>$AX167+$AB167</f>
        <v>0</v>
      </c>
      <c r="AZ167" s="52">
        <f>$AY167+$AC167</f>
        <v>0</v>
      </c>
      <c r="BA167" s="52">
        <f>$AZ167+$AD167</f>
        <v>0</v>
      </c>
      <c r="BB167" s="52">
        <f>$BA167+$AE167</f>
        <v>0</v>
      </c>
      <c r="BC167" s="52">
        <f>$BB167+$AF167</f>
        <v>0</v>
      </c>
      <c r="BD167" s="52">
        <f>$BC167+$AG167</f>
        <v>0</v>
      </c>
      <c r="BE167" s="52">
        <f>$BD167+$AH167</f>
        <v>0</v>
      </c>
      <c r="BF167" s="52">
        <f>$BE167+$AI167</f>
        <v>0</v>
      </c>
      <c r="BG167" s="52">
        <f>$BF167+$AJ167</f>
        <v>0</v>
      </c>
      <c r="BH167" s="52">
        <f>$BG167+$AK167</f>
        <v>0</v>
      </c>
      <c r="BI167" s="52">
        <f>$BH167+$AL167</f>
        <v>0</v>
      </c>
      <c r="BJ167" s="52">
        <f>$BI167+$AM167</f>
        <v>0</v>
      </c>
      <c r="BK167" s="52">
        <f>$BJ167+$AN167</f>
        <v>0</v>
      </c>
      <c r="BL167" s="52">
        <f>$BK167+$AO167</f>
        <v>0</v>
      </c>
      <c r="BM167" s="52">
        <f>$BL167+$AP167</f>
        <v>0</v>
      </c>
      <c r="BN167" s="52">
        <f>$BM167+$AQ167</f>
        <v>0</v>
      </c>
      <c r="BO167" s="52">
        <f>$BN167+$AR167</f>
        <v>0</v>
      </c>
      <c r="BP167" s="52">
        <f>$BO167+$AS167</f>
        <v>0</v>
      </c>
      <c r="BQ167" s="52">
        <f>SUM($T$1:$T166)</f>
        <v>11</v>
      </c>
      <c r="BR167" s="52" t="str">
        <f>IF(ISNUMBER($T167),IF($T167&gt;0,COUNTIF($T$2:$T167,"&gt;0"),""),"")</f>
        <v/>
      </c>
      <c r="BS167" s="52" t="str">
        <f>IF($BR167="","",$BQ167+$T167)</f>
        <v/>
      </c>
      <c r="BT167" s="52" t="str">
        <f>IF($U167="Ready",COUNTIF($U$2:$U167,"Ready"),"")</f>
        <v/>
      </c>
      <c r="BU167" s="52">
        <f>IF(AND($U167="Ready",$C167="Receipt"),IF(COUNTIF(Batches!$A$2:$A$301,$F167)+COUNTIFS($F$1:$F166,$F167,$C$1:$C166,"Receipt",$U$1:$U166,"Ready")=0,1,0),0)</f>
        <v>0</v>
      </c>
      <c r="BV167" s="52" t="str">
        <f>IF($BU167=1,SUM($BU$2:$BU167),"")</f>
        <v/>
      </c>
    </row>
    <row r="168">
      <c r="A168" s="46" t="n"/>
      <c r="B168" s="46" t="n"/>
      <c r="C168" s="46" t="n"/>
      <c r="D168" s="46" t="n"/>
      <c r="E168" s="46" t="n"/>
      <c r="F168" s="46" t="n"/>
      <c r="G168" s="46" t="n"/>
      <c r="H168" s="46" t="n"/>
      <c r="I168" s="46" t="n"/>
      <c r="J168" s="46" t="n"/>
      <c r="K168" s="46" t="n"/>
      <c r="L168" s="46" t="n"/>
      <c r="M168" s="62" t="str">
        <f>IF($B168="","",IF(ISNUMBER($B168),$B168,IF(AND(LEN($B168)=10,MID($B168,5,1)="-",MID($B168,8,1)="-"),IFERROR(IF(AND(MONTH(DATE(VALUE(LEFT($B168,4)),VALUE(MID($B168,6,2)),VALUE(RIGHT($B168,2))))=VALUE(MID($B168,6,2)),DAY(DATE(VALUE(LEFT($B168,4)),VALUE(MID($B168,6,2)),VALUE(RIGHT($B168,2))))=VALUE(RIGHT($B168,2))),DATE(VALUE(LEFT($B168,4)),VALUE(MID($B168,6,2)),VALUE(RIGHT($B168,2))),"ERR"),"ERR"),"ERR")))</f>
        <v/>
      </c>
      <c r="N168" s="62" t="str">
        <f>IF($G168="","",IF(ISNUMBER($G168),$G168,IF(AND(LEN($G168)=10,MID($G168,5,1)="-",MID($G168,8,1)="-"),IFERROR(IF(AND(MONTH(DATE(VALUE(LEFT($G168,4)),VALUE(MID($G168,6,2)),VALUE(RIGHT($G168,2))))=VALUE(MID($G168,6,2)),DAY(DATE(VALUE(LEFT($G168,4)),VALUE(MID($G168,6,2)),VALUE(RIGHT($G168,2))))=VALUE(RIGHT($G168,2))),DATE(VALUE(LEFT($G168,4)),VALUE(MID($G168,6,2)),VALUE(RIGHT($G168,2))),"ERR"),"ERR"),"ERR")))</f>
        <v/>
      </c>
      <c r="O168" s="51" t="str">
        <f>IF($H168="","",IF(ISNUMBER($H168),$H168,IFERROR(VALUE($H168),"ERR")))</f>
        <v/>
      </c>
      <c r="P168" s="51" t="str">
        <f>IF(AND(ISNUMBER($O168),OR($C168="Receipt",$C168="Shipment",$C168="Adjustment")),IF($C168="Shipment",-$O168,$O168),"")</f>
        <v/>
      </c>
      <c r="Q168" s="51" t="str">
        <f>IF($D168="","",IFERROR(INDEX(Products!$R$2:$R$101,MATCH($D168,Products!$A$2:$A$101,0)),""))</f>
        <v/>
      </c>
      <c r="R168" s="51" t="str">
        <f>IF(OR($Q168="",$P168=""),"",$Q168+SUMIFS($P$1:$P167,$D$1:$D167,$D168,$U$1:$U167,"Ready"))</f>
        <v/>
      </c>
      <c r="S168" s="51" t="str">
        <f>IF($R168="","",$R168+$P168)</f>
        <v/>
      </c>
      <c r="T168" s="52" t="str">
        <f>IF(COUNTA($A168:$L168)&gt;0,$BP168,"")</f>
        <v/>
      </c>
      <c r="U168" s="49" t="str">
        <f>IF($T168="","",IF($T168=0,"Ready","Rejected"))</f>
        <v/>
      </c>
      <c r="V168" s="49" t="str">
        <f>IF(OR($T168="",$T168=0),"",INDEX(Config!$D$39:$D$61,MATCH(1,$AT168:$BP168,0))&amp;IF($T168&gt;1," (+"&amp;($T168-1)&amp;" more)",""))</f>
        <v/>
      </c>
      <c r="W168" s="52">
        <f>IF(AND(COUNTA($A168:$L168)&gt;0,$A168=""),1,0)</f>
        <v>0</v>
      </c>
      <c r="X168" s="52">
        <f>IF(AND(COUNTA($A168:$L168)&gt;0,$A168&lt;&gt;""),IF(COUNTIF($A$1:$A167,$A168)&gt;0,1,0),0)</f>
        <v>0</v>
      </c>
      <c r="Y168" s="52">
        <f>IF(AND(COUNTA($A168:$L168)&gt;0,$A168&lt;&gt;""),IF(COUNTIF(Inventory_Ledger!$A$2:$A$2001,$A168)&gt;0,1,0),0)</f>
        <v>0</v>
      </c>
      <c r="Z168" s="52">
        <f>IF(AND(COUNTA($A168:$L168)&gt;0,$B168=""),1,0)</f>
        <v>0</v>
      </c>
      <c r="AA168" s="52">
        <f>IF(AND(COUNTA($A168:$L168)&gt;0,$B168&lt;&gt;""),IF($M168="ERR",1,0),0)</f>
        <v>0</v>
      </c>
      <c r="AB168" s="52">
        <f>IF(AND(COUNTA($A168:$L168)&gt;0,ISNUMBER($M168)),IF($M168&gt;Config!$B$4,1,0),0)</f>
        <v>0</v>
      </c>
      <c r="AC168" s="52">
        <f>IF(AND(COUNTA($A168:$L168)&gt;0,$C168=""),1,0)</f>
        <v>0</v>
      </c>
      <c r="AD168" s="52">
        <f>IF(AND(COUNTA($A168:$L168)&gt;0,$C168&lt;&gt;""),IF(COUNTIF(Config!$A$15:$A$34,$C168)=0,1,0),0)</f>
        <v>0</v>
      </c>
      <c r="AE168" s="52">
        <f>IF(AND(COUNTA($A168:$L168)&gt;0,$D168=""),1,0)</f>
        <v>0</v>
      </c>
      <c r="AF168" s="52">
        <f>IF(AND(COUNTA($A168:$L168)&gt;0,$D168&lt;&gt;""),IF(COUNTIF(Products!$A$2:$A$101,$D168)=0,1,0),0)</f>
        <v>0</v>
      </c>
      <c r="AG168" s="52">
        <f>IF(AND(COUNTA($A168:$L168)&gt;0,$C168="Receipt",$E168=""),1,0)</f>
        <v>0</v>
      </c>
      <c r="AH168" s="52">
        <f>IF(AND(COUNTA($A168:$L168)&gt;0,$E168&lt;&gt;""),IF(COUNTIF(Suppliers!$A$2:$A$51,$E168)=0,1,0),0)</f>
        <v>0</v>
      </c>
      <c r="AI168" s="52">
        <f>IF(AND(COUNTA($A168:$L168)&gt;0,$F168=""),1,0)</f>
        <v>0</v>
      </c>
      <c r="AJ168" s="52">
        <f>IF(AND(COUNTA($A168:$L168)&gt;0,$F168&lt;&gt;"",$D168&lt;&gt;"",OR($C168="Shipment",$C168="Adjustment")),IF($AF168=1,0,IF(COUNTIFS(Batches!$A$2:$A$301,$F168,Batches!$B$2:$B$301,$D168)+COUNTIFS($F$1:$F167,$F168,$D$1:$D167,$D168,$C$1:$C167,"Receipt")=0,1,0)),0)</f>
        <v>0</v>
      </c>
      <c r="AK168" s="52">
        <f>IF(AND(COUNTA($A168:$L168)&gt;0,$C168="Receipt",$G168=""),1,0)</f>
        <v>0</v>
      </c>
      <c r="AL168" s="52">
        <f>IF(AND(COUNTA($A168:$L168)&gt;0,$G168&lt;&gt;""),IF($N168="ERR",1,0),0)</f>
        <v>0</v>
      </c>
      <c r="AM168" s="52">
        <f>IF(AND(COUNTA($A168:$L168)&gt;0,$H168=""),1,0)</f>
        <v>0</v>
      </c>
      <c r="AN168" s="52">
        <f>IF(AND(COUNTA($A168:$L168)&gt;0,$H168&lt;&gt;""),IF($O168="ERR",1,IF(INT($O168)&lt;&gt;$O168,1,IF(AND(OR($C168="Receipt",$C168="Shipment"),$O168&lt;=0),1,IF(AND($C168="Adjustment",$O168=0),1,0)))),0)</f>
        <v>0</v>
      </c>
      <c r="AO168" s="52">
        <f>IF(AND(COUNTA($A168:$L168)&gt;0,$C168="Receipt",$I168=""),1,0)</f>
        <v>0</v>
      </c>
      <c r="AP168" s="52">
        <f>IF(AND(COUNTA($A168:$L168)&gt;0,$I168&lt;&gt;""),IF(IFERROR(INDEX(Config!$G$15:$G$34,MATCH($I168,Config!$E$15:$E$34,0)),"No")="Yes",0,1),0)</f>
        <v>0</v>
      </c>
      <c r="AQ168" s="52">
        <f>IF(AND(COUNTA($A168:$L168)&gt;0,$C168="Adjustment",$J168=""),1,0)</f>
        <v>0</v>
      </c>
      <c r="AR168" s="52">
        <f>IF(AND(COUNTA($A168:$L168)&gt;0,$L168=""),1,0)</f>
        <v>0</v>
      </c>
      <c r="AS168" s="52">
        <f>IF(AND(COUNTA($A168:$L168)&gt;0,ISNUMBER($S168)),IF($S168&lt;0,1,0),0)</f>
        <v>0</v>
      </c>
      <c r="AT168" s="52">
        <f>$W168</f>
        <v>0</v>
      </c>
      <c r="AU168" s="52">
        <f>$AT168+$X168</f>
        <v>0</v>
      </c>
      <c r="AV168" s="52">
        <f>$AU168+$Y168</f>
        <v>0</v>
      </c>
      <c r="AW168" s="52">
        <f>$AV168+$Z168</f>
        <v>0</v>
      </c>
      <c r="AX168" s="52">
        <f>$AW168+$AA168</f>
        <v>0</v>
      </c>
      <c r="AY168" s="52">
        <f>$AX168+$AB168</f>
        <v>0</v>
      </c>
      <c r="AZ168" s="52">
        <f>$AY168+$AC168</f>
        <v>0</v>
      </c>
      <c r="BA168" s="52">
        <f>$AZ168+$AD168</f>
        <v>0</v>
      </c>
      <c r="BB168" s="52">
        <f>$BA168+$AE168</f>
        <v>0</v>
      </c>
      <c r="BC168" s="52">
        <f>$BB168+$AF168</f>
        <v>0</v>
      </c>
      <c r="BD168" s="52">
        <f>$BC168+$AG168</f>
        <v>0</v>
      </c>
      <c r="BE168" s="52">
        <f>$BD168+$AH168</f>
        <v>0</v>
      </c>
      <c r="BF168" s="52">
        <f>$BE168+$AI168</f>
        <v>0</v>
      </c>
      <c r="BG168" s="52">
        <f>$BF168+$AJ168</f>
        <v>0</v>
      </c>
      <c r="BH168" s="52">
        <f>$BG168+$AK168</f>
        <v>0</v>
      </c>
      <c r="BI168" s="52">
        <f>$BH168+$AL168</f>
        <v>0</v>
      </c>
      <c r="BJ168" s="52">
        <f>$BI168+$AM168</f>
        <v>0</v>
      </c>
      <c r="BK168" s="52">
        <f>$BJ168+$AN168</f>
        <v>0</v>
      </c>
      <c r="BL168" s="52">
        <f>$BK168+$AO168</f>
        <v>0</v>
      </c>
      <c r="BM168" s="52">
        <f>$BL168+$AP168</f>
        <v>0</v>
      </c>
      <c r="BN168" s="52">
        <f>$BM168+$AQ168</f>
        <v>0</v>
      </c>
      <c r="BO168" s="52">
        <f>$BN168+$AR168</f>
        <v>0</v>
      </c>
      <c r="BP168" s="52">
        <f>$BO168+$AS168</f>
        <v>0</v>
      </c>
      <c r="BQ168" s="52">
        <f>SUM($T$1:$T167)</f>
        <v>11</v>
      </c>
      <c r="BR168" s="52" t="str">
        <f>IF(ISNUMBER($T168),IF($T168&gt;0,COUNTIF($T$2:$T168,"&gt;0"),""),"")</f>
        <v/>
      </c>
      <c r="BS168" s="52" t="str">
        <f>IF($BR168="","",$BQ168+$T168)</f>
        <v/>
      </c>
      <c r="BT168" s="52" t="str">
        <f>IF($U168="Ready",COUNTIF($U$2:$U168,"Ready"),"")</f>
        <v/>
      </c>
      <c r="BU168" s="52">
        <f>IF(AND($U168="Ready",$C168="Receipt"),IF(COUNTIF(Batches!$A$2:$A$301,$F168)+COUNTIFS($F$1:$F167,$F168,$C$1:$C167,"Receipt",$U$1:$U167,"Ready")=0,1,0),0)</f>
        <v>0</v>
      </c>
      <c r="BV168" s="52" t="str">
        <f>IF($BU168=1,SUM($BU$2:$BU168),"")</f>
        <v/>
      </c>
    </row>
    <row r="169">
      <c r="A169" s="46" t="n"/>
      <c r="B169" s="46" t="n"/>
      <c r="C169" s="46" t="n"/>
      <c r="D169" s="46" t="n"/>
      <c r="E169" s="46" t="n"/>
      <c r="F169" s="46" t="n"/>
      <c r="G169" s="46" t="n"/>
      <c r="H169" s="46" t="n"/>
      <c r="I169" s="46" t="n"/>
      <c r="J169" s="46" t="n"/>
      <c r="K169" s="46" t="n"/>
      <c r="L169" s="46" t="n"/>
      <c r="M169" s="62" t="str">
        <f>IF($B169="","",IF(ISNUMBER($B169),$B169,IF(AND(LEN($B169)=10,MID($B169,5,1)="-",MID($B169,8,1)="-"),IFERROR(IF(AND(MONTH(DATE(VALUE(LEFT($B169,4)),VALUE(MID($B169,6,2)),VALUE(RIGHT($B169,2))))=VALUE(MID($B169,6,2)),DAY(DATE(VALUE(LEFT($B169,4)),VALUE(MID($B169,6,2)),VALUE(RIGHT($B169,2))))=VALUE(RIGHT($B169,2))),DATE(VALUE(LEFT($B169,4)),VALUE(MID($B169,6,2)),VALUE(RIGHT($B169,2))),"ERR"),"ERR"),"ERR")))</f>
        <v/>
      </c>
      <c r="N169" s="62" t="str">
        <f>IF($G169="","",IF(ISNUMBER($G169),$G169,IF(AND(LEN($G169)=10,MID($G169,5,1)="-",MID($G169,8,1)="-"),IFERROR(IF(AND(MONTH(DATE(VALUE(LEFT($G169,4)),VALUE(MID($G169,6,2)),VALUE(RIGHT($G169,2))))=VALUE(MID($G169,6,2)),DAY(DATE(VALUE(LEFT($G169,4)),VALUE(MID($G169,6,2)),VALUE(RIGHT($G169,2))))=VALUE(RIGHT($G169,2))),DATE(VALUE(LEFT($G169,4)),VALUE(MID($G169,6,2)),VALUE(RIGHT($G169,2))),"ERR"),"ERR"),"ERR")))</f>
        <v/>
      </c>
      <c r="O169" s="51" t="str">
        <f>IF($H169="","",IF(ISNUMBER($H169),$H169,IFERROR(VALUE($H169),"ERR")))</f>
        <v/>
      </c>
      <c r="P169" s="51" t="str">
        <f>IF(AND(ISNUMBER($O169),OR($C169="Receipt",$C169="Shipment",$C169="Adjustment")),IF($C169="Shipment",-$O169,$O169),"")</f>
        <v/>
      </c>
      <c r="Q169" s="51" t="str">
        <f>IF($D169="","",IFERROR(INDEX(Products!$R$2:$R$101,MATCH($D169,Products!$A$2:$A$101,0)),""))</f>
        <v/>
      </c>
      <c r="R169" s="51" t="str">
        <f>IF(OR($Q169="",$P169=""),"",$Q169+SUMIFS($P$1:$P168,$D$1:$D168,$D169,$U$1:$U168,"Ready"))</f>
        <v/>
      </c>
      <c r="S169" s="51" t="str">
        <f>IF($R169="","",$R169+$P169)</f>
        <v/>
      </c>
      <c r="T169" s="52" t="str">
        <f>IF(COUNTA($A169:$L169)&gt;0,$BP169,"")</f>
        <v/>
      </c>
      <c r="U169" s="49" t="str">
        <f>IF($T169="","",IF($T169=0,"Ready","Rejected"))</f>
        <v/>
      </c>
      <c r="V169" s="49" t="str">
        <f>IF(OR($T169="",$T169=0),"",INDEX(Config!$D$39:$D$61,MATCH(1,$AT169:$BP169,0))&amp;IF($T169&gt;1," (+"&amp;($T169-1)&amp;" more)",""))</f>
        <v/>
      </c>
      <c r="W169" s="52">
        <f>IF(AND(COUNTA($A169:$L169)&gt;0,$A169=""),1,0)</f>
        <v>0</v>
      </c>
      <c r="X169" s="52">
        <f>IF(AND(COUNTA($A169:$L169)&gt;0,$A169&lt;&gt;""),IF(COUNTIF($A$1:$A168,$A169)&gt;0,1,0),0)</f>
        <v>0</v>
      </c>
      <c r="Y169" s="52">
        <f>IF(AND(COUNTA($A169:$L169)&gt;0,$A169&lt;&gt;""),IF(COUNTIF(Inventory_Ledger!$A$2:$A$2001,$A169)&gt;0,1,0),0)</f>
        <v>0</v>
      </c>
      <c r="Z169" s="52">
        <f>IF(AND(COUNTA($A169:$L169)&gt;0,$B169=""),1,0)</f>
        <v>0</v>
      </c>
      <c r="AA169" s="52">
        <f>IF(AND(COUNTA($A169:$L169)&gt;0,$B169&lt;&gt;""),IF($M169="ERR",1,0),0)</f>
        <v>0</v>
      </c>
      <c r="AB169" s="52">
        <f>IF(AND(COUNTA($A169:$L169)&gt;0,ISNUMBER($M169)),IF($M169&gt;Config!$B$4,1,0),0)</f>
        <v>0</v>
      </c>
      <c r="AC169" s="52">
        <f>IF(AND(COUNTA($A169:$L169)&gt;0,$C169=""),1,0)</f>
        <v>0</v>
      </c>
      <c r="AD169" s="52">
        <f>IF(AND(COUNTA($A169:$L169)&gt;0,$C169&lt;&gt;""),IF(COUNTIF(Config!$A$15:$A$34,$C169)=0,1,0),0)</f>
        <v>0</v>
      </c>
      <c r="AE169" s="52">
        <f>IF(AND(COUNTA($A169:$L169)&gt;0,$D169=""),1,0)</f>
        <v>0</v>
      </c>
      <c r="AF169" s="52">
        <f>IF(AND(COUNTA($A169:$L169)&gt;0,$D169&lt;&gt;""),IF(COUNTIF(Products!$A$2:$A$101,$D169)=0,1,0),0)</f>
        <v>0</v>
      </c>
      <c r="AG169" s="52">
        <f>IF(AND(COUNTA($A169:$L169)&gt;0,$C169="Receipt",$E169=""),1,0)</f>
        <v>0</v>
      </c>
      <c r="AH169" s="52">
        <f>IF(AND(COUNTA($A169:$L169)&gt;0,$E169&lt;&gt;""),IF(COUNTIF(Suppliers!$A$2:$A$51,$E169)=0,1,0),0)</f>
        <v>0</v>
      </c>
      <c r="AI169" s="52">
        <f>IF(AND(COUNTA($A169:$L169)&gt;0,$F169=""),1,0)</f>
        <v>0</v>
      </c>
      <c r="AJ169" s="52">
        <f>IF(AND(COUNTA($A169:$L169)&gt;0,$F169&lt;&gt;"",$D169&lt;&gt;"",OR($C169="Shipment",$C169="Adjustment")),IF($AF169=1,0,IF(COUNTIFS(Batches!$A$2:$A$301,$F169,Batches!$B$2:$B$301,$D169)+COUNTIFS($F$1:$F168,$F169,$D$1:$D168,$D169,$C$1:$C168,"Receipt")=0,1,0)),0)</f>
        <v>0</v>
      </c>
      <c r="AK169" s="52">
        <f>IF(AND(COUNTA($A169:$L169)&gt;0,$C169="Receipt",$G169=""),1,0)</f>
        <v>0</v>
      </c>
      <c r="AL169" s="52">
        <f>IF(AND(COUNTA($A169:$L169)&gt;0,$G169&lt;&gt;""),IF($N169="ERR",1,0),0)</f>
        <v>0</v>
      </c>
      <c r="AM169" s="52">
        <f>IF(AND(COUNTA($A169:$L169)&gt;0,$H169=""),1,0)</f>
        <v>0</v>
      </c>
      <c r="AN169" s="52">
        <f>IF(AND(COUNTA($A169:$L169)&gt;0,$H169&lt;&gt;""),IF($O169="ERR",1,IF(INT($O169)&lt;&gt;$O169,1,IF(AND(OR($C169="Receipt",$C169="Shipment"),$O169&lt;=0),1,IF(AND($C169="Adjustment",$O169=0),1,0)))),0)</f>
        <v>0</v>
      </c>
      <c r="AO169" s="52">
        <f>IF(AND(COUNTA($A169:$L169)&gt;0,$C169="Receipt",$I169=""),1,0)</f>
        <v>0</v>
      </c>
      <c r="AP169" s="52">
        <f>IF(AND(COUNTA($A169:$L169)&gt;0,$I169&lt;&gt;""),IF(IFERROR(INDEX(Config!$G$15:$G$34,MATCH($I169,Config!$E$15:$E$34,0)),"No")="Yes",0,1),0)</f>
        <v>0</v>
      </c>
      <c r="AQ169" s="52">
        <f>IF(AND(COUNTA($A169:$L169)&gt;0,$C169="Adjustment",$J169=""),1,0)</f>
        <v>0</v>
      </c>
      <c r="AR169" s="52">
        <f>IF(AND(COUNTA($A169:$L169)&gt;0,$L169=""),1,0)</f>
        <v>0</v>
      </c>
      <c r="AS169" s="52">
        <f>IF(AND(COUNTA($A169:$L169)&gt;0,ISNUMBER($S169)),IF($S169&lt;0,1,0),0)</f>
        <v>0</v>
      </c>
      <c r="AT169" s="52">
        <f>$W169</f>
        <v>0</v>
      </c>
      <c r="AU169" s="52">
        <f>$AT169+$X169</f>
        <v>0</v>
      </c>
      <c r="AV169" s="52">
        <f>$AU169+$Y169</f>
        <v>0</v>
      </c>
      <c r="AW169" s="52">
        <f>$AV169+$Z169</f>
        <v>0</v>
      </c>
      <c r="AX169" s="52">
        <f>$AW169+$AA169</f>
        <v>0</v>
      </c>
      <c r="AY169" s="52">
        <f>$AX169+$AB169</f>
        <v>0</v>
      </c>
      <c r="AZ169" s="52">
        <f>$AY169+$AC169</f>
        <v>0</v>
      </c>
      <c r="BA169" s="52">
        <f>$AZ169+$AD169</f>
        <v>0</v>
      </c>
      <c r="BB169" s="52">
        <f>$BA169+$AE169</f>
        <v>0</v>
      </c>
      <c r="BC169" s="52">
        <f>$BB169+$AF169</f>
        <v>0</v>
      </c>
      <c r="BD169" s="52">
        <f>$BC169+$AG169</f>
        <v>0</v>
      </c>
      <c r="BE169" s="52">
        <f>$BD169+$AH169</f>
        <v>0</v>
      </c>
      <c r="BF169" s="52">
        <f>$BE169+$AI169</f>
        <v>0</v>
      </c>
      <c r="BG169" s="52">
        <f>$BF169+$AJ169</f>
        <v>0</v>
      </c>
      <c r="BH169" s="52">
        <f>$BG169+$AK169</f>
        <v>0</v>
      </c>
      <c r="BI169" s="52">
        <f>$BH169+$AL169</f>
        <v>0</v>
      </c>
      <c r="BJ169" s="52">
        <f>$BI169+$AM169</f>
        <v>0</v>
      </c>
      <c r="BK169" s="52">
        <f>$BJ169+$AN169</f>
        <v>0</v>
      </c>
      <c r="BL169" s="52">
        <f>$BK169+$AO169</f>
        <v>0</v>
      </c>
      <c r="BM169" s="52">
        <f>$BL169+$AP169</f>
        <v>0</v>
      </c>
      <c r="BN169" s="52">
        <f>$BM169+$AQ169</f>
        <v>0</v>
      </c>
      <c r="BO169" s="52">
        <f>$BN169+$AR169</f>
        <v>0</v>
      </c>
      <c r="BP169" s="52">
        <f>$BO169+$AS169</f>
        <v>0</v>
      </c>
      <c r="BQ169" s="52">
        <f>SUM($T$1:$T168)</f>
        <v>11</v>
      </c>
      <c r="BR169" s="52" t="str">
        <f>IF(ISNUMBER($T169),IF($T169&gt;0,COUNTIF($T$2:$T169,"&gt;0"),""),"")</f>
        <v/>
      </c>
      <c r="BS169" s="52" t="str">
        <f>IF($BR169="","",$BQ169+$T169)</f>
        <v/>
      </c>
      <c r="BT169" s="52" t="str">
        <f>IF($U169="Ready",COUNTIF($U$2:$U169,"Ready"),"")</f>
        <v/>
      </c>
      <c r="BU169" s="52">
        <f>IF(AND($U169="Ready",$C169="Receipt"),IF(COUNTIF(Batches!$A$2:$A$301,$F169)+COUNTIFS($F$1:$F168,$F169,$C$1:$C168,"Receipt",$U$1:$U168,"Ready")=0,1,0),0)</f>
        <v>0</v>
      </c>
      <c r="BV169" s="52" t="str">
        <f>IF($BU169=1,SUM($BU$2:$BU169),"")</f>
        <v/>
      </c>
    </row>
    <row r="170">
      <c r="A170" s="46" t="n"/>
      <c r="B170" s="46" t="n"/>
      <c r="C170" s="46" t="n"/>
      <c r="D170" s="46" t="n"/>
      <c r="E170" s="46" t="n"/>
      <c r="F170" s="46" t="n"/>
      <c r="G170" s="46" t="n"/>
      <c r="H170" s="46" t="n"/>
      <c r="I170" s="46" t="n"/>
      <c r="J170" s="46" t="n"/>
      <c r="K170" s="46" t="n"/>
      <c r="L170" s="46" t="n"/>
      <c r="M170" s="62" t="str">
        <f>IF($B170="","",IF(ISNUMBER($B170),$B170,IF(AND(LEN($B170)=10,MID($B170,5,1)="-",MID($B170,8,1)="-"),IFERROR(IF(AND(MONTH(DATE(VALUE(LEFT($B170,4)),VALUE(MID($B170,6,2)),VALUE(RIGHT($B170,2))))=VALUE(MID($B170,6,2)),DAY(DATE(VALUE(LEFT($B170,4)),VALUE(MID($B170,6,2)),VALUE(RIGHT($B170,2))))=VALUE(RIGHT($B170,2))),DATE(VALUE(LEFT($B170,4)),VALUE(MID($B170,6,2)),VALUE(RIGHT($B170,2))),"ERR"),"ERR"),"ERR")))</f>
        <v/>
      </c>
      <c r="N170" s="62" t="str">
        <f>IF($G170="","",IF(ISNUMBER($G170),$G170,IF(AND(LEN($G170)=10,MID($G170,5,1)="-",MID($G170,8,1)="-"),IFERROR(IF(AND(MONTH(DATE(VALUE(LEFT($G170,4)),VALUE(MID($G170,6,2)),VALUE(RIGHT($G170,2))))=VALUE(MID($G170,6,2)),DAY(DATE(VALUE(LEFT($G170,4)),VALUE(MID($G170,6,2)),VALUE(RIGHT($G170,2))))=VALUE(RIGHT($G170,2))),DATE(VALUE(LEFT($G170,4)),VALUE(MID($G170,6,2)),VALUE(RIGHT($G170,2))),"ERR"),"ERR"),"ERR")))</f>
        <v/>
      </c>
      <c r="O170" s="51" t="str">
        <f>IF($H170="","",IF(ISNUMBER($H170),$H170,IFERROR(VALUE($H170),"ERR")))</f>
        <v/>
      </c>
      <c r="P170" s="51" t="str">
        <f>IF(AND(ISNUMBER($O170),OR($C170="Receipt",$C170="Shipment",$C170="Adjustment")),IF($C170="Shipment",-$O170,$O170),"")</f>
        <v/>
      </c>
      <c r="Q170" s="51" t="str">
        <f>IF($D170="","",IFERROR(INDEX(Products!$R$2:$R$101,MATCH($D170,Products!$A$2:$A$101,0)),""))</f>
        <v/>
      </c>
      <c r="R170" s="51" t="str">
        <f>IF(OR($Q170="",$P170=""),"",$Q170+SUMIFS($P$1:$P169,$D$1:$D169,$D170,$U$1:$U169,"Ready"))</f>
        <v/>
      </c>
      <c r="S170" s="51" t="str">
        <f>IF($R170="","",$R170+$P170)</f>
        <v/>
      </c>
      <c r="T170" s="52" t="str">
        <f>IF(COUNTA($A170:$L170)&gt;0,$BP170,"")</f>
        <v/>
      </c>
      <c r="U170" s="49" t="str">
        <f>IF($T170="","",IF($T170=0,"Ready","Rejected"))</f>
        <v/>
      </c>
      <c r="V170" s="49" t="str">
        <f>IF(OR($T170="",$T170=0),"",INDEX(Config!$D$39:$D$61,MATCH(1,$AT170:$BP170,0))&amp;IF($T170&gt;1," (+"&amp;($T170-1)&amp;" more)",""))</f>
        <v/>
      </c>
      <c r="W170" s="52">
        <f>IF(AND(COUNTA($A170:$L170)&gt;0,$A170=""),1,0)</f>
        <v>0</v>
      </c>
      <c r="X170" s="52">
        <f>IF(AND(COUNTA($A170:$L170)&gt;0,$A170&lt;&gt;""),IF(COUNTIF($A$1:$A169,$A170)&gt;0,1,0),0)</f>
        <v>0</v>
      </c>
      <c r="Y170" s="52">
        <f>IF(AND(COUNTA($A170:$L170)&gt;0,$A170&lt;&gt;""),IF(COUNTIF(Inventory_Ledger!$A$2:$A$2001,$A170)&gt;0,1,0),0)</f>
        <v>0</v>
      </c>
      <c r="Z170" s="52">
        <f>IF(AND(COUNTA($A170:$L170)&gt;0,$B170=""),1,0)</f>
        <v>0</v>
      </c>
      <c r="AA170" s="52">
        <f>IF(AND(COUNTA($A170:$L170)&gt;0,$B170&lt;&gt;""),IF($M170="ERR",1,0),0)</f>
        <v>0</v>
      </c>
      <c r="AB170" s="52">
        <f>IF(AND(COUNTA($A170:$L170)&gt;0,ISNUMBER($M170)),IF($M170&gt;Config!$B$4,1,0),0)</f>
        <v>0</v>
      </c>
      <c r="AC170" s="52">
        <f>IF(AND(COUNTA($A170:$L170)&gt;0,$C170=""),1,0)</f>
        <v>0</v>
      </c>
      <c r="AD170" s="52">
        <f>IF(AND(COUNTA($A170:$L170)&gt;0,$C170&lt;&gt;""),IF(COUNTIF(Config!$A$15:$A$34,$C170)=0,1,0),0)</f>
        <v>0</v>
      </c>
      <c r="AE170" s="52">
        <f>IF(AND(COUNTA($A170:$L170)&gt;0,$D170=""),1,0)</f>
        <v>0</v>
      </c>
      <c r="AF170" s="52">
        <f>IF(AND(COUNTA($A170:$L170)&gt;0,$D170&lt;&gt;""),IF(COUNTIF(Products!$A$2:$A$101,$D170)=0,1,0),0)</f>
        <v>0</v>
      </c>
      <c r="AG170" s="52">
        <f>IF(AND(COUNTA($A170:$L170)&gt;0,$C170="Receipt",$E170=""),1,0)</f>
        <v>0</v>
      </c>
      <c r="AH170" s="52">
        <f>IF(AND(COUNTA($A170:$L170)&gt;0,$E170&lt;&gt;""),IF(COUNTIF(Suppliers!$A$2:$A$51,$E170)=0,1,0),0)</f>
        <v>0</v>
      </c>
      <c r="AI170" s="52">
        <f>IF(AND(COUNTA($A170:$L170)&gt;0,$F170=""),1,0)</f>
        <v>0</v>
      </c>
      <c r="AJ170" s="52">
        <f>IF(AND(COUNTA($A170:$L170)&gt;0,$F170&lt;&gt;"",$D170&lt;&gt;"",OR($C170="Shipment",$C170="Adjustment")),IF($AF170=1,0,IF(COUNTIFS(Batches!$A$2:$A$301,$F170,Batches!$B$2:$B$301,$D170)+COUNTIFS($F$1:$F169,$F170,$D$1:$D169,$D170,$C$1:$C169,"Receipt")=0,1,0)),0)</f>
        <v>0</v>
      </c>
      <c r="AK170" s="52">
        <f>IF(AND(COUNTA($A170:$L170)&gt;0,$C170="Receipt",$G170=""),1,0)</f>
        <v>0</v>
      </c>
      <c r="AL170" s="52">
        <f>IF(AND(COUNTA($A170:$L170)&gt;0,$G170&lt;&gt;""),IF($N170="ERR",1,0),0)</f>
        <v>0</v>
      </c>
      <c r="AM170" s="52">
        <f>IF(AND(COUNTA($A170:$L170)&gt;0,$H170=""),1,0)</f>
        <v>0</v>
      </c>
      <c r="AN170" s="52">
        <f>IF(AND(COUNTA($A170:$L170)&gt;0,$H170&lt;&gt;""),IF($O170="ERR",1,IF(INT($O170)&lt;&gt;$O170,1,IF(AND(OR($C170="Receipt",$C170="Shipment"),$O170&lt;=0),1,IF(AND($C170="Adjustment",$O170=0),1,0)))),0)</f>
        <v>0</v>
      </c>
      <c r="AO170" s="52">
        <f>IF(AND(COUNTA($A170:$L170)&gt;0,$C170="Receipt",$I170=""),1,0)</f>
        <v>0</v>
      </c>
      <c r="AP170" s="52">
        <f>IF(AND(COUNTA($A170:$L170)&gt;0,$I170&lt;&gt;""),IF(IFERROR(INDEX(Config!$G$15:$G$34,MATCH($I170,Config!$E$15:$E$34,0)),"No")="Yes",0,1),0)</f>
        <v>0</v>
      </c>
      <c r="AQ170" s="52">
        <f>IF(AND(COUNTA($A170:$L170)&gt;0,$C170="Adjustment",$J170=""),1,0)</f>
        <v>0</v>
      </c>
      <c r="AR170" s="52">
        <f>IF(AND(COUNTA($A170:$L170)&gt;0,$L170=""),1,0)</f>
        <v>0</v>
      </c>
      <c r="AS170" s="52">
        <f>IF(AND(COUNTA($A170:$L170)&gt;0,ISNUMBER($S170)),IF($S170&lt;0,1,0),0)</f>
        <v>0</v>
      </c>
      <c r="AT170" s="52">
        <f>$W170</f>
        <v>0</v>
      </c>
      <c r="AU170" s="52">
        <f>$AT170+$X170</f>
        <v>0</v>
      </c>
      <c r="AV170" s="52">
        <f>$AU170+$Y170</f>
        <v>0</v>
      </c>
      <c r="AW170" s="52">
        <f>$AV170+$Z170</f>
        <v>0</v>
      </c>
      <c r="AX170" s="52">
        <f>$AW170+$AA170</f>
        <v>0</v>
      </c>
      <c r="AY170" s="52">
        <f>$AX170+$AB170</f>
        <v>0</v>
      </c>
      <c r="AZ170" s="52">
        <f>$AY170+$AC170</f>
        <v>0</v>
      </c>
      <c r="BA170" s="52">
        <f>$AZ170+$AD170</f>
        <v>0</v>
      </c>
      <c r="BB170" s="52">
        <f>$BA170+$AE170</f>
        <v>0</v>
      </c>
      <c r="BC170" s="52">
        <f>$BB170+$AF170</f>
        <v>0</v>
      </c>
      <c r="BD170" s="52">
        <f>$BC170+$AG170</f>
        <v>0</v>
      </c>
      <c r="BE170" s="52">
        <f>$BD170+$AH170</f>
        <v>0</v>
      </c>
      <c r="BF170" s="52">
        <f>$BE170+$AI170</f>
        <v>0</v>
      </c>
      <c r="BG170" s="52">
        <f>$BF170+$AJ170</f>
        <v>0</v>
      </c>
      <c r="BH170" s="52">
        <f>$BG170+$AK170</f>
        <v>0</v>
      </c>
      <c r="BI170" s="52">
        <f>$BH170+$AL170</f>
        <v>0</v>
      </c>
      <c r="BJ170" s="52">
        <f>$BI170+$AM170</f>
        <v>0</v>
      </c>
      <c r="BK170" s="52">
        <f>$BJ170+$AN170</f>
        <v>0</v>
      </c>
      <c r="BL170" s="52">
        <f>$BK170+$AO170</f>
        <v>0</v>
      </c>
      <c r="BM170" s="52">
        <f>$BL170+$AP170</f>
        <v>0</v>
      </c>
      <c r="BN170" s="52">
        <f>$BM170+$AQ170</f>
        <v>0</v>
      </c>
      <c r="BO170" s="52">
        <f>$BN170+$AR170</f>
        <v>0</v>
      </c>
      <c r="BP170" s="52">
        <f>$BO170+$AS170</f>
        <v>0</v>
      </c>
      <c r="BQ170" s="52">
        <f>SUM($T$1:$T169)</f>
        <v>11</v>
      </c>
      <c r="BR170" s="52" t="str">
        <f>IF(ISNUMBER($T170),IF($T170&gt;0,COUNTIF($T$2:$T170,"&gt;0"),""),"")</f>
        <v/>
      </c>
      <c r="BS170" s="52" t="str">
        <f>IF($BR170="","",$BQ170+$T170)</f>
        <v/>
      </c>
      <c r="BT170" s="52" t="str">
        <f>IF($U170="Ready",COUNTIF($U$2:$U170,"Ready"),"")</f>
        <v/>
      </c>
      <c r="BU170" s="52">
        <f>IF(AND($U170="Ready",$C170="Receipt"),IF(COUNTIF(Batches!$A$2:$A$301,$F170)+COUNTIFS($F$1:$F169,$F170,$C$1:$C169,"Receipt",$U$1:$U169,"Ready")=0,1,0),0)</f>
        <v>0</v>
      </c>
      <c r="BV170" s="52" t="str">
        <f>IF($BU170=1,SUM($BU$2:$BU170),"")</f>
        <v/>
      </c>
    </row>
    <row r="171">
      <c r="A171" s="46" t="n"/>
      <c r="B171" s="46" t="n"/>
      <c r="C171" s="46" t="n"/>
      <c r="D171" s="46" t="n"/>
      <c r="E171" s="46" t="n"/>
      <c r="F171" s="46" t="n"/>
      <c r="G171" s="46" t="n"/>
      <c r="H171" s="46" t="n"/>
      <c r="I171" s="46" t="n"/>
      <c r="J171" s="46" t="n"/>
      <c r="K171" s="46" t="n"/>
      <c r="L171" s="46" t="n"/>
      <c r="M171" s="62" t="str">
        <f>IF($B171="","",IF(ISNUMBER($B171),$B171,IF(AND(LEN($B171)=10,MID($B171,5,1)="-",MID($B171,8,1)="-"),IFERROR(IF(AND(MONTH(DATE(VALUE(LEFT($B171,4)),VALUE(MID($B171,6,2)),VALUE(RIGHT($B171,2))))=VALUE(MID($B171,6,2)),DAY(DATE(VALUE(LEFT($B171,4)),VALUE(MID($B171,6,2)),VALUE(RIGHT($B171,2))))=VALUE(RIGHT($B171,2))),DATE(VALUE(LEFT($B171,4)),VALUE(MID($B171,6,2)),VALUE(RIGHT($B171,2))),"ERR"),"ERR"),"ERR")))</f>
        <v/>
      </c>
      <c r="N171" s="62" t="str">
        <f>IF($G171="","",IF(ISNUMBER($G171),$G171,IF(AND(LEN($G171)=10,MID($G171,5,1)="-",MID($G171,8,1)="-"),IFERROR(IF(AND(MONTH(DATE(VALUE(LEFT($G171,4)),VALUE(MID($G171,6,2)),VALUE(RIGHT($G171,2))))=VALUE(MID($G171,6,2)),DAY(DATE(VALUE(LEFT($G171,4)),VALUE(MID($G171,6,2)),VALUE(RIGHT($G171,2))))=VALUE(RIGHT($G171,2))),DATE(VALUE(LEFT($G171,4)),VALUE(MID($G171,6,2)),VALUE(RIGHT($G171,2))),"ERR"),"ERR"),"ERR")))</f>
        <v/>
      </c>
      <c r="O171" s="51" t="str">
        <f>IF($H171="","",IF(ISNUMBER($H171),$H171,IFERROR(VALUE($H171),"ERR")))</f>
        <v/>
      </c>
      <c r="P171" s="51" t="str">
        <f>IF(AND(ISNUMBER($O171),OR($C171="Receipt",$C171="Shipment",$C171="Adjustment")),IF($C171="Shipment",-$O171,$O171),"")</f>
        <v/>
      </c>
      <c r="Q171" s="51" t="str">
        <f>IF($D171="","",IFERROR(INDEX(Products!$R$2:$R$101,MATCH($D171,Products!$A$2:$A$101,0)),""))</f>
        <v/>
      </c>
      <c r="R171" s="51" t="str">
        <f>IF(OR($Q171="",$P171=""),"",$Q171+SUMIFS($P$1:$P170,$D$1:$D170,$D171,$U$1:$U170,"Ready"))</f>
        <v/>
      </c>
      <c r="S171" s="51" t="str">
        <f>IF($R171="","",$R171+$P171)</f>
        <v/>
      </c>
      <c r="T171" s="52" t="str">
        <f>IF(COUNTA($A171:$L171)&gt;0,$BP171,"")</f>
        <v/>
      </c>
      <c r="U171" s="49" t="str">
        <f>IF($T171="","",IF($T171=0,"Ready","Rejected"))</f>
        <v/>
      </c>
      <c r="V171" s="49" t="str">
        <f>IF(OR($T171="",$T171=0),"",INDEX(Config!$D$39:$D$61,MATCH(1,$AT171:$BP171,0))&amp;IF($T171&gt;1," (+"&amp;($T171-1)&amp;" more)",""))</f>
        <v/>
      </c>
      <c r="W171" s="52">
        <f>IF(AND(COUNTA($A171:$L171)&gt;0,$A171=""),1,0)</f>
        <v>0</v>
      </c>
      <c r="X171" s="52">
        <f>IF(AND(COUNTA($A171:$L171)&gt;0,$A171&lt;&gt;""),IF(COUNTIF($A$1:$A170,$A171)&gt;0,1,0),0)</f>
        <v>0</v>
      </c>
      <c r="Y171" s="52">
        <f>IF(AND(COUNTA($A171:$L171)&gt;0,$A171&lt;&gt;""),IF(COUNTIF(Inventory_Ledger!$A$2:$A$2001,$A171)&gt;0,1,0),0)</f>
        <v>0</v>
      </c>
      <c r="Z171" s="52">
        <f>IF(AND(COUNTA($A171:$L171)&gt;0,$B171=""),1,0)</f>
        <v>0</v>
      </c>
      <c r="AA171" s="52">
        <f>IF(AND(COUNTA($A171:$L171)&gt;0,$B171&lt;&gt;""),IF($M171="ERR",1,0),0)</f>
        <v>0</v>
      </c>
      <c r="AB171" s="52">
        <f>IF(AND(COUNTA($A171:$L171)&gt;0,ISNUMBER($M171)),IF($M171&gt;Config!$B$4,1,0),0)</f>
        <v>0</v>
      </c>
      <c r="AC171" s="52">
        <f>IF(AND(COUNTA($A171:$L171)&gt;0,$C171=""),1,0)</f>
        <v>0</v>
      </c>
      <c r="AD171" s="52">
        <f>IF(AND(COUNTA($A171:$L171)&gt;0,$C171&lt;&gt;""),IF(COUNTIF(Config!$A$15:$A$34,$C171)=0,1,0),0)</f>
        <v>0</v>
      </c>
      <c r="AE171" s="52">
        <f>IF(AND(COUNTA($A171:$L171)&gt;0,$D171=""),1,0)</f>
        <v>0</v>
      </c>
      <c r="AF171" s="52">
        <f>IF(AND(COUNTA($A171:$L171)&gt;0,$D171&lt;&gt;""),IF(COUNTIF(Products!$A$2:$A$101,$D171)=0,1,0),0)</f>
        <v>0</v>
      </c>
      <c r="AG171" s="52">
        <f>IF(AND(COUNTA($A171:$L171)&gt;0,$C171="Receipt",$E171=""),1,0)</f>
        <v>0</v>
      </c>
      <c r="AH171" s="52">
        <f>IF(AND(COUNTA($A171:$L171)&gt;0,$E171&lt;&gt;""),IF(COUNTIF(Suppliers!$A$2:$A$51,$E171)=0,1,0),0)</f>
        <v>0</v>
      </c>
      <c r="AI171" s="52">
        <f>IF(AND(COUNTA($A171:$L171)&gt;0,$F171=""),1,0)</f>
        <v>0</v>
      </c>
      <c r="AJ171" s="52">
        <f>IF(AND(COUNTA($A171:$L171)&gt;0,$F171&lt;&gt;"",$D171&lt;&gt;"",OR($C171="Shipment",$C171="Adjustment")),IF($AF171=1,0,IF(COUNTIFS(Batches!$A$2:$A$301,$F171,Batches!$B$2:$B$301,$D171)+COUNTIFS($F$1:$F170,$F171,$D$1:$D170,$D171,$C$1:$C170,"Receipt")=0,1,0)),0)</f>
        <v>0</v>
      </c>
      <c r="AK171" s="52">
        <f>IF(AND(COUNTA($A171:$L171)&gt;0,$C171="Receipt",$G171=""),1,0)</f>
        <v>0</v>
      </c>
      <c r="AL171" s="52">
        <f>IF(AND(COUNTA($A171:$L171)&gt;0,$G171&lt;&gt;""),IF($N171="ERR",1,0),0)</f>
        <v>0</v>
      </c>
      <c r="AM171" s="52">
        <f>IF(AND(COUNTA($A171:$L171)&gt;0,$H171=""),1,0)</f>
        <v>0</v>
      </c>
      <c r="AN171" s="52">
        <f>IF(AND(COUNTA($A171:$L171)&gt;0,$H171&lt;&gt;""),IF($O171="ERR",1,IF(INT($O171)&lt;&gt;$O171,1,IF(AND(OR($C171="Receipt",$C171="Shipment"),$O171&lt;=0),1,IF(AND($C171="Adjustment",$O171=0),1,0)))),0)</f>
        <v>0</v>
      </c>
      <c r="AO171" s="52">
        <f>IF(AND(COUNTA($A171:$L171)&gt;0,$C171="Receipt",$I171=""),1,0)</f>
        <v>0</v>
      </c>
      <c r="AP171" s="52">
        <f>IF(AND(COUNTA($A171:$L171)&gt;0,$I171&lt;&gt;""),IF(IFERROR(INDEX(Config!$G$15:$G$34,MATCH($I171,Config!$E$15:$E$34,0)),"No")="Yes",0,1),0)</f>
        <v>0</v>
      </c>
      <c r="AQ171" s="52">
        <f>IF(AND(COUNTA($A171:$L171)&gt;0,$C171="Adjustment",$J171=""),1,0)</f>
        <v>0</v>
      </c>
      <c r="AR171" s="52">
        <f>IF(AND(COUNTA($A171:$L171)&gt;0,$L171=""),1,0)</f>
        <v>0</v>
      </c>
      <c r="AS171" s="52">
        <f>IF(AND(COUNTA($A171:$L171)&gt;0,ISNUMBER($S171)),IF($S171&lt;0,1,0),0)</f>
        <v>0</v>
      </c>
      <c r="AT171" s="52">
        <f>$W171</f>
        <v>0</v>
      </c>
      <c r="AU171" s="52">
        <f>$AT171+$X171</f>
        <v>0</v>
      </c>
      <c r="AV171" s="52">
        <f>$AU171+$Y171</f>
        <v>0</v>
      </c>
      <c r="AW171" s="52">
        <f>$AV171+$Z171</f>
        <v>0</v>
      </c>
      <c r="AX171" s="52">
        <f>$AW171+$AA171</f>
        <v>0</v>
      </c>
      <c r="AY171" s="52">
        <f>$AX171+$AB171</f>
        <v>0</v>
      </c>
      <c r="AZ171" s="52">
        <f>$AY171+$AC171</f>
        <v>0</v>
      </c>
      <c r="BA171" s="52">
        <f>$AZ171+$AD171</f>
        <v>0</v>
      </c>
      <c r="BB171" s="52">
        <f>$BA171+$AE171</f>
        <v>0</v>
      </c>
      <c r="BC171" s="52">
        <f>$BB171+$AF171</f>
        <v>0</v>
      </c>
      <c r="BD171" s="52">
        <f>$BC171+$AG171</f>
        <v>0</v>
      </c>
      <c r="BE171" s="52">
        <f>$BD171+$AH171</f>
        <v>0</v>
      </c>
      <c r="BF171" s="52">
        <f>$BE171+$AI171</f>
        <v>0</v>
      </c>
      <c r="BG171" s="52">
        <f>$BF171+$AJ171</f>
        <v>0</v>
      </c>
      <c r="BH171" s="52">
        <f>$BG171+$AK171</f>
        <v>0</v>
      </c>
      <c r="BI171" s="52">
        <f>$BH171+$AL171</f>
        <v>0</v>
      </c>
      <c r="BJ171" s="52">
        <f>$BI171+$AM171</f>
        <v>0</v>
      </c>
      <c r="BK171" s="52">
        <f>$BJ171+$AN171</f>
        <v>0</v>
      </c>
      <c r="BL171" s="52">
        <f>$BK171+$AO171</f>
        <v>0</v>
      </c>
      <c r="BM171" s="52">
        <f>$BL171+$AP171</f>
        <v>0</v>
      </c>
      <c r="BN171" s="52">
        <f>$BM171+$AQ171</f>
        <v>0</v>
      </c>
      <c r="BO171" s="52">
        <f>$BN171+$AR171</f>
        <v>0</v>
      </c>
      <c r="BP171" s="52">
        <f>$BO171+$AS171</f>
        <v>0</v>
      </c>
      <c r="BQ171" s="52">
        <f>SUM($T$1:$T170)</f>
        <v>11</v>
      </c>
      <c r="BR171" s="52" t="str">
        <f>IF(ISNUMBER($T171),IF($T171&gt;0,COUNTIF($T$2:$T171,"&gt;0"),""),"")</f>
        <v/>
      </c>
      <c r="BS171" s="52" t="str">
        <f>IF($BR171="","",$BQ171+$T171)</f>
        <v/>
      </c>
      <c r="BT171" s="52" t="str">
        <f>IF($U171="Ready",COUNTIF($U$2:$U171,"Ready"),"")</f>
        <v/>
      </c>
      <c r="BU171" s="52">
        <f>IF(AND($U171="Ready",$C171="Receipt"),IF(COUNTIF(Batches!$A$2:$A$301,$F171)+COUNTIFS($F$1:$F170,$F171,$C$1:$C170,"Receipt",$U$1:$U170,"Ready")=0,1,0),0)</f>
        <v>0</v>
      </c>
      <c r="BV171" s="52" t="str">
        <f>IF($BU171=1,SUM($BU$2:$BU171),"")</f>
        <v/>
      </c>
    </row>
    <row r="172">
      <c r="A172" s="46" t="n"/>
      <c r="B172" s="46" t="n"/>
      <c r="C172" s="46" t="n"/>
      <c r="D172" s="46" t="n"/>
      <c r="E172" s="46" t="n"/>
      <c r="F172" s="46" t="n"/>
      <c r="G172" s="46" t="n"/>
      <c r="H172" s="46" t="n"/>
      <c r="I172" s="46" t="n"/>
      <c r="J172" s="46" t="n"/>
      <c r="K172" s="46" t="n"/>
      <c r="L172" s="46" t="n"/>
      <c r="M172" s="62" t="str">
        <f>IF($B172="","",IF(ISNUMBER($B172),$B172,IF(AND(LEN($B172)=10,MID($B172,5,1)="-",MID($B172,8,1)="-"),IFERROR(IF(AND(MONTH(DATE(VALUE(LEFT($B172,4)),VALUE(MID($B172,6,2)),VALUE(RIGHT($B172,2))))=VALUE(MID($B172,6,2)),DAY(DATE(VALUE(LEFT($B172,4)),VALUE(MID($B172,6,2)),VALUE(RIGHT($B172,2))))=VALUE(RIGHT($B172,2))),DATE(VALUE(LEFT($B172,4)),VALUE(MID($B172,6,2)),VALUE(RIGHT($B172,2))),"ERR"),"ERR"),"ERR")))</f>
        <v/>
      </c>
      <c r="N172" s="62" t="str">
        <f>IF($G172="","",IF(ISNUMBER($G172),$G172,IF(AND(LEN($G172)=10,MID($G172,5,1)="-",MID($G172,8,1)="-"),IFERROR(IF(AND(MONTH(DATE(VALUE(LEFT($G172,4)),VALUE(MID($G172,6,2)),VALUE(RIGHT($G172,2))))=VALUE(MID($G172,6,2)),DAY(DATE(VALUE(LEFT($G172,4)),VALUE(MID($G172,6,2)),VALUE(RIGHT($G172,2))))=VALUE(RIGHT($G172,2))),DATE(VALUE(LEFT($G172,4)),VALUE(MID($G172,6,2)),VALUE(RIGHT($G172,2))),"ERR"),"ERR"),"ERR")))</f>
        <v/>
      </c>
      <c r="O172" s="51" t="str">
        <f>IF($H172="","",IF(ISNUMBER($H172),$H172,IFERROR(VALUE($H172),"ERR")))</f>
        <v/>
      </c>
      <c r="P172" s="51" t="str">
        <f>IF(AND(ISNUMBER($O172),OR($C172="Receipt",$C172="Shipment",$C172="Adjustment")),IF($C172="Shipment",-$O172,$O172),"")</f>
        <v/>
      </c>
      <c r="Q172" s="51" t="str">
        <f>IF($D172="","",IFERROR(INDEX(Products!$R$2:$R$101,MATCH($D172,Products!$A$2:$A$101,0)),""))</f>
        <v/>
      </c>
      <c r="R172" s="51" t="str">
        <f>IF(OR($Q172="",$P172=""),"",$Q172+SUMIFS($P$1:$P171,$D$1:$D171,$D172,$U$1:$U171,"Ready"))</f>
        <v/>
      </c>
      <c r="S172" s="51" t="str">
        <f>IF($R172="","",$R172+$P172)</f>
        <v/>
      </c>
      <c r="T172" s="52" t="str">
        <f>IF(COUNTA($A172:$L172)&gt;0,$BP172,"")</f>
        <v/>
      </c>
      <c r="U172" s="49" t="str">
        <f>IF($T172="","",IF($T172=0,"Ready","Rejected"))</f>
        <v/>
      </c>
      <c r="V172" s="49" t="str">
        <f>IF(OR($T172="",$T172=0),"",INDEX(Config!$D$39:$D$61,MATCH(1,$AT172:$BP172,0))&amp;IF($T172&gt;1," (+"&amp;($T172-1)&amp;" more)",""))</f>
        <v/>
      </c>
      <c r="W172" s="52">
        <f>IF(AND(COUNTA($A172:$L172)&gt;0,$A172=""),1,0)</f>
        <v>0</v>
      </c>
      <c r="X172" s="52">
        <f>IF(AND(COUNTA($A172:$L172)&gt;0,$A172&lt;&gt;""),IF(COUNTIF($A$1:$A171,$A172)&gt;0,1,0),0)</f>
        <v>0</v>
      </c>
      <c r="Y172" s="52">
        <f>IF(AND(COUNTA($A172:$L172)&gt;0,$A172&lt;&gt;""),IF(COUNTIF(Inventory_Ledger!$A$2:$A$2001,$A172)&gt;0,1,0),0)</f>
        <v>0</v>
      </c>
      <c r="Z172" s="52">
        <f>IF(AND(COUNTA($A172:$L172)&gt;0,$B172=""),1,0)</f>
        <v>0</v>
      </c>
      <c r="AA172" s="52">
        <f>IF(AND(COUNTA($A172:$L172)&gt;0,$B172&lt;&gt;""),IF($M172="ERR",1,0),0)</f>
        <v>0</v>
      </c>
      <c r="AB172" s="52">
        <f>IF(AND(COUNTA($A172:$L172)&gt;0,ISNUMBER($M172)),IF($M172&gt;Config!$B$4,1,0),0)</f>
        <v>0</v>
      </c>
      <c r="AC172" s="52">
        <f>IF(AND(COUNTA($A172:$L172)&gt;0,$C172=""),1,0)</f>
        <v>0</v>
      </c>
      <c r="AD172" s="52">
        <f>IF(AND(COUNTA($A172:$L172)&gt;0,$C172&lt;&gt;""),IF(COUNTIF(Config!$A$15:$A$34,$C172)=0,1,0),0)</f>
        <v>0</v>
      </c>
      <c r="AE172" s="52">
        <f>IF(AND(COUNTA($A172:$L172)&gt;0,$D172=""),1,0)</f>
        <v>0</v>
      </c>
      <c r="AF172" s="52">
        <f>IF(AND(COUNTA($A172:$L172)&gt;0,$D172&lt;&gt;""),IF(COUNTIF(Products!$A$2:$A$101,$D172)=0,1,0),0)</f>
        <v>0</v>
      </c>
      <c r="AG172" s="52">
        <f>IF(AND(COUNTA($A172:$L172)&gt;0,$C172="Receipt",$E172=""),1,0)</f>
        <v>0</v>
      </c>
      <c r="AH172" s="52">
        <f>IF(AND(COUNTA($A172:$L172)&gt;0,$E172&lt;&gt;""),IF(COUNTIF(Suppliers!$A$2:$A$51,$E172)=0,1,0),0)</f>
        <v>0</v>
      </c>
      <c r="AI172" s="52">
        <f>IF(AND(COUNTA($A172:$L172)&gt;0,$F172=""),1,0)</f>
        <v>0</v>
      </c>
      <c r="AJ172" s="52">
        <f>IF(AND(COUNTA($A172:$L172)&gt;0,$F172&lt;&gt;"",$D172&lt;&gt;"",OR($C172="Shipment",$C172="Adjustment")),IF($AF172=1,0,IF(COUNTIFS(Batches!$A$2:$A$301,$F172,Batches!$B$2:$B$301,$D172)+COUNTIFS($F$1:$F171,$F172,$D$1:$D171,$D172,$C$1:$C171,"Receipt")=0,1,0)),0)</f>
        <v>0</v>
      </c>
      <c r="AK172" s="52">
        <f>IF(AND(COUNTA($A172:$L172)&gt;0,$C172="Receipt",$G172=""),1,0)</f>
        <v>0</v>
      </c>
      <c r="AL172" s="52">
        <f>IF(AND(COUNTA($A172:$L172)&gt;0,$G172&lt;&gt;""),IF($N172="ERR",1,0),0)</f>
        <v>0</v>
      </c>
      <c r="AM172" s="52">
        <f>IF(AND(COUNTA($A172:$L172)&gt;0,$H172=""),1,0)</f>
        <v>0</v>
      </c>
      <c r="AN172" s="52">
        <f>IF(AND(COUNTA($A172:$L172)&gt;0,$H172&lt;&gt;""),IF($O172="ERR",1,IF(INT($O172)&lt;&gt;$O172,1,IF(AND(OR($C172="Receipt",$C172="Shipment"),$O172&lt;=0),1,IF(AND($C172="Adjustment",$O172=0),1,0)))),0)</f>
        <v>0</v>
      </c>
      <c r="AO172" s="52">
        <f>IF(AND(COUNTA($A172:$L172)&gt;0,$C172="Receipt",$I172=""),1,0)</f>
        <v>0</v>
      </c>
      <c r="AP172" s="52">
        <f>IF(AND(COUNTA($A172:$L172)&gt;0,$I172&lt;&gt;""),IF(IFERROR(INDEX(Config!$G$15:$G$34,MATCH($I172,Config!$E$15:$E$34,0)),"No")="Yes",0,1),0)</f>
        <v>0</v>
      </c>
      <c r="AQ172" s="52">
        <f>IF(AND(COUNTA($A172:$L172)&gt;0,$C172="Adjustment",$J172=""),1,0)</f>
        <v>0</v>
      </c>
      <c r="AR172" s="52">
        <f>IF(AND(COUNTA($A172:$L172)&gt;0,$L172=""),1,0)</f>
        <v>0</v>
      </c>
      <c r="AS172" s="52">
        <f>IF(AND(COUNTA($A172:$L172)&gt;0,ISNUMBER($S172)),IF($S172&lt;0,1,0),0)</f>
        <v>0</v>
      </c>
      <c r="AT172" s="52">
        <f>$W172</f>
        <v>0</v>
      </c>
      <c r="AU172" s="52">
        <f>$AT172+$X172</f>
        <v>0</v>
      </c>
      <c r="AV172" s="52">
        <f>$AU172+$Y172</f>
        <v>0</v>
      </c>
      <c r="AW172" s="52">
        <f>$AV172+$Z172</f>
        <v>0</v>
      </c>
      <c r="AX172" s="52">
        <f>$AW172+$AA172</f>
        <v>0</v>
      </c>
      <c r="AY172" s="52">
        <f>$AX172+$AB172</f>
        <v>0</v>
      </c>
      <c r="AZ172" s="52">
        <f>$AY172+$AC172</f>
        <v>0</v>
      </c>
      <c r="BA172" s="52">
        <f>$AZ172+$AD172</f>
        <v>0</v>
      </c>
      <c r="BB172" s="52">
        <f>$BA172+$AE172</f>
        <v>0</v>
      </c>
      <c r="BC172" s="52">
        <f>$BB172+$AF172</f>
        <v>0</v>
      </c>
      <c r="BD172" s="52">
        <f>$BC172+$AG172</f>
        <v>0</v>
      </c>
      <c r="BE172" s="52">
        <f>$BD172+$AH172</f>
        <v>0</v>
      </c>
      <c r="BF172" s="52">
        <f>$BE172+$AI172</f>
        <v>0</v>
      </c>
      <c r="BG172" s="52">
        <f>$BF172+$AJ172</f>
        <v>0</v>
      </c>
      <c r="BH172" s="52">
        <f>$BG172+$AK172</f>
        <v>0</v>
      </c>
      <c r="BI172" s="52">
        <f>$BH172+$AL172</f>
        <v>0</v>
      </c>
      <c r="BJ172" s="52">
        <f>$BI172+$AM172</f>
        <v>0</v>
      </c>
      <c r="BK172" s="52">
        <f>$BJ172+$AN172</f>
        <v>0</v>
      </c>
      <c r="BL172" s="52">
        <f>$BK172+$AO172</f>
        <v>0</v>
      </c>
      <c r="BM172" s="52">
        <f>$BL172+$AP172</f>
        <v>0</v>
      </c>
      <c r="BN172" s="52">
        <f>$BM172+$AQ172</f>
        <v>0</v>
      </c>
      <c r="BO172" s="52">
        <f>$BN172+$AR172</f>
        <v>0</v>
      </c>
      <c r="BP172" s="52">
        <f>$BO172+$AS172</f>
        <v>0</v>
      </c>
      <c r="BQ172" s="52">
        <f>SUM($T$1:$T171)</f>
        <v>11</v>
      </c>
      <c r="BR172" s="52" t="str">
        <f>IF(ISNUMBER($T172),IF($T172&gt;0,COUNTIF($T$2:$T172,"&gt;0"),""),"")</f>
        <v/>
      </c>
      <c r="BS172" s="52" t="str">
        <f>IF($BR172="","",$BQ172+$T172)</f>
        <v/>
      </c>
      <c r="BT172" s="52" t="str">
        <f>IF($U172="Ready",COUNTIF($U$2:$U172,"Ready"),"")</f>
        <v/>
      </c>
      <c r="BU172" s="52">
        <f>IF(AND($U172="Ready",$C172="Receipt"),IF(COUNTIF(Batches!$A$2:$A$301,$F172)+COUNTIFS($F$1:$F171,$F172,$C$1:$C171,"Receipt",$U$1:$U171,"Ready")=0,1,0),0)</f>
        <v>0</v>
      </c>
      <c r="BV172" s="52" t="str">
        <f>IF($BU172=1,SUM($BU$2:$BU172),"")</f>
        <v/>
      </c>
    </row>
    <row r="173">
      <c r="A173" s="46" t="n"/>
      <c r="B173" s="46" t="n"/>
      <c r="C173" s="46" t="n"/>
      <c r="D173" s="46" t="n"/>
      <c r="E173" s="46" t="n"/>
      <c r="F173" s="46" t="n"/>
      <c r="G173" s="46" t="n"/>
      <c r="H173" s="46" t="n"/>
      <c r="I173" s="46" t="n"/>
      <c r="J173" s="46" t="n"/>
      <c r="K173" s="46" t="n"/>
      <c r="L173" s="46" t="n"/>
      <c r="M173" s="62" t="str">
        <f>IF($B173="","",IF(ISNUMBER($B173),$B173,IF(AND(LEN($B173)=10,MID($B173,5,1)="-",MID($B173,8,1)="-"),IFERROR(IF(AND(MONTH(DATE(VALUE(LEFT($B173,4)),VALUE(MID($B173,6,2)),VALUE(RIGHT($B173,2))))=VALUE(MID($B173,6,2)),DAY(DATE(VALUE(LEFT($B173,4)),VALUE(MID($B173,6,2)),VALUE(RIGHT($B173,2))))=VALUE(RIGHT($B173,2))),DATE(VALUE(LEFT($B173,4)),VALUE(MID($B173,6,2)),VALUE(RIGHT($B173,2))),"ERR"),"ERR"),"ERR")))</f>
        <v/>
      </c>
      <c r="N173" s="62" t="str">
        <f>IF($G173="","",IF(ISNUMBER($G173),$G173,IF(AND(LEN($G173)=10,MID($G173,5,1)="-",MID($G173,8,1)="-"),IFERROR(IF(AND(MONTH(DATE(VALUE(LEFT($G173,4)),VALUE(MID($G173,6,2)),VALUE(RIGHT($G173,2))))=VALUE(MID($G173,6,2)),DAY(DATE(VALUE(LEFT($G173,4)),VALUE(MID($G173,6,2)),VALUE(RIGHT($G173,2))))=VALUE(RIGHT($G173,2))),DATE(VALUE(LEFT($G173,4)),VALUE(MID($G173,6,2)),VALUE(RIGHT($G173,2))),"ERR"),"ERR"),"ERR")))</f>
        <v/>
      </c>
      <c r="O173" s="51" t="str">
        <f>IF($H173="","",IF(ISNUMBER($H173),$H173,IFERROR(VALUE($H173),"ERR")))</f>
        <v/>
      </c>
      <c r="P173" s="51" t="str">
        <f>IF(AND(ISNUMBER($O173),OR($C173="Receipt",$C173="Shipment",$C173="Adjustment")),IF($C173="Shipment",-$O173,$O173),"")</f>
        <v/>
      </c>
      <c r="Q173" s="51" t="str">
        <f>IF($D173="","",IFERROR(INDEX(Products!$R$2:$R$101,MATCH($D173,Products!$A$2:$A$101,0)),""))</f>
        <v/>
      </c>
      <c r="R173" s="51" t="str">
        <f>IF(OR($Q173="",$P173=""),"",$Q173+SUMIFS($P$1:$P172,$D$1:$D172,$D173,$U$1:$U172,"Ready"))</f>
        <v/>
      </c>
      <c r="S173" s="51" t="str">
        <f>IF($R173="","",$R173+$P173)</f>
        <v/>
      </c>
      <c r="T173" s="52" t="str">
        <f>IF(COUNTA($A173:$L173)&gt;0,$BP173,"")</f>
        <v/>
      </c>
      <c r="U173" s="49" t="str">
        <f>IF($T173="","",IF($T173=0,"Ready","Rejected"))</f>
        <v/>
      </c>
      <c r="V173" s="49" t="str">
        <f>IF(OR($T173="",$T173=0),"",INDEX(Config!$D$39:$D$61,MATCH(1,$AT173:$BP173,0))&amp;IF($T173&gt;1," (+"&amp;($T173-1)&amp;" more)",""))</f>
        <v/>
      </c>
      <c r="W173" s="52">
        <f>IF(AND(COUNTA($A173:$L173)&gt;0,$A173=""),1,0)</f>
        <v>0</v>
      </c>
      <c r="X173" s="52">
        <f>IF(AND(COUNTA($A173:$L173)&gt;0,$A173&lt;&gt;""),IF(COUNTIF($A$1:$A172,$A173)&gt;0,1,0),0)</f>
        <v>0</v>
      </c>
      <c r="Y173" s="52">
        <f>IF(AND(COUNTA($A173:$L173)&gt;0,$A173&lt;&gt;""),IF(COUNTIF(Inventory_Ledger!$A$2:$A$2001,$A173)&gt;0,1,0),0)</f>
        <v>0</v>
      </c>
      <c r="Z173" s="52">
        <f>IF(AND(COUNTA($A173:$L173)&gt;0,$B173=""),1,0)</f>
        <v>0</v>
      </c>
      <c r="AA173" s="52">
        <f>IF(AND(COUNTA($A173:$L173)&gt;0,$B173&lt;&gt;""),IF($M173="ERR",1,0),0)</f>
        <v>0</v>
      </c>
      <c r="AB173" s="52">
        <f>IF(AND(COUNTA($A173:$L173)&gt;0,ISNUMBER($M173)),IF($M173&gt;Config!$B$4,1,0),0)</f>
        <v>0</v>
      </c>
      <c r="AC173" s="52">
        <f>IF(AND(COUNTA($A173:$L173)&gt;0,$C173=""),1,0)</f>
        <v>0</v>
      </c>
      <c r="AD173" s="52">
        <f>IF(AND(COUNTA($A173:$L173)&gt;0,$C173&lt;&gt;""),IF(COUNTIF(Config!$A$15:$A$34,$C173)=0,1,0),0)</f>
        <v>0</v>
      </c>
      <c r="AE173" s="52">
        <f>IF(AND(COUNTA($A173:$L173)&gt;0,$D173=""),1,0)</f>
        <v>0</v>
      </c>
      <c r="AF173" s="52">
        <f>IF(AND(COUNTA($A173:$L173)&gt;0,$D173&lt;&gt;""),IF(COUNTIF(Products!$A$2:$A$101,$D173)=0,1,0),0)</f>
        <v>0</v>
      </c>
      <c r="AG173" s="52">
        <f>IF(AND(COUNTA($A173:$L173)&gt;0,$C173="Receipt",$E173=""),1,0)</f>
        <v>0</v>
      </c>
      <c r="AH173" s="52">
        <f>IF(AND(COUNTA($A173:$L173)&gt;0,$E173&lt;&gt;""),IF(COUNTIF(Suppliers!$A$2:$A$51,$E173)=0,1,0),0)</f>
        <v>0</v>
      </c>
      <c r="AI173" s="52">
        <f>IF(AND(COUNTA($A173:$L173)&gt;0,$F173=""),1,0)</f>
        <v>0</v>
      </c>
      <c r="AJ173" s="52">
        <f>IF(AND(COUNTA($A173:$L173)&gt;0,$F173&lt;&gt;"",$D173&lt;&gt;"",OR($C173="Shipment",$C173="Adjustment")),IF($AF173=1,0,IF(COUNTIFS(Batches!$A$2:$A$301,$F173,Batches!$B$2:$B$301,$D173)+COUNTIFS($F$1:$F172,$F173,$D$1:$D172,$D173,$C$1:$C172,"Receipt")=0,1,0)),0)</f>
        <v>0</v>
      </c>
      <c r="AK173" s="52">
        <f>IF(AND(COUNTA($A173:$L173)&gt;0,$C173="Receipt",$G173=""),1,0)</f>
        <v>0</v>
      </c>
      <c r="AL173" s="52">
        <f>IF(AND(COUNTA($A173:$L173)&gt;0,$G173&lt;&gt;""),IF($N173="ERR",1,0),0)</f>
        <v>0</v>
      </c>
      <c r="AM173" s="52">
        <f>IF(AND(COUNTA($A173:$L173)&gt;0,$H173=""),1,0)</f>
        <v>0</v>
      </c>
      <c r="AN173" s="52">
        <f>IF(AND(COUNTA($A173:$L173)&gt;0,$H173&lt;&gt;""),IF($O173="ERR",1,IF(INT($O173)&lt;&gt;$O173,1,IF(AND(OR($C173="Receipt",$C173="Shipment"),$O173&lt;=0),1,IF(AND($C173="Adjustment",$O173=0),1,0)))),0)</f>
        <v>0</v>
      </c>
      <c r="AO173" s="52">
        <f>IF(AND(COUNTA($A173:$L173)&gt;0,$C173="Receipt",$I173=""),1,0)</f>
        <v>0</v>
      </c>
      <c r="AP173" s="52">
        <f>IF(AND(COUNTA($A173:$L173)&gt;0,$I173&lt;&gt;""),IF(IFERROR(INDEX(Config!$G$15:$G$34,MATCH($I173,Config!$E$15:$E$34,0)),"No")="Yes",0,1),0)</f>
        <v>0</v>
      </c>
      <c r="AQ173" s="52">
        <f>IF(AND(COUNTA($A173:$L173)&gt;0,$C173="Adjustment",$J173=""),1,0)</f>
        <v>0</v>
      </c>
      <c r="AR173" s="52">
        <f>IF(AND(COUNTA($A173:$L173)&gt;0,$L173=""),1,0)</f>
        <v>0</v>
      </c>
      <c r="AS173" s="52">
        <f>IF(AND(COUNTA($A173:$L173)&gt;0,ISNUMBER($S173)),IF($S173&lt;0,1,0),0)</f>
        <v>0</v>
      </c>
      <c r="AT173" s="52">
        <f>$W173</f>
        <v>0</v>
      </c>
      <c r="AU173" s="52">
        <f>$AT173+$X173</f>
        <v>0</v>
      </c>
      <c r="AV173" s="52">
        <f>$AU173+$Y173</f>
        <v>0</v>
      </c>
      <c r="AW173" s="52">
        <f>$AV173+$Z173</f>
        <v>0</v>
      </c>
      <c r="AX173" s="52">
        <f>$AW173+$AA173</f>
        <v>0</v>
      </c>
      <c r="AY173" s="52">
        <f>$AX173+$AB173</f>
        <v>0</v>
      </c>
      <c r="AZ173" s="52">
        <f>$AY173+$AC173</f>
        <v>0</v>
      </c>
      <c r="BA173" s="52">
        <f>$AZ173+$AD173</f>
        <v>0</v>
      </c>
      <c r="BB173" s="52">
        <f>$BA173+$AE173</f>
        <v>0</v>
      </c>
      <c r="BC173" s="52">
        <f>$BB173+$AF173</f>
        <v>0</v>
      </c>
      <c r="BD173" s="52">
        <f>$BC173+$AG173</f>
        <v>0</v>
      </c>
      <c r="BE173" s="52">
        <f>$BD173+$AH173</f>
        <v>0</v>
      </c>
      <c r="BF173" s="52">
        <f>$BE173+$AI173</f>
        <v>0</v>
      </c>
      <c r="BG173" s="52">
        <f>$BF173+$AJ173</f>
        <v>0</v>
      </c>
      <c r="BH173" s="52">
        <f>$BG173+$AK173</f>
        <v>0</v>
      </c>
      <c r="BI173" s="52">
        <f>$BH173+$AL173</f>
        <v>0</v>
      </c>
      <c r="BJ173" s="52">
        <f>$BI173+$AM173</f>
        <v>0</v>
      </c>
      <c r="BK173" s="52">
        <f>$BJ173+$AN173</f>
        <v>0</v>
      </c>
      <c r="BL173" s="52">
        <f>$BK173+$AO173</f>
        <v>0</v>
      </c>
      <c r="BM173" s="52">
        <f>$BL173+$AP173</f>
        <v>0</v>
      </c>
      <c r="BN173" s="52">
        <f>$BM173+$AQ173</f>
        <v>0</v>
      </c>
      <c r="BO173" s="52">
        <f>$BN173+$AR173</f>
        <v>0</v>
      </c>
      <c r="BP173" s="52">
        <f>$BO173+$AS173</f>
        <v>0</v>
      </c>
      <c r="BQ173" s="52">
        <f>SUM($T$1:$T172)</f>
        <v>11</v>
      </c>
      <c r="BR173" s="52" t="str">
        <f>IF(ISNUMBER($T173),IF($T173&gt;0,COUNTIF($T$2:$T173,"&gt;0"),""),"")</f>
        <v/>
      </c>
      <c r="BS173" s="52" t="str">
        <f>IF($BR173="","",$BQ173+$T173)</f>
        <v/>
      </c>
      <c r="BT173" s="52" t="str">
        <f>IF($U173="Ready",COUNTIF($U$2:$U173,"Ready"),"")</f>
        <v/>
      </c>
      <c r="BU173" s="52">
        <f>IF(AND($U173="Ready",$C173="Receipt"),IF(COUNTIF(Batches!$A$2:$A$301,$F173)+COUNTIFS($F$1:$F172,$F173,$C$1:$C172,"Receipt",$U$1:$U172,"Ready")=0,1,0),0)</f>
        <v>0</v>
      </c>
      <c r="BV173" s="52" t="str">
        <f>IF($BU173=1,SUM($BU$2:$BU173),"")</f>
        <v/>
      </c>
    </row>
    <row r="174">
      <c r="A174" s="46" t="n"/>
      <c r="B174" s="46" t="n"/>
      <c r="C174" s="46" t="n"/>
      <c r="D174" s="46" t="n"/>
      <c r="E174" s="46" t="n"/>
      <c r="F174" s="46" t="n"/>
      <c r="G174" s="46" t="n"/>
      <c r="H174" s="46" t="n"/>
      <c r="I174" s="46" t="n"/>
      <c r="J174" s="46" t="n"/>
      <c r="K174" s="46" t="n"/>
      <c r="L174" s="46" t="n"/>
      <c r="M174" s="62" t="str">
        <f>IF($B174="","",IF(ISNUMBER($B174),$B174,IF(AND(LEN($B174)=10,MID($B174,5,1)="-",MID($B174,8,1)="-"),IFERROR(IF(AND(MONTH(DATE(VALUE(LEFT($B174,4)),VALUE(MID($B174,6,2)),VALUE(RIGHT($B174,2))))=VALUE(MID($B174,6,2)),DAY(DATE(VALUE(LEFT($B174,4)),VALUE(MID($B174,6,2)),VALUE(RIGHT($B174,2))))=VALUE(RIGHT($B174,2))),DATE(VALUE(LEFT($B174,4)),VALUE(MID($B174,6,2)),VALUE(RIGHT($B174,2))),"ERR"),"ERR"),"ERR")))</f>
        <v/>
      </c>
      <c r="N174" s="62" t="str">
        <f>IF($G174="","",IF(ISNUMBER($G174),$G174,IF(AND(LEN($G174)=10,MID($G174,5,1)="-",MID($G174,8,1)="-"),IFERROR(IF(AND(MONTH(DATE(VALUE(LEFT($G174,4)),VALUE(MID($G174,6,2)),VALUE(RIGHT($G174,2))))=VALUE(MID($G174,6,2)),DAY(DATE(VALUE(LEFT($G174,4)),VALUE(MID($G174,6,2)),VALUE(RIGHT($G174,2))))=VALUE(RIGHT($G174,2))),DATE(VALUE(LEFT($G174,4)),VALUE(MID($G174,6,2)),VALUE(RIGHT($G174,2))),"ERR"),"ERR"),"ERR")))</f>
        <v/>
      </c>
      <c r="O174" s="51" t="str">
        <f>IF($H174="","",IF(ISNUMBER($H174),$H174,IFERROR(VALUE($H174),"ERR")))</f>
        <v/>
      </c>
      <c r="P174" s="51" t="str">
        <f>IF(AND(ISNUMBER($O174),OR($C174="Receipt",$C174="Shipment",$C174="Adjustment")),IF($C174="Shipment",-$O174,$O174),"")</f>
        <v/>
      </c>
      <c r="Q174" s="51" t="str">
        <f>IF($D174="","",IFERROR(INDEX(Products!$R$2:$R$101,MATCH($D174,Products!$A$2:$A$101,0)),""))</f>
        <v/>
      </c>
      <c r="R174" s="51" t="str">
        <f>IF(OR($Q174="",$P174=""),"",$Q174+SUMIFS($P$1:$P173,$D$1:$D173,$D174,$U$1:$U173,"Ready"))</f>
        <v/>
      </c>
      <c r="S174" s="51" t="str">
        <f>IF($R174="","",$R174+$P174)</f>
        <v/>
      </c>
      <c r="T174" s="52" t="str">
        <f>IF(COUNTA($A174:$L174)&gt;0,$BP174,"")</f>
        <v/>
      </c>
      <c r="U174" s="49" t="str">
        <f>IF($T174="","",IF($T174=0,"Ready","Rejected"))</f>
        <v/>
      </c>
      <c r="V174" s="49" t="str">
        <f>IF(OR($T174="",$T174=0),"",INDEX(Config!$D$39:$D$61,MATCH(1,$AT174:$BP174,0))&amp;IF($T174&gt;1," (+"&amp;($T174-1)&amp;" more)",""))</f>
        <v/>
      </c>
      <c r="W174" s="52">
        <f>IF(AND(COUNTA($A174:$L174)&gt;0,$A174=""),1,0)</f>
        <v>0</v>
      </c>
      <c r="X174" s="52">
        <f>IF(AND(COUNTA($A174:$L174)&gt;0,$A174&lt;&gt;""),IF(COUNTIF($A$1:$A173,$A174)&gt;0,1,0),0)</f>
        <v>0</v>
      </c>
      <c r="Y174" s="52">
        <f>IF(AND(COUNTA($A174:$L174)&gt;0,$A174&lt;&gt;""),IF(COUNTIF(Inventory_Ledger!$A$2:$A$2001,$A174)&gt;0,1,0),0)</f>
        <v>0</v>
      </c>
      <c r="Z174" s="52">
        <f>IF(AND(COUNTA($A174:$L174)&gt;0,$B174=""),1,0)</f>
        <v>0</v>
      </c>
      <c r="AA174" s="52">
        <f>IF(AND(COUNTA($A174:$L174)&gt;0,$B174&lt;&gt;""),IF($M174="ERR",1,0),0)</f>
        <v>0</v>
      </c>
      <c r="AB174" s="52">
        <f>IF(AND(COUNTA($A174:$L174)&gt;0,ISNUMBER($M174)),IF($M174&gt;Config!$B$4,1,0),0)</f>
        <v>0</v>
      </c>
      <c r="AC174" s="52">
        <f>IF(AND(COUNTA($A174:$L174)&gt;0,$C174=""),1,0)</f>
        <v>0</v>
      </c>
      <c r="AD174" s="52">
        <f>IF(AND(COUNTA($A174:$L174)&gt;0,$C174&lt;&gt;""),IF(COUNTIF(Config!$A$15:$A$34,$C174)=0,1,0),0)</f>
        <v>0</v>
      </c>
      <c r="AE174" s="52">
        <f>IF(AND(COUNTA($A174:$L174)&gt;0,$D174=""),1,0)</f>
        <v>0</v>
      </c>
      <c r="AF174" s="52">
        <f>IF(AND(COUNTA($A174:$L174)&gt;0,$D174&lt;&gt;""),IF(COUNTIF(Products!$A$2:$A$101,$D174)=0,1,0),0)</f>
        <v>0</v>
      </c>
      <c r="AG174" s="52">
        <f>IF(AND(COUNTA($A174:$L174)&gt;0,$C174="Receipt",$E174=""),1,0)</f>
        <v>0</v>
      </c>
      <c r="AH174" s="52">
        <f>IF(AND(COUNTA($A174:$L174)&gt;0,$E174&lt;&gt;""),IF(COUNTIF(Suppliers!$A$2:$A$51,$E174)=0,1,0),0)</f>
        <v>0</v>
      </c>
      <c r="AI174" s="52">
        <f>IF(AND(COUNTA($A174:$L174)&gt;0,$F174=""),1,0)</f>
        <v>0</v>
      </c>
      <c r="AJ174" s="52">
        <f>IF(AND(COUNTA($A174:$L174)&gt;0,$F174&lt;&gt;"",$D174&lt;&gt;"",OR($C174="Shipment",$C174="Adjustment")),IF($AF174=1,0,IF(COUNTIFS(Batches!$A$2:$A$301,$F174,Batches!$B$2:$B$301,$D174)+COUNTIFS($F$1:$F173,$F174,$D$1:$D173,$D174,$C$1:$C173,"Receipt")=0,1,0)),0)</f>
        <v>0</v>
      </c>
      <c r="AK174" s="52">
        <f>IF(AND(COUNTA($A174:$L174)&gt;0,$C174="Receipt",$G174=""),1,0)</f>
        <v>0</v>
      </c>
      <c r="AL174" s="52">
        <f>IF(AND(COUNTA($A174:$L174)&gt;0,$G174&lt;&gt;""),IF($N174="ERR",1,0),0)</f>
        <v>0</v>
      </c>
      <c r="AM174" s="52">
        <f>IF(AND(COUNTA($A174:$L174)&gt;0,$H174=""),1,0)</f>
        <v>0</v>
      </c>
      <c r="AN174" s="52">
        <f>IF(AND(COUNTA($A174:$L174)&gt;0,$H174&lt;&gt;""),IF($O174="ERR",1,IF(INT($O174)&lt;&gt;$O174,1,IF(AND(OR($C174="Receipt",$C174="Shipment"),$O174&lt;=0),1,IF(AND($C174="Adjustment",$O174=0),1,0)))),0)</f>
        <v>0</v>
      </c>
      <c r="AO174" s="52">
        <f>IF(AND(COUNTA($A174:$L174)&gt;0,$C174="Receipt",$I174=""),1,0)</f>
        <v>0</v>
      </c>
      <c r="AP174" s="52">
        <f>IF(AND(COUNTA($A174:$L174)&gt;0,$I174&lt;&gt;""),IF(IFERROR(INDEX(Config!$G$15:$G$34,MATCH($I174,Config!$E$15:$E$34,0)),"No")="Yes",0,1),0)</f>
        <v>0</v>
      </c>
      <c r="AQ174" s="52">
        <f>IF(AND(COUNTA($A174:$L174)&gt;0,$C174="Adjustment",$J174=""),1,0)</f>
        <v>0</v>
      </c>
      <c r="AR174" s="52">
        <f>IF(AND(COUNTA($A174:$L174)&gt;0,$L174=""),1,0)</f>
        <v>0</v>
      </c>
      <c r="AS174" s="52">
        <f>IF(AND(COUNTA($A174:$L174)&gt;0,ISNUMBER($S174)),IF($S174&lt;0,1,0),0)</f>
        <v>0</v>
      </c>
      <c r="AT174" s="52">
        <f>$W174</f>
        <v>0</v>
      </c>
      <c r="AU174" s="52">
        <f>$AT174+$X174</f>
        <v>0</v>
      </c>
      <c r="AV174" s="52">
        <f>$AU174+$Y174</f>
        <v>0</v>
      </c>
      <c r="AW174" s="52">
        <f>$AV174+$Z174</f>
        <v>0</v>
      </c>
      <c r="AX174" s="52">
        <f>$AW174+$AA174</f>
        <v>0</v>
      </c>
      <c r="AY174" s="52">
        <f>$AX174+$AB174</f>
        <v>0</v>
      </c>
      <c r="AZ174" s="52">
        <f>$AY174+$AC174</f>
        <v>0</v>
      </c>
      <c r="BA174" s="52">
        <f>$AZ174+$AD174</f>
        <v>0</v>
      </c>
      <c r="BB174" s="52">
        <f>$BA174+$AE174</f>
        <v>0</v>
      </c>
      <c r="BC174" s="52">
        <f>$BB174+$AF174</f>
        <v>0</v>
      </c>
      <c r="BD174" s="52">
        <f>$BC174+$AG174</f>
        <v>0</v>
      </c>
      <c r="BE174" s="52">
        <f>$BD174+$AH174</f>
        <v>0</v>
      </c>
      <c r="BF174" s="52">
        <f>$BE174+$AI174</f>
        <v>0</v>
      </c>
      <c r="BG174" s="52">
        <f>$BF174+$AJ174</f>
        <v>0</v>
      </c>
      <c r="BH174" s="52">
        <f>$BG174+$AK174</f>
        <v>0</v>
      </c>
      <c r="BI174" s="52">
        <f>$BH174+$AL174</f>
        <v>0</v>
      </c>
      <c r="BJ174" s="52">
        <f>$BI174+$AM174</f>
        <v>0</v>
      </c>
      <c r="BK174" s="52">
        <f>$BJ174+$AN174</f>
        <v>0</v>
      </c>
      <c r="BL174" s="52">
        <f>$BK174+$AO174</f>
        <v>0</v>
      </c>
      <c r="BM174" s="52">
        <f>$BL174+$AP174</f>
        <v>0</v>
      </c>
      <c r="BN174" s="52">
        <f>$BM174+$AQ174</f>
        <v>0</v>
      </c>
      <c r="BO174" s="52">
        <f>$BN174+$AR174</f>
        <v>0</v>
      </c>
      <c r="BP174" s="52">
        <f>$BO174+$AS174</f>
        <v>0</v>
      </c>
      <c r="BQ174" s="52">
        <f>SUM($T$1:$T173)</f>
        <v>11</v>
      </c>
      <c r="BR174" s="52" t="str">
        <f>IF(ISNUMBER($T174),IF($T174&gt;0,COUNTIF($T$2:$T174,"&gt;0"),""),"")</f>
        <v/>
      </c>
      <c r="BS174" s="52" t="str">
        <f>IF($BR174="","",$BQ174+$T174)</f>
        <v/>
      </c>
      <c r="BT174" s="52" t="str">
        <f>IF($U174="Ready",COUNTIF($U$2:$U174,"Ready"),"")</f>
        <v/>
      </c>
      <c r="BU174" s="52">
        <f>IF(AND($U174="Ready",$C174="Receipt"),IF(COUNTIF(Batches!$A$2:$A$301,$F174)+COUNTIFS($F$1:$F173,$F174,$C$1:$C173,"Receipt",$U$1:$U173,"Ready")=0,1,0),0)</f>
        <v>0</v>
      </c>
      <c r="BV174" s="52" t="str">
        <f>IF($BU174=1,SUM($BU$2:$BU174),"")</f>
        <v/>
      </c>
    </row>
    <row r="175">
      <c r="A175" s="46" t="n"/>
      <c r="B175" s="46" t="n"/>
      <c r="C175" s="46" t="n"/>
      <c r="D175" s="46" t="n"/>
      <c r="E175" s="46" t="n"/>
      <c r="F175" s="46" t="n"/>
      <c r="G175" s="46" t="n"/>
      <c r="H175" s="46" t="n"/>
      <c r="I175" s="46" t="n"/>
      <c r="J175" s="46" t="n"/>
      <c r="K175" s="46" t="n"/>
      <c r="L175" s="46" t="n"/>
      <c r="M175" s="62" t="str">
        <f>IF($B175="","",IF(ISNUMBER($B175),$B175,IF(AND(LEN($B175)=10,MID($B175,5,1)="-",MID($B175,8,1)="-"),IFERROR(IF(AND(MONTH(DATE(VALUE(LEFT($B175,4)),VALUE(MID($B175,6,2)),VALUE(RIGHT($B175,2))))=VALUE(MID($B175,6,2)),DAY(DATE(VALUE(LEFT($B175,4)),VALUE(MID($B175,6,2)),VALUE(RIGHT($B175,2))))=VALUE(RIGHT($B175,2))),DATE(VALUE(LEFT($B175,4)),VALUE(MID($B175,6,2)),VALUE(RIGHT($B175,2))),"ERR"),"ERR"),"ERR")))</f>
        <v/>
      </c>
      <c r="N175" s="62" t="str">
        <f>IF($G175="","",IF(ISNUMBER($G175),$G175,IF(AND(LEN($G175)=10,MID($G175,5,1)="-",MID($G175,8,1)="-"),IFERROR(IF(AND(MONTH(DATE(VALUE(LEFT($G175,4)),VALUE(MID($G175,6,2)),VALUE(RIGHT($G175,2))))=VALUE(MID($G175,6,2)),DAY(DATE(VALUE(LEFT($G175,4)),VALUE(MID($G175,6,2)),VALUE(RIGHT($G175,2))))=VALUE(RIGHT($G175,2))),DATE(VALUE(LEFT($G175,4)),VALUE(MID($G175,6,2)),VALUE(RIGHT($G175,2))),"ERR"),"ERR"),"ERR")))</f>
        <v/>
      </c>
      <c r="O175" s="51" t="str">
        <f>IF($H175="","",IF(ISNUMBER($H175),$H175,IFERROR(VALUE($H175),"ERR")))</f>
        <v/>
      </c>
      <c r="P175" s="51" t="str">
        <f>IF(AND(ISNUMBER($O175),OR($C175="Receipt",$C175="Shipment",$C175="Adjustment")),IF($C175="Shipment",-$O175,$O175),"")</f>
        <v/>
      </c>
      <c r="Q175" s="51" t="str">
        <f>IF($D175="","",IFERROR(INDEX(Products!$R$2:$R$101,MATCH($D175,Products!$A$2:$A$101,0)),""))</f>
        <v/>
      </c>
      <c r="R175" s="51" t="str">
        <f>IF(OR($Q175="",$P175=""),"",$Q175+SUMIFS($P$1:$P174,$D$1:$D174,$D175,$U$1:$U174,"Ready"))</f>
        <v/>
      </c>
      <c r="S175" s="51" t="str">
        <f>IF($R175="","",$R175+$P175)</f>
        <v/>
      </c>
      <c r="T175" s="52" t="str">
        <f>IF(COUNTA($A175:$L175)&gt;0,$BP175,"")</f>
        <v/>
      </c>
      <c r="U175" s="49" t="str">
        <f>IF($T175="","",IF($T175=0,"Ready","Rejected"))</f>
        <v/>
      </c>
      <c r="V175" s="49" t="str">
        <f>IF(OR($T175="",$T175=0),"",INDEX(Config!$D$39:$D$61,MATCH(1,$AT175:$BP175,0))&amp;IF($T175&gt;1," (+"&amp;($T175-1)&amp;" more)",""))</f>
        <v/>
      </c>
      <c r="W175" s="52">
        <f>IF(AND(COUNTA($A175:$L175)&gt;0,$A175=""),1,0)</f>
        <v>0</v>
      </c>
      <c r="X175" s="52">
        <f>IF(AND(COUNTA($A175:$L175)&gt;0,$A175&lt;&gt;""),IF(COUNTIF($A$1:$A174,$A175)&gt;0,1,0),0)</f>
        <v>0</v>
      </c>
      <c r="Y175" s="52">
        <f>IF(AND(COUNTA($A175:$L175)&gt;0,$A175&lt;&gt;""),IF(COUNTIF(Inventory_Ledger!$A$2:$A$2001,$A175)&gt;0,1,0),0)</f>
        <v>0</v>
      </c>
      <c r="Z175" s="52">
        <f>IF(AND(COUNTA($A175:$L175)&gt;0,$B175=""),1,0)</f>
        <v>0</v>
      </c>
      <c r="AA175" s="52">
        <f>IF(AND(COUNTA($A175:$L175)&gt;0,$B175&lt;&gt;""),IF($M175="ERR",1,0),0)</f>
        <v>0</v>
      </c>
      <c r="AB175" s="52">
        <f>IF(AND(COUNTA($A175:$L175)&gt;0,ISNUMBER($M175)),IF($M175&gt;Config!$B$4,1,0),0)</f>
        <v>0</v>
      </c>
      <c r="AC175" s="52">
        <f>IF(AND(COUNTA($A175:$L175)&gt;0,$C175=""),1,0)</f>
        <v>0</v>
      </c>
      <c r="AD175" s="52">
        <f>IF(AND(COUNTA($A175:$L175)&gt;0,$C175&lt;&gt;""),IF(COUNTIF(Config!$A$15:$A$34,$C175)=0,1,0),0)</f>
        <v>0</v>
      </c>
      <c r="AE175" s="52">
        <f>IF(AND(COUNTA($A175:$L175)&gt;0,$D175=""),1,0)</f>
        <v>0</v>
      </c>
      <c r="AF175" s="52">
        <f>IF(AND(COUNTA($A175:$L175)&gt;0,$D175&lt;&gt;""),IF(COUNTIF(Products!$A$2:$A$101,$D175)=0,1,0),0)</f>
        <v>0</v>
      </c>
      <c r="AG175" s="52">
        <f>IF(AND(COUNTA($A175:$L175)&gt;0,$C175="Receipt",$E175=""),1,0)</f>
        <v>0</v>
      </c>
      <c r="AH175" s="52">
        <f>IF(AND(COUNTA($A175:$L175)&gt;0,$E175&lt;&gt;""),IF(COUNTIF(Suppliers!$A$2:$A$51,$E175)=0,1,0),0)</f>
        <v>0</v>
      </c>
      <c r="AI175" s="52">
        <f>IF(AND(COUNTA($A175:$L175)&gt;0,$F175=""),1,0)</f>
        <v>0</v>
      </c>
      <c r="AJ175" s="52">
        <f>IF(AND(COUNTA($A175:$L175)&gt;0,$F175&lt;&gt;"",$D175&lt;&gt;"",OR($C175="Shipment",$C175="Adjustment")),IF($AF175=1,0,IF(COUNTIFS(Batches!$A$2:$A$301,$F175,Batches!$B$2:$B$301,$D175)+COUNTIFS($F$1:$F174,$F175,$D$1:$D174,$D175,$C$1:$C174,"Receipt")=0,1,0)),0)</f>
        <v>0</v>
      </c>
      <c r="AK175" s="52">
        <f>IF(AND(COUNTA($A175:$L175)&gt;0,$C175="Receipt",$G175=""),1,0)</f>
        <v>0</v>
      </c>
      <c r="AL175" s="52">
        <f>IF(AND(COUNTA($A175:$L175)&gt;0,$G175&lt;&gt;""),IF($N175="ERR",1,0),0)</f>
        <v>0</v>
      </c>
      <c r="AM175" s="52">
        <f>IF(AND(COUNTA($A175:$L175)&gt;0,$H175=""),1,0)</f>
        <v>0</v>
      </c>
      <c r="AN175" s="52">
        <f>IF(AND(COUNTA($A175:$L175)&gt;0,$H175&lt;&gt;""),IF($O175="ERR",1,IF(INT($O175)&lt;&gt;$O175,1,IF(AND(OR($C175="Receipt",$C175="Shipment"),$O175&lt;=0),1,IF(AND($C175="Adjustment",$O175=0),1,0)))),0)</f>
        <v>0</v>
      </c>
      <c r="AO175" s="52">
        <f>IF(AND(COUNTA($A175:$L175)&gt;0,$C175="Receipt",$I175=""),1,0)</f>
        <v>0</v>
      </c>
      <c r="AP175" s="52">
        <f>IF(AND(COUNTA($A175:$L175)&gt;0,$I175&lt;&gt;""),IF(IFERROR(INDEX(Config!$G$15:$G$34,MATCH($I175,Config!$E$15:$E$34,0)),"No")="Yes",0,1),0)</f>
        <v>0</v>
      </c>
      <c r="AQ175" s="52">
        <f>IF(AND(COUNTA($A175:$L175)&gt;0,$C175="Adjustment",$J175=""),1,0)</f>
        <v>0</v>
      </c>
      <c r="AR175" s="52">
        <f>IF(AND(COUNTA($A175:$L175)&gt;0,$L175=""),1,0)</f>
        <v>0</v>
      </c>
      <c r="AS175" s="52">
        <f>IF(AND(COUNTA($A175:$L175)&gt;0,ISNUMBER($S175)),IF($S175&lt;0,1,0),0)</f>
        <v>0</v>
      </c>
      <c r="AT175" s="52">
        <f>$W175</f>
        <v>0</v>
      </c>
      <c r="AU175" s="52">
        <f>$AT175+$X175</f>
        <v>0</v>
      </c>
      <c r="AV175" s="52">
        <f>$AU175+$Y175</f>
        <v>0</v>
      </c>
      <c r="AW175" s="52">
        <f>$AV175+$Z175</f>
        <v>0</v>
      </c>
      <c r="AX175" s="52">
        <f>$AW175+$AA175</f>
        <v>0</v>
      </c>
      <c r="AY175" s="52">
        <f>$AX175+$AB175</f>
        <v>0</v>
      </c>
      <c r="AZ175" s="52">
        <f>$AY175+$AC175</f>
        <v>0</v>
      </c>
      <c r="BA175" s="52">
        <f>$AZ175+$AD175</f>
        <v>0</v>
      </c>
      <c r="BB175" s="52">
        <f>$BA175+$AE175</f>
        <v>0</v>
      </c>
      <c r="BC175" s="52">
        <f>$BB175+$AF175</f>
        <v>0</v>
      </c>
      <c r="BD175" s="52">
        <f>$BC175+$AG175</f>
        <v>0</v>
      </c>
      <c r="BE175" s="52">
        <f>$BD175+$AH175</f>
        <v>0</v>
      </c>
      <c r="BF175" s="52">
        <f>$BE175+$AI175</f>
        <v>0</v>
      </c>
      <c r="BG175" s="52">
        <f>$BF175+$AJ175</f>
        <v>0</v>
      </c>
      <c r="BH175" s="52">
        <f>$BG175+$AK175</f>
        <v>0</v>
      </c>
      <c r="BI175" s="52">
        <f>$BH175+$AL175</f>
        <v>0</v>
      </c>
      <c r="BJ175" s="52">
        <f>$BI175+$AM175</f>
        <v>0</v>
      </c>
      <c r="BK175" s="52">
        <f>$BJ175+$AN175</f>
        <v>0</v>
      </c>
      <c r="BL175" s="52">
        <f>$BK175+$AO175</f>
        <v>0</v>
      </c>
      <c r="BM175" s="52">
        <f>$BL175+$AP175</f>
        <v>0</v>
      </c>
      <c r="BN175" s="52">
        <f>$BM175+$AQ175</f>
        <v>0</v>
      </c>
      <c r="BO175" s="52">
        <f>$BN175+$AR175</f>
        <v>0</v>
      </c>
      <c r="BP175" s="52">
        <f>$BO175+$AS175</f>
        <v>0</v>
      </c>
      <c r="BQ175" s="52">
        <f>SUM($T$1:$T174)</f>
        <v>11</v>
      </c>
      <c r="BR175" s="52" t="str">
        <f>IF(ISNUMBER($T175),IF($T175&gt;0,COUNTIF($T$2:$T175,"&gt;0"),""),"")</f>
        <v/>
      </c>
      <c r="BS175" s="52" t="str">
        <f>IF($BR175="","",$BQ175+$T175)</f>
        <v/>
      </c>
      <c r="BT175" s="52" t="str">
        <f>IF($U175="Ready",COUNTIF($U$2:$U175,"Ready"),"")</f>
        <v/>
      </c>
      <c r="BU175" s="52">
        <f>IF(AND($U175="Ready",$C175="Receipt"),IF(COUNTIF(Batches!$A$2:$A$301,$F175)+COUNTIFS($F$1:$F174,$F175,$C$1:$C174,"Receipt",$U$1:$U174,"Ready")=0,1,0),0)</f>
        <v>0</v>
      </c>
      <c r="BV175" s="52" t="str">
        <f>IF($BU175=1,SUM($BU$2:$BU175),"")</f>
        <v/>
      </c>
    </row>
    <row r="176">
      <c r="A176" s="46" t="n"/>
      <c r="B176" s="46" t="n"/>
      <c r="C176" s="46" t="n"/>
      <c r="D176" s="46" t="n"/>
      <c r="E176" s="46" t="n"/>
      <c r="F176" s="46" t="n"/>
      <c r="G176" s="46" t="n"/>
      <c r="H176" s="46" t="n"/>
      <c r="I176" s="46" t="n"/>
      <c r="J176" s="46" t="n"/>
      <c r="K176" s="46" t="n"/>
      <c r="L176" s="46" t="n"/>
      <c r="M176" s="62" t="str">
        <f>IF($B176="","",IF(ISNUMBER($B176),$B176,IF(AND(LEN($B176)=10,MID($B176,5,1)="-",MID($B176,8,1)="-"),IFERROR(IF(AND(MONTH(DATE(VALUE(LEFT($B176,4)),VALUE(MID($B176,6,2)),VALUE(RIGHT($B176,2))))=VALUE(MID($B176,6,2)),DAY(DATE(VALUE(LEFT($B176,4)),VALUE(MID($B176,6,2)),VALUE(RIGHT($B176,2))))=VALUE(RIGHT($B176,2))),DATE(VALUE(LEFT($B176,4)),VALUE(MID($B176,6,2)),VALUE(RIGHT($B176,2))),"ERR"),"ERR"),"ERR")))</f>
        <v/>
      </c>
      <c r="N176" s="62" t="str">
        <f>IF($G176="","",IF(ISNUMBER($G176),$G176,IF(AND(LEN($G176)=10,MID($G176,5,1)="-",MID($G176,8,1)="-"),IFERROR(IF(AND(MONTH(DATE(VALUE(LEFT($G176,4)),VALUE(MID($G176,6,2)),VALUE(RIGHT($G176,2))))=VALUE(MID($G176,6,2)),DAY(DATE(VALUE(LEFT($G176,4)),VALUE(MID($G176,6,2)),VALUE(RIGHT($G176,2))))=VALUE(RIGHT($G176,2))),DATE(VALUE(LEFT($G176,4)),VALUE(MID($G176,6,2)),VALUE(RIGHT($G176,2))),"ERR"),"ERR"),"ERR")))</f>
        <v/>
      </c>
      <c r="O176" s="51" t="str">
        <f>IF($H176="","",IF(ISNUMBER($H176),$H176,IFERROR(VALUE($H176),"ERR")))</f>
        <v/>
      </c>
      <c r="P176" s="51" t="str">
        <f>IF(AND(ISNUMBER($O176),OR($C176="Receipt",$C176="Shipment",$C176="Adjustment")),IF($C176="Shipment",-$O176,$O176),"")</f>
        <v/>
      </c>
      <c r="Q176" s="51" t="str">
        <f>IF($D176="","",IFERROR(INDEX(Products!$R$2:$R$101,MATCH($D176,Products!$A$2:$A$101,0)),""))</f>
        <v/>
      </c>
      <c r="R176" s="51" t="str">
        <f>IF(OR($Q176="",$P176=""),"",$Q176+SUMIFS($P$1:$P175,$D$1:$D175,$D176,$U$1:$U175,"Ready"))</f>
        <v/>
      </c>
      <c r="S176" s="51" t="str">
        <f>IF($R176="","",$R176+$P176)</f>
        <v/>
      </c>
      <c r="T176" s="52" t="str">
        <f>IF(COUNTA($A176:$L176)&gt;0,$BP176,"")</f>
        <v/>
      </c>
      <c r="U176" s="49" t="str">
        <f>IF($T176="","",IF($T176=0,"Ready","Rejected"))</f>
        <v/>
      </c>
      <c r="V176" s="49" t="str">
        <f>IF(OR($T176="",$T176=0),"",INDEX(Config!$D$39:$D$61,MATCH(1,$AT176:$BP176,0))&amp;IF($T176&gt;1," (+"&amp;($T176-1)&amp;" more)",""))</f>
        <v/>
      </c>
      <c r="W176" s="52">
        <f>IF(AND(COUNTA($A176:$L176)&gt;0,$A176=""),1,0)</f>
        <v>0</v>
      </c>
      <c r="X176" s="52">
        <f>IF(AND(COUNTA($A176:$L176)&gt;0,$A176&lt;&gt;""),IF(COUNTIF($A$1:$A175,$A176)&gt;0,1,0),0)</f>
        <v>0</v>
      </c>
      <c r="Y176" s="52">
        <f>IF(AND(COUNTA($A176:$L176)&gt;0,$A176&lt;&gt;""),IF(COUNTIF(Inventory_Ledger!$A$2:$A$2001,$A176)&gt;0,1,0),0)</f>
        <v>0</v>
      </c>
      <c r="Z176" s="52">
        <f>IF(AND(COUNTA($A176:$L176)&gt;0,$B176=""),1,0)</f>
        <v>0</v>
      </c>
      <c r="AA176" s="52">
        <f>IF(AND(COUNTA($A176:$L176)&gt;0,$B176&lt;&gt;""),IF($M176="ERR",1,0),0)</f>
        <v>0</v>
      </c>
      <c r="AB176" s="52">
        <f>IF(AND(COUNTA($A176:$L176)&gt;0,ISNUMBER($M176)),IF($M176&gt;Config!$B$4,1,0),0)</f>
        <v>0</v>
      </c>
      <c r="AC176" s="52">
        <f>IF(AND(COUNTA($A176:$L176)&gt;0,$C176=""),1,0)</f>
        <v>0</v>
      </c>
      <c r="AD176" s="52">
        <f>IF(AND(COUNTA($A176:$L176)&gt;0,$C176&lt;&gt;""),IF(COUNTIF(Config!$A$15:$A$34,$C176)=0,1,0),0)</f>
        <v>0</v>
      </c>
      <c r="AE176" s="52">
        <f>IF(AND(COUNTA($A176:$L176)&gt;0,$D176=""),1,0)</f>
        <v>0</v>
      </c>
      <c r="AF176" s="52">
        <f>IF(AND(COUNTA($A176:$L176)&gt;0,$D176&lt;&gt;""),IF(COUNTIF(Products!$A$2:$A$101,$D176)=0,1,0),0)</f>
        <v>0</v>
      </c>
      <c r="AG176" s="52">
        <f>IF(AND(COUNTA($A176:$L176)&gt;0,$C176="Receipt",$E176=""),1,0)</f>
        <v>0</v>
      </c>
      <c r="AH176" s="52">
        <f>IF(AND(COUNTA($A176:$L176)&gt;0,$E176&lt;&gt;""),IF(COUNTIF(Suppliers!$A$2:$A$51,$E176)=0,1,0),0)</f>
        <v>0</v>
      </c>
      <c r="AI176" s="52">
        <f>IF(AND(COUNTA($A176:$L176)&gt;0,$F176=""),1,0)</f>
        <v>0</v>
      </c>
      <c r="AJ176" s="52">
        <f>IF(AND(COUNTA($A176:$L176)&gt;0,$F176&lt;&gt;"",$D176&lt;&gt;"",OR($C176="Shipment",$C176="Adjustment")),IF($AF176=1,0,IF(COUNTIFS(Batches!$A$2:$A$301,$F176,Batches!$B$2:$B$301,$D176)+COUNTIFS($F$1:$F175,$F176,$D$1:$D175,$D176,$C$1:$C175,"Receipt")=0,1,0)),0)</f>
        <v>0</v>
      </c>
      <c r="AK176" s="52">
        <f>IF(AND(COUNTA($A176:$L176)&gt;0,$C176="Receipt",$G176=""),1,0)</f>
        <v>0</v>
      </c>
      <c r="AL176" s="52">
        <f>IF(AND(COUNTA($A176:$L176)&gt;0,$G176&lt;&gt;""),IF($N176="ERR",1,0),0)</f>
        <v>0</v>
      </c>
      <c r="AM176" s="52">
        <f>IF(AND(COUNTA($A176:$L176)&gt;0,$H176=""),1,0)</f>
        <v>0</v>
      </c>
      <c r="AN176" s="52">
        <f>IF(AND(COUNTA($A176:$L176)&gt;0,$H176&lt;&gt;""),IF($O176="ERR",1,IF(INT($O176)&lt;&gt;$O176,1,IF(AND(OR($C176="Receipt",$C176="Shipment"),$O176&lt;=0),1,IF(AND($C176="Adjustment",$O176=0),1,0)))),0)</f>
        <v>0</v>
      </c>
      <c r="AO176" s="52">
        <f>IF(AND(COUNTA($A176:$L176)&gt;0,$C176="Receipt",$I176=""),1,0)</f>
        <v>0</v>
      </c>
      <c r="AP176" s="52">
        <f>IF(AND(COUNTA($A176:$L176)&gt;0,$I176&lt;&gt;""),IF(IFERROR(INDEX(Config!$G$15:$G$34,MATCH($I176,Config!$E$15:$E$34,0)),"No")="Yes",0,1),0)</f>
        <v>0</v>
      </c>
      <c r="AQ176" s="52">
        <f>IF(AND(COUNTA($A176:$L176)&gt;0,$C176="Adjustment",$J176=""),1,0)</f>
        <v>0</v>
      </c>
      <c r="AR176" s="52">
        <f>IF(AND(COUNTA($A176:$L176)&gt;0,$L176=""),1,0)</f>
        <v>0</v>
      </c>
      <c r="AS176" s="52">
        <f>IF(AND(COUNTA($A176:$L176)&gt;0,ISNUMBER($S176)),IF($S176&lt;0,1,0),0)</f>
        <v>0</v>
      </c>
      <c r="AT176" s="52">
        <f>$W176</f>
        <v>0</v>
      </c>
      <c r="AU176" s="52">
        <f>$AT176+$X176</f>
        <v>0</v>
      </c>
      <c r="AV176" s="52">
        <f>$AU176+$Y176</f>
        <v>0</v>
      </c>
      <c r="AW176" s="52">
        <f>$AV176+$Z176</f>
        <v>0</v>
      </c>
      <c r="AX176" s="52">
        <f>$AW176+$AA176</f>
        <v>0</v>
      </c>
      <c r="AY176" s="52">
        <f>$AX176+$AB176</f>
        <v>0</v>
      </c>
      <c r="AZ176" s="52">
        <f>$AY176+$AC176</f>
        <v>0</v>
      </c>
      <c r="BA176" s="52">
        <f>$AZ176+$AD176</f>
        <v>0</v>
      </c>
      <c r="BB176" s="52">
        <f>$BA176+$AE176</f>
        <v>0</v>
      </c>
      <c r="BC176" s="52">
        <f>$BB176+$AF176</f>
        <v>0</v>
      </c>
      <c r="BD176" s="52">
        <f>$BC176+$AG176</f>
        <v>0</v>
      </c>
      <c r="BE176" s="52">
        <f>$BD176+$AH176</f>
        <v>0</v>
      </c>
      <c r="BF176" s="52">
        <f>$BE176+$AI176</f>
        <v>0</v>
      </c>
      <c r="BG176" s="52">
        <f>$BF176+$AJ176</f>
        <v>0</v>
      </c>
      <c r="BH176" s="52">
        <f>$BG176+$AK176</f>
        <v>0</v>
      </c>
      <c r="BI176" s="52">
        <f>$BH176+$AL176</f>
        <v>0</v>
      </c>
      <c r="BJ176" s="52">
        <f>$BI176+$AM176</f>
        <v>0</v>
      </c>
      <c r="BK176" s="52">
        <f>$BJ176+$AN176</f>
        <v>0</v>
      </c>
      <c r="BL176" s="52">
        <f>$BK176+$AO176</f>
        <v>0</v>
      </c>
      <c r="BM176" s="52">
        <f>$BL176+$AP176</f>
        <v>0</v>
      </c>
      <c r="BN176" s="52">
        <f>$BM176+$AQ176</f>
        <v>0</v>
      </c>
      <c r="BO176" s="52">
        <f>$BN176+$AR176</f>
        <v>0</v>
      </c>
      <c r="BP176" s="52">
        <f>$BO176+$AS176</f>
        <v>0</v>
      </c>
      <c r="BQ176" s="52">
        <f>SUM($T$1:$T175)</f>
        <v>11</v>
      </c>
      <c r="BR176" s="52" t="str">
        <f>IF(ISNUMBER($T176),IF($T176&gt;0,COUNTIF($T$2:$T176,"&gt;0"),""),"")</f>
        <v/>
      </c>
      <c r="BS176" s="52" t="str">
        <f>IF($BR176="","",$BQ176+$T176)</f>
        <v/>
      </c>
      <c r="BT176" s="52" t="str">
        <f>IF($U176="Ready",COUNTIF($U$2:$U176,"Ready"),"")</f>
        <v/>
      </c>
      <c r="BU176" s="52">
        <f>IF(AND($U176="Ready",$C176="Receipt"),IF(COUNTIF(Batches!$A$2:$A$301,$F176)+COUNTIFS($F$1:$F175,$F176,$C$1:$C175,"Receipt",$U$1:$U175,"Ready")=0,1,0),0)</f>
        <v>0</v>
      </c>
      <c r="BV176" s="52" t="str">
        <f>IF($BU176=1,SUM($BU$2:$BU176),"")</f>
        <v/>
      </c>
    </row>
    <row r="177">
      <c r="A177" s="46" t="n"/>
      <c r="B177" s="46" t="n"/>
      <c r="C177" s="46" t="n"/>
      <c r="D177" s="46" t="n"/>
      <c r="E177" s="46" t="n"/>
      <c r="F177" s="46" t="n"/>
      <c r="G177" s="46" t="n"/>
      <c r="H177" s="46" t="n"/>
      <c r="I177" s="46" t="n"/>
      <c r="J177" s="46" t="n"/>
      <c r="K177" s="46" t="n"/>
      <c r="L177" s="46" t="n"/>
      <c r="M177" s="62" t="str">
        <f>IF($B177="","",IF(ISNUMBER($B177),$B177,IF(AND(LEN($B177)=10,MID($B177,5,1)="-",MID($B177,8,1)="-"),IFERROR(IF(AND(MONTH(DATE(VALUE(LEFT($B177,4)),VALUE(MID($B177,6,2)),VALUE(RIGHT($B177,2))))=VALUE(MID($B177,6,2)),DAY(DATE(VALUE(LEFT($B177,4)),VALUE(MID($B177,6,2)),VALUE(RIGHT($B177,2))))=VALUE(RIGHT($B177,2))),DATE(VALUE(LEFT($B177,4)),VALUE(MID($B177,6,2)),VALUE(RIGHT($B177,2))),"ERR"),"ERR"),"ERR")))</f>
        <v/>
      </c>
      <c r="N177" s="62" t="str">
        <f>IF($G177="","",IF(ISNUMBER($G177),$G177,IF(AND(LEN($G177)=10,MID($G177,5,1)="-",MID($G177,8,1)="-"),IFERROR(IF(AND(MONTH(DATE(VALUE(LEFT($G177,4)),VALUE(MID($G177,6,2)),VALUE(RIGHT($G177,2))))=VALUE(MID($G177,6,2)),DAY(DATE(VALUE(LEFT($G177,4)),VALUE(MID($G177,6,2)),VALUE(RIGHT($G177,2))))=VALUE(RIGHT($G177,2))),DATE(VALUE(LEFT($G177,4)),VALUE(MID($G177,6,2)),VALUE(RIGHT($G177,2))),"ERR"),"ERR"),"ERR")))</f>
        <v/>
      </c>
      <c r="O177" s="51" t="str">
        <f>IF($H177="","",IF(ISNUMBER($H177),$H177,IFERROR(VALUE($H177),"ERR")))</f>
        <v/>
      </c>
      <c r="P177" s="51" t="str">
        <f>IF(AND(ISNUMBER($O177),OR($C177="Receipt",$C177="Shipment",$C177="Adjustment")),IF($C177="Shipment",-$O177,$O177),"")</f>
        <v/>
      </c>
      <c r="Q177" s="51" t="str">
        <f>IF($D177="","",IFERROR(INDEX(Products!$R$2:$R$101,MATCH($D177,Products!$A$2:$A$101,0)),""))</f>
        <v/>
      </c>
      <c r="R177" s="51" t="str">
        <f>IF(OR($Q177="",$P177=""),"",$Q177+SUMIFS($P$1:$P176,$D$1:$D176,$D177,$U$1:$U176,"Ready"))</f>
        <v/>
      </c>
      <c r="S177" s="51" t="str">
        <f>IF($R177="","",$R177+$P177)</f>
        <v/>
      </c>
      <c r="T177" s="52" t="str">
        <f>IF(COUNTA($A177:$L177)&gt;0,$BP177,"")</f>
        <v/>
      </c>
      <c r="U177" s="49" t="str">
        <f>IF($T177="","",IF($T177=0,"Ready","Rejected"))</f>
        <v/>
      </c>
      <c r="V177" s="49" t="str">
        <f>IF(OR($T177="",$T177=0),"",INDEX(Config!$D$39:$D$61,MATCH(1,$AT177:$BP177,0))&amp;IF($T177&gt;1," (+"&amp;($T177-1)&amp;" more)",""))</f>
        <v/>
      </c>
      <c r="W177" s="52">
        <f>IF(AND(COUNTA($A177:$L177)&gt;0,$A177=""),1,0)</f>
        <v>0</v>
      </c>
      <c r="X177" s="52">
        <f>IF(AND(COUNTA($A177:$L177)&gt;0,$A177&lt;&gt;""),IF(COUNTIF($A$1:$A176,$A177)&gt;0,1,0),0)</f>
        <v>0</v>
      </c>
      <c r="Y177" s="52">
        <f>IF(AND(COUNTA($A177:$L177)&gt;0,$A177&lt;&gt;""),IF(COUNTIF(Inventory_Ledger!$A$2:$A$2001,$A177)&gt;0,1,0),0)</f>
        <v>0</v>
      </c>
      <c r="Z177" s="52">
        <f>IF(AND(COUNTA($A177:$L177)&gt;0,$B177=""),1,0)</f>
        <v>0</v>
      </c>
      <c r="AA177" s="52">
        <f>IF(AND(COUNTA($A177:$L177)&gt;0,$B177&lt;&gt;""),IF($M177="ERR",1,0),0)</f>
        <v>0</v>
      </c>
      <c r="AB177" s="52">
        <f>IF(AND(COUNTA($A177:$L177)&gt;0,ISNUMBER($M177)),IF($M177&gt;Config!$B$4,1,0),0)</f>
        <v>0</v>
      </c>
      <c r="AC177" s="52">
        <f>IF(AND(COUNTA($A177:$L177)&gt;0,$C177=""),1,0)</f>
        <v>0</v>
      </c>
      <c r="AD177" s="52">
        <f>IF(AND(COUNTA($A177:$L177)&gt;0,$C177&lt;&gt;""),IF(COUNTIF(Config!$A$15:$A$34,$C177)=0,1,0),0)</f>
        <v>0</v>
      </c>
      <c r="AE177" s="52">
        <f>IF(AND(COUNTA($A177:$L177)&gt;0,$D177=""),1,0)</f>
        <v>0</v>
      </c>
      <c r="AF177" s="52">
        <f>IF(AND(COUNTA($A177:$L177)&gt;0,$D177&lt;&gt;""),IF(COUNTIF(Products!$A$2:$A$101,$D177)=0,1,0),0)</f>
        <v>0</v>
      </c>
      <c r="AG177" s="52">
        <f>IF(AND(COUNTA($A177:$L177)&gt;0,$C177="Receipt",$E177=""),1,0)</f>
        <v>0</v>
      </c>
      <c r="AH177" s="52">
        <f>IF(AND(COUNTA($A177:$L177)&gt;0,$E177&lt;&gt;""),IF(COUNTIF(Suppliers!$A$2:$A$51,$E177)=0,1,0),0)</f>
        <v>0</v>
      </c>
      <c r="AI177" s="52">
        <f>IF(AND(COUNTA($A177:$L177)&gt;0,$F177=""),1,0)</f>
        <v>0</v>
      </c>
      <c r="AJ177" s="52">
        <f>IF(AND(COUNTA($A177:$L177)&gt;0,$F177&lt;&gt;"",$D177&lt;&gt;"",OR($C177="Shipment",$C177="Adjustment")),IF($AF177=1,0,IF(COUNTIFS(Batches!$A$2:$A$301,$F177,Batches!$B$2:$B$301,$D177)+COUNTIFS($F$1:$F176,$F177,$D$1:$D176,$D177,$C$1:$C176,"Receipt")=0,1,0)),0)</f>
        <v>0</v>
      </c>
      <c r="AK177" s="52">
        <f>IF(AND(COUNTA($A177:$L177)&gt;0,$C177="Receipt",$G177=""),1,0)</f>
        <v>0</v>
      </c>
      <c r="AL177" s="52">
        <f>IF(AND(COUNTA($A177:$L177)&gt;0,$G177&lt;&gt;""),IF($N177="ERR",1,0),0)</f>
        <v>0</v>
      </c>
      <c r="AM177" s="52">
        <f>IF(AND(COUNTA($A177:$L177)&gt;0,$H177=""),1,0)</f>
        <v>0</v>
      </c>
      <c r="AN177" s="52">
        <f>IF(AND(COUNTA($A177:$L177)&gt;0,$H177&lt;&gt;""),IF($O177="ERR",1,IF(INT($O177)&lt;&gt;$O177,1,IF(AND(OR($C177="Receipt",$C177="Shipment"),$O177&lt;=0),1,IF(AND($C177="Adjustment",$O177=0),1,0)))),0)</f>
        <v>0</v>
      </c>
      <c r="AO177" s="52">
        <f>IF(AND(COUNTA($A177:$L177)&gt;0,$C177="Receipt",$I177=""),1,0)</f>
        <v>0</v>
      </c>
      <c r="AP177" s="52">
        <f>IF(AND(COUNTA($A177:$L177)&gt;0,$I177&lt;&gt;""),IF(IFERROR(INDEX(Config!$G$15:$G$34,MATCH($I177,Config!$E$15:$E$34,0)),"No")="Yes",0,1),0)</f>
        <v>0</v>
      </c>
      <c r="AQ177" s="52">
        <f>IF(AND(COUNTA($A177:$L177)&gt;0,$C177="Adjustment",$J177=""),1,0)</f>
        <v>0</v>
      </c>
      <c r="AR177" s="52">
        <f>IF(AND(COUNTA($A177:$L177)&gt;0,$L177=""),1,0)</f>
        <v>0</v>
      </c>
      <c r="AS177" s="52">
        <f>IF(AND(COUNTA($A177:$L177)&gt;0,ISNUMBER($S177)),IF($S177&lt;0,1,0),0)</f>
        <v>0</v>
      </c>
      <c r="AT177" s="52">
        <f>$W177</f>
        <v>0</v>
      </c>
      <c r="AU177" s="52">
        <f>$AT177+$X177</f>
        <v>0</v>
      </c>
      <c r="AV177" s="52">
        <f>$AU177+$Y177</f>
        <v>0</v>
      </c>
      <c r="AW177" s="52">
        <f>$AV177+$Z177</f>
        <v>0</v>
      </c>
      <c r="AX177" s="52">
        <f>$AW177+$AA177</f>
        <v>0</v>
      </c>
      <c r="AY177" s="52">
        <f>$AX177+$AB177</f>
        <v>0</v>
      </c>
      <c r="AZ177" s="52">
        <f>$AY177+$AC177</f>
        <v>0</v>
      </c>
      <c r="BA177" s="52">
        <f>$AZ177+$AD177</f>
        <v>0</v>
      </c>
      <c r="BB177" s="52">
        <f>$BA177+$AE177</f>
        <v>0</v>
      </c>
      <c r="BC177" s="52">
        <f>$BB177+$AF177</f>
        <v>0</v>
      </c>
      <c r="BD177" s="52">
        <f>$BC177+$AG177</f>
        <v>0</v>
      </c>
      <c r="BE177" s="52">
        <f>$BD177+$AH177</f>
        <v>0</v>
      </c>
      <c r="BF177" s="52">
        <f>$BE177+$AI177</f>
        <v>0</v>
      </c>
      <c r="BG177" s="52">
        <f>$BF177+$AJ177</f>
        <v>0</v>
      </c>
      <c r="BH177" s="52">
        <f>$BG177+$AK177</f>
        <v>0</v>
      </c>
      <c r="BI177" s="52">
        <f>$BH177+$AL177</f>
        <v>0</v>
      </c>
      <c r="BJ177" s="52">
        <f>$BI177+$AM177</f>
        <v>0</v>
      </c>
      <c r="BK177" s="52">
        <f>$BJ177+$AN177</f>
        <v>0</v>
      </c>
      <c r="BL177" s="52">
        <f>$BK177+$AO177</f>
        <v>0</v>
      </c>
      <c r="BM177" s="52">
        <f>$BL177+$AP177</f>
        <v>0</v>
      </c>
      <c r="BN177" s="52">
        <f>$BM177+$AQ177</f>
        <v>0</v>
      </c>
      <c r="BO177" s="52">
        <f>$BN177+$AR177</f>
        <v>0</v>
      </c>
      <c r="BP177" s="52">
        <f>$BO177+$AS177</f>
        <v>0</v>
      </c>
      <c r="BQ177" s="52">
        <f>SUM($T$1:$T176)</f>
        <v>11</v>
      </c>
      <c r="BR177" s="52" t="str">
        <f>IF(ISNUMBER($T177),IF($T177&gt;0,COUNTIF($T$2:$T177,"&gt;0"),""),"")</f>
        <v/>
      </c>
      <c r="BS177" s="52" t="str">
        <f>IF($BR177="","",$BQ177+$T177)</f>
        <v/>
      </c>
      <c r="BT177" s="52" t="str">
        <f>IF($U177="Ready",COUNTIF($U$2:$U177,"Ready"),"")</f>
        <v/>
      </c>
      <c r="BU177" s="52">
        <f>IF(AND($U177="Ready",$C177="Receipt"),IF(COUNTIF(Batches!$A$2:$A$301,$F177)+COUNTIFS($F$1:$F176,$F177,$C$1:$C176,"Receipt",$U$1:$U176,"Ready")=0,1,0),0)</f>
        <v>0</v>
      </c>
      <c r="BV177" s="52" t="str">
        <f>IF($BU177=1,SUM($BU$2:$BU177),"")</f>
        <v/>
      </c>
    </row>
    <row r="178">
      <c r="A178" s="46" t="n"/>
      <c r="B178" s="46" t="n"/>
      <c r="C178" s="46" t="n"/>
      <c r="D178" s="46" t="n"/>
      <c r="E178" s="46" t="n"/>
      <c r="F178" s="46" t="n"/>
      <c r="G178" s="46" t="n"/>
      <c r="H178" s="46" t="n"/>
      <c r="I178" s="46" t="n"/>
      <c r="J178" s="46" t="n"/>
      <c r="K178" s="46" t="n"/>
      <c r="L178" s="46" t="n"/>
      <c r="M178" s="62" t="str">
        <f>IF($B178="","",IF(ISNUMBER($B178),$B178,IF(AND(LEN($B178)=10,MID($B178,5,1)="-",MID($B178,8,1)="-"),IFERROR(IF(AND(MONTH(DATE(VALUE(LEFT($B178,4)),VALUE(MID($B178,6,2)),VALUE(RIGHT($B178,2))))=VALUE(MID($B178,6,2)),DAY(DATE(VALUE(LEFT($B178,4)),VALUE(MID($B178,6,2)),VALUE(RIGHT($B178,2))))=VALUE(RIGHT($B178,2))),DATE(VALUE(LEFT($B178,4)),VALUE(MID($B178,6,2)),VALUE(RIGHT($B178,2))),"ERR"),"ERR"),"ERR")))</f>
        <v/>
      </c>
      <c r="N178" s="62" t="str">
        <f>IF($G178="","",IF(ISNUMBER($G178),$G178,IF(AND(LEN($G178)=10,MID($G178,5,1)="-",MID($G178,8,1)="-"),IFERROR(IF(AND(MONTH(DATE(VALUE(LEFT($G178,4)),VALUE(MID($G178,6,2)),VALUE(RIGHT($G178,2))))=VALUE(MID($G178,6,2)),DAY(DATE(VALUE(LEFT($G178,4)),VALUE(MID($G178,6,2)),VALUE(RIGHT($G178,2))))=VALUE(RIGHT($G178,2))),DATE(VALUE(LEFT($G178,4)),VALUE(MID($G178,6,2)),VALUE(RIGHT($G178,2))),"ERR"),"ERR"),"ERR")))</f>
        <v/>
      </c>
      <c r="O178" s="51" t="str">
        <f>IF($H178="","",IF(ISNUMBER($H178),$H178,IFERROR(VALUE($H178),"ERR")))</f>
        <v/>
      </c>
      <c r="P178" s="51" t="str">
        <f>IF(AND(ISNUMBER($O178),OR($C178="Receipt",$C178="Shipment",$C178="Adjustment")),IF($C178="Shipment",-$O178,$O178),"")</f>
        <v/>
      </c>
      <c r="Q178" s="51" t="str">
        <f>IF($D178="","",IFERROR(INDEX(Products!$R$2:$R$101,MATCH($D178,Products!$A$2:$A$101,0)),""))</f>
        <v/>
      </c>
      <c r="R178" s="51" t="str">
        <f>IF(OR($Q178="",$P178=""),"",$Q178+SUMIFS($P$1:$P177,$D$1:$D177,$D178,$U$1:$U177,"Ready"))</f>
        <v/>
      </c>
      <c r="S178" s="51" t="str">
        <f>IF($R178="","",$R178+$P178)</f>
        <v/>
      </c>
      <c r="T178" s="52" t="str">
        <f>IF(COUNTA($A178:$L178)&gt;0,$BP178,"")</f>
        <v/>
      </c>
      <c r="U178" s="49" t="str">
        <f>IF($T178="","",IF($T178=0,"Ready","Rejected"))</f>
        <v/>
      </c>
      <c r="V178" s="49" t="str">
        <f>IF(OR($T178="",$T178=0),"",INDEX(Config!$D$39:$D$61,MATCH(1,$AT178:$BP178,0))&amp;IF($T178&gt;1," (+"&amp;($T178-1)&amp;" more)",""))</f>
        <v/>
      </c>
      <c r="W178" s="52">
        <f>IF(AND(COUNTA($A178:$L178)&gt;0,$A178=""),1,0)</f>
        <v>0</v>
      </c>
      <c r="X178" s="52">
        <f>IF(AND(COUNTA($A178:$L178)&gt;0,$A178&lt;&gt;""),IF(COUNTIF($A$1:$A177,$A178)&gt;0,1,0),0)</f>
        <v>0</v>
      </c>
      <c r="Y178" s="52">
        <f>IF(AND(COUNTA($A178:$L178)&gt;0,$A178&lt;&gt;""),IF(COUNTIF(Inventory_Ledger!$A$2:$A$2001,$A178)&gt;0,1,0),0)</f>
        <v>0</v>
      </c>
      <c r="Z178" s="52">
        <f>IF(AND(COUNTA($A178:$L178)&gt;0,$B178=""),1,0)</f>
        <v>0</v>
      </c>
      <c r="AA178" s="52">
        <f>IF(AND(COUNTA($A178:$L178)&gt;0,$B178&lt;&gt;""),IF($M178="ERR",1,0),0)</f>
        <v>0</v>
      </c>
      <c r="AB178" s="52">
        <f>IF(AND(COUNTA($A178:$L178)&gt;0,ISNUMBER($M178)),IF($M178&gt;Config!$B$4,1,0),0)</f>
        <v>0</v>
      </c>
      <c r="AC178" s="52">
        <f>IF(AND(COUNTA($A178:$L178)&gt;0,$C178=""),1,0)</f>
        <v>0</v>
      </c>
      <c r="AD178" s="52">
        <f>IF(AND(COUNTA($A178:$L178)&gt;0,$C178&lt;&gt;""),IF(COUNTIF(Config!$A$15:$A$34,$C178)=0,1,0),0)</f>
        <v>0</v>
      </c>
      <c r="AE178" s="52">
        <f>IF(AND(COUNTA($A178:$L178)&gt;0,$D178=""),1,0)</f>
        <v>0</v>
      </c>
      <c r="AF178" s="52">
        <f>IF(AND(COUNTA($A178:$L178)&gt;0,$D178&lt;&gt;""),IF(COUNTIF(Products!$A$2:$A$101,$D178)=0,1,0),0)</f>
        <v>0</v>
      </c>
      <c r="AG178" s="52">
        <f>IF(AND(COUNTA($A178:$L178)&gt;0,$C178="Receipt",$E178=""),1,0)</f>
        <v>0</v>
      </c>
      <c r="AH178" s="52">
        <f>IF(AND(COUNTA($A178:$L178)&gt;0,$E178&lt;&gt;""),IF(COUNTIF(Suppliers!$A$2:$A$51,$E178)=0,1,0),0)</f>
        <v>0</v>
      </c>
      <c r="AI178" s="52">
        <f>IF(AND(COUNTA($A178:$L178)&gt;0,$F178=""),1,0)</f>
        <v>0</v>
      </c>
      <c r="AJ178" s="52">
        <f>IF(AND(COUNTA($A178:$L178)&gt;0,$F178&lt;&gt;"",$D178&lt;&gt;"",OR($C178="Shipment",$C178="Adjustment")),IF($AF178=1,0,IF(COUNTIFS(Batches!$A$2:$A$301,$F178,Batches!$B$2:$B$301,$D178)+COUNTIFS($F$1:$F177,$F178,$D$1:$D177,$D178,$C$1:$C177,"Receipt")=0,1,0)),0)</f>
        <v>0</v>
      </c>
      <c r="AK178" s="52">
        <f>IF(AND(COUNTA($A178:$L178)&gt;0,$C178="Receipt",$G178=""),1,0)</f>
        <v>0</v>
      </c>
      <c r="AL178" s="52">
        <f>IF(AND(COUNTA($A178:$L178)&gt;0,$G178&lt;&gt;""),IF($N178="ERR",1,0),0)</f>
        <v>0</v>
      </c>
      <c r="AM178" s="52">
        <f>IF(AND(COUNTA($A178:$L178)&gt;0,$H178=""),1,0)</f>
        <v>0</v>
      </c>
      <c r="AN178" s="52">
        <f>IF(AND(COUNTA($A178:$L178)&gt;0,$H178&lt;&gt;""),IF($O178="ERR",1,IF(INT($O178)&lt;&gt;$O178,1,IF(AND(OR($C178="Receipt",$C178="Shipment"),$O178&lt;=0),1,IF(AND($C178="Adjustment",$O178=0),1,0)))),0)</f>
        <v>0</v>
      </c>
      <c r="AO178" s="52">
        <f>IF(AND(COUNTA($A178:$L178)&gt;0,$C178="Receipt",$I178=""),1,0)</f>
        <v>0</v>
      </c>
      <c r="AP178" s="52">
        <f>IF(AND(COUNTA($A178:$L178)&gt;0,$I178&lt;&gt;""),IF(IFERROR(INDEX(Config!$G$15:$G$34,MATCH($I178,Config!$E$15:$E$34,0)),"No")="Yes",0,1),0)</f>
        <v>0</v>
      </c>
      <c r="AQ178" s="52">
        <f>IF(AND(COUNTA($A178:$L178)&gt;0,$C178="Adjustment",$J178=""),1,0)</f>
        <v>0</v>
      </c>
      <c r="AR178" s="52">
        <f>IF(AND(COUNTA($A178:$L178)&gt;0,$L178=""),1,0)</f>
        <v>0</v>
      </c>
      <c r="AS178" s="52">
        <f>IF(AND(COUNTA($A178:$L178)&gt;0,ISNUMBER($S178)),IF($S178&lt;0,1,0),0)</f>
        <v>0</v>
      </c>
      <c r="AT178" s="52">
        <f>$W178</f>
        <v>0</v>
      </c>
      <c r="AU178" s="52">
        <f>$AT178+$X178</f>
        <v>0</v>
      </c>
      <c r="AV178" s="52">
        <f>$AU178+$Y178</f>
        <v>0</v>
      </c>
      <c r="AW178" s="52">
        <f>$AV178+$Z178</f>
        <v>0</v>
      </c>
      <c r="AX178" s="52">
        <f>$AW178+$AA178</f>
        <v>0</v>
      </c>
      <c r="AY178" s="52">
        <f>$AX178+$AB178</f>
        <v>0</v>
      </c>
      <c r="AZ178" s="52">
        <f>$AY178+$AC178</f>
        <v>0</v>
      </c>
      <c r="BA178" s="52">
        <f>$AZ178+$AD178</f>
        <v>0</v>
      </c>
      <c r="BB178" s="52">
        <f>$BA178+$AE178</f>
        <v>0</v>
      </c>
      <c r="BC178" s="52">
        <f>$BB178+$AF178</f>
        <v>0</v>
      </c>
      <c r="BD178" s="52">
        <f>$BC178+$AG178</f>
        <v>0</v>
      </c>
      <c r="BE178" s="52">
        <f>$BD178+$AH178</f>
        <v>0</v>
      </c>
      <c r="BF178" s="52">
        <f>$BE178+$AI178</f>
        <v>0</v>
      </c>
      <c r="BG178" s="52">
        <f>$BF178+$AJ178</f>
        <v>0</v>
      </c>
      <c r="BH178" s="52">
        <f>$BG178+$AK178</f>
        <v>0</v>
      </c>
      <c r="BI178" s="52">
        <f>$BH178+$AL178</f>
        <v>0</v>
      </c>
      <c r="BJ178" s="52">
        <f>$BI178+$AM178</f>
        <v>0</v>
      </c>
      <c r="BK178" s="52">
        <f>$BJ178+$AN178</f>
        <v>0</v>
      </c>
      <c r="BL178" s="52">
        <f>$BK178+$AO178</f>
        <v>0</v>
      </c>
      <c r="BM178" s="52">
        <f>$BL178+$AP178</f>
        <v>0</v>
      </c>
      <c r="BN178" s="52">
        <f>$BM178+$AQ178</f>
        <v>0</v>
      </c>
      <c r="BO178" s="52">
        <f>$BN178+$AR178</f>
        <v>0</v>
      </c>
      <c r="BP178" s="52">
        <f>$BO178+$AS178</f>
        <v>0</v>
      </c>
      <c r="BQ178" s="52">
        <f>SUM($T$1:$T177)</f>
        <v>11</v>
      </c>
      <c r="BR178" s="52" t="str">
        <f>IF(ISNUMBER($T178),IF($T178&gt;0,COUNTIF($T$2:$T178,"&gt;0"),""),"")</f>
        <v/>
      </c>
      <c r="BS178" s="52" t="str">
        <f>IF($BR178="","",$BQ178+$T178)</f>
        <v/>
      </c>
      <c r="BT178" s="52" t="str">
        <f>IF($U178="Ready",COUNTIF($U$2:$U178,"Ready"),"")</f>
        <v/>
      </c>
      <c r="BU178" s="52">
        <f>IF(AND($U178="Ready",$C178="Receipt"),IF(COUNTIF(Batches!$A$2:$A$301,$F178)+COUNTIFS($F$1:$F177,$F178,$C$1:$C177,"Receipt",$U$1:$U177,"Ready")=0,1,0),0)</f>
        <v>0</v>
      </c>
      <c r="BV178" s="52" t="str">
        <f>IF($BU178=1,SUM($BU$2:$BU178),"")</f>
        <v/>
      </c>
    </row>
    <row r="179">
      <c r="A179" s="46" t="n"/>
      <c r="B179" s="46" t="n"/>
      <c r="C179" s="46" t="n"/>
      <c r="D179" s="46" t="n"/>
      <c r="E179" s="46" t="n"/>
      <c r="F179" s="46" t="n"/>
      <c r="G179" s="46" t="n"/>
      <c r="H179" s="46" t="n"/>
      <c r="I179" s="46" t="n"/>
      <c r="J179" s="46" t="n"/>
      <c r="K179" s="46" t="n"/>
      <c r="L179" s="46" t="n"/>
      <c r="M179" s="62" t="str">
        <f>IF($B179="","",IF(ISNUMBER($B179),$B179,IF(AND(LEN($B179)=10,MID($B179,5,1)="-",MID($B179,8,1)="-"),IFERROR(IF(AND(MONTH(DATE(VALUE(LEFT($B179,4)),VALUE(MID($B179,6,2)),VALUE(RIGHT($B179,2))))=VALUE(MID($B179,6,2)),DAY(DATE(VALUE(LEFT($B179,4)),VALUE(MID($B179,6,2)),VALUE(RIGHT($B179,2))))=VALUE(RIGHT($B179,2))),DATE(VALUE(LEFT($B179,4)),VALUE(MID($B179,6,2)),VALUE(RIGHT($B179,2))),"ERR"),"ERR"),"ERR")))</f>
        <v/>
      </c>
      <c r="N179" s="62" t="str">
        <f>IF($G179="","",IF(ISNUMBER($G179),$G179,IF(AND(LEN($G179)=10,MID($G179,5,1)="-",MID($G179,8,1)="-"),IFERROR(IF(AND(MONTH(DATE(VALUE(LEFT($G179,4)),VALUE(MID($G179,6,2)),VALUE(RIGHT($G179,2))))=VALUE(MID($G179,6,2)),DAY(DATE(VALUE(LEFT($G179,4)),VALUE(MID($G179,6,2)),VALUE(RIGHT($G179,2))))=VALUE(RIGHT($G179,2))),DATE(VALUE(LEFT($G179,4)),VALUE(MID($G179,6,2)),VALUE(RIGHT($G179,2))),"ERR"),"ERR"),"ERR")))</f>
        <v/>
      </c>
      <c r="O179" s="51" t="str">
        <f>IF($H179="","",IF(ISNUMBER($H179),$H179,IFERROR(VALUE($H179),"ERR")))</f>
        <v/>
      </c>
      <c r="P179" s="51" t="str">
        <f>IF(AND(ISNUMBER($O179),OR($C179="Receipt",$C179="Shipment",$C179="Adjustment")),IF($C179="Shipment",-$O179,$O179),"")</f>
        <v/>
      </c>
      <c r="Q179" s="51" t="str">
        <f>IF($D179="","",IFERROR(INDEX(Products!$R$2:$R$101,MATCH($D179,Products!$A$2:$A$101,0)),""))</f>
        <v/>
      </c>
      <c r="R179" s="51" t="str">
        <f>IF(OR($Q179="",$P179=""),"",$Q179+SUMIFS($P$1:$P178,$D$1:$D178,$D179,$U$1:$U178,"Ready"))</f>
        <v/>
      </c>
      <c r="S179" s="51" t="str">
        <f>IF($R179="","",$R179+$P179)</f>
        <v/>
      </c>
      <c r="T179" s="52" t="str">
        <f>IF(COUNTA($A179:$L179)&gt;0,$BP179,"")</f>
        <v/>
      </c>
      <c r="U179" s="49" t="str">
        <f>IF($T179="","",IF($T179=0,"Ready","Rejected"))</f>
        <v/>
      </c>
      <c r="V179" s="49" t="str">
        <f>IF(OR($T179="",$T179=0),"",INDEX(Config!$D$39:$D$61,MATCH(1,$AT179:$BP179,0))&amp;IF($T179&gt;1," (+"&amp;($T179-1)&amp;" more)",""))</f>
        <v/>
      </c>
      <c r="W179" s="52">
        <f>IF(AND(COUNTA($A179:$L179)&gt;0,$A179=""),1,0)</f>
        <v>0</v>
      </c>
      <c r="X179" s="52">
        <f>IF(AND(COUNTA($A179:$L179)&gt;0,$A179&lt;&gt;""),IF(COUNTIF($A$1:$A178,$A179)&gt;0,1,0),0)</f>
        <v>0</v>
      </c>
      <c r="Y179" s="52">
        <f>IF(AND(COUNTA($A179:$L179)&gt;0,$A179&lt;&gt;""),IF(COUNTIF(Inventory_Ledger!$A$2:$A$2001,$A179)&gt;0,1,0),0)</f>
        <v>0</v>
      </c>
      <c r="Z179" s="52">
        <f>IF(AND(COUNTA($A179:$L179)&gt;0,$B179=""),1,0)</f>
        <v>0</v>
      </c>
      <c r="AA179" s="52">
        <f>IF(AND(COUNTA($A179:$L179)&gt;0,$B179&lt;&gt;""),IF($M179="ERR",1,0),0)</f>
        <v>0</v>
      </c>
      <c r="AB179" s="52">
        <f>IF(AND(COUNTA($A179:$L179)&gt;0,ISNUMBER($M179)),IF($M179&gt;Config!$B$4,1,0),0)</f>
        <v>0</v>
      </c>
      <c r="AC179" s="52">
        <f>IF(AND(COUNTA($A179:$L179)&gt;0,$C179=""),1,0)</f>
        <v>0</v>
      </c>
      <c r="AD179" s="52">
        <f>IF(AND(COUNTA($A179:$L179)&gt;0,$C179&lt;&gt;""),IF(COUNTIF(Config!$A$15:$A$34,$C179)=0,1,0),0)</f>
        <v>0</v>
      </c>
      <c r="AE179" s="52">
        <f>IF(AND(COUNTA($A179:$L179)&gt;0,$D179=""),1,0)</f>
        <v>0</v>
      </c>
      <c r="AF179" s="52">
        <f>IF(AND(COUNTA($A179:$L179)&gt;0,$D179&lt;&gt;""),IF(COUNTIF(Products!$A$2:$A$101,$D179)=0,1,0),0)</f>
        <v>0</v>
      </c>
      <c r="AG179" s="52">
        <f>IF(AND(COUNTA($A179:$L179)&gt;0,$C179="Receipt",$E179=""),1,0)</f>
        <v>0</v>
      </c>
      <c r="AH179" s="52">
        <f>IF(AND(COUNTA($A179:$L179)&gt;0,$E179&lt;&gt;""),IF(COUNTIF(Suppliers!$A$2:$A$51,$E179)=0,1,0),0)</f>
        <v>0</v>
      </c>
      <c r="AI179" s="52">
        <f>IF(AND(COUNTA($A179:$L179)&gt;0,$F179=""),1,0)</f>
        <v>0</v>
      </c>
      <c r="AJ179" s="52">
        <f>IF(AND(COUNTA($A179:$L179)&gt;0,$F179&lt;&gt;"",$D179&lt;&gt;"",OR($C179="Shipment",$C179="Adjustment")),IF($AF179=1,0,IF(COUNTIFS(Batches!$A$2:$A$301,$F179,Batches!$B$2:$B$301,$D179)+COUNTIFS($F$1:$F178,$F179,$D$1:$D178,$D179,$C$1:$C178,"Receipt")=0,1,0)),0)</f>
        <v>0</v>
      </c>
      <c r="AK179" s="52">
        <f>IF(AND(COUNTA($A179:$L179)&gt;0,$C179="Receipt",$G179=""),1,0)</f>
        <v>0</v>
      </c>
      <c r="AL179" s="52">
        <f>IF(AND(COUNTA($A179:$L179)&gt;0,$G179&lt;&gt;""),IF($N179="ERR",1,0),0)</f>
        <v>0</v>
      </c>
      <c r="AM179" s="52">
        <f>IF(AND(COUNTA($A179:$L179)&gt;0,$H179=""),1,0)</f>
        <v>0</v>
      </c>
      <c r="AN179" s="52">
        <f>IF(AND(COUNTA($A179:$L179)&gt;0,$H179&lt;&gt;""),IF($O179="ERR",1,IF(INT($O179)&lt;&gt;$O179,1,IF(AND(OR($C179="Receipt",$C179="Shipment"),$O179&lt;=0),1,IF(AND($C179="Adjustment",$O179=0),1,0)))),0)</f>
        <v>0</v>
      </c>
      <c r="AO179" s="52">
        <f>IF(AND(COUNTA($A179:$L179)&gt;0,$C179="Receipt",$I179=""),1,0)</f>
        <v>0</v>
      </c>
      <c r="AP179" s="52">
        <f>IF(AND(COUNTA($A179:$L179)&gt;0,$I179&lt;&gt;""),IF(IFERROR(INDEX(Config!$G$15:$G$34,MATCH($I179,Config!$E$15:$E$34,0)),"No")="Yes",0,1),0)</f>
        <v>0</v>
      </c>
      <c r="AQ179" s="52">
        <f>IF(AND(COUNTA($A179:$L179)&gt;0,$C179="Adjustment",$J179=""),1,0)</f>
        <v>0</v>
      </c>
      <c r="AR179" s="52">
        <f>IF(AND(COUNTA($A179:$L179)&gt;0,$L179=""),1,0)</f>
        <v>0</v>
      </c>
      <c r="AS179" s="52">
        <f>IF(AND(COUNTA($A179:$L179)&gt;0,ISNUMBER($S179)),IF($S179&lt;0,1,0),0)</f>
        <v>0</v>
      </c>
      <c r="AT179" s="52">
        <f>$W179</f>
        <v>0</v>
      </c>
      <c r="AU179" s="52">
        <f>$AT179+$X179</f>
        <v>0</v>
      </c>
      <c r="AV179" s="52">
        <f>$AU179+$Y179</f>
        <v>0</v>
      </c>
      <c r="AW179" s="52">
        <f>$AV179+$Z179</f>
        <v>0</v>
      </c>
      <c r="AX179" s="52">
        <f>$AW179+$AA179</f>
        <v>0</v>
      </c>
      <c r="AY179" s="52">
        <f>$AX179+$AB179</f>
        <v>0</v>
      </c>
      <c r="AZ179" s="52">
        <f>$AY179+$AC179</f>
        <v>0</v>
      </c>
      <c r="BA179" s="52">
        <f>$AZ179+$AD179</f>
        <v>0</v>
      </c>
      <c r="BB179" s="52">
        <f>$BA179+$AE179</f>
        <v>0</v>
      </c>
      <c r="BC179" s="52">
        <f>$BB179+$AF179</f>
        <v>0</v>
      </c>
      <c r="BD179" s="52">
        <f>$BC179+$AG179</f>
        <v>0</v>
      </c>
      <c r="BE179" s="52">
        <f>$BD179+$AH179</f>
        <v>0</v>
      </c>
      <c r="BF179" s="52">
        <f>$BE179+$AI179</f>
        <v>0</v>
      </c>
      <c r="BG179" s="52">
        <f>$BF179+$AJ179</f>
        <v>0</v>
      </c>
      <c r="BH179" s="52">
        <f>$BG179+$AK179</f>
        <v>0</v>
      </c>
      <c r="BI179" s="52">
        <f>$BH179+$AL179</f>
        <v>0</v>
      </c>
      <c r="BJ179" s="52">
        <f>$BI179+$AM179</f>
        <v>0</v>
      </c>
      <c r="BK179" s="52">
        <f>$BJ179+$AN179</f>
        <v>0</v>
      </c>
      <c r="BL179" s="52">
        <f>$BK179+$AO179</f>
        <v>0</v>
      </c>
      <c r="BM179" s="52">
        <f>$BL179+$AP179</f>
        <v>0</v>
      </c>
      <c r="BN179" s="52">
        <f>$BM179+$AQ179</f>
        <v>0</v>
      </c>
      <c r="BO179" s="52">
        <f>$BN179+$AR179</f>
        <v>0</v>
      </c>
      <c r="BP179" s="52">
        <f>$BO179+$AS179</f>
        <v>0</v>
      </c>
      <c r="BQ179" s="52">
        <f>SUM($T$1:$T178)</f>
        <v>11</v>
      </c>
      <c r="BR179" s="52" t="str">
        <f>IF(ISNUMBER($T179),IF($T179&gt;0,COUNTIF($T$2:$T179,"&gt;0"),""),"")</f>
        <v/>
      </c>
      <c r="BS179" s="52" t="str">
        <f>IF($BR179="","",$BQ179+$T179)</f>
        <v/>
      </c>
      <c r="BT179" s="52" t="str">
        <f>IF($U179="Ready",COUNTIF($U$2:$U179,"Ready"),"")</f>
        <v/>
      </c>
      <c r="BU179" s="52">
        <f>IF(AND($U179="Ready",$C179="Receipt"),IF(COUNTIF(Batches!$A$2:$A$301,$F179)+COUNTIFS($F$1:$F178,$F179,$C$1:$C178,"Receipt",$U$1:$U178,"Ready")=0,1,0),0)</f>
        <v>0</v>
      </c>
      <c r="BV179" s="52" t="str">
        <f>IF($BU179=1,SUM($BU$2:$BU179),"")</f>
        <v/>
      </c>
    </row>
    <row r="180">
      <c r="A180" s="46" t="n"/>
      <c r="B180" s="46" t="n"/>
      <c r="C180" s="46" t="n"/>
      <c r="D180" s="46" t="n"/>
      <c r="E180" s="46" t="n"/>
      <c r="F180" s="46" t="n"/>
      <c r="G180" s="46" t="n"/>
      <c r="H180" s="46" t="n"/>
      <c r="I180" s="46" t="n"/>
      <c r="J180" s="46" t="n"/>
      <c r="K180" s="46" t="n"/>
      <c r="L180" s="46" t="n"/>
      <c r="M180" s="62" t="str">
        <f>IF($B180="","",IF(ISNUMBER($B180),$B180,IF(AND(LEN($B180)=10,MID($B180,5,1)="-",MID($B180,8,1)="-"),IFERROR(IF(AND(MONTH(DATE(VALUE(LEFT($B180,4)),VALUE(MID($B180,6,2)),VALUE(RIGHT($B180,2))))=VALUE(MID($B180,6,2)),DAY(DATE(VALUE(LEFT($B180,4)),VALUE(MID($B180,6,2)),VALUE(RIGHT($B180,2))))=VALUE(RIGHT($B180,2))),DATE(VALUE(LEFT($B180,4)),VALUE(MID($B180,6,2)),VALUE(RIGHT($B180,2))),"ERR"),"ERR"),"ERR")))</f>
        <v/>
      </c>
      <c r="N180" s="62" t="str">
        <f>IF($G180="","",IF(ISNUMBER($G180),$G180,IF(AND(LEN($G180)=10,MID($G180,5,1)="-",MID($G180,8,1)="-"),IFERROR(IF(AND(MONTH(DATE(VALUE(LEFT($G180,4)),VALUE(MID($G180,6,2)),VALUE(RIGHT($G180,2))))=VALUE(MID($G180,6,2)),DAY(DATE(VALUE(LEFT($G180,4)),VALUE(MID($G180,6,2)),VALUE(RIGHT($G180,2))))=VALUE(RIGHT($G180,2))),DATE(VALUE(LEFT($G180,4)),VALUE(MID($G180,6,2)),VALUE(RIGHT($G180,2))),"ERR"),"ERR"),"ERR")))</f>
        <v/>
      </c>
      <c r="O180" s="51" t="str">
        <f>IF($H180="","",IF(ISNUMBER($H180),$H180,IFERROR(VALUE($H180),"ERR")))</f>
        <v/>
      </c>
      <c r="P180" s="51" t="str">
        <f>IF(AND(ISNUMBER($O180),OR($C180="Receipt",$C180="Shipment",$C180="Adjustment")),IF($C180="Shipment",-$O180,$O180),"")</f>
        <v/>
      </c>
      <c r="Q180" s="51" t="str">
        <f>IF($D180="","",IFERROR(INDEX(Products!$R$2:$R$101,MATCH($D180,Products!$A$2:$A$101,0)),""))</f>
        <v/>
      </c>
      <c r="R180" s="51" t="str">
        <f>IF(OR($Q180="",$P180=""),"",$Q180+SUMIFS($P$1:$P179,$D$1:$D179,$D180,$U$1:$U179,"Ready"))</f>
        <v/>
      </c>
      <c r="S180" s="51" t="str">
        <f>IF($R180="","",$R180+$P180)</f>
        <v/>
      </c>
      <c r="T180" s="52" t="str">
        <f>IF(COUNTA($A180:$L180)&gt;0,$BP180,"")</f>
        <v/>
      </c>
      <c r="U180" s="49" t="str">
        <f>IF($T180="","",IF($T180=0,"Ready","Rejected"))</f>
        <v/>
      </c>
      <c r="V180" s="49" t="str">
        <f>IF(OR($T180="",$T180=0),"",INDEX(Config!$D$39:$D$61,MATCH(1,$AT180:$BP180,0))&amp;IF($T180&gt;1," (+"&amp;($T180-1)&amp;" more)",""))</f>
        <v/>
      </c>
      <c r="W180" s="52">
        <f>IF(AND(COUNTA($A180:$L180)&gt;0,$A180=""),1,0)</f>
        <v>0</v>
      </c>
      <c r="X180" s="52">
        <f>IF(AND(COUNTA($A180:$L180)&gt;0,$A180&lt;&gt;""),IF(COUNTIF($A$1:$A179,$A180)&gt;0,1,0),0)</f>
        <v>0</v>
      </c>
      <c r="Y180" s="52">
        <f>IF(AND(COUNTA($A180:$L180)&gt;0,$A180&lt;&gt;""),IF(COUNTIF(Inventory_Ledger!$A$2:$A$2001,$A180)&gt;0,1,0),0)</f>
        <v>0</v>
      </c>
      <c r="Z180" s="52">
        <f>IF(AND(COUNTA($A180:$L180)&gt;0,$B180=""),1,0)</f>
        <v>0</v>
      </c>
      <c r="AA180" s="52">
        <f>IF(AND(COUNTA($A180:$L180)&gt;0,$B180&lt;&gt;""),IF($M180="ERR",1,0),0)</f>
        <v>0</v>
      </c>
      <c r="AB180" s="52">
        <f>IF(AND(COUNTA($A180:$L180)&gt;0,ISNUMBER($M180)),IF($M180&gt;Config!$B$4,1,0),0)</f>
        <v>0</v>
      </c>
      <c r="AC180" s="52">
        <f>IF(AND(COUNTA($A180:$L180)&gt;0,$C180=""),1,0)</f>
        <v>0</v>
      </c>
      <c r="AD180" s="52">
        <f>IF(AND(COUNTA($A180:$L180)&gt;0,$C180&lt;&gt;""),IF(COUNTIF(Config!$A$15:$A$34,$C180)=0,1,0),0)</f>
        <v>0</v>
      </c>
      <c r="AE180" s="52">
        <f>IF(AND(COUNTA($A180:$L180)&gt;0,$D180=""),1,0)</f>
        <v>0</v>
      </c>
      <c r="AF180" s="52">
        <f>IF(AND(COUNTA($A180:$L180)&gt;0,$D180&lt;&gt;""),IF(COUNTIF(Products!$A$2:$A$101,$D180)=0,1,0),0)</f>
        <v>0</v>
      </c>
      <c r="AG180" s="52">
        <f>IF(AND(COUNTA($A180:$L180)&gt;0,$C180="Receipt",$E180=""),1,0)</f>
        <v>0</v>
      </c>
      <c r="AH180" s="52">
        <f>IF(AND(COUNTA($A180:$L180)&gt;0,$E180&lt;&gt;""),IF(COUNTIF(Suppliers!$A$2:$A$51,$E180)=0,1,0),0)</f>
        <v>0</v>
      </c>
      <c r="AI180" s="52">
        <f>IF(AND(COUNTA($A180:$L180)&gt;0,$F180=""),1,0)</f>
        <v>0</v>
      </c>
      <c r="AJ180" s="52">
        <f>IF(AND(COUNTA($A180:$L180)&gt;0,$F180&lt;&gt;"",$D180&lt;&gt;"",OR($C180="Shipment",$C180="Adjustment")),IF($AF180=1,0,IF(COUNTIFS(Batches!$A$2:$A$301,$F180,Batches!$B$2:$B$301,$D180)+COUNTIFS($F$1:$F179,$F180,$D$1:$D179,$D180,$C$1:$C179,"Receipt")=0,1,0)),0)</f>
        <v>0</v>
      </c>
      <c r="AK180" s="52">
        <f>IF(AND(COUNTA($A180:$L180)&gt;0,$C180="Receipt",$G180=""),1,0)</f>
        <v>0</v>
      </c>
      <c r="AL180" s="52">
        <f>IF(AND(COUNTA($A180:$L180)&gt;0,$G180&lt;&gt;""),IF($N180="ERR",1,0),0)</f>
        <v>0</v>
      </c>
      <c r="AM180" s="52">
        <f>IF(AND(COUNTA($A180:$L180)&gt;0,$H180=""),1,0)</f>
        <v>0</v>
      </c>
      <c r="AN180" s="52">
        <f>IF(AND(COUNTA($A180:$L180)&gt;0,$H180&lt;&gt;""),IF($O180="ERR",1,IF(INT($O180)&lt;&gt;$O180,1,IF(AND(OR($C180="Receipt",$C180="Shipment"),$O180&lt;=0),1,IF(AND($C180="Adjustment",$O180=0),1,0)))),0)</f>
        <v>0</v>
      </c>
      <c r="AO180" s="52">
        <f>IF(AND(COUNTA($A180:$L180)&gt;0,$C180="Receipt",$I180=""),1,0)</f>
        <v>0</v>
      </c>
      <c r="AP180" s="52">
        <f>IF(AND(COUNTA($A180:$L180)&gt;0,$I180&lt;&gt;""),IF(IFERROR(INDEX(Config!$G$15:$G$34,MATCH($I180,Config!$E$15:$E$34,0)),"No")="Yes",0,1),0)</f>
        <v>0</v>
      </c>
      <c r="AQ180" s="52">
        <f>IF(AND(COUNTA($A180:$L180)&gt;0,$C180="Adjustment",$J180=""),1,0)</f>
        <v>0</v>
      </c>
      <c r="AR180" s="52">
        <f>IF(AND(COUNTA($A180:$L180)&gt;0,$L180=""),1,0)</f>
        <v>0</v>
      </c>
      <c r="AS180" s="52">
        <f>IF(AND(COUNTA($A180:$L180)&gt;0,ISNUMBER($S180)),IF($S180&lt;0,1,0),0)</f>
        <v>0</v>
      </c>
      <c r="AT180" s="52">
        <f>$W180</f>
        <v>0</v>
      </c>
      <c r="AU180" s="52">
        <f>$AT180+$X180</f>
        <v>0</v>
      </c>
      <c r="AV180" s="52">
        <f>$AU180+$Y180</f>
        <v>0</v>
      </c>
      <c r="AW180" s="52">
        <f>$AV180+$Z180</f>
        <v>0</v>
      </c>
      <c r="AX180" s="52">
        <f>$AW180+$AA180</f>
        <v>0</v>
      </c>
      <c r="AY180" s="52">
        <f>$AX180+$AB180</f>
        <v>0</v>
      </c>
      <c r="AZ180" s="52">
        <f>$AY180+$AC180</f>
        <v>0</v>
      </c>
      <c r="BA180" s="52">
        <f>$AZ180+$AD180</f>
        <v>0</v>
      </c>
      <c r="BB180" s="52">
        <f>$BA180+$AE180</f>
        <v>0</v>
      </c>
      <c r="BC180" s="52">
        <f>$BB180+$AF180</f>
        <v>0</v>
      </c>
      <c r="BD180" s="52">
        <f>$BC180+$AG180</f>
        <v>0</v>
      </c>
      <c r="BE180" s="52">
        <f>$BD180+$AH180</f>
        <v>0</v>
      </c>
      <c r="BF180" s="52">
        <f>$BE180+$AI180</f>
        <v>0</v>
      </c>
      <c r="BG180" s="52">
        <f>$BF180+$AJ180</f>
        <v>0</v>
      </c>
      <c r="BH180" s="52">
        <f>$BG180+$AK180</f>
        <v>0</v>
      </c>
      <c r="BI180" s="52">
        <f>$BH180+$AL180</f>
        <v>0</v>
      </c>
      <c r="BJ180" s="52">
        <f>$BI180+$AM180</f>
        <v>0</v>
      </c>
      <c r="BK180" s="52">
        <f>$BJ180+$AN180</f>
        <v>0</v>
      </c>
      <c r="BL180" s="52">
        <f>$BK180+$AO180</f>
        <v>0</v>
      </c>
      <c r="BM180" s="52">
        <f>$BL180+$AP180</f>
        <v>0</v>
      </c>
      <c r="BN180" s="52">
        <f>$BM180+$AQ180</f>
        <v>0</v>
      </c>
      <c r="BO180" s="52">
        <f>$BN180+$AR180</f>
        <v>0</v>
      </c>
      <c r="BP180" s="52">
        <f>$BO180+$AS180</f>
        <v>0</v>
      </c>
      <c r="BQ180" s="52">
        <f>SUM($T$1:$T179)</f>
        <v>11</v>
      </c>
      <c r="BR180" s="52" t="str">
        <f>IF(ISNUMBER($T180),IF($T180&gt;0,COUNTIF($T$2:$T180,"&gt;0"),""),"")</f>
        <v/>
      </c>
      <c r="BS180" s="52" t="str">
        <f>IF($BR180="","",$BQ180+$T180)</f>
        <v/>
      </c>
      <c r="BT180" s="52" t="str">
        <f>IF($U180="Ready",COUNTIF($U$2:$U180,"Ready"),"")</f>
        <v/>
      </c>
      <c r="BU180" s="52">
        <f>IF(AND($U180="Ready",$C180="Receipt"),IF(COUNTIF(Batches!$A$2:$A$301,$F180)+COUNTIFS($F$1:$F179,$F180,$C$1:$C179,"Receipt",$U$1:$U179,"Ready")=0,1,0),0)</f>
        <v>0</v>
      </c>
      <c r="BV180" s="52" t="str">
        <f>IF($BU180=1,SUM($BU$2:$BU180),"")</f>
        <v/>
      </c>
    </row>
    <row r="181">
      <c r="A181" s="46" t="n"/>
      <c r="B181" s="46" t="n"/>
      <c r="C181" s="46" t="n"/>
      <c r="D181" s="46" t="n"/>
      <c r="E181" s="46" t="n"/>
      <c r="F181" s="46" t="n"/>
      <c r="G181" s="46" t="n"/>
      <c r="H181" s="46" t="n"/>
      <c r="I181" s="46" t="n"/>
      <c r="J181" s="46" t="n"/>
      <c r="K181" s="46" t="n"/>
      <c r="L181" s="46" t="n"/>
      <c r="M181" s="62" t="str">
        <f>IF($B181="","",IF(ISNUMBER($B181),$B181,IF(AND(LEN($B181)=10,MID($B181,5,1)="-",MID($B181,8,1)="-"),IFERROR(IF(AND(MONTH(DATE(VALUE(LEFT($B181,4)),VALUE(MID($B181,6,2)),VALUE(RIGHT($B181,2))))=VALUE(MID($B181,6,2)),DAY(DATE(VALUE(LEFT($B181,4)),VALUE(MID($B181,6,2)),VALUE(RIGHT($B181,2))))=VALUE(RIGHT($B181,2))),DATE(VALUE(LEFT($B181,4)),VALUE(MID($B181,6,2)),VALUE(RIGHT($B181,2))),"ERR"),"ERR"),"ERR")))</f>
        <v/>
      </c>
      <c r="N181" s="62" t="str">
        <f>IF($G181="","",IF(ISNUMBER($G181),$G181,IF(AND(LEN($G181)=10,MID($G181,5,1)="-",MID($G181,8,1)="-"),IFERROR(IF(AND(MONTH(DATE(VALUE(LEFT($G181,4)),VALUE(MID($G181,6,2)),VALUE(RIGHT($G181,2))))=VALUE(MID($G181,6,2)),DAY(DATE(VALUE(LEFT($G181,4)),VALUE(MID($G181,6,2)),VALUE(RIGHT($G181,2))))=VALUE(RIGHT($G181,2))),DATE(VALUE(LEFT($G181,4)),VALUE(MID($G181,6,2)),VALUE(RIGHT($G181,2))),"ERR"),"ERR"),"ERR")))</f>
        <v/>
      </c>
      <c r="O181" s="51" t="str">
        <f>IF($H181="","",IF(ISNUMBER($H181),$H181,IFERROR(VALUE($H181),"ERR")))</f>
        <v/>
      </c>
      <c r="P181" s="51" t="str">
        <f>IF(AND(ISNUMBER($O181),OR($C181="Receipt",$C181="Shipment",$C181="Adjustment")),IF($C181="Shipment",-$O181,$O181),"")</f>
        <v/>
      </c>
      <c r="Q181" s="51" t="str">
        <f>IF($D181="","",IFERROR(INDEX(Products!$R$2:$R$101,MATCH($D181,Products!$A$2:$A$101,0)),""))</f>
        <v/>
      </c>
      <c r="R181" s="51" t="str">
        <f>IF(OR($Q181="",$P181=""),"",$Q181+SUMIFS($P$1:$P180,$D$1:$D180,$D181,$U$1:$U180,"Ready"))</f>
        <v/>
      </c>
      <c r="S181" s="51" t="str">
        <f>IF($R181="","",$R181+$P181)</f>
        <v/>
      </c>
      <c r="T181" s="52" t="str">
        <f>IF(COUNTA($A181:$L181)&gt;0,$BP181,"")</f>
        <v/>
      </c>
      <c r="U181" s="49" t="str">
        <f>IF($T181="","",IF($T181=0,"Ready","Rejected"))</f>
        <v/>
      </c>
      <c r="V181" s="49" t="str">
        <f>IF(OR($T181="",$T181=0),"",INDEX(Config!$D$39:$D$61,MATCH(1,$AT181:$BP181,0))&amp;IF($T181&gt;1," (+"&amp;($T181-1)&amp;" more)",""))</f>
        <v/>
      </c>
      <c r="W181" s="52">
        <f>IF(AND(COUNTA($A181:$L181)&gt;0,$A181=""),1,0)</f>
        <v>0</v>
      </c>
      <c r="X181" s="52">
        <f>IF(AND(COUNTA($A181:$L181)&gt;0,$A181&lt;&gt;""),IF(COUNTIF($A$1:$A180,$A181)&gt;0,1,0),0)</f>
        <v>0</v>
      </c>
      <c r="Y181" s="52">
        <f>IF(AND(COUNTA($A181:$L181)&gt;0,$A181&lt;&gt;""),IF(COUNTIF(Inventory_Ledger!$A$2:$A$2001,$A181)&gt;0,1,0),0)</f>
        <v>0</v>
      </c>
      <c r="Z181" s="52">
        <f>IF(AND(COUNTA($A181:$L181)&gt;0,$B181=""),1,0)</f>
        <v>0</v>
      </c>
      <c r="AA181" s="52">
        <f>IF(AND(COUNTA($A181:$L181)&gt;0,$B181&lt;&gt;""),IF($M181="ERR",1,0),0)</f>
        <v>0</v>
      </c>
      <c r="AB181" s="52">
        <f>IF(AND(COUNTA($A181:$L181)&gt;0,ISNUMBER($M181)),IF($M181&gt;Config!$B$4,1,0),0)</f>
        <v>0</v>
      </c>
      <c r="AC181" s="52">
        <f>IF(AND(COUNTA($A181:$L181)&gt;0,$C181=""),1,0)</f>
        <v>0</v>
      </c>
      <c r="AD181" s="52">
        <f>IF(AND(COUNTA($A181:$L181)&gt;0,$C181&lt;&gt;""),IF(COUNTIF(Config!$A$15:$A$34,$C181)=0,1,0),0)</f>
        <v>0</v>
      </c>
      <c r="AE181" s="52">
        <f>IF(AND(COUNTA($A181:$L181)&gt;0,$D181=""),1,0)</f>
        <v>0</v>
      </c>
      <c r="AF181" s="52">
        <f>IF(AND(COUNTA($A181:$L181)&gt;0,$D181&lt;&gt;""),IF(COUNTIF(Products!$A$2:$A$101,$D181)=0,1,0),0)</f>
        <v>0</v>
      </c>
      <c r="AG181" s="52">
        <f>IF(AND(COUNTA($A181:$L181)&gt;0,$C181="Receipt",$E181=""),1,0)</f>
        <v>0</v>
      </c>
      <c r="AH181" s="52">
        <f>IF(AND(COUNTA($A181:$L181)&gt;0,$E181&lt;&gt;""),IF(COUNTIF(Suppliers!$A$2:$A$51,$E181)=0,1,0),0)</f>
        <v>0</v>
      </c>
      <c r="AI181" s="52">
        <f>IF(AND(COUNTA($A181:$L181)&gt;0,$F181=""),1,0)</f>
        <v>0</v>
      </c>
      <c r="AJ181" s="52">
        <f>IF(AND(COUNTA($A181:$L181)&gt;0,$F181&lt;&gt;"",$D181&lt;&gt;"",OR($C181="Shipment",$C181="Adjustment")),IF($AF181=1,0,IF(COUNTIFS(Batches!$A$2:$A$301,$F181,Batches!$B$2:$B$301,$D181)+COUNTIFS($F$1:$F180,$F181,$D$1:$D180,$D181,$C$1:$C180,"Receipt")=0,1,0)),0)</f>
        <v>0</v>
      </c>
      <c r="AK181" s="52">
        <f>IF(AND(COUNTA($A181:$L181)&gt;0,$C181="Receipt",$G181=""),1,0)</f>
        <v>0</v>
      </c>
      <c r="AL181" s="52">
        <f>IF(AND(COUNTA($A181:$L181)&gt;0,$G181&lt;&gt;""),IF($N181="ERR",1,0),0)</f>
        <v>0</v>
      </c>
      <c r="AM181" s="52">
        <f>IF(AND(COUNTA($A181:$L181)&gt;0,$H181=""),1,0)</f>
        <v>0</v>
      </c>
      <c r="AN181" s="52">
        <f>IF(AND(COUNTA($A181:$L181)&gt;0,$H181&lt;&gt;""),IF($O181="ERR",1,IF(INT($O181)&lt;&gt;$O181,1,IF(AND(OR($C181="Receipt",$C181="Shipment"),$O181&lt;=0),1,IF(AND($C181="Adjustment",$O181=0),1,0)))),0)</f>
        <v>0</v>
      </c>
      <c r="AO181" s="52">
        <f>IF(AND(COUNTA($A181:$L181)&gt;0,$C181="Receipt",$I181=""),1,0)</f>
        <v>0</v>
      </c>
      <c r="AP181" s="52">
        <f>IF(AND(COUNTA($A181:$L181)&gt;0,$I181&lt;&gt;""),IF(IFERROR(INDEX(Config!$G$15:$G$34,MATCH($I181,Config!$E$15:$E$34,0)),"No")="Yes",0,1),0)</f>
        <v>0</v>
      </c>
      <c r="AQ181" s="52">
        <f>IF(AND(COUNTA($A181:$L181)&gt;0,$C181="Adjustment",$J181=""),1,0)</f>
        <v>0</v>
      </c>
      <c r="AR181" s="52">
        <f>IF(AND(COUNTA($A181:$L181)&gt;0,$L181=""),1,0)</f>
        <v>0</v>
      </c>
      <c r="AS181" s="52">
        <f>IF(AND(COUNTA($A181:$L181)&gt;0,ISNUMBER($S181)),IF($S181&lt;0,1,0),0)</f>
        <v>0</v>
      </c>
      <c r="AT181" s="52">
        <f>$W181</f>
        <v>0</v>
      </c>
      <c r="AU181" s="52">
        <f>$AT181+$X181</f>
        <v>0</v>
      </c>
      <c r="AV181" s="52">
        <f>$AU181+$Y181</f>
        <v>0</v>
      </c>
      <c r="AW181" s="52">
        <f>$AV181+$Z181</f>
        <v>0</v>
      </c>
      <c r="AX181" s="52">
        <f>$AW181+$AA181</f>
        <v>0</v>
      </c>
      <c r="AY181" s="52">
        <f>$AX181+$AB181</f>
        <v>0</v>
      </c>
      <c r="AZ181" s="52">
        <f>$AY181+$AC181</f>
        <v>0</v>
      </c>
      <c r="BA181" s="52">
        <f>$AZ181+$AD181</f>
        <v>0</v>
      </c>
      <c r="BB181" s="52">
        <f>$BA181+$AE181</f>
        <v>0</v>
      </c>
      <c r="BC181" s="52">
        <f>$BB181+$AF181</f>
        <v>0</v>
      </c>
      <c r="BD181" s="52">
        <f>$BC181+$AG181</f>
        <v>0</v>
      </c>
      <c r="BE181" s="52">
        <f>$BD181+$AH181</f>
        <v>0</v>
      </c>
      <c r="BF181" s="52">
        <f>$BE181+$AI181</f>
        <v>0</v>
      </c>
      <c r="BG181" s="52">
        <f>$BF181+$AJ181</f>
        <v>0</v>
      </c>
      <c r="BH181" s="52">
        <f>$BG181+$AK181</f>
        <v>0</v>
      </c>
      <c r="BI181" s="52">
        <f>$BH181+$AL181</f>
        <v>0</v>
      </c>
      <c r="BJ181" s="52">
        <f>$BI181+$AM181</f>
        <v>0</v>
      </c>
      <c r="BK181" s="52">
        <f>$BJ181+$AN181</f>
        <v>0</v>
      </c>
      <c r="BL181" s="52">
        <f>$BK181+$AO181</f>
        <v>0</v>
      </c>
      <c r="BM181" s="52">
        <f>$BL181+$AP181</f>
        <v>0</v>
      </c>
      <c r="BN181" s="52">
        <f>$BM181+$AQ181</f>
        <v>0</v>
      </c>
      <c r="BO181" s="52">
        <f>$BN181+$AR181</f>
        <v>0</v>
      </c>
      <c r="BP181" s="52">
        <f>$BO181+$AS181</f>
        <v>0</v>
      </c>
      <c r="BQ181" s="52">
        <f>SUM($T$1:$T180)</f>
        <v>11</v>
      </c>
      <c r="BR181" s="52" t="str">
        <f>IF(ISNUMBER($T181),IF($T181&gt;0,COUNTIF($T$2:$T181,"&gt;0"),""),"")</f>
        <v/>
      </c>
      <c r="BS181" s="52" t="str">
        <f>IF($BR181="","",$BQ181+$T181)</f>
        <v/>
      </c>
      <c r="BT181" s="52" t="str">
        <f>IF($U181="Ready",COUNTIF($U$2:$U181,"Ready"),"")</f>
        <v/>
      </c>
      <c r="BU181" s="52">
        <f>IF(AND($U181="Ready",$C181="Receipt"),IF(COUNTIF(Batches!$A$2:$A$301,$F181)+COUNTIFS($F$1:$F180,$F181,$C$1:$C180,"Receipt",$U$1:$U180,"Ready")=0,1,0),0)</f>
        <v>0</v>
      </c>
      <c r="BV181" s="52" t="str">
        <f>IF($BU181=1,SUM($BU$2:$BU181),"")</f>
        <v/>
      </c>
    </row>
    <row r="182">
      <c r="A182" s="46" t="n"/>
      <c r="B182" s="46" t="n"/>
      <c r="C182" s="46" t="n"/>
      <c r="D182" s="46" t="n"/>
      <c r="E182" s="46" t="n"/>
      <c r="F182" s="46" t="n"/>
      <c r="G182" s="46" t="n"/>
      <c r="H182" s="46" t="n"/>
      <c r="I182" s="46" t="n"/>
      <c r="J182" s="46" t="n"/>
      <c r="K182" s="46" t="n"/>
      <c r="L182" s="46" t="n"/>
      <c r="M182" s="62" t="str">
        <f>IF($B182="","",IF(ISNUMBER($B182),$B182,IF(AND(LEN($B182)=10,MID($B182,5,1)="-",MID($B182,8,1)="-"),IFERROR(IF(AND(MONTH(DATE(VALUE(LEFT($B182,4)),VALUE(MID($B182,6,2)),VALUE(RIGHT($B182,2))))=VALUE(MID($B182,6,2)),DAY(DATE(VALUE(LEFT($B182,4)),VALUE(MID($B182,6,2)),VALUE(RIGHT($B182,2))))=VALUE(RIGHT($B182,2))),DATE(VALUE(LEFT($B182,4)),VALUE(MID($B182,6,2)),VALUE(RIGHT($B182,2))),"ERR"),"ERR"),"ERR")))</f>
        <v/>
      </c>
      <c r="N182" s="62" t="str">
        <f>IF($G182="","",IF(ISNUMBER($G182),$G182,IF(AND(LEN($G182)=10,MID($G182,5,1)="-",MID($G182,8,1)="-"),IFERROR(IF(AND(MONTH(DATE(VALUE(LEFT($G182,4)),VALUE(MID($G182,6,2)),VALUE(RIGHT($G182,2))))=VALUE(MID($G182,6,2)),DAY(DATE(VALUE(LEFT($G182,4)),VALUE(MID($G182,6,2)),VALUE(RIGHT($G182,2))))=VALUE(RIGHT($G182,2))),DATE(VALUE(LEFT($G182,4)),VALUE(MID($G182,6,2)),VALUE(RIGHT($G182,2))),"ERR"),"ERR"),"ERR")))</f>
        <v/>
      </c>
      <c r="O182" s="51" t="str">
        <f>IF($H182="","",IF(ISNUMBER($H182),$H182,IFERROR(VALUE($H182),"ERR")))</f>
        <v/>
      </c>
      <c r="P182" s="51" t="str">
        <f>IF(AND(ISNUMBER($O182),OR($C182="Receipt",$C182="Shipment",$C182="Adjustment")),IF($C182="Shipment",-$O182,$O182),"")</f>
        <v/>
      </c>
      <c r="Q182" s="51" t="str">
        <f>IF($D182="","",IFERROR(INDEX(Products!$R$2:$R$101,MATCH($D182,Products!$A$2:$A$101,0)),""))</f>
        <v/>
      </c>
      <c r="R182" s="51" t="str">
        <f>IF(OR($Q182="",$P182=""),"",$Q182+SUMIFS($P$1:$P181,$D$1:$D181,$D182,$U$1:$U181,"Ready"))</f>
        <v/>
      </c>
      <c r="S182" s="51" t="str">
        <f>IF($R182="","",$R182+$P182)</f>
        <v/>
      </c>
      <c r="T182" s="52" t="str">
        <f>IF(COUNTA($A182:$L182)&gt;0,$BP182,"")</f>
        <v/>
      </c>
      <c r="U182" s="49" t="str">
        <f>IF($T182="","",IF($T182=0,"Ready","Rejected"))</f>
        <v/>
      </c>
      <c r="V182" s="49" t="str">
        <f>IF(OR($T182="",$T182=0),"",INDEX(Config!$D$39:$D$61,MATCH(1,$AT182:$BP182,0))&amp;IF($T182&gt;1," (+"&amp;($T182-1)&amp;" more)",""))</f>
        <v/>
      </c>
      <c r="W182" s="52">
        <f>IF(AND(COUNTA($A182:$L182)&gt;0,$A182=""),1,0)</f>
        <v>0</v>
      </c>
      <c r="X182" s="52">
        <f>IF(AND(COUNTA($A182:$L182)&gt;0,$A182&lt;&gt;""),IF(COUNTIF($A$1:$A181,$A182)&gt;0,1,0),0)</f>
        <v>0</v>
      </c>
      <c r="Y182" s="52">
        <f>IF(AND(COUNTA($A182:$L182)&gt;0,$A182&lt;&gt;""),IF(COUNTIF(Inventory_Ledger!$A$2:$A$2001,$A182)&gt;0,1,0),0)</f>
        <v>0</v>
      </c>
      <c r="Z182" s="52">
        <f>IF(AND(COUNTA($A182:$L182)&gt;0,$B182=""),1,0)</f>
        <v>0</v>
      </c>
      <c r="AA182" s="52">
        <f>IF(AND(COUNTA($A182:$L182)&gt;0,$B182&lt;&gt;""),IF($M182="ERR",1,0),0)</f>
        <v>0</v>
      </c>
      <c r="AB182" s="52">
        <f>IF(AND(COUNTA($A182:$L182)&gt;0,ISNUMBER($M182)),IF($M182&gt;Config!$B$4,1,0),0)</f>
        <v>0</v>
      </c>
      <c r="AC182" s="52">
        <f>IF(AND(COUNTA($A182:$L182)&gt;0,$C182=""),1,0)</f>
        <v>0</v>
      </c>
      <c r="AD182" s="52">
        <f>IF(AND(COUNTA($A182:$L182)&gt;0,$C182&lt;&gt;""),IF(COUNTIF(Config!$A$15:$A$34,$C182)=0,1,0),0)</f>
        <v>0</v>
      </c>
      <c r="AE182" s="52">
        <f>IF(AND(COUNTA($A182:$L182)&gt;0,$D182=""),1,0)</f>
        <v>0</v>
      </c>
      <c r="AF182" s="52">
        <f>IF(AND(COUNTA($A182:$L182)&gt;0,$D182&lt;&gt;""),IF(COUNTIF(Products!$A$2:$A$101,$D182)=0,1,0),0)</f>
        <v>0</v>
      </c>
      <c r="AG182" s="52">
        <f>IF(AND(COUNTA($A182:$L182)&gt;0,$C182="Receipt",$E182=""),1,0)</f>
        <v>0</v>
      </c>
      <c r="AH182" s="52">
        <f>IF(AND(COUNTA($A182:$L182)&gt;0,$E182&lt;&gt;""),IF(COUNTIF(Suppliers!$A$2:$A$51,$E182)=0,1,0),0)</f>
        <v>0</v>
      </c>
      <c r="AI182" s="52">
        <f>IF(AND(COUNTA($A182:$L182)&gt;0,$F182=""),1,0)</f>
        <v>0</v>
      </c>
      <c r="AJ182" s="52">
        <f>IF(AND(COUNTA($A182:$L182)&gt;0,$F182&lt;&gt;"",$D182&lt;&gt;"",OR($C182="Shipment",$C182="Adjustment")),IF($AF182=1,0,IF(COUNTIFS(Batches!$A$2:$A$301,$F182,Batches!$B$2:$B$301,$D182)+COUNTIFS($F$1:$F181,$F182,$D$1:$D181,$D182,$C$1:$C181,"Receipt")=0,1,0)),0)</f>
        <v>0</v>
      </c>
      <c r="AK182" s="52">
        <f>IF(AND(COUNTA($A182:$L182)&gt;0,$C182="Receipt",$G182=""),1,0)</f>
        <v>0</v>
      </c>
      <c r="AL182" s="52">
        <f>IF(AND(COUNTA($A182:$L182)&gt;0,$G182&lt;&gt;""),IF($N182="ERR",1,0),0)</f>
        <v>0</v>
      </c>
      <c r="AM182" s="52">
        <f>IF(AND(COUNTA($A182:$L182)&gt;0,$H182=""),1,0)</f>
        <v>0</v>
      </c>
      <c r="AN182" s="52">
        <f>IF(AND(COUNTA($A182:$L182)&gt;0,$H182&lt;&gt;""),IF($O182="ERR",1,IF(INT($O182)&lt;&gt;$O182,1,IF(AND(OR($C182="Receipt",$C182="Shipment"),$O182&lt;=0),1,IF(AND($C182="Adjustment",$O182=0),1,0)))),0)</f>
        <v>0</v>
      </c>
      <c r="AO182" s="52">
        <f>IF(AND(COUNTA($A182:$L182)&gt;0,$C182="Receipt",$I182=""),1,0)</f>
        <v>0</v>
      </c>
      <c r="AP182" s="52">
        <f>IF(AND(COUNTA($A182:$L182)&gt;0,$I182&lt;&gt;""),IF(IFERROR(INDEX(Config!$G$15:$G$34,MATCH($I182,Config!$E$15:$E$34,0)),"No")="Yes",0,1),0)</f>
        <v>0</v>
      </c>
      <c r="AQ182" s="52">
        <f>IF(AND(COUNTA($A182:$L182)&gt;0,$C182="Adjustment",$J182=""),1,0)</f>
        <v>0</v>
      </c>
      <c r="AR182" s="52">
        <f>IF(AND(COUNTA($A182:$L182)&gt;0,$L182=""),1,0)</f>
        <v>0</v>
      </c>
      <c r="AS182" s="52">
        <f>IF(AND(COUNTA($A182:$L182)&gt;0,ISNUMBER($S182)),IF($S182&lt;0,1,0),0)</f>
        <v>0</v>
      </c>
      <c r="AT182" s="52">
        <f>$W182</f>
        <v>0</v>
      </c>
      <c r="AU182" s="52">
        <f>$AT182+$X182</f>
        <v>0</v>
      </c>
      <c r="AV182" s="52">
        <f>$AU182+$Y182</f>
        <v>0</v>
      </c>
      <c r="AW182" s="52">
        <f>$AV182+$Z182</f>
        <v>0</v>
      </c>
      <c r="AX182" s="52">
        <f>$AW182+$AA182</f>
        <v>0</v>
      </c>
      <c r="AY182" s="52">
        <f>$AX182+$AB182</f>
        <v>0</v>
      </c>
      <c r="AZ182" s="52">
        <f>$AY182+$AC182</f>
        <v>0</v>
      </c>
      <c r="BA182" s="52">
        <f>$AZ182+$AD182</f>
        <v>0</v>
      </c>
      <c r="BB182" s="52">
        <f>$BA182+$AE182</f>
        <v>0</v>
      </c>
      <c r="BC182" s="52">
        <f>$BB182+$AF182</f>
        <v>0</v>
      </c>
      <c r="BD182" s="52">
        <f>$BC182+$AG182</f>
        <v>0</v>
      </c>
      <c r="BE182" s="52">
        <f>$BD182+$AH182</f>
        <v>0</v>
      </c>
      <c r="BF182" s="52">
        <f>$BE182+$AI182</f>
        <v>0</v>
      </c>
      <c r="BG182" s="52">
        <f>$BF182+$AJ182</f>
        <v>0</v>
      </c>
      <c r="BH182" s="52">
        <f>$BG182+$AK182</f>
        <v>0</v>
      </c>
      <c r="BI182" s="52">
        <f>$BH182+$AL182</f>
        <v>0</v>
      </c>
      <c r="BJ182" s="52">
        <f>$BI182+$AM182</f>
        <v>0</v>
      </c>
      <c r="BK182" s="52">
        <f>$BJ182+$AN182</f>
        <v>0</v>
      </c>
      <c r="BL182" s="52">
        <f>$BK182+$AO182</f>
        <v>0</v>
      </c>
      <c r="BM182" s="52">
        <f>$BL182+$AP182</f>
        <v>0</v>
      </c>
      <c r="BN182" s="52">
        <f>$BM182+$AQ182</f>
        <v>0</v>
      </c>
      <c r="BO182" s="52">
        <f>$BN182+$AR182</f>
        <v>0</v>
      </c>
      <c r="BP182" s="52">
        <f>$BO182+$AS182</f>
        <v>0</v>
      </c>
      <c r="BQ182" s="52">
        <f>SUM($T$1:$T181)</f>
        <v>11</v>
      </c>
      <c r="BR182" s="52" t="str">
        <f>IF(ISNUMBER($T182),IF($T182&gt;0,COUNTIF($T$2:$T182,"&gt;0"),""),"")</f>
        <v/>
      </c>
      <c r="BS182" s="52" t="str">
        <f>IF($BR182="","",$BQ182+$T182)</f>
        <v/>
      </c>
      <c r="BT182" s="52" t="str">
        <f>IF($U182="Ready",COUNTIF($U$2:$U182,"Ready"),"")</f>
        <v/>
      </c>
      <c r="BU182" s="52">
        <f>IF(AND($U182="Ready",$C182="Receipt"),IF(COUNTIF(Batches!$A$2:$A$301,$F182)+COUNTIFS($F$1:$F181,$F182,$C$1:$C181,"Receipt",$U$1:$U181,"Ready")=0,1,0),0)</f>
        <v>0</v>
      </c>
      <c r="BV182" s="52" t="str">
        <f>IF($BU182=1,SUM($BU$2:$BU182),"")</f>
        <v/>
      </c>
    </row>
    <row r="183">
      <c r="A183" s="46" t="n"/>
      <c r="B183" s="46" t="n"/>
      <c r="C183" s="46" t="n"/>
      <c r="D183" s="46" t="n"/>
      <c r="E183" s="46" t="n"/>
      <c r="F183" s="46" t="n"/>
      <c r="G183" s="46" t="n"/>
      <c r="H183" s="46" t="n"/>
      <c r="I183" s="46" t="n"/>
      <c r="J183" s="46" t="n"/>
      <c r="K183" s="46" t="n"/>
      <c r="L183" s="46" t="n"/>
      <c r="M183" s="62" t="str">
        <f>IF($B183="","",IF(ISNUMBER($B183),$B183,IF(AND(LEN($B183)=10,MID($B183,5,1)="-",MID($B183,8,1)="-"),IFERROR(IF(AND(MONTH(DATE(VALUE(LEFT($B183,4)),VALUE(MID($B183,6,2)),VALUE(RIGHT($B183,2))))=VALUE(MID($B183,6,2)),DAY(DATE(VALUE(LEFT($B183,4)),VALUE(MID($B183,6,2)),VALUE(RIGHT($B183,2))))=VALUE(RIGHT($B183,2))),DATE(VALUE(LEFT($B183,4)),VALUE(MID($B183,6,2)),VALUE(RIGHT($B183,2))),"ERR"),"ERR"),"ERR")))</f>
        <v/>
      </c>
      <c r="N183" s="62" t="str">
        <f>IF($G183="","",IF(ISNUMBER($G183),$G183,IF(AND(LEN($G183)=10,MID($G183,5,1)="-",MID($G183,8,1)="-"),IFERROR(IF(AND(MONTH(DATE(VALUE(LEFT($G183,4)),VALUE(MID($G183,6,2)),VALUE(RIGHT($G183,2))))=VALUE(MID($G183,6,2)),DAY(DATE(VALUE(LEFT($G183,4)),VALUE(MID($G183,6,2)),VALUE(RIGHT($G183,2))))=VALUE(RIGHT($G183,2))),DATE(VALUE(LEFT($G183,4)),VALUE(MID($G183,6,2)),VALUE(RIGHT($G183,2))),"ERR"),"ERR"),"ERR")))</f>
        <v/>
      </c>
      <c r="O183" s="51" t="str">
        <f>IF($H183="","",IF(ISNUMBER($H183),$H183,IFERROR(VALUE($H183),"ERR")))</f>
        <v/>
      </c>
      <c r="P183" s="51" t="str">
        <f>IF(AND(ISNUMBER($O183),OR($C183="Receipt",$C183="Shipment",$C183="Adjustment")),IF($C183="Shipment",-$O183,$O183),"")</f>
        <v/>
      </c>
      <c r="Q183" s="51" t="str">
        <f>IF($D183="","",IFERROR(INDEX(Products!$R$2:$R$101,MATCH($D183,Products!$A$2:$A$101,0)),""))</f>
        <v/>
      </c>
      <c r="R183" s="51" t="str">
        <f>IF(OR($Q183="",$P183=""),"",$Q183+SUMIFS($P$1:$P182,$D$1:$D182,$D183,$U$1:$U182,"Ready"))</f>
        <v/>
      </c>
      <c r="S183" s="51" t="str">
        <f>IF($R183="","",$R183+$P183)</f>
        <v/>
      </c>
      <c r="T183" s="52" t="str">
        <f>IF(COUNTA($A183:$L183)&gt;0,$BP183,"")</f>
        <v/>
      </c>
      <c r="U183" s="49" t="str">
        <f>IF($T183="","",IF($T183=0,"Ready","Rejected"))</f>
        <v/>
      </c>
      <c r="V183" s="49" t="str">
        <f>IF(OR($T183="",$T183=0),"",INDEX(Config!$D$39:$D$61,MATCH(1,$AT183:$BP183,0))&amp;IF($T183&gt;1," (+"&amp;($T183-1)&amp;" more)",""))</f>
        <v/>
      </c>
      <c r="W183" s="52">
        <f>IF(AND(COUNTA($A183:$L183)&gt;0,$A183=""),1,0)</f>
        <v>0</v>
      </c>
      <c r="X183" s="52">
        <f>IF(AND(COUNTA($A183:$L183)&gt;0,$A183&lt;&gt;""),IF(COUNTIF($A$1:$A182,$A183)&gt;0,1,0),0)</f>
        <v>0</v>
      </c>
      <c r="Y183" s="52">
        <f>IF(AND(COUNTA($A183:$L183)&gt;0,$A183&lt;&gt;""),IF(COUNTIF(Inventory_Ledger!$A$2:$A$2001,$A183)&gt;0,1,0),0)</f>
        <v>0</v>
      </c>
      <c r="Z183" s="52">
        <f>IF(AND(COUNTA($A183:$L183)&gt;0,$B183=""),1,0)</f>
        <v>0</v>
      </c>
      <c r="AA183" s="52">
        <f>IF(AND(COUNTA($A183:$L183)&gt;0,$B183&lt;&gt;""),IF($M183="ERR",1,0),0)</f>
        <v>0</v>
      </c>
      <c r="AB183" s="52">
        <f>IF(AND(COUNTA($A183:$L183)&gt;0,ISNUMBER($M183)),IF($M183&gt;Config!$B$4,1,0),0)</f>
        <v>0</v>
      </c>
      <c r="AC183" s="52">
        <f>IF(AND(COUNTA($A183:$L183)&gt;0,$C183=""),1,0)</f>
        <v>0</v>
      </c>
      <c r="AD183" s="52">
        <f>IF(AND(COUNTA($A183:$L183)&gt;0,$C183&lt;&gt;""),IF(COUNTIF(Config!$A$15:$A$34,$C183)=0,1,0),0)</f>
        <v>0</v>
      </c>
      <c r="AE183" s="52">
        <f>IF(AND(COUNTA($A183:$L183)&gt;0,$D183=""),1,0)</f>
        <v>0</v>
      </c>
      <c r="AF183" s="52">
        <f>IF(AND(COUNTA($A183:$L183)&gt;0,$D183&lt;&gt;""),IF(COUNTIF(Products!$A$2:$A$101,$D183)=0,1,0),0)</f>
        <v>0</v>
      </c>
      <c r="AG183" s="52">
        <f>IF(AND(COUNTA($A183:$L183)&gt;0,$C183="Receipt",$E183=""),1,0)</f>
        <v>0</v>
      </c>
      <c r="AH183" s="52">
        <f>IF(AND(COUNTA($A183:$L183)&gt;0,$E183&lt;&gt;""),IF(COUNTIF(Suppliers!$A$2:$A$51,$E183)=0,1,0),0)</f>
        <v>0</v>
      </c>
      <c r="AI183" s="52">
        <f>IF(AND(COUNTA($A183:$L183)&gt;0,$F183=""),1,0)</f>
        <v>0</v>
      </c>
      <c r="AJ183" s="52">
        <f>IF(AND(COUNTA($A183:$L183)&gt;0,$F183&lt;&gt;"",$D183&lt;&gt;"",OR($C183="Shipment",$C183="Adjustment")),IF($AF183=1,0,IF(COUNTIFS(Batches!$A$2:$A$301,$F183,Batches!$B$2:$B$301,$D183)+COUNTIFS($F$1:$F182,$F183,$D$1:$D182,$D183,$C$1:$C182,"Receipt")=0,1,0)),0)</f>
        <v>0</v>
      </c>
      <c r="AK183" s="52">
        <f>IF(AND(COUNTA($A183:$L183)&gt;0,$C183="Receipt",$G183=""),1,0)</f>
        <v>0</v>
      </c>
      <c r="AL183" s="52">
        <f>IF(AND(COUNTA($A183:$L183)&gt;0,$G183&lt;&gt;""),IF($N183="ERR",1,0),0)</f>
        <v>0</v>
      </c>
      <c r="AM183" s="52">
        <f>IF(AND(COUNTA($A183:$L183)&gt;0,$H183=""),1,0)</f>
        <v>0</v>
      </c>
      <c r="AN183" s="52">
        <f>IF(AND(COUNTA($A183:$L183)&gt;0,$H183&lt;&gt;""),IF($O183="ERR",1,IF(INT($O183)&lt;&gt;$O183,1,IF(AND(OR($C183="Receipt",$C183="Shipment"),$O183&lt;=0),1,IF(AND($C183="Adjustment",$O183=0),1,0)))),0)</f>
        <v>0</v>
      </c>
      <c r="AO183" s="52">
        <f>IF(AND(COUNTA($A183:$L183)&gt;0,$C183="Receipt",$I183=""),1,0)</f>
        <v>0</v>
      </c>
      <c r="AP183" s="52">
        <f>IF(AND(COUNTA($A183:$L183)&gt;0,$I183&lt;&gt;""),IF(IFERROR(INDEX(Config!$G$15:$G$34,MATCH($I183,Config!$E$15:$E$34,0)),"No")="Yes",0,1),0)</f>
        <v>0</v>
      </c>
      <c r="AQ183" s="52">
        <f>IF(AND(COUNTA($A183:$L183)&gt;0,$C183="Adjustment",$J183=""),1,0)</f>
        <v>0</v>
      </c>
      <c r="AR183" s="52">
        <f>IF(AND(COUNTA($A183:$L183)&gt;0,$L183=""),1,0)</f>
        <v>0</v>
      </c>
      <c r="AS183" s="52">
        <f>IF(AND(COUNTA($A183:$L183)&gt;0,ISNUMBER($S183)),IF($S183&lt;0,1,0),0)</f>
        <v>0</v>
      </c>
      <c r="AT183" s="52">
        <f>$W183</f>
        <v>0</v>
      </c>
      <c r="AU183" s="52">
        <f>$AT183+$X183</f>
        <v>0</v>
      </c>
      <c r="AV183" s="52">
        <f>$AU183+$Y183</f>
        <v>0</v>
      </c>
      <c r="AW183" s="52">
        <f>$AV183+$Z183</f>
        <v>0</v>
      </c>
      <c r="AX183" s="52">
        <f>$AW183+$AA183</f>
        <v>0</v>
      </c>
      <c r="AY183" s="52">
        <f>$AX183+$AB183</f>
        <v>0</v>
      </c>
      <c r="AZ183" s="52">
        <f>$AY183+$AC183</f>
        <v>0</v>
      </c>
      <c r="BA183" s="52">
        <f>$AZ183+$AD183</f>
        <v>0</v>
      </c>
      <c r="BB183" s="52">
        <f>$BA183+$AE183</f>
        <v>0</v>
      </c>
      <c r="BC183" s="52">
        <f>$BB183+$AF183</f>
        <v>0</v>
      </c>
      <c r="BD183" s="52">
        <f>$BC183+$AG183</f>
        <v>0</v>
      </c>
      <c r="BE183" s="52">
        <f>$BD183+$AH183</f>
        <v>0</v>
      </c>
      <c r="BF183" s="52">
        <f>$BE183+$AI183</f>
        <v>0</v>
      </c>
      <c r="BG183" s="52">
        <f>$BF183+$AJ183</f>
        <v>0</v>
      </c>
      <c r="BH183" s="52">
        <f>$BG183+$AK183</f>
        <v>0</v>
      </c>
      <c r="BI183" s="52">
        <f>$BH183+$AL183</f>
        <v>0</v>
      </c>
      <c r="BJ183" s="52">
        <f>$BI183+$AM183</f>
        <v>0</v>
      </c>
      <c r="BK183" s="52">
        <f>$BJ183+$AN183</f>
        <v>0</v>
      </c>
      <c r="BL183" s="52">
        <f>$BK183+$AO183</f>
        <v>0</v>
      </c>
      <c r="BM183" s="52">
        <f>$BL183+$AP183</f>
        <v>0</v>
      </c>
      <c r="BN183" s="52">
        <f>$BM183+$AQ183</f>
        <v>0</v>
      </c>
      <c r="BO183" s="52">
        <f>$BN183+$AR183</f>
        <v>0</v>
      </c>
      <c r="BP183" s="52">
        <f>$BO183+$AS183</f>
        <v>0</v>
      </c>
      <c r="BQ183" s="52">
        <f>SUM($T$1:$T182)</f>
        <v>11</v>
      </c>
      <c r="BR183" s="52" t="str">
        <f>IF(ISNUMBER($T183),IF($T183&gt;0,COUNTIF($T$2:$T183,"&gt;0"),""),"")</f>
        <v/>
      </c>
      <c r="BS183" s="52" t="str">
        <f>IF($BR183="","",$BQ183+$T183)</f>
        <v/>
      </c>
      <c r="BT183" s="52" t="str">
        <f>IF($U183="Ready",COUNTIF($U$2:$U183,"Ready"),"")</f>
        <v/>
      </c>
      <c r="BU183" s="52">
        <f>IF(AND($U183="Ready",$C183="Receipt"),IF(COUNTIF(Batches!$A$2:$A$301,$F183)+COUNTIFS($F$1:$F182,$F183,$C$1:$C182,"Receipt",$U$1:$U182,"Ready")=0,1,0),0)</f>
        <v>0</v>
      </c>
      <c r="BV183" s="52" t="str">
        <f>IF($BU183=1,SUM($BU$2:$BU183),"")</f>
        <v/>
      </c>
    </row>
    <row r="184">
      <c r="A184" s="46" t="n"/>
      <c r="B184" s="46" t="n"/>
      <c r="C184" s="46" t="n"/>
      <c r="D184" s="46" t="n"/>
      <c r="E184" s="46" t="n"/>
      <c r="F184" s="46" t="n"/>
      <c r="G184" s="46" t="n"/>
      <c r="H184" s="46" t="n"/>
      <c r="I184" s="46" t="n"/>
      <c r="J184" s="46" t="n"/>
      <c r="K184" s="46" t="n"/>
      <c r="L184" s="46" t="n"/>
      <c r="M184" s="62" t="str">
        <f>IF($B184="","",IF(ISNUMBER($B184),$B184,IF(AND(LEN($B184)=10,MID($B184,5,1)="-",MID($B184,8,1)="-"),IFERROR(IF(AND(MONTH(DATE(VALUE(LEFT($B184,4)),VALUE(MID($B184,6,2)),VALUE(RIGHT($B184,2))))=VALUE(MID($B184,6,2)),DAY(DATE(VALUE(LEFT($B184,4)),VALUE(MID($B184,6,2)),VALUE(RIGHT($B184,2))))=VALUE(RIGHT($B184,2))),DATE(VALUE(LEFT($B184,4)),VALUE(MID($B184,6,2)),VALUE(RIGHT($B184,2))),"ERR"),"ERR"),"ERR")))</f>
        <v/>
      </c>
      <c r="N184" s="62" t="str">
        <f>IF($G184="","",IF(ISNUMBER($G184),$G184,IF(AND(LEN($G184)=10,MID($G184,5,1)="-",MID($G184,8,1)="-"),IFERROR(IF(AND(MONTH(DATE(VALUE(LEFT($G184,4)),VALUE(MID($G184,6,2)),VALUE(RIGHT($G184,2))))=VALUE(MID($G184,6,2)),DAY(DATE(VALUE(LEFT($G184,4)),VALUE(MID($G184,6,2)),VALUE(RIGHT($G184,2))))=VALUE(RIGHT($G184,2))),DATE(VALUE(LEFT($G184,4)),VALUE(MID($G184,6,2)),VALUE(RIGHT($G184,2))),"ERR"),"ERR"),"ERR")))</f>
        <v/>
      </c>
      <c r="O184" s="51" t="str">
        <f>IF($H184="","",IF(ISNUMBER($H184),$H184,IFERROR(VALUE($H184),"ERR")))</f>
        <v/>
      </c>
      <c r="P184" s="51" t="str">
        <f>IF(AND(ISNUMBER($O184),OR($C184="Receipt",$C184="Shipment",$C184="Adjustment")),IF($C184="Shipment",-$O184,$O184),"")</f>
        <v/>
      </c>
      <c r="Q184" s="51" t="str">
        <f>IF($D184="","",IFERROR(INDEX(Products!$R$2:$R$101,MATCH($D184,Products!$A$2:$A$101,0)),""))</f>
        <v/>
      </c>
      <c r="R184" s="51" t="str">
        <f>IF(OR($Q184="",$P184=""),"",$Q184+SUMIFS($P$1:$P183,$D$1:$D183,$D184,$U$1:$U183,"Ready"))</f>
        <v/>
      </c>
      <c r="S184" s="51" t="str">
        <f>IF($R184="","",$R184+$P184)</f>
        <v/>
      </c>
      <c r="T184" s="52" t="str">
        <f>IF(COUNTA($A184:$L184)&gt;0,$BP184,"")</f>
        <v/>
      </c>
      <c r="U184" s="49" t="str">
        <f>IF($T184="","",IF($T184=0,"Ready","Rejected"))</f>
        <v/>
      </c>
      <c r="V184" s="49" t="str">
        <f>IF(OR($T184="",$T184=0),"",INDEX(Config!$D$39:$D$61,MATCH(1,$AT184:$BP184,0))&amp;IF($T184&gt;1," (+"&amp;($T184-1)&amp;" more)",""))</f>
        <v/>
      </c>
      <c r="W184" s="52">
        <f>IF(AND(COUNTA($A184:$L184)&gt;0,$A184=""),1,0)</f>
        <v>0</v>
      </c>
      <c r="X184" s="52">
        <f>IF(AND(COUNTA($A184:$L184)&gt;0,$A184&lt;&gt;""),IF(COUNTIF($A$1:$A183,$A184)&gt;0,1,0),0)</f>
        <v>0</v>
      </c>
      <c r="Y184" s="52">
        <f>IF(AND(COUNTA($A184:$L184)&gt;0,$A184&lt;&gt;""),IF(COUNTIF(Inventory_Ledger!$A$2:$A$2001,$A184)&gt;0,1,0),0)</f>
        <v>0</v>
      </c>
      <c r="Z184" s="52">
        <f>IF(AND(COUNTA($A184:$L184)&gt;0,$B184=""),1,0)</f>
        <v>0</v>
      </c>
      <c r="AA184" s="52">
        <f>IF(AND(COUNTA($A184:$L184)&gt;0,$B184&lt;&gt;""),IF($M184="ERR",1,0),0)</f>
        <v>0</v>
      </c>
      <c r="AB184" s="52">
        <f>IF(AND(COUNTA($A184:$L184)&gt;0,ISNUMBER($M184)),IF($M184&gt;Config!$B$4,1,0),0)</f>
        <v>0</v>
      </c>
      <c r="AC184" s="52">
        <f>IF(AND(COUNTA($A184:$L184)&gt;0,$C184=""),1,0)</f>
        <v>0</v>
      </c>
      <c r="AD184" s="52">
        <f>IF(AND(COUNTA($A184:$L184)&gt;0,$C184&lt;&gt;""),IF(COUNTIF(Config!$A$15:$A$34,$C184)=0,1,0),0)</f>
        <v>0</v>
      </c>
      <c r="AE184" s="52">
        <f>IF(AND(COUNTA($A184:$L184)&gt;0,$D184=""),1,0)</f>
        <v>0</v>
      </c>
      <c r="AF184" s="52">
        <f>IF(AND(COUNTA($A184:$L184)&gt;0,$D184&lt;&gt;""),IF(COUNTIF(Products!$A$2:$A$101,$D184)=0,1,0),0)</f>
        <v>0</v>
      </c>
      <c r="AG184" s="52">
        <f>IF(AND(COUNTA($A184:$L184)&gt;0,$C184="Receipt",$E184=""),1,0)</f>
        <v>0</v>
      </c>
      <c r="AH184" s="52">
        <f>IF(AND(COUNTA($A184:$L184)&gt;0,$E184&lt;&gt;""),IF(COUNTIF(Suppliers!$A$2:$A$51,$E184)=0,1,0),0)</f>
        <v>0</v>
      </c>
      <c r="AI184" s="52">
        <f>IF(AND(COUNTA($A184:$L184)&gt;0,$F184=""),1,0)</f>
        <v>0</v>
      </c>
      <c r="AJ184" s="52">
        <f>IF(AND(COUNTA($A184:$L184)&gt;0,$F184&lt;&gt;"",$D184&lt;&gt;"",OR($C184="Shipment",$C184="Adjustment")),IF($AF184=1,0,IF(COUNTIFS(Batches!$A$2:$A$301,$F184,Batches!$B$2:$B$301,$D184)+COUNTIFS($F$1:$F183,$F184,$D$1:$D183,$D184,$C$1:$C183,"Receipt")=0,1,0)),0)</f>
        <v>0</v>
      </c>
      <c r="AK184" s="52">
        <f>IF(AND(COUNTA($A184:$L184)&gt;0,$C184="Receipt",$G184=""),1,0)</f>
        <v>0</v>
      </c>
      <c r="AL184" s="52">
        <f>IF(AND(COUNTA($A184:$L184)&gt;0,$G184&lt;&gt;""),IF($N184="ERR",1,0),0)</f>
        <v>0</v>
      </c>
      <c r="AM184" s="52">
        <f>IF(AND(COUNTA($A184:$L184)&gt;0,$H184=""),1,0)</f>
        <v>0</v>
      </c>
      <c r="AN184" s="52">
        <f>IF(AND(COUNTA($A184:$L184)&gt;0,$H184&lt;&gt;""),IF($O184="ERR",1,IF(INT($O184)&lt;&gt;$O184,1,IF(AND(OR($C184="Receipt",$C184="Shipment"),$O184&lt;=0),1,IF(AND($C184="Adjustment",$O184=0),1,0)))),0)</f>
        <v>0</v>
      </c>
      <c r="AO184" s="52">
        <f>IF(AND(COUNTA($A184:$L184)&gt;0,$C184="Receipt",$I184=""),1,0)</f>
        <v>0</v>
      </c>
      <c r="AP184" s="52">
        <f>IF(AND(COUNTA($A184:$L184)&gt;0,$I184&lt;&gt;""),IF(IFERROR(INDEX(Config!$G$15:$G$34,MATCH($I184,Config!$E$15:$E$34,0)),"No")="Yes",0,1),0)</f>
        <v>0</v>
      </c>
      <c r="AQ184" s="52">
        <f>IF(AND(COUNTA($A184:$L184)&gt;0,$C184="Adjustment",$J184=""),1,0)</f>
        <v>0</v>
      </c>
      <c r="AR184" s="52">
        <f>IF(AND(COUNTA($A184:$L184)&gt;0,$L184=""),1,0)</f>
        <v>0</v>
      </c>
      <c r="AS184" s="52">
        <f>IF(AND(COUNTA($A184:$L184)&gt;0,ISNUMBER($S184)),IF($S184&lt;0,1,0),0)</f>
        <v>0</v>
      </c>
      <c r="AT184" s="52">
        <f>$W184</f>
        <v>0</v>
      </c>
      <c r="AU184" s="52">
        <f>$AT184+$X184</f>
        <v>0</v>
      </c>
      <c r="AV184" s="52">
        <f>$AU184+$Y184</f>
        <v>0</v>
      </c>
      <c r="AW184" s="52">
        <f>$AV184+$Z184</f>
        <v>0</v>
      </c>
      <c r="AX184" s="52">
        <f>$AW184+$AA184</f>
        <v>0</v>
      </c>
      <c r="AY184" s="52">
        <f>$AX184+$AB184</f>
        <v>0</v>
      </c>
      <c r="AZ184" s="52">
        <f>$AY184+$AC184</f>
        <v>0</v>
      </c>
      <c r="BA184" s="52">
        <f>$AZ184+$AD184</f>
        <v>0</v>
      </c>
      <c r="BB184" s="52">
        <f>$BA184+$AE184</f>
        <v>0</v>
      </c>
      <c r="BC184" s="52">
        <f>$BB184+$AF184</f>
        <v>0</v>
      </c>
      <c r="BD184" s="52">
        <f>$BC184+$AG184</f>
        <v>0</v>
      </c>
      <c r="BE184" s="52">
        <f>$BD184+$AH184</f>
        <v>0</v>
      </c>
      <c r="BF184" s="52">
        <f>$BE184+$AI184</f>
        <v>0</v>
      </c>
      <c r="BG184" s="52">
        <f>$BF184+$AJ184</f>
        <v>0</v>
      </c>
      <c r="BH184" s="52">
        <f>$BG184+$AK184</f>
        <v>0</v>
      </c>
      <c r="BI184" s="52">
        <f>$BH184+$AL184</f>
        <v>0</v>
      </c>
      <c r="BJ184" s="52">
        <f>$BI184+$AM184</f>
        <v>0</v>
      </c>
      <c r="BK184" s="52">
        <f>$BJ184+$AN184</f>
        <v>0</v>
      </c>
      <c r="BL184" s="52">
        <f>$BK184+$AO184</f>
        <v>0</v>
      </c>
      <c r="BM184" s="52">
        <f>$BL184+$AP184</f>
        <v>0</v>
      </c>
      <c r="BN184" s="52">
        <f>$BM184+$AQ184</f>
        <v>0</v>
      </c>
      <c r="BO184" s="52">
        <f>$BN184+$AR184</f>
        <v>0</v>
      </c>
      <c r="BP184" s="52">
        <f>$BO184+$AS184</f>
        <v>0</v>
      </c>
      <c r="BQ184" s="52">
        <f>SUM($T$1:$T183)</f>
        <v>11</v>
      </c>
      <c r="BR184" s="52" t="str">
        <f>IF(ISNUMBER($T184),IF($T184&gt;0,COUNTIF($T$2:$T184,"&gt;0"),""),"")</f>
        <v/>
      </c>
      <c r="BS184" s="52" t="str">
        <f>IF($BR184="","",$BQ184+$T184)</f>
        <v/>
      </c>
      <c r="BT184" s="52" t="str">
        <f>IF($U184="Ready",COUNTIF($U$2:$U184,"Ready"),"")</f>
        <v/>
      </c>
      <c r="BU184" s="52">
        <f>IF(AND($U184="Ready",$C184="Receipt"),IF(COUNTIF(Batches!$A$2:$A$301,$F184)+COUNTIFS($F$1:$F183,$F184,$C$1:$C183,"Receipt",$U$1:$U183,"Ready")=0,1,0),0)</f>
        <v>0</v>
      </c>
      <c r="BV184" s="52" t="str">
        <f>IF($BU184=1,SUM($BU$2:$BU184),"")</f>
        <v/>
      </c>
    </row>
    <row r="185">
      <c r="A185" s="46" t="n"/>
      <c r="B185" s="46" t="n"/>
      <c r="C185" s="46" t="n"/>
      <c r="D185" s="46" t="n"/>
      <c r="E185" s="46" t="n"/>
      <c r="F185" s="46" t="n"/>
      <c r="G185" s="46" t="n"/>
      <c r="H185" s="46" t="n"/>
      <c r="I185" s="46" t="n"/>
      <c r="J185" s="46" t="n"/>
      <c r="K185" s="46" t="n"/>
      <c r="L185" s="46" t="n"/>
      <c r="M185" s="62" t="str">
        <f>IF($B185="","",IF(ISNUMBER($B185),$B185,IF(AND(LEN($B185)=10,MID($B185,5,1)="-",MID($B185,8,1)="-"),IFERROR(IF(AND(MONTH(DATE(VALUE(LEFT($B185,4)),VALUE(MID($B185,6,2)),VALUE(RIGHT($B185,2))))=VALUE(MID($B185,6,2)),DAY(DATE(VALUE(LEFT($B185,4)),VALUE(MID($B185,6,2)),VALUE(RIGHT($B185,2))))=VALUE(RIGHT($B185,2))),DATE(VALUE(LEFT($B185,4)),VALUE(MID($B185,6,2)),VALUE(RIGHT($B185,2))),"ERR"),"ERR"),"ERR")))</f>
        <v/>
      </c>
      <c r="N185" s="62" t="str">
        <f>IF($G185="","",IF(ISNUMBER($G185),$G185,IF(AND(LEN($G185)=10,MID($G185,5,1)="-",MID($G185,8,1)="-"),IFERROR(IF(AND(MONTH(DATE(VALUE(LEFT($G185,4)),VALUE(MID($G185,6,2)),VALUE(RIGHT($G185,2))))=VALUE(MID($G185,6,2)),DAY(DATE(VALUE(LEFT($G185,4)),VALUE(MID($G185,6,2)),VALUE(RIGHT($G185,2))))=VALUE(RIGHT($G185,2))),DATE(VALUE(LEFT($G185,4)),VALUE(MID($G185,6,2)),VALUE(RIGHT($G185,2))),"ERR"),"ERR"),"ERR")))</f>
        <v/>
      </c>
      <c r="O185" s="51" t="str">
        <f>IF($H185="","",IF(ISNUMBER($H185),$H185,IFERROR(VALUE($H185),"ERR")))</f>
        <v/>
      </c>
      <c r="P185" s="51" t="str">
        <f>IF(AND(ISNUMBER($O185),OR($C185="Receipt",$C185="Shipment",$C185="Adjustment")),IF($C185="Shipment",-$O185,$O185),"")</f>
        <v/>
      </c>
      <c r="Q185" s="51" t="str">
        <f>IF($D185="","",IFERROR(INDEX(Products!$R$2:$R$101,MATCH($D185,Products!$A$2:$A$101,0)),""))</f>
        <v/>
      </c>
      <c r="R185" s="51" t="str">
        <f>IF(OR($Q185="",$P185=""),"",$Q185+SUMIFS($P$1:$P184,$D$1:$D184,$D185,$U$1:$U184,"Ready"))</f>
        <v/>
      </c>
      <c r="S185" s="51" t="str">
        <f>IF($R185="","",$R185+$P185)</f>
        <v/>
      </c>
      <c r="T185" s="52" t="str">
        <f>IF(COUNTA($A185:$L185)&gt;0,$BP185,"")</f>
        <v/>
      </c>
      <c r="U185" s="49" t="str">
        <f>IF($T185="","",IF($T185=0,"Ready","Rejected"))</f>
        <v/>
      </c>
      <c r="V185" s="49" t="str">
        <f>IF(OR($T185="",$T185=0),"",INDEX(Config!$D$39:$D$61,MATCH(1,$AT185:$BP185,0))&amp;IF($T185&gt;1," (+"&amp;($T185-1)&amp;" more)",""))</f>
        <v/>
      </c>
      <c r="W185" s="52">
        <f>IF(AND(COUNTA($A185:$L185)&gt;0,$A185=""),1,0)</f>
        <v>0</v>
      </c>
      <c r="X185" s="52">
        <f>IF(AND(COUNTA($A185:$L185)&gt;0,$A185&lt;&gt;""),IF(COUNTIF($A$1:$A184,$A185)&gt;0,1,0),0)</f>
        <v>0</v>
      </c>
      <c r="Y185" s="52">
        <f>IF(AND(COUNTA($A185:$L185)&gt;0,$A185&lt;&gt;""),IF(COUNTIF(Inventory_Ledger!$A$2:$A$2001,$A185)&gt;0,1,0),0)</f>
        <v>0</v>
      </c>
      <c r="Z185" s="52">
        <f>IF(AND(COUNTA($A185:$L185)&gt;0,$B185=""),1,0)</f>
        <v>0</v>
      </c>
      <c r="AA185" s="52">
        <f>IF(AND(COUNTA($A185:$L185)&gt;0,$B185&lt;&gt;""),IF($M185="ERR",1,0),0)</f>
        <v>0</v>
      </c>
      <c r="AB185" s="52">
        <f>IF(AND(COUNTA($A185:$L185)&gt;0,ISNUMBER($M185)),IF($M185&gt;Config!$B$4,1,0),0)</f>
        <v>0</v>
      </c>
      <c r="AC185" s="52">
        <f>IF(AND(COUNTA($A185:$L185)&gt;0,$C185=""),1,0)</f>
        <v>0</v>
      </c>
      <c r="AD185" s="52">
        <f>IF(AND(COUNTA($A185:$L185)&gt;0,$C185&lt;&gt;""),IF(COUNTIF(Config!$A$15:$A$34,$C185)=0,1,0),0)</f>
        <v>0</v>
      </c>
      <c r="AE185" s="52">
        <f>IF(AND(COUNTA($A185:$L185)&gt;0,$D185=""),1,0)</f>
        <v>0</v>
      </c>
      <c r="AF185" s="52">
        <f>IF(AND(COUNTA($A185:$L185)&gt;0,$D185&lt;&gt;""),IF(COUNTIF(Products!$A$2:$A$101,$D185)=0,1,0),0)</f>
        <v>0</v>
      </c>
      <c r="AG185" s="52">
        <f>IF(AND(COUNTA($A185:$L185)&gt;0,$C185="Receipt",$E185=""),1,0)</f>
        <v>0</v>
      </c>
      <c r="AH185" s="52">
        <f>IF(AND(COUNTA($A185:$L185)&gt;0,$E185&lt;&gt;""),IF(COUNTIF(Suppliers!$A$2:$A$51,$E185)=0,1,0),0)</f>
        <v>0</v>
      </c>
      <c r="AI185" s="52">
        <f>IF(AND(COUNTA($A185:$L185)&gt;0,$F185=""),1,0)</f>
        <v>0</v>
      </c>
      <c r="AJ185" s="52">
        <f>IF(AND(COUNTA($A185:$L185)&gt;0,$F185&lt;&gt;"",$D185&lt;&gt;"",OR($C185="Shipment",$C185="Adjustment")),IF($AF185=1,0,IF(COUNTIFS(Batches!$A$2:$A$301,$F185,Batches!$B$2:$B$301,$D185)+COUNTIFS($F$1:$F184,$F185,$D$1:$D184,$D185,$C$1:$C184,"Receipt")=0,1,0)),0)</f>
        <v>0</v>
      </c>
      <c r="AK185" s="52">
        <f>IF(AND(COUNTA($A185:$L185)&gt;0,$C185="Receipt",$G185=""),1,0)</f>
        <v>0</v>
      </c>
      <c r="AL185" s="52">
        <f>IF(AND(COUNTA($A185:$L185)&gt;0,$G185&lt;&gt;""),IF($N185="ERR",1,0),0)</f>
        <v>0</v>
      </c>
      <c r="AM185" s="52">
        <f>IF(AND(COUNTA($A185:$L185)&gt;0,$H185=""),1,0)</f>
        <v>0</v>
      </c>
      <c r="AN185" s="52">
        <f>IF(AND(COUNTA($A185:$L185)&gt;0,$H185&lt;&gt;""),IF($O185="ERR",1,IF(INT($O185)&lt;&gt;$O185,1,IF(AND(OR($C185="Receipt",$C185="Shipment"),$O185&lt;=0),1,IF(AND($C185="Adjustment",$O185=0),1,0)))),0)</f>
        <v>0</v>
      </c>
      <c r="AO185" s="52">
        <f>IF(AND(COUNTA($A185:$L185)&gt;0,$C185="Receipt",$I185=""),1,0)</f>
        <v>0</v>
      </c>
      <c r="AP185" s="52">
        <f>IF(AND(COUNTA($A185:$L185)&gt;0,$I185&lt;&gt;""),IF(IFERROR(INDEX(Config!$G$15:$G$34,MATCH($I185,Config!$E$15:$E$34,0)),"No")="Yes",0,1),0)</f>
        <v>0</v>
      </c>
      <c r="AQ185" s="52">
        <f>IF(AND(COUNTA($A185:$L185)&gt;0,$C185="Adjustment",$J185=""),1,0)</f>
        <v>0</v>
      </c>
      <c r="AR185" s="52">
        <f>IF(AND(COUNTA($A185:$L185)&gt;0,$L185=""),1,0)</f>
        <v>0</v>
      </c>
      <c r="AS185" s="52">
        <f>IF(AND(COUNTA($A185:$L185)&gt;0,ISNUMBER($S185)),IF($S185&lt;0,1,0),0)</f>
        <v>0</v>
      </c>
      <c r="AT185" s="52">
        <f>$W185</f>
        <v>0</v>
      </c>
      <c r="AU185" s="52">
        <f>$AT185+$X185</f>
        <v>0</v>
      </c>
      <c r="AV185" s="52">
        <f>$AU185+$Y185</f>
        <v>0</v>
      </c>
      <c r="AW185" s="52">
        <f>$AV185+$Z185</f>
        <v>0</v>
      </c>
      <c r="AX185" s="52">
        <f>$AW185+$AA185</f>
        <v>0</v>
      </c>
      <c r="AY185" s="52">
        <f>$AX185+$AB185</f>
        <v>0</v>
      </c>
      <c r="AZ185" s="52">
        <f>$AY185+$AC185</f>
        <v>0</v>
      </c>
      <c r="BA185" s="52">
        <f>$AZ185+$AD185</f>
        <v>0</v>
      </c>
      <c r="BB185" s="52">
        <f>$BA185+$AE185</f>
        <v>0</v>
      </c>
      <c r="BC185" s="52">
        <f>$BB185+$AF185</f>
        <v>0</v>
      </c>
      <c r="BD185" s="52">
        <f>$BC185+$AG185</f>
        <v>0</v>
      </c>
      <c r="BE185" s="52">
        <f>$BD185+$AH185</f>
        <v>0</v>
      </c>
      <c r="BF185" s="52">
        <f>$BE185+$AI185</f>
        <v>0</v>
      </c>
      <c r="BG185" s="52">
        <f>$BF185+$AJ185</f>
        <v>0</v>
      </c>
      <c r="BH185" s="52">
        <f>$BG185+$AK185</f>
        <v>0</v>
      </c>
      <c r="BI185" s="52">
        <f>$BH185+$AL185</f>
        <v>0</v>
      </c>
      <c r="BJ185" s="52">
        <f>$BI185+$AM185</f>
        <v>0</v>
      </c>
      <c r="BK185" s="52">
        <f>$BJ185+$AN185</f>
        <v>0</v>
      </c>
      <c r="BL185" s="52">
        <f>$BK185+$AO185</f>
        <v>0</v>
      </c>
      <c r="BM185" s="52">
        <f>$BL185+$AP185</f>
        <v>0</v>
      </c>
      <c r="BN185" s="52">
        <f>$BM185+$AQ185</f>
        <v>0</v>
      </c>
      <c r="BO185" s="52">
        <f>$BN185+$AR185</f>
        <v>0</v>
      </c>
      <c r="BP185" s="52">
        <f>$BO185+$AS185</f>
        <v>0</v>
      </c>
      <c r="BQ185" s="52">
        <f>SUM($T$1:$T184)</f>
        <v>11</v>
      </c>
      <c r="BR185" s="52" t="str">
        <f>IF(ISNUMBER($T185),IF($T185&gt;0,COUNTIF($T$2:$T185,"&gt;0"),""),"")</f>
        <v/>
      </c>
      <c r="BS185" s="52" t="str">
        <f>IF($BR185="","",$BQ185+$T185)</f>
        <v/>
      </c>
      <c r="BT185" s="52" t="str">
        <f>IF($U185="Ready",COUNTIF($U$2:$U185,"Ready"),"")</f>
        <v/>
      </c>
      <c r="BU185" s="52">
        <f>IF(AND($U185="Ready",$C185="Receipt"),IF(COUNTIF(Batches!$A$2:$A$301,$F185)+COUNTIFS($F$1:$F184,$F185,$C$1:$C184,"Receipt",$U$1:$U184,"Ready")=0,1,0),0)</f>
        <v>0</v>
      </c>
      <c r="BV185" s="52" t="str">
        <f>IF($BU185=1,SUM($BU$2:$BU185),"")</f>
        <v/>
      </c>
    </row>
    <row r="186">
      <c r="A186" s="46" t="n"/>
      <c r="B186" s="46" t="n"/>
      <c r="C186" s="46" t="n"/>
      <c r="D186" s="46" t="n"/>
      <c r="E186" s="46" t="n"/>
      <c r="F186" s="46" t="n"/>
      <c r="G186" s="46" t="n"/>
      <c r="H186" s="46" t="n"/>
      <c r="I186" s="46" t="n"/>
      <c r="J186" s="46" t="n"/>
      <c r="K186" s="46" t="n"/>
      <c r="L186" s="46" t="n"/>
      <c r="M186" s="62" t="str">
        <f>IF($B186="","",IF(ISNUMBER($B186),$B186,IF(AND(LEN($B186)=10,MID($B186,5,1)="-",MID($B186,8,1)="-"),IFERROR(IF(AND(MONTH(DATE(VALUE(LEFT($B186,4)),VALUE(MID($B186,6,2)),VALUE(RIGHT($B186,2))))=VALUE(MID($B186,6,2)),DAY(DATE(VALUE(LEFT($B186,4)),VALUE(MID($B186,6,2)),VALUE(RIGHT($B186,2))))=VALUE(RIGHT($B186,2))),DATE(VALUE(LEFT($B186,4)),VALUE(MID($B186,6,2)),VALUE(RIGHT($B186,2))),"ERR"),"ERR"),"ERR")))</f>
        <v/>
      </c>
      <c r="N186" s="62" t="str">
        <f>IF($G186="","",IF(ISNUMBER($G186),$G186,IF(AND(LEN($G186)=10,MID($G186,5,1)="-",MID($G186,8,1)="-"),IFERROR(IF(AND(MONTH(DATE(VALUE(LEFT($G186,4)),VALUE(MID($G186,6,2)),VALUE(RIGHT($G186,2))))=VALUE(MID($G186,6,2)),DAY(DATE(VALUE(LEFT($G186,4)),VALUE(MID($G186,6,2)),VALUE(RIGHT($G186,2))))=VALUE(RIGHT($G186,2))),DATE(VALUE(LEFT($G186,4)),VALUE(MID($G186,6,2)),VALUE(RIGHT($G186,2))),"ERR"),"ERR"),"ERR")))</f>
        <v/>
      </c>
      <c r="O186" s="51" t="str">
        <f>IF($H186="","",IF(ISNUMBER($H186),$H186,IFERROR(VALUE($H186),"ERR")))</f>
        <v/>
      </c>
      <c r="P186" s="51" t="str">
        <f>IF(AND(ISNUMBER($O186),OR($C186="Receipt",$C186="Shipment",$C186="Adjustment")),IF($C186="Shipment",-$O186,$O186),"")</f>
        <v/>
      </c>
      <c r="Q186" s="51" t="str">
        <f>IF($D186="","",IFERROR(INDEX(Products!$R$2:$R$101,MATCH($D186,Products!$A$2:$A$101,0)),""))</f>
        <v/>
      </c>
      <c r="R186" s="51" t="str">
        <f>IF(OR($Q186="",$P186=""),"",$Q186+SUMIFS($P$1:$P185,$D$1:$D185,$D186,$U$1:$U185,"Ready"))</f>
        <v/>
      </c>
      <c r="S186" s="51" t="str">
        <f>IF($R186="","",$R186+$P186)</f>
        <v/>
      </c>
      <c r="T186" s="52" t="str">
        <f>IF(COUNTA($A186:$L186)&gt;0,$BP186,"")</f>
        <v/>
      </c>
      <c r="U186" s="49" t="str">
        <f>IF($T186="","",IF($T186=0,"Ready","Rejected"))</f>
        <v/>
      </c>
      <c r="V186" s="49" t="str">
        <f>IF(OR($T186="",$T186=0),"",INDEX(Config!$D$39:$D$61,MATCH(1,$AT186:$BP186,0))&amp;IF($T186&gt;1," (+"&amp;($T186-1)&amp;" more)",""))</f>
        <v/>
      </c>
      <c r="W186" s="52">
        <f>IF(AND(COUNTA($A186:$L186)&gt;0,$A186=""),1,0)</f>
        <v>0</v>
      </c>
      <c r="X186" s="52">
        <f>IF(AND(COUNTA($A186:$L186)&gt;0,$A186&lt;&gt;""),IF(COUNTIF($A$1:$A185,$A186)&gt;0,1,0),0)</f>
        <v>0</v>
      </c>
      <c r="Y186" s="52">
        <f>IF(AND(COUNTA($A186:$L186)&gt;0,$A186&lt;&gt;""),IF(COUNTIF(Inventory_Ledger!$A$2:$A$2001,$A186)&gt;0,1,0),0)</f>
        <v>0</v>
      </c>
      <c r="Z186" s="52">
        <f>IF(AND(COUNTA($A186:$L186)&gt;0,$B186=""),1,0)</f>
        <v>0</v>
      </c>
      <c r="AA186" s="52">
        <f>IF(AND(COUNTA($A186:$L186)&gt;0,$B186&lt;&gt;""),IF($M186="ERR",1,0),0)</f>
        <v>0</v>
      </c>
      <c r="AB186" s="52">
        <f>IF(AND(COUNTA($A186:$L186)&gt;0,ISNUMBER($M186)),IF($M186&gt;Config!$B$4,1,0),0)</f>
        <v>0</v>
      </c>
      <c r="AC186" s="52">
        <f>IF(AND(COUNTA($A186:$L186)&gt;0,$C186=""),1,0)</f>
        <v>0</v>
      </c>
      <c r="AD186" s="52">
        <f>IF(AND(COUNTA($A186:$L186)&gt;0,$C186&lt;&gt;""),IF(COUNTIF(Config!$A$15:$A$34,$C186)=0,1,0),0)</f>
        <v>0</v>
      </c>
      <c r="AE186" s="52">
        <f>IF(AND(COUNTA($A186:$L186)&gt;0,$D186=""),1,0)</f>
        <v>0</v>
      </c>
      <c r="AF186" s="52">
        <f>IF(AND(COUNTA($A186:$L186)&gt;0,$D186&lt;&gt;""),IF(COUNTIF(Products!$A$2:$A$101,$D186)=0,1,0),0)</f>
        <v>0</v>
      </c>
      <c r="AG186" s="52">
        <f>IF(AND(COUNTA($A186:$L186)&gt;0,$C186="Receipt",$E186=""),1,0)</f>
        <v>0</v>
      </c>
      <c r="AH186" s="52">
        <f>IF(AND(COUNTA($A186:$L186)&gt;0,$E186&lt;&gt;""),IF(COUNTIF(Suppliers!$A$2:$A$51,$E186)=0,1,0),0)</f>
        <v>0</v>
      </c>
      <c r="AI186" s="52">
        <f>IF(AND(COUNTA($A186:$L186)&gt;0,$F186=""),1,0)</f>
        <v>0</v>
      </c>
      <c r="AJ186" s="52">
        <f>IF(AND(COUNTA($A186:$L186)&gt;0,$F186&lt;&gt;"",$D186&lt;&gt;"",OR($C186="Shipment",$C186="Adjustment")),IF($AF186=1,0,IF(COUNTIFS(Batches!$A$2:$A$301,$F186,Batches!$B$2:$B$301,$D186)+COUNTIFS($F$1:$F185,$F186,$D$1:$D185,$D186,$C$1:$C185,"Receipt")=0,1,0)),0)</f>
        <v>0</v>
      </c>
      <c r="AK186" s="52">
        <f>IF(AND(COUNTA($A186:$L186)&gt;0,$C186="Receipt",$G186=""),1,0)</f>
        <v>0</v>
      </c>
      <c r="AL186" s="52">
        <f>IF(AND(COUNTA($A186:$L186)&gt;0,$G186&lt;&gt;""),IF($N186="ERR",1,0),0)</f>
        <v>0</v>
      </c>
      <c r="AM186" s="52">
        <f>IF(AND(COUNTA($A186:$L186)&gt;0,$H186=""),1,0)</f>
        <v>0</v>
      </c>
      <c r="AN186" s="52">
        <f>IF(AND(COUNTA($A186:$L186)&gt;0,$H186&lt;&gt;""),IF($O186="ERR",1,IF(INT($O186)&lt;&gt;$O186,1,IF(AND(OR($C186="Receipt",$C186="Shipment"),$O186&lt;=0),1,IF(AND($C186="Adjustment",$O186=0),1,0)))),0)</f>
        <v>0</v>
      </c>
      <c r="AO186" s="52">
        <f>IF(AND(COUNTA($A186:$L186)&gt;0,$C186="Receipt",$I186=""),1,0)</f>
        <v>0</v>
      </c>
      <c r="AP186" s="52">
        <f>IF(AND(COUNTA($A186:$L186)&gt;0,$I186&lt;&gt;""),IF(IFERROR(INDEX(Config!$G$15:$G$34,MATCH($I186,Config!$E$15:$E$34,0)),"No")="Yes",0,1),0)</f>
        <v>0</v>
      </c>
      <c r="AQ186" s="52">
        <f>IF(AND(COUNTA($A186:$L186)&gt;0,$C186="Adjustment",$J186=""),1,0)</f>
        <v>0</v>
      </c>
      <c r="AR186" s="52">
        <f>IF(AND(COUNTA($A186:$L186)&gt;0,$L186=""),1,0)</f>
        <v>0</v>
      </c>
      <c r="AS186" s="52">
        <f>IF(AND(COUNTA($A186:$L186)&gt;0,ISNUMBER($S186)),IF($S186&lt;0,1,0),0)</f>
        <v>0</v>
      </c>
      <c r="AT186" s="52">
        <f>$W186</f>
        <v>0</v>
      </c>
      <c r="AU186" s="52">
        <f>$AT186+$X186</f>
        <v>0</v>
      </c>
      <c r="AV186" s="52">
        <f>$AU186+$Y186</f>
        <v>0</v>
      </c>
      <c r="AW186" s="52">
        <f>$AV186+$Z186</f>
        <v>0</v>
      </c>
      <c r="AX186" s="52">
        <f>$AW186+$AA186</f>
        <v>0</v>
      </c>
      <c r="AY186" s="52">
        <f>$AX186+$AB186</f>
        <v>0</v>
      </c>
      <c r="AZ186" s="52">
        <f>$AY186+$AC186</f>
        <v>0</v>
      </c>
      <c r="BA186" s="52">
        <f>$AZ186+$AD186</f>
        <v>0</v>
      </c>
      <c r="BB186" s="52">
        <f>$BA186+$AE186</f>
        <v>0</v>
      </c>
      <c r="BC186" s="52">
        <f>$BB186+$AF186</f>
        <v>0</v>
      </c>
      <c r="BD186" s="52">
        <f>$BC186+$AG186</f>
        <v>0</v>
      </c>
      <c r="BE186" s="52">
        <f>$BD186+$AH186</f>
        <v>0</v>
      </c>
      <c r="BF186" s="52">
        <f>$BE186+$AI186</f>
        <v>0</v>
      </c>
      <c r="BG186" s="52">
        <f>$BF186+$AJ186</f>
        <v>0</v>
      </c>
      <c r="BH186" s="52">
        <f>$BG186+$AK186</f>
        <v>0</v>
      </c>
      <c r="BI186" s="52">
        <f>$BH186+$AL186</f>
        <v>0</v>
      </c>
      <c r="BJ186" s="52">
        <f>$BI186+$AM186</f>
        <v>0</v>
      </c>
      <c r="BK186" s="52">
        <f>$BJ186+$AN186</f>
        <v>0</v>
      </c>
      <c r="BL186" s="52">
        <f>$BK186+$AO186</f>
        <v>0</v>
      </c>
      <c r="BM186" s="52">
        <f>$BL186+$AP186</f>
        <v>0</v>
      </c>
      <c r="BN186" s="52">
        <f>$BM186+$AQ186</f>
        <v>0</v>
      </c>
      <c r="BO186" s="52">
        <f>$BN186+$AR186</f>
        <v>0</v>
      </c>
      <c r="BP186" s="52">
        <f>$BO186+$AS186</f>
        <v>0</v>
      </c>
      <c r="BQ186" s="52">
        <f>SUM($T$1:$T185)</f>
        <v>11</v>
      </c>
      <c r="BR186" s="52" t="str">
        <f>IF(ISNUMBER($T186),IF($T186&gt;0,COUNTIF($T$2:$T186,"&gt;0"),""),"")</f>
        <v/>
      </c>
      <c r="BS186" s="52" t="str">
        <f>IF($BR186="","",$BQ186+$T186)</f>
        <v/>
      </c>
      <c r="BT186" s="52" t="str">
        <f>IF($U186="Ready",COUNTIF($U$2:$U186,"Ready"),"")</f>
        <v/>
      </c>
      <c r="BU186" s="52">
        <f>IF(AND($U186="Ready",$C186="Receipt"),IF(COUNTIF(Batches!$A$2:$A$301,$F186)+COUNTIFS($F$1:$F185,$F186,$C$1:$C185,"Receipt",$U$1:$U185,"Ready")=0,1,0),0)</f>
        <v>0</v>
      </c>
      <c r="BV186" s="52" t="str">
        <f>IF($BU186=1,SUM($BU$2:$BU186),"")</f>
        <v/>
      </c>
    </row>
    <row r="187">
      <c r="A187" s="46" t="n"/>
      <c r="B187" s="46" t="n"/>
      <c r="C187" s="46" t="n"/>
      <c r="D187" s="46" t="n"/>
      <c r="E187" s="46" t="n"/>
      <c r="F187" s="46" t="n"/>
      <c r="G187" s="46" t="n"/>
      <c r="H187" s="46" t="n"/>
      <c r="I187" s="46" t="n"/>
      <c r="J187" s="46" t="n"/>
      <c r="K187" s="46" t="n"/>
      <c r="L187" s="46" t="n"/>
      <c r="M187" s="62" t="str">
        <f>IF($B187="","",IF(ISNUMBER($B187),$B187,IF(AND(LEN($B187)=10,MID($B187,5,1)="-",MID($B187,8,1)="-"),IFERROR(IF(AND(MONTH(DATE(VALUE(LEFT($B187,4)),VALUE(MID($B187,6,2)),VALUE(RIGHT($B187,2))))=VALUE(MID($B187,6,2)),DAY(DATE(VALUE(LEFT($B187,4)),VALUE(MID($B187,6,2)),VALUE(RIGHT($B187,2))))=VALUE(RIGHT($B187,2))),DATE(VALUE(LEFT($B187,4)),VALUE(MID($B187,6,2)),VALUE(RIGHT($B187,2))),"ERR"),"ERR"),"ERR")))</f>
        <v/>
      </c>
      <c r="N187" s="62" t="str">
        <f>IF($G187="","",IF(ISNUMBER($G187),$G187,IF(AND(LEN($G187)=10,MID($G187,5,1)="-",MID($G187,8,1)="-"),IFERROR(IF(AND(MONTH(DATE(VALUE(LEFT($G187,4)),VALUE(MID($G187,6,2)),VALUE(RIGHT($G187,2))))=VALUE(MID($G187,6,2)),DAY(DATE(VALUE(LEFT($G187,4)),VALUE(MID($G187,6,2)),VALUE(RIGHT($G187,2))))=VALUE(RIGHT($G187,2))),DATE(VALUE(LEFT($G187,4)),VALUE(MID($G187,6,2)),VALUE(RIGHT($G187,2))),"ERR"),"ERR"),"ERR")))</f>
        <v/>
      </c>
      <c r="O187" s="51" t="str">
        <f>IF($H187="","",IF(ISNUMBER($H187),$H187,IFERROR(VALUE($H187),"ERR")))</f>
        <v/>
      </c>
      <c r="P187" s="51" t="str">
        <f>IF(AND(ISNUMBER($O187),OR($C187="Receipt",$C187="Shipment",$C187="Adjustment")),IF($C187="Shipment",-$O187,$O187),"")</f>
        <v/>
      </c>
      <c r="Q187" s="51" t="str">
        <f>IF($D187="","",IFERROR(INDEX(Products!$R$2:$R$101,MATCH($D187,Products!$A$2:$A$101,0)),""))</f>
        <v/>
      </c>
      <c r="R187" s="51" t="str">
        <f>IF(OR($Q187="",$P187=""),"",$Q187+SUMIFS($P$1:$P186,$D$1:$D186,$D187,$U$1:$U186,"Ready"))</f>
        <v/>
      </c>
      <c r="S187" s="51" t="str">
        <f>IF($R187="","",$R187+$P187)</f>
        <v/>
      </c>
      <c r="T187" s="52" t="str">
        <f>IF(COUNTA($A187:$L187)&gt;0,$BP187,"")</f>
        <v/>
      </c>
      <c r="U187" s="49" t="str">
        <f>IF($T187="","",IF($T187=0,"Ready","Rejected"))</f>
        <v/>
      </c>
      <c r="V187" s="49" t="str">
        <f>IF(OR($T187="",$T187=0),"",INDEX(Config!$D$39:$D$61,MATCH(1,$AT187:$BP187,0))&amp;IF($T187&gt;1," (+"&amp;($T187-1)&amp;" more)",""))</f>
        <v/>
      </c>
      <c r="W187" s="52">
        <f>IF(AND(COUNTA($A187:$L187)&gt;0,$A187=""),1,0)</f>
        <v>0</v>
      </c>
      <c r="X187" s="52">
        <f>IF(AND(COUNTA($A187:$L187)&gt;0,$A187&lt;&gt;""),IF(COUNTIF($A$1:$A186,$A187)&gt;0,1,0),0)</f>
        <v>0</v>
      </c>
      <c r="Y187" s="52">
        <f>IF(AND(COUNTA($A187:$L187)&gt;0,$A187&lt;&gt;""),IF(COUNTIF(Inventory_Ledger!$A$2:$A$2001,$A187)&gt;0,1,0),0)</f>
        <v>0</v>
      </c>
      <c r="Z187" s="52">
        <f>IF(AND(COUNTA($A187:$L187)&gt;0,$B187=""),1,0)</f>
        <v>0</v>
      </c>
      <c r="AA187" s="52">
        <f>IF(AND(COUNTA($A187:$L187)&gt;0,$B187&lt;&gt;""),IF($M187="ERR",1,0),0)</f>
        <v>0</v>
      </c>
      <c r="AB187" s="52">
        <f>IF(AND(COUNTA($A187:$L187)&gt;0,ISNUMBER($M187)),IF($M187&gt;Config!$B$4,1,0),0)</f>
        <v>0</v>
      </c>
      <c r="AC187" s="52">
        <f>IF(AND(COUNTA($A187:$L187)&gt;0,$C187=""),1,0)</f>
        <v>0</v>
      </c>
      <c r="AD187" s="52">
        <f>IF(AND(COUNTA($A187:$L187)&gt;0,$C187&lt;&gt;""),IF(COUNTIF(Config!$A$15:$A$34,$C187)=0,1,0),0)</f>
        <v>0</v>
      </c>
      <c r="AE187" s="52">
        <f>IF(AND(COUNTA($A187:$L187)&gt;0,$D187=""),1,0)</f>
        <v>0</v>
      </c>
      <c r="AF187" s="52">
        <f>IF(AND(COUNTA($A187:$L187)&gt;0,$D187&lt;&gt;""),IF(COUNTIF(Products!$A$2:$A$101,$D187)=0,1,0),0)</f>
        <v>0</v>
      </c>
      <c r="AG187" s="52">
        <f>IF(AND(COUNTA($A187:$L187)&gt;0,$C187="Receipt",$E187=""),1,0)</f>
        <v>0</v>
      </c>
      <c r="AH187" s="52">
        <f>IF(AND(COUNTA($A187:$L187)&gt;0,$E187&lt;&gt;""),IF(COUNTIF(Suppliers!$A$2:$A$51,$E187)=0,1,0),0)</f>
        <v>0</v>
      </c>
      <c r="AI187" s="52">
        <f>IF(AND(COUNTA($A187:$L187)&gt;0,$F187=""),1,0)</f>
        <v>0</v>
      </c>
      <c r="AJ187" s="52">
        <f>IF(AND(COUNTA($A187:$L187)&gt;0,$F187&lt;&gt;"",$D187&lt;&gt;"",OR($C187="Shipment",$C187="Adjustment")),IF($AF187=1,0,IF(COUNTIFS(Batches!$A$2:$A$301,$F187,Batches!$B$2:$B$301,$D187)+COUNTIFS($F$1:$F186,$F187,$D$1:$D186,$D187,$C$1:$C186,"Receipt")=0,1,0)),0)</f>
        <v>0</v>
      </c>
      <c r="AK187" s="52">
        <f>IF(AND(COUNTA($A187:$L187)&gt;0,$C187="Receipt",$G187=""),1,0)</f>
        <v>0</v>
      </c>
      <c r="AL187" s="52">
        <f>IF(AND(COUNTA($A187:$L187)&gt;0,$G187&lt;&gt;""),IF($N187="ERR",1,0),0)</f>
        <v>0</v>
      </c>
      <c r="AM187" s="52">
        <f>IF(AND(COUNTA($A187:$L187)&gt;0,$H187=""),1,0)</f>
        <v>0</v>
      </c>
      <c r="AN187" s="52">
        <f>IF(AND(COUNTA($A187:$L187)&gt;0,$H187&lt;&gt;""),IF($O187="ERR",1,IF(INT($O187)&lt;&gt;$O187,1,IF(AND(OR($C187="Receipt",$C187="Shipment"),$O187&lt;=0),1,IF(AND($C187="Adjustment",$O187=0),1,0)))),0)</f>
        <v>0</v>
      </c>
      <c r="AO187" s="52">
        <f>IF(AND(COUNTA($A187:$L187)&gt;0,$C187="Receipt",$I187=""),1,0)</f>
        <v>0</v>
      </c>
      <c r="AP187" s="52">
        <f>IF(AND(COUNTA($A187:$L187)&gt;0,$I187&lt;&gt;""),IF(IFERROR(INDEX(Config!$G$15:$G$34,MATCH($I187,Config!$E$15:$E$34,0)),"No")="Yes",0,1),0)</f>
        <v>0</v>
      </c>
      <c r="AQ187" s="52">
        <f>IF(AND(COUNTA($A187:$L187)&gt;0,$C187="Adjustment",$J187=""),1,0)</f>
        <v>0</v>
      </c>
      <c r="AR187" s="52">
        <f>IF(AND(COUNTA($A187:$L187)&gt;0,$L187=""),1,0)</f>
        <v>0</v>
      </c>
      <c r="AS187" s="52">
        <f>IF(AND(COUNTA($A187:$L187)&gt;0,ISNUMBER($S187)),IF($S187&lt;0,1,0),0)</f>
        <v>0</v>
      </c>
      <c r="AT187" s="52">
        <f>$W187</f>
        <v>0</v>
      </c>
      <c r="AU187" s="52">
        <f>$AT187+$X187</f>
        <v>0</v>
      </c>
      <c r="AV187" s="52">
        <f>$AU187+$Y187</f>
        <v>0</v>
      </c>
      <c r="AW187" s="52">
        <f>$AV187+$Z187</f>
        <v>0</v>
      </c>
      <c r="AX187" s="52">
        <f>$AW187+$AA187</f>
        <v>0</v>
      </c>
      <c r="AY187" s="52">
        <f>$AX187+$AB187</f>
        <v>0</v>
      </c>
      <c r="AZ187" s="52">
        <f>$AY187+$AC187</f>
        <v>0</v>
      </c>
      <c r="BA187" s="52">
        <f>$AZ187+$AD187</f>
        <v>0</v>
      </c>
      <c r="BB187" s="52">
        <f>$BA187+$AE187</f>
        <v>0</v>
      </c>
      <c r="BC187" s="52">
        <f>$BB187+$AF187</f>
        <v>0</v>
      </c>
      <c r="BD187" s="52">
        <f>$BC187+$AG187</f>
        <v>0</v>
      </c>
      <c r="BE187" s="52">
        <f>$BD187+$AH187</f>
        <v>0</v>
      </c>
      <c r="BF187" s="52">
        <f>$BE187+$AI187</f>
        <v>0</v>
      </c>
      <c r="BG187" s="52">
        <f>$BF187+$AJ187</f>
        <v>0</v>
      </c>
      <c r="BH187" s="52">
        <f>$BG187+$AK187</f>
        <v>0</v>
      </c>
      <c r="BI187" s="52">
        <f>$BH187+$AL187</f>
        <v>0</v>
      </c>
      <c r="BJ187" s="52">
        <f>$BI187+$AM187</f>
        <v>0</v>
      </c>
      <c r="BK187" s="52">
        <f>$BJ187+$AN187</f>
        <v>0</v>
      </c>
      <c r="BL187" s="52">
        <f>$BK187+$AO187</f>
        <v>0</v>
      </c>
      <c r="BM187" s="52">
        <f>$BL187+$AP187</f>
        <v>0</v>
      </c>
      <c r="BN187" s="52">
        <f>$BM187+$AQ187</f>
        <v>0</v>
      </c>
      <c r="BO187" s="52">
        <f>$BN187+$AR187</f>
        <v>0</v>
      </c>
      <c r="BP187" s="52">
        <f>$BO187+$AS187</f>
        <v>0</v>
      </c>
      <c r="BQ187" s="52">
        <f>SUM($T$1:$T186)</f>
        <v>11</v>
      </c>
      <c r="BR187" s="52" t="str">
        <f>IF(ISNUMBER($T187),IF($T187&gt;0,COUNTIF($T$2:$T187,"&gt;0"),""),"")</f>
        <v/>
      </c>
      <c r="BS187" s="52" t="str">
        <f>IF($BR187="","",$BQ187+$T187)</f>
        <v/>
      </c>
      <c r="BT187" s="52" t="str">
        <f>IF($U187="Ready",COUNTIF($U$2:$U187,"Ready"),"")</f>
        <v/>
      </c>
      <c r="BU187" s="52">
        <f>IF(AND($U187="Ready",$C187="Receipt"),IF(COUNTIF(Batches!$A$2:$A$301,$F187)+COUNTIFS($F$1:$F186,$F187,$C$1:$C186,"Receipt",$U$1:$U186,"Ready")=0,1,0),0)</f>
        <v>0</v>
      </c>
      <c r="BV187" s="52" t="str">
        <f>IF($BU187=1,SUM($BU$2:$BU187),"")</f>
        <v/>
      </c>
    </row>
    <row r="188">
      <c r="A188" s="46" t="n"/>
      <c r="B188" s="46" t="n"/>
      <c r="C188" s="46" t="n"/>
      <c r="D188" s="46" t="n"/>
      <c r="E188" s="46" t="n"/>
      <c r="F188" s="46" t="n"/>
      <c r="G188" s="46" t="n"/>
      <c r="H188" s="46" t="n"/>
      <c r="I188" s="46" t="n"/>
      <c r="J188" s="46" t="n"/>
      <c r="K188" s="46" t="n"/>
      <c r="L188" s="46" t="n"/>
      <c r="M188" s="62" t="str">
        <f>IF($B188="","",IF(ISNUMBER($B188),$B188,IF(AND(LEN($B188)=10,MID($B188,5,1)="-",MID($B188,8,1)="-"),IFERROR(IF(AND(MONTH(DATE(VALUE(LEFT($B188,4)),VALUE(MID($B188,6,2)),VALUE(RIGHT($B188,2))))=VALUE(MID($B188,6,2)),DAY(DATE(VALUE(LEFT($B188,4)),VALUE(MID($B188,6,2)),VALUE(RIGHT($B188,2))))=VALUE(RIGHT($B188,2))),DATE(VALUE(LEFT($B188,4)),VALUE(MID($B188,6,2)),VALUE(RIGHT($B188,2))),"ERR"),"ERR"),"ERR")))</f>
        <v/>
      </c>
      <c r="N188" s="62" t="str">
        <f>IF($G188="","",IF(ISNUMBER($G188),$G188,IF(AND(LEN($G188)=10,MID($G188,5,1)="-",MID($G188,8,1)="-"),IFERROR(IF(AND(MONTH(DATE(VALUE(LEFT($G188,4)),VALUE(MID($G188,6,2)),VALUE(RIGHT($G188,2))))=VALUE(MID($G188,6,2)),DAY(DATE(VALUE(LEFT($G188,4)),VALUE(MID($G188,6,2)),VALUE(RIGHT($G188,2))))=VALUE(RIGHT($G188,2))),DATE(VALUE(LEFT($G188,4)),VALUE(MID($G188,6,2)),VALUE(RIGHT($G188,2))),"ERR"),"ERR"),"ERR")))</f>
        <v/>
      </c>
      <c r="O188" s="51" t="str">
        <f>IF($H188="","",IF(ISNUMBER($H188),$H188,IFERROR(VALUE($H188),"ERR")))</f>
        <v/>
      </c>
      <c r="P188" s="51" t="str">
        <f>IF(AND(ISNUMBER($O188),OR($C188="Receipt",$C188="Shipment",$C188="Adjustment")),IF($C188="Shipment",-$O188,$O188),"")</f>
        <v/>
      </c>
      <c r="Q188" s="51" t="str">
        <f>IF($D188="","",IFERROR(INDEX(Products!$R$2:$R$101,MATCH($D188,Products!$A$2:$A$101,0)),""))</f>
        <v/>
      </c>
      <c r="R188" s="51" t="str">
        <f>IF(OR($Q188="",$P188=""),"",$Q188+SUMIFS($P$1:$P187,$D$1:$D187,$D188,$U$1:$U187,"Ready"))</f>
        <v/>
      </c>
      <c r="S188" s="51" t="str">
        <f>IF($R188="","",$R188+$P188)</f>
        <v/>
      </c>
      <c r="T188" s="52" t="str">
        <f>IF(COUNTA($A188:$L188)&gt;0,$BP188,"")</f>
        <v/>
      </c>
      <c r="U188" s="49" t="str">
        <f>IF($T188="","",IF($T188=0,"Ready","Rejected"))</f>
        <v/>
      </c>
      <c r="V188" s="49" t="str">
        <f>IF(OR($T188="",$T188=0),"",INDEX(Config!$D$39:$D$61,MATCH(1,$AT188:$BP188,0))&amp;IF($T188&gt;1," (+"&amp;($T188-1)&amp;" more)",""))</f>
        <v/>
      </c>
      <c r="W188" s="52">
        <f>IF(AND(COUNTA($A188:$L188)&gt;0,$A188=""),1,0)</f>
        <v>0</v>
      </c>
      <c r="X188" s="52">
        <f>IF(AND(COUNTA($A188:$L188)&gt;0,$A188&lt;&gt;""),IF(COUNTIF($A$1:$A187,$A188)&gt;0,1,0),0)</f>
        <v>0</v>
      </c>
      <c r="Y188" s="52">
        <f>IF(AND(COUNTA($A188:$L188)&gt;0,$A188&lt;&gt;""),IF(COUNTIF(Inventory_Ledger!$A$2:$A$2001,$A188)&gt;0,1,0),0)</f>
        <v>0</v>
      </c>
      <c r="Z188" s="52">
        <f>IF(AND(COUNTA($A188:$L188)&gt;0,$B188=""),1,0)</f>
        <v>0</v>
      </c>
      <c r="AA188" s="52">
        <f>IF(AND(COUNTA($A188:$L188)&gt;0,$B188&lt;&gt;""),IF($M188="ERR",1,0),0)</f>
        <v>0</v>
      </c>
      <c r="AB188" s="52">
        <f>IF(AND(COUNTA($A188:$L188)&gt;0,ISNUMBER($M188)),IF($M188&gt;Config!$B$4,1,0),0)</f>
        <v>0</v>
      </c>
      <c r="AC188" s="52">
        <f>IF(AND(COUNTA($A188:$L188)&gt;0,$C188=""),1,0)</f>
        <v>0</v>
      </c>
      <c r="AD188" s="52">
        <f>IF(AND(COUNTA($A188:$L188)&gt;0,$C188&lt;&gt;""),IF(COUNTIF(Config!$A$15:$A$34,$C188)=0,1,0),0)</f>
        <v>0</v>
      </c>
      <c r="AE188" s="52">
        <f>IF(AND(COUNTA($A188:$L188)&gt;0,$D188=""),1,0)</f>
        <v>0</v>
      </c>
      <c r="AF188" s="52">
        <f>IF(AND(COUNTA($A188:$L188)&gt;0,$D188&lt;&gt;""),IF(COUNTIF(Products!$A$2:$A$101,$D188)=0,1,0),0)</f>
        <v>0</v>
      </c>
      <c r="AG188" s="52">
        <f>IF(AND(COUNTA($A188:$L188)&gt;0,$C188="Receipt",$E188=""),1,0)</f>
        <v>0</v>
      </c>
      <c r="AH188" s="52">
        <f>IF(AND(COUNTA($A188:$L188)&gt;0,$E188&lt;&gt;""),IF(COUNTIF(Suppliers!$A$2:$A$51,$E188)=0,1,0),0)</f>
        <v>0</v>
      </c>
      <c r="AI188" s="52">
        <f>IF(AND(COUNTA($A188:$L188)&gt;0,$F188=""),1,0)</f>
        <v>0</v>
      </c>
      <c r="AJ188" s="52">
        <f>IF(AND(COUNTA($A188:$L188)&gt;0,$F188&lt;&gt;"",$D188&lt;&gt;"",OR($C188="Shipment",$C188="Adjustment")),IF($AF188=1,0,IF(COUNTIFS(Batches!$A$2:$A$301,$F188,Batches!$B$2:$B$301,$D188)+COUNTIFS($F$1:$F187,$F188,$D$1:$D187,$D188,$C$1:$C187,"Receipt")=0,1,0)),0)</f>
        <v>0</v>
      </c>
      <c r="AK188" s="52">
        <f>IF(AND(COUNTA($A188:$L188)&gt;0,$C188="Receipt",$G188=""),1,0)</f>
        <v>0</v>
      </c>
      <c r="AL188" s="52">
        <f>IF(AND(COUNTA($A188:$L188)&gt;0,$G188&lt;&gt;""),IF($N188="ERR",1,0),0)</f>
        <v>0</v>
      </c>
      <c r="AM188" s="52">
        <f>IF(AND(COUNTA($A188:$L188)&gt;0,$H188=""),1,0)</f>
        <v>0</v>
      </c>
      <c r="AN188" s="52">
        <f>IF(AND(COUNTA($A188:$L188)&gt;0,$H188&lt;&gt;""),IF($O188="ERR",1,IF(INT($O188)&lt;&gt;$O188,1,IF(AND(OR($C188="Receipt",$C188="Shipment"),$O188&lt;=0),1,IF(AND($C188="Adjustment",$O188=0),1,0)))),0)</f>
        <v>0</v>
      </c>
      <c r="AO188" s="52">
        <f>IF(AND(COUNTA($A188:$L188)&gt;0,$C188="Receipt",$I188=""),1,0)</f>
        <v>0</v>
      </c>
      <c r="AP188" s="52">
        <f>IF(AND(COUNTA($A188:$L188)&gt;0,$I188&lt;&gt;""),IF(IFERROR(INDEX(Config!$G$15:$G$34,MATCH($I188,Config!$E$15:$E$34,0)),"No")="Yes",0,1),0)</f>
        <v>0</v>
      </c>
      <c r="AQ188" s="52">
        <f>IF(AND(COUNTA($A188:$L188)&gt;0,$C188="Adjustment",$J188=""),1,0)</f>
        <v>0</v>
      </c>
      <c r="AR188" s="52">
        <f>IF(AND(COUNTA($A188:$L188)&gt;0,$L188=""),1,0)</f>
        <v>0</v>
      </c>
      <c r="AS188" s="52">
        <f>IF(AND(COUNTA($A188:$L188)&gt;0,ISNUMBER($S188)),IF($S188&lt;0,1,0),0)</f>
        <v>0</v>
      </c>
      <c r="AT188" s="52">
        <f>$W188</f>
        <v>0</v>
      </c>
      <c r="AU188" s="52">
        <f>$AT188+$X188</f>
        <v>0</v>
      </c>
      <c r="AV188" s="52">
        <f>$AU188+$Y188</f>
        <v>0</v>
      </c>
      <c r="AW188" s="52">
        <f>$AV188+$Z188</f>
        <v>0</v>
      </c>
      <c r="AX188" s="52">
        <f>$AW188+$AA188</f>
        <v>0</v>
      </c>
      <c r="AY188" s="52">
        <f>$AX188+$AB188</f>
        <v>0</v>
      </c>
      <c r="AZ188" s="52">
        <f>$AY188+$AC188</f>
        <v>0</v>
      </c>
      <c r="BA188" s="52">
        <f>$AZ188+$AD188</f>
        <v>0</v>
      </c>
      <c r="BB188" s="52">
        <f>$BA188+$AE188</f>
        <v>0</v>
      </c>
      <c r="BC188" s="52">
        <f>$BB188+$AF188</f>
        <v>0</v>
      </c>
      <c r="BD188" s="52">
        <f>$BC188+$AG188</f>
        <v>0</v>
      </c>
      <c r="BE188" s="52">
        <f>$BD188+$AH188</f>
        <v>0</v>
      </c>
      <c r="BF188" s="52">
        <f>$BE188+$AI188</f>
        <v>0</v>
      </c>
      <c r="BG188" s="52">
        <f>$BF188+$AJ188</f>
        <v>0</v>
      </c>
      <c r="BH188" s="52">
        <f>$BG188+$AK188</f>
        <v>0</v>
      </c>
      <c r="BI188" s="52">
        <f>$BH188+$AL188</f>
        <v>0</v>
      </c>
      <c r="BJ188" s="52">
        <f>$BI188+$AM188</f>
        <v>0</v>
      </c>
      <c r="BK188" s="52">
        <f>$BJ188+$AN188</f>
        <v>0</v>
      </c>
      <c r="BL188" s="52">
        <f>$BK188+$AO188</f>
        <v>0</v>
      </c>
      <c r="BM188" s="52">
        <f>$BL188+$AP188</f>
        <v>0</v>
      </c>
      <c r="BN188" s="52">
        <f>$BM188+$AQ188</f>
        <v>0</v>
      </c>
      <c r="BO188" s="52">
        <f>$BN188+$AR188</f>
        <v>0</v>
      </c>
      <c r="BP188" s="52">
        <f>$BO188+$AS188</f>
        <v>0</v>
      </c>
      <c r="BQ188" s="52">
        <f>SUM($T$1:$T187)</f>
        <v>11</v>
      </c>
      <c r="BR188" s="52" t="str">
        <f>IF(ISNUMBER($T188),IF($T188&gt;0,COUNTIF($T$2:$T188,"&gt;0"),""),"")</f>
        <v/>
      </c>
      <c r="BS188" s="52" t="str">
        <f>IF($BR188="","",$BQ188+$T188)</f>
        <v/>
      </c>
      <c r="BT188" s="52" t="str">
        <f>IF($U188="Ready",COUNTIF($U$2:$U188,"Ready"),"")</f>
        <v/>
      </c>
      <c r="BU188" s="52">
        <f>IF(AND($U188="Ready",$C188="Receipt"),IF(COUNTIF(Batches!$A$2:$A$301,$F188)+COUNTIFS($F$1:$F187,$F188,$C$1:$C187,"Receipt",$U$1:$U187,"Ready")=0,1,0),0)</f>
        <v>0</v>
      </c>
      <c r="BV188" s="52" t="str">
        <f>IF($BU188=1,SUM($BU$2:$BU188),"")</f>
        <v/>
      </c>
    </row>
    <row r="189">
      <c r="A189" s="46" t="n"/>
      <c r="B189" s="46" t="n"/>
      <c r="C189" s="46" t="n"/>
      <c r="D189" s="46" t="n"/>
      <c r="E189" s="46" t="n"/>
      <c r="F189" s="46" t="n"/>
      <c r="G189" s="46" t="n"/>
      <c r="H189" s="46" t="n"/>
      <c r="I189" s="46" t="n"/>
      <c r="J189" s="46" t="n"/>
      <c r="K189" s="46" t="n"/>
      <c r="L189" s="46" t="n"/>
      <c r="M189" s="62" t="str">
        <f>IF($B189="","",IF(ISNUMBER($B189),$B189,IF(AND(LEN($B189)=10,MID($B189,5,1)="-",MID($B189,8,1)="-"),IFERROR(IF(AND(MONTH(DATE(VALUE(LEFT($B189,4)),VALUE(MID($B189,6,2)),VALUE(RIGHT($B189,2))))=VALUE(MID($B189,6,2)),DAY(DATE(VALUE(LEFT($B189,4)),VALUE(MID($B189,6,2)),VALUE(RIGHT($B189,2))))=VALUE(RIGHT($B189,2))),DATE(VALUE(LEFT($B189,4)),VALUE(MID($B189,6,2)),VALUE(RIGHT($B189,2))),"ERR"),"ERR"),"ERR")))</f>
        <v/>
      </c>
      <c r="N189" s="62" t="str">
        <f>IF($G189="","",IF(ISNUMBER($G189),$G189,IF(AND(LEN($G189)=10,MID($G189,5,1)="-",MID($G189,8,1)="-"),IFERROR(IF(AND(MONTH(DATE(VALUE(LEFT($G189,4)),VALUE(MID($G189,6,2)),VALUE(RIGHT($G189,2))))=VALUE(MID($G189,6,2)),DAY(DATE(VALUE(LEFT($G189,4)),VALUE(MID($G189,6,2)),VALUE(RIGHT($G189,2))))=VALUE(RIGHT($G189,2))),DATE(VALUE(LEFT($G189,4)),VALUE(MID($G189,6,2)),VALUE(RIGHT($G189,2))),"ERR"),"ERR"),"ERR")))</f>
        <v/>
      </c>
      <c r="O189" s="51" t="str">
        <f>IF($H189="","",IF(ISNUMBER($H189),$H189,IFERROR(VALUE($H189),"ERR")))</f>
        <v/>
      </c>
      <c r="P189" s="51" t="str">
        <f>IF(AND(ISNUMBER($O189),OR($C189="Receipt",$C189="Shipment",$C189="Adjustment")),IF($C189="Shipment",-$O189,$O189),"")</f>
        <v/>
      </c>
      <c r="Q189" s="51" t="str">
        <f>IF($D189="","",IFERROR(INDEX(Products!$R$2:$R$101,MATCH($D189,Products!$A$2:$A$101,0)),""))</f>
        <v/>
      </c>
      <c r="R189" s="51" t="str">
        <f>IF(OR($Q189="",$P189=""),"",$Q189+SUMIFS($P$1:$P188,$D$1:$D188,$D189,$U$1:$U188,"Ready"))</f>
        <v/>
      </c>
      <c r="S189" s="51" t="str">
        <f>IF($R189="","",$R189+$P189)</f>
        <v/>
      </c>
      <c r="T189" s="52" t="str">
        <f>IF(COUNTA($A189:$L189)&gt;0,$BP189,"")</f>
        <v/>
      </c>
      <c r="U189" s="49" t="str">
        <f>IF($T189="","",IF($T189=0,"Ready","Rejected"))</f>
        <v/>
      </c>
      <c r="V189" s="49" t="str">
        <f>IF(OR($T189="",$T189=0),"",INDEX(Config!$D$39:$D$61,MATCH(1,$AT189:$BP189,0))&amp;IF($T189&gt;1," (+"&amp;($T189-1)&amp;" more)",""))</f>
        <v/>
      </c>
      <c r="W189" s="52">
        <f>IF(AND(COUNTA($A189:$L189)&gt;0,$A189=""),1,0)</f>
        <v>0</v>
      </c>
      <c r="X189" s="52">
        <f>IF(AND(COUNTA($A189:$L189)&gt;0,$A189&lt;&gt;""),IF(COUNTIF($A$1:$A188,$A189)&gt;0,1,0),0)</f>
        <v>0</v>
      </c>
      <c r="Y189" s="52">
        <f>IF(AND(COUNTA($A189:$L189)&gt;0,$A189&lt;&gt;""),IF(COUNTIF(Inventory_Ledger!$A$2:$A$2001,$A189)&gt;0,1,0),0)</f>
        <v>0</v>
      </c>
      <c r="Z189" s="52">
        <f>IF(AND(COUNTA($A189:$L189)&gt;0,$B189=""),1,0)</f>
        <v>0</v>
      </c>
      <c r="AA189" s="52">
        <f>IF(AND(COUNTA($A189:$L189)&gt;0,$B189&lt;&gt;""),IF($M189="ERR",1,0),0)</f>
        <v>0</v>
      </c>
      <c r="AB189" s="52">
        <f>IF(AND(COUNTA($A189:$L189)&gt;0,ISNUMBER($M189)),IF($M189&gt;Config!$B$4,1,0),0)</f>
        <v>0</v>
      </c>
      <c r="AC189" s="52">
        <f>IF(AND(COUNTA($A189:$L189)&gt;0,$C189=""),1,0)</f>
        <v>0</v>
      </c>
      <c r="AD189" s="52">
        <f>IF(AND(COUNTA($A189:$L189)&gt;0,$C189&lt;&gt;""),IF(COUNTIF(Config!$A$15:$A$34,$C189)=0,1,0),0)</f>
        <v>0</v>
      </c>
      <c r="AE189" s="52">
        <f>IF(AND(COUNTA($A189:$L189)&gt;0,$D189=""),1,0)</f>
        <v>0</v>
      </c>
      <c r="AF189" s="52">
        <f>IF(AND(COUNTA($A189:$L189)&gt;0,$D189&lt;&gt;""),IF(COUNTIF(Products!$A$2:$A$101,$D189)=0,1,0),0)</f>
        <v>0</v>
      </c>
      <c r="AG189" s="52">
        <f>IF(AND(COUNTA($A189:$L189)&gt;0,$C189="Receipt",$E189=""),1,0)</f>
        <v>0</v>
      </c>
      <c r="AH189" s="52">
        <f>IF(AND(COUNTA($A189:$L189)&gt;0,$E189&lt;&gt;""),IF(COUNTIF(Suppliers!$A$2:$A$51,$E189)=0,1,0),0)</f>
        <v>0</v>
      </c>
      <c r="AI189" s="52">
        <f>IF(AND(COUNTA($A189:$L189)&gt;0,$F189=""),1,0)</f>
        <v>0</v>
      </c>
      <c r="AJ189" s="52">
        <f>IF(AND(COUNTA($A189:$L189)&gt;0,$F189&lt;&gt;"",$D189&lt;&gt;"",OR($C189="Shipment",$C189="Adjustment")),IF($AF189=1,0,IF(COUNTIFS(Batches!$A$2:$A$301,$F189,Batches!$B$2:$B$301,$D189)+COUNTIFS($F$1:$F188,$F189,$D$1:$D188,$D189,$C$1:$C188,"Receipt")=0,1,0)),0)</f>
        <v>0</v>
      </c>
      <c r="AK189" s="52">
        <f>IF(AND(COUNTA($A189:$L189)&gt;0,$C189="Receipt",$G189=""),1,0)</f>
        <v>0</v>
      </c>
      <c r="AL189" s="52">
        <f>IF(AND(COUNTA($A189:$L189)&gt;0,$G189&lt;&gt;""),IF($N189="ERR",1,0),0)</f>
        <v>0</v>
      </c>
      <c r="AM189" s="52">
        <f>IF(AND(COUNTA($A189:$L189)&gt;0,$H189=""),1,0)</f>
        <v>0</v>
      </c>
      <c r="AN189" s="52">
        <f>IF(AND(COUNTA($A189:$L189)&gt;0,$H189&lt;&gt;""),IF($O189="ERR",1,IF(INT($O189)&lt;&gt;$O189,1,IF(AND(OR($C189="Receipt",$C189="Shipment"),$O189&lt;=0),1,IF(AND($C189="Adjustment",$O189=0),1,0)))),0)</f>
        <v>0</v>
      </c>
      <c r="AO189" s="52">
        <f>IF(AND(COUNTA($A189:$L189)&gt;0,$C189="Receipt",$I189=""),1,0)</f>
        <v>0</v>
      </c>
      <c r="AP189" s="52">
        <f>IF(AND(COUNTA($A189:$L189)&gt;0,$I189&lt;&gt;""),IF(IFERROR(INDEX(Config!$G$15:$G$34,MATCH($I189,Config!$E$15:$E$34,0)),"No")="Yes",0,1),0)</f>
        <v>0</v>
      </c>
      <c r="AQ189" s="52">
        <f>IF(AND(COUNTA($A189:$L189)&gt;0,$C189="Adjustment",$J189=""),1,0)</f>
        <v>0</v>
      </c>
      <c r="AR189" s="52">
        <f>IF(AND(COUNTA($A189:$L189)&gt;0,$L189=""),1,0)</f>
        <v>0</v>
      </c>
      <c r="AS189" s="52">
        <f>IF(AND(COUNTA($A189:$L189)&gt;0,ISNUMBER($S189)),IF($S189&lt;0,1,0),0)</f>
        <v>0</v>
      </c>
      <c r="AT189" s="52">
        <f>$W189</f>
        <v>0</v>
      </c>
      <c r="AU189" s="52">
        <f>$AT189+$X189</f>
        <v>0</v>
      </c>
      <c r="AV189" s="52">
        <f>$AU189+$Y189</f>
        <v>0</v>
      </c>
      <c r="AW189" s="52">
        <f>$AV189+$Z189</f>
        <v>0</v>
      </c>
      <c r="AX189" s="52">
        <f>$AW189+$AA189</f>
        <v>0</v>
      </c>
      <c r="AY189" s="52">
        <f>$AX189+$AB189</f>
        <v>0</v>
      </c>
      <c r="AZ189" s="52">
        <f>$AY189+$AC189</f>
        <v>0</v>
      </c>
      <c r="BA189" s="52">
        <f>$AZ189+$AD189</f>
        <v>0</v>
      </c>
      <c r="BB189" s="52">
        <f>$BA189+$AE189</f>
        <v>0</v>
      </c>
      <c r="BC189" s="52">
        <f>$BB189+$AF189</f>
        <v>0</v>
      </c>
      <c r="BD189" s="52">
        <f>$BC189+$AG189</f>
        <v>0</v>
      </c>
      <c r="BE189" s="52">
        <f>$BD189+$AH189</f>
        <v>0</v>
      </c>
      <c r="BF189" s="52">
        <f>$BE189+$AI189</f>
        <v>0</v>
      </c>
      <c r="BG189" s="52">
        <f>$BF189+$AJ189</f>
        <v>0</v>
      </c>
      <c r="BH189" s="52">
        <f>$BG189+$AK189</f>
        <v>0</v>
      </c>
      <c r="BI189" s="52">
        <f>$BH189+$AL189</f>
        <v>0</v>
      </c>
      <c r="BJ189" s="52">
        <f>$BI189+$AM189</f>
        <v>0</v>
      </c>
      <c r="BK189" s="52">
        <f>$BJ189+$AN189</f>
        <v>0</v>
      </c>
      <c r="BL189" s="52">
        <f>$BK189+$AO189</f>
        <v>0</v>
      </c>
      <c r="BM189" s="52">
        <f>$BL189+$AP189</f>
        <v>0</v>
      </c>
      <c r="BN189" s="52">
        <f>$BM189+$AQ189</f>
        <v>0</v>
      </c>
      <c r="BO189" s="52">
        <f>$BN189+$AR189</f>
        <v>0</v>
      </c>
      <c r="BP189" s="52">
        <f>$BO189+$AS189</f>
        <v>0</v>
      </c>
      <c r="BQ189" s="52">
        <f>SUM($T$1:$T188)</f>
        <v>11</v>
      </c>
      <c r="BR189" s="52" t="str">
        <f>IF(ISNUMBER($T189),IF($T189&gt;0,COUNTIF($T$2:$T189,"&gt;0"),""),"")</f>
        <v/>
      </c>
      <c r="BS189" s="52" t="str">
        <f>IF($BR189="","",$BQ189+$T189)</f>
        <v/>
      </c>
      <c r="BT189" s="52" t="str">
        <f>IF($U189="Ready",COUNTIF($U$2:$U189,"Ready"),"")</f>
        <v/>
      </c>
      <c r="BU189" s="52">
        <f>IF(AND($U189="Ready",$C189="Receipt"),IF(COUNTIF(Batches!$A$2:$A$301,$F189)+COUNTIFS($F$1:$F188,$F189,$C$1:$C188,"Receipt",$U$1:$U188,"Ready")=0,1,0),0)</f>
        <v>0</v>
      </c>
      <c r="BV189" s="52" t="str">
        <f>IF($BU189=1,SUM($BU$2:$BU189),"")</f>
        <v/>
      </c>
    </row>
    <row r="190">
      <c r="A190" s="46" t="n"/>
      <c r="B190" s="46" t="n"/>
      <c r="C190" s="46" t="n"/>
      <c r="D190" s="46" t="n"/>
      <c r="E190" s="46" t="n"/>
      <c r="F190" s="46" t="n"/>
      <c r="G190" s="46" t="n"/>
      <c r="H190" s="46" t="n"/>
      <c r="I190" s="46" t="n"/>
      <c r="J190" s="46" t="n"/>
      <c r="K190" s="46" t="n"/>
      <c r="L190" s="46" t="n"/>
      <c r="M190" s="62" t="str">
        <f>IF($B190="","",IF(ISNUMBER($B190),$B190,IF(AND(LEN($B190)=10,MID($B190,5,1)="-",MID($B190,8,1)="-"),IFERROR(IF(AND(MONTH(DATE(VALUE(LEFT($B190,4)),VALUE(MID($B190,6,2)),VALUE(RIGHT($B190,2))))=VALUE(MID($B190,6,2)),DAY(DATE(VALUE(LEFT($B190,4)),VALUE(MID($B190,6,2)),VALUE(RIGHT($B190,2))))=VALUE(RIGHT($B190,2))),DATE(VALUE(LEFT($B190,4)),VALUE(MID($B190,6,2)),VALUE(RIGHT($B190,2))),"ERR"),"ERR"),"ERR")))</f>
        <v/>
      </c>
      <c r="N190" s="62" t="str">
        <f>IF($G190="","",IF(ISNUMBER($G190),$G190,IF(AND(LEN($G190)=10,MID($G190,5,1)="-",MID($G190,8,1)="-"),IFERROR(IF(AND(MONTH(DATE(VALUE(LEFT($G190,4)),VALUE(MID($G190,6,2)),VALUE(RIGHT($G190,2))))=VALUE(MID($G190,6,2)),DAY(DATE(VALUE(LEFT($G190,4)),VALUE(MID($G190,6,2)),VALUE(RIGHT($G190,2))))=VALUE(RIGHT($G190,2))),DATE(VALUE(LEFT($G190,4)),VALUE(MID($G190,6,2)),VALUE(RIGHT($G190,2))),"ERR"),"ERR"),"ERR")))</f>
        <v/>
      </c>
      <c r="O190" s="51" t="str">
        <f>IF($H190="","",IF(ISNUMBER($H190),$H190,IFERROR(VALUE($H190),"ERR")))</f>
        <v/>
      </c>
      <c r="P190" s="51" t="str">
        <f>IF(AND(ISNUMBER($O190),OR($C190="Receipt",$C190="Shipment",$C190="Adjustment")),IF($C190="Shipment",-$O190,$O190),"")</f>
        <v/>
      </c>
      <c r="Q190" s="51" t="str">
        <f>IF($D190="","",IFERROR(INDEX(Products!$R$2:$R$101,MATCH($D190,Products!$A$2:$A$101,0)),""))</f>
        <v/>
      </c>
      <c r="R190" s="51" t="str">
        <f>IF(OR($Q190="",$P190=""),"",$Q190+SUMIFS($P$1:$P189,$D$1:$D189,$D190,$U$1:$U189,"Ready"))</f>
        <v/>
      </c>
      <c r="S190" s="51" t="str">
        <f>IF($R190="","",$R190+$P190)</f>
        <v/>
      </c>
      <c r="T190" s="52" t="str">
        <f>IF(COUNTA($A190:$L190)&gt;0,$BP190,"")</f>
        <v/>
      </c>
      <c r="U190" s="49" t="str">
        <f>IF($T190="","",IF($T190=0,"Ready","Rejected"))</f>
        <v/>
      </c>
      <c r="V190" s="49" t="str">
        <f>IF(OR($T190="",$T190=0),"",INDEX(Config!$D$39:$D$61,MATCH(1,$AT190:$BP190,0))&amp;IF($T190&gt;1," (+"&amp;($T190-1)&amp;" more)",""))</f>
        <v/>
      </c>
      <c r="W190" s="52">
        <f>IF(AND(COUNTA($A190:$L190)&gt;0,$A190=""),1,0)</f>
        <v>0</v>
      </c>
      <c r="X190" s="52">
        <f>IF(AND(COUNTA($A190:$L190)&gt;0,$A190&lt;&gt;""),IF(COUNTIF($A$1:$A189,$A190)&gt;0,1,0),0)</f>
        <v>0</v>
      </c>
      <c r="Y190" s="52">
        <f>IF(AND(COUNTA($A190:$L190)&gt;0,$A190&lt;&gt;""),IF(COUNTIF(Inventory_Ledger!$A$2:$A$2001,$A190)&gt;0,1,0),0)</f>
        <v>0</v>
      </c>
      <c r="Z190" s="52">
        <f>IF(AND(COUNTA($A190:$L190)&gt;0,$B190=""),1,0)</f>
        <v>0</v>
      </c>
      <c r="AA190" s="52">
        <f>IF(AND(COUNTA($A190:$L190)&gt;0,$B190&lt;&gt;""),IF($M190="ERR",1,0),0)</f>
        <v>0</v>
      </c>
      <c r="AB190" s="52">
        <f>IF(AND(COUNTA($A190:$L190)&gt;0,ISNUMBER($M190)),IF($M190&gt;Config!$B$4,1,0),0)</f>
        <v>0</v>
      </c>
      <c r="AC190" s="52">
        <f>IF(AND(COUNTA($A190:$L190)&gt;0,$C190=""),1,0)</f>
        <v>0</v>
      </c>
      <c r="AD190" s="52">
        <f>IF(AND(COUNTA($A190:$L190)&gt;0,$C190&lt;&gt;""),IF(COUNTIF(Config!$A$15:$A$34,$C190)=0,1,0),0)</f>
        <v>0</v>
      </c>
      <c r="AE190" s="52">
        <f>IF(AND(COUNTA($A190:$L190)&gt;0,$D190=""),1,0)</f>
        <v>0</v>
      </c>
      <c r="AF190" s="52">
        <f>IF(AND(COUNTA($A190:$L190)&gt;0,$D190&lt;&gt;""),IF(COUNTIF(Products!$A$2:$A$101,$D190)=0,1,0),0)</f>
        <v>0</v>
      </c>
      <c r="AG190" s="52">
        <f>IF(AND(COUNTA($A190:$L190)&gt;0,$C190="Receipt",$E190=""),1,0)</f>
        <v>0</v>
      </c>
      <c r="AH190" s="52">
        <f>IF(AND(COUNTA($A190:$L190)&gt;0,$E190&lt;&gt;""),IF(COUNTIF(Suppliers!$A$2:$A$51,$E190)=0,1,0),0)</f>
        <v>0</v>
      </c>
      <c r="AI190" s="52">
        <f>IF(AND(COUNTA($A190:$L190)&gt;0,$F190=""),1,0)</f>
        <v>0</v>
      </c>
      <c r="AJ190" s="52">
        <f>IF(AND(COUNTA($A190:$L190)&gt;0,$F190&lt;&gt;"",$D190&lt;&gt;"",OR($C190="Shipment",$C190="Adjustment")),IF($AF190=1,0,IF(COUNTIFS(Batches!$A$2:$A$301,$F190,Batches!$B$2:$B$301,$D190)+COUNTIFS($F$1:$F189,$F190,$D$1:$D189,$D190,$C$1:$C189,"Receipt")=0,1,0)),0)</f>
        <v>0</v>
      </c>
      <c r="AK190" s="52">
        <f>IF(AND(COUNTA($A190:$L190)&gt;0,$C190="Receipt",$G190=""),1,0)</f>
        <v>0</v>
      </c>
      <c r="AL190" s="52">
        <f>IF(AND(COUNTA($A190:$L190)&gt;0,$G190&lt;&gt;""),IF($N190="ERR",1,0),0)</f>
        <v>0</v>
      </c>
      <c r="AM190" s="52">
        <f>IF(AND(COUNTA($A190:$L190)&gt;0,$H190=""),1,0)</f>
        <v>0</v>
      </c>
      <c r="AN190" s="52">
        <f>IF(AND(COUNTA($A190:$L190)&gt;0,$H190&lt;&gt;""),IF($O190="ERR",1,IF(INT($O190)&lt;&gt;$O190,1,IF(AND(OR($C190="Receipt",$C190="Shipment"),$O190&lt;=0),1,IF(AND($C190="Adjustment",$O190=0),1,0)))),0)</f>
        <v>0</v>
      </c>
      <c r="AO190" s="52">
        <f>IF(AND(COUNTA($A190:$L190)&gt;0,$C190="Receipt",$I190=""),1,0)</f>
        <v>0</v>
      </c>
      <c r="AP190" s="52">
        <f>IF(AND(COUNTA($A190:$L190)&gt;0,$I190&lt;&gt;""),IF(IFERROR(INDEX(Config!$G$15:$G$34,MATCH($I190,Config!$E$15:$E$34,0)),"No")="Yes",0,1),0)</f>
        <v>0</v>
      </c>
      <c r="AQ190" s="52">
        <f>IF(AND(COUNTA($A190:$L190)&gt;0,$C190="Adjustment",$J190=""),1,0)</f>
        <v>0</v>
      </c>
      <c r="AR190" s="52">
        <f>IF(AND(COUNTA($A190:$L190)&gt;0,$L190=""),1,0)</f>
        <v>0</v>
      </c>
      <c r="AS190" s="52">
        <f>IF(AND(COUNTA($A190:$L190)&gt;0,ISNUMBER($S190)),IF($S190&lt;0,1,0),0)</f>
        <v>0</v>
      </c>
      <c r="AT190" s="52">
        <f>$W190</f>
        <v>0</v>
      </c>
      <c r="AU190" s="52">
        <f>$AT190+$X190</f>
        <v>0</v>
      </c>
      <c r="AV190" s="52">
        <f>$AU190+$Y190</f>
        <v>0</v>
      </c>
      <c r="AW190" s="52">
        <f>$AV190+$Z190</f>
        <v>0</v>
      </c>
      <c r="AX190" s="52">
        <f>$AW190+$AA190</f>
        <v>0</v>
      </c>
      <c r="AY190" s="52">
        <f>$AX190+$AB190</f>
        <v>0</v>
      </c>
      <c r="AZ190" s="52">
        <f>$AY190+$AC190</f>
        <v>0</v>
      </c>
      <c r="BA190" s="52">
        <f>$AZ190+$AD190</f>
        <v>0</v>
      </c>
      <c r="BB190" s="52">
        <f>$BA190+$AE190</f>
        <v>0</v>
      </c>
      <c r="BC190" s="52">
        <f>$BB190+$AF190</f>
        <v>0</v>
      </c>
      <c r="BD190" s="52">
        <f>$BC190+$AG190</f>
        <v>0</v>
      </c>
      <c r="BE190" s="52">
        <f>$BD190+$AH190</f>
        <v>0</v>
      </c>
      <c r="BF190" s="52">
        <f>$BE190+$AI190</f>
        <v>0</v>
      </c>
      <c r="BG190" s="52">
        <f>$BF190+$AJ190</f>
        <v>0</v>
      </c>
      <c r="BH190" s="52">
        <f>$BG190+$AK190</f>
        <v>0</v>
      </c>
      <c r="BI190" s="52">
        <f>$BH190+$AL190</f>
        <v>0</v>
      </c>
      <c r="BJ190" s="52">
        <f>$BI190+$AM190</f>
        <v>0</v>
      </c>
      <c r="BK190" s="52">
        <f>$BJ190+$AN190</f>
        <v>0</v>
      </c>
      <c r="BL190" s="52">
        <f>$BK190+$AO190</f>
        <v>0</v>
      </c>
      <c r="BM190" s="52">
        <f>$BL190+$AP190</f>
        <v>0</v>
      </c>
      <c r="BN190" s="52">
        <f>$BM190+$AQ190</f>
        <v>0</v>
      </c>
      <c r="BO190" s="52">
        <f>$BN190+$AR190</f>
        <v>0</v>
      </c>
      <c r="BP190" s="52">
        <f>$BO190+$AS190</f>
        <v>0</v>
      </c>
      <c r="BQ190" s="52">
        <f>SUM($T$1:$T189)</f>
        <v>11</v>
      </c>
      <c r="BR190" s="52" t="str">
        <f>IF(ISNUMBER($T190),IF($T190&gt;0,COUNTIF($T$2:$T190,"&gt;0"),""),"")</f>
        <v/>
      </c>
      <c r="BS190" s="52" t="str">
        <f>IF($BR190="","",$BQ190+$T190)</f>
        <v/>
      </c>
      <c r="BT190" s="52" t="str">
        <f>IF($U190="Ready",COUNTIF($U$2:$U190,"Ready"),"")</f>
        <v/>
      </c>
      <c r="BU190" s="52">
        <f>IF(AND($U190="Ready",$C190="Receipt"),IF(COUNTIF(Batches!$A$2:$A$301,$F190)+COUNTIFS($F$1:$F189,$F190,$C$1:$C189,"Receipt",$U$1:$U189,"Ready")=0,1,0),0)</f>
        <v>0</v>
      </c>
      <c r="BV190" s="52" t="str">
        <f>IF($BU190=1,SUM($BU$2:$BU190),"")</f>
        <v/>
      </c>
    </row>
    <row r="191">
      <c r="A191" s="46" t="n"/>
      <c r="B191" s="46" t="n"/>
      <c r="C191" s="46" t="n"/>
      <c r="D191" s="46" t="n"/>
      <c r="E191" s="46" t="n"/>
      <c r="F191" s="46" t="n"/>
      <c r="G191" s="46" t="n"/>
      <c r="H191" s="46" t="n"/>
      <c r="I191" s="46" t="n"/>
      <c r="J191" s="46" t="n"/>
      <c r="K191" s="46" t="n"/>
      <c r="L191" s="46" t="n"/>
      <c r="M191" s="62" t="str">
        <f>IF($B191="","",IF(ISNUMBER($B191),$B191,IF(AND(LEN($B191)=10,MID($B191,5,1)="-",MID($B191,8,1)="-"),IFERROR(IF(AND(MONTH(DATE(VALUE(LEFT($B191,4)),VALUE(MID($B191,6,2)),VALUE(RIGHT($B191,2))))=VALUE(MID($B191,6,2)),DAY(DATE(VALUE(LEFT($B191,4)),VALUE(MID($B191,6,2)),VALUE(RIGHT($B191,2))))=VALUE(RIGHT($B191,2))),DATE(VALUE(LEFT($B191,4)),VALUE(MID($B191,6,2)),VALUE(RIGHT($B191,2))),"ERR"),"ERR"),"ERR")))</f>
        <v/>
      </c>
      <c r="N191" s="62" t="str">
        <f>IF($G191="","",IF(ISNUMBER($G191),$G191,IF(AND(LEN($G191)=10,MID($G191,5,1)="-",MID($G191,8,1)="-"),IFERROR(IF(AND(MONTH(DATE(VALUE(LEFT($G191,4)),VALUE(MID($G191,6,2)),VALUE(RIGHT($G191,2))))=VALUE(MID($G191,6,2)),DAY(DATE(VALUE(LEFT($G191,4)),VALUE(MID($G191,6,2)),VALUE(RIGHT($G191,2))))=VALUE(RIGHT($G191,2))),DATE(VALUE(LEFT($G191,4)),VALUE(MID($G191,6,2)),VALUE(RIGHT($G191,2))),"ERR"),"ERR"),"ERR")))</f>
        <v/>
      </c>
      <c r="O191" s="51" t="str">
        <f>IF($H191="","",IF(ISNUMBER($H191),$H191,IFERROR(VALUE($H191),"ERR")))</f>
        <v/>
      </c>
      <c r="P191" s="51" t="str">
        <f>IF(AND(ISNUMBER($O191),OR($C191="Receipt",$C191="Shipment",$C191="Adjustment")),IF($C191="Shipment",-$O191,$O191),"")</f>
        <v/>
      </c>
      <c r="Q191" s="51" t="str">
        <f>IF($D191="","",IFERROR(INDEX(Products!$R$2:$R$101,MATCH($D191,Products!$A$2:$A$101,0)),""))</f>
        <v/>
      </c>
      <c r="R191" s="51" t="str">
        <f>IF(OR($Q191="",$P191=""),"",$Q191+SUMIFS($P$1:$P190,$D$1:$D190,$D191,$U$1:$U190,"Ready"))</f>
        <v/>
      </c>
      <c r="S191" s="51" t="str">
        <f>IF($R191="","",$R191+$P191)</f>
        <v/>
      </c>
      <c r="T191" s="52" t="str">
        <f>IF(COUNTA($A191:$L191)&gt;0,$BP191,"")</f>
        <v/>
      </c>
      <c r="U191" s="49" t="str">
        <f>IF($T191="","",IF($T191=0,"Ready","Rejected"))</f>
        <v/>
      </c>
      <c r="V191" s="49" t="str">
        <f>IF(OR($T191="",$T191=0),"",INDEX(Config!$D$39:$D$61,MATCH(1,$AT191:$BP191,0))&amp;IF($T191&gt;1," (+"&amp;($T191-1)&amp;" more)",""))</f>
        <v/>
      </c>
      <c r="W191" s="52">
        <f>IF(AND(COUNTA($A191:$L191)&gt;0,$A191=""),1,0)</f>
        <v>0</v>
      </c>
      <c r="X191" s="52">
        <f>IF(AND(COUNTA($A191:$L191)&gt;0,$A191&lt;&gt;""),IF(COUNTIF($A$1:$A190,$A191)&gt;0,1,0),0)</f>
        <v>0</v>
      </c>
      <c r="Y191" s="52">
        <f>IF(AND(COUNTA($A191:$L191)&gt;0,$A191&lt;&gt;""),IF(COUNTIF(Inventory_Ledger!$A$2:$A$2001,$A191)&gt;0,1,0),0)</f>
        <v>0</v>
      </c>
      <c r="Z191" s="52">
        <f>IF(AND(COUNTA($A191:$L191)&gt;0,$B191=""),1,0)</f>
        <v>0</v>
      </c>
      <c r="AA191" s="52">
        <f>IF(AND(COUNTA($A191:$L191)&gt;0,$B191&lt;&gt;""),IF($M191="ERR",1,0),0)</f>
        <v>0</v>
      </c>
      <c r="AB191" s="52">
        <f>IF(AND(COUNTA($A191:$L191)&gt;0,ISNUMBER($M191)),IF($M191&gt;Config!$B$4,1,0),0)</f>
        <v>0</v>
      </c>
      <c r="AC191" s="52">
        <f>IF(AND(COUNTA($A191:$L191)&gt;0,$C191=""),1,0)</f>
        <v>0</v>
      </c>
      <c r="AD191" s="52">
        <f>IF(AND(COUNTA($A191:$L191)&gt;0,$C191&lt;&gt;""),IF(COUNTIF(Config!$A$15:$A$34,$C191)=0,1,0),0)</f>
        <v>0</v>
      </c>
      <c r="AE191" s="52">
        <f>IF(AND(COUNTA($A191:$L191)&gt;0,$D191=""),1,0)</f>
        <v>0</v>
      </c>
      <c r="AF191" s="52">
        <f>IF(AND(COUNTA($A191:$L191)&gt;0,$D191&lt;&gt;""),IF(COUNTIF(Products!$A$2:$A$101,$D191)=0,1,0),0)</f>
        <v>0</v>
      </c>
      <c r="AG191" s="52">
        <f>IF(AND(COUNTA($A191:$L191)&gt;0,$C191="Receipt",$E191=""),1,0)</f>
        <v>0</v>
      </c>
      <c r="AH191" s="52">
        <f>IF(AND(COUNTA($A191:$L191)&gt;0,$E191&lt;&gt;""),IF(COUNTIF(Suppliers!$A$2:$A$51,$E191)=0,1,0),0)</f>
        <v>0</v>
      </c>
      <c r="AI191" s="52">
        <f>IF(AND(COUNTA($A191:$L191)&gt;0,$F191=""),1,0)</f>
        <v>0</v>
      </c>
      <c r="AJ191" s="52">
        <f>IF(AND(COUNTA($A191:$L191)&gt;0,$F191&lt;&gt;"",$D191&lt;&gt;"",OR($C191="Shipment",$C191="Adjustment")),IF($AF191=1,0,IF(COUNTIFS(Batches!$A$2:$A$301,$F191,Batches!$B$2:$B$301,$D191)+COUNTIFS($F$1:$F190,$F191,$D$1:$D190,$D191,$C$1:$C190,"Receipt")=0,1,0)),0)</f>
        <v>0</v>
      </c>
      <c r="AK191" s="52">
        <f>IF(AND(COUNTA($A191:$L191)&gt;0,$C191="Receipt",$G191=""),1,0)</f>
        <v>0</v>
      </c>
      <c r="AL191" s="52">
        <f>IF(AND(COUNTA($A191:$L191)&gt;0,$G191&lt;&gt;""),IF($N191="ERR",1,0),0)</f>
        <v>0</v>
      </c>
      <c r="AM191" s="52">
        <f>IF(AND(COUNTA($A191:$L191)&gt;0,$H191=""),1,0)</f>
        <v>0</v>
      </c>
      <c r="AN191" s="52">
        <f>IF(AND(COUNTA($A191:$L191)&gt;0,$H191&lt;&gt;""),IF($O191="ERR",1,IF(INT($O191)&lt;&gt;$O191,1,IF(AND(OR($C191="Receipt",$C191="Shipment"),$O191&lt;=0),1,IF(AND($C191="Adjustment",$O191=0),1,0)))),0)</f>
        <v>0</v>
      </c>
      <c r="AO191" s="52">
        <f>IF(AND(COUNTA($A191:$L191)&gt;0,$C191="Receipt",$I191=""),1,0)</f>
        <v>0</v>
      </c>
      <c r="AP191" s="52">
        <f>IF(AND(COUNTA($A191:$L191)&gt;0,$I191&lt;&gt;""),IF(IFERROR(INDEX(Config!$G$15:$G$34,MATCH($I191,Config!$E$15:$E$34,0)),"No")="Yes",0,1),0)</f>
        <v>0</v>
      </c>
      <c r="AQ191" s="52">
        <f>IF(AND(COUNTA($A191:$L191)&gt;0,$C191="Adjustment",$J191=""),1,0)</f>
        <v>0</v>
      </c>
      <c r="AR191" s="52">
        <f>IF(AND(COUNTA($A191:$L191)&gt;0,$L191=""),1,0)</f>
        <v>0</v>
      </c>
      <c r="AS191" s="52">
        <f>IF(AND(COUNTA($A191:$L191)&gt;0,ISNUMBER($S191)),IF($S191&lt;0,1,0),0)</f>
        <v>0</v>
      </c>
      <c r="AT191" s="52">
        <f>$W191</f>
        <v>0</v>
      </c>
      <c r="AU191" s="52">
        <f>$AT191+$X191</f>
        <v>0</v>
      </c>
      <c r="AV191" s="52">
        <f>$AU191+$Y191</f>
        <v>0</v>
      </c>
      <c r="AW191" s="52">
        <f>$AV191+$Z191</f>
        <v>0</v>
      </c>
      <c r="AX191" s="52">
        <f>$AW191+$AA191</f>
        <v>0</v>
      </c>
      <c r="AY191" s="52">
        <f>$AX191+$AB191</f>
        <v>0</v>
      </c>
      <c r="AZ191" s="52">
        <f>$AY191+$AC191</f>
        <v>0</v>
      </c>
      <c r="BA191" s="52">
        <f>$AZ191+$AD191</f>
        <v>0</v>
      </c>
      <c r="BB191" s="52">
        <f>$BA191+$AE191</f>
        <v>0</v>
      </c>
      <c r="BC191" s="52">
        <f>$BB191+$AF191</f>
        <v>0</v>
      </c>
      <c r="BD191" s="52">
        <f>$BC191+$AG191</f>
        <v>0</v>
      </c>
      <c r="BE191" s="52">
        <f>$BD191+$AH191</f>
        <v>0</v>
      </c>
      <c r="BF191" s="52">
        <f>$BE191+$AI191</f>
        <v>0</v>
      </c>
      <c r="BG191" s="52">
        <f>$BF191+$AJ191</f>
        <v>0</v>
      </c>
      <c r="BH191" s="52">
        <f>$BG191+$AK191</f>
        <v>0</v>
      </c>
      <c r="BI191" s="52">
        <f>$BH191+$AL191</f>
        <v>0</v>
      </c>
      <c r="BJ191" s="52">
        <f>$BI191+$AM191</f>
        <v>0</v>
      </c>
      <c r="BK191" s="52">
        <f>$BJ191+$AN191</f>
        <v>0</v>
      </c>
      <c r="BL191" s="52">
        <f>$BK191+$AO191</f>
        <v>0</v>
      </c>
      <c r="BM191" s="52">
        <f>$BL191+$AP191</f>
        <v>0</v>
      </c>
      <c r="BN191" s="52">
        <f>$BM191+$AQ191</f>
        <v>0</v>
      </c>
      <c r="BO191" s="52">
        <f>$BN191+$AR191</f>
        <v>0</v>
      </c>
      <c r="BP191" s="52">
        <f>$BO191+$AS191</f>
        <v>0</v>
      </c>
      <c r="BQ191" s="52">
        <f>SUM($T$1:$T190)</f>
        <v>11</v>
      </c>
      <c r="BR191" s="52" t="str">
        <f>IF(ISNUMBER($T191),IF($T191&gt;0,COUNTIF($T$2:$T191,"&gt;0"),""),"")</f>
        <v/>
      </c>
      <c r="BS191" s="52" t="str">
        <f>IF($BR191="","",$BQ191+$T191)</f>
        <v/>
      </c>
      <c r="BT191" s="52" t="str">
        <f>IF($U191="Ready",COUNTIF($U$2:$U191,"Ready"),"")</f>
        <v/>
      </c>
      <c r="BU191" s="52">
        <f>IF(AND($U191="Ready",$C191="Receipt"),IF(COUNTIF(Batches!$A$2:$A$301,$F191)+COUNTIFS($F$1:$F190,$F191,$C$1:$C190,"Receipt",$U$1:$U190,"Ready")=0,1,0),0)</f>
        <v>0</v>
      </c>
      <c r="BV191" s="52" t="str">
        <f>IF($BU191=1,SUM($BU$2:$BU191),"")</f>
        <v/>
      </c>
    </row>
    <row r="192">
      <c r="A192" s="46" t="n"/>
      <c r="B192" s="46" t="n"/>
      <c r="C192" s="46" t="n"/>
      <c r="D192" s="46" t="n"/>
      <c r="E192" s="46" t="n"/>
      <c r="F192" s="46" t="n"/>
      <c r="G192" s="46" t="n"/>
      <c r="H192" s="46" t="n"/>
      <c r="I192" s="46" t="n"/>
      <c r="J192" s="46" t="n"/>
      <c r="K192" s="46" t="n"/>
      <c r="L192" s="46" t="n"/>
      <c r="M192" s="62" t="str">
        <f>IF($B192="","",IF(ISNUMBER($B192),$B192,IF(AND(LEN($B192)=10,MID($B192,5,1)="-",MID($B192,8,1)="-"),IFERROR(IF(AND(MONTH(DATE(VALUE(LEFT($B192,4)),VALUE(MID($B192,6,2)),VALUE(RIGHT($B192,2))))=VALUE(MID($B192,6,2)),DAY(DATE(VALUE(LEFT($B192,4)),VALUE(MID($B192,6,2)),VALUE(RIGHT($B192,2))))=VALUE(RIGHT($B192,2))),DATE(VALUE(LEFT($B192,4)),VALUE(MID($B192,6,2)),VALUE(RIGHT($B192,2))),"ERR"),"ERR"),"ERR")))</f>
        <v/>
      </c>
      <c r="N192" s="62" t="str">
        <f>IF($G192="","",IF(ISNUMBER($G192),$G192,IF(AND(LEN($G192)=10,MID($G192,5,1)="-",MID($G192,8,1)="-"),IFERROR(IF(AND(MONTH(DATE(VALUE(LEFT($G192,4)),VALUE(MID($G192,6,2)),VALUE(RIGHT($G192,2))))=VALUE(MID($G192,6,2)),DAY(DATE(VALUE(LEFT($G192,4)),VALUE(MID($G192,6,2)),VALUE(RIGHT($G192,2))))=VALUE(RIGHT($G192,2))),DATE(VALUE(LEFT($G192,4)),VALUE(MID($G192,6,2)),VALUE(RIGHT($G192,2))),"ERR"),"ERR"),"ERR")))</f>
        <v/>
      </c>
      <c r="O192" s="51" t="str">
        <f>IF($H192="","",IF(ISNUMBER($H192),$H192,IFERROR(VALUE($H192),"ERR")))</f>
        <v/>
      </c>
      <c r="P192" s="51" t="str">
        <f>IF(AND(ISNUMBER($O192),OR($C192="Receipt",$C192="Shipment",$C192="Adjustment")),IF($C192="Shipment",-$O192,$O192),"")</f>
        <v/>
      </c>
      <c r="Q192" s="51" t="str">
        <f>IF($D192="","",IFERROR(INDEX(Products!$R$2:$R$101,MATCH($D192,Products!$A$2:$A$101,0)),""))</f>
        <v/>
      </c>
      <c r="R192" s="51" t="str">
        <f>IF(OR($Q192="",$P192=""),"",$Q192+SUMIFS($P$1:$P191,$D$1:$D191,$D192,$U$1:$U191,"Ready"))</f>
        <v/>
      </c>
      <c r="S192" s="51" t="str">
        <f>IF($R192="","",$R192+$P192)</f>
        <v/>
      </c>
      <c r="T192" s="52" t="str">
        <f>IF(COUNTA($A192:$L192)&gt;0,$BP192,"")</f>
        <v/>
      </c>
      <c r="U192" s="49" t="str">
        <f>IF($T192="","",IF($T192=0,"Ready","Rejected"))</f>
        <v/>
      </c>
      <c r="V192" s="49" t="str">
        <f>IF(OR($T192="",$T192=0),"",INDEX(Config!$D$39:$D$61,MATCH(1,$AT192:$BP192,0))&amp;IF($T192&gt;1," (+"&amp;($T192-1)&amp;" more)",""))</f>
        <v/>
      </c>
      <c r="W192" s="52">
        <f>IF(AND(COUNTA($A192:$L192)&gt;0,$A192=""),1,0)</f>
        <v>0</v>
      </c>
      <c r="X192" s="52">
        <f>IF(AND(COUNTA($A192:$L192)&gt;0,$A192&lt;&gt;""),IF(COUNTIF($A$1:$A191,$A192)&gt;0,1,0),0)</f>
        <v>0</v>
      </c>
      <c r="Y192" s="52">
        <f>IF(AND(COUNTA($A192:$L192)&gt;0,$A192&lt;&gt;""),IF(COUNTIF(Inventory_Ledger!$A$2:$A$2001,$A192)&gt;0,1,0),0)</f>
        <v>0</v>
      </c>
      <c r="Z192" s="52">
        <f>IF(AND(COUNTA($A192:$L192)&gt;0,$B192=""),1,0)</f>
        <v>0</v>
      </c>
      <c r="AA192" s="52">
        <f>IF(AND(COUNTA($A192:$L192)&gt;0,$B192&lt;&gt;""),IF($M192="ERR",1,0),0)</f>
        <v>0</v>
      </c>
      <c r="AB192" s="52">
        <f>IF(AND(COUNTA($A192:$L192)&gt;0,ISNUMBER($M192)),IF($M192&gt;Config!$B$4,1,0),0)</f>
        <v>0</v>
      </c>
      <c r="AC192" s="52">
        <f>IF(AND(COUNTA($A192:$L192)&gt;0,$C192=""),1,0)</f>
        <v>0</v>
      </c>
      <c r="AD192" s="52">
        <f>IF(AND(COUNTA($A192:$L192)&gt;0,$C192&lt;&gt;""),IF(COUNTIF(Config!$A$15:$A$34,$C192)=0,1,0),0)</f>
        <v>0</v>
      </c>
      <c r="AE192" s="52">
        <f>IF(AND(COUNTA($A192:$L192)&gt;0,$D192=""),1,0)</f>
        <v>0</v>
      </c>
      <c r="AF192" s="52">
        <f>IF(AND(COUNTA($A192:$L192)&gt;0,$D192&lt;&gt;""),IF(COUNTIF(Products!$A$2:$A$101,$D192)=0,1,0),0)</f>
        <v>0</v>
      </c>
      <c r="AG192" s="52">
        <f>IF(AND(COUNTA($A192:$L192)&gt;0,$C192="Receipt",$E192=""),1,0)</f>
        <v>0</v>
      </c>
      <c r="AH192" s="52">
        <f>IF(AND(COUNTA($A192:$L192)&gt;0,$E192&lt;&gt;""),IF(COUNTIF(Suppliers!$A$2:$A$51,$E192)=0,1,0),0)</f>
        <v>0</v>
      </c>
      <c r="AI192" s="52">
        <f>IF(AND(COUNTA($A192:$L192)&gt;0,$F192=""),1,0)</f>
        <v>0</v>
      </c>
      <c r="AJ192" s="52">
        <f>IF(AND(COUNTA($A192:$L192)&gt;0,$F192&lt;&gt;"",$D192&lt;&gt;"",OR($C192="Shipment",$C192="Adjustment")),IF($AF192=1,0,IF(COUNTIFS(Batches!$A$2:$A$301,$F192,Batches!$B$2:$B$301,$D192)+COUNTIFS($F$1:$F191,$F192,$D$1:$D191,$D192,$C$1:$C191,"Receipt")=0,1,0)),0)</f>
        <v>0</v>
      </c>
      <c r="AK192" s="52">
        <f>IF(AND(COUNTA($A192:$L192)&gt;0,$C192="Receipt",$G192=""),1,0)</f>
        <v>0</v>
      </c>
      <c r="AL192" s="52">
        <f>IF(AND(COUNTA($A192:$L192)&gt;0,$G192&lt;&gt;""),IF($N192="ERR",1,0),0)</f>
        <v>0</v>
      </c>
      <c r="AM192" s="52">
        <f>IF(AND(COUNTA($A192:$L192)&gt;0,$H192=""),1,0)</f>
        <v>0</v>
      </c>
      <c r="AN192" s="52">
        <f>IF(AND(COUNTA($A192:$L192)&gt;0,$H192&lt;&gt;""),IF($O192="ERR",1,IF(INT($O192)&lt;&gt;$O192,1,IF(AND(OR($C192="Receipt",$C192="Shipment"),$O192&lt;=0),1,IF(AND($C192="Adjustment",$O192=0),1,0)))),0)</f>
        <v>0</v>
      </c>
      <c r="AO192" s="52">
        <f>IF(AND(COUNTA($A192:$L192)&gt;0,$C192="Receipt",$I192=""),1,0)</f>
        <v>0</v>
      </c>
      <c r="AP192" s="52">
        <f>IF(AND(COUNTA($A192:$L192)&gt;0,$I192&lt;&gt;""),IF(IFERROR(INDEX(Config!$G$15:$G$34,MATCH($I192,Config!$E$15:$E$34,0)),"No")="Yes",0,1),0)</f>
        <v>0</v>
      </c>
      <c r="AQ192" s="52">
        <f>IF(AND(COUNTA($A192:$L192)&gt;0,$C192="Adjustment",$J192=""),1,0)</f>
        <v>0</v>
      </c>
      <c r="AR192" s="52">
        <f>IF(AND(COUNTA($A192:$L192)&gt;0,$L192=""),1,0)</f>
        <v>0</v>
      </c>
      <c r="AS192" s="52">
        <f>IF(AND(COUNTA($A192:$L192)&gt;0,ISNUMBER($S192)),IF($S192&lt;0,1,0),0)</f>
        <v>0</v>
      </c>
      <c r="AT192" s="52">
        <f>$W192</f>
        <v>0</v>
      </c>
      <c r="AU192" s="52">
        <f>$AT192+$X192</f>
        <v>0</v>
      </c>
      <c r="AV192" s="52">
        <f>$AU192+$Y192</f>
        <v>0</v>
      </c>
      <c r="AW192" s="52">
        <f>$AV192+$Z192</f>
        <v>0</v>
      </c>
      <c r="AX192" s="52">
        <f>$AW192+$AA192</f>
        <v>0</v>
      </c>
      <c r="AY192" s="52">
        <f>$AX192+$AB192</f>
        <v>0</v>
      </c>
      <c r="AZ192" s="52">
        <f>$AY192+$AC192</f>
        <v>0</v>
      </c>
      <c r="BA192" s="52">
        <f>$AZ192+$AD192</f>
        <v>0</v>
      </c>
      <c r="BB192" s="52">
        <f>$BA192+$AE192</f>
        <v>0</v>
      </c>
      <c r="BC192" s="52">
        <f>$BB192+$AF192</f>
        <v>0</v>
      </c>
      <c r="BD192" s="52">
        <f>$BC192+$AG192</f>
        <v>0</v>
      </c>
      <c r="BE192" s="52">
        <f>$BD192+$AH192</f>
        <v>0</v>
      </c>
      <c r="BF192" s="52">
        <f>$BE192+$AI192</f>
        <v>0</v>
      </c>
      <c r="BG192" s="52">
        <f>$BF192+$AJ192</f>
        <v>0</v>
      </c>
      <c r="BH192" s="52">
        <f>$BG192+$AK192</f>
        <v>0</v>
      </c>
      <c r="BI192" s="52">
        <f>$BH192+$AL192</f>
        <v>0</v>
      </c>
      <c r="BJ192" s="52">
        <f>$BI192+$AM192</f>
        <v>0</v>
      </c>
      <c r="BK192" s="52">
        <f>$BJ192+$AN192</f>
        <v>0</v>
      </c>
      <c r="BL192" s="52">
        <f>$BK192+$AO192</f>
        <v>0</v>
      </c>
      <c r="BM192" s="52">
        <f>$BL192+$AP192</f>
        <v>0</v>
      </c>
      <c r="BN192" s="52">
        <f>$BM192+$AQ192</f>
        <v>0</v>
      </c>
      <c r="BO192" s="52">
        <f>$BN192+$AR192</f>
        <v>0</v>
      </c>
      <c r="BP192" s="52">
        <f>$BO192+$AS192</f>
        <v>0</v>
      </c>
      <c r="BQ192" s="52">
        <f>SUM($T$1:$T191)</f>
        <v>11</v>
      </c>
      <c r="BR192" s="52" t="str">
        <f>IF(ISNUMBER($T192),IF($T192&gt;0,COUNTIF($T$2:$T192,"&gt;0"),""),"")</f>
        <v/>
      </c>
      <c r="BS192" s="52" t="str">
        <f>IF($BR192="","",$BQ192+$T192)</f>
        <v/>
      </c>
      <c r="BT192" s="52" t="str">
        <f>IF($U192="Ready",COUNTIF($U$2:$U192,"Ready"),"")</f>
        <v/>
      </c>
      <c r="BU192" s="52">
        <f>IF(AND($U192="Ready",$C192="Receipt"),IF(COUNTIF(Batches!$A$2:$A$301,$F192)+COUNTIFS($F$1:$F191,$F192,$C$1:$C191,"Receipt",$U$1:$U191,"Ready")=0,1,0),0)</f>
        <v>0</v>
      </c>
      <c r="BV192" s="52" t="str">
        <f>IF($BU192=1,SUM($BU$2:$BU192),"")</f>
        <v/>
      </c>
    </row>
    <row r="193">
      <c r="A193" s="46" t="n"/>
      <c r="B193" s="46" t="n"/>
      <c r="C193" s="46" t="n"/>
      <c r="D193" s="46" t="n"/>
      <c r="E193" s="46" t="n"/>
      <c r="F193" s="46" t="n"/>
      <c r="G193" s="46" t="n"/>
      <c r="H193" s="46" t="n"/>
      <c r="I193" s="46" t="n"/>
      <c r="J193" s="46" t="n"/>
      <c r="K193" s="46" t="n"/>
      <c r="L193" s="46" t="n"/>
      <c r="M193" s="62" t="str">
        <f>IF($B193="","",IF(ISNUMBER($B193),$B193,IF(AND(LEN($B193)=10,MID($B193,5,1)="-",MID($B193,8,1)="-"),IFERROR(IF(AND(MONTH(DATE(VALUE(LEFT($B193,4)),VALUE(MID($B193,6,2)),VALUE(RIGHT($B193,2))))=VALUE(MID($B193,6,2)),DAY(DATE(VALUE(LEFT($B193,4)),VALUE(MID($B193,6,2)),VALUE(RIGHT($B193,2))))=VALUE(RIGHT($B193,2))),DATE(VALUE(LEFT($B193,4)),VALUE(MID($B193,6,2)),VALUE(RIGHT($B193,2))),"ERR"),"ERR"),"ERR")))</f>
        <v/>
      </c>
      <c r="N193" s="62" t="str">
        <f>IF($G193="","",IF(ISNUMBER($G193),$G193,IF(AND(LEN($G193)=10,MID($G193,5,1)="-",MID($G193,8,1)="-"),IFERROR(IF(AND(MONTH(DATE(VALUE(LEFT($G193,4)),VALUE(MID($G193,6,2)),VALUE(RIGHT($G193,2))))=VALUE(MID($G193,6,2)),DAY(DATE(VALUE(LEFT($G193,4)),VALUE(MID($G193,6,2)),VALUE(RIGHT($G193,2))))=VALUE(RIGHT($G193,2))),DATE(VALUE(LEFT($G193,4)),VALUE(MID($G193,6,2)),VALUE(RIGHT($G193,2))),"ERR"),"ERR"),"ERR")))</f>
        <v/>
      </c>
      <c r="O193" s="51" t="str">
        <f>IF($H193="","",IF(ISNUMBER($H193),$H193,IFERROR(VALUE($H193),"ERR")))</f>
        <v/>
      </c>
      <c r="P193" s="51" t="str">
        <f>IF(AND(ISNUMBER($O193),OR($C193="Receipt",$C193="Shipment",$C193="Adjustment")),IF($C193="Shipment",-$O193,$O193),"")</f>
        <v/>
      </c>
      <c r="Q193" s="51" t="str">
        <f>IF($D193="","",IFERROR(INDEX(Products!$R$2:$R$101,MATCH($D193,Products!$A$2:$A$101,0)),""))</f>
        <v/>
      </c>
      <c r="R193" s="51" t="str">
        <f>IF(OR($Q193="",$P193=""),"",$Q193+SUMIFS($P$1:$P192,$D$1:$D192,$D193,$U$1:$U192,"Ready"))</f>
        <v/>
      </c>
      <c r="S193" s="51" t="str">
        <f>IF($R193="","",$R193+$P193)</f>
        <v/>
      </c>
      <c r="T193" s="52" t="str">
        <f>IF(COUNTA($A193:$L193)&gt;0,$BP193,"")</f>
        <v/>
      </c>
      <c r="U193" s="49" t="str">
        <f>IF($T193="","",IF($T193=0,"Ready","Rejected"))</f>
        <v/>
      </c>
      <c r="V193" s="49" t="str">
        <f>IF(OR($T193="",$T193=0),"",INDEX(Config!$D$39:$D$61,MATCH(1,$AT193:$BP193,0))&amp;IF($T193&gt;1," (+"&amp;($T193-1)&amp;" more)",""))</f>
        <v/>
      </c>
      <c r="W193" s="52">
        <f>IF(AND(COUNTA($A193:$L193)&gt;0,$A193=""),1,0)</f>
        <v>0</v>
      </c>
      <c r="X193" s="52">
        <f>IF(AND(COUNTA($A193:$L193)&gt;0,$A193&lt;&gt;""),IF(COUNTIF($A$1:$A192,$A193)&gt;0,1,0),0)</f>
        <v>0</v>
      </c>
      <c r="Y193" s="52">
        <f>IF(AND(COUNTA($A193:$L193)&gt;0,$A193&lt;&gt;""),IF(COUNTIF(Inventory_Ledger!$A$2:$A$2001,$A193)&gt;0,1,0),0)</f>
        <v>0</v>
      </c>
      <c r="Z193" s="52">
        <f>IF(AND(COUNTA($A193:$L193)&gt;0,$B193=""),1,0)</f>
        <v>0</v>
      </c>
      <c r="AA193" s="52">
        <f>IF(AND(COUNTA($A193:$L193)&gt;0,$B193&lt;&gt;""),IF($M193="ERR",1,0),0)</f>
        <v>0</v>
      </c>
      <c r="AB193" s="52">
        <f>IF(AND(COUNTA($A193:$L193)&gt;0,ISNUMBER($M193)),IF($M193&gt;Config!$B$4,1,0),0)</f>
        <v>0</v>
      </c>
      <c r="AC193" s="52">
        <f>IF(AND(COUNTA($A193:$L193)&gt;0,$C193=""),1,0)</f>
        <v>0</v>
      </c>
      <c r="AD193" s="52">
        <f>IF(AND(COUNTA($A193:$L193)&gt;0,$C193&lt;&gt;""),IF(COUNTIF(Config!$A$15:$A$34,$C193)=0,1,0),0)</f>
        <v>0</v>
      </c>
      <c r="AE193" s="52">
        <f>IF(AND(COUNTA($A193:$L193)&gt;0,$D193=""),1,0)</f>
        <v>0</v>
      </c>
      <c r="AF193" s="52">
        <f>IF(AND(COUNTA($A193:$L193)&gt;0,$D193&lt;&gt;""),IF(COUNTIF(Products!$A$2:$A$101,$D193)=0,1,0),0)</f>
        <v>0</v>
      </c>
      <c r="AG193" s="52">
        <f>IF(AND(COUNTA($A193:$L193)&gt;0,$C193="Receipt",$E193=""),1,0)</f>
        <v>0</v>
      </c>
      <c r="AH193" s="52">
        <f>IF(AND(COUNTA($A193:$L193)&gt;0,$E193&lt;&gt;""),IF(COUNTIF(Suppliers!$A$2:$A$51,$E193)=0,1,0),0)</f>
        <v>0</v>
      </c>
      <c r="AI193" s="52">
        <f>IF(AND(COUNTA($A193:$L193)&gt;0,$F193=""),1,0)</f>
        <v>0</v>
      </c>
      <c r="AJ193" s="52">
        <f>IF(AND(COUNTA($A193:$L193)&gt;0,$F193&lt;&gt;"",$D193&lt;&gt;"",OR($C193="Shipment",$C193="Adjustment")),IF($AF193=1,0,IF(COUNTIFS(Batches!$A$2:$A$301,$F193,Batches!$B$2:$B$301,$D193)+COUNTIFS($F$1:$F192,$F193,$D$1:$D192,$D193,$C$1:$C192,"Receipt")=0,1,0)),0)</f>
        <v>0</v>
      </c>
      <c r="AK193" s="52">
        <f>IF(AND(COUNTA($A193:$L193)&gt;0,$C193="Receipt",$G193=""),1,0)</f>
        <v>0</v>
      </c>
      <c r="AL193" s="52">
        <f>IF(AND(COUNTA($A193:$L193)&gt;0,$G193&lt;&gt;""),IF($N193="ERR",1,0),0)</f>
        <v>0</v>
      </c>
      <c r="AM193" s="52">
        <f>IF(AND(COUNTA($A193:$L193)&gt;0,$H193=""),1,0)</f>
        <v>0</v>
      </c>
      <c r="AN193" s="52">
        <f>IF(AND(COUNTA($A193:$L193)&gt;0,$H193&lt;&gt;""),IF($O193="ERR",1,IF(INT($O193)&lt;&gt;$O193,1,IF(AND(OR($C193="Receipt",$C193="Shipment"),$O193&lt;=0),1,IF(AND($C193="Adjustment",$O193=0),1,0)))),0)</f>
        <v>0</v>
      </c>
      <c r="AO193" s="52">
        <f>IF(AND(COUNTA($A193:$L193)&gt;0,$C193="Receipt",$I193=""),1,0)</f>
        <v>0</v>
      </c>
      <c r="AP193" s="52">
        <f>IF(AND(COUNTA($A193:$L193)&gt;0,$I193&lt;&gt;""),IF(IFERROR(INDEX(Config!$G$15:$G$34,MATCH($I193,Config!$E$15:$E$34,0)),"No")="Yes",0,1),0)</f>
        <v>0</v>
      </c>
      <c r="AQ193" s="52">
        <f>IF(AND(COUNTA($A193:$L193)&gt;0,$C193="Adjustment",$J193=""),1,0)</f>
        <v>0</v>
      </c>
      <c r="AR193" s="52">
        <f>IF(AND(COUNTA($A193:$L193)&gt;0,$L193=""),1,0)</f>
        <v>0</v>
      </c>
      <c r="AS193" s="52">
        <f>IF(AND(COUNTA($A193:$L193)&gt;0,ISNUMBER($S193)),IF($S193&lt;0,1,0),0)</f>
        <v>0</v>
      </c>
      <c r="AT193" s="52">
        <f>$W193</f>
        <v>0</v>
      </c>
      <c r="AU193" s="52">
        <f>$AT193+$X193</f>
        <v>0</v>
      </c>
      <c r="AV193" s="52">
        <f>$AU193+$Y193</f>
        <v>0</v>
      </c>
      <c r="AW193" s="52">
        <f>$AV193+$Z193</f>
        <v>0</v>
      </c>
      <c r="AX193" s="52">
        <f>$AW193+$AA193</f>
        <v>0</v>
      </c>
      <c r="AY193" s="52">
        <f>$AX193+$AB193</f>
        <v>0</v>
      </c>
      <c r="AZ193" s="52">
        <f>$AY193+$AC193</f>
        <v>0</v>
      </c>
      <c r="BA193" s="52">
        <f>$AZ193+$AD193</f>
        <v>0</v>
      </c>
      <c r="BB193" s="52">
        <f>$BA193+$AE193</f>
        <v>0</v>
      </c>
      <c r="BC193" s="52">
        <f>$BB193+$AF193</f>
        <v>0</v>
      </c>
      <c r="BD193" s="52">
        <f>$BC193+$AG193</f>
        <v>0</v>
      </c>
      <c r="BE193" s="52">
        <f>$BD193+$AH193</f>
        <v>0</v>
      </c>
      <c r="BF193" s="52">
        <f>$BE193+$AI193</f>
        <v>0</v>
      </c>
      <c r="BG193" s="52">
        <f>$BF193+$AJ193</f>
        <v>0</v>
      </c>
      <c r="BH193" s="52">
        <f>$BG193+$AK193</f>
        <v>0</v>
      </c>
      <c r="BI193" s="52">
        <f>$BH193+$AL193</f>
        <v>0</v>
      </c>
      <c r="BJ193" s="52">
        <f>$BI193+$AM193</f>
        <v>0</v>
      </c>
      <c r="BK193" s="52">
        <f>$BJ193+$AN193</f>
        <v>0</v>
      </c>
      <c r="BL193" s="52">
        <f>$BK193+$AO193</f>
        <v>0</v>
      </c>
      <c r="BM193" s="52">
        <f>$BL193+$AP193</f>
        <v>0</v>
      </c>
      <c r="BN193" s="52">
        <f>$BM193+$AQ193</f>
        <v>0</v>
      </c>
      <c r="BO193" s="52">
        <f>$BN193+$AR193</f>
        <v>0</v>
      </c>
      <c r="BP193" s="52">
        <f>$BO193+$AS193</f>
        <v>0</v>
      </c>
      <c r="BQ193" s="52">
        <f>SUM($T$1:$T192)</f>
        <v>11</v>
      </c>
      <c r="BR193" s="52" t="str">
        <f>IF(ISNUMBER($T193),IF($T193&gt;0,COUNTIF($T$2:$T193,"&gt;0"),""),"")</f>
        <v/>
      </c>
      <c r="BS193" s="52" t="str">
        <f>IF($BR193="","",$BQ193+$T193)</f>
        <v/>
      </c>
      <c r="BT193" s="52" t="str">
        <f>IF($U193="Ready",COUNTIF($U$2:$U193,"Ready"),"")</f>
        <v/>
      </c>
      <c r="BU193" s="52">
        <f>IF(AND($U193="Ready",$C193="Receipt"),IF(COUNTIF(Batches!$A$2:$A$301,$F193)+COUNTIFS($F$1:$F192,$F193,$C$1:$C192,"Receipt",$U$1:$U192,"Ready")=0,1,0),0)</f>
        <v>0</v>
      </c>
      <c r="BV193" s="52" t="str">
        <f>IF($BU193=1,SUM($BU$2:$BU193),"")</f>
        <v/>
      </c>
    </row>
    <row r="194">
      <c r="A194" s="46" t="n"/>
      <c r="B194" s="46" t="n"/>
      <c r="C194" s="46" t="n"/>
      <c r="D194" s="46" t="n"/>
      <c r="E194" s="46" t="n"/>
      <c r="F194" s="46" t="n"/>
      <c r="G194" s="46" t="n"/>
      <c r="H194" s="46" t="n"/>
      <c r="I194" s="46" t="n"/>
      <c r="J194" s="46" t="n"/>
      <c r="K194" s="46" t="n"/>
      <c r="L194" s="46" t="n"/>
      <c r="M194" s="62" t="str">
        <f>IF($B194="","",IF(ISNUMBER($B194),$B194,IF(AND(LEN($B194)=10,MID($B194,5,1)="-",MID($B194,8,1)="-"),IFERROR(IF(AND(MONTH(DATE(VALUE(LEFT($B194,4)),VALUE(MID($B194,6,2)),VALUE(RIGHT($B194,2))))=VALUE(MID($B194,6,2)),DAY(DATE(VALUE(LEFT($B194,4)),VALUE(MID($B194,6,2)),VALUE(RIGHT($B194,2))))=VALUE(RIGHT($B194,2))),DATE(VALUE(LEFT($B194,4)),VALUE(MID($B194,6,2)),VALUE(RIGHT($B194,2))),"ERR"),"ERR"),"ERR")))</f>
        <v/>
      </c>
      <c r="N194" s="62" t="str">
        <f>IF($G194="","",IF(ISNUMBER($G194),$G194,IF(AND(LEN($G194)=10,MID($G194,5,1)="-",MID($G194,8,1)="-"),IFERROR(IF(AND(MONTH(DATE(VALUE(LEFT($G194,4)),VALUE(MID($G194,6,2)),VALUE(RIGHT($G194,2))))=VALUE(MID($G194,6,2)),DAY(DATE(VALUE(LEFT($G194,4)),VALUE(MID($G194,6,2)),VALUE(RIGHT($G194,2))))=VALUE(RIGHT($G194,2))),DATE(VALUE(LEFT($G194,4)),VALUE(MID($G194,6,2)),VALUE(RIGHT($G194,2))),"ERR"),"ERR"),"ERR")))</f>
        <v/>
      </c>
      <c r="O194" s="51" t="str">
        <f>IF($H194="","",IF(ISNUMBER($H194),$H194,IFERROR(VALUE($H194),"ERR")))</f>
        <v/>
      </c>
      <c r="P194" s="51" t="str">
        <f>IF(AND(ISNUMBER($O194),OR($C194="Receipt",$C194="Shipment",$C194="Adjustment")),IF($C194="Shipment",-$O194,$O194),"")</f>
        <v/>
      </c>
      <c r="Q194" s="51" t="str">
        <f>IF($D194="","",IFERROR(INDEX(Products!$R$2:$R$101,MATCH($D194,Products!$A$2:$A$101,0)),""))</f>
        <v/>
      </c>
      <c r="R194" s="51" t="str">
        <f>IF(OR($Q194="",$P194=""),"",$Q194+SUMIFS($P$1:$P193,$D$1:$D193,$D194,$U$1:$U193,"Ready"))</f>
        <v/>
      </c>
      <c r="S194" s="51" t="str">
        <f>IF($R194="","",$R194+$P194)</f>
        <v/>
      </c>
      <c r="T194" s="52" t="str">
        <f>IF(COUNTA($A194:$L194)&gt;0,$BP194,"")</f>
        <v/>
      </c>
      <c r="U194" s="49" t="str">
        <f>IF($T194="","",IF($T194=0,"Ready","Rejected"))</f>
        <v/>
      </c>
      <c r="V194" s="49" t="str">
        <f>IF(OR($T194="",$T194=0),"",INDEX(Config!$D$39:$D$61,MATCH(1,$AT194:$BP194,0))&amp;IF($T194&gt;1," (+"&amp;($T194-1)&amp;" more)",""))</f>
        <v/>
      </c>
      <c r="W194" s="52">
        <f>IF(AND(COUNTA($A194:$L194)&gt;0,$A194=""),1,0)</f>
        <v>0</v>
      </c>
      <c r="X194" s="52">
        <f>IF(AND(COUNTA($A194:$L194)&gt;0,$A194&lt;&gt;""),IF(COUNTIF($A$1:$A193,$A194)&gt;0,1,0),0)</f>
        <v>0</v>
      </c>
      <c r="Y194" s="52">
        <f>IF(AND(COUNTA($A194:$L194)&gt;0,$A194&lt;&gt;""),IF(COUNTIF(Inventory_Ledger!$A$2:$A$2001,$A194)&gt;0,1,0),0)</f>
        <v>0</v>
      </c>
      <c r="Z194" s="52">
        <f>IF(AND(COUNTA($A194:$L194)&gt;0,$B194=""),1,0)</f>
        <v>0</v>
      </c>
      <c r="AA194" s="52">
        <f>IF(AND(COUNTA($A194:$L194)&gt;0,$B194&lt;&gt;""),IF($M194="ERR",1,0),0)</f>
        <v>0</v>
      </c>
      <c r="AB194" s="52">
        <f>IF(AND(COUNTA($A194:$L194)&gt;0,ISNUMBER($M194)),IF($M194&gt;Config!$B$4,1,0),0)</f>
        <v>0</v>
      </c>
      <c r="AC194" s="52">
        <f>IF(AND(COUNTA($A194:$L194)&gt;0,$C194=""),1,0)</f>
        <v>0</v>
      </c>
      <c r="AD194" s="52">
        <f>IF(AND(COUNTA($A194:$L194)&gt;0,$C194&lt;&gt;""),IF(COUNTIF(Config!$A$15:$A$34,$C194)=0,1,0),0)</f>
        <v>0</v>
      </c>
      <c r="AE194" s="52">
        <f>IF(AND(COUNTA($A194:$L194)&gt;0,$D194=""),1,0)</f>
        <v>0</v>
      </c>
      <c r="AF194" s="52">
        <f>IF(AND(COUNTA($A194:$L194)&gt;0,$D194&lt;&gt;""),IF(COUNTIF(Products!$A$2:$A$101,$D194)=0,1,0),0)</f>
        <v>0</v>
      </c>
      <c r="AG194" s="52">
        <f>IF(AND(COUNTA($A194:$L194)&gt;0,$C194="Receipt",$E194=""),1,0)</f>
        <v>0</v>
      </c>
      <c r="AH194" s="52">
        <f>IF(AND(COUNTA($A194:$L194)&gt;0,$E194&lt;&gt;""),IF(COUNTIF(Suppliers!$A$2:$A$51,$E194)=0,1,0),0)</f>
        <v>0</v>
      </c>
      <c r="AI194" s="52">
        <f>IF(AND(COUNTA($A194:$L194)&gt;0,$F194=""),1,0)</f>
        <v>0</v>
      </c>
      <c r="AJ194" s="52">
        <f>IF(AND(COUNTA($A194:$L194)&gt;0,$F194&lt;&gt;"",$D194&lt;&gt;"",OR($C194="Shipment",$C194="Adjustment")),IF($AF194=1,0,IF(COUNTIFS(Batches!$A$2:$A$301,$F194,Batches!$B$2:$B$301,$D194)+COUNTIFS($F$1:$F193,$F194,$D$1:$D193,$D194,$C$1:$C193,"Receipt")=0,1,0)),0)</f>
        <v>0</v>
      </c>
      <c r="AK194" s="52">
        <f>IF(AND(COUNTA($A194:$L194)&gt;0,$C194="Receipt",$G194=""),1,0)</f>
        <v>0</v>
      </c>
      <c r="AL194" s="52">
        <f>IF(AND(COUNTA($A194:$L194)&gt;0,$G194&lt;&gt;""),IF($N194="ERR",1,0),0)</f>
        <v>0</v>
      </c>
      <c r="AM194" s="52">
        <f>IF(AND(COUNTA($A194:$L194)&gt;0,$H194=""),1,0)</f>
        <v>0</v>
      </c>
      <c r="AN194" s="52">
        <f>IF(AND(COUNTA($A194:$L194)&gt;0,$H194&lt;&gt;""),IF($O194="ERR",1,IF(INT($O194)&lt;&gt;$O194,1,IF(AND(OR($C194="Receipt",$C194="Shipment"),$O194&lt;=0),1,IF(AND($C194="Adjustment",$O194=0),1,0)))),0)</f>
        <v>0</v>
      </c>
      <c r="AO194" s="52">
        <f>IF(AND(COUNTA($A194:$L194)&gt;0,$C194="Receipt",$I194=""),1,0)</f>
        <v>0</v>
      </c>
      <c r="AP194" s="52">
        <f>IF(AND(COUNTA($A194:$L194)&gt;0,$I194&lt;&gt;""),IF(IFERROR(INDEX(Config!$G$15:$G$34,MATCH($I194,Config!$E$15:$E$34,0)),"No")="Yes",0,1),0)</f>
        <v>0</v>
      </c>
      <c r="AQ194" s="52">
        <f>IF(AND(COUNTA($A194:$L194)&gt;0,$C194="Adjustment",$J194=""),1,0)</f>
        <v>0</v>
      </c>
      <c r="AR194" s="52">
        <f>IF(AND(COUNTA($A194:$L194)&gt;0,$L194=""),1,0)</f>
        <v>0</v>
      </c>
      <c r="AS194" s="52">
        <f>IF(AND(COUNTA($A194:$L194)&gt;0,ISNUMBER($S194)),IF($S194&lt;0,1,0),0)</f>
        <v>0</v>
      </c>
      <c r="AT194" s="52">
        <f>$W194</f>
        <v>0</v>
      </c>
      <c r="AU194" s="52">
        <f>$AT194+$X194</f>
        <v>0</v>
      </c>
      <c r="AV194" s="52">
        <f>$AU194+$Y194</f>
        <v>0</v>
      </c>
      <c r="AW194" s="52">
        <f>$AV194+$Z194</f>
        <v>0</v>
      </c>
      <c r="AX194" s="52">
        <f>$AW194+$AA194</f>
        <v>0</v>
      </c>
      <c r="AY194" s="52">
        <f>$AX194+$AB194</f>
        <v>0</v>
      </c>
      <c r="AZ194" s="52">
        <f>$AY194+$AC194</f>
        <v>0</v>
      </c>
      <c r="BA194" s="52">
        <f>$AZ194+$AD194</f>
        <v>0</v>
      </c>
      <c r="BB194" s="52">
        <f>$BA194+$AE194</f>
        <v>0</v>
      </c>
      <c r="BC194" s="52">
        <f>$BB194+$AF194</f>
        <v>0</v>
      </c>
      <c r="BD194" s="52">
        <f>$BC194+$AG194</f>
        <v>0</v>
      </c>
      <c r="BE194" s="52">
        <f>$BD194+$AH194</f>
        <v>0</v>
      </c>
      <c r="BF194" s="52">
        <f>$BE194+$AI194</f>
        <v>0</v>
      </c>
      <c r="BG194" s="52">
        <f>$BF194+$AJ194</f>
        <v>0</v>
      </c>
      <c r="BH194" s="52">
        <f>$BG194+$AK194</f>
        <v>0</v>
      </c>
      <c r="BI194" s="52">
        <f>$BH194+$AL194</f>
        <v>0</v>
      </c>
      <c r="BJ194" s="52">
        <f>$BI194+$AM194</f>
        <v>0</v>
      </c>
      <c r="BK194" s="52">
        <f>$BJ194+$AN194</f>
        <v>0</v>
      </c>
      <c r="BL194" s="52">
        <f>$BK194+$AO194</f>
        <v>0</v>
      </c>
      <c r="BM194" s="52">
        <f>$BL194+$AP194</f>
        <v>0</v>
      </c>
      <c r="BN194" s="52">
        <f>$BM194+$AQ194</f>
        <v>0</v>
      </c>
      <c r="BO194" s="52">
        <f>$BN194+$AR194</f>
        <v>0</v>
      </c>
      <c r="BP194" s="52">
        <f>$BO194+$AS194</f>
        <v>0</v>
      </c>
      <c r="BQ194" s="52">
        <f>SUM($T$1:$T193)</f>
        <v>11</v>
      </c>
      <c r="BR194" s="52" t="str">
        <f>IF(ISNUMBER($T194),IF($T194&gt;0,COUNTIF($T$2:$T194,"&gt;0"),""),"")</f>
        <v/>
      </c>
      <c r="BS194" s="52" t="str">
        <f>IF($BR194="","",$BQ194+$T194)</f>
        <v/>
      </c>
      <c r="BT194" s="52" t="str">
        <f>IF($U194="Ready",COUNTIF($U$2:$U194,"Ready"),"")</f>
        <v/>
      </c>
      <c r="BU194" s="52">
        <f>IF(AND($U194="Ready",$C194="Receipt"),IF(COUNTIF(Batches!$A$2:$A$301,$F194)+COUNTIFS($F$1:$F193,$F194,$C$1:$C193,"Receipt",$U$1:$U193,"Ready")=0,1,0),0)</f>
        <v>0</v>
      </c>
      <c r="BV194" s="52" t="str">
        <f>IF($BU194=1,SUM($BU$2:$BU194),"")</f>
        <v/>
      </c>
    </row>
    <row r="195">
      <c r="A195" s="46" t="n"/>
      <c r="B195" s="46" t="n"/>
      <c r="C195" s="46" t="n"/>
      <c r="D195" s="46" t="n"/>
      <c r="E195" s="46" t="n"/>
      <c r="F195" s="46" t="n"/>
      <c r="G195" s="46" t="n"/>
      <c r="H195" s="46" t="n"/>
      <c r="I195" s="46" t="n"/>
      <c r="J195" s="46" t="n"/>
      <c r="K195" s="46" t="n"/>
      <c r="L195" s="46" t="n"/>
      <c r="M195" s="62" t="str">
        <f>IF($B195="","",IF(ISNUMBER($B195),$B195,IF(AND(LEN($B195)=10,MID($B195,5,1)="-",MID($B195,8,1)="-"),IFERROR(IF(AND(MONTH(DATE(VALUE(LEFT($B195,4)),VALUE(MID($B195,6,2)),VALUE(RIGHT($B195,2))))=VALUE(MID($B195,6,2)),DAY(DATE(VALUE(LEFT($B195,4)),VALUE(MID($B195,6,2)),VALUE(RIGHT($B195,2))))=VALUE(RIGHT($B195,2))),DATE(VALUE(LEFT($B195,4)),VALUE(MID($B195,6,2)),VALUE(RIGHT($B195,2))),"ERR"),"ERR"),"ERR")))</f>
        <v/>
      </c>
      <c r="N195" s="62" t="str">
        <f>IF($G195="","",IF(ISNUMBER($G195),$G195,IF(AND(LEN($G195)=10,MID($G195,5,1)="-",MID($G195,8,1)="-"),IFERROR(IF(AND(MONTH(DATE(VALUE(LEFT($G195,4)),VALUE(MID($G195,6,2)),VALUE(RIGHT($G195,2))))=VALUE(MID($G195,6,2)),DAY(DATE(VALUE(LEFT($G195,4)),VALUE(MID($G195,6,2)),VALUE(RIGHT($G195,2))))=VALUE(RIGHT($G195,2))),DATE(VALUE(LEFT($G195,4)),VALUE(MID($G195,6,2)),VALUE(RIGHT($G195,2))),"ERR"),"ERR"),"ERR")))</f>
        <v/>
      </c>
      <c r="O195" s="51" t="str">
        <f>IF($H195="","",IF(ISNUMBER($H195),$H195,IFERROR(VALUE($H195),"ERR")))</f>
        <v/>
      </c>
      <c r="P195" s="51" t="str">
        <f>IF(AND(ISNUMBER($O195),OR($C195="Receipt",$C195="Shipment",$C195="Adjustment")),IF($C195="Shipment",-$O195,$O195),"")</f>
        <v/>
      </c>
      <c r="Q195" s="51" t="str">
        <f>IF($D195="","",IFERROR(INDEX(Products!$R$2:$R$101,MATCH($D195,Products!$A$2:$A$101,0)),""))</f>
        <v/>
      </c>
      <c r="R195" s="51" t="str">
        <f>IF(OR($Q195="",$P195=""),"",$Q195+SUMIFS($P$1:$P194,$D$1:$D194,$D195,$U$1:$U194,"Ready"))</f>
        <v/>
      </c>
      <c r="S195" s="51" t="str">
        <f>IF($R195="","",$R195+$P195)</f>
        <v/>
      </c>
      <c r="T195" s="52" t="str">
        <f>IF(COUNTA($A195:$L195)&gt;0,$BP195,"")</f>
        <v/>
      </c>
      <c r="U195" s="49" t="str">
        <f>IF($T195="","",IF($T195=0,"Ready","Rejected"))</f>
        <v/>
      </c>
      <c r="V195" s="49" t="str">
        <f>IF(OR($T195="",$T195=0),"",INDEX(Config!$D$39:$D$61,MATCH(1,$AT195:$BP195,0))&amp;IF($T195&gt;1," (+"&amp;($T195-1)&amp;" more)",""))</f>
        <v/>
      </c>
      <c r="W195" s="52">
        <f>IF(AND(COUNTA($A195:$L195)&gt;0,$A195=""),1,0)</f>
        <v>0</v>
      </c>
      <c r="X195" s="52">
        <f>IF(AND(COUNTA($A195:$L195)&gt;0,$A195&lt;&gt;""),IF(COUNTIF($A$1:$A194,$A195)&gt;0,1,0),0)</f>
        <v>0</v>
      </c>
      <c r="Y195" s="52">
        <f>IF(AND(COUNTA($A195:$L195)&gt;0,$A195&lt;&gt;""),IF(COUNTIF(Inventory_Ledger!$A$2:$A$2001,$A195)&gt;0,1,0),0)</f>
        <v>0</v>
      </c>
      <c r="Z195" s="52">
        <f>IF(AND(COUNTA($A195:$L195)&gt;0,$B195=""),1,0)</f>
        <v>0</v>
      </c>
      <c r="AA195" s="52">
        <f>IF(AND(COUNTA($A195:$L195)&gt;0,$B195&lt;&gt;""),IF($M195="ERR",1,0),0)</f>
        <v>0</v>
      </c>
      <c r="AB195" s="52">
        <f>IF(AND(COUNTA($A195:$L195)&gt;0,ISNUMBER($M195)),IF($M195&gt;Config!$B$4,1,0),0)</f>
        <v>0</v>
      </c>
      <c r="AC195" s="52">
        <f>IF(AND(COUNTA($A195:$L195)&gt;0,$C195=""),1,0)</f>
        <v>0</v>
      </c>
      <c r="AD195" s="52">
        <f>IF(AND(COUNTA($A195:$L195)&gt;0,$C195&lt;&gt;""),IF(COUNTIF(Config!$A$15:$A$34,$C195)=0,1,0),0)</f>
        <v>0</v>
      </c>
      <c r="AE195" s="52">
        <f>IF(AND(COUNTA($A195:$L195)&gt;0,$D195=""),1,0)</f>
        <v>0</v>
      </c>
      <c r="AF195" s="52">
        <f>IF(AND(COUNTA($A195:$L195)&gt;0,$D195&lt;&gt;""),IF(COUNTIF(Products!$A$2:$A$101,$D195)=0,1,0),0)</f>
        <v>0</v>
      </c>
      <c r="AG195" s="52">
        <f>IF(AND(COUNTA($A195:$L195)&gt;0,$C195="Receipt",$E195=""),1,0)</f>
        <v>0</v>
      </c>
      <c r="AH195" s="52">
        <f>IF(AND(COUNTA($A195:$L195)&gt;0,$E195&lt;&gt;""),IF(COUNTIF(Suppliers!$A$2:$A$51,$E195)=0,1,0),0)</f>
        <v>0</v>
      </c>
      <c r="AI195" s="52">
        <f>IF(AND(COUNTA($A195:$L195)&gt;0,$F195=""),1,0)</f>
        <v>0</v>
      </c>
      <c r="AJ195" s="52">
        <f>IF(AND(COUNTA($A195:$L195)&gt;0,$F195&lt;&gt;"",$D195&lt;&gt;"",OR($C195="Shipment",$C195="Adjustment")),IF($AF195=1,0,IF(COUNTIFS(Batches!$A$2:$A$301,$F195,Batches!$B$2:$B$301,$D195)+COUNTIFS($F$1:$F194,$F195,$D$1:$D194,$D195,$C$1:$C194,"Receipt")=0,1,0)),0)</f>
        <v>0</v>
      </c>
      <c r="AK195" s="52">
        <f>IF(AND(COUNTA($A195:$L195)&gt;0,$C195="Receipt",$G195=""),1,0)</f>
        <v>0</v>
      </c>
      <c r="AL195" s="52">
        <f>IF(AND(COUNTA($A195:$L195)&gt;0,$G195&lt;&gt;""),IF($N195="ERR",1,0),0)</f>
        <v>0</v>
      </c>
      <c r="AM195" s="52">
        <f>IF(AND(COUNTA($A195:$L195)&gt;0,$H195=""),1,0)</f>
        <v>0</v>
      </c>
      <c r="AN195" s="52">
        <f>IF(AND(COUNTA($A195:$L195)&gt;0,$H195&lt;&gt;""),IF($O195="ERR",1,IF(INT($O195)&lt;&gt;$O195,1,IF(AND(OR($C195="Receipt",$C195="Shipment"),$O195&lt;=0),1,IF(AND($C195="Adjustment",$O195=0),1,0)))),0)</f>
        <v>0</v>
      </c>
      <c r="AO195" s="52">
        <f>IF(AND(COUNTA($A195:$L195)&gt;0,$C195="Receipt",$I195=""),1,0)</f>
        <v>0</v>
      </c>
      <c r="AP195" s="52">
        <f>IF(AND(COUNTA($A195:$L195)&gt;0,$I195&lt;&gt;""),IF(IFERROR(INDEX(Config!$G$15:$G$34,MATCH($I195,Config!$E$15:$E$34,0)),"No")="Yes",0,1),0)</f>
        <v>0</v>
      </c>
      <c r="AQ195" s="52">
        <f>IF(AND(COUNTA($A195:$L195)&gt;0,$C195="Adjustment",$J195=""),1,0)</f>
        <v>0</v>
      </c>
      <c r="AR195" s="52">
        <f>IF(AND(COUNTA($A195:$L195)&gt;0,$L195=""),1,0)</f>
        <v>0</v>
      </c>
      <c r="AS195" s="52">
        <f>IF(AND(COUNTA($A195:$L195)&gt;0,ISNUMBER($S195)),IF($S195&lt;0,1,0),0)</f>
        <v>0</v>
      </c>
      <c r="AT195" s="52">
        <f>$W195</f>
        <v>0</v>
      </c>
      <c r="AU195" s="52">
        <f>$AT195+$X195</f>
        <v>0</v>
      </c>
      <c r="AV195" s="52">
        <f>$AU195+$Y195</f>
        <v>0</v>
      </c>
      <c r="AW195" s="52">
        <f>$AV195+$Z195</f>
        <v>0</v>
      </c>
      <c r="AX195" s="52">
        <f>$AW195+$AA195</f>
        <v>0</v>
      </c>
      <c r="AY195" s="52">
        <f>$AX195+$AB195</f>
        <v>0</v>
      </c>
      <c r="AZ195" s="52">
        <f>$AY195+$AC195</f>
        <v>0</v>
      </c>
      <c r="BA195" s="52">
        <f>$AZ195+$AD195</f>
        <v>0</v>
      </c>
      <c r="BB195" s="52">
        <f>$BA195+$AE195</f>
        <v>0</v>
      </c>
      <c r="BC195" s="52">
        <f>$BB195+$AF195</f>
        <v>0</v>
      </c>
      <c r="BD195" s="52">
        <f>$BC195+$AG195</f>
        <v>0</v>
      </c>
      <c r="BE195" s="52">
        <f>$BD195+$AH195</f>
        <v>0</v>
      </c>
      <c r="BF195" s="52">
        <f>$BE195+$AI195</f>
        <v>0</v>
      </c>
      <c r="BG195" s="52">
        <f>$BF195+$AJ195</f>
        <v>0</v>
      </c>
      <c r="BH195" s="52">
        <f>$BG195+$AK195</f>
        <v>0</v>
      </c>
      <c r="BI195" s="52">
        <f>$BH195+$AL195</f>
        <v>0</v>
      </c>
      <c r="BJ195" s="52">
        <f>$BI195+$AM195</f>
        <v>0</v>
      </c>
      <c r="BK195" s="52">
        <f>$BJ195+$AN195</f>
        <v>0</v>
      </c>
      <c r="BL195" s="52">
        <f>$BK195+$AO195</f>
        <v>0</v>
      </c>
      <c r="BM195" s="52">
        <f>$BL195+$AP195</f>
        <v>0</v>
      </c>
      <c r="BN195" s="52">
        <f>$BM195+$AQ195</f>
        <v>0</v>
      </c>
      <c r="BO195" s="52">
        <f>$BN195+$AR195</f>
        <v>0</v>
      </c>
      <c r="BP195" s="52">
        <f>$BO195+$AS195</f>
        <v>0</v>
      </c>
      <c r="BQ195" s="52">
        <f>SUM($T$1:$T194)</f>
        <v>11</v>
      </c>
      <c r="BR195" s="52" t="str">
        <f>IF(ISNUMBER($T195),IF($T195&gt;0,COUNTIF($T$2:$T195,"&gt;0"),""),"")</f>
        <v/>
      </c>
      <c r="BS195" s="52" t="str">
        <f>IF($BR195="","",$BQ195+$T195)</f>
        <v/>
      </c>
      <c r="BT195" s="52" t="str">
        <f>IF($U195="Ready",COUNTIF($U$2:$U195,"Ready"),"")</f>
        <v/>
      </c>
      <c r="BU195" s="52">
        <f>IF(AND($U195="Ready",$C195="Receipt"),IF(COUNTIF(Batches!$A$2:$A$301,$F195)+COUNTIFS($F$1:$F194,$F195,$C$1:$C194,"Receipt",$U$1:$U194,"Ready")=0,1,0),0)</f>
        <v>0</v>
      </c>
      <c r="BV195" s="52" t="str">
        <f>IF($BU195=1,SUM($BU$2:$BU195),"")</f>
        <v/>
      </c>
    </row>
    <row r="196">
      <c r="A196" s="46" t="n"/>
      <c r="B196" s="46" t="n"/>
      <c r="C196" s="46" t="n"/>
      <c r="D196" s="46" t="n"/>
      <c r="E196" s="46" t="n"/>
      <c r="F196" s="46" t="n"/>
      <c r="G196" s="46" t="n"/>
      <c r="H196" s="46" t="n"/>
      <c r="I196" s="46" t="n"/>
      <c r="J196" s="46" t="n"/>
      <c r="K196" s="46" t="n"/>
      <c r="L196" s="46" t="n"/>
      <c r="M196" s="62" t="str">
        <f>IF($B196="","",IF(ISNUMBER($B196),$B196,IF(AND(LEN($B196)=10,MID($B196,5,1)="-",MID($B196,8,1)="-"),IFERROR(IF(AND(MONTH(DATE(VALUE(LEFT($B196,4)),VALUE(MID($B196,6,2)),VALUE(RIGHT($B196,2))))=VALUE(MID($B196,6,2)),DAY(DATE(VALUE(LEFT($B196,4)),VALUE(MID($B196,6,2)),VALUE(RIGHT($B196,2))))=VALUE(RIGHT($B196,2))),DATE(VALUE(LEFT($B196,4)),VALUE(MID($B196,6,2)),VALUE(RIGHT($B196,2))),"ERR"),"ERR"),"ERR")))</f>
        <v/>
      </c>
      <c r="N196" s="62" t="str">
        <f>IF($G196="","",IF(ISNUMBER($G196),$G196,IF(AND(LEN($G196)=10,MID($G196,5,1)="-",MID($G196,8,1)="-"),IFERROR(IF(AND(MONTH(DATE(VALUE(LEFT($G196,4)),VALUE(MID($G196,6,2)),VALUE(RIGHT($G196,2))))=VALUE(MID($G196,6,2)),DAY(DATE(VALUE(LEFT($G196,4)),VALUE(MID($G196,6,2)),VALUE(RIGHT($G196,2))))=VALUE(RIGHT($G196,2))),DATE(VALUE(LEFT($G196,4)),VALUE(MID($G196,6,2)),VALUE(RIGHT($G196,2))),"ERR"),"ERR"),"ERR")))</f>
        <v/>
      </c>
      <c r="O196" s="51" t="str">
        <f>IF($H196="","",IF(ISNUMBER($H196),$H196,IFERROR(VALUE($H196),"ERR")))</f>
        <v/>
      </c>
      <c r="P196" s="51" t="str">
        <f>IF(AND(ISNUMBER($O196),OR($C196="Receipt",$C196="Shipment",$C196="Adjustment")),IF($C196="Shipment",-$O196,$O196),"")</f>
        <v/>
      </c>
      <c r="Q196" s="51" t="str">
        <f>IF($D196="","",IFERROR(INDEX(Products!$R$2:$R$101,MATCH($D196,Products!$A$2:$A$101,0)),""))</f>
        <v/>
      </c>
      <c r="R196" s="51" t="str">
        <f>IF(OR($Q196="",$P196=""),"",$Q196+SUMIFS($P$1:$P195,$D$1:$D195,$D196,$U$1:$U195,"Ready"))</f>
        <v/>
      </c>
      <c r="S196" s="51" t="str">
        <f>IF($R196="","",$R196+$P196)</f>
        <v/>
      </c>
      <c r="T196" s="52" t="str">
        <f>IF(COUNTA($A196:$L196)&gt;0,$BP196,"")</f>
        <v/>
      </c>
      <c r="U196" s="49" t="str">
        <f>IF($T196="","",IF($T196=0,"Ready","Rejected"))</f>
        <v/>
      </c>
      <c r="V196" s="49" t="str">
        <f>IF(OR($T196="",$T196=0),"",INDEX(Config!$D$39:$D$61,MATCH(1,$AT196:$BP196,0))&amp;IF($T196&gt;1," (+"&amp;($T196-1)&amp;" more)",""))</f>
        <v/>
      </c>
      <c r="W196" s="52">
        <f>IF(AND(COUNTA($A196:$L196)&gt;0,$A196=""),1,0)</f>
        <v>0</v>
      </c>
      <c r="X196" s="52">
        <f>IF(AND(COUNTA($A196:$L196)&gt;0,$A196&lt;&gt;""),IF(COUNTIF($A$1:$A195,$A196)&gt;0,1,0),0)</f>
        <v>0</v>
      </c>
      <c r="Y196" s="52">
        <f>IF(AND(COUNTA($A196:$L196)&gt;0,$A196&lt;&gt;""),IF(COUNTIF(Inventory_Ledger!$A$2:$A$2001,$A196)&gt;0,1,0),0)</f>
        <v>0</v>
      </c>
      <c r="Z196" s="52">
        <f>IF(AND(COUNTA($A196:$L196)&gt;0,$B196=""),1,0)</f>
        <v>0</v>
      </c>
      <c r="AA196" s="52">
        <f>IF(AND(COUNTA($A196:$L196)&gt;0,$B196&lt;&gt;""),IF($M196="ERR",1,0),0)</f>
        <v>0</v>
      </c>
      <c r="AB196" s="52">
        <f>IF(AND(COUNTA($A196:$L196)&gt;0,ISNUMBER($M196)),IF($M196&gt;Config!$B$4,1,0),0)</f>
        <v>0</v>
      </c>
      <c r="AC196" s="52">
        <f>IF(AND(COUNTA($A196:$L196)&gt;0,$C196=""),1,0)</f>
        <v>0</v>
      </c>
      <c r="AD196" s="52">
        <f>IF(AND(COUNTA($A196:$L196)&gt;0,$C196&lt;&gt;""),IF(COUNTIF(Config!$A$15:$A$34,$C196)=0,1,0),0)</f>
        <v>0</v>
      </c>
      <c r="AE196" s="52">
        <f>IF(AND(COUNTA($A196:$L196)&gt;0,$D196=""),1,0)</f>
        <v>0</v>
      </c>
      <c r="AF196" s="52">
        <f>IF(AND(COUNTA($A196:$L196)&gt;0,$D196&lt;&gt;""),IF(COUNTIF(Products!$A$2:$A$101,$D196)=0,1,0),0)</f>
        <v>0</v>
      </c>
      <c r="AG196" s="52">
        <f>IF(AND(COUNTA($A196:$L196)&gt;0,$C196="Receipt",$E196=""),1,0)</f>
        <v>0</v>
      </c>
      <c r="AH196" s="52">
        <f>IF(AND(COUNTA($A196:$L196)&gt;0,$E196&lt;&gt;""),IF(COUNTIF(Suppliers!$A$2:$A$51,$E196)=0,1,0),0)</f>
        <v>0</v>
      </c>
      <c r="AI196" s="52">
        <f>IF(AND(COUNTA($A196:$L196)&gt;0,$F196=""),1,0)</f>
        <v>0</v>
      </c>
      <c r="AJ196" s="52">
        <f>IF(AND(COUNTA($A196:$L196)&gt;0,$F196&lt;&gt;"",$D196&lt;&gt;"",OR($C196="Shipment",$C196="Adjustment")),IF($AF196=1,0,IF(COUNTIFS(Batches!$A$2:$A$301,$F196,Batches!$B$2:$B$301,$D196)+COUNTIFS($F$1:$F195,$F196,$D$1:$D195,$D196,$C$1:$C195,"Receipt")=0,1,0)),0)</f>
        <v>0</v>
      </c>
      <c r="AK196" s="52">
        <f>IF(AND(COUNTA($A196:$L196)&gt;0,$C196="Receipt",$G196=""),1,0)</f>
        <v>0</v>
      </c>
      <c r="AL196" s="52">
        <f>IF(AND(COUNTA($A196:$L196)&gt;0,$G196&lt;&gt;""),IF($N196="ERR",1,0),0)</f>
        <v>0</v>
      </c>
      <c r="AM196" s="52">
        <f>IF(AND(COUNTA($A196:$L196)&gt;0,$H196=""),1,0)</f>
        <v>0</v>
      </c>
      <c r="AN196" s="52">
        <f>IF(AND(COUNTA($A196:$L196)&gt;0,$H196&lt;&gt;""),IF($O196="ERR",1,IF(INT($O196)&lt;&gt;$O196,1,IF(AND(OR($C196="Receipt",$C196="Shipment"),$O196&lt;=0),1,IF(AND($C196="Adjustment",$O196=0),1,0)))),0)</f>
        <v>0</v>
      </c>
      <c r="AO196" s="52">
        <f>IF(AND(COUNTA($A196:$L196)&gt;0,$C196="Receipt",$I196=""),1,0)</f>
        <v>0</v>
      </c>
      <c r="AP196" s="52">
        <f>IF(AND(COUNTA($A196:$L196)&gt;0,$I196&lt;&gt;""),IF(IFERROR(INDEX(Config!$G$15:$G$34,MATCH($I196,Config!$E$15:$E$34,0)),"No")="Yes",0,1),0)</f>
        <v>0</v>
      </c>
      <c r="AQ196" s="52">
        <f>IF(AND(COUNTA($A196:$L196)&gt;0,$C196="Adjustment",$J196=""),1,0)</f>
        <v>0</v>
      </c>
      <c r="AR196" s="52">
        <f>IF(AND(COUNTA($A196:$L196)&gt;0,$L196=""),1,0)</f>
        <v>0</v>
      </c>
      <c r="AS196" s="52">
        <f>IF(AND(COUNTA($A196:$L196)&gt;0,ISNUMBER($S196)),IF($S196&lt;0,1,0),0)</f>
        <v>0</v>
      </c>
      <c r="AT196" s="52">
        <f>$W196</f>
        <v>0</v>
      </c>
      <c r="AU196" s="52">
        <f>$AT196+$X196</f>
        <v>0</v>
      </c>
      <c r="AV196" s="52">
        <f>$AU196+$Y196</f>
        <v>0</v>
      </c>
      <c r="AW196" s="52">
        <f>$AV196+$Z196</f>
        <v>0</v>
      </c>
      <c r="AX196" s="52">
        <f>$AW196+$AA196</f>
        <v>0</v>
      </c>
      <c r="AY196" s="52">
        <f>$AX196+$AB196</f>
        <v>0</v>
      </c>
      <c r="AZ196" s="52">
        <f>$AY196+$AC196</f>
        <v>0</v>
      </c>
      <c r="BA196" s="52">
        <f>$AZ196+$AD196</f>
        <v>0</v>
      </c>
      <c r="BB196" s="52">
        <f>$BA196+$AE196</f>
        <v>0</v>
      </c>
      <c r="BC196" s="52">
        <f>$BB196+$AF196</f>
        <v>0</v>
      </c>
      <c r="BD196" s="52">
        <f>$BC196+$AG196</f>
        <v>0</v>
      </c>
      <c r="BE196" s="52">
        <f>$BD196+$AH196</f>
        <v>0</v>
      </c>
      <c r="BF196" s="52">
        <f>$BE196+$AI196</f>
        <v>0</v>
      </c>
      <c r="BG196" s="52">
        <f>$BF196+$AJ196</f>
        <v>0</v>
      </c>
      <c r="BH196" s="52">
        <f>$BG196+$AK196</f>
        <v>0</v>
      </c>
      <c r="BI196" s="52">
        <f>$BH196+$AL196</f>
        <v>0</v>
      </c>
      <c r="BJ196" s="52">
        <f>$BI196+$AM196</f>
        <v>0</v>
      </c>
      <c r="BK196" s="52">
        <f>$BJ196+$AN196</f>
        <v>0</v>
      </c>
      <c r="BL196" s="52">
        <f>$BK196+$AO196</f>
        <v>0</v>
      </c>
      <c r="BM196" s="52">
        <f>$BL196+$AP196</f>
        <v>0</v>
      </c>
      <c r="BN196" s="52">
        <f>$BM196+$AQ196</f>
        <v>0</v>
      </c>
      <c r="BO196" s="52">
        <f>$BN196+$AR196</f>
        <v>0</v>
      </c>
      <c r="BP196" s="52">
        <f>$BO196+$AS196</f>
        <v>0</v>
      </c>
      <c r="BQ196" s="52">
        <f>SUM($T$1:$T195)</f>
        <v>11</v>
      </c>
      <c r="BR196" s="52" t="str">
        <f>IF(ISNUMBER($T196),IF($T196&gt;0,COUNTIF($T$2:$T196,"&gt;0"),""),"")</f>
        <v/>
      </c>
      <c r="BS196" s="52" t="str">
        <f>IF($BR196="","",$BQ196+$T196)</f>
        <v/>
      </c>
      <c r="BT196" s="52" t="str">
        <f>IF($U196="Ready",COUNTIF($U$2:$U196,"Ready"),"")</f>
        <v/>
      </c>
      <c r="BU196" s="52">
        <f>IF(AND($U196="Ready",$C196="Receipt"),IF(COUNTIF(Batches!$A$2:$A$301,$F196)+COUNTIFS($F$1:$F195,$F196,$C$1:$C195,"Receipt",$U$1:$U195,"Ready")=0,1,0),0)</f>
        <v>0</v>
      </c>
      <c r="BV196" s="52" t="str">
        <f>IF($BU196=1,SUM($BU$2:$BU196),"")</f>
        <v/>
      </c>
    </row>
    <row r="197">
      <c r="A197" s="46" t="n"/>
      <c r="B197" s="46" t="n"/>
      <c r="C197" s="46" t="n"/>
      <c r="D197" s="46" t="n"/>
      <c r="E197" s="46" t="n"/>
      <c r="F197" s="46" t="n"/>
      <c r="G197" s="46" t="n"/>
      <c r="H197" s="46" t="n"/>
      <c r="I197" s="46" t="n"/>
      <c r="J197" s="46" t="n"/>
      <c r="K197" s="46" t="n"/>
      <c r="L197" s="46" t="n"/>
      <c r="M197" s="62" t="str">
        <f>IF($B197="","",IF(ISNUMBER($B197),$B197,IF(AND(LEN($B197)=10,MID($B197,5,1)="-",MID($B197,8,1)="-"),IFERROR(IF(AND(MONTH(DATE(VALUE(LEFT($B197,4)),VALUE(MID($B197,6,2)),VALUE(RIGHT($B197,2))))=VALUE(MID($B197,6,2)),DAY(DATE(VALUE(LEFT($B197,4)),VALUE(MID($B197,6,2)),VALUE(RIGHT($B197,2))))=VALUE(RIGHT($B197,2))),DATE(VALUE(LEFT($B197,4)),VALUE(MID($B197,6,2)),VALUE(RIGHT($B197,2))),"ERR"),"ERR"),"ERR")))</f>
        <v/>
      </c>
      <c r="N197" s="62" t="str">
        <f>IF($G197="","",IF(ISNUMBER($G197),$G197,IF(AND(LEN($G197)=10,MID($G197,5,1)="-",MID($G197,8,1)="-"),IFERROR(IF(AND(MONTH(DATE(VALUE(LEFT($G197,4)),VALUE(MID($G197,6,2)),VALUE(RIGHT($G197,2))))=VALUE(MID($G197,6,2)),DAY(DATE(VALUE(LEFT($G197,4)),VALUE(MID($G197,6,2)),VALUE(RIGHT($G197,2))))=VALUE(RIGHT($G197,2))),DATE(VALUE(LEFT($G197,4)),VALUE(MID($G197,6,2)),VALUE(RIGHT($G197,2))),"ERR"),"ERR"),"ERR")))</f>
        <v/>
      </c>
      <c r="O197" s="51" t="str">
        <f>IF($H197="","",IF(ISNUMBER($H197),$H197,IFERROR(VALUE($H197),"ERR")))</f>
        <v/>
      </c>
      <c r="P197" s="51" t="str">
        <f>IF(AND(ISNUMBER($O197),OR($C197="Receipt",$C197="Shipment",$C197="Adjustment")),IF($C197="Shipment",-$O197,$O197),"")</f>
        <v/>
      </c>
      <c r="Q197" s="51" t="str">
        <f>IF($D197="","",IFERROR(INDEX(Products!$R$2:$R$101,MATCH($D197,Products!$A$2:$A$101,0)),""))</f>
        <v/>
      </c>
      <c r="R197" s="51" t="str">
        <f>IF(OR($Q197="",$P197=""),"",$Q197+SUMIFS($P$1:$P196,$D$1:$D196,$D197,$U$1:$U196,"Ready"))</f>
        <v/>
      </c>
      <c r="S197" s="51" t="str">
        <f>IF($R197="","",$R197+$P197)</f>
        <v/>
      </c>
      <c r="T197" s="52" t="str">
        <f>IF(COUNTA($A197:$L197)&gt;0,$BP197,"")</f>
        <v/>
      </c>
      <c r="U197" s="49" t="str">
        <f>IF($T197="","",IF($T197=0,"Ready","Rejected"))</f>
        <v/>
      </c>
      <c r="V197" s="49" t="str">
        <f>IF(OR($T197="",$T197=0),"",INDEX(Config!$D$39:$D$61,MATCH(1,$AT197:$BP197,0))&amp;IF($T197&gt;1," (+"&amp;($T197-1)&amp;" more)",""))</f>
        <v/>
      </c>
      <c r="W197" s="52">
        <f>IF(AND(COUNTA($A197:$L197)&gt;0,$A197=""),1,0)</f>
        <v>0</v>
      </c>
      <c r="X197" s="52">
        <f>IF(AND(COUNTA($A197:$L197)&gt;0,$A197&lt;&gt;""),IF(COUNTIF($A$1:$A196,$A197)&gt;0,1,0),0)</f>
        <v>0</v>
      </c>
      <c r="Y197" s="52">
        <f>IF(AND(COUNTA($A197:$L197)&gt;0,$A197&lt;&gt;""),IF(COUNTIF(Inventory_Ledger!$A$2:$A$2001,$A197)&gt;0,1,0),0)</f>
        <v>0</v>
      </c>
      <c r="Z197" s="52">
        <f>IF(AND(COUNTA($A197:$L197)&gt;0,$B197=""),1,0)</f>
        <v>0</v>
      </c>
      <c r="AA197" s="52">
        <f>IF(AND(COUNTA($A197:$L197)&gt;0,$B197&lt;&gt;""),IF($M197="ERR",1,0),0)</f>
        <v>0</v>
      </c>
      <c r="AB197" s="52">
        <f>IF(AND(COUNTA($A197:$L197)&gt;0,ISNUMBER($M197)),IF($M197&gt;Config!$B$4,1,0),0)</f>
        <v>0</v>
      </c>
      <c r="AC197" s="52">
        <f>IF(AND(COUNTA($A197:$L197)&gt;0,$C197=""),1,0)</f>
        <v>0</v>
      </c>
      <c r="AD197" s="52">
        <f>IF(AND(COUNTA($A197:$L197)&gt;0,$C197&lt;&gt;""),IF(COUNTIF(Config!$A$15:$A$34,$C197)=0,1,0),0)</f>
        <v>0</v>
      </c>
      <c r="AE197" s="52">
        <f>IF(AND(COUNTA($A197:$L197)&gt;0,$D197=""),1,0)</f>
        <v>0</v>
      </c>
      <c r="AF197" s="52">
        <f>IF(AND(COUNTA($A197:$L197)&gt;0,$D197&lt;&gt;""),IF(COUNTIF(Products!$A$2:$A$101,$D197)=0,1,0),0)</f>
        <v>0</v>
      </c>
      <c r="AG197" s="52">
        <f>IF(AND(COUNTA($A197:$L197)&gt;0,$C197="Receipt",$E197=""),1,0)</f>
        <v>0</v>
      </c>
      <c r="AH197" s="52">
        <f>IF(AND(COUNTA($A197:$L197)&gt;0,$E197&lt;&gt;""),IF(COUNTIF(Suppliers!$A$2:$A$51,$E197)=0,1,0),0)</f>
        <v>0</v>
      </c>
      <c r="AI197" s="52">
        <f>IF(AND(COUNTA($A197:$L197)&gt;0,$F197=""),1,0)</f>
        <v>0</v>
      </c>
      <c r="AJ197" s="52">
        <f>IF(AND(COUNTA($A197:$L197)&gt;0,$F197&lt;&gt;"",$D197&lt;&gt;"",OR($C197="Shipment",$C197="Adjustment")),IF($AF197=1,0,IF(COUNTIFS(Batches!$A$2:$A$301,$F197,Batches!$B$2:$B$301,$D197)+COUNTIFS($F$1:$F196,$F197,$D$1:$D196,$D197,$C$1:$C196,"Receipt")=0,1,0)),0)</f>
        <v>0</v>
      </c>
      <c r="AK197" s="52">
        <f>IF(AND(COUNTA($A197:$L197)&gt;0,$C197="Receipt",$G197=""),1,0)</f>
        <v>0</v>
      </c>
      <c r="AL197" s="52">
        <f>IF(AND(COUNTA($A197:$L197)&gt;0,$G197&lt;&gt;""),IF($N197="ERR",1,0),0)</f>
        <v>0</v>
      </c>
      <c r="AM197" s="52">
        <f>IF(AND(COUNTA($A197:$L197)&gt;0,$H197=""),1,0)</f>
        <v>0</v>
      </c>
      <c r="AN197" s="52">
        <f>IF(AND(COUNTA($A197:$L197)&gt;0,$H197&lt;&gt;""),IF($O197="ERR",1,IF(INT($O197)&lt;&gt;$O197,1,IF(AND(OR($C197="Receipt",$C197="Shipment"),$O197&lt;=0),1,IF(AND($C197="Adjustment",$O197=0),1,0)))),0)</f>
        <v>0</v>
      </c>
      <c r="AO197" s="52">
        <f>IF(AND(COUNTA($A197:$L197)&gt;0,$C197="Receipt",$I197=""),1,0)</f>
        <v>0</v>
      </c>
      <c r="AP197" s="52">
        <f>IF(AND(COUNTA($A197:$L197)&gt;0,$I197&lt;&gt;""),IF(IFERROR(INDEX(Config!$G$15:$G$34,MATCH($I197,Config!$E$15:$E$34,0)),"No")="Yes",0,1),0)</f>
        <v>0</v>
      </c>
      <c r="AQ197" s="52">
        <f>IF(AND(COUNTA($A197:$L197)&gt;0,$C197="Adjustment",$J197=""),1,0)</f>
        <v>0</v>
      </c>
      <c r="AR197" s="52">
        <f>IF(AND(COUNTA($A197:$L197)&gt;0,$L197=""),1,0)</f>
        <v>0</v>
      </c>
      <c r="AS197" s="52">
        <f>IF(AND(COUNTA($A197:$L197)&gt;0,ISNUMBER($S197)),IF($S197&lt;0,1,0),0)</f>
        <v>0</v>
      </c>
      <c r="AT197" s="52">
        <f>$W197</f>
        <v>0</v>
      </c>
      <c r="AU197" s="52">
        <f>$AT197+$X197</f>
        <v>0</v>
      </c>
      <c r="AV197" s="52">
        <f>$AU197+$Y197</f>
        <v>0</v>
      </c>
      <c r="AW197" s="52">
        <f>$AV197+$Z197</f>
        <v>0</v>
      </c>
      <c r="AX197" s="52">
        <f>$AW197+$AA197</f>
        <v>0</v>
      </c>
      <c r="AY197" s="52">
        <f>$AX197+$AB197</f>
        <v>0</v>
      </c>
      <c r="AZ197" s="52">
        <f>$AY197+$AC197</f>
        <v>0</v>
      </c>
      <c r="BA197" s="52">
        <f>$AZ197+$AD197</f>
        <v>0</v>
      </c>
      <c r="BB197" s="52">
        <f>$BA197+$AE197</f>
        <v>0</v>
      </c>
      <c r="BC197" s="52">
        <f>$BB197+$AF197</f>
        <v>0</v>
      </c>
      <c r="BD197" s="52">
        <f>$BC197+$AG197</f>
        <v>0</v>
      </c>
      <c r="BE197" s="52">
        <f>$BD197+$AH197</f>
        <v>0</v>
      </c>
      <c r="BF197" s="52">
        <f>$BE197+$AI197</f>
        <v>0</v>
      </c>
      <c r="BG197" s="52">
        <f>$BF197+$AJ197</f>
        <v>0</v>
      </c>
      <c r="BH197" s="52">
        <f>$BG197+$AK197</f>
        <v>0</v>
      </c>
      <c r="BI197" s="52">
        <f>$BH197+$AL197</f>
        <v>0</v>
      </c>
      <c r="BJ197" s="52">
        <f>$BI197+$AM197</f>
        <v>0</v>
      </c>
      <c r="BK197" s="52">
        <f>$BJ197+$AN197</f>
        <v>0</v>
      </c>
      <c r="BL197" s="52">
        <f>$BK197+$AO197</f>
        <v>0</v>
      </c>
      <c r="BM197" s="52">
        <f>$BL197+$AP197</f>
        <v>0</v>
      </c>
      <c r="BN197" s="52">
        <f>$BM197+$AQ197</f>
        <v>0</v>
      </c>
      <c r="BO197" s="52">
        <f>$BN197+$AR197</f>
        <v>0</v>
      </c>
      <c r="BP197" s="52">
        <f>$BO197+$AS197</f>
        <v>0</v>
      </c>
      <c r="BQ197" s="52">
        <f>SUM($T$1:$T196)</f>
        <v>11</v>
      </c>
      <c r="BR197" s="52" t="str">
        <f>IF(ISNUMBER($T197),IF($T197&gt;0,COUNTIF($T$2:$T197,"&gt;0"),""),"")</f>
        <v/>
      </c>
      <c r="BS197" s="52" t="str">
        <f>IF($BR197="","",$BQ197+$T197)</f>
        <v/>
      </c>
      <c r="BT197" s="52" t="str">
        <f>IF($U197="Ready",COUNTIF($U$2:$U197,"Ready"),"")</f>
        <v/>
      </c>
      <c r="BU197" s="52">
        <f>IF(AND($U197="Ready",$C197="Receipt"),IF(COUNTIF(Batches!$A$2:$A$301,$F197)+COUNTIFS($F$1:$F196,$F197,$C$1:$C196,"Receipt",$U$1:$U196,"Ready")=0,1,0),0)</f>
        <v>0</v>
      </c>
      <c r="BV197" s="52" t="str">
        <f>IF($BU197=1,SUM($BU$2:$BU197),"")</f>
        <v/>
      </c>
    </row>
    <row r="198">
      <c r="A198" s="46" t="n"/>
      <c r="B198" s="46" t="n"/>
      <c r="C198" s="46" t="n"/>
      <c r="D198" s="46" t="n"/>
      <c r="E198" s="46" t="n"/>
      <c r="F198" s="46" t="n"/>
      <c r="G198" s="46" t="n"/>
      <c r="H198" s="46" t="n"/>
      <c r="I198" s="46" t="n"/>
      <c r="J198" s="46" t="n"/>
      <c r="K198" s="46" t="n"/>
      <c r="L198" s="46" t="n"/>
      <c r="M198" s="62" t="str">
        <f>IF($B198="","",IF(ISNUMBER($B198),$B198,IF(AND(LEN($B198)=10,MID($B198,5,1)="-",MID($B198,8,1)="-"),IFERROR(IF(AND(MONTH(DATE(VALUE(LEFT($B198,4)),VALUE(MID($B198,6,2)),VALUE(RIGHT($B198,2))))=VALUE(MID($B198,6,2)),DAY(DATE(VALUE(LEFT($B198,4)),VALUE(MID($B198,6,2)),VALUE(RIGHT($B198,2))))=VALUE(RIGHT($B198,2))),DATE(VALUE(LEFT($B198,4)),VALUE(MID($B198,6,2)),VALUE(RIGHT($B198,2))),"ERR"),"ERR"),"ERR")))</f>
        <v/>
      </c>
      <c r="N198" s="62" t="str">
        <f>IF($G198="","",IF(ISNUMBER($G198),$G198,IF(AND(LEN($G198)=10,MID($G198,5,1)="-",MID($G198,8,1)="-"),IFERROR(IF(AND(MONTH(DATE(VALUE(LEFT($G198,4)),VALUE(MID($G198,6,2)),VALUE(RIGHT($G198,2))))=VALUE(MID($G198,6,2)),DAY(DATE(VALUE(LEFT($G198,4)),VALUE(MID($G198,6,2)),VALUE(RIGHT($G198,2))))=VALUE(RIGHT($G198,2))),DATE(VALUE(LEFT($G198,4)),VALUE(MID($G198,6,2)),VALUE(RIGHT($G198,2))),"ERR"),"ERR"),"ERR")))</f>
        <v/>
      </c>
      <c r="O198" s="51" t="str">
        <f>IF($H198="","",IF(ISNUMBER($H198),$H198,IFERROR(VALUE($H198),"ERR")))</f>
        <v/>
      </c>
      <c r="P198" s="51" t="str">
        <f>IF(AND(ISNUMBER($O198),OR($C198="Receipt",$C198="Shipment",$C198="Adjustment")),IF($C198="Shipment",-$O198,$O198),"")</f>
        <v/>
      </c>
      <c r="Q198" s="51" t="str">
        <f>IF($D198="","",IFERROR(INDEX(Products!$R$2:$R$101,MATCH($D198,Products!$A$2:$A$101,0)),""))</f>
        <v/>
      </c>
      <c r="R198" s="51" t="str">
        <f>IF(OR($Q198="",$P198=""),"",$Q198+SUMIFS($P$1:$P197,$D$1:$D197,$D198,$U$1:$U197,"Ready"))</f>
        <v/>
      </c>
      <c r="S198" s="51" t="str">
        <f>IF($R198="","",$R198+$P198)</f>
        <v/>
      </c>
      <c r="T198" s="52" t="str">
        <f>IF(COUNTA($A198:$L198)&gt;0,$BP198,"")</f>
        <v/>
      </c>
      <c r="U198" s="49" t="str">
        <f>IF($T198="","",IF($T198=0,"Ready","Rejected"))</f>
        <v/>
      </c>
      <c r="V198" s="49" t="str">
        <f>IF(OR($T198="",$T198=0),"",INDEX(Config!$D$39:$D$61,MATCH(1,$AT198:$BP198,0))&amp;IF($T198&gt;1," (+"&amp;($T198-1)&amp;" more)",""))</f>
        <v/>
      </c>
      <c r="W198" s="52">
        <f>IF(AND(COUNTA($A198:$L198)&gt;0,$A198=""),1,0)</f>
        <v>0</v>
      </c>
      <c r="X198" s="52">
        <f>IF(AND(COUNTA($A198:$L198)&gt;0,$A198&lt;&gt;""),IF(COUNTIF($A$1:$A197,$A198)&gt;0,1,0),0)</f>
        <v>0</v>
      </c>
      <c r="Y198" s="52">
        <f>IF(AND(COUNTA($A198:$L198)&gt;0,$A198&lt;&gt;""),IF(COUNTIF(Inventory_Ledger!$A$2:$A$2001,$A198)&gt;0,1,0),0)</f>
        <v>0</v>
      </c>
      <c r="Z198" s="52">
        <f>IF(AND(COUNTA($A198:$L198)&gt;0,$B198=""),1,0)</f>
        <v>0</v>
      </c>
      <c r="AA198" s="52">
        <f>IF(AND(COUNTA($A198:$L198)&gt;0,$B198&lt;&gt;""),IF($M198="ERR",1,0),0)</f>
        <v>0</v>
      </c>
      <c r="AB198" s="52">
        <f>IF(AND(COUNTA($A198:$L198)&gt;0,ISNUMBER($M198)),IF($M198&gt;Config!$B$4,1,0),0)</f>
        <v>0</v>
      </c>
      <c r="AC198" s="52">
        <f>IF(AND(COUNTA($A198:$L198)&gt;0,$C198=""),1,0)</f>
        <v>0</v>
      </c>
      <c r="AD198" s="52">
        <f>IF(AND(COUNTA($A198:$L198)&gt;0,$C198&lt;&gt;""),IF(COUNTIF(Config!$A$15:$A$34,$C198)=0,1,0),0)</f>
        <v>0</v>
      </c>
      <c r="AE198" s="52">
        <f>IF(AND(COUNTA($A198:$L198)&gt;0,$D198=""),1,0)</f>
        <v>0</v>
      </c>
      <c r="AF198" s="52">
        <f>IF(AND(COUNTA($A198:$L198)&gt;0,$D198&lt;&gt;""),IF(COUNTIF(Products!$A$2:$A$101,$D198)=0,1,0),0)</f>
        <v>0</v>
      </c>
      <c r="AG198" s="52">
        <f>IF(AND(COUNTA($A198:$L198)&gt;0,$C198="Receipt",$E198=""),1,0)</f>
        <v>0</v>
      </c>
      <c r="AH198" s="52">
        <f>IF(AND(COUNTA($A198:$L198)&gt;0,$E198&lt;&gt;""),IF(COUNTIF(Suppliers!$A$2:$A$51,$E198)=0,1,0),0)</f>
        <v>0</v>
      </c>
      <c r="AI198" s="52">
        <f>IF(AND(COUNTA($A198:$L198)&gt;0,$F198=""),1,0)</f>
        <v>0</v>
      </c>
      <c r="AJ198" s="52">
        <f>IF(AND(COUNTA($A198:$L198)&gt;0,$F198&lt;&gt;"",$D198&lt;&gt;"",OR($C198="Shipment",$C198="Adjustment")),IF($AF198=1,0,IF(COUNTIFS(Batches!$A$2:$A$301,$F198,Batches!$B$2:$B$301,$D198)+COUNTIFS($F$1:$F197,$F198,$D$1:$D197,$D198,$C$1:$C197,"Receipt")=0,1,0)),0)</f>
        <v>0</v>
      </c>
      <c r="AK198" s="52">
        <f>IF(AND(COUNTA($A198:$L198)&gt;0,$C198="Receipt",$G198=""),1,0)</f>
        <v>0</v>
      </c>
      <c r="AL198" s="52">
        <f>IF(AND(COUNTA($A198:$L198)&gt;0,$G198&lt;&gt;""),IF($N198="ERR",1,0),0)</f>
        <v>0</v>
      </c>
      <c r="AM198" s="52">
        <f>IF(AND(COUNTA($A198:$L198)&gt;0,$H198=""),1,0)</f>
        <v>0</v>
      </c>
      <c r="AN198" s="52">
        <f>IF(AND(COUNTA($A198:$L198)&gt;0,$H198&lt;&gt;""),IF($O198="ERR",1,IF(INT($O198)&lt;&gt;$O198,1,IF(AND(OR($C198="Receipt",$C198="Shipment"),$O198&lt;=0),1,IF(AND($C198="Adjustment",$O198=0),1,0)))),0)</f>
        <v>0</v>
      </c>
      <c r="AO198" s="52">
        <f>IF(AND(COUNTA($A198:$L198)&gt;0,$C198="Receipt",$I198=""),1,0)</f>
        <v>0</v>
      </c>
      <c r="AP198" s="52">
        <f>IF(AND(COUNTA($A198:$L198)&gt;0,$I198&lt;&gt;""),IF(IFERROR(INDEX(Config!$G$15:$G$34,MATCH($I198,Config!$E$15:$E$34,0)),"No")="Yes",0,1),0)</f>
        <v>0</v>
      </c>
      <c r="AQ198" s="52">
        <f>IF(AND(COUNTA($A198:$L198)&gt;0,$C198="Adjustment",$J198=""),1,0)</f>
        <v>0</v>
      </c>
      <c r="AR198" s="52">
        <f>IF(AND(COUNTA($A198:$L198)&gt;0,$L198=""),1,0)</f>
        <v>0</v>
      </c>
      <c r="AS198" s="52">
        <f>IF(AND(COUNTA($A198:$L198)&gt;0,ISNUMBER($S198)),IF($S198&lt;0,1,0),0)</f>
        <v>0</v>
      </c>
      <c r="AT198" s="52">
        <f>$W198</f>
        <v>0</v>
      </c>
      <c r="AU198" s="52">
        <f>$AT198+$X198</f>
        <v>0</v>
      </c>
      <c r="AV198" s="52">
        <f>$AU198+$Y198</f>
        <v>0</v>
      </c>
      <c r="AW198" s="52">
        <f>$AV198+$Z198</f>
        <v>0</v>
      </c>
      <c r="AX198" s="52">
        <f>$AW198+$AA198</f>
        <v>0</v>
      </c>
      <c r="AY198" s="52">
        <f>$AX198+$AB198</f>
        <v>0</v>
      </c>
      <c r="AZ198" s="52">
        <f>$AY198+$AC198</f>
        <v>0</v>
      </c>
      <c r="BA198" s="52">
        <f>$AZ198+$AD198</f>
        <v>0</v>
      </c>
      <c r="BB198" s="52">
        <f>$BA198+$AE198</f>
        <v>0</v>
      </c>
      <c r="BC198" s="52">
        <f>$BB198+$AF198</f>
        <v>0</v>
      </c>
      <c r="BD198" s="52">
        <f>$BC198+$AG198</f>
        <v>0</v>
      </c>
      <c r="BE198" s="52">
        <f>$BD198+$AH198</f>
        <v>0</v>
      </c>
      <c r="BF198" s="52">
        <f>$BE198+$AI198</f>
        <v>0</v>
      </c>
      <c r="BG198" s="52">
        <f>$BF198+$AJ198</f>
        <v>0</v>
      </c>
      <c r="BH198" s="52">
        <f>$BG198+$AK198</f>
        <v>0</v>
      </c>
      <c r="BI198" s="52">
        <f>$BH198+$AL198</f>
        <v>0</v>
      </c>
      <c r="BJ198" s="52">
        <f>$BI198+$AM198</f>
        <v>0</v>
      </c>
      <c r="BK198" s="52">
        <f>$BJ198+$AN198</f>
        <v>0</v>
      </c>
      <c r="BL198" s="52">
        <f>$BK198+$AO198</f>
        <v>0</v>
      </c>
      <c r="BM198" s="52">
        <f>$BL198+$AP198</f>
        <v>0</v>
      </c>
      <c r="BN198" s="52">
        <f>$BM198+$AQ198</f>
        <v>0</v>
      </c>
      <c r="BO198" s="52">
        <f>$BN198+$AR198</f>
        <v>0</v>
      </c>
      <c r="BP198" s="52">
        <f>$BO198+$AS198</f>
        <v>0</v>
      </c>
      <c r="BQ198" s="52">
        <f>SUM($T$1:$T197)</f>
        <v>11</v>
      </c>
      <c r="BR198" s="52" t="str">
        <f>IF(ISNUMBER($T198),IF($T198&gt;0,COUNTIF($T$2:$T198,"&gt;0"),""),"")</f>
        <v/>
      </c>
      <c r="BS198" s="52" t="str">
        <f>IF($BR198="","",$BQ198+$T198)</f>
        <v/>
      </c>
      <c r="BT198" s="52" t="str">
        <f>IF($U198="Ready",COUNTIF($U$2:$U198,"Ready"),"")</f>
        <v/>
      </c>
      <c r="BU198" s="52">
        <f>IF(AND($U198="Ready",$C198="Receipt"),IF(COUNTIF(Batches!$A$2:$A$301,$F198)+COUNTIFS($F$1:$F197,$F198,$C$1:$C197,"Receipt",$U$1:$U197,"Ready")=0,1,0),0)</f>
        <v>0</v>
      </c>
      <c r="BV198" s="52" t="str">
        <f>IF($BU198=1,SUM($BU$2:$BU198),"")</f>
        <v/>
      </c>
    </row>
    <row r="199">
      <c r="A199" s="46" t="n"/>
      <c r="B199" s="46" t="n"/>
      <c r="C199" s="46" t="n"/>
      <c r="D199" s="46" t="n"/>
      <c r="E199" s="46" t="n"/>
      <c r="F199" s="46" t="n"/>
      <c r="G199" s="46" t="n"/>
      <c r="H199" s="46" t="n"/>
      <c r="I199" s="46" t="n"/>
      <c r="J199" s="46" t="n"/>
      <c r="K199" s="46" t="n"/>
      <c r="L199" s="46" t="n"/>
      <c r="M199" s="62" t="str">
        <f>IF($B199="","",IF(ISNUMBER($B199),$B199,IF(AND(LEN($B199)=10,MID($B199,5,1)="-",MID($B199,8,1)="-"),IFERROR(IF(AND(MONTH(DATE(VALUE(LEFT($B199,4)),VALUE(MID($B199,6,2)),VALUE(RIGHT($B199,2))))=VALUE(MID($B199,6,2)),DAY(DATE(VALUE(LEFT($B199,4)),VALUE(MID($B199,6,2)),VALUE(RIGHT($B199,2))))=VALUE(RIGHT($B199,2))),DATE(VALUE(LEFT($B199,4)),VALUE(MID($B199,6,2)),VALUE(RIGHT($B199,2))),"ERR"),"ERR"),"ERR")))</f>
        <v/>
      </c>
      <c r="N199" s="62" t="str">
        <f>IF($G199="","",IF(ISNUMBER($G199),$G199,IF(AND(LEN($G199)=10,MID($G199,5,1)="-",MID($G199,8,1)="-"),IFERROR(IF(AND(MONTH(DATE(VALUE(LEFT($G199,4)),VALUE(MID($G199,6,2)),VALUE(RIGHT($G199,2))))=VALUE(MID($G199,6,2)),DAY(DATE(VALUE(LEFT($G199,4)),VALUE(MID($G199,6,2)),VALUE(RIGHT($G199,2))))=VALUE(RIGHT($G199,2))),DATE(VALUE(LEFT($G199,4)),VALUE(MID($G199,6,2)),VALUE(RIGHT($G199,2))),"ERR"),"ERR"),"ERR")))</f>
        <v/>
      </c>
      <c r="O199" s="51" t="str">
        <f>IF($H199="","",IF(ISNUMBER($H199),$H199,IFERROR(VALUE($H199),"ERR")))</f>
        <v/>
      </c>
      <c r="P199" s="51" t="str">
        <f>IF(AND(ISNUMBER($O199),OR($C199="Receipt",$C199="Shipment",$C199="Adjustment")),IF($C199="Shipment",-$O199,$O199),"")</f>
        <v/>
      </c>
      <c r="Q199" s="51" t="str">
        <f>IF($D199="","",IFERROR(INDEX(Products!$R$2:$R$101,MATCH($D199,Products!$A$2:$A$101,0)),""))</f>
        <v/>
      </c>
      <c r="R199" s="51" t="str">
        <f>IF(OR($Q199="",$P199=""),"",$Q199+SUMIFS($P$1:$P198,$D$1:$D198,$D199,$U$1:$U198,"Ready"))</f>
        <v/>
      </c>
      <c r="S199" s="51" t="str">
        <f>IF($R199="","",$R199+$P199)</f>
        <v/>
      </c>
      <c r="T199" s="52" t="str">
        <f>IF(COUNTA($A199:$L199)&gt;0,$BP199,"")</f>
        <v/>
      </c>
      <c r="U199" s="49" t="str">
        <f>IF($T199="","",IF($T199=0,"Ready","Rejected"))</f>
        <v/>
      </c>
      <c r="V199" s="49" t="str">
        <f>IF(OR($T199="",$T199=0),"",INDEX(Config!$D$39:$D$61,MATCH(1,$AT199:$BP199,0))&amp;IF($T199&gt;1," (+"&amp;($T199-1)&amp;" more)",""))</f>
        <v/>
      </c>
      <c r="W199" s="52">
        <f>IF(AND(COUNTA($A199:$L199)&gt;0,$A199=""),1,0)</f>
        <v>0</v>
      </c>
      <c r="X199" s="52">
        <f>IF(AND(COUNTA($A199:$L199)&gt;0,$A199&lt;&gt;""),IF(COUNTIF($A$1:$A198,$A199)&gt;0,1,0),0)</f>
        <v>0</v>
      </c>
      <c r="Y199" s="52">
        <f>IF(AND(COUNTA($A199:$L199)&gt;0,$A199&lt;&gt;""),IF(COUNTIF(Inventory_Ledger!$A$2:$A$2001,$A199)&gt;0,1,0),0)</f>
        <v>0</v>
      </c>
      <c r="Z199" s="52">
        <f>IF(AND(COUNTA($A199:$L199)&gt;0,$B199=""),1,0)</f>
        <v>0</v>
      </c>
      <c r="AA199" s="52">
        <f>IF(AND(COUNTA($A199:$L199)&gt;0,$B199&lt;&gt;""),IF($M199="ERR",1,0),0)</f>
        <v>0</v>
      </c>
      <c r="AB199" s="52">
        <f>IF(AND(COUNTA($A199:$L199)&gt;0,ISNUMBER($M199)),IF($M199&gt;Config!$B$4,1,0),0)</f>
        <v>0</v>
      </c>
      <c r="AC199" s="52">
        <f>IF(AND(COUNTA($A199:$L199)&gt;0,$C199=""),1,0)</f>
        <v>0</v>
      </c>
      <c r="AD199" s="52">
        <f>IF(AND(COUNTA($A199:$L199)&gt;0,$C199&lt;&gt;""),IF(COUNTIF(Config!$A$15:$A$34,$C199)=0,1,0),0)</f>
        <v>0</v>
      </c>
      <c r="AE199" s="52">
        <f>IF(AND(COUNTA($A199:$L199)&gt;0,$D199=""),1,0)</f>
        <v>0</v>
      </c>
      <c r="AF199" s="52">
        <f>IF(AND(COUNTA($A199:$L199)&gt;0,$D199&lt;&gt;""),IF(COUNTIF(Products!$A$2:$A$101,$D199)=0,1,0),0)</f>
        <v>0</v>
      </c>
      <c r="AG199" s="52">
        <f>IF(AND(COUNTA($A199:$L199)&gt;0,$C199="Receipt",$E199=""),1,0)</f>
        <v>0</v>
      </c>
      <c r="AH199" s="52">
        <f>IF(AND(COUNTA($A199:$L199)&gt;0,$E199&lt;&gt;""),IF(COUNTIF(Suppliers!$A$2:$A$51,$E199)=0,1,0),0)</f>
        <v>0</v>
      </c>
      <c r="AI199" s="52">
        <f>IF(AND(COUNTA($A199:$L199)&gt;0,$F199=""),1,0)</f>
        <v>0</v>
      </c>
      <c r="AJ199" s="52">
        <f>IF(AND(COUNTA($A199:$L199)&gt;0,$F199&lt;&gt;"",$D199&lt;&gt;"",OR($C199="Shipment",$C199="Adjustment")),IF($AF199=1,0,IF(COUNTIFS(Batches!$A$2:$A$301,$F199,Batches!$B$2:$B$301,$D199)+COUNTIFS($F$1:$F198,$F199,$D$1:$D198,$D199,$C$1:$C198,"Receipt")=0,1,0)),0)</f>
        <v>0</v>
      </c>
      <c r="AK199" s="52">
        <f>IF(AND(COUNTA($A199:$L199)&gt;0,$C199="Receipt",$G199=""),1,0)</f>
        <v>0</v>
      </c>
      <c r="AL199" s="52">
        <f>IF(AND(COUNTA($A199:$L199)&gt;0,$G199&lt;&gt;""),IF($N199="ERR",1,0),0)</f>
        <v>0</v>
      </c>
      <c r="AM199" s="52">
        <f>IF(AND(COUNTA($A199:$L199)&gt;0,$H199=""),1,0)</f>
        <v>0</v>
      </c>
      <c r="AN199" s="52">
        <f>IF(AND(COUNTA($A199:$L199)&gt;0,$H199&lt;&gt;""),IF($O199="ERR",1,IF(INT($O199)&lt;&gt;$O199,1,IF(AND(OR($C199="Receipt",$C199="Shipment"),$O199&lt;=0),1,IF(AND($C199="Adjustment",$O199=0),1,0)))),0)</f>
        <v>0</v>
      </c>
      <c r="AO199" s="52">
        <f>IF(AND(COUNTA($A199:$L199)&gt;0,$C199="Receipt",$I199=""),1,0)</f>
        <v>0</v>
      </c>
      <c r="AP199" s="52">
        <f>IF(AND(COUNTA($A199:$L199)&gt;0,$I199&lt;&gt;""),IF(IFERROR(INDEX(Config!$G$15:$G$34,MATCH($I199,Config!$E$15:$E$34,0)),"No")="Yes",0,1),0)</f>
        <v>0</v>
      </c>
      <c r="AQ199" s="52">
        <f>IF(AND(COUNTA($A199:$L199)&gt;0,$C199="Adjustment",$J199=""),1,0)</f>
        <v>0</v>
      </c>
      <c r="AR199" s="52">
        <f>IF(AND(COUNTA($A199:$L199)&gt;0,$L199=""),1,0)</f>
        <v>0</v>
      </c>
      <c r="AS199" s="52">
        <f>IF(AND(COUNTA($A199:$L199)&gt;0,ISNUMBER($S199)),IF($S199&lt;0,1,0),0)</f>
        <v>0</v>
      </c>
      <c r="AT199" s="52">
        <f>$W199</f>
        <v>0</v>
      </c>
      <c r="AU199" s="52">
        <f>$AT199+$X199</f>
        <v>0</v>
      </c>
      <c r="AV199" s="52">
        <f>$AU199+$Y199</f>
        <v>0</v>
      </c>
      <c r="AW199" s="52">
        <f>$AV199+$Z199</f>
        <v>0</v>
      </c>
      <c r="AX199" s="52">
        <f>$AW199+$AA199</f>
        <v>0</v>
      </c>
      <c r="AY199" s="52">
        <f>$AX199+$AB199</f>
        <v>0</v>
      </c>
      <c r="AZ199" s="52">
        <f>$AY199+$AC199</f>
        <v>0</v>
      </c>
      <c r="BA199" s="52">
        <f>$AZ199+$AD199</f>
        <v>0</v>
      </c>
      <c r="BB199" s="52">
        <f>$BA199+$AE199</f>
        <v>0</v>
      </c>
      <c r="BC199" s="52">
        <f>$BB199+$AF199</f>
        <v>0</v>
      </c>
      <c r="BD199" s="52">
        <f>$BC199+$AG199</f>
        <v>0</v>
      </c>
      <c r="BE199" s="52">
        <f>$BD199+$AH199</f>
        <v>0</v>
      </c>
      <c r="BF199" s="52">
        <f>$BE199+$AI199</f>
        <v>0</v>
      </c>
      <c r="BG199" s="52">
        <f>$BF199+$AJ199</f>
        <v>0</v>
      </c>
      <c r="BH199" s="52">
        <f>$BG199+$AK199</f>
        <v>0</v>
      </c>
      <c r="BI199" s="52">
        <f>$BH199+$AL199</f>
        <v>0</v>
      </c>
      <c r="BJ199" s="52">
        <f>$BI199+$AM199</f>
        <v>0</v>
      </c>
      <c r="BK199" s="52">
        <f>$BJ199+$AN199</f>
        <v>0</v>
      </c>
      <c r="BL199" s="52">
        <f>$BK199+$AO199</f>
        <v>0</v>
      </c>
      <c r="BM199" s="52">
        <f>$BL199+$AP199</f>
        <v>0</v>
      </c>
      <c r="BN199" s="52">
        <f>$BM199+$AQ199</f>
        <v>0</v>
      </c>
      <c r="BO199" s="52">
        <f>$BN199+$AR199</f>
        <v>0</v>
      </c>
      <c r="BP199" s="52">
        <f>$BO199+$AS199</f>
        <v>0</v>
      </c>
      <c r="BQ199" s="52">
        <f>SUM($T$1:$T198)</f>
        <v>11</v>
      </c>
      <c r="BR199" s="52" t="str">
        <f>IF(ISNUMBER($T199),IF($T199&gt;0,COUNTIF($T$2:$T199,"&gt;0"),""),"")</f>
        <v/>
      </c>
      <c r="BS199" s="52" t="str">
        <f>IF($BR199="","",$BQ199+$T199)</f>
        <v/>
      </c>
      <c r="BT199" s="52" t="str">
        <f>IF($U199="Ready",COUNTIF($U$2:$U199,"Ready"),"")</f>
        <v/>
      </c>
      <c r="BU199" s="52">
        <f>IF(AND($U199="Ready",$C199="Receipt"),IF(COUNTIF(Batches!$A$2:$A$301,$F199)+COUNTIFS($F$1:$F198,$F199,$C$1:$C198,"Receipt",$U$1:$U198,"Ready")=0,1,0),0)</f>
        <v>0</v>
      </c>
      <c r="BV199" s="52" t="str">
        <f>IF($BU199=1,SUM($BU$2:$BU199),"")</f>
        <v/>
      </c>
    </row>
    <row r="200">
      <c r="A200" s="46" t="n"/>
      <c r="B200" s="46" t="n"/>
      <c r="C200" s="46" t="n"/>
      <c r="D200" s="46" t="n"/>
      <c r="E200" s="46" t="n"/>
      <c r="F200" s="46" t="n"/>
      <c r="G200" s="46" t="n"/>
      <c r="H200" s="46" t="n"/>
      <c r="I200" s="46" t="n"/>
      <c r="J200" s="46" t="n"/>
      <c r="K200" s="46" t="n"/>
      <c r="L200" s="46" t="n"/>
      <c r="M200" s="62" t="str">
        <f>IF($B200="","",IF(ISNUMBER($B200),$B200,IF(AND(LEN($B200)=10,MID($B200,5,1)="-",MID($B200,8,1)="-"),IFERROR(IF(AND(MONTH(DATE(VALUE(LEFT($B200,4)),VALUE(MID($B200,6,2)),VALUE(RIGHT($B200,2))))=VALUE(MID($B200,6,2)),DAY(DATE(VALUE(LEFT($B200,4)),VALUE(MID($B200,6,2)),VALUE(RIGHT($B200,2))))=VALUE(RIGHT($B200,2))),DATE(VALUE(LEFT($B200,4)),VALUE(MID($B200,6,2)),VALUE(RIGHT($B200,2))),"ERR"),"ERR"),"ERR")))</f>
        <v/>
      </c>
      <c r="N200" s="62" t="str">
        <f>IF($G200="","",IF(ISNUMBER($G200),$G200,IF(AND(LEN($G200)=10,MID($G200,5,1)="-",MID($G200,8,1)="-"),IFERROR(IF(AND(MONTH(DATE(VALUE(LEFT($G200,4)),VALUE(MID($G200,6,2)),VALUE(RIGHT($G200,2))))=VALUE(MID($G200,6,2)),DAY(DATE(VALUE(LEFT($G200,4)),VALUE(MID($G200,6,2)),VALUE(RIGHT($G200,2))))=VALUE(RIGHT($G200,2))),DATE(VALUE(LEFT($G200,4)),VALUE(MID($G200,6,2)),VALUE(RIGHT($G200,2))),"ERR"),"ERR"),"ERR")))</f>
        <v/>
      </c>
      <c r="O200" s="51" t="str">
        <f>IF($H200="","",IF(ISNUMBER($H200),$H200,IFERROR(VALUE($H200),"ERR")))</f>
        <v/>
      </c>
      <c r="P200" s="51" t="str">
        <f>IF(AND(ISNUMBER($O200),OR($C200="Receipt",$C200="Shipment",$C200="Adjustment")),IF($C200="Shipment",-$O200,$O200),"")</f>
        <v/>
      </c>
      <c r="Q200" s="51" t="str">
        <f>IF($D200="","",IFERROR(INDEX(Products!$R$2:$R$101,MATCH($D200,Products!$A$2:$A$101,0)),""))</f>
        <v/>
      </c>
      <c r="R200" s="51" t="str">
        <f>IF(OR($Q200="",$P200=""),"",$Q200+SUMIFS($P$1:$P199,$D$1:$D199,$D200,$U$1:$U199,"Ready"))</f>
        <v/>
      </c>
      <c r="S200" s="51" t="str">
        <f>IF($R200="","",$R200+$P200)</f>
        <v/>
      </c>
      <c r="T200" s="52" t="str">
        <f>IF(COUNTA($A200:$L200)&gt;0,$BP200,"")</f>
        <v/>
      </c>
      <c r="U200" s="49" t="str">
        <f>IF($T200="","",IF($T200=0,"Ready","Rejected"))</f>
        <v/>
      </c>
      <c r="V200" s="49" t="str">
        <f>IF(OR($T200="",$T200=0),"",INDEX(Config!$D$39:$D$61,MATCH(1,$AT200:$BP200,0))&amp;IF($T200&gt;1," (+"&amp;($T200-1)&amp;" more)",""))</f>
        <v/>
      </c>
      <c r="W200" s="52">
        <f>IF(AND(COUNTA($A200:$L200)&gt;0,$A200=""),1,0)</f>
        <v>0</v>
      </c>
      <c r="X200" s="52">
        <f>IF(AND(COUNTA($A200:$L200)&gt;0,$A200&lt;&gt;""),IF(COUNTIF($A$1:$A199,$A200)&gt;0,1,0),0)</f>
        <v>0</v>
      </c>
      <c r="Y200" s="52">
        <f>IF(AND(COUNTA($A200:$L200)&gt;0,$A200&lt;&gt;""),IF(COUNTIF(Inventory_Ledger!$A$2:$A$2001,$A200)&gt;0,1,0),0)</f>
        <v>0</v>
      </c>
      <c r="Z200" s="52">
        <f>IF(AND(COUNTA($A200:$L200)&gt;0,$B200=""),1,0)</f>
        <v>0</v>
      </c>
      <c r="AA200" s="52">
        <f>IF(AND(COUNTA($A200:$L200)&gt;0,$B200&lt;&gt;""),IF($M200="ERR",1,0),0)</f>
        <v>0</v>
      </c>
      <c r="AB200" s="52">
        <f>IF(AND(COUNTA($A200:$L200)&gt;0,ISNUMBER($M200)),IF($M200&gt;Config!$B$4,1,0),0)</f>
        <v>0</v>
      </c>
      <c r="AC200" s="52">
        <f>IF(AND(COUNTA($A200:$L200)&gt;0,$C200=""),1,0)</f>
        <v>0</v>
      </c>
      <c r="AD200" s="52">
        <f>IF(AND(COUNTA($A200:$L200)&gt;0,$C200&lt;&gt;""),IF(COUNTIF(Config!$A$15:$A$34,$C200)=0,1,0),0)</f>
        <v>0</v>
      </c>
      <c r="AE200" s="52">
        <f>IF(AND(COUNTA($A200:$L200)&gt;0,$D200=""),1,0)</f>
        <v>0</v>
      </c>
      <c r="AF200" s="52">
        <f>IF(AND(COUNTA($A200:$L200)&gt;0,$D200&lt;&gt;""),IF(COUNTIF(Products!$A$2:$A$101,$D200)=0,1,0),0)</f>
        <v>0</v>
      </c>
      <c r="AG200" s="52">
        <f>IF(AND(COUNTA($A200:$L200)&gt;0,$C200="Receipt",$E200=""),1,0)</f>
        <v>0</v>
      </c>
      <c r="AH200" s="52">
        <f>IF(AND(COUNTA($A200:$L200)&gt;0,$E200&lt;&gt;""),IF(COUNTIF(Suppliers!$A$2:$A$51,$E200)=0,1,0),0)</f>
        <v>0</v>
      </c>
      <c r="AI200" s="52">
        <f>IF(AND(COUNTA($A200:$L200)&gt;0,$F200=""),1,0)</f>
        <v>0</v>
      </c>
      <c r="AJ200" s="52">
        <f>IF(AND(COUNTA($A200:$L200)&gt;0,$F200&lt;&gt;"",$D200&lt;&gt;"",OR($C200="Shipment",$C200="Adjustment")),IF($AF200=1,0,IF(COUNTIFS(Batches!$A$2:$A$301,$F200,Batches!$B$2:$B$301,$D200)+COUNTIFS($F$1:$F199,$F200,$D$1:$D199,$D200,$C$1:$C199,"Receipt")=0,1,0)),0)</f>
        <v>0</v>
      </c>
      <c r="AK200" s="52">
        <f>IF(AND(COUNTA($A200:$L200)&gt;0,$C200="Receipt",$G200=""),1,0)</f>
        <v>0</v>
      </c>
      <c r="AL200" s="52">
        <f>IF(AND(COUNTA($A200:$L200)&gt;0,$G200&lt;&gt;""),IF($N200="ERR",1,0),0)</f>
        <v>0</v>
      </c>
      <c r="AM200" s="52">
        <f>IF(AND(COUNTA($A200:$L200)&gt;0,$H200=""),1,0)</f>
        <v>0</v>
      </c>
      <c r="AN200" s="52">
        <f>IF(AND(COUNTA($A200:$L200)&gt;0,$H200&lt;&gt;""),IF($O200="ERR",1,IF(INT($O200)&lt;&gt;$O200,1,IF(AND(OR($C200="Receipt",$C200="Shipment"),$O200&lt;=0),1,IF(AND($C200="Adjustment",$O200=0),1,0)))),0)</f>
        <v>0</v>
      </c>
      <c r="AO200" s="52">
        <f>IF(AND(COUNTA($A200:$L200)&gt;0,$C200="Receipt",$I200=""),1,0)</f>
        <v>0</v>
      </c>
      <c r="AP200" s="52">
        <f>IF(AND(COUNTA($A200:$L200)&gt;0,$I200&lt;&gt;""),IF(IFERROR(INDEX(Config!$G$15:$G$34,MATCH($I200,Config!$E$15:$E$34,0)),"No")="Yes",0,1),0)</f>
        <v>0</v>
      </c>
      <c r="AQ200" s="52">
        <f>IF(AND(COUNTA($A200:$L200)&gt;0,$C200="Adjustment",$J200=""),1,0)</f>
        <v>0</v>
      </c>
      <c r="AR200" s="52">
        <f>IF(AND(COUNTA($A200:$L200)&gt;0,$L200=""),1,0)</f>
        <v>0</v>
      </c>
      <c r="AS200" s="52">
        <f>IF(AND(COUNTA($A200:$L200)&gt;0,ISNUMBER($S200)),IF($S200&lt;0,1,0),0)</f>
        <v>0</v>
      </c>
      <c r="AT200" s="52">
        <f>$W200</f>
        <v>0</v>
      </c>
      <c r="AU200" s="52">
        <f>$AT200+$X200</f>
        <v>0</v>
      </c>
      <c r="AV200" s="52">
        <f>$AU200+$Y200</f>
        <v>0</v>
      </c>
      <c r="AW200" s="52">
        <f>$AV200+$Z200</f>
        <v>0</v>
      </c>
      <c r="AX200" s="52">
        <f>$AW200+$AA200</f>
        <v>0</v>
      </c>
      <c r="AY200" s="52">
        <f>$AX200+$AB200</f>
        <v>0</v>
      </c>
      <c r="AZ200" s="52">
        <f>$AY200+$AC200</f>
        <v>0</v>
      </c>
      <c r="BA200" s="52">
        <f>$AZ200+$AD200</f>
        <v>0</v>
      </c>
      <c r="BB200" s="52">
        <f>$BA200+$AE200</f>
        <v>0</v>
      </c>
      <c r="BC200" s="52">
        <f>$BB200+$AF200</f>
        <v>0</v>
      </c>
      <c r="BD200" s="52">
        <f>$BC200+$AG200</f>
        <v>0</v>
      </c>
      <c r="BE200" s="52">
        <f>$BD200+$AH200</f>
        <v>0</v>
      </c>
      <c r="BF200" s="52">
        <f>$BE200+$AI200</f>
        <v>0</v>
      </c>
      <c r="BG200" s="52">
        <f>$BF200+$AJ200</f>
        <v>0</v>
      </c>
      <c r="BH200" s="52">
        <f>$BG200+$AK200</f>
        <v>0</v>
      </c>
      <c r="BI200" s="52">
        <f>$BH200+$AL200</f>
        <v>0</v>
      </c>
      <c r="BJ200" s="52">
        <f>$BI200+$AM200</f>
        <v>0</v>
      </c>
      <c r="BK200" s="52">
        <f>$BJ200+$AN200</f>
        <v>0</v>
      </c>
      <c r="BL200" s="52">
        <f>$BK200+$AO200</f>
        <v>0</v>
      </c>
      <c r="BM200" s="52">
        <f>$BL200+$AP200</f>
        <v>0</v>
      </c>
      <c r="BN200" s="52">
        <f>$BM200+$AQ200</f>
        <v>0</v>
      </c>
      <c r="BO200" s="52">
        <f>$BN200+$AR200</f>
        <v>0</v>
      </c>
      <c r="BP200" s="52">
        <f>$BO200+$AS200</f>
        <v>0</v>
      </c>
      <c r="BQ200" s="52">
        <f>SUM($T$1:$T199)</f>
        <v>11</v>
      </c>
      <c r="BR200" s="52" t="str">
        <f>IF(ISNUMBER($T200),IF($T200&gt;0,COUNTIF($T$2:$T200,"&gt;0"),""),"")</f>
        <v/>
      </c>
      <c r="BS200" s="52" t="str">
        <f>IF($BR200="","",$BQ200+$T200)</f>
        <v/>
      </c>
      <c r="BT200" s="52" t="str">
        <f>IF($U200="Ready",COUNTIF($U$2:$U200,"Ready"),"")</f>
        <v/>
      </c>
      <c r="BU200" s="52">
        <f>IF(AND($U200="Ready",$C200="Receipt"),IF(COUNTIF(Batches!$A$2:$A$301,$F200)+COUNTIFS($F$1:$F199,$F200,$C$1:$C199,"Receipt",$U$1:$U199,"Ready")=0,1,0),0)</f>
        <v>0</v>
      </c>
      <c r="BV200" s="52" t="str">
        <f>IF($BU200=1,SUM($BU$2:$BU200),"")</f>
        <v/>
      </c>
    </row>
    <row r="201">
      <c r="A201" s="46" t="n"/>
      <c r="B201" s="46" t="n"/>
      <c r="C201" s="46" t="n"/>
      <c r="D201" s="46" t="n"/>
      <c r="E201" s="46" t="n"/>
      <c r="F201" s="46" t="n"/>
      <c r="G201" s="46" t="n"/>
      <c r="H201" s="46" t="n"/>
      <c r="I201" s="46" t="n"/>
      <c r="J201" s="46" t="n"/>
      <c r="K201" s="46" t="n"/>
      <c r="L201" s="46" t="n"/>
      <c r="M201" s="62" t="str">
        <f>IF($B201="","",IF(ISNUMBER($B201),$B201,IF(AND(LEN($B201)=10,MID($B201,5,1)="-",MID($B201,8,1)="-"),IFERROR(IF(AND(MONTH(DATE(VALUE(LEFT($B201,4)),VALUE(MID($B201,6,2)),VALUE(RIGHT($B201,2))))=VALUE(MID($B201,6,2)),DAY(DATE(VALUE(LEFT($B201,4)),VALUE(MID($B201,6,2)),VALUE(RIGHT($B201,2))))=VALUE(RIGHT($B201,2))),DATE(VALUE(LEFT($B201,4)),VALUE(MID($B201,6,2)),VALUE(RIGHT($B201,2))),"ERR"),"ERR"),"ERR")))</f>
        <v/>
      </c>
      <c r="N201" s="62" t="str">
        <f>IF($G201="","",IF(ISNUMBER($G201),$G201,IF(AND(LEN($G201)=10,MID($G201,5,1)="-",MID($G201,8,1)="-"),IFERROR(IF(AND(MONTH(DATE(VALUE(LEFT($G201,4)),VALUE(MID($G201,6,2)),VALUE(RIGHT($G201,2))))=VALUE(MID($G201,6,2)),DAY(DATE(VALUE(LEFT($G201,4)),VALUE(MID($G201,6,2)),VALUE(RIGHT($G201,2))))=VALUE(RIGHT($G201,2))),DATE(VALUE(LEFT($G201,4)),VALUE(MID($G201,6,2)),VALUE(RIGHT($G201,2))),"ERR"),"ERR"),"ERR")))</f>
        <v/>
      </c>
      <c r="O201" s="51" t="str">
        <f>IF($H201="","",IF(ISNUMBER($H201),$H201,IFERROR(VALUE($H201),"ERR")))</f>
        <v/>
      </c>
      <c r="P201" s="51" t="str">
        <f>IF(AND(ISNUMBER($O201),OR($C201="Receipt",$C201="Shipment",$C201="Adjustment")),IF($C201="Shipment",-$O201,$O201),"")</f>
        <v/>
      </c>
      <c r="Q201" s="51" t="str">
        <f>IF($D201="","",IFERROR(INDEX(Products!$R$2:$R$101,MATCH($D201,Products!$A$2:$A$101,0)),""))</f>
        <v/>
      </c>
      <c r="R201" s="51" t="str">
        <f>IF(OR($Q201="",$P201=""),"",$Q201+SUMIFS($P$1:$P200,$D$1:$D200,$D201,$U$1:$U200,"Ready"))</f>
        <v/>
      </c>
      <c r="S201" s="51" t="str">
        <f>IF($R201="","",$R201+$P201)</f>
        <v/>
      </c>
      <c r="T201" s="52" t="str">
        <f>IF(COUNTA($A201:$L201)&gt;0,$BP201,"")</f>
        <v/>
      </c>
      <c r="U201" s="49" t="str">
        <f>IF($T201="","",IF($T201=0,"Ready","Rejected"))</f>
        <v/>
      </c>
      <c r="V201" s="49" t="str">
        <f>IF(OR($T201="",$T201=0),"",INDEX(Config!$D$39:$D$61,MATCH(1,$AT201:$BP201,0))&amp;IF($T201&gt;1," (+"&amp;($T201-1)&amp;" more)",""))</f>
        <v/>
      </c>
      <c r="W201" s="52">
        <f>IF(AND(COUNTA($A201:$L201)&gt;0,$A201=""),1,0)</f>
        <v>0</v>
      </c>
      <c r="X201" s="52">
        <f>IF(AND(COUNTA($A201:$L201)&gt;0,$A201&lt;&gt;""),IF(COUNTIF($A$1:$A200,$A201)&gt;0,1,0),0)</f>
        <v>0</v>
      </c>
      <c r="Y201" s="52">
        <f>IF(AND(COUNTA($A201:$L201)&gt;0,$A201&lt;&gt;""),IF(COUNTIF(Inventory_Ledger!$A$2:$A$2001,$A201)&gt;0,1,0),0)</f>
        <v>0</v>
      </c>
      <c r="Z201" s="52">
        <f>IF(AND(COUNTA($A201:$L201)&gt;0,$B201=""),1,0)</f>
        <v>0</v>
      </c>
      <c r="AA201" s="52">
        <f>IF(AND(COUNTA($A201:$L201)&gt;0,$B201&lt;&gt;""),IF($M201="ERR",1,0),0)</f>
        <v>0</v>
      </c>
      <c r="AB201" s="52">
        <f>IF(AND(COUNTA($A201:$L201)&gt;0,ISNUMBER($M201)),IF($M201&gt;Config!$B$4,1,0),0)</f>
        <v>0</v>
      </c>
      <c r="AC201" s="52">
        <f>IF(AND(COUNTA($A201:$L201)&gt;0,$C201=""),1,0)</f>
        <v>0</v>
      </c>
      <c r="AD201" s="52">
        <f>IF(AND(COUNTA($A201:$L201)&gt;0,$C201&lt;&gt;""),IF(COUNTIF(Config!$A$15:$A$34,$C201)=0,1,0),0)</f>
        <v>0</v>
      </c>
      <c r="AE201" s="52">
        <f>IF(AND(COUNTA($A201:$L201)&gt;0,$D201=""),1,0)</f>
        <v>0</v>
      </c>
      <c r="AF201" s="52">
        <f>IF(AND(COUNTA($A201:$L201)&gt;0,$D201&lt;&gt;""),IF(COUNTIF(Products!$A$2:$A$101,$D201)=0,1,0),0)</f>
        <v>0</v>
      </c>
      <c r="AG201" s="52">
        <f>IF(AND(COUNTA($A201:$L201)&gt;0,$C201="Receipt",$E201=""),1,0)</f>
        <v>0</v>
      </c>
      <c r="AH201" s="52">
        <f>IF(AND(COUNTA($A201:$L201)&gt;0,$E201&lt;&gt;""),IF(COUNTIF(Suppliers!$A$2:$A$51,$E201)=0,1,0),0)</f>
        <v>0</v>
      </c>
      <c r="AI201" s="52">
        <f>IF(AND(COUNTA($A201:$L201)&gt;0,$F201=""),1,0)</f>
        <v>0</v>
      </c>
      <c r="AJ201" s="52">
        <f>IF(AND(COUNTA($A201:$L201)&gt;0,$F201&lt;&gt;"",$D201&lt;&gt;"",OR($C201="Shipment",$C201="Adjustment")),IF($AF201=1,0,IF(COUNTIFS(Batches!$A$2:$A$301,$F201,Batches!$B$2:$B$301,$D201)+COUNTIFS($F$1:$F200,$F201,$D$1:$D200,$D201,$C$1:$C200,"Receipt")=0,1,0)),0)</f>
        <v>0</v>
      </c>
      <c r="AK201" s="52">
        <f>IF(AND(COUNTA($A201:$L201)&gt;0,$C201="Receipt",$G201=""),1,0)</f>
        <v>0</v>
      </c>
      <c r="AL201" s="52">
        <f>IF(AND(COUNTA($A201:$L201)&gt;0,$G201&lt;&gt;""),IF($N201="ERR",1,0),0)</f>
        <v>0</v>
      </c>
      <c r="AM201" s="52">
        <f>IF(AND(COUNTA($A201:$L201)&gt;0,$H201=""),1,0)</f>
        <v>0</v>
      </c>
      <c r="AN201" s="52">
        <f>IF(AND(COUNTA($A201:$L201)&gt;0,$H201&lt;&gt;""),IF($O201="ERR",1,IF(INT($O201)&lt;&gt;$O201,1,IF(AND(OR($C201="Receipt",$C201="Shipment"),$O201&lt;=0),1,IF(AND($C201="Adjustment",$O201=0),1,0)))),0)</f>
        <v>0</v>
      </c>
      <c r="AO201" s="52">
        <f>IF(AND(COUNTA($A201:$L201)&gt;0,$C201="Receipt",$I201=""),1,0)</f>
        <v>0</v>
      </c>
      <c r="AP201" s="52">
        <f>IF(AND(COUNTA($A201:$L201)&gt;0,$I201&lt;&gt;""),IF(IFERROR(INDEX(Config!$G$15:$G$34,MATCH($I201,Config!$E$15:$E$34,0)),"No")="Yes",0,1),0)</f>
        <v>0</v>
      </c>
      <c r="AQ201" s="52">
        <f>IF(AND(COUNTA($A201:$L201)&gt;0,$C201="Adjustment",$J201=""),1,0)</f>
        <v>0</v>
      </c>
      <c r="AR201" s="52">
        <f>IF(AND(COUNTA($A201:$L201)&gt;0,$L201=""),1,0)</f>
        <v>0</v>
      </c>
      <c r="AS201" s="52">
        <f>IF(AND(COUNTA($A201:$L201)&gt;0,ISNUMBER($S201)),IF($S201&lt;0,1,0),0)</f>
        <v>0</v>
      </c>
      <c r="AT201" s="52">
        <f>$W201</f>
        <v>0</v>
      </c>
      <c r="AU201" s="52">
        <f>$AT201+$X201</f>
        <v>0</v>
      </c>
      <c r="AV201" s="52">
        <f>$AU201+$Y201</f>
        <v>0</v>
      </c>
      <c r="AW201" s="52">
        <f>$AV201+$Z201</f>
        <v>0</v>
      </c>
      <c r="AX201" s="52">
        <f>$AW201+$AA201</f>
        <v>0</v>
      </c>
      <c r="AY201" s="52">
        <f>$AX201+$AB201</f>
        <v>0</v>
      </c>
      <c r="AZ201" s="52">
        <f>$AY201+$AC201</f>
        <v>0</v>
      </c>
      <c r="BA201" s="52">
        <f>$AZ201+$AD201</f>
        <v>0</v>
      </c>
      <c r="BB201" s="52">
        <f>$BA201+$AE201</f>
        <v>0</v>
      </c>
      <c r="BC201" s="52">
        <f>$BB201+$AF201</f>
        <v>0</v>
      </c>
      <c r="BD201" s="52">
        <f>$BC201+$AG201</f>
        <v>0</v>
      </c>
      <c r="BE201" s="52">
        <f>$BD201+$AH201</f>
        <v>0</v>
      </c>
      <c r="BF201" s="52">
        <f>$BE201+$AI201</f>
        <v>0</v>
      </c>
      <c r="BG201" s="52">
        <f>$BF201+$AJ201</f>
        <v>0</v>
      </c>
      <c r="BH201" s="52">
        <f>$BG201+$AK201</f>
        <v>0</v>
      </c>
      <c r="BI201" s="52">
        <f>$BH201+$AL201</f>
        <v>0</v>
      </c>
      <c r="BJ201" s="52">
        <f>$BI201+$AM201</f>
        <v>0</v>
      </c>
      <c r="BK201" s="52">
        <f>$BJ201+$AN201</f>
        <v>0</v>
      </c>
      <c r="BL201" s="52">
        <f>$BK201+$AO201</f>
        <v>0</v>
      </c>
      <c r="BM201" s="52">
        <f>$BL201+$AP201</f>
        <v>0</v>
      </c>
      <c r="BN201" s="52">
        <f>$BM201+$AQ201</f>
        <v>0</v>
      </c>
      <c r="BO201" s="52">
        <f>$BN201+$AR201</f>
        <v>0</v>
      </c>
      <c r="BP201" s="52">
        <f>$BO201+$AS201</f>
        <v>0</v>
      </c>
      <c r="BQ201" s="52">
        <f>SUM($T$1:$T200)</f>
        <v>11</v>
      </c>
      <c r="BR201" s="52" t="str">
        <f>IF(ISNUMBER($T201),IF($T201&gt;0,COUNTIF($T$2:$T201,"&gt;0"),""),"")</f>
        <v/>
      </c>
      <c r="BS201" s="52" t="str">
        <f>IF($BR201="","",$BQ201+$T201)</f>
        <v/>
      </c>
      <c r="BT201" s="52" t="str">
        <f>IF($U201="Ready",COUNTIF($U$2:$U201,"Ready"),"")</f>
        <v/>
      </c>
      <c r="BU201" s="52">
        <f>IF(AND($U201="Ready",$C201="Receipt"),IF(COUNTIF(Batches!$A$2:$A$301,$F201)+COUNTIFS($F$1:$F200,$F201,$C$1:$C200,"Receipt",$U$1:$U200,"Ready")=0,1,0),0)</f>
        <v>0</v>
      </c>
      <c r="BV201" s="52" t="str">
        <f>IF($BU201=1,SUM($BU$2:$BU201),"")</f>
        <v/>
      </c>
    </row>
    <row r="202">
      <c r="A202" s="46" t="n"/>
      <c r="B202" s="46" t="n"/>
      <c r="C202" s="46" t="n"/>
      <c r="D202" s="46" t="n"/>
      <c r="E202" s="46" t="n"/>
      <c r="F202" s="46" t="n"/>
      <c r="G202" s="46" t="n"/>
      <c r="H202" s="46" t="n"/>
      <c r="I202" s="46" t="n"/>
      <c r="J202" s="46" t="n"/>
      <c r="K202" s="46" t="n"/>
      <c r="L202" s="46" t="n"/>
      <c r="M202" s="62" t="str">
        <f>IF($B202="","",IF(ISNUMBER($B202),$B202,IF(AND(LEN($B202)=10,MID($B202,5,1)="-",MID($B202,8,1)="-"),IFERROR(IF(AND(MONTH(DATE(VALUE(LEFT($B202,4)),VALUE(MID($B202,6,2)),VALUE(RIGHT($B202,2))))=VALUE(MID($B202,6,2)),DAY(DATE(VALUE(LEFT($B202,4)),VALUE(MID($B202,6,2)),VALUE(RIGHT($B202,2))))=VALUE(RIGHT($B202,2))),DATE(VALUE(LEFT($B202,4)),VALUE(MID($B202,6,2)),VALUE(RIGHT($B202,2))),"ERR"),"ERR"),"ERR")))</f>
        <v/>
      </c>
      <c r="N202" s="62" t="str">
        <f>IF($G202="","",IF(ISNUMBER($G202),$G202,IF(AND(LEN($G202)=10,MID($G202,5,1)="-",MID($G202,8,1)="-"),IFERROR(IF(AND(MONTH(DATE(VALUE(LEFT($G202,4)),VALUE(MID($G202,6,2)),VALUE(RIGHT($G202,2))))=VALUE(MID($G202,6,2)),DAY(DATE(VALUE(LEFT($G202,4)),VALUE(MID($G202,6,2)),VALUE(RIGHT($G202,2))))=VALUE(RIGHT($G202,2))),DATE(VALUE(LEFT($G202,4)),VALUE(MID($G202,6,2)),VALUE(RIGHT($G202,2))),"ERR"),"ERR"),"ERR")))</f>
        <v/>
      </c>
      <c r="O202" s="51" t="str">
        <f>IF($H202="","",IF(ISNUMBER($H202),$H202,IFERROR(VALUE($H202),"ERR")))</f>
        <v/>
      </c>
      <c r="P202" s="51" t="str">
        <f>IF(AND(ISNUMBER($O202),OR($C202="Receipt",$C202="Shipment",$C202="Adjustment")),IF($C202="Shipment",-$O202,$O202),"")</f>
        <v/>
      </c>
      <c r="Q202" s="51" t="str">
        <f>IF($D202="","",IFERROR(INDEX(Products!$R$2:$R$101,MATCH($D202,Products!$A$2:$A$101,0)),""))</f>
        <v/>
      </c>
      <c r="R202" s="51" t="str">
        <f>IF(OR($Q202="",$P202=""),"",$Q202+SUMIFS($P$1:$P201,$D$1:$D201,$D202,$U$1:$U201,"Ready"))</f>
        <v/>
      </c>
      <c r="S202" s="51" t="str">
        <f>IF($R202="","",$R202+$P202)</f>
        <v/>
      </c>
      <c r="T202" s="52" t="str">
        <f>IF(COUNTA($A202:$L202)&gt;0,$BP202,"")</f>
        <v/>
      </c>
      <c r="U202" s="49" t="str">
        <f>IF($T202="","",IF($T202=0,"Ready","Rejected"))</f>
        <v/>
      </c>
      <c r="V202" s="49" t="str">
        <f>IF(OR($T202="",$T202=0),"",INDEX(Config!$D$39:$D$61,MATCH(1,$AT202:$BP202,0))&amp;IF($T202&gt;1," (+"&amp;($T202-1)&amp;" more)",""))</f>
        <v/>
      </c>
      <c r="W202" s="52">
        <f>IF(AND(COUNTA($A202:$L202)&gt;0,$A202=""),1,0)</f>
        <v>0</v>
      </c>
      <c r="X202" s="52">
        <f>IF(AND(COUNTA($A202:$L202)&gt;0,$A202&lt;&gt;""),IF(COUNTIF($A$1:$A201,$A202)&gt;0,1,0),0)</f>
        <v>0</v>
      </c>
      <c r="Y202" s="52">
        <f>IF(AND(COUNTA($A202:$L202)&gt;0,$A202&lt;&gt;""),IF(COUNTIF(Inventory_Ledger!$A$2:$A$2001,$A202)&gt;0,1,0),0)</f>
        <v>0</v>
      </c>
      <c r="Z202" s="52">
        <f>IF(AND(COUNTA($A202:$L202)&gt;0,$B202=""),1,0)</f>
        <v>0</v>
      </c>
      <c r="AA202" s="52">
        <f>IF(AND(COUNTA($A202:$L202)&gt;0,$B202&lt;&gt;""),IF($M202="ERR",1,0),0)</f>
        <v>0</v>
      </c>
      <c r="AB202" s="52">
        <f>IF(AND(COUNTA($A202:$L202)&gt;0,ISNUMBER($M202)),IF($M202&gt;Config!$B$4,1,0),0)</f>
        <v>0</v>
      </c>
      <c r="AC202" s="52">
        <f>IF(AND(COUNTA($A202:$L202)&gt;0,$C202=""),1,0)</f>
        <v>0</v>
      </c>
      <c r="AD202" s="52">
        <f>IF(AND(COUNTA($A202:$L202)&gt;0,$C202&lt;&gt;""),IF(COUNTIF(Config!$A$15:$A$34,$C202)=0,1,0),0)</f>
        <v>0</v>
      </c>
      <c r="AE202" s="52">
        <f>IF(AND(COUNTA($A202:$L202)&gt;0,$D202=""),1,0)</f>
        <v>0</v>
      </c>
      <c r="AF202" s="52">
        <f>IF(AND(COUNTA($A202:$L202)&gt;0,$D202&lt;&gt;""),IF(COUNTIF(Products!$A$2:$A$101,$D202)=0,1,0),0)</f>
        <v>0</v>
      </c>
      <c r="AG202" s="52">
        <f>IF(AND(COUNTA($A202:$L202)&gt;0,$C202="Receipt",$E202=""),1,0)</f>
        <v>0</v>
      </c>
      <c r="AH202" s="52">
        <f>IF(AND(COUNTA($A202:$L202)&gt;0,$E202&lt;&gt;""),IF(COUNTIF(Suppliers!$A$2:$A$51,$E202)=0,1,0),0)</f>
        <v>0</v>
      </c>
      <c r="AI202" s="52">
        <f>IF(AND(COUNTA($A202:$L202)&gt;0,$F202=""),1,0)</f>
        <v>0</v>
      </c>
      <c r="AJ202" s="52">
        <f>IF(AND(COUNTA($A202:$L202)&gt;0,$F202&lt;&gt;"",$D202&lt;&gt;"",OR($C202="Shipment",$C202="Adjustment")),IF($AF202=1,0,IF(COUNTIFS(Batches!$A$2:$A$301,$F202,Batches!$B$2:$B$301,$D202)+COUNTIFS($F$1:$F201,$F202,$D$1:$D201,$D202,$C$1:$C201,"Receipt")=0,1,0)),0)</f>
        <v>0</v>
      </c>
      <c r="AK202" s="52">
        <f>IF(AND(COUNTA($A202:$L202)&gt;0,$C202="Receipt",$G202=""),1,0)</f>
        <v>0</v>
      </c>
      <c r="AL202" s="52">
        <f>IF(AND(COUNTA($A202:$L202)&gt;0,$G202&lt;&gt;""),IF($N202="ERR",1,0),0)</f>
        <v>0</v>
      </c>
      <c r="AM202" s="52">
        <f>IF(AND(COUNTA($A202:$L202)&gt;0,$H202=""),1,0)</f>
        <v>0</v>
      </c>
      <c r="AN202" s="52">
        <f>IF(AND(COUNTA($A202:$L202)&gt;0,$H202&lt;&gt;""),IF($O202="ERR",1,IF(INT($O202)&lt;&gt;$O202,1,IF(AND(OR($C202="Receipt",$C202="Shipment"),$O202&lt;=0),1,IF(AND($C202="Adjustment",$O202=0),1,0)))),0)</f>
        <v>0</v>
      </c>
      <c r="AO202" s="52">
        <f>IF(AND(COUNTA($A202:$L202)&gt;0,$C202="Receipt",$I202=""),1,0)</f>
        <v>0</v>
      </c>
      <c r="AP202" s="52">
        <f>IF(AND(COUNTA($A202:$L202)&gt;0,$I202&lt;&gt;""),IF(IFERROR(INDEX(Config!$G$15:$G$34,MATCH($I202,Config!$E$15:$E$34,0)),"No")="Yes",0,1),0)</f>
        <v>0</v>
      </c>
      <c r="AQ202" s="52">
        <f>IF(AND(COUNTA($A202:$L202)&gt;0,$C202="Adjustment",$J202=""),1,0)</f>
        <v>0</v>
      </c>
      <c r="AR202" s="52">
        <f>IF(AND(COUNTA($A202:$L202)&gt;0,$L202=""),1,0)</f>
        <v>0</v>
      </c>
      <c r="AS202" s="52">
        <f>IF(AND(COUNTA($A202:$L202)&gt;0,ISNUMBER($S202)),IF($S202&lt;0,1,0),0)</f>
        <v>0</v>
      </c>
      <c r="AT202" s="52">
        <f>$W202</f>
        <v>0</v>
      </c>
      <c r="AU202" s="52">
        <f>$AT202+$X202</f>
        <v>0</v>
      </c>
      <c r="AV202" s="52">
        <f>$AU202+$Y202</f>
        <v>0</v>
      </c>
      <c r="AW202" s="52">
        <f>$AV202+$Z202</f>
        <v>0</v>
      </c>
      <c r="AX202" s="52">
        <f>$AW202+$AA202</f>
        <v>0</v>
      </c>
      <c r="AY202" s="52">
        <f>$AX202+$AB202</f>
        <v>0</v>
      </c>
      <c r="AZ202" s="52">
        <f>$AY202+$AC202</f>
        <v>0</v>
      </c>
      <c r="BA202" s="52">
        <f>$AZ202+$AD202</f>
        <v>0</v>
      </c>
      <c r="BB202" s="52">
        <f>$BA202+$AE202</f>
        <v>0</v>
      </c>
      <c r="BC202" s="52">
        <f>$BB202+$AF202</f>
        <v>0</v>
      </c>
      <c r="BD202" s="52">
        <f>$BC202+$AG202</f>
        <v>0</v>
      </c>
      <c r="BE202" s="52">
        <f>$BD202+$AH202</f>
        <v>0</v>
      </c>
      <c r="BF202" s="52">
        <f>$BE202+$AI202</f>
        <v>0</v>
      </c>
      <c r="BG202" s="52">
        <f>$BF202+$AJ202</f>
        <v>0</v>
      </c>
      <c r="BH202" s="52">
        <f>$BG202+$AK202</f>
        <v>0</v>
      </c>
      <c r="BI202" s="52">
        <f>$BH202+$AL202</f>
        <v>0</v>
      </c>
      <c r="BJ202" s="52">
        <f>$BI202+$AM202</f>
        <v>0</v>
      </c>
      <c r="BK202" s="52">
        <f>$BJ202+$AN202</f>
        <v>0</v>
      </c>
      <c r="BL202" s="52">
        <f>$BK202+$AO202</f>
        <v>0</v>
      </c>
      <c r="BM202" s="52">
        <f>$BL202+$AP202</f>
        <v>0</v>
      </c>
      <c r="BN202" s="52">
        <f>$BM202+$AQ202</f>
        <v>0</v>
      </c>
      <c r="BO202" s="52">
        <f>$BN202+$AR202</f>
        <v>0</v>
      </c>
      <c r="BP202" s="52">
        <f>$BO202+$AS202</f>
        <v>0</v>
      </c>
      <c r="BQ202" s="52">
        <f>SUM($T$1:$T201)</f>
        <v>11</v>
      </c>
      <c r="BR202" s="52" t="str">
        <f>IF(ISNUMBER($T202),IF($T202&gt;0,COUNTIF($T$2:$T202,"&gt;0"),""),"")</f>
        <v/>
      </c>
      <c r="BS202" s="52" t="str">
        <f>IF($BR202="","",$BQ202+$T202)</f>
        <v/>
      </c>
      <c r="BT202" s="52" t="str">
        <f>IF($U202="Ready",COUNTIF($U$2:$U202,"Ready"),"")</f>
        <v/>
      </c>
      <c r="BU202" s="52">
        <f>IF(AND($U202="Ready",$C202="Receipt"),IF(COUNTIF(Batches!$A$2:$A$301,$F202)+COUNTIFS($F$1:$F201,$F202,$C$1:$C201,"Receipt",$U$1:$U201,"Ready")=0,1,0),0)</f>
        <v>0</v>
      </c>
      <c r="BV202" s="52" t="str">
        <f>IF($BU202=1,SUM($BU$2:$BU202),"")</f>
        <v/>
      </c>
    </row>
    <row r="203">
      <c r="A203" s="46" t="n"/>
      <c r="B203" s="46" t="n"/>
      <c r="C203" s="46" t="n"/>
      <c r="D203" s="46" t="n"/>
      <c r="E203" s="46" t="n"/>
      <c r="F203" s="46" t="n"/>
      <c r="G203" s="46" t="n"/>
      <c r="H203" s="46" t="n"/>
      <c r="I203" s="46" t="n"/>
      <c r="J203" s="46" t="n"/>
      <c r="K203" s="46" t="n"/>
      <c r="L203" s="46" t="n"/>
      <c r="M203" s="62" t="str">
        <f>IF($B203="","",IF(ISNUMBER($B203),$B203,IF(AND(LEN($B203)=10,MID($B203,5,1)="-",MID($B203,8,1)="-"),IFERROR(IF(AND(MONTH(DATE(VALUE(LEFT($B203,4)),VALUE(MID($B203,6,2)),VALUE(RIGHT($B203,2))))=VALUE(MID($B203,6,2)),DAY(DATE(VALUE(LEFT($B203,4)),VALUE(MID($B203,6,2)),VALUE(RIGHT($B203,2))))=VALUE(RIGHT($B203,2))),DATE(VALUE(LEFT($B203,4)),VALUE(MID($B203,6,2)),VALUE(RIGHT($B203,2))),"ERR"),"ERR"),"ERR")))</f>
        <v/>
      </c>
      <c r="N203" s="62" t="str">
        <f>IF($G203="","",IF(ISNUMBER($G203),$G203,IF(AND(LEN($G203)=10,MID($G203,5,1)="-",MID($G203,8,1)="-"),IFERROR(IF(AND(MONTH(DATE(VALUE(LEFT($G203,4)),VALUE(MID($G203,6,2)),VALUE(RIGHT($G203,2))))=VALUE(MID($G203,6,2)),DAY(DATE(VALUE(LEFT($G203,4)),VALUE(MID($G203,6,2)),VALUE(RIGHT($G203,2))))=VALUE(RIGHT($G203,2))),DATE(VALUE(LEFT($G203,4)),VALUE(MID($G203,6,2)),VALUE(RIGHT($G203,2))),"ERR"),"ERR"),"ERR")))</f>
        <v/>
      </c>
      <c r="O203" s="51" t="str">
        <f>IF($H203="","",IF(ISNUMBER($H203),$H203,IFERROR(VALUE($H203),"ERR")))</f>
        <v/>
      </c>
      <c r="P203" s="51" t="str">
        <f>IF(AND(ISNUMBER($O203),OR($C203="Receipt",$C203="Shipment",$C203="Adjustment")),IF($C203="Shipment",-$O203,$O203),"")</f>
        <v/>
      </c>
      <c r="Q203" s="51" t="str">
        <f>IF($D203="","",IFERROR(INDEX(Products!$R$2:$R$101,MATCH($D203,Products!$A$2:$A$101,0)),""))</f>
        <v/>
      </c>
      <c r="R203" s="51" t="str">
        <f>IF(OR($Q203="",$P203=""),"",$Q203+SUMIFS($P$1:$P202,$D$1:$D202,$D203,$U$1:$U202,"Ready"))</f>
        <v/>
      </c>
      <c r="S203" s="51" t="str">
        <f>IF($R203="","",$R203+$P203)</f>
        <v/>
      </c>
      <c r="T203" s="52" t="str">
        <f>IF(COUNTA($A203:$L203)&gt;0,$BP203,"")</f>
        <v/>
      </c>
      <c r="U203" s="49" t="str">
        <f>IF($T203="","",IF($T203=0,"Ready","Rejected"))</f>
        <v/>
      </c>
      <c r="V203" s="49" t="str">
        <f>IF(OR($T203="",$T203=0),"",INDEX(Config!$D$39:$D$61,MATCH(1,$AT203:$BP203,0))&amp;IF($T203&gt;1," (+"&amp;($T203-1)&amp;" more)",""))</f>
        <v/>
      </c>
      <c r="W203" s="52">
        <f>IF(AND(COUNTA($A203:$L203)&gt;0,$A203=""),1,0)</f>
        <v>0</v>
      </c>
      <c r="X203" s="52">
        <f>IF(AND(COUNTA($A203:$L203)&gt;0,$A203&lt;&gt;""),IF(COUNTIF($A$1:$A202,$A203)&gt;0,1,0),0)</f>
        <v>0</v>
      </c>
      <c r="Y203" s="52">
        <f>IF(AND(COUNTA($A203:$L203)&gt;0,$A203&lt;&gt;""),IF(COUNTIF(Inventory_Ledger!$A$2:$A$2001,$A203)&gt;0,1,0),0)</f>
        <v>0</v>
      </c>
      <c r="Z203" s="52">
        <f>IF(AND(COUNTA($A203:$L203)&gt;0,$B203=""),1,0)</f>
        <v>0</v>
      </c>
      <c r="AA203" s="52">
        <f>IF(AND(COUNTA($A203:$L203)&gt;0,$B203&lt;&gt;""),IF($M203="ERR",1,0),0)</f>
        <v>0</v>
      </c>
      <c r="AB203" s="52">
        <f>IF(AND(COUNTA($A203:$L203)&gt;0,ISNUMBER($M203)),IF($M203&gt;Config!$B$4,1,0),0)</f>
        <v>0</v>
      </c>
      <c r="AC203" s="52">
        <f>IF(AND(COUNTA($A203:$L203)&gt;0,$C203=""),1,0)</f>
        <v>0</v>
      </c>
      <c r="AD203" s="52">
        <f>IF(AND(COUNTA($A203:$L203)&gt;0,$C203&lt;&gt;""),IF(COUNTIF(Config!$A$15:$A$34,$C203)=0,1,0),0)</f>
        <v>0</v>
      </c>
      <c r="AE203" s="52">
        <f>IF(AND(COUNTA($A203:$L203)&gt;0,$D203=""),1,0)</f>
        <v>0</v>
      </c>
      <c r="AF203" s="52">
        <f>IF(AND(COUNTA($A203:$L203)&gt;0,$D203&lt;&gt;""),IF(COUNTIF(Products!$A$2:$A$101,$D203)=0,1,0),0)</f>
        <v>0</v>
      </c>
      <c r="AG203" s="52">
        <f>IF(AND(COUNTA($A203:$L203)&gt;0,$C203="Receipt",$E203=""),1,0)</f>
        <v>0</v>
      </c>
      <c r="AH203" s="52">
        <f>IF(AND(COUNTA($A203:$L203)&gt;0,$E203&lt;&gt;""),IF(COUNTIF(Suppliers!$A$2:$A$51,$E203)=0,1,0),0)</f>
        <v>0</v>
      </c>
      <c r="AI203" s="52">
        <f>IF(AND(COUNTA($A203:$L203)&gt;0,$F203=""),1,0)</f>
        <v>0</v>
      </c>
      <c r="AJ203" s="52">
        <f>IF(AND(COUNTA($A203:$L203)&gt;0,$F203&lt;&gt;"",$D203&lt;&gt;"",OR($C203="Shipment",$C203="Adjustment")),IF($AF203=1,0,IF(COUNTIFS(Batches!$A$2:$A$301,$F203,Batches!$B$2:$B$301,$D203)+COUNTIFS($F$1:$F202,$F203,$D$1:$D202,$D203,$C$1:$C202,"Receipt")=0,1,0)),0)</f>
        <v>0</v>
      </c>
      <c r="AK203" s="52">
        <f>IF(AND(COUNTA($A203:$L203)&gt;0,$C203="Receipt",$G203=""),1,0)</f>
        <v>0</v>
      </c>
      <c r="AL203" s="52">
        <f>IF(AND(COUNTA($A203:$L203)&gt;0,$G203&lt;&gt;""),IF($N203="ERR",1,0),0)</f>
        <v>0</v>
      </c>
      <c r="AM203" s="52">
        <f>IF(AND(COUNTA($A203:$L203)&gt;0,$H203=""),1,0)</f>
        <v>0</v>
      </c>
      <c r="AN203" s="52">
        <f>IF(AND(COUNTA($A203:$L203)&gt;0,$H203&lt;&gt;""),IF($O203="ERR",1,IF(INT($O203)&lt;&gt;$O203,1,IF(AND(OR($C203="Receipt",$C203="Shipment"),$O203&lt;=0),1,IF(AND($C203="Adjustment",$O203=0),1,0)))),0)</f>
        <v>0</v>
      </c>
      <c r="AO203" s="52">
        <f>IF(AND(COUNTA($A203:$L203)&gt;0,$C203="Receipt",$I203=""),1,0)</f>
        <v>0</v>
      </c>
      <c r="AP203" s="52">
        <f>IF(AND(COUNTA($A203:$L203)&gt;0,$I203&lt;&gt;""),IF(IFERROR(INDEX(Config!$G$15:$G$34,MATCH($I203,Config!$E$15:$E$34,0)),"No")="Yes",0,1),0)</f>
        <v>0</v>
      </c>
      <c r="AQ203" s="52">
        <f>IF(AND(COUNTA($A203:$L203)&gt;0,$C203="Adjustment",$J203=""),1,0)</f>
        <v>0</v>
      </c>
      <c r="AR203" s="52">
        <f>IF(AND(COUNTA($A203:$L203)&gt;0,$L203=""),1,0)</f>
        <v>0</v>
      </c>
      <c r="AS203" s="52">
        <f>IF(AND(COUNTA($A203:$L203)&gt;0,ISNUMBER($S203)),IF($S203&lt;0,1,0),0)</f>
        <v>0</v>
      </c>
      <c r="AT203" s="52">
        <f>$W203</f>
        <v>0</v>
      </c>
      <c r="AU203" s="52">
        <f>$AT203+$X203</f>
        <v>0</v>
      </c>
      <c r="AV203" s="52">
        <f>$AU203+$Y203</f>
        <v>0</v>
      </c>
      <c r="AW203" s="52">
        <f>$AV203+$Z203</f>
        <v>0</v>
      </c>
      <c r="AX203" s="52">
        <f>$AW203+$AA203</f>
        <v>0</v>
      </c>
      <c r="AY203" s="52">
        <f>$AX203+$AB203</f>
        <v>0</v>
      </c>
      <c r="AZ203" s="52">
        <f>$AY203+$AC203</f>
        <v>0</v>
      </c>
      <c r="BA203" s="52">
        <f>$AZ203+$AD203</f>
        <v>0</v>
      </c>
      <c r="BB203" s="52">
        <f>$BA203+$AE203</f>
        <v>0</v>
      </c>
      <c r="BC203" s="52">
        <f>$BB203+$AF203</f>
        <v>0</v>
      </c>
      <c r="BD203" s="52">
        <f>$BC203+$AG203</f>
        <v>0</v>
      </c>
      <c r="BE203" s="52">
        <f>$BD203+$AH203</f>
        <v>0</v>
      </c>
      <c r="BF203" s="52">
        <f>$BE203+$AI203</f>
        <v>0</v>
      </c>
      <c r="BG203" s="52">
        <f>$BF203+$AJ203</f>
        <v>0</v>
      </c>
      <c r="BH203" s="52">
        <f>$BG203+$AK203</f>
        <v>0</v>
      </c>
      <c r="BI203" s="52">
        <f>$BH203+$AL203</f>
        <v>0</v>
      </c>
      <c r="BJ203" s="52">
        <f>$BI203+$AM203</f>
        <v>0</v>
      </c>
      <c r="BK203" s="52">
        <f>$BJ203+$AN203</f>
        <v>0</v>
      </c>
      <c r="BL203" s="52">
        <f>$BK203+$AO203</f>
        <v>0</v>
      </c>
      <c r="BM203" s="52">
        <f>$BL203+$AP203</f>
        <v>0</v>
      </c>
      <c r="BN203" s="52">
        <f>$BM203+$AQ203</f>
        <v>0</v>
      </c>
      <c r="BO203" s="52">
        <f>$BN203+$AR203</f>
        <v>0</v>
      </c>
      <c r="BP203" s="52">
        <f>$BO203+$AS203</f>
        <v>0</v>
      </c>
      <c r="BQ203" s="52">
        <f>SUM($T$1:$T202)</f>
        <v>11</v>
      </c>
      <c r="BR203" s="52" t="str">
        <f>IF(ISNUMBER($T203),IF($T203&gt;0,COUNTIF($T$2:$T203,"&gt;0"),""),"")</f>
        <v/>
      </c>
      <c r="BS203" s="52" t="str">
        <f>IF($BR203="","",$BQ203+$T203)</f>
        <v/>
      </c>
      <c r="BT203" s="52" t="str">
        <f>IF($U203="Ready",COUNTIF($U$2:$U203,"Ready"),"")</f>
        <v/>
      </c>
      <c r="BU203" s="52">
        <f>IF(AND($U203="Ready",$C203="Receipt"),IF(COUNTIF(Batches!$A$2:$A$301,$F203)+COUNTIFS($F$1:$F202,$F203,$C$1:$C202,"Receipt",$U$1:$U202,"Ready")=0,1,0),0)</f>
        <v>0</v>
      </c>
      <c r="BV203" s="52" t="str">
        <f>IF($BU203=1,SUM($BU$2:$BU203),"")</f>
        <v/>
      </c>
    </row>
    <row r="204">
      <c r="A204" s="46" t="n"/>
      <c r="B204" s="46" t="n"/>
      <c r="C204" s="46" t="n"/>
      <c r="D204" s="46" t="n"/>
      <c r="E204" s="46" t="n"/>
      <c r="F204" s="46" t="n"/>
      <c r="G204" s="46" t="n"/>
      <c r="H204" s="46" t="n"/>
      <c r="I204" s="46" t="n"/>
      <c r="J204" s="46" t="n"/>
      <c r="K204" s="46" t="n"/>
      <c r="L204" s="46" t="n"/>
      <c r="M204" s="62" t="str">
        <f>IF($B204="","",IF(ISNUMBER($B204),$B204,IF(AND(LEN($B204)=10,MID($B204,5,1)="-",MID($B204,8,1)="-"),IFERROR(IF(AND(MONTH(DATE(VALUE(LEFT($B204,4)),VALUE(MID($B204,6,2)),VALUE(RIGHT($B204,2))))=VALUE(MID($B204,6,2)),DAY(DATE(VALUE(LEFT($B204,4)),VALUE(MID($B204,6,2)),VALUE(RIGHT($B204,2))))=VALUE(RIGHT($B204,2))),DATE(VALUE(LEFT($B204,4)),VALUE(MID($B204,6,2)),VALUE(RIGHT($B204,2))),"ERR"),"ERR"),"ERR")))</f>
        <v/>
      </c>
      <c r="N204" s="62" t="str">
        <f>IF($G204="","",IF(ISNUMBER($G204),$G204,IF(AND(LEN($G204)=10,MID($G204,5,1)="-",MID($G204,8,1)="-"),IFERROR(IF(AND(MONTH(DATE(VALUE(LEFT($G204,4)),VALUE(MID($G204,6,2)),VALUE(RIGHT($G204,2))))=VALUE(MID($G204,6,2)),DAY(DATE(VALUE(LEFT($G204,4)),VALUE(MID($G204,6,2)),VALUE(RIGHT($G204,2))))=VALUE(RIGHT($G204,2))),DATE(VALUE(LEFT($G204,4)),VALUE(MID($G204,6,2)),VALUE(RIGHT($G204,2))),"ERR"),"ERR"),"ERR")))</f>
        <v/>
      </c>
      <c r="O204" s="51" t="str">
        <f>IF($H204="","",IF(ISNUMBER($H204),$H204,IFERROR(VALUE($H204),"ERR")))</f>
        <v/>
      </c>
      <c r="P204" s="51" t="str">
        <f>IF(AND(ISNUMBER($O204),OR($C204="Receipt",$C204="Shipment",$C204="Adjustment")),IF($C204="Shipment",-$O204,$O204),"")</f>
        <v/>
      </c>
      <c r="Q204" s="51" t="str">
        <f>IF($D204="","",IFERROR(INDEX(Products!$R$2:$R$101,MATCH($D204,Products!$A$2:$A$101,0)),""))</f>
        <v/>
      </c>
      <c r="R204" s="51" t="str">
        <f>IF(OR($Q204="",$P204=""),"",$Q204+SUMIFS($P$1:$P203,$D$1:$D203,$D204,$U$1:$U203,"Ready"))</f>
        <v/>
      </c>
      <c r="S204" s="51" t="str">
        <f>IF($R204="","",$R204+$P204)</f>
        <v/>
      </c>
      <c r="T204" s="52" t="str">
        <f>IF(COUNTA($A204:$L204)&gt;0,$BP204,"")</f>
        <v/>
      </c>
      <c r="U204" s="49" t="str">
        <f>IF($T204="","",IF($T204=0,"Ready","Rejected"))</f>
        <v/>
      </c>
      <c r="V204" s="49" t="str">
        <f>IF(OR($T204="",$T204=0),"",INDEX(Config!$D$39:$D$61,MATCH(1,$AT204:$BP204,0))&amp;IF($T204&gt;1," (+"&amp;($T204-1)&amp;" more)",""))</f>
        <v/>
      </c>
      <c r="W204" s="52">
        <f>IF(AND(COUNTA($A204:$L204)&gt;0,$A204=""),1,0)</f>
        <v>0</v>
      </c>
      <c r="X204" s="52">
        <f>IF(AND(COUNTA($A204:$L204)&gt;0,$A204&lt;&gt;""),IF(COUNTIF($A$1:$A203,$A204)&gt;0,1,0),0)</f>
        <v>0</v>
      </c>
      <c r="Y204" s="52">
        <f>IF(AND(COUNTA($A204:$L204)&gt;0,$A204&lt;&gt;""),IF(COUNTIF(Inventory_Ledger!$A$2:$A$2001,$A204)&gt;0,1,0),0)</f>
        <v>0</v>
      </c>
      <c r="Z204" s="52">
        <f>IF(AND(COUNTA($A204:$L204)&gt;0,$B204=""),1,0)</f>
        <v>0</v>
      </c>
      <c r="AA204" s="52">
        <f>IF(AND(COUNTA($A204:$L204)&gt;0,$B204&lt;&gt;""),IF($M204="ERR",1,0),0)</f>
        <v>0</v>
      </c>
      <c r="AB204" s="52">
        <f>IF(AND(COUNTA($A204:$L204)&gt;0,ISNUMBER($M204)),IF($M204&gt;Config!$B$4,1,0),0)</f>
        <v>0</v>
      </c>
      <c r="AC204" s="52">
        <f>IF(AND(COUNTA($A204:$L204)&gt;0,$C204=""),1,0)</f>
        <v>0</v>
      </c>
      <c r="AD204" s="52">
        <f>IF(AND(COUNTA($A204:$L204)&gt;0,$C204&lt;&gt;""),IF(COUNTIF(Config!$A$15:$A$34,$C204)=0,1,0),0)</f>
        <v>0</v>
      </c>
      <c r="AE204" s="52">
        <f>IF(AND(COUNTA($A204:$L204)&gt;0,$D204=""),1,0)</f>
        <v>0</v>
      </c>
      <c r="AF204" s="52">
        <f>IF(AND(COUNTA($A204:$L204)&gt;0,$D204&lt;&gt;""),IF(COUNTIF(Products!$A$2:$A$101,$D204)=0,1,0),0)</f>
        <v>0</v>
      </c>
      <c r="AG204" s="52">
        <f>IF(AND(COUNTA($A204:$L204)&gt;0,$C204="Receipt",$E204=""),1,0)</f>
        <v>0</v>
      </c>
      <c r="AH204" s="52">
        <f>IF(AND(COUNTA($A204:$L204)&gt;0,$E204&lt;&gt;""),IF(COUNTIF(Suppliers!$A$2:$A$51,$E204)=0,1,0),0)</f>
        <v>0</v>
      </c>
      <c r="AI204" s="52">
        <f>IF(AND(COUNTA($A204:$L204)&gt;0,$F204=""),1,0)</f>
        <v>0</v>
      </c>
      <c r="AJ204" s="52">
        <f>IF(AND(COUNTA($A204:$L204)&gt;0,$F204&lt;&gt;"",$D204&lt;&gt;"",OR($C204="Shipment",$C204="Adjustment")),IF($AF204=1,0,IF(COUNTIFS(Batches!$A$2:$A$301,$F204,Batches!$B$2:$B$301,$D204)+COUNTIFS($F$1:$F203,$F204,$D$1:$D203,$D204,$C$1:$C203,"Receipt")=0,1,0)),0)</f>
        <v>0</v>
      </c>
      <c r="AK204" s="52">
        <f>IF(AND(COUNTA($A204:$L204)&gt;0,$C204="Receipt",$G204=""),1,0)</f>
        <v>0</v>
      </c>
      <c r="AL204" s="52">
        <f>IF(AND(COUNTA($A204:$L204)&gt;0,$G204&lt;&gt;""),IF($N204="ERR",1,0),0)</f>
        <v>0</v>
      </c>
      <c r="AM204" s="52">
        <f>IF(AND(COUNTA($A204:$L204)&gt;0,$H204=""),1,0)</f>
        <v>0</v>
      </c>
      <c r="AN204" s="52">
        <f>IF(AND(COUNTA($A204:$L204)&gt;0,$H204&lt;&gt;""),IF($O204="ERR",1,IF(INT($O204)&lt;&gt;$O204,1,IF(AND(OR($C204="Receipt",$C204="Shipment"),$O204&lt;=0),1,IF(AND($C204="Adjustment",$O204=0),1,0)))),0)</f>
        <v>0</v>
      </c>
      <c r="AO204" s="52">
        <f>IF(AND(COUNTA($A204:$L204)&gt;0,$C204="Receipt",$I204=""),1,0)</f>
        <v>0</v>
      </c>
      <c r="AP204" s="52">
        <f>IF(AND(COUNTA($A204:$L204)&gt;0,$I204&lt;&gt;""),IF(IFERROR(INDEX(Config!$G$15:$G$34,MATCH($I204,Config!$E$15:$E$34,0)),"No")="Yes",0,1),0)</f>
        <v>0</v>
      </c>
      <c r="AQ204" s="52">
        <f>IF(AND(COUNTA($A204:$L204)&gt;0,$C204="Adjustment",$J204=""),1,0)</f>
        <v>0</v>
      </c>
      <c r="AR204" s="52">
        <f>IF(AND(COUNTA($A204:$L204)&gt;0,$L204=""),1,0)</f>
        <v>0</v>
      </c>
      <c r="AS204" s="52">
        <f>IF(AND(COUNTA($A204:$L204)&gt;0,ISNUMBER($S204)),IF($S204&lt;0,1,0),0)</f>
        <v>0</v>
      </c>
      <c r="AT204" s="52">
        <f>$W204</f>
        <v>0</v>
      </c>
      <c r="AU204" s="52">
        <f>$AT204+$X204</f>
        <v>0</v>
      </c>
      <c r="AV204" s="52">
        <f>$AU204+$Y204</f>
        <v>0</v>
      </c>
      <c r="AW204" s="52">
        <f>$AV204+$Z204</f>
        <v>0</v>
      </c>
      <c r="AX204" s="52">
        <f>$AW204+$AA204</f>
        <v>0</v>
      </c>
      <c r="AY204" s="52">
        <f>$AX204+$AB204</f>
        <v>0</v>
      </c>
      <c r="AZ204" s="52">
        <f>$AY204+$AC204</f>
        <v>0</v>
      </c>
      <c r="BA204" s="52">
        <f>$AZ204+$AD204</f>
        <v>0</v>
      </c>
      <c r="BB204" s="52">
        <f>$BA204+$AE204</f>
        <v>0</v>
      </c>
      <c r="BC204" s="52">
        <f>$BB204+$AF204</f>
        <v>0</v>
      </c>
      <c r="BD204" s="52">
        <f>$BC204+$AG204</f>
        <v>0</v>
      </c>
      <c r="BE204" s="52">
        <f>$BD204+$AH204</f>
        <v>0</v>
      </c>
      <c r="BF204" s="52">
        <f>$BE204+$AI204</f>
        <v>0</v>
      </c>
      <c r="BG204" s="52">
        <f>$BF204+$AJ204</f>
        <v>0</v>
      </c>
      <c r="BH204" s="52">
        <f>$BG204+$AK204</f>
        <v>0</v>
      </c>
      <c r="BI204" s="52">
        <f>$BH204+$AL204</f>
        <v>0</v>
      </c>
      <c r="BJ204" s="52">
        <f>$BI204+$AM204</f>
        <v>0</v>
      </c>
      <c r="BK204" s="52">
        <f>$BJ204+$AN204</f>
        <v>0</v>
      </c>
      <c r="BL204" s="52">
        <f>$BK204+$AO204</f>
        <v>0</v>
      </c>
      <c r="BM204" s="52">
        <f>$BL204+$AP204</f>
        <v>0</v>
      </c>
      <c r="BN204" s="52">
        <f>$BM204+$AQ204</f>
        <v>0</v>
      </c>
      <c r="BO204" s="52">
        <f>$BN204+$AR204</f>
        <v>0</v>
      </c>
      <c r="BP204" s="52">
        <f>$BO204+$AS204</f>
        <v>0</v>
      </c>
      <c r="BQ204" s="52">
        <f>SUM($T$1:$T203)</f>
        <v>11</v>
      </c>
      <c r="BR204" s="52" t="str">
        <f>IF(ISNUMBER($T204),IF($T204&gt;0,COUNTIF($T$2:$T204,"&gt;0"),""),"")</f>
        <v/>
      </c>
      <c r="BS204" s="52" t="str">
        <f>IF($BR204="","",$BQ204+$T204)</f>
        <v/>
      </c>
      <c r="BT204" s="52" t="str">
        <f>IF($U204="Ready",COUNTIF($U$2:$U204,"Ready"),"")</f>
        <v/>
      </c>
      <c r="BU204" s="52">
        <f>IF(AND($U204="Ready",$C204="Receipt"),IF(COUNTIF(Batches!$A$2:$A$301,$F204)+COUNTIFS($F$1:$F203,$F204,$C$1:$C203,"Receipt",$U$1:$U203,"Ready")=0,1,0),0)</f>
        <v>0</v>
      </c>
      <c r="BV204" s="52" t="str">
        <f>IF($BU204=1,SUM($BU$2:$BU204),"")</f>
        <v/>
      </c>
    </row>
    <row r="205">
      <c r="A205" s="46" t="n"/>
      <c r="B205" s="46" t="n"/>
      <c r="C205" s="46" t="n"/>
      <c r="D205" s="46" t="n"/>
      <c r="E205" s="46" t="n"/>
      <c r="F205" s="46" t="n"/>
      <c r="G205" s="46" t="n"/>
      <c r="H205" s="46" t="n"/>
      <c r="I205" s="46" t="n"/>
      <c r="J205" s="46" t="n"/>
      <c r="K205" s="46" t="n"/>
      <c r="L205" s="46" t="n"/>
      <c r="M205" s="62" t="str">
        <f>IF($B205="","",IF(ISNUMBER($B205),$B205,IF(AND(LEN($B205)=10,MID($B205,5,1)="-",MID($B205,8,1)="-"),IFERROR(IF(AND(MONTH(DATE(VALUE(LEFT($B205,4)),VALUE(MID($B205,6,2)),VALUE(RIGHT($B205,2))))=VALUE(MID($B205,6,2)),DAY(DATE(VALUE(LEFT($B205,4)),VALUE(MID($B205,6,2)),VALUE(RIGHT($B205,2))))=VALUE(RIGHT($B205,2))),DATE(VALUE(LEFT($B205,4)),VALUE(MID($B205,6,2)),VALUE(RIGHT($B205,2))),"ERR"),"ERR"),"ERR")))</f>
        <v/>
      </c>
      <c r="N205" s="62" t="str">
        <f>IF($G205="","",IF(ISNUMBER($G205),$G205,IF(AND(LEN($G205)=10,MID($G205,5,1)="-",MID($G205,8,1)="-"),IFERROR(IF(AND(MONTH(DATE(VALUE(LEFT($G205,4)),VALUE(MID($G205,6,2)),VALUE(RIGHT($G205,2))))=VALUE(MID($G205,6,2)),DAY(DATE(VALUE(LEFT($G205,4)),VALUE(MID($G205,6,2)),VALUE(RIGHT($G205,2))))=VALUE(RIGHT($G205,2))),DATE(VALUE(LEFT($G205,4)),VALUE(MID($G205,6,2)),VALUE(RIGHT($G205,2))),"ERR"),"ERR"),"ERR")))</f>
        <v/>
      </c>
      <c r="O205" s="51" t="str">
        <f>IF($H205="","",IF(ISNUMBER($H205),$H205,IFERROR(VALUE($H205),"ERR")))</f>
        <v/>
      </c>
      <c r="P205" s="51" t="str">
        <f>IF(AND(ISNUMBER($O205),OR($C205="Receipt",$C205="Shipment",$C205="Adjustment")),IF($C205="Shipment",-$O205,$O205),"")</f>
        <v/>
      </c>
      <c r="Q205" s="51" t="str">
        <f>IF($D205="","",IFERROR(INDEX(Products!$R$2:$R$101,MATCH($D205,Products!$A$2:$A$101,0)),""))</f>
        <v/>
      </c>
      <c r="R205" s="51" t="str">
        <f>IF(OR($Q205="",$P205=""),"",$Q205+SUMIFS($P$1:$P204,$D$1:$D204,$D205,$U$1:$U204,"Ready"))</f>
        <v/>
      </c>
      <c r="S205" s="51" t="str">
        <f>IF($R205="","",$R205+$P205)</f>
        <v/>
      </c>
      <c r="T205" s="52" t="str">
        <f>IF(COUNTA($A205:$L205)&gt;0,$BP205,"")</f>
        <v/>
      </c>
      <c r="U205" s="49" t="str">
        <f>IF($T205="","",IF($T205=0,"Ready","Rejected"))</f>
        <v/>
      </c>
      <c r="V205" s="49" t="str">
        <f>IF(OR($T205="",$T205=0),"",INDEX(Config!$D$39:$D$61,MATCH(1,$AT205:$BP205,0))&amp;IF($T205&gt;1," (+"&amp;($T205-1)&amp;" more)",""))</f>
        <v/>
      </c>
      <c r="W205" s="52">
        <f>IF(AND(COUNTA($A205:$L205)&gt;0,$A205=""),1,0)</f>
        <v>0</v>
      </c>
      <c r="X205" s="52">
        <f>IF(AND(COUNTA($A205:$L205)&gt;0,$A205&lt;&gt;""),IF(COUNTIF($A$1:$A204,$A205)&gt;0,1,0),0)</f>
        <v>0</v>
      </c>
      <c r="Y205" s="52">
        <f>IF(AND(COUNTA($A205:$L205)&gt;0,$A205&lt;&gt;""),IF(COUNTIF(Inventory_Ledger!$A$2:$A$2001,$A205)&gt;0,1,0),0)</f>
        <v>0</v>
      </c>
      <c r="Z205" s="52">
        <f>IF(AND(COUNTA($A205:$L205)&gt;0,$B205=""),1,0)</f>
        <v>0</v>
      </c>
      <c r="AA205" s="52">
        <f>IF(AND(COUNTA($A205:$L205)&gt;0,$B205&lt;&gt;""),IF($M205="ERR",1,0),0)</f>
        <v>0</v>
      </c>
      <c r="AB205" s="52">
        <f>IF(AND(COUNTA($A205:$L205)&gt;0,ISNUMBER($M205)),IF($M205&gt;Config!$B$4,1,0),0)</f>
        <v>0</v>
      </c>
      <c r="AC205" s="52">
        <f>IF(AND(COUNTA($A205:$L205)&gt;0,$C205=""),1,0)</f>
        <v>0</v>
      </c>
      <c r="AD205" s="52">
        <f>IF(AND(COUNTA($A205:$L205)&gt;0,$C205&lt;&gt;""),IF(COUNTIF(Config!$A$15:$A$34,$C205)=0,1,0),0)</f>
        <v>0</v>
      </c>
      <c r="AE205" s="52">
        <f>IF(AND(COUNTA($A205:$L205)&gt;0,$D205=""),1,0)</f>
        <v>0</v>
      </c>
      <c r="AF205" s="52">
        <f>IF(AND(COUNTA($A205:$L205)&gt;0,$D205&lt;&gt;""),IF(COUNTIF(Products!$A$2:$A$101,$D205)=0,1,0),0)</f>
        <v>0</v>
      </c>
      <c r="AG205" s="52">
        <f>IF(AND(COUNTA($A205:$L205)&gt;0,$C205="Receipt",$E205=""),1,0)</f>
        <v>0</v>
      </c>
      <c r="AH205" s="52">
        <f>IF(AND(COUNTA($A205:$L205)&gt;0,$E205&lt;&gt;""),IF(COUNTIF(Suppliers!$A$2:$A$51,$E205)=0,1,0),0)</f>
        <v>0</v>
      </c>
      <c r="AI205" s="52">
        <f>IF(AND(COUNTA($A205:$L205)&gt;0,$F205=""),1,0)</f>
        <v>0</v>
      </c>
      <c r="AJ205" s="52">
        <f>IF(AND(COUNTA($A205:$L205)&gt;0,$F205&lt;&gt;"",$D205&lt;&gt;"",OR($C205="Shipment",$C205="Adjustment")),IF($AF205=1,0,IF(COUNTIFS(Batches!$A$2:$A$301,$F205,Batches!$B$2:$B$301,$D205)+COUNTIFS($F$1:$F204,$F205,$D$1:$D204,$D205,$C$1:$C204,"Receipt")=0,1,0)),0)</f>
        <v>0</v>
      </c>
      <c r="AK205" s="52">
        <f>IF(AND(COUNTA($A205:$L205)&gt;0,$C205="Receipt",$G205=""),1,0)</f>
        <v>0</v>
      </c>
      <c r="AL205" s="52">
        <f>IF(AND(COUNTA($A205:$L205)&gt;0,$G205&lt;&gt;""),IF($N205="ERR",1,0),0)</f>
        <v>0</v>
      </c>
      <c r="AM205" s="52">
        <f>IF(AND(COUNTA($A205:$L205)&gt;0,$H205=""),1,0)</f>
        <v>0</v>
      </c>
      <c r="AN205" s="52">
        <f>IF(AND(COUNTA($A205:$L205)&gt;0,$H205&lt;&gt;""),IF($O205="ERR",1,IF(INT($O205)&lt;&gt;$O205,1,IF(AND(OR($C205="Receipt",$C205="Shipment"),$O205&lt;=0),1,IF(AND($C205="Adjustment",$O205=0),1,0)))),0)</f>
        <v>0</v>
      </c>
      <c r="AO205" s="52">
        <f>IF(AND(COUNTA($A205:$L205)&gt;0,$C205="Receipt",$I205=""),1,0)</f>
        <v>0</v>
      </c>
      <c r="AP205" s="52">
        <f>IF(AND(COUNTA($A205:$L205)&gt;0,$I205&lt;&gt;""),IF(IFERROR(INDEX(Config!$G$15:$G$34,MATCH($I205,Config!$E$15:$E$34,0)),"No")="Yes",0,1),0)</f>
        <v>0</v>
      </c>
      <c r="AQ205" s="52">
        <f>IF(AND(COUNTA($A205:$L205)&gt;0,$C205="Adjustment",$J205=""),1,0)</f>
        <v>0</v>
      </c>
      <c r="AR205" s="52">
        <f>IF(AND(COUNTA($A205:$L205)&gt;0,$L205=""),1,0)</f>
        <v>0</v>
      </c>
      <c r="AS205" s="52">
        <f>IF(AND(COUNTA($A205:$L205)&gt;0,ISNUMBER($S205)),IF($S205&lt;0,1,0),0)</f>
        <v>0</v>
      </c>
      <c r="AT205" s="52">
        <f>$W205</f>
        <v>0</v>
      </c>
      <c r="AU205" s="52">
        <f>$AT205+$X205</f>
        <v>0</v>
      </c>
      <c r="AV205" s="52">
        <f>$AU205+$Y205</f>
        <v>0</v>
      </c>
      <c r="AW205" s="52">
        <f>$AV205+$Z205</f>
        <v>0</v>
      </c>
      <c r="AX205" s="52">
        <f>$AW205+$AA205</f>
        <v>0</v>
      </c>
      <c r="AY205" s="52">
        <f>$AX205+$AB205</f>
        <v>0</v>
      </c>
      <c r="AZ205" s="52">
        <f>$AY205+$AC205</f>
        <v>0</v>
      </c>
      <c r="BA205" s="52">
        <f>$AZ205+$AD205</f>
        <v>0</v>
      </c>
      <c r="BB205" s="52">
        <f>$BA205+$AE205</f>
        <v>0</v>
      </c>
      <c r="BC205" s="52">
        <f>$BB205+$AF205</f>
        <v>0</v>
      </c>
      <c r="BD205" s="52">
        <f>$BC205+$AG205</f>
        <v>0</v>
      </c>
      <c r="BE205" s="52">
        <f>$BD205+$AH205</f>
        <v>0</v>
      </c>
      <c r="BF205" s="52">
        <f>$BE205+$AI205</f>
        <v>0</v>
      </c>
      <c r="BG205" s="52">
        <f>$BF205+$AJ205</f>
        <v>0</v>
      </c>
      <c r="BH205" s="52">
        <f>$BG205+$AK205</f>
        <v>0</v>
      </c>
      <c r="BI205" s="52">
        <f>$BH205+$AL205</f>
        <v>0</v>
      </c>
      <c r="BJ205" s="52">
        <f>$BI205+$AM205</f>
        <v>0</v>
      </c>
      <c r="BK205" s="52">
        <f>$BJ205+$AN205</f>
        <v>0</v>
      </c>
      <c r="BL205" s="52">
        <f>$BK205+$AO205</f>
        <v>0</v>
      </c>
      <c r="BM205" s="52">
        <f>$BL205+$AP205</f>
        <v>0</v>
      </c>
      <c r="BN205" s="52">
        <f>$BM205+$AQ205</f>
        <v>0</v>
      </c>
      <c r="BO205" s="52">
        <f>$BN205+$AR205</f>
        <v>0</v>
      </c>
      <c r="BP205" s="52">
        <f>$BO205+$AS205</f>
        <v>0</v>
      </c>
      <c r="BQ205" s="52">
        <f>SUM($T$1:$T204)</f>
        <v>11</v>
      </c>
      <c r="BR205" s="52" t="str">
        <f>IF(ISNUMBER($T205),IF($T205&gt;0,COUNTIF($T$2:$T205,"&gt;0"),""),"")</f>
        <v/>
      </c>
      <c r="BS205" s="52" t="str">
        <f>IF($BR205="","",$BQ205+$T205)</f>
        <v/>
      </c>
      <c r="BT205" s="52" t="str">
        <f>IF($U205="Ready",COUNTIF($U$2:$U205,"Ready"),"")</f>
        <v/>
      </c>
      <c r="BU205" s="52">
        <f>IF(AND($U205="Ready",$C205="Receipt"),IF(COUNTIF(Batches!$A$2:$A$301,$F205)+COUNTIFS($F$1:$F204,$F205,$C$1:$C204,"Receipt",$U$1:$U204,"Ready")=0,1,0),0)</f>
        <v>0</v>
      </c>
      <c r="BV205" s="52" t="str">
        <f>IF($BU205=1,SUM($BU$2:$BU205),"")</f>
        <v/>
      </c>
    </row>
    <row r="206">
      <c r="A206" s="46" t="n"/>
      <c r="B206" s="46" t="n"/>
      <c r="C206" s="46" t="n"/>
      <c r="D206" s="46" t="n"/>
      <c r="E206" s="46" t="n"/>
      <c r="F206" s="46" t="n"/>
      <c r="G206" s="46" t="n"/>
      <c r="H206" s="46" t="n"/>
      <c r="I206" s="46" t="n"/>
      <c r="J206" s="46" t="n"/>
      <c r="K206" s="46" t="n"/>
      <c r="L206" s="46" t="n"/>
      <c r="M206" s="62" t="str">
        <f>IF($B206="","",IF(ISNUMBER($B206),$B206,IF(AND(LEN($B206)=10,MID($B206,5,1)="-",MID($B206,8,1)="-"),IFERROR(IF(AND(MONTH(DATE(VALUE(LEFT($B206,4)),VALUE(MID($B206,6,2)),VALUE(RIGHT($B206,2))))=VALUE(MID($B206,6,2)),DAY(DATE(VALUE(LEFT($B206,4)),VALUE(MID($B206,6,2)),VALUE(RIGHT($B206,2))))=VALUE(RIGHT($B206,2))),DATE(VALUE(LEFT($B206,4)),VALUE(MID($B206,6,2)),VALUE(RIGHT($B206,2))),"ERR"),"ERR"),"ERR")))</f>
        <v/>
      </c>
      <c r="N206" s="62" t="str">
        <f>IF($G206="","",IF(ISNUMBER($G206),$G206,IF(AND(LEN($G206)=10,MID($G206,5,1)="-",MID($G206,8,1)="-"),IFERROR(IF(AND(MONTH(DATE(VALUE(LEFT($G206,4)),VALUE(MID($G206,6,2)),VALUE(RIGHT($G206,2))))=VALUE(MID($G206,6,2)),DAY(DATE(VALUE(LEFT($G206,4)),VALUE(MID($G206,6,2)),VALUE(RIGHT($G206,2))))=VALUE(RIGHT($G206,2))),DATE(VALUE(LEFT($G206,4)),VALUE(MID($G206,6,2)),VALUE(RIGHT($G206,2))),"ERR"),"ERR"),"ERR")))</f>
        <v/>
      </c>
      <c r="O206" s="51" t="str">
        <f>IF($H206="","",IF(ISNUMBER($H206),$H206,IFERROR(VALUE($H206),"ERR")))</f>
        <v/>
      </c>
      <c r="P206" s="51" t="str">
        <f>IF(AND(ISNUMBER($O206),OR($C206="Receipt",$C206="Shipment",$C206="Adjustment")),IF($C206="Shipment",-$O206,$O206),"")</f>
        <v/>
      </c>
      <c r="Q206" s="51" t="str">
        <f>IF($D206="","",IFERROR(INDEX(Products!$R$2:$R$101,MATCH($D206,Products!$A$2:$A$101,0)),""))</f>
        <v/>
      </c>
      <c r="R206" s="51" t="str">
        <f>IF(OR($Q206="",$P206=""),"",$Q206+SUMIFS($P$1:$P205,$D$1:$D205,$D206,$U$1:$U205,"Ready"))</f>
        <v/>
      </c>
      <c r="S206" s="51" t="str">
        <f>IF($R206="","",$R206+$P206)</f>
        <v/>
      </c>
      <c r="T206" s="52" t="str">
        <f>IF(COUNTA($A206:$L206)&gt;0,$BP206,"")</f>
        <v/>
      </c>
      <c r="U206" s="49" t="str">
        <f>IF($T206="","",IF($T206=0,"Ready","Rejected"))</f>
        <v/>
      </c>
      <c r="V206" s="49" t="str">
        <f>IF(OR($T206="",$T206=0),"",INDEX(Config!$D$39:$D$61,MATCH(1,$AT206:$BP206,0))&amp;IF($T206&gt;1," (+"&amp;($T206-1)&amp;" more)",""))</f>
        <v/>
      </c>
      <c r="W206" s="52">
        <f>IF(AND(COUNTA($A206:$L206)&gt;0,$A206=""),1,0)</f>
        <v>0</v>
      </c>
      <c r="X206" s="52">
        <f>IF(AND(COUNTA($A206:$L206)&gt;0,$A206&lt;&gt;""),IF(COUNTIF($A$1:$A205,$A206)&gt;0,1,0),0)</f>
        <v>0</v>
      </c>
      <c r="Y206" s="52">
        <f>IF(AND(COUNTA($A206:$L206)&gt;0,$A206&lt;&gt;""),IF(COUNTIF(Inventory_Ledger!$A$2:$A$2001,$A206)&gt;0,1,0),0)</f>
        <v>0</v>
      </c>
      <c r="Z206" s="52">
        <f>IF(AND(COUNTA($A206:$L206)&gt;0,$B206=""),1,0)</f>
        <v>0</v>
      </c>
      <c r="AA206" s="52">
        <f>IF(AND(COUNTA($A206:$L206)&gt;0,$B206&lt;&gt;""),IF($M206="ERR",1,0),0)</f>
        <v>0</v>
      </c>
      <c r="AB206" s="52">
        <f>IF(AND(COUNTA($A206:$L206)&gt;0,ISNUMBER($M206)),IF($M206&gt;Config!$B$4,1,0),0)</f>
        <v>0</v>
      </c>
      <c r="AC206" s="52">
        <f>IF(AND(COUNTA($A206:$L206)&gt;0,$C206=""),1,0)</f>
        <v>0</v>
      </c>
      <c r="AD206" s="52">
        <f>IF(AND(COUNTA($A206:$L206)&gt;0,$C206&lt;&gt;""),IF(COUNTIF(Config!$A$15:$A$34,$C206)=0,1,0),0)</f>
        <v>0</v>
      </c>
      <c r="AE206" s="52">
        <f>IF(AND(COUNTA($A206:$L206)&gt;0,$D206=""),1,0)</f>
        <v>0</v>
      </c>
      <c r="AF206" s="52">
        <f>IF(AND(COUNTA($A206:$L206)&gt;0,$D206&lt;&gt;""),IF(COUNTIF(Products!$A$2:$A$101,$D206)=0,1,0),0)</f>
        <v>0</v>
      </c>
      <c r="AG206" s="52">
        <f>IF(AND(COUNTA($A206:$L206)&gt;0,$C206="Receipt",$E206=""),1,0)</f>
        <v>0</v>
      </c>
      <c r="AH206" s="52">
        <f>IF(AND(COUNTA($A206:$L206)&gt;0,$E206&lt;&gt;""),IF(COUNTIF(Suppliers!$A$2:$A$51,$E206)=0,1,0),0)</f>
        <v>0</v>
      </c>
      <c r="AI206" s="52">
        <f>IF(AND(COUNTA($A206:$L206)&gt;0,$F206=""),1,0)</f>
        <v>0</v>
      </c>
      <c r="AJ206" s="52">
        <f>IF(AND(COUNTA($A206:$L206)&gt;0,$F206&lt;&gt;"",$D206&lt;&gt;"",OR($C206="Shipment",$C206="Adjustment")),IF($AF206=1,0,IF(COUNTIFS(Batches!$A$2:$A$301,$F206,Batches!$B$2:$B$301,$D206)+COUNTIFS($F$1:$F205,$F206,$D$1:$D205,$D206,$C$1:$C205,"Receipt")=0,1,0)),0)</f>
        <v>0</v>
      </c>
      <c r="AK206" s="52">
        <f>IF(AND(COUNTA($A206:$L206)&gt;0,$C206="Receipt",$G206=""),1,0)</f>
        <v>0</v>
      </c>
      <c r="AL206" s="52">
        <f>IF(AND(COUNTA($A206:$L206)&gt;0,$G206&lt;&gt;""),IF($N206="ERR",1,0),0)</f>
        <v>0</v>
      </c>
      <c r="AM206" s="52">
        <f>IF(AND(COUNTA($A206:$L206)&gt;0,$H206=""),1,0)</f>
        <v>0</v>
      </c>
      <c r="AN206" s="52">
        <f>IF(AND(COUNTA($A206:$L206)&gt;0,$H206&lt;&gt;""),IF($O206="ERR",1,IF(INT($O206)&lt;&gt;$O206,1,IF(AND(OR($C206="Receipt",$C206="Shipment"),$O206&lt;=0),1,IF(AND($C206="Adjustment",$O206=0),1,0)))),0)</f>
        <v>0</v>
      </c>
      <c r="AO206" s="52">
        <f>IF(AND(COUNTA($A206:$L206)&gt;0,$C206="Receipt",$I206=""),1,0)</f>
        <v>0</v>
      </c>
      <c r="AP206" s="52">
        <f>IF(AND(COUNTA($A206:$L206)&gt;0,$I206&lt;&gt;""),IF(IFERROR(INDEX(Config!$G$15:$G$34,MATCH($I206,Config!$E$15:$E$34,0)),"No")="Yes",0,1),0)</f>
        <v>0</v>
      </c>
      <c r="AQ206" s="52">
        <f>IF(AND(COUNTA($A206:$L206)&gt;0,$C206="Adjustment",$J206=""),1,0)</f>
        <v>0</v>
      </c>
      <c r="AR206" s="52">
        <f>IF(AND(COUNTA($A206:$L206)&gt;0,$L206=""),1,0)</f>
        <v>0</v>
      </c>
      <c r="AS206" s="52">
        <f>IF(AND(COUNTA($A206:$L206)&gt;0,ISNUMBER($S206)),IF($S206&lt;0,1,0),0)</f>
        <v>0</v>
      </c>
      <c r="AT206" s="52">
        <f>$W206</f>
        <v>0</v>
      </c>
      <c r="AU206" s="52">
        <f>$AT206+$X206</f>
        <v>0</v>
      </c>
      <c r="AV206" s="52">
        <f>$AU206+$Y206</f>
        <v>0</v>
      </c>
      <c r="AW206" s="52">
        <f>$AV206+$Z206</f>
        <v>0</v>
      </c>
      <c r="AX206" s="52">
        <f>$AW206+$AA206</f>
        <v>0</v>
      </c>
      <c r="AY206" s="52">
        <f>$AX206+$AB206</f>
        <v>0</v>
      </c>
      <c r="AZ206" s="52">
        <f>$AY206+$AC206</f>
        <v>0</v>
      </c>
      <c r="BA206" s="52">
        <f>$AZ206+$AD206</f>
        <v>0</v>
      </c>
      <c r="BB206" s="52">
        <f>$BA206+$AE206</f>
        <v>0</v>
      </c>
      <c r="BC206" s="52">
        <f>$BB206+$AF206</f>
        <v>0</v>
      </c>
      <c r="BD206" s="52">
        <f>$BC206+$AG206</f>
        <v>0</v>
      </c>
      <c r="BE206" s="52">
        <f>$BD206+$AH206</f>
        <v>0</v>
      </c>
      <c r="BF206" s="52">
        <f>$BE206+$AI206</f>
        <v>0</v>
      </c>
      <c r="BG206" s="52">
        <f>$BF206+$AJ206</f>
        <v>0</v>
      </c>
      <c r="BH206" s="52">
        <f>$BG206+$AK206</f>
        <v>0</v>
      </c>
      <c r="BI206" s="52">
        <f>$BH206+$AL206</f>
        <v>0</v>
      </c>
      <c r="BJ206" s="52">
        <f>$BI206+$AM206</f>
        <v>0</v>
      </c>
      <c r="BK206" s="52">
        <f>$BJ206+$AN206</f>
        <v>0</v>
      </c>
      <c r="BL206" s="52">
        <f>$BK206+$AO206</f>
        <v>0</v>
      </c>
      <c r="BM206" s="52">
        <f>$BL206+$AP206</f>
        <v>0</v>
      </c>
      <c r="BN206" s="52">
        <f>$BM206+$AQ206</f>
        <v>0</v>
      </c>
      <c r="BO206" s="52">
        <f>$BN206+$AR206</f>
        <v>0</v>
      </c>
      <c r="BP206" s="52">
        <f>$BO206+$AS206</f>
        <v>0</v>
      </c>
      <c r="BQ206" s="52">
        <f>SUM($T$1:$T205)</f>
        <v>11</v>
      </c>
      <c r="BR206" s="52" t="str">
        <f>IF(ISNUMBER($T206),IF($T206&gt;0,COUNTIF($T$2:$T206,"&gt;0"),""),"")</f>
        <v/>
      </c>
      <c r="BS206" s="52" t="str">
        <f>IF($BR206="","",$BQ206+$T206)</f>
        <v/>
      </c>
      <c r="BT206" s="52" t="str">
        <f>IF($U206="Ready",COUNTIF($U$2:$U206,"Ready"),"")</f>
        <v/>
      </c>
      <c r="BU206" s="52">
        <f>IF(AND($U206="Ready",$C206="Receipt"),IF(COUNTIF(Batches!$A$2:$A$301,$F206)+COUNTIFS($F$1:$F205,$F206,$C$1:$C205,"Receipt",$U$1:$U205,"Ready")=0,1,0),0)</f>
        <v>0</v>
      </c>
      <c r="BV206" s="52" t="str">
        <f>IF($BU206=1,SUM($BU$2:$BU206),"")</f>
        <v/>
      </c>
    </row>
    <row r="207">
      <c r="A207" s="46" t="n"/>
      <c r="B207" s="46" t="n"/>
      <c r="C207" s="46" t="n"/>
      <c r="D207" s="46" t="n"/>
      <c r="E207" s="46" t="n"/>
      <c r="F207" s="46" t="n"/>
      <c r="G207" s="46" t="n"/>
      <c r="H207" s="46" t="n"/>
      <c r="I207" s="46" t="n"/>
      <c r="J207" s="46" t="n"/>
      <c r="K207" s="46" t="n"/>
      <c r="L207" s="46" t="n"/>
      <c r="M207" s="62" t="str">
        <f>IF($B207="","",IF(ISNUMBER($B207),$B207,IF(AND(LEN($B207)=10,MID($B207,5,1)="-",MID($B207,8,1)="-"),IFERROR(IF(AND(MONTH(DATE(VALUE(LEFT($B207,4)),VALUE(MID($B207,6,2)),VALUE(RIGHT($B207,2))))=VALUE(MID($B207,6,2)),DAY(DATE(VALUE(LEFT($B207,4)),VALUE(MID($B207,6,2)),VALUE(RIGHT($B207,2))))=VALUE(RIGHT($B207,2))),DATE(VALUE(LEFT($B207,4)),VALUE(MID($B207,6,2)),VALUE(RIGHT($B207,2))),"ERR"),"ERR"),"ERR")))</f>
        <v/>
      </c>
      <c r="N207" s="62" t="str">
        <f>IF($G207="","",IF(ISNUMBER($G207),$G207,IF(AND(LEN($G207)=10,MID($G207,5,1)="-",MID($G207,8,1)="-"),IFERROR(IF(AND(MONTH(DATE(VALUE(LEFT($G207,4)),VALUE(MID($G207,6,2)),VALUE(RIGHT($G207,2))))=VALUE(MID($G207,6,2)),DAY(DATE(VALUE(LEFT($G207,4)),VALUE(MID($G207,6,2)),VALUE(RIGHT($G207,2))))=VALUE(RIGHT($G207,2))),DATE(VALUE(LEFT($G207,4)),VALUE(MID($G207,6,2)),VALUE(RIGHT($G207,2))),"ERR"),"ERR"),"ERR")))</f>
        <v/>
      </c>
      <c r="O207" s="51" t="str">
        <f>IF($H207="","",IF(ISNUMBER($H207),$H207,IFERROR(VALUE($H207),"ERR")))</f>
        <v/>
      </c>
      <c r="P207" s="51" t="str">
        <f>IF(AND(ISNUMBER($O207),OR($C207="Receipt",$C207="Shipment",$C207="Adjustment")),IF($C207="Shipment",-$O207,$O207),"")</f>
        <v/>
      </c>
      <c r="Q207" s="51" t="str">
        <f>IF($D207="","",IFERROR(INDEX(Products!$R$2:$R$101,MATCH($D207,Products!$A$2:$A$101,0)),""))</f>
        <v/>
      </c>
      <c r="R207" s="51" t="str">
        <f>IF(OR($Q207="",$P207=""),"",$Q207+SUMIFS($P$1:$P206,$D$1:$D206,$D207,$U$1:$U206,"Ready"))</f>
        <v/>
      </c>
      <c r="S207" s="51" t="str">
        <f>IF($R207="","",$R207+$P207)</f>
        <v/>
      </c>
      <c r="T207" s="52" t="str">
        <f>IF(COUNTA($A207:$L207)&gt;0,$BP207,"")</f>
        <v/>
      </c>
      <c r="U207" s="49" t="str">
        <f>IF($T207="","",IF($T207=0,"Ready","Rejected"))</f>
        <v/>
      </c>
      <c r="V207" s="49" t="str">
        <f>IF(OR($T207="",$T207=0),"",INDEX(Config!$D$39:$D$61,MATCH(1,$AT207:$BP207,0))&amp;IF($T207&gt;1," (+"&amp;($T207-1)&amp;" more)",""))</f>
        <v/>
      </c>
      <c r="W207" s="52">
        <f>IF(AND(COUNTA($A207:$L207)&gt;0,$A207=""),1,0)</f>
        <v>0</v>
      </c>
      <c r="X207" s="52">
        <f>IF(AND(COUNTA($A207:$L207)&gt;0,$A207&lt;&gt;""),IF(COUNTIF($A$1:$A206,$A207)&gt;0,1,0),0)</f>
        <v>0</v>
      </c>
      <c r="Y207" s="52">
        <f>IF(AND(COUNTA($A207:$L207)&gt;0,$A207&lt;&gt;""),IF(COUNTIF(Inventory_Ledger!$A$2:$A$2001,$A207)&gt;0,1,0),0)</f>
        <v>0</v>
      </c>
      <c r="Z207" s="52">
        <f>IF(AND(COUNTA($A207:$L207)&gt;0,$B207=""),1,0)</f>
        <v>0</v>
      </c>
      <c r="AA207" s="52">
        <f>IF(AND(COUNTA($A207:$L207)&gt;0,$B207&lt;&gt;""),IF($M207="ERR",1,0),0)</f>
        <v>0</v>
      </c>
      <c r="AB207" s="52">
        <f>IF(AND(COUNTA($A207:$L207)&gt;0,ISNUMBER($M207)),IF($M207&gt;Config!$B$4,1,0),0)</f>
        <v>0</v>
      </c>
      <c r="AC207" s="52">
        <f>IF(AND(COUNTA($A207:$L207)&gt;0,$C207=""),1,0)</f>
        <v>0</v>
      </c>
      <c r="AD207" s="52">
        <f>IF(AND(COUNTA($A207:$L207)&gt;0,$C207&lt;&gt;""),IF(COUNTIF(Config!$A$15:$A$34,$C207)=0,1,0),0)</f>
        <v>0</v>
      </c>
      <c r="AE207" s="52">
        <f>IF(AND(COUNTA($A207:$L207)&gt;0,$D207=""),1,0)</f>
        <v>0</v>
      </c>
      <c r="AF207" s="52">
        <f>IF(AND(COUNTA($A207:$L207)&gt;0,$D207&lt;&gt;""),IF(COUNTIF(Products!$A$2:$A$101,$D207)=0,1,0),0)</f>
        <v>0</v>
      </c>
      <c r="AG207" s="52">
        <f>IF(AND(COUNTA($A207:$L207)&gt;0,$C207="Receipt",$E207=""),1,0)</f>
        <v>0</v>
      </c>
      <c r="AH207" s="52">
        <f>IF(AND(COUNTA($A207:$L207)&gt;0,$E207&lt;&gt;""),IF(COUNTIF(Suppliers!$A$2:$A$51,$E207)=0,1,0),0)</f>
        <v>0</v>
      </c>
      <c r="AI207" s="52">
        <f>IF(AND(COUNTA($A207:$L207)&gt;0,$F207=""),1,0)</f>
        <v>0</v>
      </c>
      <c r="AJ207" s="52">
        <f>IF(AND(COUNTA($A207:$L207)&gt;0,$F207&lt;&gt;"",$D207&lt;&gt;"",OR($C207="Shipment",$C207="Adjustment")),IF($AF207=1,0,IF(COUNTIFS(Batches!$A$2:$A$301,$F207,Batches!$B$2:$B$301,$D207)+COUNTIFS($F$1:$F206,$F207,$D$1:$D206,$D207,$C$1:$C206,"Receipt")=0,1,0)),0)</f>
        <v>0</v>
      </c>
      <c r="AK207" s="52">
        <f>IF(AND(COUNTA($A207:$L207)&gt;0,$C207="Receipt",$G207=""),1,0)</f>
        <v>0</v>
      </c>
      <c r="AL207" s="52">
        <f>IF(AND(COUNTA($A207:$L207)&gt;0,$G207&lt;&gt;""),IF($N207="ERR",1,0),0)</f>
        <v>0</v>
      </c>
      <c r="AM207" s="52">
        <f>IF(AND(COUNTA($A207:$L207)&gt;0,$H207=""),1,0)</f>
        <v>0</v>
      </c>
      <c r="AN207" s="52">
        <f>IF(AND(COUNTA($A207:$L207)&gt;0,$H207&lt;&gt;""),IF($O207="ERR",1,IF(INT($O207)&lt;&gt;$O207,1,IF(AND(OR($C207="Receipt",$C207="Shipment"),$O207&lt;=0),1,IF(AND($C207="Adjustment",$O207=0),1,0)))),0)</f>
        <v>0</v>
      </c>
      <c r="AO207" s="52">
        <f>IF(AND(COUNTA($A207:$L207)&gt;0,$C207="Receipt",$I207=""),1,0)</f>
        <v>0</v>
      </c>
      <c r="AP207" s="52">
        <f>IF(AND(COUNTA($A207:$L207)&gt;0,$I207&lt;&gt;""),IF(IFERROR(INDEX(Config!$G$15:$G$34,MATCH($I207,Config!$E$15:$E$34,0)),"No")="Yes",0,1),0)</f>
        <v>0</v>
      </c>
      <c r="AQ207" s="52">
        <f>IF(AND(COUNTA($A207:$L207)&gt;0,$C207="Adjustment",$J207=""),1,0)</f>
        <v>0</v>
      </c>
      <c r="AR207" s="52">
        <f>IF(AND(COUNTA($A207:$L207)&gt;0,$L207=""),1,0)</f>
        <v>0</v>
      </c>
      <c r="AS207" s="52">
        <f>IF(AND(COUNTA($A207:$L207)&gt;0,ISNUMBER($S207)),IF($S207&lt;0,1,0),0)</f>
        <v>0</v>
      </c>
      <c r="AT207" s="52">
        <f>$W207</f>
        <v>0</v>
      </c>
      <c r="AU207" s="52">
        <f>$AT207+$X207</f>
        <v>0</v>
      </c>
      <c r="AV207" s="52">
        <f>$AU207+$Y207</f>
        <v>0</v>
      </c>
      <c r="AW207" s="52">
        <f>$AV207+$Z207</f>
        <v>0</v>
      </c>
      <c r="AX207" s="52">
        <f>$AW207+$AA207</f>
        <v>0</v>
      </c>
      <c r="AY207" s="52">
        <f>$AX207+$AB207</f>
        <v>0</v>
      </c>
      <c r="AZ207" s="52">
        <f>$AY207+$AC207</f>
        <v>0</v>
      </c>
      <c r="BA207" s="52">
        <f>$AZ207+$AD207</f>
        <v>0</v>
      </c>
      <c r="BB207" s="52">
        <f>$BA207+$AE207</f>
        <v>0</v>
      </c>
      <c r="BC207" s="52">
        <f>$BB207+$AF207</f>
        <v>0</v>
      </c>
      <c r="BD207" s="52">
        <f>$BC207+$AG207</f>
        <v>0</v>
      </c>
      <c r="BE207" s="52">
        <f>$BD207+$AH207</f>
        <v>0</v>
      </c>
      <c r="BF207" s="52">
        <f>$BE207+$AI207</f>
        <v>0</v>
      </c>
      <c r="BG207" s="52">
        <f>$BF207+$AJ207</f>
        <v>0</v>
      </c>
      <c r="BH207" s="52">
        <f>$BG207+$AK207</f>
        <v>0</v>
      </c>
      <c r="BI207" s="52">
        <f>$BH207+$AL207</f>
        <v>0</v>
      </c>
      <c r="BJ207" s="52">
        <f>$BI207+$AM207</f>
        <v>0</v>
      </c>
      <c r="BK207" s="52">
        <f>$BJ207+$AN207</f>
        <v>0</v>
      </c>
      <c r="BL207" s="52">
        <f>$BK207+$AO207</f>
        <v>0</v>
      </c>
      <c r="BM207" s="52">
        <f>$BL207+$AP207</f>
        <v>0</v>
      </c>
      <c r="BN207" s="52">
        <f>$BM207+$AQ207</f>
        <v>0</v>
      </c>
      <c r="BO207" s="52">
        <f>$BN207+$AR207</f>
        <v>0</v>
      </c>
      <c r="BP207" s="52">
        <f>$BO207+$AS207</f>
        <v>0</v>
      </c>
      <c r="BQ207" s="52">
        <f>SUM($T$1:$T206)</f>
        <v>11</v>
      </c>
      <c r="BR207" s="52" t="str">
        <f>IF(ISNUMBER($T207),IF($T207&gt;0,COUNTIF($T$2:$T207,"&gt;0"),""),"")</f>
        <v/>
      </c>
      <c r="BS207" s="52" t="str">
        <f>IF($BR207="","",$BQ207+$T207)</f>
        <v/>
      </c>
      <c r="BT207" s="52" t="str">
        <f>IF($U207="Ready",COUNTIF($U$2:$U207,"Ready"),"")</f>
        <v/>
      </c>
      <c r="BU207" s="52">
        <f>IF(AND($U207="Ready",$C207="Receipt"),IF(COUNTIF(Batches!$A$2:$A$301,$F207)+COUNTIFS($F$1:$F206,$F207,$C$1:$C206,"Receipt",$U$1:$U206,"Ready")=0,1,0),0)</f>
        <v>0</v>
      </c>
      <c r="BV207" s="52" t="str">
        <f>IF($BU207=1,SUM($BU$2:$BU207),"")</f>
        <v/>
      </c>
    </row>
    <row r="208">
      <c r="A208" s="46" t="n"/>
      <c r="B208" s="46" t="n"/>
      <c r="C208" s="46" t="n"/>
      <c r="D208" s="46" t="n"/>
      <c r="E208" s="46" t="n"/>
      <c r="F208" s="46" t="n"/>
      <c r="G208" s="46" t="n"/>
      <c r="H208" s="46" t="n"/>
      <c r="I208" s="46" t="n"/>
      <c r="J208" s="46" t="n"/>
      <c r="K208" s="46" t="n"/>
      <c r="L208" s="46" t="n"/>
      <c r="M208" s="62" t="str">
        <f>IF($B208="","",IF(ISNUMBER($B208),$B208,IF(AND(LEN($B208)=10,MID($B208,5,1)="-",MID($B208,8,1)="-"),IFERROR(IF(AND(MONTH(DATE(VALUE(LEFT($B208,4)),VALUE(MID($B208,6,2)),VALUE(RIGHT($B208,2))))=VALUE(MID($B208,6,2)),DAY(DATE(VALUE(LEFT($B208,4)),VALUE(MID($B208,6,2)),VALUE(RIGHT($B208,2))))=VALUE(RIGHT($B208,2))),DATE(VALUE(LEFT($B208,4)),VALUE(MID($B208,6,2)),VALUE(RIGHT($B208,2))),"ERR"),"ERR"),"ERR")))</f>
        <v/>
      </c>
      <c r="N208" s="62" t="str">
        <f>IF($G208="","",IF(ISNUMBER($G208),$G208,IF(AND(LEN($G208)=10,MID($G208,5,1)="-",MID($G208,8,1)="-"),IFERROR(IF(AND(MONTH(DATE(VALUE(LEFT($G208,4)),VALUE(MID($G208,6,2)),VALUE(RIGHT($G208,2))))=VALUE(MID($G208,6,2)),DAY(DATE(VALUE(LEFT($G208,4)),VALUE(MID($G208,6,2)),VALUE(RIGHT($G208,2))))=VALUE(RIGHT($G208,2))),DATE(VALUE(LEFT($G208,4)),VALUE(MID($G208,6,2)),VALUE(RIGHT($G208,2))),"ERR"),"ERR"),"ERR")))</f>
        <v/>
      </c>
      <c r="O208" s="51" t="str">
        <f>IF($H208="","",IF(ISNUMBER($H208),$H208,IFERROR(VALUE($H208),"ERR")))</f>
        <v/>
      </c>
      <c r="P208" s="51" t="str">
        <f>IF(AND(ISNUMBER($O208),OR($C208="Receipt",$C208="Shipment",$C208="Adjustment")),IF($C208="Shipment",-$O208,$O208),"")</f>
        <v/>
      </c>
      <c r="Q208" s="51" t="str">
        <f>IF($D208="","",IFERROR(INDEX(Products!$R$2:$R$101,MATCH($D208,Products!$A$2:$A$101,0)),""))</f>
        <v/>
      </c>
      <c r="R208" s="51" t="str">
        <f>IF(OR($Q208="",$P208=""),"",$Q208+SUMIFS($P$1:$P207,$D$1:$D207,$D208,$U$1:$U207,"Ready"))</f>
        <v/>
      </c>
      <c r="S208" s="51" t="str">
        <f>IF($R208="","",$R208+$P208)</f>
        <v/>
      </c>
      <c r="T208" s="52" t="str">
        <f>IF(COUNTA($A208:$L208)&gt;0,$BP208,"")</f>
        <v/>
      </c>
      <c r="U208" s="49" t="str">
        <f>IF($T208="","",IF($T208=0,"Ready","Rejected"))</f>
        <v/>
      </c>
      <c r="V208" s="49" t="str">
        <f>IF(OR($T208="",$T208=0),"",INDEX(Config!$D$39:$D$61,MATCH(1,$AT208:$BP208,0))&amp;IF($T208&gt;1," (+"&amp;($T208-1)&amp;" more)",""))</f>
        <v/>
      </c>
      <c r="W208" s="52">
        <f>IF(AND(COUNTA($A208:$L208)&gt;0,$A208=""),1,0)</f>
        <v>0</v>
      </c>
      <c r="X208" s="52">
        <f>IF(AND(COUNTA($A208:$L208)&gt;0,$A208&lt;&gt;""),IF(COUNTIF($A$1:$A207,$A208)&gt;0,1,0),0)</f>
        <v>0</v>
      </c>
      <c r="Y208" s="52">
        <f>IF(AND(COUNTA($A208:$L208)&gt;0,$A208&lt;&gt;""),IF(COUNTIF(Inventory_Ledger!$A$2:$A$2001,$A208)&gt;0,1,0),0)</f>
        <v>0</v>
      </c>
      <c r="Z208" s="52">
        <f>IF(AND(COUNTA($A208:$L208)&gt;0,$B208=""),1,0)</f>
        <v>0</v>
      </c>
      <c r="AA208" s="52">
        <f>IF(AND(COUNTA($A208:$L208)&gt;0,$B208&lt;&gt;""),IF($M208="ERR",1,0),0)</f>
        <v>0</v>
      </c>
      <c r="AB208" s="52">
        <f>IF(AND(COUNTA($A208:$L208)&gt;0,ISNUMBER($M208)),IF($M208&gt;Config!$B$4,1,0),0)</f>
        <v>0</v>
      </c>
      <c r="AC208" s="52">
        <f>IF(AND(COUNTA($A208:$L208)&gt;0,$C208=""),1,0)</f>
        <v>0</v>
      </c>
      <c r="AD208" s="52">
        <f>IF(AND(COUNTA($A208:$L208)&gt;0,$C208&lt;&gt;""),IF(COUNTIF(Config!$A$15:$A$34,$C208)=0,1,0),0)</f>
        <v>0</v>
      </c>
      <c r="AE208" s="52">
        <f>IF(AND(COUNTA($A208:$L208)&gt;0,$D208=""),1,0)</f>
        <v>0</v>
      </c>
      <c r="AF208" s="52">
        <f>IF(AND(COUNTA($A208:$L208)&gt;0,$D208&lt;&gt;""),IF(COUNTIF(Products!$A$2:$A$101,$D208)=0,1,0),0)</f>
        <v>0</v>
      </c>
      <c r="AG208" s="52">
        <f>IF(AND(COUNTA($A208:$L208)&gt;0,$C208="Receipt",$E208=""),1,0)</f>
        <v>0</v>
      </c>
      <c r="AH208" s="52">
        <f>IF(AND(COUNTA($A208:$L208)&gt;0,$E208&lt;&gt;""),IF(COUNTIF(Suppliers!$A$2:$A$51,$E208)=0,1,0),0)</f>
        <v>0</v>
      </c>
      <c r="AI208" s="52">
        <f>IF(AND(COUNTA($A208:$L208)&gt;0,$F208=""),1,0)</f>
        <v>0</v>
      </c>
      <c r="AJ208" s="52">
        <f>IF(AND(COUNTA($A208:$L208)&gt;0,$F208&lt;&gt;"",$D208&lt;&gt;"",OR($C208="Shipment",$C208="Adjustment")),IF($AF208=1,0,IF(COUNTIFS(Batches!$A$2:$A$301,$F208,Batches!$B$2:$B$301,$D208)+COUNTIFS($F$1:$F207,$F208,$D$1:$D207,$D208,$C$1:$C207,"Receipt")=0,1,0)),0)</f>
        <v>0</v>
      </c>
      <c r="AK208" s="52">
        <f>IF(AND(COUNTA($A208:$L208)&gt;0,$C208="Receipt",$G208=""),1,0)</f>
        <v>0</v>
      </c>
      <c r="AL208" s="52">
        <f>IF(AND(COUNTA($A208:$L208)&gt;0,$G208&lt;&gt;""),IF($N208="ERR",1,0),0)</f>
        <v>0</v>
      </c>
      <c r="AM208" s="52">
        <f>IF(AND(COUNTA($A208:$L208)&gt;0,$H208=""),1,0)</f>
        <v>0</v>
      </c>
      <c r="AN208" s="52">
        <f>IF(AND(COUNTA($A208:$L208)&gt;0,$H208&lt;&gt;""),IF($O208="ERR",1,IF(INT($O208)&lt;&gt;$O208,1,IF(AND(OR($C208="Receipt",$C208="Shipment"),$O208&lt;=0),1,IF(AND($C208="Adjustment",$O208=0),1,0)))),0)</f>
        <v>0</v>
      </c>
      <c r="AO208" s="52">
        <f>IF(AND(COUNTA($A208:$L208)&gt;0,$C208="Receipt",$I208=""),1,0)</f>
        <v>0</v>
      </c>
      <c r="AP208" s="52">
        <f>IF(AND(COUNTA($A208:$L208)&gt;0,$I208&lt;&gt;""),IF(IFERROR(INDEX(Config!$G$15:$G$34,MATCH($I208,Config!$E$15:$E$34,0)),"No")="Yes",0,1),0)</f>
        <v>0</v>
      </c>
      <c r="AQ208" s="52">
        <f>IF(AND(COUNTA($A208:$L208)&gt;0,$C208="Adjustment",$J208=""),1,0)</f>
        <v>0</v>
      </c>
      <c r="AR208" s="52">
        <f>IF(AND(COUNTA($A208:$L208)&gt;0,$L208=""),1,0)</f>
        <v>0</v>
      </c>
      <c r="AS208" s="52">
        <f>IF(AND(COUNTA($A208:$L208)&gt;0,ISNUMBER($S208)),IF($S208&lt;0,1,0),0)</f>
        <v>0</v>
      </c>
      <c r="AT208" s="52">
        <f>$W208</f>
        <v>0</v>
      </c>
      <c r="AU208" s="52">
        <f>$AT208+$X208</f>
        <v>0</v>
      </c>
      <c r="AV208" s="52">
        <f>$AU208+$Y208</f>
        <v>0</v>
      </c>
      <c r="AW208" s="52">
        <f>$AV208+$Z208</f>
        <v>0</v>
      </c>
      <c r="AX208" s="52">
        <f>$AW208+$AA208</f>
        <v>0</v>
      </c>
      <c r="AY208" s="52">
        <f>$AX208+$AB208</f>
        <v>0</v>
      </c>
      <c r="AZ208" s="52">
        <f>$AY208+$AC208</f>
        <v>0</v>
      </c>
      <c r="BA208" s="52">
        <f>$AZ208+$AD208</f>
        <v>0</v>
      </c>
      <c r="BB208" s="52">
        <f>$BA208+$AE208</f>
        <v>0</v>
      </c>
      <c r="BC208" s="52">
        <f>$BB208+$AF208</f>
        <v>0</v>
      </c>
      <c r="BD208" s="52">
        <f>$BC208+$AG208</f>
        <v>0</v>
      </c>
      <c r="BE208" s="52">
        <f>$BD208+$AH208</f>
        <v>0</v>
      </c>
      <c r="BF208" s="52">
        <f>$BE208+$AI208</f>
        <v>0</v>
      </c>
      <c r="BG208" s="52">
        <f>$BF208+$AJ208</f>
        <v>0</v>
      </c>
      <c r="BH208" s="52">
        <f>$BG208+$AK208</f>
        <v>0</v>
      </c>
      <c r="BI208" s="52">
        <f>$BH208+$AL208</f>
        <v>0</v>
      </c>
      <c r="BJ208" s="52">
        <f>$BI208+$AM208</f>
        <v>0</v>
      </c>
      <c r="BK208" s="52">
        <f>$BJ208+$AN208</f>
        <v>0</v>
      </c>
      <c r="BL208" s="52">
        <f>$BK208+$AO208</f>
        <v>0</v>
      </c>
      <c r="BM208" s="52">
        <f>$BL208+$AP208</f>
        <v>0</v>
      </c>
      <c r="BN208" s="52">
        <f>$BM208+$AQ208</f>
        <v>0</v>
      </c>
      <c r="BO208" s="52">
        <f>$BN208+$AR208</f>
        <v>0</v>
      </c>
      <c r="BP208" s="52">
        <f>$BO208+$AS208</f>
        <v>0</v>
      </c>
      <c r="BQ208" s="52">
        <f>SUM($T$1:$T207)</f>
        <v>11</v>
      </c>
      <c r="BR208" s="52" t="str">
        <f>IF(ISNUMBER($T208),IF($T208&gt;0,COUNTIF($T$2:$T208,"&gt;0"),""),"")</f>
        <v/>
      </c>
      <c r="BS208" s="52" t="str">
        <f>IF($BR208="","",$BQ208+$T208)</f>
        <v/>
      </c>
      <c r="BT208" s="52" t="str">
        <f>IF($U208="Ready",COUNTIF($U$2:$U208,"Ready"),"")</f>
        <v/>
      </c>
      <c r="BU208" s="52">
        <f>IF(AND($U208="Ready",$C208="Receipt"),IF(COUNTIF(Batches!$A$2:$A$301,$F208)+COUNTIFS($F$1:$F207,$F208,$C$1:$C207,"Receipt",$U$1:$U207,"Ready")=0,1,0),0)</f>
        <v>0</v>
      </c>
      <c r="BV208" s="52" t="str">
        <f>IF($BU208=1,SUM($BU$2:$BU208),"")</f>
        <v/>
      </c>
    </row>
    <row r="209">
      <c r="A209" s="46" t="n"/>
      <c r="B209" s="46" t="n"/>
      <c r="C209" s="46" t="n"/>
      <c r="D209" s="46" t="n"/>
      <c r="E209" s="46" t="n"/>
      <c r="F209" s="46" t="n"/>
      <c r="G209" s="46" t="n"/>
      <c r="H209" s="46" t="n"/>
      <c r="I209" s="46" t="n"/>
      <c r="J209" s="46" t="n"/>
      <c r="K209" s="46" t="n"/>
      <c r="L209" s="46" t="n"/>
      <c r="M209" s="62" t="str">
        <f>IF($B209="","",IF(ISNUMBER($B209),$B209,IF(AND(LEN($B209)=10,MID($B209,5,1)="-",MID($B209,8,1)="-"),IFERROR(IF(AND(MONTH(DATE(VALUE(LEFT($B209,4)),VALUE(MID($B209,6,2)),VALUE(RIGHT($B209,2))))=VALUE(MID($B209,6,2)),DAY(DATE(VALUE(LEFT($B209,4)),VALUE(MID($B209,6,2)),VALUE(RIGHT($B209,2))))=VALUE(RIGHT($B209,2))),DATE(VALUE(LEFT($B209,4)),VALUE(MID($B209,6,2)),VALUE(RIGHT($B209,2))),"ERR"),"ERR"),"ERR")))</f>
        <v/>
      </c>
      <c r="N209" s="62" t="str">
        <f>IF($G209="","",IF(ISNUMBER($G209),$G209,IF(AND(LEN($G209)=10,MID($G209,5,1)="-",MID($G209,8,1)="-"),IFERROR(IF(AND(MONTH(DATE(VALUE(LEFT($G209,4)),VALUE(MID($G209,6,2)),VALUE(RIGHT($G209,2))))=VALUE(MID($G209,6,2)),DAY(DATE(VALUE(LEFT($G209,4)),VALUE(MID($G209,6,2)),VALUE(RIGHT($G209,2))))=VALUE(RIGHT($G209,2))),DATE(VALUE(LEFT($G209,4)),VALUE(MID($G209,6,2)),VALUE(RIGHT($G209,2))),"ERR"),"ERR"),"ERR")))</f>
        <v/>
      </c>
      <c r="O209" s="51" t="str">
        <f>IF($H209="","",IF(ISNUMBER($H209),$H209,IFERROR(VALUE($H209),"ERR")))</f>
        <v/>
      </c>
      <c r="P209" s="51" t="str">
        <f>IF(AND(ISNUMBER($O209),OR($C209="Receipt",$C209="Shipment",$C209="Adjustment")),IF($C209="Shipment",-$O209,$O209),"")</f>
        <v/>
      </c>
      <c r="Q209" s="51" t="str">
        <f>IF($D209="","",IFERROR(INDEX(Products!$R$2:$R$101,MATCH($D209,Products!$A$2:$A$101,0)),""))</f>
        <v/>
      </c>
      <c r="R209" s="51" t="str">
        <f>IF(OR($Q209="",$P209=""),"",$Q209+SUMIFS($P$1:$P208,$D$1:$D208,$D209,$U$1:$U208,"Ready"))</f>
        <v/>
      </c>
      <c r="S209" s="51" t="str">
        <f>IF($R209="","",$R209+$P209)</f>
        <v/>
      </c>
      <c r="T209" s="52" t="str">
        <f>IF(COUNTA($A209:$L209)&gt;0,$BP209,"")</f>
        <v/>
      </c>
      <c r="U209" s="49" t="str">
        <f>IF($T209="","",IF($T209=0,"Ready","Rejected"))</f>
        <v/>
      </c>
      <c r="V209" s="49" t="str">
        <f>IF(OR($T209="",$T209=0),"",INDEX(Config!$D$39:$D$61,MATCH(1,$AT209:$BP209,0))&amp;IF($T209&gt;1," (+"&amp;($T209-1)&amp;" more)",""))</f>
        <v/>
      </c>
      <c r="W209" s="52">
        <f>IF(AND(COUNTA($A209:$L209)&gt;0,$A209=""),1,0)</f>
        <v>0</v>
      </c>
      <c r="X209" s="52">
        <f>IF(AND(COUNTA($A209:$L209)&gt;0,$A209&lt;&gt;""),IF(COUNTIF($A$1:$A208,$A209)&gt;0,1,0),0)</f>
        <v>0</v>
      </c>
      <c r="Y209" s="52">
        <f>IF(AND(COUNTA($A209:$L209)&gt;0,$A209&lt;&gt;""),IF(COUNTIF(Inventory_Ledger!$A$2:$A$2001,$A209)&gt;0,1,0),0)</f>
        <v>0</v>
      </c>
      <c r="Z209" s="52">
        <f>IF(AND(COUNTA($A209:$L209)&gt;0,$B209=""),1,0)</f>
        <v>0</v>
      </c>
      <c r="AA209" s="52">
        <f>IF(AND(COUNTA($A209:$L209)&gt;0,$B209&lt;&gt;""),IF($M209="ERR",1,0),0)</f>
        <v>0</v>
      </c>
      <c r="AB209" s="52">
        <f>IF(AND(COUNTA($A209:$L209)&gt;0,ISNUMBER($M209)),IF($M209&gt;Config!$B$4,1,0),0)</f>
        <v>0</v>
      </c>
      <c r="AC209" s="52">
        <f>IF(AND(COUNTA($A209:$L209)&gt;0,$C209=""),1,0)</f>
        <v>0</v>
      </c>
      <c r="AD209" s="52">
        <f>IF(AND(COUNTA($A209:$L209)&gt;0,$C209&lt;&gt;""),IF(COUNTIF(Config!$A$15:$A$34,$C209)=0,1,0),0)</f>
        <v>0</v>
      </c>
      <c r="AE209" s="52">
        <f>IF(AND(COUNTA($A209:$L209)&gt;0,$D209=""),1,0)</f>
        <v>0</v>
      </c>
      <c r="AF209" s="52">
        <f>IF(AND(COUNTA($A209:$L209)&gt;0,$D209&lt;&gt;""),IF(COUNTIF(Products!$A$2:$A$101,$D209)=0,1,0),0)</f>
        <v>0</v>
      </c>
      <c r="AG209" s="52">
        <f>IF(AND(COUNTA($A209:$L209)&gt;0,$C209="Receipt",$E209=""),1,0)</f>
        <v>0</v>
      </c>
      <c r="AH209" s="52">
        <f>IF(AND(COUNTA($A209:$L209)&gt;0,$E209&lt;&gt;""),IF(COUNTIF(Suppliers!$A$2:$A$51,$E209)=0,1,0),0)</f>
        <v>0</v>
      </c>
      <c r="AI209" s="52">
        <f>IF(AND(COUNTA($A209:$L209)&gt;0,$F209=""),1,0)</f>
        <v>0</v>
      </c>
      <c r="AJ209" s="52">
        <f>IF(AND(COUNTA($A209:$L209)&gt;0,$F209&lt;&gt;"",$D209&lt;&gt;"",OR($C209="Shipment",$C209="Adjustment")),IF($AF209=1,0,IF(COUNTIFS(Batches!$A$2:$A$301,$F209,Batches!$B$2:$B$301,$D209)+COUNTIFS($F$1:$F208,$F209,$D$1:$D208,$D209,$C$1:$C208,"Receipt")=0,1,0)),0)</f>
        <v>0</v>
      </c>
      <c r="AK209" s="52">
        <f>IF(AND(COUNTA($A209:$L209)&gt;0,$C209="Receipt",$G209=""),1,0)</f>
        <v>0</v>
      </c>
      <c r="AL209" s="52">
        <f>IF(AND(COUNTA($A209:$L209)&gt;0,$G209&lt;&gt;""),IF($N209="ERR",1,0),0)</f>
        <v>0</v>
      </c>
      <c r="AM209" s="52">
        <f>IF(AND(COUNTA($A209:$L209)&gt;0,$H209=""),1,0)</f>
        <v>0</v>
      </c>
      <c r="AN209" s="52">
        <f>IF(AND(COUNTA($A209:$L209)&gt;0,$H209&lt;&gt;""),IF($O209="ERR",1,IF(INT($O209)&lt;&gt;$O209,1,IF(AND(OR($C209="Receipt",$C209="Shipment"),$O209&lt;=0),1,IF(AND($C209="Adjustment",$O209=0),1,0)))),0)</f>
        <v>0</v>
      </c>
      <c r="AO209" s="52">
        <f>IF(AND(COUNTA($A209:$L209)&gt;0,$C209="Receipt",$I209=""),1,0)</f>
        <v>0</v>
      </c>
      <c r="AP209" s="52">
        <f>IF(AND(COUNTA($A209:$L209)&gt;0,$I209&lt;&gt;""),IF(IFERROR(INDEX(Config!$G$15:$G$34,MATCH($I209,Config!$E$15:$E$34,0)),"No")="Yes",0,1),0)</f>
        <v>0</v>
      </c>
      <c r="AQ209" s="52">
        <f>IF(AND(COUNTA($A209:$L209)&gt;0,$C209="Adjustment",$J209=""),1,0)</f>
        <v>0</v>
      </c>
      <c r="AR209" s="52">
        <f>IF(AND(COUNTA($A209:$L209)&gt;0,$L209=""),1,0)</f>
        <v>0</v>
      </c>
      <c r="AS209" s="52">
        <f>IF(AND(COUNTA($A209:$L209)&gt;0,ISNUMBER($S209)),IF($S209&lt;0,1,0),0)</f>
        <v>0</v>
      </c>
      <c r="AT209" s="52">
        <f>$W209</f>
        <v>0</v>
      </c>
      <c r="AU209" s="52">
        <f>$AT209+$X209</f>
        <v>0</v>
      </c>
      <c r="AV209" s="52">
        <f>$AU209+$Y209</f>
        <v>0</v>
      </c>
      <c r="AW209" s="52">
        <f>$AV209+$Z209</f>
        <v>0</v>
      </c>
      <c r="AX209" s="52">
        <f>$AW209+$AA209</f>
        <v>0</v>
      </c>
      <c r="AY209" s="52">
        <f>$AX209+$AB209</f>
        <v>0</v>
      </c>
      <c r="AZ209" s="52">
        <f>$AY209+$AC209</f>
        <v>0</v>
      </c>
      <c r="BA209" s="52">
        <f>$AZ209+$AD209</f>
        <v>0</v>
      </c>
      <c r="BB209" s="52">
        <f>$BA209+$AE209</f>
        <v>0</v>
      </c>
      <c r="BC209" s="52">
        <f>$BB209+$AF209</f>
        <v>0</v>
      </c>
      <c r="BD209" s="52">
        <f>$BC209+$AG209</f>
        <v>0</v>
      </c>
      <c r="BE209" s="52">
        <f>$BD209+$AH209</f>
        <v>0</v>
      </c>
      <c r="BF209" s="52">
        <f>$BE209+$AI209</f>
        <v>0</v>
      </c>
      <c r="BG209" s="52">
        <f>$BF209+$AJ209</f>
        <v>0</v>
      </c>
      <c r="BH209" s="52">
        <f>$BG209+$AK209</f>
        <v>0</v>
      </c>
      <c r="BI209" s="52">
        <f>$BH209+$AL209</f>
        <v>0</v>
      </c>
      <c r="BJ209" s="52">
        <f>$BI209+$AM209</f>
        <v>0</v>
      </c>
      <c r="BK209" s="52">
        <f>$BJ209+$AN209</f>
        <v>0</v>
      </c>
      <c r="BL209" s="52">
        <f>$BK209+$AO209</f>
        <v>0</v>
      </c>
      <c r="BM209" s="52">
        <f>$BL209+$AP209</f>
        <v>0</v>
      </c>
      <c r="BN209" s="52">
        <f>$BM209+$AQ209</f>
        <v>0</v>
      </c>
      <c r="BO209" s="52">
        <f>$BN209+$AR209</f>
        <v>0</v>
      </c>
      <c r="BP209" s="52">
        <f>$BO209+$AS209</f>
        <v>0</v>
      </c>
      <c r="BQ209" s="52">
        <f>SUM($T$1:$T208)</f>
        <v>11</v>
      </c>
      <c r="BR209" s="52" t="str">
        <f>IF(ISNUMBER($T209),IF($T209&gt;0,COUNTIF($T$2:$T209,"&gt;0"),""),"")</f>
        <v/>
      </c>
      <c r="BS209" s="52" t="str">
        <f>IF($BR209="","",$BQ209+$T209)</f>
        <v/>
      </c>
      <c r="BT209" s="52" t="str">
        <f>IF($U209="Ready",COUNTIF($U$2:$U209,"Ready"),"")</f>
        <v/>
      </c>
      <c r="BU209" s="52">
        <f>IF(AND($U209="Ready",$C209="Receipt"),IF(COUNTIF(Batches!$A$2:$A$301,$F209)+COUNTIFS($F$1:$F208,$F209,$C$1:$C208,"Receipt",$U$1:$U208,"Ready")=0,1,0),0)</f>
        <v>0</v>
      </c>
      <c r="BV209" s="52" t="str">
        <f>IF($BU209=1,SUM($BU$2:$BU209),"")</f>
        <v/>
      </c>
    </row>
    <row r="210">
      <c r="A210" s="46" t="n"/>
      <c r="B210" s="46" t="n"/>
      <c r="C210" s="46" t="n"/>
      <c r="D210" s="46" t="n"/>
      <c r="E210" s="46" t="n"/>
      <c r="F210" s="46" t="n"/>
      <c r="G210" s="46" t="n"/>
      <c r="H210" s="46" t="n"/>
      <c r="I210" s="46" t="n"/>
      <c r="J210" s="46" t="n"/>
      <c r="K210" s="46" t="n"/>
      <c r="L210" s="46" t="n"/>
      <c r="M210" s="62" t="str">
        <f>IF($B210="","",IF(ISNUMBER($B210),$B210,IF(AND(LEN($B210)=10,MID($B210,5,1)="-",MID($B210,8,1)="-"),IFERROR(IF(AND(MONTH(DATE(VALUE(LEFT($B210,4)),VALUE(MID($B210,6,2)),VALUE(RIGHT($B210,2))))=VALUE(MID($B210,6,2)),DAY(DATE(VALUE(LEFT($B210,4)),VALUE(MID($B210,6,2)),VALUE(RIGHT($B210,2))))=VALUE(RIGHT($B210,2))),DATE(VALUE(LEFT($B210,4)),VALUE(MID($B210,6,2)),VALUE(RIGHT($B210,2))),"ERR"),"ERR"),"ERR")))</f>
        <v/>
      </c>
      <c r="N210" s="62" t="str">
        <f>IF($G210="","",IF(ISNUMBER($G210),$G210,IF(AND(LEN($G210)=10,MID($G210,5,1)="-",MID($G210,8,1)="-"),IFERROR(IF(AND(MONTH(DATE(VALUE(LEFT($G210,4)),VALUE(MID($G210,6,2)),VALUE(RIGHT($G210,2))))=VALUE(MID($G210,6,2)),DAY(DATE(VALUE(LEFT($G210,4)),VALUE(MID($G210,6,2)),VALUE(RIGHT($G210,2))))=VALUE(RIGHT($G210,2))),DATE(VALUE(LEFT($G210,4)),VALUE(MID($G210,6,2)),VALUE(RIGHT($G210,2))),"ERR"),"ERR"),"ERR")))</f>
        <v/>
      </c>
      <c r="O210" s="51" t="str">
        <f>IF($H210="","",IF(ISNUMBER($H210),$H210,IFERROR(VALUE($H210),"ERR")))</f>
        <v/>
      </c>
      <c r="P210" s="51" t="str">
        <f>IF(AND(ISNUMBER($O210),OR($C210="Receipt",$C210="Shipment",$C210="Adjustment")),IF($C210="Shipment",-$O210,$O210),"")</f>
        <v/>
      </c>
      <c r="Q210" s="51" t="str">
        <f>IF($D210="","",IFERROR(INDEX(Products!$R$2:$R$101,MATCH($D210,Products!$A$2:$A$101,0)),""))</f>
        <v/>
      </c>
      <c r="R210" s="51" t="str">
        <f>IF(OR($Q210="",$P210=""),"",$Q210+SUMIFS($P$1:$P209,$D$1:$D209,$D210,$U$1:$U209,"Ready"))</f>
        <v/>
      </c>
      <c r="S210" s="51" t="str">
        <f>IF($R210="","",$R210+$P210)</f>
        <v/>
      </c>
      <c r="T210" s="52" t="str">
        <f>IF(COUNTA($A210:$L210)&gt;0,$BP210,"")</f>
        <v/>
      </c>
      <c r="U210" s="49" t="str">
        <f>IF($T210="","",IF($T210=0,"Ready","Rejected"))</f>
        <v/>
      </c>
      <c r="V210" s="49" t="str">
        <f>IF(OR($T210="",$T210=0),"",INDEX(Config!$D$39:$D$61,MATCH(1,$AT210:$BP210,0))&amp;IF($T210&gt;1," (+"&amp;($T210-1)&amp;" more)",""))</f>
        <v/>
      </c>
      <c r="W210" s="52">
        <f>IF(AND(COUNTA($A210:$L210)&gt;0,$A210=""),1,0)</f>
        <v>0</v>
      </c>
      <c r="X210" s="52">
        <f>IF(AND(COUNTA($A210:$L210)&gt;0,$A210&lt;&gt;""),IF(COUNTIF($A$1:$A209,$A210)&gt;0,1,0),0)</f>
        <v>0</v>
      </c>
      <c r="Y210" s="52">
        <f>IF(AND(COUNTA($A210:$L210)&gt;0,$A210&lt;&gt;""),IF(COUNTIF(Inventory_Ledger!$A$2:$A$2001,$A210)&gt;0,1,0),0)</f>
        <v>0</v>
      </c>
      <c r="Z210" s="52">
        <f>IF(AND(COUNTA($A210:$L210)&gt;0,$B210=""),1,0)</f>
        <v>0</v>
      </c>
      <c r="AA210" s="52">
        <f>IF(AND(COUNTA($A210:$L210)&gt;0,$B210&lt;&gt;""),IF($M210="ERR",1,0),0)</f>
        <v>0</v>
      </c>
      <c r="AB210" s="52">
        <f>IF(AND(COUNTA($A210:$L210)&gt;0,ISNUMBER($M210)),IF($M210&gt;Config!$B$4,1,0),0)</f>
        <v>0</v>
      </c>
      <c r="AC210" s="52">
        <f>IF(AND(COUNTA($A210:$L210)&gt;0,$C210=""),1,0)</f>
        <v>0</v>
      </c>
      <c r="AD210" s="52">
        <f>IF(AND(COUNTA($A210:$L210)&gt;0,$C210&lt;&gt;""),IF(COUNTIF(Config!$A$15:$A$34,$C210)=0,1,0),0)</f>
        <v>0</v>
      </c>
      <c r="AE210" s="52">
        <f>IF(AND(COUNTA($A210:$L210)&gt;0,$D210=""),1,0)</f>
        <v>0</v>
      </c>
      <c r="AF210" s="52">
        <f>IF(AND(COUNTA($A210:$L210)&gt;0,$D210&lt;&gt;""),IF(COUNTIF(Products!$A$2:$A$101,$D210)=0,1,0),0)</f>
        <v>0</v>
      </c>
      <c r="AG210" s="52">
        <f>IF(AND(COUNTA($A210:$L210)&gt;0,$C210="Receipt",$E210=""),1,0)</f>
        <v>0</v>
      </c>
      <c r="AH210" s="52">
        <f>IF(AND(COUNTA($A210:$L210)&gt;0,$E210&lt;&gt;""),IF(COUNTIF(Suppliers!$A$2:$A$51,$E210)=0,1,0),0)</f>
        <v>0</v>
      </c>
      <c r="AI210" s="52">
        <f>IF(AND(COUNTA($A210:$L210)&gt;0,$F210=""),1,0)</f>
        <v>0</v>
      </c>
      <c r="AJ210" s="52">
        <f>IF(AND(COUNTA($A210:$L210)&gt;0,$F210&lt;&gt;"",$D210&lt;&gt;"",OR($C210="Shipment",$C210="Adjustment")),IF($AF210=1,0,IF(COUNTIFS(Batches!$A$2:$A$301,$F210,Batches!$B$2:$B$301,$D210)+COUNTIFS($F$1:$F209,$F210,$D$1:$D209,$D210,$C$1:$C209,"Receipt")=0,1,0)),0)</f>
        <v>0</v>
      </c>
      <c r="AK210" s="52">
        <f>IF(AND(COUNTA($A210:$L210)&gt;0,$C210="Receipt",$G210=""),1,0)</f>
        <v>0</v>
      </c>
      <c r="AL210" s="52">
        <f>IF(AND(COUNTA($A210:$L210)&gt;0,$G210&lt;&gt;""),IF($N210="ERR",1,0),0)</f>
        <v>0</v>
      </c>
      <c r="AM210" s="52">
        <f>IF(AND(COUNTA($A210:$L210)&gt;0,$H210=""),1,0)</f>
        <v>0</v>
      </c>
      <c r="AN210" s="52">
        <f>IF(AND(COUNTA($A210:$L210)&gt;0,$H210&lt;&gt;""),IF($O210="ERR",1,IF(INT($O210)&lt;&gt;$O210,1,IF(AND(OR($C210="Receipt",$C210="Shipment"),$O210&lt;=0),1,IF(AND($C210="Adjustment",$O210=0),1,0)))),0)</f>
        <v>0</v>
      </c>
      <c r="AO210" s="52">
        <f>IF(AND(COUNTA($A210:$L210)&gt;0,$C210="Receipt",$I210=""),1,0)</f>
        <v>0</v>
      </c>
      <c r="AP210" s="52">
        <f>IF(AND(COUNTA($A210:$L210)&gt;0,$I210&lt;&gt;""),IF(IFERROR(INDEX(Config!$G$15:$G$34,MATCH($I210,Config!$E$15:$E$34,0)),"No")="Yes",0,1),0)</f>
        <v>0</v>
      </c>
      <c r="AQ210" s="52">
        <f>IF(AND(COUNTA($A210:$L210)&gt;0,$C210="Adjustment",$J210=""),1,0)</f>
        <v>0</v>
      </c>
      <c r="AR210" s="52">
        <f>IF(AND(COUNTA($A210:$L210)&gt;0,$L210=""),1,0)</f>
        <v>0</v>
      </c>
      <c r="AS210" s="52">
        <f>IF(AND(COUNTA($A210:$L210)&gt;0,ISNUMBER($S210)),IF($S210&lt;0,1,0),0)</f>
        <v>0</v>
      </c>
      <c r="AT210" s="52">
        <f>$W210</f>
        <v>0</v>
      </c>
      <c r="AU210" s="52">
        <f>$AT210+$X210</f>
        <v>0</v>
      </c>
      <c r="AV210" s="52">
        <f>$AU210+$Y210</f>
        <v>0</v>
      </c>
      <c r="AW210" s="52">
        <f>$AV210+$Z210</f>
        <v>0</v>
      </c>
      <c r="AX210" s="52">
        <f>$AW210+$AA210</f>
        <v>0</v>
      </c>
      <c r="AY210" s="52">
        <f>$AX210+$AB210</f>
        <v>0</v>
      </c>
      <c r="AZ210" s="52">
        <f>$AY210+$AC210</f>
        <v>0</v>
      </c>
      <c r="BA210" s="52">
        <f>$AZ210+$AD210</f>
        <v>0</v>
      </c>
      <c r="BB210" s="52">
        <f>$BA210+$AE210</f>
        <v>0</v>
      </c>
      <c r="BC210" s="52">
        <f>$BB210+$AF210</f>
        <v>0</v>
      </c>
      <c r="BD210" s="52">
        <f>$BC210+$AG210</f>
        <v>0</v>
      </c>
      <c r="BE210" s="52">
        <f>$BD210+$AH210</f>
        <v>0</v>
      </c>
      <c r="BF210" s="52">
        <f>$BE210+$AI210</f>
        <v>0</v>
      </c>
      <c r="BG210" s="52">
        <f>$BF210+$AJ210</f>
        <v>0</v>
      </c>
      <c r="BH210" s="52">
        <f>$BG210+$AK210</f>
        <v>0</v>
      </c>
      <c r="BI210" s="52">
        <f>$BH210+$AL210</f>
        <v>0</v>
      </c>
      <c r="BJ210" s="52">
        <f>$BI210+$AM210</f>
        <v>0</v>
      </c>
      <c r="BK210" s="52">
        <f>$BJ210+$AN210</f>
        <v>0</v>
      </c>
      <c r="BL210" s="52">
        <f>$BK210+$AO210</f>
        <v>0</v>
      </c>
      <c r="BM210" s="52">
        <f>$BL210+$AP210</f>
        <v>0</v>
      </c>
      <c r="BN210" s="52">
        <f>$BM210+$AQ210</f>
        <v>0</v>
      </c>
      <c r="BO210" s="52">
        <f>$BN210+$AR210</f>
        <v>0</v>
      </c>
      <c r="BP210" s="52">
        <f>$BO210+$AS210</f>
        <v>0</v>
      </c>
      <c r="BQ210" s="52">
        <f>SUM($T$1:$T209)</f>
        <v>11</v>
      </c>
      <c r="BR210" s="52" t="str">
        <f>IF(ISNUMBER($T210),IF($T210&gt;0,COUNTIF($T$2:$T210,"&gt;0"),""),"")</f>
        <v/>
      </c>
      <c r="BS210" s="52" t="str">
        <f>IF($BR210="","",$BQ210+$T210)</f>
        <v/>
      </c>
      <c r="BT210" s="52" t="str">
        <f>IF($U210="Ready",COUNTIF($U$2:$U210,"Ready"),"")</f>
        <v/>
      </c>
      <c r="BU210" s="52">
        <f>IF(AND($U210="Ready",$C210="Receipt"),IF(COUNTIF(Batches!$A$2:$A$301,$F210)+COUNTIFS($F$1:$F209,$F210,$C$1:$C209,"Receipt",$U$1:$U209,"Ready")=0,1,0),0)</f>
        <v>0</v>
      </c>
      <c r="BV210" s="52" t="str">
        <f>IF($BU210=1,SUM($BU$2:$BU210),"")</f>
        <v/>
      </c>
    </row>
    <row r="211">
      <c r="A211" s="46" t="n"/>
      <c r="B211" s="46" t="n"/>
      <c r="C211" s="46" t="n"/>
      <c r="D211" s="46" t="n"/>
      <c r="E211" s="46" t="n"/>
      <c r="F211" s="46" t="n"/>
      <c r="G211" s="46" t="n"/>
      <c r="H211" s="46" t="n"/>
      <c r="I211" s="46" t="n"/>
      <c r="J211" s="46" t="n"/>
      <c r="K211" s="46" t="n"/>
      <c r="L211" s="46" t="n"/>
      <c r="M211" s="62" t="str">
        <f>IF($B211="","",IF(ISNUMBER($B211),$B211,IF(AND(LEN($B211)=10,MID($B211,5,1)="-",MID($B211,8,1)="-"),IFERROR(IF(AND(MONTH(DATE(VALUE(LEFT($B211,4)),VALUE(MID($B211,6,2)),VALUE(RIGHT($B211,2))))=VALUE(MID($B211,6,2)),DAY(DATE(VALUE(LEFT($B211,4)),VALUE(MID($B211,6,2)),VALUE(RIGHT($B211,2))))=VALUE(RIGHT($B211,2))),DATE(VALUE(LEFT($B211,4)),VALUE(MID($B211,6,2)),VALUE(RIGHT($B211,2))),"ERR"),"ERR"),"ERR")))</f>
        <v/>
      </c>
      <c r="N211" s="62" t="str">
        <f>IF($G211="","",IF(ISNUMBER($G211),$G211,IF(AND(LEN($G211)=10,MID($G211,5,1)="-",MID($G211,8,1)="-"),IFERROR(IF(AND(MONTH(DATE(VALUE(LEFT($G211,4)),VALUE(MID($G211,6,2)),VALUE(RIGHT($G211,2))))=VALUE(MID($G211,6,2)),DAY(DATE(VALUE(LEFT($G211,4)),VALUE(MID($G211,6,2)),VALUE(RIGHT($G211,2))))=VALUE(RIGHT($G211,2))),DATE(VALUE(LEFT($G211,4)),VALUE(MID($G211,6,2)),VALUE(RIGHT($G211,2))),"ERR"),"ERR"),"ERR")))</f>
        <v/>
      </c>
      <c r="O211" s="51" t="str">
        <f>IF($H211="","",IF(ISNUMBER($H211),$H211,IFERROR(VALUE($H211),"ERR")))</f>
        <v/>
      </c>
      <c r="P211" s="51" t="str">
        <f>IF(AND(ISNUMBER($O211),OR($C211="Receipt",$C211="Shipment",$C211="Adjustment")),IF($C211="Shipment",-$O211,$O211),"")</f>
        <v/>
      </c>
      <c r="Q211" s="51" t="str">
        <f>IF($D211="","",IFERROR(INDEX(Products!$R$2:$R$101,MATCH($D211,Products!$A$2:$A$101,0)),""))</f>
        <v/>
      </c>
      <c r="R211" s="51" t="str">
        <f>IF(OR($Q211="",$P211=""),"",$Q211+SUMIFS($P$1:$P210,$D$1:$D210,$D211,$U$1:$U210,"Ready"))</f>
        <v/>
      </c>
      <c r="S211" s="51" t="str">
        <f>IF($R211="","",$R211+$P211)</f>
        <v/>
      </c>
      <c r="T211" s="52" t="str">
        <f>IF(COUNTA($A211:$L211)&gt;0,$BP211,"")</f>
        <v/>
      </c>
      <c r="U211" s="49" t="str">
        <f>IF($T211="","",IF($T211=0,"Ready","Rejected"))</f>
        <v/>
      </c>
      <c r="V211" s="49" t="str">
        <f>IF(OR($T211="",$T211=0),"",INDEX(Config!$D$39:$D$61,MATCH(1,$AT211:$BP211,0))&amp;IF($T211&gt;1," (+"&amp;($T211-1)&amp;" more)",""))</f>
        <v/>
      </c>
      <c r="W211" s="52">
        <f>IF(AND(COUNTA($A211:$L211)&gt;0,$A211=""),1,0)</f>
        <v>0</v>
      </c>
      <c r="X211" s="52">
        <f>IF(AND(COUNTA($A211:$L211)&gt;0,$A211&lt;&gt;""),IF(COUNTIF($A$1:$A210,$A211)&gt;0,1,0),0)</f>
        <v>0</v>
      </c>
      <c r="Y211" s="52">
        <f>IF(AND(COUNTA($A211:$L211)&gt;0,$A211&lt;&gt;""),IF(COUNTIF(Inventory_Ledger!$A$2:$A$2001,$A211)&gt;0,1,0),0)</f>
        <v>0</v>
      </c>
      <c r="Z211" s="52">
        <f>IF(AND(COUNTA($A211:$L211)&gt;0,$B211=""),1,0)</f>
        <v>0</v>
      </c>
      <c r="AA211" s="52">
        <f>IF(AND(COUNTA($A211:$L211)&gt;0,$B211&lt;&gt;""),IF($M211="ERR",1,0),0)</f>
        <v>0</v>
      </c>
      <c r="AB211" s="52">
        <f>IF(AND(COUNTA($A211:$L211)&gt;0,ISNUMBER($M211)),IF($M211&gt;Config!$B$4,1,0),0)</f>
        <v>0</v>
      </c>
      <c r="AC211" s="52">
        <f>IF(AND(COUNTA($A211:$L211)&gt;0,$C211=""),1,0)</f>
        <v>0</v>
      </c>
      <c r="AD211" s="52">
        <f>IF(AND(COUNTA($A211:$L211)&gt;0,$C211&lt;&gt;""),IF(COUNTIF(Config!$A$15:$A$34,$C211)=0,1,0),0)</f>
        <v>0</v>
      </c>
      <c r="AE211" s="52">
        <f>IF(AND(COUNTA($A211:$L211)&gt;0,$D211=""),1,0)</f>
        <v>0</v>
      </c>
      <c r="AF211" s="52">
        <f>IF(AND(COUNTA($A211:$L211)&gt;0,$D211&lt;&gt;""),IF(COUNTIF(Products!$A$2:$A$101,$D211)=0,1,0),0)</f>
        <v>0</v>
      </c>
      <c r="AG211" s="52">
        <f>IF(AND(COUNTA($A211:$L211)&gt;0,$C211="Receipt",$E211=""),1,0)</f>
        <v>0</v>
      </c>
      <c r="AH211" s="52">
        <f>IF(AND(COUNTA($A211:$L211)&gt;0,$E211&lt;&gt;""),IF(COUNTIF(Suppliers!$A$2:$A$51,$E211)=0,1,0),0)</f>
        <v>0</v>
      </c>
      <c r="AI211" s="52">
        <f>IF(AND(COUNTA($A211:$L211)&gt;0,$F211=""),1,0)</f>
        <v>0</v>
      </c>
      <c r="AJ211" s="52">
        <f>IF(AND(COUNTA($A211:$L211)&gt;0,$F211&lt;&gt;"",$D211&lt;&gt;"",OR($C211="Shipment",$C211="Adjustment")),IF($AF211=1,0,IF(COUNTIFS(Batches!$A$2:$A$301,$F211,Batches!$B$2:$B$301,$D211)+COUNTIFS($F$1:$F210,$F211,$D$1:$D210,$D211,$C$1:$C210,"Receipt")=0,1,0)),0)</f>
        <v>0</v>
      </c>
      <c r="AK211" s="52">
        <f>IF(AND(COUNTA($A211:$L211)&gt;0,$C211="Receipt",$G211=""),1,0)</f>
        <v>0</v>
      </c>
      <c r="AL211" s="52">
        <f>IF(AND(COUNTA($A211:$L211)&gt;0,$G211&lt;&gt;""),IF($N211="ERR",1,0),0)</f>
        <v>0</v>
      </c>
      <c r="AM211" s="52">
        <f>IF(AND(COUNTA($A211:$L211)&gt;0,$H211=""),1,0)</f>
        <v>0</v>
      </c>
      <c r="AN211" s="52">
        <f>IF(AND(COUNTA($A211:$L211)&gt;0,$H211&lt;&gt;""),IF($O211="ERR",1,IF(INT($O211)&lt;&gt;$O211,1,IF(AND(OR($C211="Receipt",$C211="Shipment"),$O211&lt;=0),1,IF(AND($C211="Adjustment",$O211=0),1,0)))),0)</f>
        <v>0</v>
      </c>
      <c r="AO211" s="52">
        <f>IF(AND(COUNTA($A211:$L211)&gt;0,$C211="Receipt",$I211=""),1,0)</f>
        <v>0</v>
      </c>
      <c r="AP211" s="52">
        <f>IF(AND(COUNTA($A211:$L211)&gt;0,$I211&lt;&gt;""),IF(IFERROR(INDEX(Config!$G$15:$G$34,MATCH($I211,Config!$E$15:$E$34,0)),"No")="Yes",0,1),0)</f>
        <v>0</v>
      </c>
      <c r="AQ211" s="52">
        <f>IF(AND(COUNTA($A211:$L211)&gt;0,$C211="Adjustment",$J211=""),1,0)</f>
        <v>0</v>
      </c>
      <c r="AR211" s="52">
        <f>IF(AND(COUNTA($A211:$L211)&gt;0,$L211=""),1,0)</f>
        <v>0</v>
      </c>
      <c r="AS211" s="52">
        <f>IF(AND(COUNTA($A211:$L211)&gt;0,ISNUMBER($S211)),IF($S211&lt;0,1,0),0)</f>
        <v>0</v>
      </c>
      <c r="AT211" s="52">
        <f>$W211</f>
        <v>0</v>
      </c>
      <c r="AU211" s="52">
        <f>$AT211+$X211</f>
        <v>0</v>
      </c>
      <c r="AV211" s="52">
        <f>$AU211+$Y211</f>
        <v>0</v>
      </c>
      <c r="AW211" s="52">
        <f>$AV211+$Z211</f>
        <v>0</v>
      </c>
      <c r="AX211" s="52">
        <f>$AW211+$AA211</f>
        <v>0</v>
      </c>
      <c r="AY211" s="52">
        <f>$AX211+$AB211</f>
        <v>0</v>
      </c>
      <c r="AZ211" s="52">
        <f>$AY211+$AC211</f>
        <v>0</v>
      </c>
      <c r="BA211" s="52">
        <f>$AZ211+$AD211</f>
        <v>0</v>
      </c>
      <c r="BB211" s="52">
        <f>$BA211+$AE211</f>
        <v>0</v>
      </c>
      <c r="BC211" s="52">
        <f>$BB211+$AF211</f>
        <v>0</v>
      </c>
      <c r="BD211" s="52">
        <f>$BC211+$AG211</f>
        <v>0</v>
      </c>
      <c r="BE211" s="52">
        <f>$BD211+$AH211</f>
        <v>0</v>
      </c>
      <c r="BF211" s="52">
        <f>$BE211+$AI211</f>
        <v>0</v>
      </c>
      <c r="BG211" s="52">
        <f>$BF211+$AJ211</f>
        <v>0</v>
      </c>
      <c r="BH211" s="52">
        <f>$BG211+$AK211</f>
        <v>0</v>
      </c>
      <c r="BI211" s="52">
        <f>$BH211+$AL211</f>
        <v>0</v>
      </c>
      <c r="BJ211" s="52">
        <f>$BI211+$AM211</f>
        <v>0</v>
      </c>
      <c r="BK211" s="52">
        <f>$BJ211+$AN211</f>
        <v>0</v>
      </c>
      <c r="BL211" s="52">
        <f>$BK211+$AO211</f>
        <v>0</v>
      </c>
      <c r="BM211" s="52">
        <f>$BL211+$AP211</f>
        <v>0</v>
      </c>
      <c r="BN211" s="52">
        <f>$BM211+$AQ211</f>
        <v>0</v>
      </c>
      <c r="BO211" s="52">
        <f>$BN211+$AR211</f>
        <v>0</v>
      </c>
      <c r="BP211" s="52">
        <f>$BO211+$AS211</f>
        <v>0</v>
      </c>
      <c r="BQ211" s="52">
        <f>SUM($T$1:$T210)</f>
        <v>11</v>
      </c>
      <c r="BR211" s="52" t="str">
        <f>IF(ISNUMBER($T211),IF($T211&gt;0,COUNTIF($T$2:$T211,"&gt;0"),""),"")</f>
        <v/>
      </c>
      <c r="BS211" s="52" t="str">
        <f>IF($BR211="","",$BQ211+$T211)</f>
        <v/>
      </c>
      <c r="BT211" s="52" t="str">
        <f>IF($U211="Ready",COUNTIF($U$2:$U211,"Ready"),"")</f>
        <v/>
      </c>
      <c r="BU211" s="52">
        <f>IF(AND($U211="Ready",$C211="Receipt"),IF(COUNTIF(Batches!$A$2:$A$301,$F211)+COUNTIFS($F$1:$F210,$F211,$C$1:$C210,"Receipt",$U$1:$U210,"Ready")=0,1,0),0)</f>
        <v>0</v>
      </c>
      <c r="BV211" s="52" t="str">
        <f>IF($BU211=1,SUM($BU$2:$BU211),"")</f>
        <v/>
      </c>
    </row>
    <row r="212">
      <c r="A212" s="46" t="n"/>
      <c r="B212" s="46" t="n"/>
      <c r="C212" s="46" t="n"/>
      <c r="D212" s="46" t="n"/>
      <c r="E212" s="46" t="n"/>
      <c r="F212" s="46" t="n"/>
      <c r="G212" s="46" t="n"/>
      <c r="H212" s="46" t="n"/>
      <c r="I212" s="46" t="n"/>
      <c r="J212" s="46" t="n"/>
      <c r="K212" s="46" t="n"/>
      <c r="L212" s="46" t="n"/>
      <c r="M212" s="62" t="str">
        <f>IF($B212="","",IF(ISNUMBER($B212),$B212,IF(AND(LEN($B212)=10,MID($B212,5,1)="-",MID($B212,8,1)="-"),IFERROR(IF(AND(MONTH(DATE(VALUE(LEFT($B212,4)),VALUE(MID($B212,6,2)),VALUE(RIGHT($B212,2))))=VALUE(MID($B212,6,2)),DAY(DATE(VALUE(LEFT($B212,4)),VALUE(MID($B212,6,2)),VALUE(RIGHT($B212,2))))=VALUE(RIGHT($B212,2))),DATE(VALUE(LEFT($B212,4)),VALUE(MID($B212,6,2)),VALUE(RIGHT($B212,2))),"ERR"),"ERR"),"ERR")))</f>
        <v/>
      </c>
      <c r="N212" s="62" t="str">
        <f>IF($G212="","",IF(ISNUMBER($G212),$G212,IF(AND(LEN($G212)=10,MID($G212,5,1)="-",MID($G212,8,1)="-"),IFERROR(IF(AND(MONTH(DATE(VALUE(LEFT($G212,4)),VALUE(MID($G212,6,2)),VALUE(RIGHT($G212,2))))=VALUE(MID($G212,6,2)),DAY(DATE(VALUE(LEFT($G212,4)),VALUE(MID($G212,6,2)),VALUE(RIGHT($G212,2))))=VALUE(RIGHT($G212,2))),DATE(VALUE(LEFT($G212,4)),VALUE(MID($G212,6,2)),VALUE(RIGHT($G212,2))),"ERR"),"ERR"),"ERR")))</f>
        <v/>
      </c>
      <c r="O212" s="51" t="str">
        <f>IF($H212="","",IF(ISNUMBER($H212),$H212,IFERROR(VALUE($H212),"ERR")))</f>
        <v/>
      </c>
      <c r="P212" s="51" t="str">
        <f>IF(AND(ISNUMBER($O212),OR($C212="Receipt",$C212="Shipment",$C212="Adjustment")),IF($C212="Shipment",-$O212,$O212),"")</f>
        <v/>
      </c>
      <c r="Q212" s="51" t="str">
        <f>IF($D212="","",IFERROR(INDEX(Products!$R$2:$R$101,MATCH($D212,Products!$A$2:$A$101,0)),""))</f>
        <v/>
      </c>
      <c r="R212" s="51" t="str">
        <f>IF(OR($Q212="",$P212=""),"",$Q212+SUMIFS($P$1:$P211,$D$1:$D211,$D212,$U$1:$U211,"Ready"))</f>
        <v/>
      </c>
      <c r="S212" s="51" t="str">
        <f>IF($R212="","",$R212+$P212)</f>
        <v/>
      </c>
      <c r="T212" s="52" t="str">
        <f>IF(COUNTA($A212:$L212)&gt;0,$BP212,"")</f>
        <v/>
      </c>
      <c r="U212" s="49" t="str">
        <f>IF($T212="","",IF($T212=0,"Ready","Rejected"))</f>
        <v/>
      </c>
      <c r="V212" s="49" t="str">
        <f>IF(OR($T212="",$T212=0),"",INDEX(Config!$D$39:$D$61,MATCH(1,$AT212:$BP212,0))&amp;IF($T212&gt;1," (+"&amp;($T212-1)&amp;" more)",""))</f>
        <v/>
      </c>
      <c r="W212" s="52">
        <f>IF(AND(COUNTA($A212:$L212)&gt;0,$A212=""),1,0)</f>
        <v>0</v>
      </c>
      <c r="X212" s="52">
        <f>IF(AND(COUNTA($A212:$L212)&gt;0,$A212&lt;&gt;""),IF(COUNTIF($A$1:$A211,$A212)&gt;0,1,0),0)</f>
        <v>0</v>
      </c>
      <c r="Y212" s="52">
        <f>IF(AND(COUNTA($A212:$L212)&gt;0,$A212&lt;&gt;""),IF(COUNTIF(Inventory_Ledger!$A$2:$A$2001,$A212)&gt;0,1,0),0)</f>
        <v>0</v>
      </c>
      <c r="Z212" s="52">
        <f>IF(AND(COUNTA($A212:$L212)&gt;0,$B212=""),1,0)</f>
        <v>0</v>
      </c>
      <c r="AA212" s="52">
        <f>IF(AND(COUNTA($A212:$L212)&gt;0,$B212&lt;&gt;""),IF($M212="ERR",1,0),0)</f>
        <v>0</v>
      </c>
      <c r="AB212" s="52">
        <f>IF(AND(COUNTA($A212:$L212)&gt;0,ISNUMBER($M212)),IF($M212&gt;Config!$B$4,1,0),0)</f>
        <v>0</v>
      </c>
      <c r="AC212" s="52">
        <f>IF(AND(COUNTA($A212:$L212)&gt;0,$C212=""),1,0)</f>
        <v>0</v>
      </c>
      <c r="AD212" s="52">
        <f>IF(AND(COUNTA($A212:$L212)&gt;0,$C212&lt;&gt;""),IF(COUNTIF(Config!$A$15:$A$34,$C212)=0,1,0),0)</f>
        <v>0</v>
      </c>
      <c r="AE212" s="52">
        <f>IF(AND(COUNTA($A212:$L212)&gt;0,$D212=""),1,0)</f>
        <v>0</v>
      </c>
      <c r="AF212" s="52">
        <f>IF(AND(COUNTA($A212:$L212)&gt;0,$D212&lt;&gt;""),IF(COUNTIF(Products!$A$2:$A$101,$D212)=0,1,0),0)</f>
        <v>0</v>
      </c>
      <c r="AG212" s="52">
        <f>IF(AND(COUNTA($A212:$L212)&gt;0,$C212="Receipt",$E212=""),1,0)</f>
        <v>0</v>
      </c>
      <c r="AH212" s="52">
        <f>IF(AND(COUNTA($A212:$L212)&gt;0,$E212&lt;&gt;""),IF(COUNTIF(Suppliers!$A$2:$A$51,$E212)=0,1,0),0)</f>
        <v>0</v>
      </c>
      <c r="AI212" s="52">
        <f>IF(AND(COUNTA($A212:$L212)&gt;0,$F212=""),1,0)</f>
        <v>0</v>
      </c>
      <c r="AJ212" s="52">
        <f>IF(AND(COUNTA($A212:$L212)&gt;0,$F212&lt;&gt;"",$D212&lt;&gt;"",OR($C212="Shipment",$C212="Adjustment")),IF($AF212=1,0,IF(COUNTIFS(Batches!$A$2:$A$301,$F212,Batches!$B$2:$B$301,$D212)+COUNTIFS($F$1:$F211,$F212,$D$1:$D211,$D212,$C$1:$C211,"Receipt")=0,1,0)),0)</f>
        <v>0</v>
      </c>
      <c r="AK212" s="52">
        <f>IF(AND(COUNTA($A212:$L212)&gt;0,$C212="Receipt",$G212=""),1,0)</f>
        <v>0</v>
      </c>
      <c r="AL212" s="52">
        <f>IF(AND(COUNTA($A212:$L212)&gt;0,$G212&lt;&gt;""),IF($N212="ERR",1,0),0)</f>
        <v>0</v>
      </c>
      <c r="AM212" s="52">
        <f>IF(AND(COUNTA($A212:$L212)&gt;0,$H212=""),1,0)</f>
        <v>0</v>
      </c>
      <c r="AN212" s="52">
        <f>IF(AND(COUNTA($A212:$L212)&gt;0,$H212&lt;&gt;""),IF($O212="ERR",1,IF(INT($O212)&lt;&gt;$O212,1,IF(AND(OR($C212="Receipt",$C212="Shipment"),$O212&lt;=0),1,IF(AND($C212="Adjustment",$O212=0),1,0)))),0)</f>
        <v>0</v>
      </c>
      <c r="AO212" s="52">
        <f>IF(AND(COUNTA($A212:$L212)&gt;0,$C212="Receipt",$I212=""),1,0)</f>
        <v>0</v>
      </c>
      <c r="AP212" s="52">
        <f>IF(AND(COUNTA($A212:$L212)&gt;0,$I212&lt;&gt;""),IF(IFERROR(INDEX(Config!$G$15:$G$34,MATCH($I212,Config!$E$15:$E$34,0)),"No")="Yes",0,1),0)</f>
        <v>0</v>
      </c>
      <c r="AQ212" s="52">
        <f>IF(AND(COUNTA($A212:$L212)&gt;0,$C212="Adjustment",$J212=""),1,0)</f>
        <v>0</v>
      </c>
      <c r="AR212" s="52">
        <f>IF(AND(COUNTA($A212:$L212)&gt;0,$L212=""),1,0)</f>
        <v>0</v>
      </c>
      <c r="AS212" s="52">
        <f>IF(AND(COUNTA($A212:$L212)&gt;0,ISNUMBER($S212)),IF($S212&lt;0,1,0),0)</f>
        <v>0</v>
      </c>
      <c r="AT212" s="52">
        <f>$W212</f>
        <v>0</v>
      </c>
      <c r="AU212" s="52">
        <f>$AT212+$X212</f>
        <v>0</v>
      </c>
      <c r="AV212" s="52">
        <f>$AU212+$Y212</f>
        <v>0</v>
      </c>
      <c r="AW212" s="52">
        <f>$AV212+$Z212</f>
        <v>0</v>
      </c>
      <c r="AX212" s="52">
        <f>$AW212+$AA212</f>
        <v>0</v>
      </c>
      <c r="AY212" s="52">
        <f>$AX212+$AB212</f>
        <v>0</v>
      </c>
      <c r="AZ212" s="52">
        <f>$AY212+$AC212</f>
        <v>0</v>
      </c>
      <c r="BA212" s="52">
        <f>$AZ212+$AD212</f>
        <v>0</v>
      </c>
      <c r="BB212" s="52">
        <f>$BA212+$AE212</f>
        <v>0</v>
      </c>
      <c r="BC212" s="52">
        <f>$BB212+$AF212</f>
        <v>0</v>
      </c>
      <c r="BD212" s="52">
        <f>$BC212+$AG212</f>
        <v>0</v>
      </c>
      <c r="BE212" s="52">
        <f>$BD212+$AH212</f>
        <v>0</v>
      </c>
      <c r="BF212" s="52">
        <f>$BE212+$AI212</f>
        <v>0</v>
      </c>
      <c r="BG212" s="52">
        <f>$BF212+$AJ212</f>
        <v>0</v>
      </c>
      <c r="BH212" s="52">
        <f>$BG212+$AK212</f>
        <v>0</v>
      </c>
      <c r="BI212" s="52">
        <f>$BH212+$AL212</f>
        <v>0</v>
      </c>
      <c r="BJ212" s="52">
        <f>$BI212+$AM212</f>
        <v>0</v>
      </c>
      <c r="BK212" s="52">
        <f>$BJ212+$AN212</f>
        <v>0</v>
      </c>
      <c r="BL212" s="52">
        <f>$BK212+$AO212</f>
        <v>0</v>
      </c>
      <c r="BM212" s="52">
        <f>$BL212+$AP212</f>
        <v>0</v>
      </c>
      <c r="BN212" s="52">
        <f>$BM212+$AQ212</f>
        <v>0</v>
      </c>
      <c r="BO212" s="52">
        <f>$BN212+$AR212</f>
        <v>0</v>
      </c>
      <c r="BP212" s="52">
        <f>$BO212+$AS212</f>
        <v>0</v>
      </c>
      <c r="BQ212" s="52">
        <f>SUM($T$1:$T211)</f>
        <v>11</v>
      </c>
      <c r="BR212" s="52" t="str">
        <f>IF(ISNUMBER($T212),IF($T212&gt;0,COUNTIF($T$2:$T212,"&gt;0"),""),"")</f>
        <v/>
      </c>
      <c r="BS212" s="52" t="str">
        <f>IF($BR212="","",$BQ212+$T212)</f>
        <v/>
      </c>
      <c r="BT212" s="52" t="str">
        <f>IF($U212="Ready",COUNTIF($U$2:$U212,"Ready"),"")</f>
        <v/>
      </c>
      <c r="BU212" s="52">
        <f>IF(AND($U212="Ready",$C212="Receipt"),IF(COUNTIF(Batches!$A$2:$A$301,$F212)+COUNTIFS($F$1:$F211,$F212,$C$1:$C211,"Receipt",$U$1:$U211,"Ready")=0,1,0),0)</f>
        <v>0</v>
      </c>
      <c r="BV212" s="52" t="str">
        <f>IF($BU212=1,SUM($BU$2:$BU212),"")</f>
        <v/>
      </c>
    </row>
    <row r="213">
      <c r="A213" s="46" t="n"/>
      <c r="B213" s="46" t="n"/>
      <c r="C213" s="46" t="n"/>
      <c r="D213" s="46" t="n"/>
      <c r="E213" s="46" t="n"/>
      <c r="F213" s="46" t="n"/>
      <c r="G213" s="46" t="n"/>
      <c r="H213" s="46" t="n"/>
      <c r="I213" s="46" t="n"/>
      <c r="J213" s="46" t="n"/>
      <c r="K213" s="46" t="n"/>
      <c r="L213" s="46" t="n"/>
      <c r="M213" s="62" t="str">
        <f>IF($B213="","",IF(ISNUMBER($B213),$B213,IF(AND(LEN($B213)=10,MID($B213,5,1)="-",MID($B213,8,1)="-"),IFERROR(IF(AND(MONTH(DATE(VALUE(LEFT($B213,4)),VALUE(MID($B213,6,2)),VALUE(RIGHT($B213,2))))=VALUE(MID($B213,6,2)),DAY(DATE(VALUE(LEFT($B213,4)),VALUE(MID($B213,6,2)),VALUE(RIGHT($B213,2))))=VALUE(RIGHT($B213,2))),DATE(VALUE(LEFT($B213,4)),VALUE(MID($B213,6,2)),VALUE(RIGHT($B213,2))),"ERR"),"ERR"),"ERR")))</f>
        <v/>
      </c>
      <c r="N213" s="62" t="str">
        <f>IF($G213="","",IF(ISNUMBER($G213),$G213,IF(AND(LEN($G213)=10,MID($G213,5,1)="-",MID($G213,8,1)="-"),IFERROR(IF(AND(MONTH(DATE(VALUE(LEFT($G213,4)),VALUE(MID($G213,6,2)),VALUE(RIGHT($G213,2))))=VALUE(MID($G213,6,2)),DAY(DATE(VALUE(LEFT($G213,4)),VALUE(MID($G213,6,2)),VALUE(RIGHT($G213,2))))=VALUE(RIGHT($G213,2))),DATE(VALUE(LEFT($G213,4)),VALUE(MID($G213,6,2)),VALUE(RIGHT($G213,2))),"ERR"),"ERR"),"ERR")))</f>
        <v/>
      </c>
      <c r="O213" s="51" t="str">
        <f>IF($H213="","",IF(ISNUMBER($H213),$H213,IFERROR(VALUE($H213),"ERR")))</f>
        <v/>
      </c>
      <c r="P213" s="51" t="str">
        <f>IF(AND(ISNUMBER($O213),OR($C213="Receipt",$C213="Shipment",$C213="Adjustment")),IF($C213="Shipment",-$O213,$O213),"")</f>
        <v/>
      </c>
      <c r="Q213" s="51" t="str">
        <f>IF($D213="","",IFERROR(INDEX(Products!$R$2:$R$101,MATCH($D213,Products!$A$2:$A$101,0)),""))</f>
        <v/>
      </c>
      <c r="R213" s="51" t="str">
        <f>IF(OR($Q213="",$P213=""),"",$Q213+SUMIFS($P$1:$P212,$D$1:$D212,$D213,$U$1:$U212,"Ready"))</f>
        <v/>
      </c>
      <c r="S213" s="51" t="str">
        <f>IF($R213="","",$R213+$P213)</f>
        <v/>
      </c>
      <c r="T213" s="52" t="str">
        <f>IF(COUNTA($A213:$L213)&gt;0,$BP213,"")</f>
        <v/>
      </c>
      <c r="U213" s="49" t="str">
        <f>IF($T213="","",IF($T213=0,"Ready","Rejected"))</f>
        <v/>
      </c>
      <c r="V213" s="49" t="str">
        <f>IF(OR($T213="",$T213=0),"",INDEX(Config!$D$39:$D$61,MATCH(1,$AT213:$BP213,0))&amp;IF($T213&gt;1," (+"&amp;($T213-1)&amp;" more)",""))</f>
        <v/>
      </c>
      <c r="W213" s="52">
        <f>IF(AND(COUNTA($A213:$L213)&gt;0,$A213=""),1,0)</f>
        <v>0</v>
      </c>
      <c r="X213" s="52">
        <f>IF(AND(COUNTA($A213:$L213)&gt;0,$A213&lt;&gt;""),IF(COUNTIF($A$1:$A212,$A213)&gt;0,1,0),0)</f>
        <v>0</v>
      </c>
      <c r="Y213" s="52">
        <f>IF(AND(COUNTA($A213:$L213)&gt;0,$A213&lt;&gt;""),IF(COUNTIF(Inventory_Ledger!$A$2:$A$2001,$A213)&gt;0,1,0),0)</f>
        <v>0</v>
      </c>
      <c r="Z213" s="52">
        <f>IF(AND(COUNTA($A213:$L213)&gt;0,$B213=""),1,0)</f>
        <v>0</v>
      </c>
      <c r="AA213" s="52">
        <f>IF(AND(COUNTA($A213:$L213)&gt;0,$B213&lt;&gt;""),IF($M213="ERR",1,0),0)</f>
        <v>0</v>
      </c>
      <c r="AB213" s="52">
        <f>IF(AND(COUNTA($A213:$L213)&gt;0,ISNUMBER($M213)),IF($M213&gt;Config!$B$4,1,0),0)</f>
        <v>0</v>
      </c>
      <c r="AC213" s="52">
        <f>IF(AND(COUNTA($A213:$L213)&gt;0,$C213=""),1,0)</f>
        <v>0</v>
      </c>
      <c r="AD213" s="52">
        <f>IF(AND(COUNTA($A213:$L213)&gt;0,$C213&lt;&gt;""),IF(COUNTIF(Config!$A$15:$A$34,$C213)=0,1,0),0)</f>
        <v>0</v>
      </c>
      <c r="AE213" s="52">
        <f>IF(AND(COUNTA($A213:$L213)&gt;0,$D213=""),1,0)</f>
        <v>0</v>
      </c>
      <c r="AF213" s="52">
        <f>IF(AND(COUNTA($A213:$L213)&gt;0,$D213&lt;&gt;""),IF(COUNTIF(Products!$A$2:$A$101,$D213)=0,1,0),0)</f>
        <v>0</v>
      </c>
      <c r="AG213" s="52">
        <f>IF(AND(COUNTA($A213:$L213)&gt;0,$C213="Receipt",$E213=""),1,0)</f>
        <v>0</v>
      </c>
      <c r="AH213" s="52">
        <f>IF(AND(COUNTA($A213:$L213)&gt;0,$E213&lt;&gt;""),IF(COUNTIF(Suppliers!$A$2:$A$51,$E213)=0,1,0),0)</f>
        <v>0</v>
      </c>
      <c r="AI213" s="52">
        <f>IF(AND(COUNTA($A213:$L213)&gt;0,$F213=""),1,0)</f>
        <v>0</v>
      </c>
      <c r="AJ213" s="52">
        <f>IF(AND(COUNTA($A213:$L213)&gt;0,$F213&lt;&gt;"",$D213&lt;&gt;"",OR($C213="Shipment",$C213="Adjustment")),IF($AF213=1,0,IF(COUNTIFS(Batches!$A$2:$A$301,$F213,Batches!$B$2:$B$301,$D213)+COUNTIFS($F$1:$F212,$F213,$D$1:$D212,$D213,$C$1:$C212,"Receipt")=0,1,0)),0)</f>
        <v>0</v>
      </c>
      <c r="AK213" s="52">
        <f>IF(AND(COUNTA($A213:$L213)&gt;0,$C213="Receipt",$G213=""),1,0)</f>
        <v>0</v>
      </c>
      <c r="AL213" s="52">
        <f>IF(AND(COUNTA($A213:$L213)&gt;0,$G213&lt;&gt;""),IF($N213="ERR",1,0),0)</f>
        <v>0</v>
      </c>
      <c r="AM213" s="52">
        <f>IF(AND(COUNTA($A213:$L213)&gt;0,$H213=""),1,0)</f>
        <v>0</v>
      </c>
      <c r="AN213" s="52">
        <f>IF(AND(COUNTA($A213:$L213)&gt;0,$H213&lt;&gt;""),IF($O213="ERR",1,IF(INT($O213)&lt;&gt;$O213,1,IF(AND(OR($C213="Receipt",$C213="Shipment"),$O213&lt;=0),1,IF(AND($C213="Adjustment",$O213=0),1,0)))),0)</f>
        <v>0</v>
      </c>
      <c r="AO213" s="52">
        <f>IF(AND(COUNTA($A213:$L213)&gt;0,$C213="Receipt",$I213=""),1,0)</f>
        <v>0</v>
      </c>
      <c r="AP213" s="52">
        <f>IF(AND(COUNTA($A213:$L213)&gt;0,$I213&lt;&gt;""),IF(IFERROR(INDEX(Config!$G$15:$G$34,MATCH($I213,Config!$E$15:$E$34,0)),"No")="Yes",0,1),0)</f>
        <v>0</v>
      </c>
      <c r="AQ213" s="52">
        <f>IF(AND(COUNTA($A213:$L213)&gt;0,$C213="Adjustment",$J213=""),1,0)</f>
        <v>0</v>
      </c>
      <c r="AR213" s="52">
        <f>IF(AND(COUNTA($A213:$L213)&gt;0,$L213=""),1,0)</f>
        <v>0</v>
      </c>
      <c r="AS213" s="52">
        <f>IF(AND(COUNTA($A213:$L213)&gt;0,ISNUMBER($S213)),IF($S213&lt;0,1,0),0)</f>
        <v>0</v>
      </c>
      <c r="AT213" s="52">
        <f>$W213</f>
        <v>0</v>
      </c>
      <c r="AU213" s="52">
        <f>$AT213+$X213</f>
        <v>0</v>
      </c>
      <c r="AV213" s="52">
        <f>$AU213+$Y213</f>
        <v>0</v>
      </c>
      <c r="AW213" s="52">
        <f>$AV213+$Z213</f>
        <v>0</v>
      </c>
      <c r="AX213" s="52">
        <f>$AW213+$AA213</f>
        <v>0</v>
      </c>
      <c r="AY213" s="52">
        <f>$AX213+$AB213</f>
        <v>0</v>
      </c>
      <c r="AZ213" s="52">
        <f>$AY213+$AC213</f>
        <v>0</v>
      </c>
      <c r="BA213" s="52">
        <f>$AZ213+$AD213</f>
        <v>0</v>
      </c>
      <c r="BB213" s="52">
        <f>$BA213+$AE213</f>
        <v>0</v>
      </c>
      <c r="BC213" s="52">
        <f>$BB213+$AF213</f>
        <v>0</v>
      </c>
      <c r="BD213" s="52">
        <f>$BC213+$AG213</f>
        <v>0</v>
      </c>
      <c r="BE213" s="52">
        <f>$BD213+$AH213</f>
        <v>0</v>
      </c>
      <c r="BF213" s="52">
        <f>$BE213+$AI213</f>
        <v>0</v>
      </c>
      <c r="BG213" s="52">
        <f>$BF213+$AJ213</f>
        <v>0</v>
      </c>
      <c r="BH213" s="52">
        <f>$BG213+$AK213</f>
        <v>0</v>
      </c>
      <c r="BI213" s="52">
        <f>$BH213+$AL213</f>
        <v>0</v>
      </c>
      <c r="BJ213" s="52">
        <f>$BI213+$AM213</f>
        <v>0</v>
      </c>
      <c r="BK213" s="52">
        <f>$BJ213+$AN213</f>
        <v>0</v>
      </c>
      <c r="BL213" s="52">
        <f>$BK213+$AO213</f>
        <v>0</v>
      </c>
      <c r="BM213" s="52">
        <f>$BL213+$AP213</f>
        <v>0</v>
      </c>
      <c r="BN213" s="52">
        <f>$BM213+$AQ213</f>
        <v>0</v>
      </c>
      <c r="BO213" s="52">
        <f>$BN213+$AR213</f>
        <v>0</v>
      </c>
      <c r="BP213" s="52">
        <f>$BO213+$AS213</f>
        <v>0</v>
      </c>
      <c r="BQ213" s="52">
        <f>SUM($T$1:$T212)</f>
        <v>11</v>
      </c>
      <c r="BR213" s="52" t="str">
        <f>IF(ISNUMBER($T213),IF($T213&gt;0,COUNTIF($T$2:$T213,"&gt;0"),""),"")</f>
        <v/>
      </c>
      <c r="BS213" s="52" t="str">
        <f>IF($BR213="","",$BQ213+$T213)</f>
        <v/>
      </c>
      <c r="BT213" s="52" t="str">
        <f>IF($U213="Ready",COUNTIF($U$2:$U213,"Ready"),"")</f>
        <v/>
      </c>
      <c r="BU213" s="52">
        <f>IF(AND($U213="Ready",$C213="Receipt"),IF(COUNTIF(Batches!$A$2:$A$301,$F213)+COUNTIFS($F$1:$F212,$F213,$C$1:$C212,"Receipt",$U$1:$U212,"Ready")=0,1,0),0)</f>
        <v>0</v>
      </c>
      <c r="BV213" s="52" t="str">
        <f>IF($BU213=1,SUM($BU$2:$BU213),"")</f>
        <v/>
      </c>
    </row>
    <row r="214">
      <c r="A214" s="46" t="n"/>
      <c r="B214" s="46" t="n"/>
      <c r="C214" s="46" t="n"/>
      <c r="D214" s="46" t="n"/>
      <c r="E214" s="46" t="n"/>
      <c r="F214" s="46" t="n"/>
      <c r="G214" s="46" t="n"/>
      <c r="H214" s="46" t="n"/>
      <c r="I214" s="46" t="n"/>
      <c r="J214" s="46" t="n"/>
      <c r="K214" s="46" t="n"/>
      <c r="L214" s="46" t="n"/>
      <c r="M214" s="62" t="str">
        <f>IF($B214="","",IF(ISNUMBER($B214),$B214,IF(AND(LEN($B214)=10,MID($B214,5,1)="-",MID($B214,8,1)="-"),IFERROR(IF(AND(MONTH(DATE(VALUE(LEFT($B214,4)),VALUE(MID($B214,6,2)),VALUE(RIGHT($B214,2))))=VALUE(MID($B214,6,2)),DAY(DATE(VALUE(LEFT($B214,4)),VALUE(MID($B214,6,2)),VALUE(RIGHT($B214,2))))=VALUE(RIGHT($B214,2))),DATE(VALUE(LEFT($B214,4)),VALUE(MID($B214,6,2)),VALUE(RIGHT($B214,2))),"ERR"),"ERR"),"ERR")))</f>
        <v/>
      </c>
      <c r="N214" s="62" t="str">
        <f>IF($G214="","",IF(ISNUMBER($G214),$G214,IF(AND(LEN($G214)=10,MID($G214,5,1)="-",MID($G214,8,1)="-"),IFERROR(IF(AND(MONTH(DATE(VALUE(LEFT($G214,4)),VALUE(MID($G214,6,2)),VALUE(RIGHT($G214,2))))=VALUE(MID($G214,6,2)),DAY(DATE(VALUE(LEFT($G214,4)),VALUE(MID($G214,6,2)),VALUE(RIGHT($G214,2))))=VALUE(RIGHT($G214,2))),DATE(VALUE(LEFT($G214,4)),VALUE(MID($G214,6,2)),VALUE(RIGHT($G214,2))),"ERR"),"ERR"),"ERR")))</f>
        <v/>
      </c>
      <c r="O214" s="51" t="str">
        <f>IF($H214="","",IF(ISNUMBER($H214),$H214,IFERROR(VALUE($H214),"ERR")))</f>
        <v/>
      </c>
      <c r="P214" s="51" t="str">
        <f>IF(AND(ISNUMBER($O214),OR($C214="Receipt",$C214="Shipment",$C214="Adjustment")),IF($C214="Shipment",-$O214,$O214),"")</f>
        <v/>
      </c>
      <c r="Q214" s="51" t="str">
        <f>IF($D214="","",IFERROR(INDEX(Products!$R$2:$R$101,MATCH($D214,Products!$A$2:$A$101,0)),""))</f>
        <v/>
      </c>
      <c r="R214" s="51" t="str">
        <f>IF(OR($Q214="",$P214=""),"",$Q214+SUMIFS($P$1:$P213,$D$1:$D213,$D214,$U$1:$U213,"Ready"))</f>
        <v/>
      </c>
      <c r="S214" s="51" t="str">
        <f>IF($R214="","",$R214+$P214)</f>
        <v/>
      </c>
      <c r="T214" s="52" t="str">
        <f>IF(COUNTA($A214:$L214)&gt;0,$BP214,"")</f>
        <v/>
      </c>
      <c r="U214" s="49" t="str">
        <f>IF($T214="","",IF($T214=0,"Ready","Rejected"))</f>
        <v/>
      </c>
      <c r="V214" s="49" t="str">
        <f>IF(OR($T214="",$T214=0),"",INDEX(Config!$D$39:$D$61,MATCH(1,$AT214:$BP214,0))&amp;IF($T214&gt;1," (+"&amp;($T214-1)&amp;" more)",""))</f>
        <v/>
      </c>
      <c r="W214" s="52">
        <f>IF(AND(COUNTA($A214:$L214)&gt;0,$A214=""),1,0)</f>
        <v>0</v>
      </c>
      <c r="X214" s="52">
        <f>IF(AND(COUNTA($A214:$L214)&gt;0,$A214&lt;&gt;""),IF(COUNTIF($A$1:$A213,$A214)&gt;0,1,0),0)</f>
        <v>0</v>
      </c>
      <c r="Y214" s="52">
        <f>IF(AND(COUNTA($A214:$L214)&gt;0,$A214&lt;&gt;""),IF(COUNTIF(Inventory_Ledger!$A$2:$A$2001,$A214)&gt;0,1,0),0)</f>
        <v>0</v>
      </c>
      <c r="Z214" s="52">
        <f>IF(AND(COUNTA($A214:$L214)&gt;0,$B214=""),1,0)</f>
        <v>0</v>
      </c>
      <c r="AA214" s="52">
        <f>IF(AND(COUNTA($A214:$L214)&gt;0,$B214&lt;&gt;""),IF($M214="ERR",1,0),0)</f>
        <v>0</v>
      </c>
      <c r="AB214" s="52">
        <f>IF(AND(COUNTA($A214:$L214)&gt;0,ISNUMBER($M214)),IF($M214&gt;Config!$B$4,1,0),0)</f>
        <v>0</v>
      </c>
      <c r="AC214" s="52">
        <f>IF(AND(COUNTA($A214:$L214)&gt;0,$C214=""),1,0)</f>
        <v>0</v>
      </c>
      <c r="AD214" s="52">
        <f>IF(AND(COUNTA($A214:$L214)&gt;0,$C214&lt;&gt;""),IF(COUNTIF(Config!$A$15:$A$34,$C214)=0,1,0),0)</f>
        <v>0</v>
      </c>
      <c r="AE214" s="52">
        <f>IF(AND(COUNTA($A214:$L214)&gt;0,$D214=""),1,0)</f>
        <v>0</v>
      </c>
      <c r="AF214" s="52">
        <f>IF(AND(COUNTA($A214:$L214)&gt;0,$D214&lt;&gt;""),IF(COUNTIF(Products!$A$2:$A$101,$D214)=0,1,0),0)</f>
        <v>0</v>
      </c>
      <c r="AG214" s="52">
        <f>IF(AND(COUNTA($A214:$L214)&gt;0,$C214="Receipt",$E214=""),1,0)</f>
        <v>0</v>
      </c>
      <c r="AH214" s="52">
        <f>IF(AND(COUNTA($A214:$L214)&gt;0,$E214&lt;&gt;""),IF(COUNTIF(Suppliers!$A$2:$A$51,$E214)=0,1,0),0)</f>
        <v>0</v>
      </c>
      <c r="AI214" s="52">
        <f>IF(AND(COUNTA($A214:$L214)&gt;0,$F214=""),1,0)</f>
        <v>0</v>
      </c>
      <c r="AJ214" s="52">
        <f>IF(AND(COUNTA($A214:$L214)&gt;0,$F214&lt;&gt;"",$D214&lt;&gt;"",OR($C214="Shipment",$C214="Adjustment")),IF($AF214=1,0,IF(COUNTIFS(Batches!$A$2:$A$301,$F214,Batches!$B$2:$B$301,$D214)+COUNTIFS($F$1:$F213,$F214,$D$1:$D213,$D214,$C$1:$C213,"Receipt")=0,1,0)),0)</f>
        <v>0</v>
      </c>
      <c r="AK214" s="52">
        <f>IF(AND(COUNTA($A214:$L214)&gt;0,$C214="Receipt",$G214=""),1,0)</f>
        <v>0</v>
      </c>
      <c r="AL214" s="52">
        <f>IF(AND(COUNTA($A214:$L214)&gt;0,$G214&lt;&gt;""),IF($N214="ERR",1,0),0)</f>
        <v>0</v>
      </c>
      <c r="AM214" s="52">
        <f>IF(AND(COUNTA($A214:$L214)&gt;0,$H214=""),1,0)</f>
        <v>0</v>
      </c>
      <c r="AN214" s="52">
        <f>IF(AND(COUNTA($A214:$L214)&gt;0,$H214&lt;&gt;""),IF($O214="ERR",1,IF(INT($O214)&lt;&gt;$O214,1,IF(AND(OR($C214="Receipt",$C214="Shipment"),$O214&lt;=0),1,IF(AND($C214="Adjustment",$O214=0),1,0)))),0)</f>
        <v>0</v>
      </c>
      <c r="AO214" s="52">
        <f>IF(AND(COUNTA($A214:$L214)&gt;0,$C214="Receipt",$I214=""),1,0)</f>
        <v>0</v>
      </c>
      <c r="AP214" s="52">
        <f>IF(AND(COUNTA($A214:$L214)&gt;0,$I214&lt;&gt;""),IF(IFERROR(INDEX(Config!$G$15:$G$34,MATCH($I214,Config!$E$15:$E$34,0)),"No")="Yes",0,1),0)</f>
        <v>0</v>
      </c>
      <c r="AQ214" s="52">
        <f>IF(AND(COUNTA($A214:$L214)&gt;0,$C214="Adjustment",$J214=""),1,0)</f>
        <v>0</v>
      </c>
      <c r="AR214" s="52">
        <f>IF(AND(COUNTA($A214:$L214)&gt;0,$L214=""),1,0)</f>
        <v>0</v>
      </c>
      <c r="AS214" s="52">
        <f>IF(AND(COUNTA($A214:$L214)&gt;0,ISNUMBER($S214)),IF($S214&lt;0,1,0),0)</f>
        <v>0</v>
      </c>
      <c r="AT214" s="52">
        <f>$W214</f>
        <v>0</v>
      </c>
      <c r="AU214" s="52">
        <f>$AT214+$X214</f>
        <v>0</v>
      </c>
      <c r="AV214" s="52">
        <f>$AU214+$Y214</f>
        <v>0</v>
      </c>
      <c r="AW214" s="52">
        <f>$AV214+$Z214</f>
        <v>0</v>
      </c>
      <c r="AX214" s="52">
        <f>$AW214+$AA214</f>
        <v>0</v>
      </c>
      <c r="AY214" s="52">
        <f>$AX214+$AB214</f>
        <v>0</v>
      </c>
      <c r="AZ214" s="52">
        <f>$AY214+$AC214</f>
        <v>0</v>
      </c>
      <c r="BA214" s="52">
        <f>$AZ214+$AD214</f>
        <v>0</v>
      </c>
      <c r="BB214" s="52">
        <f>$BA214+$AE214</f>
        <v>0</v>
      </c>
      <c r="BC214" s="52">
        <f>$BB214+$AF214</f>
        <v>0</v>
      </c>
      <c r="BD214" s="52">
        <f>$BC214+$AG214</f>
        <v>0</v>
      </c>
      <c r="BE214" s="52">
        <f>$BD214+$AH214</f>
        <v>0</v>
      </c>
      <c r="BF214" s="52">
        <f>$BE214+$AI214</f>
        <v>0</v>
      </c>
      <c r="BG214" s="52">
        <f>$BF214+$AJ214</f>
        <v>0</v>
      </c>
      <c r="BH214" s="52">
        <f>$BG214+$AK214</f>
        <v>0</v>
      </c>
      <c r="BI214" s="52">
        <f>$BH214+$AL214</f>
        <v>0</v>
      </c>
      <c r="BJ214" s="52">
        <f>$BI214+$AM214</f>
        <v>0</v>
      </c>
      <c r="BK214" s="52">
        <f>$BJ214+$AN214</f>
        <v>0</v>
      </c>
      <c r="BL214" s="52">
        <f>$BK214+$AO214</f>
        <v>0</v>
      </c>
      <c r="BM214" s="52">
        <f>$BL214+$AP214</f>
        <v>0</v>
      </c>
      <c r="BN214" s="52">
        <f>$BM214+$AQ214</f>
        <v>0</v>
      </c>
      <c r="BO214" s="52">
        <f>$BN214+$AR214</f>
        <v>0</v>
      </c>
      <c r="BP214" s="52">
        <f>$BO214+$AS214</f>
        <v>0</v>
      </c>
      <c r="BQ214" s="52">
        <f>SUM($T$1:$T213)</f>
        <v>11</v>
      </c>
      <c r="BR214" s="52" t="str">
        <f>IF(ISNUMBER($T214),IF($T214&gt;0,COUNTIF($T$2:$T214,"&gt;0"),""),"")</f>
        <v/>
      </c>
      <c r="BS214" s="52" t="str">
        <f>IF($BR214="","",$BQ214+$T214)</f>
        <v/>
      </c>
      <c r="BT214" s="52" t="str">
        <f>IF($U214="Ready",COUNTIF($U$2:$U214,"Ready"),"")</f>
        <v/>
      </c>
      <c r="BU214" s="52">
        <f>IF(AND($U214="Ready",$C214="Receipt"),IF(COUNTIF(Batches!$A$2:$A$301,$F214)+COUNTIFS($F$1:$F213,$F214,$C$1:$C213,"Receipt",$U$1:$U213,"Ready")=0,1,0),0)</f>
        <v>0</v>
      </c>
      <c r="BV214" s="52" t="str">
        <f>IF($BU214=1,SUM($BU$2:$BU214),"")</f>
        <v/>
      </c>
    </row>
    <row r="215">
      <c r="A215" s="46" t="n"/>
      <c r="B215" s="46" t="n"/>
      <c r="C215" s="46" t="n"/>
      <c r="D215" s="46" t="n"/>
      <c r="E215" s="46" t="n"/>
      <c r="F215" s="46" t="n"/>
      <c r="G215" s="46" t="n"/>
      <c r="H215" s="46" t="n"/>
      <c r="I215" s="46" t="n"/>
      <c r="J215" s="46" t="n"/>
      <c r="K215" s="46" t="n"/>
      <c r="L215" s="46" t="n"/>
      <c r="M215" s="62" t="str">
        <f>IF($B215="","",IF(ISNUMBER($B215),$B215,IF(AND(LEN($B215)=10,MID($B215,5,1)="-",MID($B215,8,1)="-"),IFERROR(IF(AND(MONTH(DATE(VALUE(LEFT($B215,4)),VALUE(MID($B215,6,2)),VALUE(RIGHT($B215,2))))=VALUE(MID($B215,6,2)),DAY(DATE(VALUE(LEFT($B215,4)),VALUE(MID($B215,6,2)),VALUE(RIGHT($B215,2))))=VALUE(RIGHT($B215,2))),DATE(VALUE(LEFT($B215,4)),VALUE(MID($B215,6,2)),VALUE(RIGHT($B215,2))),"ERR"),"ERR"),"ERR")))</f>
        <v/>
      </c>
      <c r="N215" s="62" t="str">
        <f>IF($G215="","",IF(ISNUMBER($G215),$G215,IF(AND(LEN($G215)=10,MID($G215,5,1)="-",MID($G215,8,1)="-"),IFERROR(IF(AND(MONTH(DATE(VALUE(LEFT($G215,4)),VALUE(MID($G215,6,2)),VALUE(RIGHT($G215,2))))=VALUE(MID($G215,6,2)),DAY(DATE(VALUE(LEFT($G215,4)),VALUE(MID($G215,6,2)),VALUE(RIGHT($G215,2))))=VALUE(RIGHT($G215,2))),DATE(VALUE(LEFT($G215,4)),VALUE(MID($G215,6,2)),VALUE(RIGHT($G215,2))),"ERR"),"ERR"),"ERR")))</f>
        <v/>
      </c>
      <c r="O215" s="51" t="str">
        <f>IF($H215="","",IF(ISNUMBER($H215),$H215,IFERROR(VALUE($H215),"ERR")))</f>
        <v/>
      </c>
      <c r="P215" s="51" t="str">
        <f>IF(AND(ISNUMBER($O215),OR($C215="Receipt",$C215="Shipment",$C215="Adjustment")),IF($C215="Shipment",-$O215,$O215),"")</f>
        <v/>
      </c>
      <c r="Q215" s="51" t="str">
        <f>IF($D215="","",IFERROR(INDEX(Products!$R$2:$R$101,MATCH($D215,Products!$A$2:$A$101,0)),""))</f>
        <v/>
      </c>
      <c r="R215" s="51" t="str">
        <f>IF(OR($Q215="",$P215=""),"",$Q215+SUMIFS($P$1:$P214,$D$1:$D214,$D215,$U$1:$U214,"Ready"))</f>
        <v/>
      </c>
      <c r="S215" s="51" t="str">
        <f>IF($R215="","",$R215+$P215)</f>
        <v/>
      </c>
      <c r="T215" s="52" t="str">
        <f>IF(COUNTA($A215:$L215)&gt;0,$BP215,"")</f>
        <v/>
      </c>
      <c r="U215" s="49" t="str">
        <f>IF($T215="","",IF($T215=0,"Ready","Rejected"))</f>
        <v/>
      </c>
      <c r="V215" s="49" t="str">
        <f>IF(OR($T215="",$T215=0),"",INDEX(Config!$D$39:$D$61,MATCH(1,$AT215:$BP215,0))&amp;IF($T215&gt;1," (+"&amp;($T215-1)&amp;" more)",""))</f>
        <v/>
      </c>
      <c r="W215" s="52">
        <f>IF(AND(COUNTA($A215:$L215)&gt;0,$A215=""),1,0)</f>
        <v>0</v>
      </c>
      <c r="X215" s="52">
        <f>IF(AND(COUNTA($A215:$L215)&gt;0,$A215&lt;&gt;""),IF(COUNTIF($A$1:$A214,$A215)&gt;0,1,0),0)</f>
        <v>0</v>
      </c>
      <c r="Y215" s="52">
        <f>IF(AND(COUNTA($A215:$L215)&gt;0,$A215&lt;&gt;""),IF(COUNTIF(Inventory_Ledger!$A$2:$A$2001,$A215)&gt;0,1,0),0)</f>
        <v>0</v>
      </c>
      <c r="Z215" s="52">
        <f>IF(AND(COUNTA($A215:$L215)&gt;0,$B215=""),1,0)</f>
        <v>0</v>
      </c>
      <c r="AA215" s="52">
        <f>IF(AND(COUNTA($A215:$L215)&gt;0,$B215&lt;&gt;""),IF($M215="ERR",1,0),0)</f>
        <v>0</v>
      </c>
      <c r="AB215" s="52">
        <f>IF(AND(COUNTA($A215:$L215)&gt;0,ISNUMBER($M215)),IF($M215&gt;Config!$B$4,1,0),0)</f>
        <v>0</v>
      </c>
      <c r="AC215" s="52">
        <f>IF(AND(COUNTA($A215:$L215)&gt;0,$C215=""),1,0)</f>
        <v>0</v>
      </c>
      <c r="AD215" s="52">
        <f>IF(AND(COUNTA($A215:$L215)&gt;0,$C215&lt;&gt;""),IF(COUNTIF(Config!$A$15:$A$34,$C215)=0,1,0),0)</f>
        <v>0</v>
      </c>
      <c r="AE215" s="52">
        <f>IF(AND(COUNTA($A215:$L215)&gt;0,$D215=""),1,0)</f>
        <v>0</v>
      </c>
      <c r="AF215" s="52">
        <f>IF(AND(COUNTA($A215:$L215)&gt;0,$D215&lt;&gt;""),IF(COUNTIF(Products!$A$2:$A$101,$D215)=0,1,0),0)</f>
        <v>0</v>
      </c>
      <c r="AG215" s="52">
        <f>IF(AND(COUNTA($A215:$L215)&gt;0,$C215="Receipt",$E215=""),1,0)</f>
        <v>0</v>
      </c>
      <c r="AH215" s="52">
        <f>IF(AND(COUNTA($A215:$L215)&gt;0,$E215&lt;&gt;""),IF(COUNTIF(Suppliers!$A$2:$A$51,$E215)=0,1,0),0)</f>
        <v>0</v>
      </c>
      <c r="AI215" s="52">
        <f>IF(AND(COUNTA($A215:$L215)&gt;0,$F215=""),1,0)</f>
        <v>0</v>
      </c>
      <c r="AJ215" s="52">
        <f>IF(AND(COUNTA($A215:$L215)&gt;0,$F215&lt;&gt;"",$D215&lt;&gt;"",OR($C215="Shipment",$C215="Adjustment")),IF($AF215=1,0,IF(COUNTIFS(Batches!$A$2:$A$301,$F215,Batches!$B$2:$B$301,$D215)+COUNTIFS($F$1:$F214,$F215,$D$1:$D214,$D215,$C$1:$C214,"Receipt")=0,1,0)),0)</f>
        <v>0</v>
      </c>
      <c r="AK215" s="52">
        <f>IF(AND(COUNTA($A215:$L215)&gt;0,$C215="Receipt",$G215=""),1,0)</f>
        <v>0</v>
      </c>
      <c r="AL215" s="52">
        <f>IF(AND(COUNTA($A215:$L215)&gt;0,$G215&lt;&gt;""),IF($N215="ERR",1,0),0)</f>
        <v>0</v>
      </c>
      <c r="AM215" s="52">
        <f>IF(AND(COUNTA($A215:$L215)&gt;0,$H215=""),1,0)</f>
        <v>0</v>
      </c>
      <c r="AN215" s="52">
        <f>IF(AND(COUNTA($A215:$L215)&gt;0,$H215&lt;&gt;""),IF($O215="ERR",1,IF(INT($O215)&lt;&gt;$O215,1,IF(AND(OR($C215="Receipt",$C215="Shipment"),$O215&lt;=0),1,IF(AND($C215="Adjustment",$O215=0),1,0)))),0)</f>
        <v>0</v>
      </c>
      <c r="AO215" s="52">
        <f>IF(AND(COUNTA($A215:$L215)&gt;0,$C215="Receipt",$I215=""),1,0)</f>
        <v>0</v>
      </c>
      <c r="AP215" s="52">
        <f>IF(AND(COUNTA($A215:$L215)&gt;0,$I215&lt;&gt;""),IF(IFERROR(INDEX(Config!$G$15:$G$34,MATCH($I215,Config!$E$15:$E$34,0)),"No")="Yes",0,1),0)</f>
        <v>0</v>
      </c>
      <c r="AQ215" s="52">
        <f>IF(AND(COUNTA($A215:$L215)&gt;0,$C215="Adjustment",$J215=""),1,0)</f>
        <v>0</v>
      </c>
      <c r="AR215" s="52">
        <f>IF(AND(COUNTA($A215:$L215)&gt;0,$L215=""),1,0)</f>
        <v>0</v>
      </c>
      <c r="AS215" s="52">
        <f>IF(AND(COUNTA($A215:$L215)&gt;0,ISNUMBER($S215)),IF($S215&lt;0,1,0),0)</f>
        <v>0</v>
      </c>
      <c r="AT215" s="52">
        <f>$W215</f>
        <v>0</v>
      </c>
      <c r="AU215" s="52">
        <f>$AT215+$X215</f>
        <v>0</v>
      </c>
      <c r="AV215" s="52">
        <f>$AU215+$Y215</f>
        <v>0</v>
      </c>
      <c r="AW215" s="52">
        <f>$AV215+$Z215</f>
        <v>0</v>
      </c>
      <c r="AX215" s="52">
        <f>$AW215+$AA215</f>
        <v>0</v>
      </c>
      <c r="AY215" s="52">
        <f>$AX215+$AB215</f>
        <v>0</v>
      </c>
      <c r="AZ215" s="52">
        <f>$AY215+$AC215</f>
        <v>0</v>
      </c>
      <c r="BA215" s="52">
        <f>$AZ215+$AD215</f>
        <v>0</v>
      </c>
      <c r="BB215" s="52">
        <f>$BA215+$AE215</f>
        <v>0</v>
      </c>
      <c r="BC215" s="52">
        <f>$BB215+$AF215</f>
        <v>0</v>
      </c>
      <c r="BD215" s="52">
        <f>$BC215+$AG215</f>
        <v>0</v>
      </c>
      <c r="BE215" s="52">
        <f>$BD215+$AH215</f>
        <v>0</v>
      </c>
      <c r="BF215" s="52">
        <f>$BE215+$AI215</f>
        <v>0</v>
      </c>
      <c r="BG215" s="52">
        <f>$BF215+$AJ215</f>
        <v>0</v>
      </c>
      <c r="BH215" s="52">
        <f>$BG215+$AK215</f>
        <v>0</v>
      </c>
      <c r="BI215" s="52">
        <f>$BH215+$AL215</f>
        <v>0</v>
      </c>
      <c r="BJ215" s="52">
        <f>$BI215+$AM215</f>
        <v>0</v>
      </c>
      <c r="BK215" s="52">
        <f>$BJ215+$AN215</f>
        <v>0</v>
      </c>
      <c r="BL215" s="52">
        <f>$BK215+$AO215</f>
        <v>0</v>
      </c>
      <c r="BM215" s="52">
        <f>$BL215+$AP215</f>
        <v>0</v>
      </c>
      <c r="BN215" s="52">
        <f>$BM215+$AQ215</f>
        <v>0</v>
      </c>
      <c r="BO215" s="52">
        <f>$BN215+$AR215</f>
        <v>0</v>
      </c>
      <c r="BP215" s="52">
        <f>$BO215+$AS215</f>
        <v>0</v>
      </c>
      <c r="BQ215" s="52">
        <f>SUM($T$1:$T214)</f>
        <v>11</v>
      </c>
      <c r="BR215" s="52" t="str">
        <f>IF(ISNUMBER($T215),IF($T215&gt;0,COUNTIF($T$2:$T215,"&gt;0"),""),"")</f>
        <v/>
      </c>
      <c r="BS215" s="52" t="str">
        <f>IF($BR215="","",$BQ215+$T215)</f>
        <v/>
      </c>
      <c r="BT215" s="52" t="str">
        <f>IF($U215="Ready",COUNTIF($U$2:$U215,"Ready"),"")</f>
        <v/>
      </c>
      <c r="BU215" s="52">
        <f>IF(AND($U215="Ready",$C215="Receipt"),IF(COUNTIF(Batches!$A$2:$A$301,$F215)+COUNTIFS($F$1:$F214,$F215,$C$1:$C214,"Receipt",$U$1:$U214,"Ready")=0,1,0),0)</f>
        <v>0</v>
      </c>
      <c r="BV215" s="52" t="str">
        <f>IF($BU215=1,SUM($BU$2:$BU215),"")</f>
        <v/>
      </c>
    </row>
    <row r="216">
      <c r="A216" s="46" t="n"/>
      <c r="B216" s="46" t="n"/>
      <c r="C216" s="46" t="n"/>
      <c r="D216" s="46" t="n"/>
      <c r="E216" s="46" t="n"/>
      <c r="F216" s="46" t="n"/>
      <c r="G216" s="46" t="n"/>
      <c r="H216" s="46" t="n"/>
      <c r="I216" s="46" t="n"/>
      <c r="J216" s="46" t="n"/>
      <c r="K216" s="46" t="n"/>
      <c r="L216" s="46" t="n"/>
      <c r="M216" s="62" t="str">
        <f>IF($B216="","",IF(ISNUMBER($B216),$B216,IF(AND(LEN($B216)=10,MID($B216,5,1)="-",MID($B216,8,1)="-"),IFERROR(IF(AND(MONTH(DATE(VALUE(LEFT($B216,4)),VALUE(MID($B216,6,2)),VALUE(RIGHT($B216,2))))=VALUE(MID($B216,6,2)),DAY(DATE(VALUE(LEFT($B216,4)),VALUE(MID($B216,6,2)),VALUE(RIGHT($B216,2))))=VALUE(RIGHT($B216,2))),DATE(VALUE(LEFT($B216,4)),VALUE(MID($B216,6,2)),VALUE(RIGHT($B216,2))),"ERR"),"ERR"),"ERR")))</f>
        <v/>
      </c>
      <c r="N216" s="62" t="str">
        <f>IF($G216="","",IF(ISNUMBER($G216),$G216,IF(AND(LEN($G216)=10,MID($G216,5,1)="-",MID($G216,8,1)="-"),IFERROR(IF(AND(MONTH(DATE(VALUE(LEFT($G216,4)),VALUE(MID($G216,6,2)),VALUE(RIGHT($G216,2))))=VALUE(MID($G216,6,2)),DAY(DATE(VALUE(LEFT($G216,4)),VALUE(MID($G216,6,2)),VALUE(RIGHT($G216,2))))=VALUE(RIGHT($G216,2))),DATE(VALUE(LEFT($G216,4)),VALUE(MID($G216,6,2)),VALUE(RIGHT($G216,2))),"ERR"),"ERR"),"ERR")))</f>
        <v/>
      </c>
      <c r="O216" s="51" t="str">
        <f>IF($H216="","",IF(ISNUMBER($H216),$H216,IFERROR(VALUE($H216),"ERR")))</f>
        <v/>
      </c>
      <c r="P216" s="51" t="str">
        <f>IF(AND(ISNUMBER($O216),OR($C216="Receipt",$C216="Shipment",$C216="Adjustment")),IF($C216="Shipment",-$O216,$O216),"")</f>
        <v/>
      </c>
      <c r="Q216" s="51" t="str">
        <f>IF($D216="","",IFERROR(INDEX(Products!$R$2:$R$101,MATCH($D216,Products!$A$2:$A$101,0)),""))</f>
        <v/>
      </c>
      <c r="R216" s="51" t="str">
        <f>IF(OR($Q216="",$P216=""),"",$Q216+SUMIFS($P$1:$P215,$D$1:$D215,$D216,$U$1:$U215,"Ready"))</f>
        <v/>
      </c>
      <c r="S216" s="51" t="str">
        <f>IF($R216="","",$R216+$P216)</f>
        <v/>
      </c>
      <c r="T216" s="52" t="str">
        <f>IF(COUNTA($A216:$L216)&gt;0,$BP216,"")</f>
        <v/>
      </c>
      <c r="U216" s="49" t="str">
        <f>IF($T216="","",IF($T216=0,"Ready","Rejected"))</f>
        <v/>
      </c>
      <c r="V216" s="49" t="str">
        <f>IF(OR($T216="",$T216=0),"",INDEX(Config!$D$39:$D$61,MATCH(1,$AT216:$BP216,0))&amp;IF($T216&gt;1," (+"&amp;($T216-1)&amp;" more)",""))</f>
        <v/>
      </c>
      <c r="W216" s="52">
        <f>IF(AND(COUNTA($A216:$L216)&gt;0,$A216=""),1,0)</f>
        <v>0</v>
      </c>
      <c r="X216" s="52">
        <f>IF(AND(COUNTA($A216:$L216)&gt;0,$A216&lt;&gt;""),IF(COUNTIF($A$1:$A215,$A216)&gt;0,1,0),0)</f>
        <v>0</v>
      </c>
      <c r="Y216" s="52">
        <f>IF(AND(COUNTA($A216:$L216)&gt;0,$A216&lt;&gt;""),IF(COUNTIF(Inventory_Ledger!$A$2:$A$2001,$A216)&gt;0,1,0),0)</f>
        <v>0</v>
      </c>
      <c r="Z216" s="52">
        <f>IF(AND(COUNTA($A216:$L216)&gt;0,$B216=""),1,0)</f>
        <v>0</v>
      </c>
      <c r="AA216" s="52">
        <f>IF(AND(COUNTA($A216:$L216)&gt;0,$B216&lt;&gt;""),IF($M216="ERR",1,0),0)</f>
        <v>0</v>
      </c>
      <c r="AB216" s="52">
        <f>IF(AND(COUNTA($A216:$L216)&gt;0,ISNUMBER($M216)),IF($M216&gt;Config!$B$4,1,0),0)</f>
        <v>0</v>
      </c>
      <c r="AC216" s="52">
        <f>IF(AND(COUNTA($A216:$L216)&gt;0,$C216=""),1,0)</f>
        <v>0</v>
      </c>
      <c r="AD216" s="52">
        <f>IF(AND(COUNTA($A216:$L216)&gt;0,$C216&lt;&gt;""),IF(COUNTIF(Config!$A$15:$A$34,$C216)=0,1,0),0)</f>
        <v>0</v>
      </c>
      <c r="AE216" s="52">
        <f>IF(AND(COUNTA($A216:$L216)&gt;0,$D216=""),1,0)</f>
        <v>0</v>
      </c>
      <c r="AF216" s="52">
        <f>IF(AND(COUNTA($A216:$L216)&gt;0,$D216&lt;&gt;""),IF(COUNTIF(Products!$A$2:$A$101,$D216)=0,1,0),0)</f>
        <v>0</v>
      </c>
      <c r="AG216" s="52">
        <f>IF(AND(COUNTA($A216:$L216)&gt;0,$C216="Receipt",$E216=""),1,0)</f>
        <v>0</v>
      </c>
      <c r="AH216" s="52">
        <f>IF(AND(COUNTA($A216:$L216)&gt;0,$E216&lt;&gt;""),IF(COUNTIF(Suppliers!$A$2:$A$51,$E216)=0,1,0),0)</f>
        <v>0</v>
      </c>
      <c r="AI216" s="52">
        <f>IF(AND(COUNTA($A216:$L216)&gt;0,$F216=""),1,0)</f>
        <v>0</v>
      </c>
      <c r="AJ216" s="52">
        <f>IF(AND(COUNTA($A216:$L216)&gt;0,$F216&lt;&gt;"",$D216&lt;&gt;"",OR($C216="Shipment",$C216="Adjustment")),IF($AF216=1,0,IF(COUNTIFS(Batches!$A$2:$A$301,$F216,Batches!$B$2:$B$301,$D216)+COUNTIFS($F$1:$F215,$F216,$D$1:$D215,$D216,$C$1:$C215,"Receipt")=0,1,0)),0)</f>
        <v>0</v>
      </c>
      <c r="AK216" s="52">
        <f>IF(AND(COUNTA($A216:$L216)&gt;0,$C216="Receipt",$G216=""),1,0)</f>
        <v>0</v>
      </c>
      <c r="AL216" s="52">
        <f>IF(AND(COUNTA($A216:$L216)&gt;0,$G216&lt;&gt;""),IF($N216="ERR",1,0),0)</f>
        <v>0</v>
      </c>
      <c r="AM216" s="52">
        <f>IF(AND(COUNTA($A216:$L216)&gt;0,$H216=""),1,0)</f>
        <v>0</v>
      </c>
      <c r="AN216" s="52">
        <f>IF(AND(COUNTA($A216:$L216)&gt;0,$H216&lt;&gt;""),IF($O216="ERR",1,IF(INT($O216)&lt;&gt;$O216,1,IF(AND(OR($C216="Receipt",$C216="Shipment"),$O216&lt;=0),1,IF(AND($C216="Adjustment",$O216=0),1,0)))),0)</f>
        <v>0</v>
      </c>
      <c r="AO216" s="52">
        <f>IF(AND(COUNTA($A216:$L216)&gt;0,$C216="Receipt",$I216=""),1,0)</f>
        <v>0</v>
      </c>
      <c r="AP216" s="52">
        <f>IF(AND(COUNTA($A216:$L216)&gt;0,$I216&lt;&gt;""),IF(IFERROR(INDEX(Config!$G$15:$G$34,MATCH($I216,Config!$E$15:$E$34,0)),"No")="Yes",0,1),0)</f>
        <v>0</v>
      </c>
      <c r="AQ216" s="52">
        <f>IF(AND(COUNTA($A216:$L216)&gt;0,$C216="Adjustment",$J216=""),1,0)</f>
        <v>0</v>
      </c>
      <c r="AR216" s="52">
        <f>IF(AND(COUNTA($A216:$L216)&gt;0,$L216=""),1,0)</f>
        <v>0</v>
      </c>
      <c r="AS216" s="52">
        <f>IF(AND(COUNTA($A216:$L216)&gt;0,ISNUMBER($S216)),IF($S216&lt;0,1,0),0)</f>
        <v>0</v>
      </c>
      <c r="AT216" s="52">
        <f>$W216</f>
        <v>0</v>
      </c>
      <c r="AU216" s="52">
        <f>$AT216+$X216</f>
        <v>0</v>
      </c>
      <c r="AV216" s="52">
        <f>$AU216+$Y216</f>
        <v>0</v>
      </c>
      <c r="AW216" s="52">
        <f>$AV216+$Z216</f>
        <v>0</v>
      </c>
      <c r="AX216" s="52">
        <f>$AW216+$AA216</f>
        <v>0</v>
      </c>
      <c r="AY216" s="52">
        <f>$AX216+$AB216</f>
        <v>0</v>
      </c>
      <c r="AZ216" s="52">
        <f>$AY216+$AC216</f>
        <v>0</v>
      </c>
      <c r="BA216" s="52">
        <f>$AZ216+$AD216</f>
        <v>0</v>
      </c>
      <c r="BB216" s="52">
        <f>$BA216+$AE216</f>
        <v>0</v>
      </c>
      <c r="BC216" s="52">
        <f>$BB216+$AF216</f>
        <v>0</v>
      </c>
      <c r="BD216" s="52">
        <f>$BC216+$AG216</f>
        <v>0</v>
      </c>
      <c r="BE216" s="52">
        <f>$BD216+$AH216</f>
        <v>0</v>
      </c>
      <c r="BF216" s="52">
        <f>$BE216+$AI216</f>
        <v>0</v>
      </c>
      <c r="BG216" s="52">
        <f>$BF216+$AJ216</f>
        <v>0</v>
      </c>
      <c r="BH216" s="52">
        <f>$BG216+$AK216</f>
        <v>0</v>
      </c>
      <c r="BI216" s="52">
        <f>$BH216+$AL216</f>
        <v>0</v>
      </c>
      <c r="BJ216" s="52">
        <f>$BI216+$AM216</f>
        <v>0</v>
      </c>
      <c r="BK216" s="52">
        <f>$BJ216+$AN216</f>
        <v>0</v>
      </c>
      <c r="BL216" s="52">
        <f>$BK216+$AO216</f>
        <v>0</v>
      </c>
      <c r="BM216" s="52">
        <f>$BL216+$AP216</f>
        <v>0</v>
      </c>
      <c r="BN216" s="52">
        <f>$BM216+$AQ216</f>
        <v>0</v>
      </c>
      <c r="BO216" s="52">
        <f>$BN216+$AR216</f>
        <v>0</v>
      </c>
      <c r="BP216" s="52">
        <f>$BO216+$AS216</f>
        <v>0</v>
      </c>
      <c r="BQ216" s="52">
        <f>SUM($T$1:$T215)</f>
        <v>11</v>
      </c>
      <c r="BR216" s="52" t="str">
        <f>IF(ISNUMBER($T216),IF($T216&gt;0,COUNTIF($T$2:$T216,"&gt;0"),""),"")</f>
        <v/>
      </c>
      <c r="BS216" s="52" t="str">
        <f>IF($BR216="","",$BQ216+$T216)</f>
        <v/>
      </c>
      <c r="BT216" s="52" t="str">
        <f>IF($U216="Ready",COUNTIF($U$2:$U216,"Ready"),"")</f>
        <v/>
      </c>
      <c r="BU216" s="52">
        <f>IF(AND($U216="Ready",$C216="Receipt"),IF(COUNTIF(Batches!$A$2:$A$301,$F216)+COUNTIFS($F$1:$F215,$F216,$C$1:$C215,"Receipt",$U$1:$U215,"Ready")=0,1,0),0)</f>
        <v>0</v>
      </c>
      <c r="BV216" s="52" t="str">
        <f>IF($BU216=1,SUM($BU$2:$BU216),"")</f>
        <v/>
      </c>
    </row>
    <row r="217">
      <c r="A217" s="46" t="n"/>
      <c r="B217" s="46" t="n"/>
      <c r="C217" s="46" t="n"/>
      <c r="D217" s="46" t="n"/>
      <c r="E217" s="46" t="n"/>
      <c r="F217" s="46" t="n"/>
      <c r="G217" s="46" t="n"/>
      <c r="H217" s="46" t="n"/>
      <c r="I217" s="46" t="n"/>
      <c r="J217" s="46" t="n"/>
      <c r="K217" s="46" t="n"/>
      <c r="L217" s="46" t="n"/>
      <c r="M217" s="62" t="str">
        <f>IF($B217="","",IF(ISNUMBER($B217),$B217,IF(AND(LEN($B217)=10,MID($B217,5,1)="-",MID($B217,8,1)="-"),IFERROR(IF(AND(MONTH(DATE(VALUE(LEFT($B217,4)),VALUE(MID($B217,6,2)),VALUE(RIGHT($B217,2))))=VALUE(MID($B217,6,2)),DAY(DATE(VALUE(LEFT($B217,4)),VALUE(MID($B217,6,2)),VALUE(RIGHT($B217,2))))=VALUE(RIGHT($B217,2))),DATE(VALUE(LEFT($B217,4)),VALUE(MID($B217,6,2)),VALUE(RIGHT($B217,2))),"ERR"),"ERR"),"ERR")))</f>
        <v/>
      </c>
      <c r="N217" s="62" t="str">
        <f>IF($G217="","",IF(ISNUMBER($G217),$G217,IF(AND(LEN($G217)=10,MID($G217,5,1)="-",MID($G217,8,1)="-"),IFERROR(IF(AND(MONTH(DATE(VALUE(LEFT($G217,4)),VALUE(MID($G217,6,2)),VALUE(RIGHT($G217,2))))=VALUE(MID($G217,6,2)),DAY(DATE(VALUE(LEFT($G217,4)),VALUE(MID($G217,6,2)),VALUE(RIGHT($G217,2))))=VALUE(RIGHT($G217,2))),DATE(VALUE(LEFT($G217,4)),VALUE(MID($G217,6,2)),VALUE(RIGHT($G217,2))),"ERR"),"ERR"),"ERR")))</f>
        <v/>
      </c>
      <c r="O217" s="51" t="str">
        <f>IF($H217="","",IF(ISNUMBER($H217),$H217,IFERROR(VALUE($H217),"ERR")))</f>
        <v/>
      </c>
      <c r="P217" s="51" t="str">
        <f>IF(AND(ISNUMBER($O217),OR($C217="Receipt",$C217="Shipment",$C217="Adjustment")),IF($C217="Shipment",-$O217,$O217),"")</f>
        <v/>
      </c>
      <c r="Q217" s="51" t="str">
        <f>IF($D217="","",IFERROR(INDEX(Products!$R$2:$R$101,MATCH($D217,Products!$A$2:$A$101,0)),""))</f>
        <v/>
      </c>
      <c r="R217" s="51" t="str">
        <f>IF(OR($Q217="",$P217=""),"",$Q217+SUMIFS($P$1:$P216,$D$1:$D216,$D217,$U$1:$U216,"Ready"))</f>
        <v/>
      </c>
      <c r="S217" s="51" t="str">
        <f>IF($R217="","",$R217+$P217)</f>
        <v/>
      </c>
      <c r="T217" s="52" t="str">
        <f>IF(COUNTA($A217:$L217)&gt;0,$BP217,"")</f>
        <v/>
      </c>
      <c r="U217" s="49" t="str">
        <f>IF($T217="","",IF($T217=0,"Ready","Rejected"))</f>
        <v/>
      </c>
      <c r="V217" s="49" t="str">
        <f>IF(OR($T217="",$T217=0),"",INDEX(Config!$D$39:$D$61,MATCH(1,$AT217:$BP217,0))&amp;IF($T217&gt;1," (+"&amp;($T217-1)&amp;" more)",""))</f>
        <v/>
      </c>
      <c r="W217" s="52">
        <f>IF(AND(COUNTA($A217:$L217)&gt;0,$A217=""),1,0)</f>
        <v>0</v>
      </c>
      <c r="X217" s="52">
        <f>IF(AND(COUNTA($A217:$L217)&gt;0,$A217&lt;&gt;""),IF(COUNTIF($A$1:$A216,$A217)&gt;0,1,0),0)</f>
        <v>0</v>
      </c>
      <c r="Y217" s="52">
        <f>IF(AND(COUNTA($A217:$L217)&gt;0,$A217&lt;&gt;""),IF(COUNTIF(Inventory_Ledger!$A$2:$A$2001,$A217)&gt;0,1,0),0)</f>
        <v>0</v>
      </c>
      <c r="Z217" s="52">
        <f>IF(AND(COUNTA($A217:$L217)&gt;0,$B217=""),1,0)</f>
        <v>0</v>
      </c>
      <c r="AA217" s="52">
        <f>IF(AND(COUNTA($A217:$L217)&gt;0,$B217&lt;&gt;""),IF($M217="ERR",1,0),0)</f>
        <v>0</v>
      </c>
      <c r="AB217" s="52">
        <f>IF(AND(COUNTA($A217:$L217)&gt;0,ISNUMBER($M217)),IF($M217&gt;Config!$B$4,1,0),0)</f>
        <v>0</v>
      </c>
      <c r="AC217" s="52">
        <f>IF(AND(COUNTA($A217:$L217)&gt;0,$C217=""),1,0)</f>
        <v>0</v>
      </c>
      <c r="AD217" s="52">
        <f>IF(AND(COUNTA($A217:$L217)&gt;0,$C217&lt;&gt;""),IF(COUNTIF(Config!$A$15:$A$34,$C217)=0,1,0),0)</f>
        <v>0</v>
      </c>
      <c r="AE217" s="52">
        <f>IF(AND(COUNTA($A217:$L217)&gt;0,$D217=""),1,0)</f>
        <v>0</v>
      </c>
      <c r="AF217" s="52">
        <f>IF(AND(COUNTA($A217:$L217)&gt;0,$D217&lt;&gt;""),IF(COUNTIF(Products!$A$2:$A$101,$D217)=0,1,0),0)</f>
        <v>0</v>
      </c>
      <c r="AG217" s="52">
        <f>IF(AND(COUNTA($A217:$L217)&gt;0,$C217="Receipt",$E217=""),1,0)</f>
        <v>0</v>
      </c>
      <c r="AH217" s="52">
        <f>IF(AND(COUNTA($A217:$L217)&gt;0,$E217&lt;&gt;""),IF(COUNTIF(Suppliers!$A$2:$A$51,$E217)=0,1,0),0)</f>
        <v>0</v>
      </c>
      <c r="AI217" s="52">
        <f>IF(AND(COUNTA($A217:$L217)&gt;0,$F217=""),1,0)</f>
        <v>0</v>
      </c>
      <c r="AJ217" s="52">
        <f>IF(AND(COUNTA($A217:$L217)&gt;0,$F217&lt;&gt;"",$D217&lt;&gt;"",OR($C217="Shipment",$C217="Adjustment")),IF($AF217=1,0,IF(COUNTIFS(Batches!$A$2:$A$301,$F217,Batches!$B$2:$B$301,$D217)+COUNTIFS($F$1:$F216,$F217,$D$1:$D216,$D217,$C$1:$C216,"Receipt")=0,1,0)),0)</f>
        <v>0</v>
      </c>
      <c r="AK217" s="52">
        <f>IF(AND(COUNTA($A217:$L217)&gt;0,$C217="Receipt",$G217=""),1,0)</f>
        <v>0</v>
      </c>
      <c r="AL217" s="52">
        <f>IF(AND(COUNTA($A217:$L217)&gt;0,$G217&lt;&gt;""),IF($N217="ERR",1,0),0)</f>
        <v>0</v>
      </c>
      <c r="AM217" s="52">
        <f>IF(AND(COUNTA($A217:$L217)&gt;0,$H217=""),1,0)</f>
        <v>0</v>
      </c>
      <c r="AN217" s="52">
        <f>IF(AND(COUNTA($A217:$L217)&gt;0,$H217&lt;&gt;""),IF($O217="ERR",1,IF(INT($O217)&lt;&gt;$O217,1,IF(AND(OR($C217="Receipt",$C217="Shipment"),$O217&lt;=0),1,IF(AND($C217="Adjustment",$O217=0),1,0)))),0)</f>
        <v>0</v>
      </c>
      <c r="AO217" s="52">
        <f>IF(AND(COUNTA($A217:$L217)&gt;0,$C217="Receipt",$I217=""),1,0)</f>
        <v>0</v>
      </c>
      <c r="AP217" s="52">
        <f>IF(AND(COUNTA($A217:$L217)&gt;0,$I217&lt;&gt;""),IF(IFERROR(INDEX(Config!$G$15:$G$34,MATCH($I217,Config!$E$15:$E$34,0)),"No")="Yes",0,1),0)</f>
        <v>0</v>
      </c>
      <c r="AQ217" s="52">
        <f>IF(AND(COUNTA($A217:$L217)&gt;0,$C217="Adjustment",$J217=""),1,0)</f>
        <v>0</v>
      </c>
      <c r="AR217" s="52">
        <f>IF(AND(COUNTA($A217:$L217)&gt;0,$L217=""),1,0)</f>
        <v>0</v>
      </c>
      <c r="AS217" s="52">
        <f>IF(AND(COUNTA($A217:$L217)&gt;0,ISNUMBER($S217)),IF($S217&lt;0,1,0),0)</f>
        <v>0</v>
      </c>
      <c r="AT217" s="52">
        <f>$W217</f>
        <v>0</v>
      </c>
      <c r="AU217" s="52">
        <f>$AT217+$X217</f>
        <v>0</v>
      </c>
      <c r="AV217" s="52">
        <f>$AU217+$Y217</f>
        <v>0</v>
      </c>
      <c r="AW217" s="52">
        <f>$AV217+$Z217</f>
        <v>0</v>
      </c>
      <c r="AX217" s="52">
        <f>$AW217+$AA217</f>
        <v>0</v>
      </c>
      <c r="AY217" s="52">
        <f>$AX217+$AB217</f>
        <v>0</v>
      </c>
      <c r="AZ217" s="52">
        <f>$AY217+$AC217</f>
        <v>0</v>
      </c>
      <c r="BA217" s="52">
        <f>$AZ217+$AD217</f>
        <v>0</v>
      </c>
      <c r="BB217" s="52">
        <f>$BA217+$AE217</f>
        <v>0</v>
      </c>
      <c r="BC217" s="52">
        <f>$BB217+$AF217</f>
        <v>0</v>
      </c>
      <c r="BD217" s="52">
        <f>$BC217+$AG217</f>
        <v>0</v>
      </c>
      <c r="BE217" s="52">
        <f>$BD217+$AH217</f>
        <v>0</v>
      </c>
      <c r="BF217" s="52">
        <f>$BE217+$AI217</f>
        <v>0</v>
      </c>
      <c r="BG217" s="52">
        <f>$BF217+$AJ217</f>
        <v>0</v>
      </c>
      <c r="BH217" s="52">
        <f>$BG217+$AK217</f>
        <v>0</v>
      </c>
      <c r="BI217" s="52">
        <f>$BH217+$AL217</f>
        <v>0</v>
      </c>
      <c r="BJ217" s="52">
        <f>$BI217+$AM217</f>
        <v>0</v>
      </c>
      <c r="BK217" s="52">
        <f>$BJ217+$AN217</f>
        <v>0</v>
      </c>
      <c r="BL217" s="52">
        <f>$BK217+$AO217</f>
        <v>0</v>
      </c>
      <c r="BM217" s="52">
        <f>$BL217+$AP217</f>
        <v>0</v>
      </c>
      <c r="BN217" s="52">
        <f>$BM217+$AQ217</f>
        <v>0</v>
      </c>
      <c r="BO217" s="52">
        <f>$BN217+$AR217</f>
        <v>0</v>
      </c>
      <c r="BP217" s="52">
        <f>$BO217+$AS217</f>
        <v>0</v>
      </c>
      <c r="BQ217" s="52">
        <f>SUM($T$1:$T216)</f>
        <v>11</v>
      </c>
      <c r="BR217" s="52" t="str">
        <f>IF(ISNUMBER($T217),IF($T217&gt;0,COUNTIF($T$2:$T217,"&gt;0"),""),"")</f>
        <v/>
      </c>
      <c r="BS217" s="52" t="str">
        <f>IF($BR217="","",$BQ217+$T217)</f>
        <v/>
      </c>
      <c r="BT217" s="52" t="str">
        <f>IF($U217="Ready",COUNTIF($U$2:$U217,"Ready"),"")</f>
        <v/>
      </c>
      <c r="BU217" s="52">
        <f>IF(AND($U217="Ready",$C217="Receipt"),IF(COUNTIF(Batches!$A$2:$A$301,$F217)+COUNTIFS($F$1:$F216,$F217,$C$1:$C216,"Receipt",$U$1:$U216,"Ready")=0,1,0),0)</f>
        <v>0</v>
      </c>
      <c r="BV217" s="52" t="str">
        <f>IF($BU217=1,SUM($BU$2:$BU217),"")</f>
        <v/>
      </c>
    </row>
    <row r="218">
      <c r="A218" s="46" t="n"/>
      <c r="B218" s="46" t="n"/>
      <c r="C218" s="46" t="n"/>
      <c r="D218" s="46" t="n"/>
      <c r="E218" s="46" t="n"/>
      <c r="F218" s="46" t="n"/>
      <c r="G218" s="46" t="n"/>
      <c r="H218" s="46" t="n"/>
      <c r="I218" s="46" t="n"/>
      <c r="J218" s="46" t="n"/>
      <c r="K218" s="46" t="n"/>
      <c r="L218" s="46" t="n"/>
      <c r="M218" s="62" t="str">
        <f>IF($B218="","",IF(ISNUMBER($B218),$B218,IF(AND(LEN($B218)=10,MID($B218,5,1)="-",MID($B218,8,1)="-"),IFERROR(IF(AND(MONTH(DATE(VALUE(LEFT($B218,4)),VALUE(MID($B218,6,2)),VALUE(RIGHT($B218,2))))=VALUE(MID($B218,6,2)),DAY(DATE(VALUE(LEFT($B218,4)),VALUE(MID($B218,6,2)),VALUE(RIGHT($B218,2))))=VALUE(RIGHT($B218,2))),DATE(VALUE(LEFT($B218,4)),VALUE(MID($B218,6,2)),VALUE(RIGHT($B218,2))),"ERR"),"ERR"),"ERR")))</f>
        <v/>
      </c>
      <c r="N218" s="62" t="str">
        <f>IF($G218="","",IF(ISNUMBER($G218),$G218,IF(AND(LEN($G218)=10,MID($G218,5,1)="-",MID($G218,8,1)="-"),IFERROR(IF(AND(MONTH(DATE(VALUE(LEFT($G218,4)),VALUE(MID($G218,6,2)),VALUE(RIGHT($G218,2))))=VALUE(MID($G218,6,2)),DAY(DATE(VALUE(LEFT($G218,4)),VALUE(MID($G218,6,2)),VALUE(RIGHT($G218,2))))=VALUE(RIGHT($G218,2))),DATE(VALUE(LEFT($G218,4)),VALUE(MID($G218,6,2)),VALUE(RIGHT($G218,2))),"ERR"),"ERR"),"ERR")))</f>
        <v/>
      </c>
      <c r="O218" s="51" t="str">
        <f>IF($H218="","",IF(ISNUMBER($H218),$H218,IFERROR(VALUE($H218),"ERR")))</f>
        <v/>
      </c>
      <c r="P218" s="51" t="str">
        <f>IF(AND(ISNUMBER($O218),OR($C218="Receipt",$C218="Shipment",$C218="Adjustment")),IF($C218="Shipment",-$O218,$O218),"")</f>
        <v/>
      </c>
      <c r="Q218" s="51" t="str">
        <f>IF($D218="","",IFERROR(INDEX(Products!$R$2:$R$101,MATCH($D218,Products!$A$2:$A$101,0)),""))</f>
        <v/>
      </c>
      <c r="R218" s="51" t="str">
        <f>IF(OR($Q218="",$P218=""),"",$Q218+SUMIFS($P$1:$P217,$D$1:$D217,$D218,$U$1:$U217,"Ready"))</f>
        <v/>
      </c>
      <c r="S218" s="51" t="str">
        <f>IF($R218="","",$R218+$P218)</f>
        <v/>
      </c>
      <c r="T218" s="52" t="str">
        <f>IF(COUNTA($A218:$L218)&gt;0,$BP218,"")</f>
        <v/>
      </c>
      <c r="U218" s="49" t="str">
        <f>IF($T218="","",IF($T218=0,"Ready","Rejected"))</f>
        <v/>
      </c>
      <c r="V218" s="49" t="str">
        <f>IF(OR($T218="",$T218=0),"",INDEX(Config!$D$39:$D$61,MATCH(1,$AT218:$BP218,0))&amp;IF($T218&gt;1," (+"&amp;($T218-1)&amp;" more)",""))</f>
        <v/>
      </c>
      <c r="W218" s="52">
        <f>IF(AND(COUNTA($A218:$L218)&gt;0,$A218=""),1,0)</f>
        <v>0</v>
      </c>
      <c r="X218" s="52">
        <f>IF(AND(COUNTA($A218:$L218)&gt;0,$A218&lt;&gt;""),IF(COUNTIF($A$1:$A217,$A218)&gt;0,1,0),0)</f>
        <v>0</v>
      </c>
      <c r="Y218" s="52">
        <f>IF(AND(COUNTA($A218:$L218)&gt;0,$A218&lt;&gt;""),IF(COUNTIF(Inventory_Ledger!$A$2:$A$2001,$A218)&gt;0,1,0),0)</f>
        <v>0</v>
      </c>
      <c r="Z218" s="52">
        <f>IF(AND(COUNTA($A218:$L218)&gt;0,$B218=""),1,0)</f>
        <v>0</v>
      </c>
      <c r="AA218" s="52">
        <f>IF(AND(COUNTA($A218:$L218)&gt;0,$B218&lt;&gt;""),IF($M218="ERR",1,0),0)</f>
        <v>0</v>
      </c>
      <c r="AB218" s="52">
        <f>IF(AND(COUNTA($A218:$L218)&gt;0,ISNUMBER($M218)),IF($M218&gt;Config!$B$4,1,0),0)</f>
        <v>0</v>
      </c>
      <c r="AC218" s="52">
        <f>IF(AND(COUNTA($A218:$L218)&gt;0,$C218=""),1,0)</f>
        <v>0</v>
      </c>
      <c r="AD218" s="52">
        <f>IF(AND(COUNTA($A218:$L218)&gt;0,$C218&lt;&gt;""),IF(COUNTIF(Config!$A$15:$A$34,$C218)=0,1,0),0)</f>
        <v>0</v>
      </c>
      <c r="AE218" s="52">
        <f>IF(AND(COUNTA($A218:$L218)&gt;0,$D218=""),1,0)</f>
        <v>0</v>
      </c>
      <c r="AF218" s="52">
        <f>IF(AND(COUNTA($A218:$L218)&gt;0,$D218&lt;&gt;""),IF(COUNTIF(Products!$A$2:$A$101,$D218)=0,1,0),0)</f>
        <v>0</v>
      </c>
      <c r="AG218" s="52">
        <f>IF(AND(COUNTA($A218:$L218)&gt;0,$C218="Receipt",$E218=""),1,0)</f>
        <v>0</v>
      </c>
      <c r="AH218" s="52">
        <f>IF(AND(COUNTA($A218:$L218)&gt;0,$E218&lt;&gt;""),IF(COUNTIF(Suppliers!$A$2:$A$51,$E218)=0,1,0),0)</f>
        <v>0</v>
      </c>
      <c r="AI218" s="52">
        <f>IF(AND(COUNTA($A218:$L218)&gt;0,$F218=""),1,0)</f>
        <v>0</v>
      </c>
      <c r="AJ218" s="52">
        <f>IF(AND(COUNTA($A218:$L218)&gt;0,$F218&lt;&gt;"",$D218&lt;&gt;"",OR($C218="Shipment",$C218="Adjustment")),IF($AF218=1,0,IF(COUNTIFS(Batches!$A$2:$A$301,$F218,Batches!$B$2:$B$301,$D218)+COUNTIFS($F$1:$F217,$F218,$D$1:$D217,$D218,$C$1:$C217,"Receipt")=0,1,0)),0)</f>
        <v>0</v>
      </c>
      <c r="AK218" s="52">
        <f>IF(AND(COUNTA($A218:$L218)&gt;0,$C218="Receipt",$G218=""),1,0)</f>
        <v>0</v>
      </c>
      <c r="AL218" s="52">
        <f>IF(AND(COUNTA($A218:$L218)&gt;0,$G218&lt;&gt;""),IF($N218="ERR",1,0),0)</f>
        <v>0</v>
      </c>
      <c r="AM218" s="52">
        <f>IF(AND(COUNTA($A218:$L218)&gt;0,$H218=""),1,0)</f>
        <v>0</v>
      </c>
      <c r="AN218" s="52">
        <f>IF(AND(COUNTA($A218:$L218)&gt;0,$H218&lt;&gt;""),IF($O218="ERR",1,IF(INT($O218)&lt;&gt;$O218,1,IF(AND(OR($C218="Receipt",$C218="Shipment"),$O218&lt;=0),1,IF(AND($C218="Adjustment",$O218=0),1,0)))),0)</f>
        <v>0</v>
      </c>
      <c r="AO218" s="52">
        <f>IF(AND(COUNTA($A218:$L218)&gt;0,$C218="Receipt",$I218=""),1,0)</f>
        <v>0</v>
      </c>
      <c r="AP218" s="52">
        <f>IF(AND(COUNTA($A218:$L218)&gt;0,$I218&lt;&gt;""),IF(IFERROR(INDEX(Config!$G$15:$G$34,MATCH($I218,Config!$E$15:$E$34,0)),"No")="Yes",0,1),0)</f>
        <v>0</v>
      </c>
      <c r="AQ218" s="52">
        <f>IF(AND(COUNTA($A218:$L218)&gt;0,$C218="Adjustment",$J218=""),1,0)</f>
        <v>0</v>
      </c>
      <c r="AR218" s="52">
        <f>IF(AND(COUNTA($A218:$L218)&gt;0,$L218=""),1,0)</f>
        <v>0</v>
      </c>
      <c r="AS218" s="52">
        <f>IF(AND(COUNTA($A218:$L218)&gt;0,ISNUMBER($S218)),IF($S218&lt;0,1,0),0)</f>
        <v>0</v>
      </c>
      <c r="AT218" s="52">
        <f>$W218</f>
        <v>0</v>
      </c>
      <c r="AU218" s="52">
        <f>$AT218+$X218</f>
        <v>0</v>
      </c>
      <c r="AV218" s="52">
        <f>$AU218+$Y218</f>
        <v>0</v>
      </c>
      <c r="AW218" s="52">
        <f>$AV218+$Z218</f>
        <v>0</v>
      </c>
      <c r="AX218" s="52">
        <f>$AW218+$AA218</f>
        <v>0</v>
      </c>
      <c r="AY218" s="52">
        <f>$AX218+$AB218</f>
        <v>0</v>
      </c>
      <c r="AZ218" s="52">
        <f>$AY218+$AC218</f>
        <v>0</v>
      </c>
      <c r="BA218" s="52">
        <f>$AZ218+$AD218</f>
        <v>0</v>
      </c>
      <c r="BB218" s="52">
        <f>$BA218+$AE218</f>
        <v>0</v>
      </c>
      <c r="BC218" s="52">
        <f>$BB218+$AF218</f>
        <v>0</v>
      </c>
      <c r="BD218" s="52">
        <f>$BC218+$AG218</f>
        <v>0</v>
      </c>
      <c r="BE218" s="52">
        <f>$BD218+$AH218</f>
        <v>0</v>
      </c>
      <c r="BF218" s="52">
        <f>$BE218+$AI218</f>
        <v>0</v>
      </c>
      <c r="BG218" s="52">
        <f>$BF218+$AJ218</f>
        <v>0</v>
      </c>
      <c r="BH218" s="52">
        <f>$BG218+$AK218</f>
        <v>0</v>
      </c>
      <c r="BI218" s="52">
        <f>$BH218+$AL218</f>
        <v>0</v>
      </c>
      <c r="BJ218" s="52">
        <f>$BI218+$AM218</f>
        <v>0</v>
      </c>
      <c r="BK218" s="52">
        <f>$BJ218+$AN218</f>
        <v>0</v>
      </c>
      <c r="BL218" s="52">
        <f>$BK218+$AO218</f>
        <v>0</v>
      </c>
      <c r="BM218" s="52">
        <f>$BL218+$AP218</f>
        <v>0</v>
      </c>
      <c r="BN218" s="52">
        <f>$BM218+$AQ218</f>
        <v>0</v>
      </c>
      <c r="BO218" s="52">
        <f>$BN218+$AR218</f>
        <v>0</v>
      </c>
      <c r="BP218" s="52">
        <f>$BO218+$AS218</f>
        <v>0</v>
      </c>
      <c r="BQ218" s="52">
        <f>SUM($T$1:$T217)</f>
        <v>11</v>
      </c>
      <c r="BR218" s="52" t="str">
        <f>IF(ISNUMBER($T218),IF($T218&gt;0,COUNTIF($T$2:$T218,"&gt;0"),""),"")</f>
        <v/>
      </c>
      <c r="BS218" s="52" t="str">
        <f>IF($BR218="","",$BQ218+$T218)</f>
        <v/>
      </c>
      <c r="BT218" s="52" t="str">
        <f>IF($U218="Ready",COUNTIF($U$2:$U218,"Ready"),"")</f>
        <v/>
      </c>
      <c r="BU218" s="52">
        <f>IF(AND($U218="Ready",$C218="Receipt"),IF(COUNTIF(Batches!$A$2:$A$301,$F218)+COUNTIFS($F$1:$F217,$F218,$C$1:$C217,"Receipt",$U$1:$U217,"Ready")=0,1,0),0)</f>
        <v>0</v>
      </c>
      <c r="BV218" s="52" t="str">
        <f>IF($BU218=1,SUM($BU$2:$BU218),"")</f>
        <v/>
      </c>
    </row>
    <row r="219">
      <c r="A219" s="46" t="n"/>
      <c r="B219" s="46" t="n"/>
      <c r="C219" s="46" t="n"/>
      <c r="D219" s="46" t="n"/>
      <c r="E219" s="46" t="n"/>
      <c r="F219" s="46" t="n"/>
      <c r="G219" s="46" t="n"/>
      <c r="H219" s="46" t="n"/>
      <c r="I219" s="46" t="n"/>
      <c r="J219" s="46" t="n"/>
      <c r="K219" s="46" t="n"/>
      <c r="L219" s="46" t="n"/>
      <c r="M219" s="62" t="str">
        <f>IF($B219="","",IF(ISNUMBER($B219),$B219,IF(AND(LEN($B219)=10,MID($B219,5,1)="-",MID($B219,8,1)="-"),IFERROR(IF(AND(MONTH(DATE(VALUE(LEFT($B219,4)),VALUE(MID($B219,6,2)),VALUE(RIGHT($B219,2))))=VALUE(MID($B219,6,2)),DAY(DATE(VALUE(LEFT($B219,4)),VALUE(MID($B219,6,2)),VALUE(RIGHT($B219,2))))=VALUE(RIGHT($B219,2))),DATE(VALUE(LEFT($B219,4)),VALUE(MID($B219,6,2)),VALUE(RIGHT($B219,2))),"ERR"),"ERR"),"ERR")))</f>
        <v/>
      </c>
      <c r="N219" s="62" t="str">
        <f>IF($G219="","",IF(ISNUMBER($G219),$G219,IF(AND(LEN($G219)=10,MID($G219,5,1)="-",MID($G219,8,1)="-"),IFERROR(IF(AND(MONTH(DATE(VALUE(LEFT($G219,4)),VALUE(MID($G219,6,2)),VALUE(RIGHT($G219,2))))=VALUE(MID($G219,6,2)),DAY(DATE(VALUE(LEFT($G219,4)),VALUE(MID($G219,6,2)),VALUE(RIGHT($G219,2))))=VALUE(RIGHT($G219,2))),DATE(VALUE(LEFT($G219,4)),VALUE(MID($G219,6,2)),VALUE(RIGHT($G219,2))),"ERR"),"ERR"),"ERR")))</f>
        <v/>
      </c>
      <c r="O219" s="51" t="str">
        <f>IF($H219="","",IF(ISNUMBER($H219),$H219,IFERROR(VALUE($H219),"ERR")))</f>
        <v/>
      </c>
      <c r="P219" s="51" t="str">
        <f>IF(AND(ISNUMBER($O219),OR($C219="Receipt",$C219="Shipment",$C219="Adjustment")),IF($C219="Shipment",-$O219,$O219),"")</f>
        <v/>
      </c>
      <c r="Q219" s="51" t="str">
        <f>IF($D219="","",IFERROR(INDEX(Products!$R$2:$R$101,MATCH($D219,Products!$A$2:$A$101,0)),""))</f>
        <v/>
      </c>
      <c r="R219" s="51" t="str">
        <f>IF(OR($Q219="",$P219=""),"",$Q219+SUMIFS($P$1:$P218,$D$1:$D218,$D219,$U$1:$U218,"Ready"))</f>
        <v/>
      </c>
      <c r="S219" s="51" t="str">
        <f>IF($R219="","",$R219+$P219)</f>
        <v/>
      </c>
      <c r="T219" s="52" t="str">
        <f>IF(COUNTA($A219:$L219)&gt;0,$BP219,"")</f>
        <v/>
      </c>
      <c r="U219" s="49" t="str">
        <f>IF($T219="","",IF($T219=0,"Ready","Rejected"))</f>
        <v/>
      </c>
      <c r="V219" s="49" t="str">
        <f>IF(OR($T219="",$T219=0),"",INDEX(Config!$D$39:$D$61,MATCH(1,$AT219:$BP219,0))&amp;IF($T219&gt;1," (+"&amp;($T219-1)&amp;" more)",""))</f>
        <v/>
      </c>
      <c r="W219" s="52">
        <f>IF(AND(COUNTA($A219:$L219)&gt;0,$A219=""),1,0)</f>
        <v>0</v>
      </c>
      <c r="X219" s="52">
        <f>IF(AND(COUNTA($A219:$L219)&gt;0,$A219&lt;&gt;""),IF(COUNTIF($A$1:$A218,$A219)&gt;0,1,0),0)</f>
        <v>0</v>
      </c>
      <c r="Y219" s="52">
        <f>IF(AND(COUNTA($A219:$L219)&gt;0,$A219&lt;&gt;""),IF(COUNTIF(Inventory_Ledger!$A$2:$A$2001,$A219)&gt;0,1,0),0)</f>
        <v>0</v>
      </c>
      <c r="Z219" s="52">
        <f>IF(AND(COUNTA($A219:$L219)&gt;0,$B219=""),1,0)</f>
        <v>0</v>
      </c>
      <c r="AA219" s="52">
        <f>IF(AND(COUNTA($A219:$L219)&gt;0,$B219&lt;&gt;""),IF($M219="ERR",1,0),0)</f>
        <v>0</v>
      </c>
      <c r="AB219" s="52">
        <f>IF(AND(COUNTA($A219:$L219)&gt;0,ISNUMBER($M219)),IF($M219&gt;Config!$B$4,1,0),0)</f>
        <v>0</v>
      </c>
      <c r="AC219" s="52">
        <f>IF(AND(COUNTA($A219:$L219)&gt;0,$C219=""),1,0)</f>
        <v>0</v>
      </c>
      <c r="AD219" s="52">
        <f>IF(AND(COUNTA($A219:$L219)&gt;0,$C219&lt;&gt;""),IF(COUNTIF(Config!$A$15:$A$34,$C219)=0,1,0),0)</f>
        <v>0</v>
      </c>
      <c r="AE219" s="52">
        <f>IF(AND(COUNTA($A219:$L219)&gt;0,$D219=""),1,0)</f>
        <v>0</v>
      </c>
      <c r="AF219" s="52">
        <f>IF(AND(COUNTA($A219:$L219)&gt;0,$D219&lt;&gt;""),IF(COUNTIF(Products!$A$2:$A$101,$D219)=0,1,0),0)</f>
        <v>0</v>
      </c>
      <c r="AG219" s="52">
        <f>IF(AND(COUNTA($A219:$L219)&gt;0,$C219="Receipt",$E219=""),1,0)</f>
        <v>0</v>
      </c>
      <c r="AH219" s="52">
        <f>IF(AND(COUNTA($A219:$L219)&gt;0,$E219&lt;&gt;""),IF(COUNTIF(Suppliers!$A$2:$A$51,$E219)=0,1,0),0)</f>
        <v>0</v>
      </c>
      <c r="AI219" s="52">
        <f>IF(AND(COUNTA($A219:$L219)&gt;0,$F219=""),1,0)</f>
        <v>0</v>
      </c>
      <c r="AJ219" s="52">
        <f>IF(AND(COUNTA($A219:$L219)&gt;0,$F219&lt;&gt;"",$D219&lt;&gt;"",OR($C219="Shipment",$C219="Adjustment")),IF($AF219=1,0,IF(COUNTIFS(Batches!$A$2:$A$301,$F219,Batches!$B$2:$B$301,$D219)+COUNTIFS($F$1:$F218,$F219,$D$1:$D218,$D219,$C$1:$C218,"Receipt")=0,1,0)),0)</f>
        <v>0</v>
      </c>
      <c r="AK219" s="52">
        <f>IF(AND(COUNTA($A219:$L219)&gt;0,$C219="Receipt",$G219=""),1,0)</f>
        <v>0</v>
      </c>
      <c r="AL219" s="52">
        <f>IF(AND(COUNTA($A219:$L219)&gt;0,$G219&lt;&gt;""),IF($N219="ERR",1,0),0)</f>
        <v>0</v>
      </c>
      <c r="AM219" s="52">
        <f>IF(AND(COUNTA($A219:$L219)&gt;0,$H219=""),1,0)</f>
        <v>0</v>
      </c>
      <c r="AN219" s="52">
        <f>IF(AND(COUNTA($A219:$L219)&gt;0,$H219&lt;&gt;""),IF($O219="ERR",1,IF(INT($O219)&lt;&gt;$O219,1,IF(AND(OR($C219="Receipt",$C219="Shipment"),$O219&lt;=0),1,IF(AND($C219="Adjustment",$O219=0),1,0)))),0)</f>
        <v>0</v>
      </c>
      <c r="AO219" s="52">
        <f>IF(AND(COUNTA($A219:$L219)&gt;0,$C219="Receipt",$I219=""),1,0)</f>
        <v>0</v>
      </c>
      <c r="AP219" s="52">
        <f>IF(AND(COUNTA($A219:$L219)&gt;0,$I219&lt;&gt;""),IF(IFERROR(INDEX(Config!$G$15:$G$34,MATCH($I219,Config!$E$15:$E$34,0)),"No")="Yes",0,1),0)</f>
        <v>0</v>
      </c>
      <c r="AQ219" s="52">
        <f>IF(AND(COUNTA($A219:$L219)&gt;0,$C219="Adjustment",$J219=""),1,0)</f>
        <v>0</v>
      </c>
      <c r="AR219" s="52">
        <f>IF(AND(COUNTA($A219:$L219)&gt;0,$L219=""),1,0)</f>
        <v>0</v>
      </c>
      <c r="AS219" s="52">
        <f>IF(AND(COUNTA($A219:$L219)&gt;0,ISNUMBER($S219)),IF($S219&lt;0,1,0),0)</f>
        <v>0</v>
      </c>
      <c r="AT219" s="52">
        <f>$W219</f>
        <v>0</v>
      </c>
      <c r="AU219" s="52">
        <f>$AT219+$X219</f>
        <v>0</v>
      </c>
      <c r="AV219" s="52">
        <f>$AU219+$Y219</f>
        <v>0</v>
      </c>
      <c r="AW219" s="52">
        <f>$AV219+$Z219</f>
        <v>0</v>
      </c>
      <c r="AX219" s="52">
        <f>$AW219+$AA219</f>
        <v>0</v>
      </c>
      <c r="AY219" s="52">
        <f>$AX219+$AB219</f>
        <v>0</v>
      </c>
      <c r="AZ219" s="52">
        <f>$AY219+$AC219</f>
        <v>0</v>
      </c>
      <c r="BA219" s="52">
        <f>$AZ219+$AD219</f>
        <v>0</v>
      </c>
      <c r="BB219" s="52">
        <f>$BA219+$AE219</f>
        <v>0</v>
      </c>
      <c r="BC219" s="52">
        <f>$BB219+$AF219</f>
        <v>0</v>
      </c>
      <c r="BD219" s="52">
        <f>$BC219+$AG219</f>
        <v>0</v>
      </c>
      <c r="BE219" s="52">
        <f>$BD219+$AH219</f>
        <v>0</v>
      </c>
      <c r="BF219" s="52">
        <f>$BE219+$AI219</f>
        <v>0</v>
      </c>
      <c r="BG219" s="52">
        <f>$BF219+$AJ219</f>
        <v>0</v>
      </c>
      <c r="BH219" s="52">
        <f>$BG219+$AK219</f>
        <v>0</v>
      </c>
      <c r="BI219" s="52">
        <f>$BH219+$AL219</f>
        <v>0</v>
      </c>
      <c r="BJ219" s="52">
        <f>$BI219+$AM219</f>
        <v>0</v>
      </c>
      <c r="BK219" s="52">
        <f>$BJ219+$AN219</f>
        <v>0</v>
      </c>
      <c r="BL219" s="52">
        <f>$BK219+$AO219</f>
        <v>0</v>
      </c>
      <c r="BM219" s="52">
        <f>$BL219+$AP219</f>
        <v>0</v>
      </c>
      <c r="BN219" s="52">
        <f>$BM219+$AQ219</f>
        <v>0</v>
      </c>
      <c r="BO219" s="52">
        <f>$BN219+$AR219</f>
        <v>0</v>
      </c>
      <c r="BP219" s="52">
        <f>$BO219+$AS219</f>
        <v>0</v>
      </c>
      <c r="BQ219" s="52">
        <f>SUM($T$1:$T218)</f>
        <v>11</v>
      </c>
      <c r="BR219" s="52" t="str">
        <f>IF(ISNUMBER($T219),IF($T219&gt;0,COUNTIF($T$2:$T219,"&gt;0"),""),"")</f>
        <v/>
      </c>
      <c r="BS219" s="52" t="str">
        <f>IF($BR219="","",$BQ219+$T219)</f>
        <v/>
      </c>
      <c r="BT219" s="52" t="str">
        <f>IF($U219="Ready",COUNTIF($U$2:$U219,"Ready"),"")</f>
        <v/>
      </c>
      <c r="BU219" s="52">
        <f>IF(AND($U219="Ready",$C219="Receipt"),IF(COUNTIF(Batches!$A$2:$A$301,$F219)+COUNTIFS($F$1:$F218,$F219,$C$1:$C218,"Receipt",$U$1:$U218,"Ready")=0,1,0),0)</f>
        <v>0</v>
      </c>
      <c r="BV219" s="52" t="str">
        <f>IF($BU219=1,SUM($BU$2:$BU219),"")</f>
        <v/>
      </c>
    </row>
    <row r="220">
      <c r="A220" s="46" t="n"/>
      <c r="B220" s="46" t="n"/>
      <c r="C220" s="46" t="n"/>
      <c r="D220" s="46" t="n"/>
      <c r="E220" s="46" t="n"/>
      <c r="F220" s="46" t="n"/>
      <c r="G220" s="46" t="n"/>
      <c r="H220" s="46" t="n"/>
      <c r="I220" s="46" t="n"/>
      <c r="J220" s="46" t="n"/>
      <c r="K220" s="46" t="n"/>
      <c r="L220" s="46" t="n"/>
      <c r="M220" s="62" t="str">
        <f>IF($B220="","",IF(ISNUMBER($B220),$B220,IF(AND(LEN($B220)=10,MID($B220,5,1)="-",MID($B220,8,1)="-"),IFERROR(IF(AND(MONTH(DATE(VALUE(LEFT($B220,4)),VALUE(MID($B220,6,2)),VALUE(RIGHT($B220,2))))=VALUE(MID($B220,6,2)),DAY(DATE(VALUE(LEFT($B220,4)),VALUE(MID($B220,6,2)),VALUE(RIGHT($B220,2))))=VALUE(RIGHT($B220,2))),DATE(VALUE(LEFT($B220,4)),VALUE(MID($B220,6,2)),VALUE(RIGHT($B220,2))),"ERR"),"ERR"),"ERR")))</f>
        <v/>
      </c>
      <c r="N220" s="62" t="str">
        <f>IF($G220="","",IF(ISNUMBER($G220),$G220,IF(AND(LEN($G220)=10,MID($G220,5,1)="-",MID($G220,8,1)="-"),IFERROR(IF(AND(MONTH(DATE(VALUE(LEFT($G220,4)),VALUE(MID($G220,6,2)),VALUE(RIGHT($G220,2))))=VALUE(MID($G220,6,2)),DAY(DATE(VALUE(LEFT($G220,4)),VALUE(MID($G220,6,2)),VALUE(RIGHT($G220,2))))=VALUE(RIGHT($G220,2))),DATE(VALUE(LEFT($G220,4)),VALUE(MID($G220,6,2)),VALUE(RIGHT($G220,2))),"ERR"),"ERR"),"ERR")))</f>
        <v/>
      </c>
      <c r="O220" s="51" t="str">
        <f>IF($H220="","",IF(ISNUMBER($H220),$H220,IFERROR(VALUE($H220),"ERR")))</f>
        <v/>
      </c>
      <c r="P220" s="51" t="str">
        <f>IF(AND(ISNUMBER($O220),OR($C220="Receipt",$C220="Shipment",$C220="Adjustment")),IF($C220="Shipment",-$O220,$O220),"")</f>
        <v/>
      </c>
      <c r="Q220" s="51" t="str">
        <f>IF($D220="","",IFERROR(INDEX(Products!$R$2:$R$101,MATCH($D220,Products!$A$2:$A$101,0)),""))</f>
        <v/>
      </c>
      <c r="R220" s="51" t="str">
        <f>IF(OR($Q220="",$P220=""),"",$Q220+SUMIFS($P$1:$P219,$D$1:$D219,$D220,$U$1:$U219,"Ready"))</f>
        <v/>
      </c>
      <c r="S220" s="51" t="str">
        <f>IF($R220="","",$R220+$P220)</f>
        <v/>
      </c>
      <c r="T220" s="52" t="str">
        <f>IF(COUNTA($A220:$L220)&gt;0,$BP220,"")</f>
        <v/>
      </c>
      <c r="U220" s="49" t="str">
        <f>IF($T220="","",IF($T220=0,"Ready","Rejected"))</f>
        <v/>
      </c>
      <c r="V220" s="49" t="str">
        <f>IF(OR($T220="",$T220=0),"",INDEX(Config!$D$39:$D$61,MATCH(1,$AT220:$BP220,0))&amp;IF($T220&gt;1," (+"&amp;($T220-1)&amp;" more)",""))</f>
        <v/>
      </c>
      <c r="W220" s="52">
        <f>IF(AND(COUNTA($A220:$L220)&gt;0,$A220=""),1,0)</f>
        <v>0</v>
      </c>
      <c r="X220" s="52">
        <f>IF(AND(COUNTA($A220:$L220)&gt;0,$A220&lt;&gt;""),IF(COUNTIF($A$1:$A219,$A220)&gt;0,1,0),0)</f>
        <v>0</v>
      </c>
      <c r="Y220" s="52">
        <f>IF(AND(COUNTA($A220:$L220)&gt;0,$A220&lt;&gt;""),IF(COUNTIF(Inventory_Ledger!$A$2:$A$2001,$A220)&gt;0,1,0),0)</f>
        <v>0</v>
      </c>
      <c r="Z220" s="52">
        <f>IF(AND(COUNTA($A220:$L220)&gt;0,$B220=""),1,0)</f>
        <v>0</v>
      </c>
      <c r="AA220" s="52">
        <f>IF(AND(COUNTA($A220:$L220)&gt;0,$B220&lt;&gt;""),IF($M220="ERR",1,0),0)</f>
        <v>0</v>
      </c>
      <c r="AB220" s="52">
        <f>IF(AND(COUNTA($A220:$L220)&gt;0,ISNUMBER($M220)),IF($M220&gt;Config!$B$4,1,0),0)</f>
        <v>0</v>
      </c>
      <c r="AC220" s="52">
        <f>IF(AND(COUNTA($A220:$L220)&gt;0,$C220=""),1,0)</f>
        <v>0</v>
      </c>
      <c r="AD220" s="52">
        <f>IF(AND(COUNTA($A220:$L220)&gt;0,$C220&lt;&gt;""),IF(COUNTIF(Config!$A$15:$A$34,$C220)=0,1,0),0)</f>
        <v>0</v>
      </c>
      <c r="AE220" s="52">
        <f>IF(AND(COUNTA($A220:$L220)&gt;0,$D220=""),1,0)</f>
        <v>0</v>
      </c>
      <c r="AF220" s="52">
        <f>IF(AND(COUNTA($A220:$L220)&gt;0,$D220&lt;&gt;""),IF(COUNTIF(Products!$A$2:$A$101,$D220)=0,1,0),0)</f>
        <v>0</v>
      </c>
      <c r="AG220" s="52">
        <f>IF(AND(COUNTA($A220:$L220)&gt;0,$C220="Receipt",$E220=""),1,0)</f>
        <v>0</v>
      </c>
      <c r="AH220" s="52">
        <f>IF(AND(COUNTA($A220:$L220)&gt;0,$E220&lt;&gt;""),IF(COUNTIF(Suppliers!$A$2:$A$51,$E220)=0,1,0),0)</f>
        <v>0</v>
      </c>
      <c r="AI220" s="52">
        <f>IF(AND(COUNTA($A220:$L220)&gt;0,$F220=""),1,0)</f>
        <v>0</v>
      </c>
      <c r="AJ220" s="52">
        <f>IF(AND(COUNTA($A220:$L220)&gt;0,$F220&lt;&gt;"",$D220&lt;&gt;"",OR($C220="Shipment",$C220="Adjustment")),IF($AF220=1,0,IF(COUNTIFS(Batches!$A$2:$A$301,$F220,Batches!$B$2:$B$301,$D220)+COUNTIFS($F$1:$F219,$F220,$D$1:$D219,$D220,$C$1:$C219,"Receipt")=0,1,0)),0)</f>
        <v>0</v>
      </c>
      <c r="AK220" s="52">
        <f>IF(AND(COUNTA($A220:$L220)&gt;0,$C220="Receipt",$G220=""),1,0)</f>
        <v>0</v>
      </c>
      <c r="AL220" s="52">
        <f>IF(AND(COUNTA($A220:$L220)&gt;0,$G220&lt;&gt;""),IF($N220="ERR",1,0),0)</f>
        <v>0</v>
      </c>
      <c r="AM220" s="52">
        <f>IF(AND(COUNTA($A220:$L220)&gt;0,$H220=""),1,0)</f>
        <v>0</v>
      </c>
      <c r="AN220" s="52">
        <f>IF(AND(COUNTA($A220:$L220)&gt;0,$H220&lt;&gt;""),IF($O220="ERR",1,IF(INT($O220)&lt;&gt;$O220,1,IF(AND(OR($C220="Receipt",$C220="Shipment"),$O220&lt;=0),1,IF(AND($C220="Adjustment",$O220=0),1,0)))),0)</f>
        <v>0</v>
      </c>
      <c r="AO220" s="52">
        <f>IF(AND(COUNTA($A220:$L220)&gt;0,$C220="Receipt",$I220=""),1,0)</f>
        <v>0</v>
      </c>
      <c r="AP220" s="52">
        <f>IF(AND(COUNTA($A220:$L220)&gt;0,$I220&lt;&gt;""),IF(IFERROR(INDEX(Config!$G$15:$G$34,MATCH($I220,Config!$E$15:$E$34,0)),"No")="Yes",0,1),0)</f>
        <v>0</v>
      </c>
      <c r="AQ220" s="52">
        <f>IF(AND(COUNTA($A220:$L220)&gt;0,$C220="Adjustment",$J220=""),1,0)</f>
        <v>0</v>
      </c>
      <c r="AR220" s="52">
        <f>IF(AND(COUNTA($A220:$L220)&gt;0,$L220=""),1,0)</f>
        <v>0</v>
      </c>
      <c r="AS220" s="52">
        <f>IF(AND(COUNTA($A220:$L220)&gt;0,ISNUMBER($S220)),IF($S220&lt;0,1,0),0)</f>
        <v>0</v>
      </c>
      <c r="AT220" s="52">
        <f>$W220</f>
        <v>0</v>
      </c>
      <c r="AU220" s="52">
        <f>$AT220+$X220</f>
        <v>0</v>
      </c>
      <c r="AV220" s="52">
        <f>$AU220+$Y220</f>
        <v>0</v>
      </c>
      <c r="AW220" s="52">
        <f>$AV220+$Z220</f>
        <v>0</v>
      </c>
      <c r="AX220" s="52">
        <f>$AW220+$AA220</f>
        <v>0</v>
      </c>
      <c r="AY220" s="52">
        <f>$AX220+$AB220</f>
        <v>0</v>
      </c>
      <c r="AZ220" s="52">
        <f>$AY220+$AC220</f>
        <v>0</v>
      </c>
      <c r="BA220" s="52">
        <f>$AZ220+$AD220</f>
        <v>0</v>
      </c>
      <c r="BB220" s="52">
        <f>$BA220+$AE220</f>
        <v>0</v>
      </c>
      <c r="BC220" s="52">
        <f>$BB220+$AF220</f>
        <v>0</v>
      </c>
      <c r="BD220" s="52">
        <f>$BC220+$AG220</f>
        <v>0</v>
      </c>
      <c r="BE220" s="52">
        <f>$BD220+$AH220</f>
        <v>0</v>
      </c>
      <c r="BF220" s="52">
        <f>$BE220+$AI220</f>
        <v>0</v>
      </c>
      <c r="BG220" s="52">
        <f>$BF220+$AJ220</f>
        <v>0</v>
      </c>
      <c r="BH220" s="52">
        <f>$BG220+$AK220</f>
        <v>0</v>
      </c>
      <c r="BI220" s="52">
        <f>$BH220+$AL220</f>
        <v>0</v>
      </c>
      <c r="BJ220" s="52">
        <f>$BI220+$AM220</f>
        <v>0</v>
      </c>
      <c r="BK220" s="52">
        <f>$BJ220+$AN220</f>
        <v>0</v>
      </c>
      <c r="BL220" s="52">
        <f>$BK220+$AO220</f>
        <v>0</v>
      </c>
      <c r="BM220" s="52">
        <f>$BL220+$AP220</f>
        <v>0</v>
      </c>
      <c r="BN220" s="52">
        <f>$BM220+$AQ220</f>
        <v>0</v>
      </c>
      <c r="BO220" s="52">
        <f>$BN220+$AR220</f>
        <v>0</v>
      </c>
      <c r="BP220" s="52">
        <f>$BO220+$AS220</f>
        <v>0</v>
      </c>
      <c r="BQ220" s="52">
        <f>SUM($T$1:$T219)</f>
        <v>11</v>
      </c>
      <c r="BR220" s="52" t="str">
        <f>IF(ISNUMBER($T220),IF($T220&gt;0,COUNTIF($T$2:$T220,"&gt;0"),""),"")</f>
        <v/>
      </c>
      <c r="BS220" s="52" t="str">
        <f>IF($BR220="","",$BQ220+$T220)</f>
        <v/>
      </c>
      <c r="BT220" s="52" t="str">
        <f>IF($U220="Ready",COUNTIF($U$2:$U220,"Ready"),"")</f>
        <v/>
      </c>
      <c r="BU220" s="52">
        <f>IF(AND($U220="Ready",$C220="Receipt"),IF(COUNTIF(Batches!$A$2:$A$301,$F220)+COUNTIFS($F$1:$F219,$F220,$C$1:$C219,"Receipt",$U$1:$U219,"Ready")=0,1,0),0)</f>
        <v>0</v>
      </c>
      <c r="BV220" s="52" t="str">
        <f>IF($BU220=1,SUM($BU$2:$BU220),"")</f>
        <v/>
      </c>
    </row>
    <row r="221">
      <c r="A221" s="46" t="n"/>
      <c r="B221" s="46" t="n"/>
      <c r="C221" s="46" t="n"/>
      <c r="D221" s="46" t="n"/>
      <c r="E221" s="46" t="n"/>
      <c r="F221" s="46" t="n"/>
      <c r="G221" s="46" t="n"/>
      <c r="H221" s="46" t="n"/>
      <c r="I221" s="46" t="n"/>
      <c r="J221" s="46" t="n"/>
      <c r="K221" s="46" t="n"/>
      <c r="L221" s="46" t="n"/>
      <c r="M221" s="62" t="str">
        <f>IF($B221="","",IF(ISNUMBER($B221),$B221,IF(AND(LEN($B221)=10,MID($B221,5,1)="-",MID($B221,8,1)="-"),IFERROR(IF(AND(MONTH(DATE(VALUE(LEFT($B221,4)),VALUE(MID($B221,6,2)),VALUE(RIGHT($B221,2))))=VALUE(MID($B221,6,2)),DAY(DATE(VALUE(LEFT($B221,4)),VALUE(MID($B221,6,2)),VALUE(RIGHT($B221,2))))=VALUE(RIGHT($B221,2))),DATE(VALUE(LEFT($B221,4)),VALUE(MID($B221,6,2)),VALUE(RIGHT($B221,2))),"ERR"),"ERR"),"ERR")))</f>
        <v/>
      </c>
      <c r="N221" s="62" t="str">
        <f>IF($G221="","",IF(ISNUMBER($G221),$G221,IF(AND(LEN($G221)=10,MID($G221,5,1)="-",MID($G221,8,1)="-"),IFERROR(IF(AND(MONTH(DATE(VALUE(LEFT($G221,4)),VALUE(MID($G221,6,2)),VALUE(RIGHT($G221,2))))=VALUE(MID($G221,6,2)),DAY(DATE(VALUE(LEFT($G221,4)),VALUE(MID($G221,6,2)),VALUE(RIGHT($G221,2))))=VALUE(RIGHT($G221,2))),DATE(VALUE(LEFT($G221,4)),VALUE(MID($G221,6,2)),VALUE(RIGHT($G221,2))),"ERR"),"ERR"),"ERR")))</f>
        <v/>
      </c>
      <c r="O221" s="51" t="str">
        <f>IF($H221="","",IF(ISNUMBER($H221),$H221,IFERROR(VALUE($H221),"ERR")))</f>
        <v/>
      </c>
      <c r="P221" s="51" t="str">
        <f>IF(AND(ISNUMBER($O221),OR($C221="Receipt",$C221="Shipment",$C221="Adjustment")),IF($C221="Shipment",-$O221,$O221),"")</f>
        <v/>
      </c>
      <c r="Q221" s="51" t="str">
        <f>IF($D221="","",IFERROR(INDEX(Products!$R$2:$R$101,MATCH($D221,Products!$A$2:$A$101,0)),""))</f>
        <v/>
      </c>
      <c r="R221" s="51" t="str">
        <f>IF(OR($Q221="",$P221=""),"",$Q221+SUMIFS($P$1:$P220,$D$1:$D220,$D221,$U$1:$U220,"Ready"))</f>
        <v/>
      </c>
      <c r="S221" s="51" t="str">
        <f>IF($R221="","",$R221+$P221)</f>
        <v/>
      </c>
      <c r="T221" s="52" t="str">
        <f>IF(COUNTA($A221:$L221)&gt;0,$BP221,"")</f>
        <v/>
      </c>
      <c r="U221" s="49" t="str">
        <f>IF($T221="","",IF($T221=0,"Ready","Rejected"))</f>
        <v/>
      </c>
      <c r="V221" s="49" t="str">
        <f>IF(OR($T221="",$T221=0),"",INDEX(Config!$D$39:$D$61,MATCH(1,$AT221:$BP221,0))&amp;IF($T221&gt;1," (+"&amp;($T221-1)&amp;" more)",""))</f>
        <v/>
      </c>
      <c r="W221" s="52">
        <f>IF(AND(COUNTA($A221:$L221)&gt;0,$A221=""),1,0)</f>
        <v>0</v>
      </c>
      <c r="X221" s="52">
        <f>IF(AND(COUNTA($A221:$L221)&gt;0,$A221&lt;&gt;""),IF(COUNTIF($A$1:$A220,$A221)&gt;0,1,0),0)</f>
        <v>0</v>
      </c>
      <c r="Y221" s="52">
        <f>IF(AND(COUNTA($A221:$L221)&gt;0,$A221&lt;&gt;""),IF(COUNTIF(Inventory_Ledger!$A$2:$A$2001,$A221)&gt;0,1,0),0)</f>
        <v>0</v>
      </c>
      <c r="Z221" s="52">
        <f>IF(AND(COUNTA($A221:$L221)&gt;0,$B221=""),1,0)</f>
        <v>0</v>
      </c>
      <c r="AA221" s="52">
        <f>IF(AND(COUNTA($A221:$L221)&gt;0,$B221&lt;&gt;""),IF($M221="ERR",1,0),0)</f>
        <v>0</v>
      </c>
      <c r="AB221" s="52">
        <f>IF(AND(COUNTA($A221:$L221)&gt;0,ISNUMBER($M221)),IF($M221&gt;Config!$B$4,1,0),0)</f>
        <v>0</v>
      </c>
      <c r="AC221" s="52">
        <f>IF(AND(COUNTA($A221:$L221)&gt;0,$C221=""),1,0)</f>
        <v>0</v>
      </c>
      <c r="AD221" s="52">
        <f>IF(AND(COUNTA($A221:$L221)&gt;0,$C221&lt;&gt;""),IF(COUNTIF(Config!$A$15:$A$34,$C221)=0,1,0),0)</f>
        <v>0</v>
      </c>
      <c r="AE221" s="52">
        <f>IF(AND(COUNTA($A221:$L221)&gt;0,$D221=""),1,0)</f>
        <v>0</v>
      </c>
      <c r="AF221" s="52">
        <f>IF(AND(COUNTA($A221:$L221)&gt;0,$D221&lt;&gt;""),IF(COUNTIF(Products!$A$2:$A$101,$D221)=0,1,0),0)</f>
        <v>0</v>
      </c>
      <c r="AG221" s="52">
        <f>IF(AND(COUNTA($A221:$L221)&gt;0,$C221="Receipt",$E221=""),1,0)</f>
        <v>0</v>
      </c>
      <c r="AH221" s="52">
        <f>IF(AND(COUNTA($A221:$L221)&gt;0,$E221&lt;&gt;""),IF(COUNTIF(Suppliers!$A$2:$A$51,$E221)=0,1,0),0)</f>
        <v>0</v>
      </c>
      <c r="AI221" s="52">
        <f>IF(AND(COUNTA($A221:$L221)&gt;0,$F221=""),1,0)</f>
        <v>0</v>
      </c>
      <c r="AJ221" s="52">
        <f>IF(AND(COUNTA($A221:$L221)&gt;0,$F221&lt;&gt;"",$D221&lt;&gt;"",OR($C221="Shipment",$C221="Adjustment")),IF($AF221=1,0,IF(COUNTIFS(Batches!$A$2:$A$301,$F221,Batches!$B$2:$B$301,$D221)+COUNTIFS($F$1:$F220,$F221,$D$1:$D220,$D221,$C$1:$C220,"Receipt")=0,1,0)),0)</f>
        <v>0</v>
      </c>
      <c r="AK221" s="52">
        <f>IF(AND(COUNTA($A221:$L221)&gt;0,$C221="Receipt",$G221=""),1,0)</f>
        <v>0</v>
      </c>
      <c r="AL221" s="52">
        <f>IF(AND(COUNTA($A221:$L221)&gt;0,$G221&lt;&gt;""),IF($N221="ERR",1,0),0)</f>
        <v>0</v>
      </c>
      <c r="AM221" s="52">
        <f>IF(AND(COUNTA($A221:$L221)&gt;0,$H221=""),1,0)</f>
        <v>0</v>
      </c>
      <c r="AN221" s="52">
        <f>IF(AND(COUNTA($A221:$L221)&gt;0,$H221&lt;&gt;""),IF($O221="ERR",1,IF(INT($O221)&lt;&gt;$O221,1,IF(AND(OR($C221="Receipt",$C221="Shipment"),$O221&lt;=0),1,IF(AND($C221="Adjustment",$O221=0),1,0)))),0)</f>
        <v>0</v>
      </c>
      <c r="AO221" s="52">
        <f>IF(AND(COUNTA($A221:$L221)&gt;0,$C221="Receipt",$I221=""),1,0)</f>
        <v>0</v>
      </c>
      <c r="AP221" s="52">
        <f>IF(AND(COUNTA($A221:$L221)&gt;0,$I221&lt;&gt;""),IF(IFERROR(INDEX(Config!$G$15:$G$34,MATCH($I221,Config!$E$15:$E$34,0)),"No")="Yes",0,1),0)</f>
        <v>0</v>
      </c>
      <c r="AQ221" s="52">
        <f>IF(AND(COUNTA($A221:$L221)&gt;0,$C221="Adjustment",$J221=""),1,0)</f>
        <v>0</v>
      </c>
      <c r="AR221" s="52">
        <f>IF(AND(COUNTA($A221:$L221)&gt;0,$L221=""),1,0)</f>
        <v>0</v>
      </c>
      <c r="AS221" s="52">
        <f>IF(AND(COUNTA($A221:$L221)&gt;0,ISNUMBER($S221)),IF($S221&lt;0,1,0),0)</f>
        <v>0</v>
      </c>
      <c r="AT221" s="52">
        <f>$W221</f>
        <v>0</v>
      </c>
      <c r="AU221" s="52">
        <f>$AT221+$X221</f>
        <v>0</v>
      </c>
      <c r="AV221" s="52">
        <f>$AU221+$Y221</f>
        <v>0</v>
      </c>
      <c r="AW221" s="52">
        <f>$AV221+$Z221</f>
        <v>0</v>
      </c>
      <c r="AX221" s="52">
        <f>$AW221+$AA221</f>
        <v>0</v>
      </c>
      <c r="AY221" s="52">
        <f>$AX221+$AB221</f>
        <v>0</v>
      </c>
      <c r="AZ221" s="52">
        <f>$AY221+$AC221</f>
        <v>0</v>
      </c>
      <c r="BA221" s="52">
        <f>$AZ221+$AD221</f>
        <v>0</v>
      </c>
      <c r="BB221" s="52">
        <f>$BA221+$AE221</f>
        <v>0</v>
      </c>
      <c r="BC221" s="52">
        <f>$BB221+$AF221</f>
        <v>0</v>
      </c>
      <c r="BD221" s="52">
        <f>$BC221+$AG221</f>
        <v>0</v>
      </c>
      <c r="BE221" s="52">
        <f>$BD221+$AH221</f>
        <v>0</v>
      </c>
      <c r="BF221" s="52">
        <f>$BE221+$AI221</f>
        <v>0</v>
      </c>
      <c r="BG221" s="52">
        <f>$BF221+$AJ221</f>
        <v>0</v>
      </c>
      <c r="BH221" s="52">
        <f>$BG221+$AK221</f>
        <v>0</v>
      </c>
      <c r="BI221" s="52">
        <f>$BH221+$AL221</f>
        <v>0</v>
      </c>
      <c r="BJ221" s="52">
        <f>$BI221+$AM221</f>
        <v>0</v>
      </c>
      <c r="BK221" s="52">
        <f>$BJ221+$AN221</f>
        <v>0</v>
      </c>
      <c r="BL221" s="52">
        <f>$BK221+$AO221</f>
        <v>0</v>
      </c>
      <c r="BM221" s="52">
        <f>$BL221+$AP221</f>
        <v>0</v>
      </c>
      <c r="BN221" s="52">
        <f>$BM221+$AQ221</f>
        <v>0</v>
      </c>
      <c r="BO221" s="52">
        <f>$BN221+$AR221</f>
        <v>0</v>
      </c>
      <c r="BP221" s="52">
        <f>$BO221+$AS221</f>
        <v>0</v>
      </c>
      <c r="BQ221" s="52">
        <f>SUM($T$1:$T220)</f>
        <v>11</v>
      </c>
      <c r="BR221" s="52" t="str">
        <f>IF(ISNUMBER($T221),IF($T221&gt;0,COUNTIF($T$2:$T221,"&gt;0"),""),"")</f>
        <v/>
      </c>
      <c r="BS221" s="52" t="str">
        <f>IF($BR221="","",$BQ221+$T221)</f>
        <v/>
      </c>
      <c r="BT221" s="52" t="str">
        <f>IF($U221="Ready",COUNTIF($U$2:$U221,"Ready"),"")</f>
        <v/>
      </c>
      <c r="BU221" s="52">
        <f>IF(AND($U221="Ready",$C221="Receipt"),IF(COUNTIF(Batches!$A$2:$A$301,$F221)+COUNTIFS($F$1:$F220,$F221,$C$1:$C220,"Receipt",$U$1:$U220,"Ready")=0,1,0),0)</f>
        <v>0</v>
      </c>
      <c r="BV221" s="52" t="str">
        <f>IF($BU221=1,SUM($BU$2:$BU221),"")</f>
        <v/>
      </c>
    </row>
    <row r="222">
      <c r="A222" s="46" t="n"/>
      <c r="B222" s="46" t="n"/>
      <c r="C222" s="46" t="n"/>
      <c r="D222" s="46" t="n"/>
      <c r="E222" s="46" t="n"/>
      <c r="F222" s="46" t="n"/>
      <c r="G222" s="46" t="n"/>
      <c r="H222" s="46" t="n"/>
      <c r="I222" s="46" t="n"/>
      <c r="J222" s="46" t="n"/>
      <c r="K222" s="46" t="n"/>
      <c r="L222" s="46" t="n"/>
      <c r="M222" s="62" t="str">
        <f>IF($B222="","",IF(ISNUMBER($B222),$B222,IF(AND(LEN($B222)=10,MID($B222,5,1)="-",MID($B222,8,1)="-"),IFERROR(IF(AND(MONTH(DATE(VALUE(LEFT($B222,4)),VALUE(MID($B222,6,2)),VALUE(RIGHT($B222,2))))=VALUE(MID($B222,6,2)),DAY(DATE(VALUE(LEFT($B222,4)),VALUE(MID($B222,6,2)),VALUE(RIGHT($B222,2))))=VALUE(RIGHT($B222,2))),DATE(VALUE(LEFT($B222,4)),VALUE(MID($B222,6,2)),VALUE(RIGHT($B222,2))),"ERR"),"ERR"),"ERR")))</f>
        <v/>
      </c>
      <c r="N222" s="62" t="str">
        <f>IF($G222="","",IF(ISNUMBER($G222),$G222,IF(AND(LEN($G222)=10,MID($G222,5,1)="-",MID($G222,8,1)="-"),IFERROR(IF(AND(MONTH(DATE(VALUE(LEFT($G222,4)),VALUE(MID($G222,6,2)),VALUE(RIGHT($G222,2))))=VALUE(MID($G222,6,2)),DAY(DATE(VALUE(LEFT($G222,4)),VALUE(MID($G222,6,2)),VALUE(RIGHT($G222,2))))=VALUE(RIGHT($G222,2))),DATE(VALUE(LEFT($G222,4)),VALUE(MID($G222,6,2)),VALUE(RIGHT($G222,2))),"ERR"),"ERR"),"ERR")))</f>
        <v/>
      </c>
      <c r="O222" s="51" t="str">
        <f>IF($H222="","",IF(ISNUMBER($H222),$H222,IFERROR(VALUE($H222),"ERR")))</f>
        <v/>
      </c>
      <c r="P222" s="51" t="str">
        <f>IF(AND(ISNUMBER($O222),OR($C222="Receipt",$C222="Shipment",$C222="Adjustment")),IF($C222="Shipment",-$O222,$O222),"")</f>
        <v/>
      </c>
      <c r="Q222" s="51" t="str">
        <f>IF($D222="","",IFERROR(INDEX(Products!$R$2:$R$101,MATCH($D222,Products!$A$2:$A$101,0)),""))</f>
        <v/>
      </c>
      <c r="R222" s="51" t="str">
        <f>IF(OR($Q222="",$P222=""),"",$Q222+SUMIFS($P$1:$P221,$D$1:$D221,$D222,$U$1:$U221,"Ready"))</f>
        <v/>
      </c>
      <c r="S222" s="51" t="str">
        <f>IF($R222="","",$R222+$P222)</f>
        <v/>
      </c>
      <c r="T222" s="52" t="str">
        <f>IF(COUNTA($A222:$L222)&gt;0,$BP222,"")</f>
        <v/>
      </c>
      <c r="U222" s="49" t="str">
        <f>IF($T222="","",IF($T222=0,"Ready","Rejected"))</f>
        <v/>
      </c>
      <c r="V222" s="49" t="str">
        <f>IF(OR($T222="",$T222=0),"",INDEX(Config!$D$39:$D$61,MATCH(1,$AT222:$BP222,0))&amp;IF($T222&gt;1," (+"&amp;($T222-1)&amp;" more)",""))</f>
        <v/>
      </c>
      <c r="W222" s="52">
        <f>IF(AND(COUNTA($A222:$L222)&gt;0,$A222=""),1,0)</f>
        <v>0</v>
      </c>
      <c r="X222" s="52">
        <f>IF(AND(COUNTA($A222:$L222)&gt;0,$A222&lt;&gt;""),IF(COUNTIF($A$1:$A221,$A222)&gt;0,1,0),0)</f>
        <v>0</v>
      </c>
      <c r="Y222" s="52">
        <f>IF(AND(COUNTA($A222:$L222)&gt;0,$A222&lt;&gt;""),IF(COUNTIF(Inventory_Ledger!$A$2:$A$2001,$A222)&gt;0,1,0),0)</f>
        <v>0</v>
      </c>
      <c r="Z222" s="52">
        <f>IF(AND(COUNTA($A222:$L222)&gt;0,$B222=""),1,0)</f>
        <v>0</v>
      </c>
      <c r="AA222" s="52">
        <f>IF(AND(COUNTA($A222:$L222)&gt;0,$B222&lt;&gt;""),IF($M222="ERR",1,0),0)</f>
        <v>0</v>
      </c>
      <c r="AB222" s="52">
        <f>IF(AND(COUNTA($A222:$L222)&gt;0,ISNUMBER($M222)),IF($M222&gt;Config!$B$4,1,0),0)</f>
        <v>0</v>
      </c>
      <c r="AC222" s="52">
        <f>IF(AND(COUNTA($A222:$L222)&gt;0,$C222=""),1,0)</f>
        <v>0</v>
      </c>
      <c r="AD222" s="52">
        <f>IF(AND(COUNTA($A222:$L222)&gt;0,$C222&lt;&gt;""),IF(COUNTIF(Config!$A$15:$A$34,$C222)=0,1,0),0)</f>
        <v>0</v>
      </c>
      <c r="AE222" s="52">
        <f>IF(AND(COUNTA($A222:$L222)&gt;0,$D222=""),1,0)</f>
        <v>0</v>
      </c>
      <c r="AF222" s="52">
        <f>IF(AND(COUNTA($A222:$L222)&gt;0,$D222&lt;&gt;""),IF(COUNTIF(Products!$A$2:$A$101,$D222)=0,1,0),0)</f>
        <v>0</v>
      </c>
      <c r="AG222" s="52">
        <f>IF(AND(COUNTA($A222:$L222)&gt;0,$C222="Receipt",$E222=""),1,0)</f>
        <v>0</v>
      </c>
      <c r="AH222" s="52">
        <f>IF(AND(COUNTA($A222:$L222)&gt;0,$E222&lt;&gt;""),IF(COUNTIF(Suppliers!$A$2:$A$51,$E222)=0,1,0),0)</f>
        <v>0</v>
      </c>
      <c r="AI222" s="52">
        <f>IF(AND(COUNTA($A222:$L222)&gt;0,$F222=""),1,0)</f>
        <v>0</v>
      </c>
      <c r="AJ222" s="52">
        <f>IF(AND(COUNTA($A222:$L222)&gt;0,$F222&lt;&gt;"",$D222&lt;&gt;"",OR($C222="Shipment",$C222="Adjustment")),IF($AF222=1,0,IF(COUNTIFS(Batches!$A$2:$A$301,$F222,Batches!$B$2:$B$301,$D222)+COUNTIFS($F$1:$F221,$F222,$D$1:$D221,$D222,$C$1:$C221,"Receipt")=0,1,0)),0)</f>
        <v>0</v>
      </c>
      <c r="AK222" s="52">
        <f>IF(AND(COUNTA($A222:$L222)&gt;0,$C222="Receipt",$G222=""),1,0)</f>
        <v>0</v>
      </c>
      <c r="AL222" s="52">
        <f>IF(AND(COUNTA($A222:$L222)&gt;0,$G222&lt;&gt;""),IF($N222="ERR",1,0),0)</f>
        <v>0</v>
      </c>
      <c r="AM222" s="52">
        <f>IF(AND(COUNTA($A222:$L222)&gt;0,$H222=""),1,0)</f>
        <v>0</v>
      </c>
      <c r="AN222" s="52">
        <f>IF(AND(COUNTA($A222:$L222)&gt;0,$H222&lt;&gt;""),IF($O222="ERR",1,IF(INT($O222)&lt;&gt;$O222,1,IF(AND(OR($C222="Receipt",$C222="Shipment"),$O222&lt;=0),1,IF(AND($C222="Adjustment",$O222=0),1,0)))),0)</f>
        <v>0</v>
      </c>
      <c r="AO222" s="52">
        <f>IF(AND(COUNTA($A222:$L222)&gt;0,$C222="Receipt",$I222=""),1,0)</f>
        <v>0</v>
      </c>
      <c r="AP222" s="52">
        <f>IF(AND(COUNTA($A222:$L222)&gt;0,$I222&lt;&gt;""),IF(IFERROR(INDEX(Config!$G$15:$G$34,MATCH($I222,Config!$E$15:$E$34,0)),"No")="Yes",0,1),0)</f>
        <v>0</v>
      </c>
      <c r="AQ222" s="52">
        <f>IF(AND(COUNTA($A222:$L222)&gt;0,$C222="Adjustment",$J222=""),1,0)</f>
        <v>0</v>
      </c>
      <c r="AR222" s="52">
        <f>IF(AND(COUNTA($A222:$L222)&gt;0,$L222=""),1,0)</f>
        <v>0</v>
      </c>
      <c r="AS222" s="52">
        <f>IF(AND(COUNTA($A222:$L222)&gt;0,ISNUMBER($S222)),IF($S222&lt;0,1,0),0)</f>
        <v>0</v>
      </c>
      <c r="AT222" s="52">
        <f>$W222</f>
        <v>0</v>
      </c>
      <c r="AU222" s="52">
        <f>$AT222+$X222</f>
        <v>0</v>
      </c>
      <c r="AV222" s="52">
        <f>$AU222+$Y222</f>
        <v>0</v>
      </c>
      <c r="AW222" s="52">
        <f>$AV222+$Z222</f>
        <v>0</v>
      </c>
      <c r="AX222" s="52">
        <f>$AW222+$AA222</f>
        <v>0</v>
      </c>
      <c r="AY222" s="52">
        <f>$AX222+$AB222</f>
        <v>0</v>
      </c>
      <c r="AZ222" s="52">
        <f>$AY222+$AC222</f>
        <v>0</v>
      </c>
      <c r="BA222" s="52">
        <f>$AZ222+$AD222</f>
        <v>0</v>
      </c>
      <c r="BB222" s="52">
        <f>$BA222+$AE222</f>
        <v>0</v>
      </c>
      <c r="BC222" s="52">
        <f>$BB222+$AF222</f>
        <v>0</v>
      </c>
      <c r="BD222" s="52">
        <f>$BC222+$AG222</f>
        <v>0</v>
      </c>
      <c r="BE222" s="52">
        <f>$BD222+$AH222</f>
        <v>0</v>
      </c>
      <c r="BF222" s="52">
        <f>$BE222+$AI222</f>
        <v>0</v>
      </c>
      <c r="BG222" s="52">
        <f>$BF222+$AJ222</f>
        <v>0</v>
      </c>
      <c r="BH222" s="52">
        <f>$BG222+$AK222</f>
        <v>0</v>
      </c>
      <c r="BI222" s="52">
        <f>$BH222+$AL222</f>
        <v>0</v>
      </c>
      <c r="BJ222" s="52">
        <f>$BI222+$AM222</f>
        <v>0</v>
      </c>
      <c r="BK222" s="52">
        <f>$BJ222+$AN222</f>
        <v>0</v>
      </c>
      <c r="BL222" s="52">
        <f>$BK222+$AO222</f>
        <v>0</v>
      </c>
      <c r="BM222" s="52">
        <f>$BL222+$AP222</f>
        <v>0</v>
      </c>
      <c r="BN222" s="52">
        <f>$BM222+$AQ222</f>
        <v>0</v>
      </c>
      <c r="BO222" s="52">
        <f>$BN222+$AR222</f>
        <v>0</v>
      </c>
      <c r="BP222" s="52">
        <f>$BO222+$AS222</f>
        <v>0</v>
      </c>
      <c r="BQ222" s="52">
        <f>SUM($T$1:$T221)</f>
        <v>11</v>
      </c>
      <c r="BR222" s="52" t="str">
        <f>IF(ISNUMBER($T222),IF($T222&gt;0,COUNTIF($T$2:$T222,"&gt;0"),""),"")</f>
        <v/>
      </c>
      <c r="BS222" s="52" t="str">
        <f>IF($BR222="","",$BQ222+$T222)</f>
        <v/>
      </c>
      <c r="BT222" s="52" t="str">
        <f>IF($U222="Ready",COUNTIF($U$2:$U222,"Ready"),"")</f>
        <v/>
      </c>
      <c r="BU222" s="52">
        <f>IF(AND($U222="Ready",$C222="Receipt"),IF(COUNTIF(Batches!$A$2:$A$301,$F222)+COUNTIFS($F$1:$F221,$F222,$C$1:$C221,"Receipt",$U$1:$U221,"Ready")=0,1,0),0)</f>
        <v>0</v>
      </c>
      <c r="BV222" s="52" t="str">
        <f>IF($BU222=1,SUM($BU$2:$BU222),"")</f>
        <v/>
      </c>
    </row>
    <row r="223">
      <c r="A223" s="46" t="n"/>
      <c r="B223" s="46" t="n"/>
      <c r="C223" s="46" t="n"/>
      <c r="D223" s="46" t="n"/>
      <c r="E223" s="46" t="n"/>
      <c r="F223" s="46" t="n"/>
      <c r="G223" s="46" t="n"/>
      <c r="H223" s="46" t="n"/>
      <c r="I223" s="46" t="n"/>
      <c r="J223" s="46" t="n"/>
      <c r="K223" s="46" t="n"/>
      <c r="L223" s="46" t="n"/>
      <c r="M223" s="62" t="str">
        <f>IF($B223="","",IF(ISNUMBER($B223),$B223,IF(AND(LEN($B223)=10,MID($B223,5,1)="-",MID($B223,8,1)="-"),IFERROR(IF(AND(MONTH(DATE(VALUE(LEFT($B223,4)),VALUE(MID($B223,6,2)),VALUE(RIGHT($B223,2))))=VALUE(MID($B223,6,2)),DAY(DATE(VALUE(LEFT($B223,4)),VALUE(MID($B223,6,2)),VALUE(RIGHT($B223,2))))=VALUE(RIGHT($B223,2))),DATE(VALUE(LEFT($B223,4)),VALUE(MID($B223,6,2)),VALUE(RIGHT($B223,2))),"ERR"),"ERR"),"ERR")))</f>
        <v/>
      </c>
      <c r="N223" s="62" t="str">
        <f>IF($G223="","",IF(ISNUMBER($G223),$G223,IF(AND(LEN($G223)=10,MID($G223,5,1)="-",MID($G223,8,1)="-"),IFERROR(IF(AND(MONTH(DATE(VALUE(LEFT($G223,4)),VALUE(MID($G223,6,2)),VALUE(RIGHT($G223,2))))=VALUE(MID($G223,6,2)),DAY(DATE(VALUE(LEFT($G223,4)),VALUE(MID($G223,6,2)),VALUE(RIGHT($G223,2))))=VALUE(RIGHT($G223,2))),DATE(VALUE(LEFT($G223,4)),VALUE(MID($G223,6,2)),VALUE(RIGHT($G223,2))),"ERR"),"ERR"),"ERR")))</f>
        <v/>
      </c>
      <c r="O223" s="51" t="str">
        <f>IF($H223="","",IF(ISNUMBER($H223),$H223,IFERROR(VALUE($H223),"ERR")))</f>
        <v/>
      </c>
      <c r="P223" s="51" t="str">
        <f>IF(AND(ISNUMBER($O223),OR($C223="Receipt",$C223="Shipment",$C223="Adjustment")),IF($C223="Shipment",-$O223,$O223),"")</f>
        <v/>
      </c>
      <c r="Q223" s="51" t="str">
        <f>IF($D223="","",IFERROR(INDEX(Products!$R$2:$R$101,MATCH($D223,Products!$A$2:$A$101,0)),""))</f>
        <v/>
      </c>
      <c r="R223" s="51" t="str">
        <f>IF(OR($Q223="",$P223=""),"",$Q223+SUMIFS($P$1:$P222,$D$1:$D222,$D223,$U$1:$U222,"Ready"))</f>
        <v/>
      </c>
      <c r="S223" s="51" t="str">
        <f>IF($R223="","",$R223+$P223)</f>
        <v/>
      </c>
      <c r="T223" s="52" t="str">
        <f>IF(COUNTA($A223:$L223)&gt;0,$BP223,"")</f>
        <v/>
      </c>
      <c r="U223" s="49" t="str">
        <f>IF($T223="","",IF($T223=0,"Ready","Rejected"))</f>
        <v/>
      </c>
      <c r="V223" s="49" t="str">
        <f>IF(OR($T223="",$T223=0),"",INDEX(Config!$D$39:$D$61,MATCH(1,$AT223:$BP223,0))&amp;IF($T223&gt;1," (+"&amp;($T223-1)&amp;" more)",""))</f>
        <v/>
      </c>
      <c r="W223" s="52">
        <f>IF(AND(COUNTA($A223:$L223)&gt;0,$A223=""),1,0)</f>
        <v>0</v>
      </c>
      <c r="X223" s="52">
        <f>IF(AND(COUNTA($A223:$L223)&gt;0,$A223&lt;&gt;""),IF(COUNTIF($A$1:$A222,$A223)&gt;0,1,0),0)</f>
        <v>0</v>
      </c>
      <c r="Y223" s="52">
        <f>IF(AND(COUNTA($A223:$L223)&gt;0,$A223&lt;&gt;""),IF(COUNTIF(Inventory_Ledger!$A$2:$A$2001,$A223)&gt;0,1,0),0)</f>
        <v>0</v>
      </c>
      <c r="Z223" s="52">
        <f>IF(AND(COUNTA($A223:$L223)&gt;0,$B223=""),1,0)</f>
        <v>0</v>
      </c>
      <c r="AA223" s="52">
        <f>IF(AND(COUNTA($A223:$L223)&gt;0,$B223&lt;&gt;""),IF($M223="ERR",1,0),0)</f>
        <v>0</v>
      </c>
      <c r="AB223" s="52">
        <f>IF(AND(COUNTA($A223:$L223)&gt;0,ISNUMBER($M223)),IF($M223&gt;Config!$B$4,1,0),0)</f>
        <v>0</v>
      </c>
      <c r="AC223" s="52">
        <f>IF(AND(COUNTA($A223:$L223)&gt;0,$C223=""),1,0)</f>
        <v>0</v>
      </c>
      <c r="AD223" s="52">
        <f>IF(AND(COUNTA($A223:$L223)&gt;0,$C223&lt;&gt;""),IF(COUNTIF(Config!$A$15:$A$34,$C223)=0,1,0),0)</f>
        <v>0</v>
      </c>
      <c r="AE223" s="52">
        <f>IF(AND(COUNTA($A223:$L223)&gt;0,$D223=""),1,0)</f>
        <v>0</v>
      </c>
      <c r="AF223" s="52">
        <f>IF(AND(COUNTA($A223:$L223)&gt;0,$D223&lt;&gt;""),IF(COUNTIF(Products!$A$2:$A$101,$D223)=0,1,0),0)</f>
        <v>0</v>
      </c>
      <c r="AG223" s="52">
        <f>IF(AND(COUNTA($A223:$L223)&gt;0,$C223="Receipt",$E223=""),1,0)</f>
        <v>0</v>
      </c>
      <c r="AH223" s="52">
        <f>IF(AND(COUNTA($A223:$L223)&gt;0,$E223&lt;&gt;""),IF(COUNTIF(Suppliers!$A$2:$A$51,$E223)=0,1,0),0)</f>
        <v>0</v>
      </c>
      <c r="AI223" s="52">
        <f>IF(AND(COUNTA($A223:$L223)&gt;0,$F223=""),1,0)</f>
        <v>0</v>
      </c>
      <c r="AJ223" s="52">
        <f>IF(AND(COUNTA($A223:$L223)&gt;0,$F223&lt;&gt;"",$D223&lt;&gt;"",OR($C223="Shipment",$C223="Adjustment")),IF($AF223=1,0,IF(COUNTIFS(Batches!$A$2:$A$301,$F223,Batches!$B$2:$B$301,$D223)+COUNTIFS($F$1:$F222,$F223,$D$1:$D222,$D223,$C$1:$C222,"Receipt")=0,1,0)),0)</f>
        <v>0</v>
      </c>
      <c r="AK223" s="52">
        <f>IF(AND(COUNTA($A223:$L223)&gt;0,$C223="Receipt",$G223=""),1,0)</f>
        <v>0</v>
      </c>
      <c r="AL223" s="52">
        <f>IF(AND(COUNTA($A223:$L223)&gt;0,$G223&lt;&gt;""),IF($N223="ERR",1,0),0)</f>
        <v>0</v>
      </c>
      <c r="AM223" s="52">
        <f>IF(AND(COUNTA($A223:$L223)&gt;0,$H223=""),1,0)</f>
        <v>0</v>
      </c>
      <c r="AN223" s="52">
        <f>IF(AND(COUNTA($A223:$L223)&gt;0,$H223&lt;&gt;""),IF($O223="ERR",1,IF(INT($O223)&lt;&gt;$O223,1,IF(AND(OR($C223="Receipt",$C223="Shipment"),$O223&lt;=0),1,IF(AND($C223="Adjustment",$O223=0),1,0)))),0)</f>
        <v>0</v>
      </c>
      <c r="AO223" s="52">
        <f>IF(AND(COUNTA($A223:$L223)&gt;0,$C223="Receipt",$I223=""),1,0)</f>
        <v>0</v>
      </c>
      <c r="AP223" s="52">
        <f>IF(AND(COUNTA($A223:$L223)&gt;0,$I223&lt;&gt;""),IF(IFERROR(INDEX(Config!$G$15:$G$34,MATCH($I223,Config!$E$15:$E$34,0)),"No")="Yes",0,1),0)</f>
        <v>0</v>
      </c>
      <c r="AQ223" s="52">
        <f>IF(AND(COUNTA($A223:$L223)&gt;0,$C223="Adjustment",$J223=""),1,0)</f>
        <v>0</v>
      </c>
      <c r="AR223" s="52">
        <f>IF(AND(COUNTA($A223:$L223)&gt;0,$L223=""),1,0)</f>
        <v>0</v>
      </c>
      <c r="AS223" s="52">
        <f>IF(AND(COUNTA($A223:$L223)&gt;0,ISNUMBER($S223)),IF($S223&lt;0,1,0),0)</f>
        <v>0</v>
      </c>
      <c r="AT223" s="52">
        <f>$W223</f>
        <v>0</v>
      </c>
      <c r="AU223" s="52">
        <f>$AT223+$X223</f>
        <v>0</v>
      </c>
      <c r="AV223" s="52">
        <f>$AU223+$Y223</f>
        <v>0</v>
      </c>
      <c r="AW223" s="52">
        <f>$AV223+$Z223</f>
        <v>0</v>
      </c>
      <c r="AX223" s="52">
        <f>$AW223+$AA223</f>
        <v>0</v>
      </c>
      <c r="AY223" s="52">
        <f>$AX223+$AB223</f>
        <v>0</v>
      </c>
      <c r="AZ223" s="52">
        <f>$AY223+$AC223</f>
        <v>0</v>
      </c>
      <c r="BA223" s="52">
        <f>$AZ223+$AD223</f>
        <v>0</v>
      </c>
      <c r="BB223" s="52">
        <f>$BA223+$AE223</f>
        <v>0</v>
      </c>
      <c r="BC223" s="52">
        <f>$BB223+$AF223</f>
        <v>0</v>
      </c>
      <c r="BD223" s="52">
        <f>$BC223+$AG223</f>
        <v>0</v>
      </c>
      <c r="BE223" s="52">
        <f>$BD223+$AH223</f>
        <v>0</v>
      </c>
      <c r="BF223" s="52">
        <f>$BE223+$AI223</f>
        <v>0</v>
      </c>
      <c r="BG223" s="52">
        <f>$BF223+$AJ223</f>
        <v>0</v>
      </c>
      <c r="BH223" s="52">
        <f>$BG223+$AK223</f>
        <v>0</v>
      </c>
      <c r="BI223" s="52">
        <f>$BH223+$AL223</f>
        <v>0</v>
      </c>
      <c r="BJ223" s="52">
        <f>$BI223+$AM223</f>
        <v>0</v>
      </c>
      <c r="BK223" s="52">
        <f>$BJ223+$AN223</f>
        <v>0</v>
      </c>
      <c r="BL223" s="52">
        <f>$BK223+$AO223</f>
        <v>0</v>
      </c>
      <c r="BM223" s="52">
        <f>$BL223+$AP223</f>
        <v>0</v>
      </c>
      <c r="BN223" s="52">
        <f>$BM223+$AQ223</f>
        <v>0</v>
      </c>
      <c r="BO223" s="52">
        <f>$BN223+$AR223</f>
        <v>0</v>
      </c>
      <c r="BP223" s="52">
        <f>$BO223+$AS223</f>
        <v>0</v>
      </c>
      <c r="BQ223" s="52">
        <f>SUM($T$1:$T222)</f>
        <v>11</v>
      </c>
      <c r="BR223" s="52" t="str">
        <f>IF(ISNUMBER($T223),IF($T223&gt;0,COUNTIF($T$2:$T223,"&gt;0"),""),"")</f>
        <v/>
      </c>
      <c r="BS223" s="52" t="str">
        <f>IF($BR223="","",$BQ223+$T223)</f>
        <v/>
      </c>
      <c r="BT223" s="52" t="str">
        <f>IF($U223="Ready",COUNTIF($U$2:$U223,"Ready"),"")</f>
        <v/>
      </c>
      <c r="BU223" s="52">
        <f>IF(AND($U223="Ready",$C223="Receipt"),IF(COUNTIF(Batches!$A$2:$A$301,$F223)+COUNTIFS($F$1:$F222,$F223,$C$1:$C222,"Receipt",$U$1:$U222,"Ready")=0,1,0),0)</f>
        <v>0</v>
      </c>
      <c r="BV223" s="52" t="str">
        <f>IF($BU223=1,SUM($BU$2:$BU223),"")</f>
        <v/>
      </c>
    </row>
    <row r="224">
      <c r="A224" s="46" t="n"/>
      <c r="B224" s="46" t="n"/>
      <c r="C224" s="46" t="n"/>
      <c r="D224" s="46" t="n"/>
      <c r="E224" s="46" t="n"/>
      <c r="F224" s="46" t="n"/>
      <c r="G224" s="46" t="n"/>
      <c r="H224" s="46" t="n"/>
      <c r="I224" s="46" t="n"/>
      <c r="J224" s="46" t="n"/>
      <c r="K224" s="46" t="n"/>
      <c r="L224" s="46" t="n"/>
      <c r="M224" s="62" t="str">
        <f>IF($B224="","",IF(ISNUMBER($B224),$B224,IF(AND(LEN($B224)=10,MID($B224,5,1)="-",MID($B224,8,1)="-"),IFERROR(IF(AND(MONTH(DATE(VALUE(LEFT($B224,4)),VALUE(MID($B224,6,2)),VALUE(RIGHT($B224,2))))=VALUE(MID($B224,6,2)),DAY(DATE(VALUE(LEFT($B224,4)),VALUE(MID($B224,6,2)),VALUE(RIGHT($B224,2))))=VALUE(RIGHT($B224,2))),DATE(VALUE(LEFT($B224,4)),VALUE(MID($B224,6,2)),VALUE(RIGHT($B224,2))),"ERR"),"ERR"),"ERR")))</f>
        <v/>
      </c>
      <c r="N224" s="62" t="str">
        <f>IF($G224="","",IF(ISNUMBER($G224),$G224,IF(AND(LEN($G224)=10,MID($G224,5,1)="-",MID($G224,8,1)="-"),IFERROR(IF(AND(MONTH(DATE(VALUE(LEFT($G224,4)),VALUE(MID($G224,6,2)),VALUE(RIGHT($G224,2))))=VALUE(MID($G224,6,2)),DAY(DATE(VALUE(LEFT($G224,4)),VALUE(MID($G224,6,2)),VALUE(RIGHT($G224,2))))=VALUE(RIGHT($G224,2))),DATE(VALUE(LEFT($G224,4)),VALUE(MID($G224,6,2)),VALUE(RIGHT($G224,2))),"ERR"),"ERR"),"ERR")))</f>
        <v/>
      </c>
      <c r="O224" s="51" t="str">
        <f>IF($H224="","",IF(ISNUMBER($H224),$H224,IFERROR(VALUE($H224),"ERR")))</f>
        <v/>
      </c>
      <c r="P224" s="51" t="str">
        <f>IF(AND(ISNUMBER($O224),OR($C224="Receipt",$C224="Shipment",$C224="Adjustment")),IF($C224="Shipment",-$O224,$O224),"")</f>
        <v/>
      </c>
      <c r="Q224" s="51" t="str">
        <f>IF($D224="","",IFERROR(INDEX(Products!$R$2:$R$101,MATCH($D224,Products!$A$2:$A$101,0)),""))</f>
        <v/>
      </c>
      <c r="R224" s="51" t="str">
        <f>IF(OR($Q224="",$P224=""),"",$Q224+SUMIFS($P$1:$P223,$D$1:$D223,$D224,$U$1:$U223,"Ready"))</f>
        <v/>
      </c>
      <c r="S224" s="51" t="str">
        <f>IF($R224="","",$R224+$P224)</f>
        <v/>
      </c>
      <c r="T224" s="52" t="str">
        <f>IF(COUNTA($A224:$L224)&gt;0,$BP224,"")</f>
        <v/>
      </c>
      <c r="U224" s="49" t="str">
        <f>IF($T224="","",IF($T224=0,"Ready","Rejected"))</f>
        <v/>
      </c>
      <c r="V224" s="49" t="str">
        <f>IF(OR($T224="",$T224=0),"",INDEX(Config!$D$39:$D$61,MATCH(1,$AT224:$BP224,0))&amp;IF($T224&gt;1," (+"&amp;($T224-1)&amp;" more)",""))</f>
        <v/>
      </c>
      <c r="W224" s="52">
        <f>IF(AND(COUNTA($A224:$L224)&gt;0,$A224=""),1,0)</f>
        <v>0</v>
      </c>
      <c r="X224" s="52">
        <f>IF(AND(COUNTA($A224:$L224)&gt;0,$A224&lt;&gt;""),IF(COUNTIF($A$1:$A223,$A224)&gt;0,1,0),0)</f>
        <v>0</v>
      </c>
      <c r="Y224" s="52">
        <f>IF(AND(COUNTA($A224:$L224)&gt;0,$A224&lt;&gt;""),IF(COUNTIF(Inventory_Ledger!$A$2:$A$2001,$A224)&gt;0,1,0),0)</f>
        <v>0</v>
      </c>
      <c r="Z224" s="52">
        <f>IF(AND(COUNTA($A224:$L224)&gt;0,$B224=""),1,0)</f>
        <v>0</v>
      </c>
      <c r="AA224" s="52">
        <f>IF(AND(COUNTA($A224:$L224)&gt;0,$B224&lt;&gt;""),IF($M224="ERR",1,0),0)</f>
        <v>0</v>
      </c>
      <c r="AB224" s="52">
        <f>IF(AND(COUNTA($A224:$L224)&gt;0,ISNUMBER($M224)),IF($M224&gt;Config!$B$4,1,0),0)</f>
        <v>0</v>
      </c>
      <c r="AC224" s="52">
        <f>IF(AND(COUNTA($A224:$L224)&gt;0,$C224=""),1,0)</f>
        <v>0</v>
      </c>
      <c r="AD224" s="52">
        <f>IF(AND(COUNTA($A224:$L224)&gt;0,$C224&lt;&gt;""),IF(COUNTIF(Config!$A$15:$A$34,$C224)=0,1,0),0)</f>
        <v>0</v>
      </c>
      <c r="AE224" s="52">
        <f>IF(AND(COUNTA($A224:$L224)&gt;0,$D224=""),1,0)</f>
        <v>0</v>
      </c>
      <c r="AF224" s="52">
        <f>IF(AND(COUNTA($A224:$L224)&gt;0,$D224&lt;&gt;""),IF(COUNTIF(Products!$A$2:$A$101,$D224)=0,1,0),0)</f>
        <v>0</v>
      </c>
      <c r="AG224" s="52">
        <f>IF(AND(COUNTA($A224:$L224)&gt;0,$C224="Receipt",$E224=""),1,0)</f>
        <v>0</v>
      </c>
      <c r="AH224" s="52">
        <f>IF(AND(COUNTA($A224:$L224)&gt;0,$E224&lt;&gt;""),IF(COUNTIF(Suppliers!$A$2:$A$51,$E224)=0,1,0),0)</f>
        <v>0</v>
      </c>
      <c r="AI224" s="52">
        <f>IF(AND(COUNTA($A224:$L224)&gt;0,$F224=""),1,0)</f>
        <v>0</v>
      </c>
      <c r="AJ224" s="52">
        <f>IF(AND(COUNTA($A224:$L224)&gt;0,$F224&lt;&gt;"",$D224&lt;&gt;"",OR($C224="Shipment",$C224="Adjustment")),IF($AF224=1,0,IF(COUNTIFS(Batches!$A$2:$A$301,$F224,Batches!$B$2:$B$301,$D224)+COUNTIFS($F$1:$F223,$F224,$D$1:$D223,$D224,$C$1:$C223,"Receipt")=0,1,0)),0)</f>
        <v>0</v>
      </c>
      <c r="AK224" s="52">
        <f>IF(AND(COUNTA($A224:$L224)&gt;0,$C224="Receipt",$G224=""),1,0)</f>
        <v>0</v>
      </c>
      <c r="AL224" s="52">
        <f>IF(AND(COUNTA($A224:$L224)&gt;0,$G224&lt;&gt;""),IF($N224="ERR",1,0),0)</f>
        <v>0</v>
      </c>
      <c r="AM224" s="52">
        <f>IF(AND(COUNTA($A224:$L224)&gt;0,$H224=""),1,0)</f>
        <v>0</v>
      </c>
      <c r="AN224" s="52">
        <f>IF(AND(COUNTA($A224:$L224)&gt;0,$H224&lt;&gt;""),IF($O224="ERR",1,IF(INT($O224)&lt;&gt;$O224,1,IF(AND(OR($C224="Receipt",$C224="Shipment"),$O224&lt;=0),1,IF(AND($C224="Adjustment",$O224=0),1,0)))),0)</f>
        <v>0</v>
      </c>
      <c r="AO224" s="52">
        <f>IF(AND(COUNTA($A224:$L224)&gt;0,$C224="Receipt",$I224=""),1,0)</f>
        <v>0</v>
      </c>
      <c r="AP224" s="52">
        <f>IF(AND(COUNTA($A224:$L224)&gt;0,$I224&lt;&gt;""),IF(IFERROR(INDEX(Config!$G$15:$G$34,MATCH($I224,Config!$E$15:$E$34,0)),"No")="Yes",0,1),0)</f>
        <v>0</v>
      </c>
      <c r="AQ224" s="52">
        <f>IF(AND(COUNTA($A224:$L224)&gt;0,$C224="Adjustment",$J224=""),1,0)</f>
        <v>0</v>
      </c>
      <c r="AR224" s="52">
        <f>IF(AND(COUNTA($A224:$L224)&gt;0,$L224=""),1,0)</f>
        <v>0</v>
      </c>
      <c r="AS224" s="52">
        <f>IF(AND(COUNTA($A224:$L224)&gt;0,ISNUMBER($S224)),IF($S224&lt;0,1,0),0)</f>
        <v>0</v>
      </c>
      <c r="AT224" s="52">
        <f>$W224</f>
        <v>0</v>
      </c>
      <c r="AU224" s="52">
        <f>$AT224+$X224</f>
        <v>0</v>
      </c>
      <c r="AV224" s="52">
        <f>$AU224+$Y224</f>
        <v>0</v>
      </c>
      <c r="AW224" s="52">
        <f>$AV224+$Z224</f>
        <v>0</v>
      </c>
      <c r="AX224" s="52">
        <f>$AW224+$AA224</f>
        <v>0</v>
      </c>
      <c r="AY224" s="52">
        <f>$AX224+$AB224</f>
        <v>0</v>
      </c>
      <c r="AZ224" s="52">
        <f>$AY224+$AC224</f>
        <v>0</v>
      </c>
      <c r="BA224" s="52">
        <f>$AZ224+$AD224</f>
        <v>0</v>
      </c>
      <c r="BB224" s="52">
        <f>$BA224+$AE224</f>
        <v>0</v>
      </c>
      <c r="BC224" s="52">
        <f>$BB224+$AF224</f>
        <v>0</v>
      </c>
      <c r="BD224" s="52">
        <f>$BC224+$AG224</f>
        <v>0</v>
      </c>
      <c r="BE224" s="52">
        <f>$BD224+$AH224</f>
        <v>0</v>
      </c>
      <c r="BF224" s="52">
        <f>$BE224+$AI224</f>
        <v>0</v>
      </c>
      <c r="BG224" s="52">
        <f>$BF224+$AJ224</f>
        <v>0</v>
      </c>
      <c r="BH224" s="52">
        <f>$BG224+$AK224</f>
        <v>0</v>
      </c>
      <c r="BI224" s="52">
        <f>$BH224+$AL224</f>
        <v>0</v>
      </c>
      <c r="BJ224" s="52">
        <f>$BI224+$AM224</f>
        <v>0</v>
      </c>
      <c r="BK224" s="52">
        <f>$BJ224+$AN224</f>
        <v>0</v>
      </c>
      <c r="BL224" s="52">
        <f>$BK224+$AO224</f>
        <v>0</v>
      </c>
      <c r="BM224" s="52">
        <f>$BL224+$AP224</f>
        <v>0</v>
      </c>
      <c r="BN224" s="52">
        <f>$BM224+$AQ224</f>
        <v>0</v>
      </c>
      <c r="BO224" s="52">
        <f>$BN224+$AR224</f>
        <v>0</v>
      </c>
      <c r="BP224" s="52">
        <f>$BO224+$AS224</f>
        <v>0</v>
      </c>
      <c r="BQ224" s="52">
        <f>SUM($T$1:$T223)</f>
        <v>11</v>
      </c>
      <c r="BR224" s="52" t="str">
        <f>IF(ISNUMBER($T224),IF($T224&gt;0,COUNTIF($T$2:$T224,"&gt;0"),""),"")</f>
        <v/>
      </c>
      <c r="BS224" s="52" t="str">
        <f>IF($BR224="","",$BQ224+$T224)</f>
        <v/>
      </c>
      <c r="BT224" s="52" t="str">
        <f>IF($U224="Ready",COUNTIF($U$2:$U224,"Ready"),"")</f>
        <v/>
      </c>
      <c r="BU224" s="52">
        <f>IF(AND($U224="Ready",$C224="Receipt"),IF(COUNTIF(Batches!$A$2:$A$301,$F224)+COUNTIFS($F$1:$F223,$F224,$C$1:$C223,"Receipt",$U$1:$U223,"Ready")=0,1,0),0)</f>
        <v>0</v>
      </c>
      <c r="BV224" s="52" t="str">
        <f>IF($BU224=1,SUM($BU$2:$BU224),"")</f>
        <v/>
      </c>
    </row>
    <row r="225">
      <c r="A225" s="46" t="n"/>
      <c r="B225" s="46" t="n"/>
      <c r="C225" s="46" t="n"/>
      <c r="D225" s="46" t="n"/>
      <c r="E225" s="46" t="n"/>
      <c r="F225" s="46" t="n"/>
      <c r="G225" s="46" t="n"/>
      <c r="H225" s="46" t="n"/>
      <c r="I225" s="46" t="n"/>
      <c r="J225" s="46" t="n"/>
      <c r="K225" s="46" t="n"/>
      <c r="L225" s="46" t="n"/>
      <c r="M225" s="62" t="str">
        <f>IF($B225="","",IF(ISNUMBER($B225),$B225,IF(AND(LEN($B225)=10,MID($B225,5,1)="-",MID($B225,8,1)="-"),IFERROR(IF(AND(MONTH(DATE(VALUE(LEFT($B225,4)),VALUE(MID($B225,6,2)),VALUE(RIGHT($B225,2))))=VALUE(MID($B225,6,2)),DAY(DATE(VALUE(LEFT($B225,4)),VALUE(MID($B225,6,2)),VALUE(RIGHT($B225,2))))=VALUE(RIGHT($B225,2))),DATE(VALUE(LEFT($B225,4)),VALUE(MID($B225,6,2)),VALUE(RIGHT($B225,2))),"ERR"),"ERR"),"ERR")))</f>
        <v/>
      </c>
      <c r="N225" s="62" t="str">
        <f>IF($G225="","",IF(ISNUMBER($G225),$G225,IF(AND(LEN($G225)=10,MID($G225,5,1)="-",MID($G225,8,1)="-"),IFERROR(IF(AND(MONTH(DATE(VALUE(LEFT($G225,4)),VALUE(MID($G225,6,2)),VALUE(RIGHT($G225,2))))=VALUE(MID($G225,6,2)),DAY(DATE(VALUE(LEFT($G225,4)),VALUE(MID($G225,6,2)),VALUE(RIGHT($G225,2))))=VALUE(RIGHT($G225,2))),DATE(VALUE(LEFT($G225,4)),VALUE(MID($G225,6,2)),VALUE(RIGHT($G225,2))),"ERR"),"ERR"),"ERR")))</f>
        <v/>
      </c>
      <c r="O225" s="51" t="str">
        <f>IF($H225="","",IF(ISNUMBER($H225),$H225,IFERROR(VALUE($H225),"ERR")))</f>
        <v/>
      </c>
      <c r="P225" s="51" t="str">
        <f>IF(AND(ISNUMBER($O225),OR($C225="Receipt",$C225="Shipment",$C225="Adjustment")),IF($C225="Shipment",-$O225,$O225),"")</f>
        <v/>
      </c>
      <c r="Q225" s="51" t="str">
        <f>IF($D225="","",IFERROR(INDEX(Products!$R$2:$R$101,MATCH($D225,Products!$A$2:$A$101,0)),""))</f>
        <v/>
      </c>
      <c r="R225" s="51" t="str">
        <f>IF(OR($Q225="",$P225=""),"",$Q225+SUMIFS($P$1:$P224,$D$1:$D224,$D225,$U$1:$U224,"Ready"))</f>
        <v/>
      </c>
      <c r="S225" s="51" t="str">
        <f>IF($R225="","",$R225+$P225)</f>
        <v/>
      </c>
      <c r="T225" s="52" t="str">
        <f>IF(COUNTA($A225:$L225)&gt;0,$BP225,"")</f>
        <v/>
      </c>
      <c r="U225" s="49" t="str">
        <f>IF($T225="","",IF($T225=0,"Ready","Rejected"))</f>
        <v/>
      </c>
      <c r="V225" s="49" t="str">
        <f>IF(OR($T225="",$T225=0),"",INDEX(Config!$D$39:$D$61,MATCH(1,$AT225:$BP225,0))&amp;IF($T225&gt;1," (+"&amp;($T225-1)&amp;" more)",""))</f>
        <v/>
      </c>
      <c r="W225" s="52">
        <f>IF(AND(COUNTA($A225:$L225)&gt;0,$A225=""),1,0)</f>
        <v>0</v>
      </c>
      <c r="X225" s="52">
        <f>IF(AND(COUNTA($A225:$L225)&gt;0,$A225&lt;&gt;""),IF(COUNTIF($A$1:$A224,$A225)&gt;0,1,0),0)</f>
        <v>0</v>
      </c>
      <c r="Y225" s="52">
        <f>IF(AND(COUNTA($A225:$L225)&gt;0,$A225&lt;&gt;""),IF(COUNTIF(Inventory_Ledger!$A$2:$A$2001,$A225)&gt;0,1,0),0)</f>
        <v>0</v>
      </c>
      <c r="Z225" s="52">
        <f>IF(AND(COUNTA($A225:$L225)&gt;0,$B225=""),1,0)</f>
        <v>0</v>
      </c>
      <c r="AA225" s="52">
        <f>IF(AND(COUNTA($A225:$L225)&gt;0,$B225&lt;&gt;""),IF($M225="ERR",1,0),0)</f>
        <v>0</v>
      </c>
      <c r="AB225" s="52">
        <f>IF(AND(COUNTA($A225:$L225)&gt;0,ISNUMBER($M225)),IF($M225&gt;Config!$B$4,1,0),0)</f>
        <v>0</v>
      </c>
      <c r="AC225" s="52">
        <f>IF(AND(COUNTA($A225:$L225)&gt;0,$C225=""),1,0)</f>
        <v>0</v>
      </c>
      <c r="AD225" s="52">
        <f>IF(AND(COUNTA($A225:$L225)&gt;0,$C225&lt;&gt;""),IF(COUNTIF(Config!$A$15:$A$34,$C225)=0,1,0),0)</f>
        <v>0</v>
      </c>
      <c r="AE225" s="52">
        <f>IF(AND(COUNTA($A225:$L225)&gt;0,$D225=""),1,0)</f>
        <v>0</v>
      </c>
      <c r="AF225" s="52">
        <f>IF(AND(COUNTA($A225:$L225)&gt;0,$D225&lt;&gt;""),IF(COUNTIF(Products!$A$2:$A$101,$D225)=0,1,0),0)</f>
        <v>0</v>
      </c>
      <c r="AG225" s="52">
        <f>IF(AND(COUNTA($A225:$L225)&gt;0,$C225="Receipt",$E225=""),1,0)</f>
        <v>0</v>
      </c>
      <c r="AH225" s="52">
        <f>IF(AND(COUNTA($A225:$L225)&gt;0,$E225&lt;&gt;""),IF(COUNTIF(Suppliers!$A$2:$A$51,$E225)=0,1,0),0)</f>
        <v>0</v>
      </c>
      <c r="AI225" s="52">
        <f>IF(AND(COUNTA($A225:$L225)&gt;0,$F225=""),1,0)</f>
        <v>0</v>
      </c>
      <c r="AJ225" s="52">
        <f>IF(AND(COUNTA($A225:$L225)&gt;0,$F225&lt;&gt;"",$D225&lt;&gt;"",OR($C225="Shipment",$C225="Adjustment")),IF($AF225=1,0,IF(COUNTIFS(Batches!$A$2:$A$301,$F225,Batches!$B$2:$B$301,$D225)+COUNTIFS($F$1:$F224,$F225,$D$1:$D224,$D225,$C$1:$C224,"Receipt")=0,1,0)),0)</f>
        <v>0</v>
      </c>
      <c r="AK225" s="52">
        <f>IF(AND(COUNTA($A225:$L225)&gt;0,$C225="Receipt",$G225=""),1,0)</f>
        <v>0</v>
      </c>
      <c r="AL225" s="52">
        <f>IF(AND(COUNTA($A225:$L225)&gt;0,$G225&lt;&gt;""),IF($N225="ERR",1,0),0)</f>
        <v>0</v>
      </c>
      <c r="AM225" s="52">
        <f>IF(AND(COUNTA($A225:$L225)&gt;0,$H225=""),1,0)</f>
        <v>0</v>
      </c>
      <c r="AN225" s="52">
        <f>IF(AND(COUNTA($A225:$L225)&gt;0,$H225&lt;&gt;""),IF($O225="ERR",1,IF(INT($O225)&lt;&gt;$O225,1,IF(AND(OR($C225="Receipt",$C225="Shipment"),$O225&lt;=0),1,IF(AND($C225="Adjustment",$O225=0),1,0)))),0)</f>
        <v>0</v>
      </c>
      <c r="AO225" s="52">
        <f>IF(AND(COUNTA($A225:$L225)&gt;0,$C225="Receipt",$I225=""),1,0)</f>
        <v>0</v>
      </c>
      <c r="AP225" s="52">
        <f>IF(AND(COUNTA($A225:$L225)&gt;0,$I225&lt;&gt;""),IF(IFERROR(INDEX(Config!$G$15:$G$34,MATCH($I225,Config!$E$15:$E$34,0)),"No")="Yes",0,1),0)</f>
        <v>0</v>
      </c>
      <c r="AQ225" s="52">
        <f>IF(AND(COUNTA($A225:$L225)&gt;0,$C225="Adjustment",$J225=""),1,0)</f>
        <v>0</v>
      </c>
      <c r="AR225" s="52">
        <f>IF(AND(COUNTA($A225:$L225)&gt;0,$L225=""),1,0)</f>
        <v>0</v>
      </c>
      <c r="AS225" s="52">
        <f>IF(AND(COUNTA($A225:$L225)&gt;0,ISNUMBER($S225)),IF($S225&lt;0,1,0),0)</f>
        <v>0</v>
      </c>
      <c r="AT225" s="52">
        <f>$W225</f>
        <v>0</v>
      </c>
      <c r="AU225" s="52">
        <f>$AT225+$X225</f>
        <v>0</v>
      </c>
      <c r="AV225" s="52">
        <f>$AU225+$Y225</f>
        <v>0</v>
      </c>
      <c r="AW225" s="52">
        <f>$AV225+$Z225</f>
        <v>0</v>
      </c>
      <c r="AX225" s="52">
        <f>$AW225+$AA225</f>
        <v>0</v>
      </c>
      <c r="AY225" s="52">
        <f>$AX225+$AB225</f>
        <v>0</v>
      </c>
      <c r="AZ225" s="52">
        <f>$AY225+$AC225</f>
        <v>0</v>
      </c>
      <c r="BA225" s="52">
        <f>$AZ225+$AD225</f>
        <v>0</v>
      </c>
      <c r="BB225" s="52">
        <f>$BA225+$AE225</f>
        <v>0</v>
      </c>
      <c r="BC225" s="52">
        <f>$BB225+$AF225</f>
        <v>0</v>
      </c>
      <c r="BD225" s="52">
        <f>$BC225+$AG225</f>
        <v>0</v>
      </c>
      <c r="BE225" s="52">
        <f>$BD225+$AH225</f>
        <v>0</v>
      </c>
      <c r="BF225" s="52">
        <f>$BE225+$AI225</f>
        <v>0</v>
      </c>
      <c r="BG225" s="52">
        <f>$BF225+$AJ225</f>
        <v>0</v>
      </c>
      <c r="BH225" s="52">
        <f>$BG225+$AK225</f>
        <v>0</v>
      </c>
      <c r="BI225" s="52">
        <f>$BH225+$AL225</f>
        <v>0</v>
      </c>
      <c r="BJ225" s="52">
        <f>$BI225+$AM225</f>
        <v>0</v>
      </c>
      <c r="BK225" s="52">
        <f>$BJ225+$AN225</f>
        <v>0</v>
      </c>
      <c r="BL225" s="52">
        <f>$BK225+$AO225</f>
        <v>0</v>
      </c>
      <c r="BM225" s="52">
        <f>$BL225+$AP225</f>
        <v>0</v>
      </c>
      <c r="BN225" s="52">
        <f>$BM225+$AQ225</f>
        <v>0</v>
      </c>
      <c r="BO225" s="52">
        <f>$BN225+$AR225</f>
        <v>0</v>
      </c>
      <c r="BP225" s="52">
        <f>$BO225+$AS225</f>
        <v>0</v>
      </c>
      <c r="BQ225" s="52">
        <f>SUM($T$1:$T224)</f>
        <v>11</v>
      </c>
      <c r="BR225" s="52" t="str">
        <f>IF(ISNUMBER($T225),IF($T225&gt;0,COUNTIF($T$2:$T225,"&gt;0"),""),"")</f>
        <v/>
      </c>
      <c r="BS225" s="52" t="str">
        <f>IF($BR225="","",$BQ225+$T225)</f>
        <v/>
      </c>
      <c r="BT225" s="52" t="str">
        <f>IF($U225="Ready",COUNTIF($U$2:$U225,"Ready"),"")</f>
        <v/>
      </c>
      <c r="BU225" s="52">
        <f>IF(AND($U225="Ready",$C225="Receipt"),IF(COUNTIF(Batches!$A$2:$A$301,$F225)+COUNTIFS($F$1:$F224,$F225,$C$1:$C224,"Receipt",$U$1:$U224,"Ready")=0,1,0),0)</f>
        <v>0</v>
      </c>
      <c r="BV225" s="52" t="str">
        <f>IF($BU225=1,SUM($BU$2:$BU225),"")</f>
        <v/>
      </c>
    </row>
    <row r="226">
      <c r="A226" s="46" t="n"/>
      <c r="B226" s="46" t="n"/>
      <c r="C226" s="46" t="n"/>
      <c r="D226" s="46" t="n"/>
      <c r="E226" s="46" t="n"/>
      <c r="F226" s="46" t="n"/>
      <c r="G226" s="46" t="n"/>
      <c r="H226" s="46" t="n"/>
      <c r="I226" s="46" t="n"/>
      <c r="J226" s="46" t="n"/>
      <c r="K226" s="46" t="n"/>
      <c r="L226" s="46" t="n"/>
      <c r="M226" s="62" t="str">
        <f>IF($B226="","",IF(ISNUMBER($B226),$B226,IF(AND(LEN($B226)=10,MID($B226,5,1)="-",MID($B226,8,1)="-"),IFERROR(IF(AND(MONTH(DATE(VALUE(LEFT($B226,4)),VALUE(MID($B226,6,2)),VALUE(RIGHT($B226,2))))=VALUE(MID($B226,6,2)),DAY(DATE(VALUE(LEFT($B226,4)),VALUE(MID($B226,6,2)),VALUE(RIGHT($B226,2))))=VALUE(RIGHT($B226,2))),DATE(VALUE(LEFT($B226,4)),VALUE(MID($B226,6,2)),VALUE(RIGHT($B226,2))),"ERR"),"ERR"),"ERR")))</f>
        <v/>
      </c>
      <c r="N226" s="62" t="str">
        <f>IF($G226="","",IF(ISNUMBER($G226),$G226,IF(AND(LEN($G226)=10,MID($G226,5,1)="-",MID($G226,8,1)="-"),IFERROR(IF(AND(MONTH(DATE(VALUE(LEFT($G226,4)),VALUE(MID($G226,6,2)),VALUE(RIGHT($G226,2))))=VALUE(MID($G226,6,2)),DAY(DATE(VALUE(LEFT($G226,4)),VALUE(MID($G226,6,2)),VALUE(RIGHT($G226,2))))=VALUE(RIGHT($G226,2))),DATE(VALUE(LEFT($G226,4)),VALUE(MID($G226,6,2)),VALUE(RIGHT($G226,2))),"ERR"),"ERR"),"ERR")))</f>
        <v/>
      </c>
      <c r="O226" s="51" t="str">
        <f>IF($H226="","",IF(ISNUMBER($H226),$H226,IFERROR(VALUE($H226),"ERR")))</f>
        <v/>
      </c>
      <c r="P226" s="51" t="str">
        <f>IF(AND(ISNUMBER($O226),OR($C226="Receipt",$C226="Shipment",$C226="Adjustment")),IF($C226="Shipment",-$O226,$O226),"")</f>
        <v/>
      </c>
      <c r="Q226" s="51" t="str">
        <f>IF($D226="","",IFERROR(INDEX(Products!$R$2:$R$101,MATCH($D226,Products!$A$2:$A$101,0)),""))</f>
        <v/>
      </c>
      <c r="R226" s="51" t="str">
        <f>IF(OR($Q226="",$P226=""),"",$Q226+SUMIFS($P$1:$P225,$D$1:$D225,$D226,$U$1:$U225,"Ready"))</f>
        <v/>
      </c>
      <c r="S226" s="51" t="str">
        <f>IF($R226="","",$R226+$P226)</f>
        <v/>
      </c>
      <c r="T226" s="52" t="str">
        <f>IF(COUNTA($A226:$L226)&gt;0,$BP226,"")</f>
        <v/>
      </c>
      <c r="U226" s="49" t="str">
        <f>IF($T226="","",IF($T226=0,"Ready","Rejected"))</f>
        <v/>
      </c>
      <c r="V226" s="49" t="str">
        <f>IF(OR($T226="",$T226=0),"",INDEX(Config!$D$39:$D$61,MATCH(1,$AT226:$BP226,0))&amp;IF($T226&gt;1," (+"&amp;($T226-1)&amp;" more)",""))</f>
        <v/>
      </c>
      <c r="W226" s="52">
        <f>IF(AND(COUNTA($A226:$L226)&gt;0,$A226=""),1,0)</f>
        <v>0</v>
      </c>
      <c r="X226" s="52">
        <f>IF(AND(COUNTA($A226:$L226)&gt;0,$A226&lt;&gt;""),IF(COUNTIF($A$1:$A225,$A226)&gt;0,1,0),0)</f>
        <v>0</v>
      </c>
      <c r="Y226" s="52">
        <f>IF(AND(COUNTA($A226:$L226)&gt;0,$A226&lt;&gt;""),IF(COUNTIF(Inventory_Ledger!$A$2:$A$2001,$A226)&gt;0,1,0),0)</f>
        <v>0</v>
      </c>
      <c r="Z226" s="52">
        <f>IF(AND(COUNTA($A226:$L226)&gt;0,$B226=""),1,0)</f>
        <v>0</v>
      </c>
      <c r="AA226" s="52">
        <f>IF(AND(COUNTA($A226:$L226)&gt;0,$B226&lt;&gt;""),IF($M226="ERR",1,0),0)</f>
        <v>0</v>
      </c>
      <c r="AB226" s="52">
        <f>IF(AND(COUNTA($A226:$L226)&gt;0,ISNUMBER($M226)),IF($M226&gt;Config!$B$4,1,0),0)</f>
        <v>0</v>
      </c>
      <c r="AC226" s="52">
        <f>IF(AND(COUNTA($A226:$L226)&gt;0,$C226=""),1,0)</f>
        <v>0</v>
      </c>
      <c r="AD226" s="52">
        <f>IF(AND(COUNTA($A226:$L226)&gt;0,$C226&lt;&gt;""),IF(COUNTIF(Config!$A$15:$A$34,$C226)=0,1,0),0)</f>
        <v>0</v>
      </c>
      <c r="AE226" s="52">
        <f>IF(AND(COUNTA($A226:$L226)&gt;0,$D226=""),1,0)</f>
        <v>0</v>
      </c>
      <c r="AF226" s="52">
        <f>IF(AND(COUNTA($A226:$L226)&gt;0,$D226&lt;&gt;""),IF(COUNTIF(Products!$A$2:$A$101,$D226)=0,1,0),0)</f>
        <v>0</v>
      </c>
      <c r="AG226" s="52">
        <f>IF(AND(COUNTA($A226:$L226)&gt;0,$C226="Receipt",$E226=""),1,0)</f>
        <v>0</v>
      </c>
      <c r="AH226" s="52">
        <f>IF(AND(COUNTA($A226:$L226)&gt;0,$E226&lt;&gt;""),IF(COUNTIF(Suppliers!$A$2:$A$51,$E226)=0,1,0),0)</f>
        <v>0</v>
      </c>
      <c r="AI226" s="52">
        <f>IF(AND(COUNTA($A226:$L226)&gt;0,$F226=""),1,0)</f>
        <v>0</v>
      </c>
      <c r="AJ226" s="52">
        <f>IF(AND(COUNTA($A226:$L226)&gt;0,$F226&lt;&gt;"",$D226&lt;&gt;"",OR($C226="Shipment",$C226="Adjustment")),IF($AF226=1,0,IF(COUNTIFS(Batches!$A$2:$A$301,$F226,Batches!$B$2:$B$301,$D226)+COUNTIFS($F$1:$F225,$F226,$D$1:$D225,$D226,$C$1:$C225,"Receipt")=0,1,0)),0)</f>
        <v>0</v>
      </c>
      <c r="AK226" s="52">
        <f>IF(AND(COUNTA($A226:$L226)&gt;0,$C226="Receipt",$G226=""),1,0)</f>
        <v>0</v>
      </c>
      <c r="AL226" s="52">
        <f>IF(AND(COUNTA($A226:$L226)&gt;0,$G226&lt;&gt;""),IF($N226="ERR",1,0),0)</f>
        <v>0</v>
      </c>
      <c r="AM226" s="52">
        <f>IF(AND(COUNTA($A226:$L226)&gt;0,$H226=""),1,0)</f>
        <v>0</v>
      </c>
      <c r="AN226" s="52">
        <f>IF(AND(COUNTA($A226:$L226)&gt;0,$H226&lt;&gt;""),IF($O226="ERR",1,IF(INT($O226)&lt;&gt;$O226,1,IF(AND(OR($C226="Receipt",$C226="Shipment"),$O226&lt;=0),1,IF(AND($C226="Adjustment",$O226=0),1,0)))),0)</f>
        <v>0</v>
      </c>
      <c r="AO226" s="52">
        <f>IF(AND(COUNTA($A226:$L226)&gt;0,$C226="Receipt",$I226=""),1,0)</f>
        <v>0</v>
      </c>
      <c r="AP226" s="52">
        <f>IF(AND(COUNTA($A226:$L226)&gt;0,$I226&lt;&gt;""),IF(IFERROR(INDEX(Config!$G$15:$G$34,MATCH($I226,Config!$E$15:$E$34,0)),"No")="Yes",0,1),0)</f>
        <v>0</v>
      </c>
      <c r="AQ226" s="52">
        <f>IF(AND(COUNTA($A226:$L226)&gt;0,$C226="Adjustment",$J226=""),1,0)</f>
        <v>0</v>
      </c>
      <c r="AR226" s="52">
        <f>IF(AND(COUNTA($A226:$L226)&gt;0,$L226=""),1,0)</f>
        <v>0</v>
      </c>
      <c r="AS226" s="52">
        <f>IF(AND(COUNTA($A226:$L226)&gt;0,ISNUMBER($S226)),IF($S226&lt;0,1,0),0)</f>
        <v>0</v>
      </c>
      <c r="AT226" s="52">
        <f>$W226</f>
        <v>0</v>
      </c>
      <c r="AU226" s="52">
        <f>$AT226+$X226</f>
        <v>0</v>
      </c>
      <c r="AV226" s="52">
        <f>$AU226+$Y226</f>
        <v>0</v>
      </c>
      <c r="AW226" s="52">
        <f>$AV226+$Z226</f>
        <v>0</v>
      </c>
      <c r="AX226" s="52">
        <f>$AW226+$AA226</f>
        <v>0</v>
      </c>
      <c r="AY226" s="52">
        <f>$AX226+$AB226</f>
        <v>0</v>
      </c>
      <c r="AZ226" s="52">
        <f>$AY226+$AC226</f>
        <v>0</v>
      </c>
      <c r="BA226" s="52">
        <f>$AZ226+$AD226</f>
        <v>0</v>
      </c>
      <c r="BB226" s="52">
        <f>$BA226+$AE226</f>
        <v>0</v>
      </c>
      <c r="BC226" s="52">
        <f>$BB226+$AF226</f>
        <v>0</v>
      </c>
      <c r="BD226" s="52">
        <f>$BC226+$AG226</f>
        <v>0</v>
      </c>
      <c r="BE226" s="52">
        <f>$BD226+$AH226</f>
        <v>0</v>
      </c>
      <c r="BF226" s="52">
        <f>$BE226+$AI226</f>
        <v>0</v>
      </c>
      <c r="BG226" s="52">
        <f>$BF226+$AJ226</f>
        <v>0</v>
      </c>
      <c r="BH226" s="52">
        <f>$BG226+$AK226</f>
        <v>0</v>
      </c>
      <c r="BI226" s="52">
        <f>$BH226+$AL226</f>
        <v>0</v>
      </c>
      <c r="BJ226" s="52">
        <f>$BI226+$AM226</f>
        <v>0</v>
      </c>
      <c r="BK226" s="52">
        <f>$BJ226+$AN226</f>
        <v>0</v>
      </c>
      <c r="BL226" s="52">
        <f>$BK226+$AO226</f>
        <v>0</v>
      </c>
      <c r="BM226" s="52">
        <f>$BL226+$AP226</f>
        <v>0</v>
      </c>
      <c r="BN226" s="52">
        <f>$BM226+$AQ226</f>
        <v>0</v>
      </c>
      <c r="BO226" s="52">
        <f>$BN226+$AR226</f>
        <v>0</v>
      </c>
      <c r="BP226" s="52">
        <f>$BO226+$AS226</f>
        <v>0</v>
      </c>
      <c r="BQ226" s="52">
        <f>SUM($T$1:$T225)</f>
        <v>11</v>
      </c>
      <c r="BR226" s="52" t="str">
        <f>IF(ISNUMBER($T226),IF($T226&gt;0,COUNTIF($T$2:$T226,"&gt;0"),""),"")</f>
        <v/>
      </c>
      <c r="BS226" s="52" t="str">
        <f>IF($BR226="","",$BQ226+$T226)</f>
        <v/>
      </c>
      <c r="BT226" s="52" t="str">
        <f>IF($U226="Ready",COUNTIF($U$2:$U226,"Ready"),"")</f>
        <v/>
      </c>
      <c r="BU226" s="52">
        <f>IF(AND($U226="Ready",$C226="Receipt"),IF(COUNTIF(Batches!$A$2:$A$301,$F226)+COUNTIFS($F$1:$F225,$F226,$C$1:$C225,"Receipt",$U$1:$U225,"Ready")=0,1,0),0)</f>
        <v>0</v>
      </c>
      <c r="BV226" s="52" t="str">
        <f>IF($BU226=1,SUM($BU$2:$BU226),"")</f>
        <v/>
      </c>
    </row>
    <row r="227">
      <c r="A227" s="46" t="n"/>
      <c r="B227" s="46" t="n"/>
      <c r="C227" s="46" t="n"/>
      <c r="D227" s="46" t="n"/>
      <c r="E227" s="46" t="n"/>
      <c r="F227" s="46" t="n"/>
      <c r="G227" s="46" t="n"/>
      <c r="H227" s="46" t="n"/>
      <c r="I227" s="46" t="n"/>
      <c r="J227" s="46" t="n"/>
      <c r="K227" s="46" t="n"/>
      <c r="L227" s="46" t="n"/>
      <c r="M227" s="62" t="str">
        <f>IF($B227="","",IF(ISNUMBER($B227),$B227,IF(AND(LEN($B227)=10,MID($B227,5,1)="-",MID($B227,8,1)="-"),IFERROR(IF(AND(MONTH(DATE(VALUE(LEFT($B227,4)),VALUE(MID($B227,6,2)),VALUE(RIGHT($B227,2))))=VALUE(MID($B227,6,2)),DAY(DATE(VALUE(LEFT($B227,4)),VALUE(MID($B227,6,2)),VALUE(RIGHT($B227,2))))=VALUE(RIGHT($B227,2))),DATE(VALUE(LEFT($B227,4)),VALUE(MID($B227,6,2)),VALUE(RIGHT($B227,2))),"ERR"),"ERR"),"ERR")))</f>
        <v/>
      </c>
      <c r="N227" s="62" t="str">
        <f>IF($G227="","",IF(ISNUMBER($G227),$G227,IF(AND(LEN($G227)=10,MID($G227,5,1)="-",MID($G227,8,1)="-"),IFERROR(IF(AND(MONTH(DATE(VALUE(LEFT($G227,4)),VALUE(MID($G227,6,2)),VALUE(RIGHT($G227,2))))=VALUE(MID($G227,6,2)),DAY(DATE(VALUE(LEFT($G227,4)),VALUE(MID($G227,6,2)),VALUE(RIGHT($G227,2))))=VALUE(RIGHT($G227,2))),DATE(VALUE(LEFT($G227,4)),VALUE(MID($G227,6,2)),VALUE(RIGHT($G227,2))),"ERR"),"ERR"),"ERR")))</f>
        <v/>
      </c>
      <c r="O227" s="51" t="str">
        <f>IF($H227="","",IF(ISNUMBER($H227),$H227,IFERROR(VALUE($H227),"ERR")))</f>
        <v/>
      </c>
      <c r="P227" s="51" t="str">
        <f>IF(AND(ISNUMBER($O227),OR($C227="Receipt",$C227="Shipment",$C227="Adjustment")),IF($C227="Shipment",-$O227,$O227),"")</f>
        <v/>
      </c>
      <c r="Q227" s="51" t="str">
        <f>IF($D227="","",IFERROR(INDEX(Products!$R$2:$R$101,MATCH($D227,Products!$A$2:$A$101,0)),""))</f>
        <v/>
      </c>
      <c r="R227" s="51" t="str">
        <f>IF(OR($Q227="",$P227=""),"",$Q227+SUMIFS($P$1:$P226,$D$1:$D226,$D227,$U$1:$U226,"Ready"))</f>
        <v/>
      </c>
      <c r="S227" s="51" t="str">
        <f>IF($R227="","",$R227+$P227)</f>
        <v/>
      </c>
      <c r="T227" s="52" t="str">
        <f>IF(COUNTA($A227:$L227)&gt;0,$BP227,"")</f>
        <v/>
      </c>
      <c r="U227" s="49" t="str">
        <f>IF($T227="","",IF($T227=0,"Ready","Rejected"))</f>
        <v/>
      </c>
      <c r="V227" s="49" t="str">
        <f>IF(OR($T227="",$T227=0),"",INDEX(Config!$D$39:$D$61,MATCH(1,$AT227:$BP227,0))&amp;IF($T227&gt;1," (+"&amp;($T227-1)&amp;" more)",""))</f>
        <v/>
      </c>
      <c r="W227" s="52">
        <f>IF(AND(COUNTA($A227:$L227)&gt;0,$A227=""),1,0)</f>
        <v>0</v>
      </c>
      <c r="X227" s="52">
        <f>IF(AND(COUNTA($A227:$L227)&gt;0,$A227&lt;&gt;""),IF(COUNTIF($A$1:$A226,$A227)&gt;0,1,0),0)</f>
        <v>0</v>
      </c>
      <c r="Y227" s="52">
        <f>IF(AND(COUNTA($A227:$L227)&gt;0,$A227&lt;&gt;""),IF(COUNTIF(Inventory_Ledger!$A$2:$A$2001,$A227)&gt;0,1,0),0)</f>
        <v>0</v>
      </c>
      <c r="Z227" s="52">
        <f>IF(AND(COUNTA($A227:$L227)&gt;0,$B227=""),1,0)</f>
        <v>0</v>
      </c>
      <c r="AA227" s="52">
        <f>IF(AND(COUNTA($A227:$L227)&gt;0,$B227&lt;&gt;""),IF($M227="ERR",1,0),0)</f>
        <v>0</v>
      </c>
      <c r="AB227" s="52">
        <f>IF(AND(COUNTA($A227:$L227)&gt;0,ISNUMBER($M227)),IF($M227&gt;Config!$B$4,1,0),0)</f>
        <v>0</v>
      </c>
      <c r="AC227" s="52">
        <f>IF(AND(COUNTA($A227:$L227)&gt;0,$C227=""),1,0)</f>
        <v>0</v>
      </c>
      <c r="AD227" s="52">
        <f>IF(AND(COUNTA($A227:$L227)&gt;0,$C227&lt;&gt;""),IF(COUNTIF(Config!$A$15:$A$34,$C227)=0,1,0),0)</f>
        <v>0</v>
      </c>
      <c r="AE227" s="52">
        <f>IF(AND(COUNTA($A227:$L227)&gt;0,$D227=""),1,0)</f>
        <v>0</v>
      </c>
      <c r="AF227" s="52">
        <f>IF(AND(COUNTA($A227:$L227)&gt;0,$D227&lt;&gt;""),IF(COUNTIF(Products!$A$2:$A$101,$D227)=0,1,0),0)</f>
        <v>0</v>
      </c>
      <c r="AG227" s="52">
        <f>IF(AND(COUNTA($A227:$L227)&gt;0,$C227="Receipt",$E227=""),1,0)</f>
        <v>0</v>
      </c>
      <c r="AH227" s="52">
        <f>IF(AND(COUNTA($A227:$L227)&gt;0,$E227&lt;&gt;""),IF(COUNTIF(Suppliers!$A$2:$A$51,$E227)=0,1,0),0)</f>
        <v>0</v>
      </c>
      <c r="AI227" s="52">
        <f>IF(AND(COUNTA($A227:$L227)&gt;0,$F227=""),1,0)</f>
        <v>0</v>
      </c>
      <c r="AJ227" s="52">
        <f>IF(AND(COUNTA($A227:$L227)&gt;0,$F227&lt;&gt;"",$D227&lt;&gt;"",OR($C227="Shipment",$C227="Adjustment")),IF($AF227=1,0,IF(COUNTIFS(Batches!$A$2:$A$301,$F227,Batches!$B$2:$B$301,$D227)+COUNTIFS($F$1:$F226,$F227,$D$1:$D226,$D227,$C$1:$C226,"Receipt")=0,1,0)),0)</f>
        <v>0</v>
      </c>
      <c r="AK227" s="52">
        <f>IF(AND(COUNTA($A227:$L227)&gt;0,$C227="Receipt",$G227=""),1,0)</f>
        <v>0</v>
      </c>
      <c r="AL227" s="52">
        <f>IF(AND(COUNTA($A227:$L227)&gt;0,$G227&lt;&gt;""),IF($N227="ERR",1,0),0)</f>
        <v>0</v>
      </c>
      <c r="AM227" s="52">
        <f>IF(AND(COUNTA($A227:$L227)&gt;0,$H227=""),1,0)</f>
        <v>0</v>
      </c>
      <c r="AN227" s="52">
        <f>IF(AND(COUNTA($A227:$L227)&gt;0,$H227&lt;&gt;""),IF($O227="ERR",1,IF(INT($O227)&lt;&gt;$O227,1,IF(AND(OR($C227="Receipt",$C227="Shipment"),$O227&lt;=0),1,IF(AND($C227="Adjustment",$O227=0),1,0)))),0)</f>
        <v>0</v>
      </c>
      <c r="AO227" s="52">
        <f>IF(AND(COUNTA($A227:$L227)&gt;0,$C227="Receipt",$I227=""),1,0)</f>
        <v>0</v>
      </c>
      <c r="AP227" s="52">
        <f>IF(AND(COUNTA($A227:$L227)&gt;0,$I227&lt;&gt;""),IF(IFERROR(INDEX(Config!$G$15:$G$34,MATCH($I227,Config!$E$15:$E$34,0)),"No")="Yes",0,1),0)</f>
        <v>0</v>
      </c>
      <c r="AQ227" s="52">
        <f>IF(AND(COUNTA($A227:$L227)&gt;0,$C227="Adjustment",$J227=""),1,0)</f>
        <v>0</v>
      </c>
      <c r="AR227" s="52">
        <f>IF(AND(COUNTA($A227:$L227)&gt;0,$L227=""),1,0)</f>
        <v>0</v>
      </c>
      <c r="AS227" s="52">
        <f>IF(AND(COUNTA($A227:$L227)&gt;0,ISNUMBER($S227)),IF($S227&lt;0,1,0),0)</f>
        <v>0</v>
      </c>
      <c r="AT227" s="52">
        <f>$W227</f>
        <v>0</v>
      </c>
      <c r="AU227" s="52">
        <f>$AT227+$X227</f>
        <v>0</v>
      </c>
      <c r="AV227" s="52">
        <f>$AU227+$Y227</f>
        <v>0</v>
      </c>
      <c r="AW227" s="52">
        <f>$AV227+$Z227</f>
        <v>0</v>
      </c>
      <c r="AX227" s="52">
        <f>$AW227+$AA227</f>
        <v>0</v>
      </c>
      <c r="AY227" s="52">
        <f>$AX227+$AB227</f>
        <v>0</v>
      </c>
      <c r="AZ227" s="52">
        <f>$AY227+$AC227</f>
        <v>0</v>
      </c>
      <c r="BA227" s="52">
        <f>$AZ227+$AD227</f>
        <v>0</v>
      </c>
      <c r="BB227" s="52">
        <f>$BA227+$AE227</f>
        <v>0</v>
      </c>
      <c r="BC227" s="52">
        <f>$BB227+$AF227</f>
        <v>0</v>
      </c>
      <c r="BD227" s="52">
        <f>$BC227+$AG227</f>
        <v>0</v>
      </c>
      <c r="BE227" s="52">
        <f>$BD227+$AH227</f>
        <v>0</v>
      </c>
      <c r="BF227" s="52">
        <f>$BE227+$AI227</f>
        <v>0</v>
      </c>
      <c r="BG227" s="52">
        <f>$BF227+$AJ227</f>
        <v>0</v>
      </c>
      <c r="BH227" s="52">
        <f>$BG227+$AK227</f>
        <v>0</v>
      </c>
      <c r="BI227" s="52">
        <f>$BH227+$AL227</f>
        <v>0</v>
      </c>
      <c r="BJ227" s="52">
        <f>$BI227+$AM227</f>
        <v>0</v>
      </c>
      <c r="BK227" s="52">
        <f>$BJ227+$AN227</f>
        <v>0</v>
      </c>
      <c r="BL227" s="52">
        <f>$BK227+$AO227</f>
        <v>0</v>
      </c>
      <c r="BM227" s="52">
        <f>$BL227+$AP227</f>
        <v>0</v>
      </c>
      <c r="BN227" s="52">
        <f>$BM227+$AQ227</f>
        <v>0</v>
      </c>
      <c r="BO227" s="52">
        <f>$BN227+$AR227</f>
        <v>0</v>
      </c>
      <c r="BP227" s="52">
        <f>$BO227+$AS227</f>
        <v>0</v>
      </c>
      <c r="BQ227" s="52">
        <f>SUM($T$1:$T226)</f>
        <v>11</v>
      </c>
      <c r="BR227" s="52" t="str">
        <f>IF(ISNUMBER($T227),IF($T227&gt;0,COUNTIF($T$2:$T227,"&gt;0"),""),"")</f>
        <v/>
      </c>
      <c r="BS227" s="52" t="str">
        <f>IF($BR227="","",$BQ227+$T227)</f>
        <v/>
      </c>
      <c r="BT227" s="52" t="str">
        <f>IF($U227="Ready",COUNTIF($U$2:$U227,"Ready"),"")</f>
        <v/>
      </c>
      <c r="BU227" s="52">
        <f>IF(AND($U227="Ready",$C227="Receipt"),IF(COUNTIF(Batches!$A$2:$A$301,$F227)+COUNTIFS($F$1:$F226,$F227,$C$1:$C226,"Receipt",$U$1:$U226,"Ready")=0,1,0),0)</f>
        <v>0</v>
      </c>
      <c r="BV227" s="52" t="str">
        <f>IF($BU227=1,SUM($BU$2:$BU227),"")</f>
        <v/>
      </c>
    </row>
    <row r="228">
      <c r="A228" s="46" t="n"/>
      <c r="B228" s="46" t="n"/>
      <c r="C228" s="46" t="n"/>
      <c r="D228" s="46" t="n"/>
      <c r="E228" s="46" t="n"/>
      <c r="F228" s="46" t="n"/>
      <c r="G228" s="46" t="n"/>
      <c r="H228" s="46" t="n"/>
      <c r="I228" s="46" t="n"/>
      <c r="J228" s="46" t="n"/>
      <c r="K228" s="46" t="n"/>
      <c r="L228" s="46" t="n"/>
      <c r="M228" s="62" t="str">
        <f>IF($B228="","",IF(ISNUMBER($B228),$B228,IF(AND(LEN($B228)=10,MID($B228,5,1)="-",MID($B228,8,1)="-"),IFERROR(IF(AND(MONTH(DATE(VALUE(LEFT($B228,4)),VALUE(MID($B228,6,2)),VALUE(RIGHT($B228,2))))=VALUE(MID($B228,6,2)),DAY(DATE(VALUE(LEFT($B228,4)),VALUE(MID($B228,6,2)),VALUE(RIGHT($B228,2))))=VALUE(RIGHT($B228,2))),DATE(VALUE(LEFT($B228,4)),VALUE(MID($B228,6,2)),VALUE(RIGHT($B228,2))),"ERR"),"ERR"),"ERR")))</f>
        <v/>
      </c>
      <c r="N228" s="62" t="str">
        <f>IF($G228="","",IF(ISNUMBER($G228),$G228,IF(AND(LEN($G228)=10,MID($G228,5,1)="-",MID($G228,8,1)="-"),IFERROR(IF(AND(MONTH(DATE(VALUE(LEFT($G228,4)),VALUE(MID($G228,6,2)),VALUE(RIGHT($G228,2))))=VALUE(MID($G228,6,2)),DAY(DATE(VALUE(LEFT($G228,4)),VALUE(MID($G228,6,2)),VALUE(RIGHT($G228,2))))=VALUE(RIGHT($G228,2))),DATE(VALUE(LEFT($G228,4)),VALUE(MID($G228,6,2)),VALUE(RIGHT($G228,2))),"ERR"),"ERR"),"ERR")))</f>
        <v/>
      </c>
      <c r="O228" s="51" t="str">
        <f>IF($H228="","",IF(ISNUMBER($H228),$H228,IFERROR(VALUE($H228),"ERR")))</f>
        <v/>
      </c>
      <c r="P228" s="51" t="str">
        <f>IF(AND(ISNUMBER($O228),OR($C228="Receipt",$C228="Shipment",$C228="Adjustment")),IF($C228="Shipment",-$O228,$O228),"")</f>
        <v/>
      </c>
      <c r="Q228" s="51" t="str">
        <f>IF($D228="","",IFERROR(INDEX(Products!$R$2:$R$101,MATCH($D228,Products!$A$2:$A$101,0)),""))</f>
        <v/>
      </c>
      <c r="R228" s="51" t="str">
        <f>IF(OR($Q228="",$P228=""),"",$Q228+SUMIFS($P$1:$P227,$D$1:$D227,$D228,$U$1:$U227,"Ready"))</f>
        <v/>
      </c>
      <c r="S228" s="51" t="str">
        <f>IF($R228="","",$R228+$P228)</f>
        <v/>
      </c>
      <c r="T228" s="52" t="str">
        <f>IF(COUNTA($A228:$L228)&gt;0,$BP228,"")</f>
        <v/>
      </c>
      <c r="U228" s="49" t="str">
        <f>IF($T228="","",IF($T228=0,"Ready","Rejected"))</f>
        <v/>
      </c>
      <c r="V228" s="49" t="str">
        <f>IF(OR($T228="",$T228=0),"",INDEX(Config!$D$39:$D$61,MATCH(1,$AT228:$BP228,0))&amp;IF($T228&gt;1," (+"&amp;($T228-1)&amp;" more)",""))</f>
        <v/>
      </c>
      <c r="W228" s="52">
        <f>IF(AND(COUNTA($A228:$L228)&gt;0,$A228=""),1,0)</f>
        <v>0</v>
      </c>
      <c r="X228" s="52">
        <f>IF(AND(COUNTA($A228:$L228)&gt;0,$A228&lt;&gt;""),IF(COUNTIF($A$1:$A227,$A228)&gt;0,1,0),0)</f>
        <v>0</v>
      </c>
      <c r="Y228" s="52">
        <f>IF(AND(COUNTA($A228:$L228)&gt;0,$A228&lt;&gt;""),IF(COUNTIF(Inventory_Ledger!$A$2:$A$2001,$A228)&gt;0,1,0),0)</f>
        <v>0</v>
      </c>
      <c r="Z228" s="52">
        <f>IF(AND(COUNTA($A228:$L228)&gt;0,$B228=""),1,0)</f>
        <v>0</v>
      </c>
      <c r="AA228" s="52">
        <f>IF(AND(COUNTA($A228:$L228)&gt;0,$B228&lt;&gt;""),IF($M228="ERR",1,0),0)</f>
        <v>0</v>
      </c>
      <c r="AB228" s="52">
        <f>IF(AND(COUNTA($A228:$L228)&gt;0,ISNUMBER($M228)),IF($M228&gt;Config!$B$4,1,0),0)</f>
        <v>0</v>
      </c>
      <c r="AC228" s="52">
        <f>IF(AND(COUNTA($A228:$L228)&gt;0,$C228=""),1,0)</f>
        <v>0</v>
      </c>
      <c r="AD228" s="52">
        <f>IF(AND(COUNTA($A228:$L228)&gt;0,$C228&lt;&gt;""),IF(COUNTIF(Config!$A$15:$A$34,$C228)=0,1,0),0)</f>
        <v>0</v>
      </c>
      <c r="AE228" s="52">
        <f>IF(AND(COUNTA($A228:$L228)&gt;0,$D228=""),1,0)</f>
        <v>0</v>
      </c>
      <c r="AF228" s="52">
        <f>IF(AND(COUNTA($A228:$L228)&gt;0,$D228&lt;&gt;""),IF(COUNTIF(Products!$A$2:$A$101,$D228)=0,1,0),0)</f>
        <v>0</v>
      </c>
      <c r="AG228" s="52">
        <f>IF(AND(COUNTA($A228:$L228)&gt;0,$C228="Receipt",$E228=""),1,0)</f>
        <v>0</v>
      </c>
      <c r="AH228" s="52">
        <f>IF(AND(COUNTA($A228:$L228)&gt;0,$E228&lt;&gt;""),IF(COUNTIF(Suppliers!$A$2:$A$51,$E228)=0,1,0),0)</f>
        <v>0</v>
      </c>
      <c r="AI228" s="52">
        <f>IF(AND(COUNTA($A228:$L228)&gt;0,$F228=""),1,0)</f>
        <v>0</v>
      </c>
      <c r="AJ228" s="52">
        <f>IF(AND(COUNTA($A228:$L228)&gt;0,$F228&lt;&gt;"",$D228&lt;&gt;"",OR($C228="Shipment",$C228="Adjustment")),IF($AF228=1,0,IF(COUNTIFS(Batches!$A$2:$A$301,$F228,Batches!$B$2:$B$301,$D228)+COUNTIFS($F$1:$F227,$F228,$D$1:$D227,$D228,$C$1:$C227,"Receipt")=0,1,0)),0)</f>
        <v>0</v>
      </c>
      <c r="AK228" s="52">
        <f>IF(AND(COUNTA($A228:$L228)&gt;0,$C228="Receipt",$G228=""),1,0)</f>
        <v>0</v>
      </c>
      <c r="AL228" s="52">
        <f>IF(AND(COUNTA($A228:$L228)&gt;0,$G228&lt;&gt;""),IF($N228="ERR",1,0),0)</f>
        <v>0</v>
      </c>
      <c r="AM228" s="52">
        <f>IF(AND(COUNTA($A228:$L228)&gt;0,$H228=""),1,0)</f>
        <v>0</v>
      </c>
      <c r="AN228" s="52">
        <f>IF(AND(COUNTA($A228:$L228)&gt;0,$H228&lt;&gt;""),IF($O228="ERR",1,IF(INT($O228)&lt;&gt;$O228,1,IF(AND(OR($C228="Receipt",$C228="Shipment"),$O228&lt;=0),1,IF(AND($C228="Adjustment",$O228=0),1,0)))),0)</f>
        <v>0</v>
      </c>
      <c r="AO228" s="52">
        <f>IF(AND(COUNTA($A228:$L228)&gt;0,$C228="Receipt",$I228=""),1,0)</f>
        <v>0</v>
      </c>
      <c r="AP228" s="52">
        <f>IF(AND(COUNTA($A228:$L228)&gt;0,$I228&lt;&gt;""),IF(IFERROR(INDEX(Config!$G$15:$G$34,MATCH($I228,Config!$E$15:$E$34,0)),"No")="Yes",0,1),0)</f>
        <v>0</v>
      </c>
      <c r="AQ228" s="52">
        <f>IF(AND(COUNTA($A228:$L228)&gt;0,$C228="Adjustment",$J228=""),1,0)</f>
        <v>0</v>
      </c>
      <c r="AR228" s="52">
        <f>IF(AND(COUNTA($A228:$L228)&gt;0,$L228=""),1,0)</f>
        <v>0</v>
      </c>
      <c r="AS228" s="52">
        <f>IF(AND(COUNTA($A228:$L228)&gt;0,ISNUMBER($S228)),IF($S228&lt;0,1,0),0)</f>
        <v>0</v>
      </c>
      <c r="AT228" s="52">
        <f>$W228</f>
        <v>0</v>
      </c>
      <c r="AU228" s="52">
        <f>$AT228+$X228</f>
        <v>0</v>
      </c>
      <c r="AV228" s="52">
        <f>$AU228+$Y228</f>
        <v>0</v>
      </c>
      <c r="AW228" s="52">
        <f>$AV228+$Z228</f>
        <v>0</v>
      </c>
      <c r="AX228" s="52">
        <f>$AW228+$AA228</f>
        <v>0</v>
      </c>
      <c r="AY228" s="52">
        <f>$AX228+$AB228</f>
        <v>0</v>
      </c>
      <c r="AZ228" s="52">
        <f>$AY228+$AC228</f>
        <v>0</v>
      </c>
      <c r="BA228" s="52">
        <f>$AZ228+$AD228</f>
        <v>0</v>
      </c>
      <c r="BB228" s="52">
        <f>$BA228+$AE228</f>
        <v>0</v>
      </c>
      <c r="BC228" s="52">
        <f>$BB228+$AF228</f>
        <v>0</v>
      </c>
      <c r="BD228" s="52">
        <f>$BC228+$AG228</f>
        <v>0</v>
      </c>
      <c r="BE228" s="52">
        <f>$BD228+$AH228</f>
        <v>0</v>
      </c>
      <c r="BF228" s="52">
        <f>$BE228+$AI228</f>
        <v>0</v>
      </c>
      <c r="BG228" s="52">
        <f>$BF228+$AJ228</f>
        <v>0</v>
      </c>
      <c r="BH228" s="52">
        <f>$BG228+$AK228</f>
        <v>0</v>
      </c>
      <c r="BI228" s="52">
        <f>$BH228+$AL228</f>
        <v>0</v>
      </c>
      <c r="BJ228" s="52">
        <f>$BI228+$AM228</f>
        <v>0</v>
      </c>
      <c r="BK228" s="52">
        <f>$BJ228+$AN228</f>
        <v>0</v>
      </c>
      <c r="BL228" s="52">
        <f>$BK228+$AO228</f>
        <v>0</v>
      </c>
      <c r="BM228" s="52">
        <f>$BL228+$AP228</f>
        <v>0</v>
      </c>
      <c r="BN228" s="52">
        <f>$BM228+$AQ228</f>
        <v>0</v>
      </c>
      <c r="BO228" s="52">
        <f>$BN228+$AR228</f>
        <v>0</v>
      </c>
      <c r="BP228" s="52">
        <f>$BO228+$AS228</f>
        <v>0</v>
      </c>
      <c r="BQ228" s="52">
        <f>SUM($T$1:$T227)</f>
        <v>11</v>
      </c>
      <c r="BR228" s="52" t="str">
        <f>IF(ISNUMBER($T228),IF($T228&gt;0,COUNTIF($T$2:$T228,"&gt;0"),""),"")</f>
        <v/>
      </c>
      <c r="BS228" s="52" t="str">
        <f>IF($BR228="","",$BQ228+$T228)</f>
        <v/>
      </c>
      <c r="BT228" s="52" t="str">
        <f>IF($U228="Ready",COUNTIF($U$2:$U228,"Ready"),"")</f>
        <v/>
      </c>
      <c r="BU228" s="52">
        <f>IF(AND($U228="Ready",$C228="Receipt"),IF(COUNTIF(Batches!$A$2:$A$301,$F228)+COUNTIFS($F$1:$F227,$F228,$C$1:$C227,"Receipt",$U$1:$U227,"Ready")=0,1,0),0)</f>
        <v>0</v>
      </c>
      <c r="BV228" s="52" t="str">
        <f>IF($BU228=1,SUM($BU$2:$BU228),"")</f>
        <v/>
      </c>
    </row>
    <row r="229">
      <c r="A229" s="46" t="n"/>
      <c r="B229" s="46" t="n"/>
      <c r="C229" s="46" t="n"/>
      <c r="D229" s="46" t="n"/>
      <c r="E229" s="46" t="n"/>
      <c r="F229" s="46" t="n"/>
      <c r="G229" s="46" t="n"/>
      <c r="H229" s="46" t="n"/>
      <c r="I229" s="46" t="n"/>
      <c r="J229" s="46" t="n"/>
      <c r="K229" s="46" t="n"/>
      <c r="L229" s="46" t="n"/>
      <c r="M229" s="62" t="str">
        <f>IF($B229="","",IF(ISNUMBER($B229),$B229,IF(AND(LEN($B229)=10,MID($B229,5,1)="-",MID($B229,8,1)="-"),IFERROR(IF(AND(MONTH(DATE(VALUE(LEFT($B229,4)),VALUE(MID($B229,6,2)),VALUE(RIGHT($B229,2))))=VALUE(MID($B229,6,2)),DAY(DATE(VALUE(LEFT($B229,4)),VALUE(MID($B229,6,2)),VALUE(RIGHT($B229,2))))=VALUE(RIGHT($B229,2))),DATE(VALUE(LEFT($B229,4)),VALUE(MID($B229,6,2)),VALUE(RIGHT($B229,2))),"ERR"),"ERR"),"ERR")))</f>
        <v/>
      </c>
      <c r="N229" s="62" t="str">
        <f>IF($G229="","",IF(ISNUMBER($G229),$G229,IF(AND(LEN($G229)=10,MID($G229,5,1)="-",MID($G229,8,1)="-"),IFERROR(IF(AND(MONTH(DATE(VALUE(LEFT($G229,4)),VALUE(MID($G229,6,2)),VALUE(RIGHT($G229,2))))=VALUE(MID($G229,6,2)),DAY(DATE(VALUE(LEFT($G229,4)),VALUE(MID($G229,6,2)),VALUE(RIGHT($G229,2))))=VALUE(RIGHT($G229,2))),DATE(VALUE(LEFT($G229,4)),VALUE(MID($G229,6,2)),VALUE(RIGHT($G229,2))),"ERR"),"ERR"),"ERR")))</f>
        <v/>
      </c>
      <c r="O229" s="51" t="str">
        <f>IF($H229="","",IF(ISNUMBER($H229),$H229,IFERROR(VALUE($H229),"ERR")))</f>
        <v/>
      </c>
      <c r="P229" s="51" t="str">
        <f>IF(AND(ISNUMBER($O229),OR($C229="Receipt",$C229="Shipment",$C229="Adjustment")),IF($C229="Shipment",-$O229,$O229),"")</f>
        <v/>
      </c>
      <c r="Q229" s="51" t="str">
        <f>IF($D229="","",IFERROR(INDEX(Products!$R$2:$R$101,MATCH($D229,Products!$A$2:$A$101,0)),""))</f>
        <v/>
      </c>
      <c r="R229" s="51" t="str">
        <f>IF(OR($Q229="",$P229=""),"",$Q229+SUMIFS($P$1:$P228,$D$1:$D228,$D229,$U$1:$U228,"Ready"))</f>
        <v/>
      </c>
      <c r="S229" s="51" t="str">
        <f>IF($R229="","",$R229+$P229)</f>
        <v/>
      </c>
      <c r="T229" s="52" t="str">
        <f>IF(COUNTA($A229:$L229)&gt;0,$BP229,"")</f>
        <v/>
      </c>
      <c r="U229" s="49" t="str">
        <f>IF($T229="","",IF($T229=0,"Ready","Rejected"))</f>
        <v/>
      </c>
      <c r="V229" s="49" t="str">
        <f>IF(OR($T229="",$T229=0),"",INDEX(Config!$D$39:$D$61,MATCH(1,$AT229:$BP229,0))&amp;IF($T229&gt;1," (+"&amp;($T229-1)&amp;" more)",""))</f>
        <v/>
      </c>
      <c r="W229" s="52">
        <f>IF(AND(COUNTA($A229:$L229)&gt;0,$A229=""),1,0)</f>
        <v>0</v>
      </c>
      <c r="X229" s="52">
        <f>IF(AND(COUNTA($A229:$L229)&gt;0,$A229&lt;&gt;""),IF(COUNTIF($A$1:$A228,$A229)&gt;0,1,0),0)</f>
        <v>0</v>
      </c>
      <c r="Y229" s="52">
        <f>IF(AND(COUNTA($A229:$L229)&gt;0,$A229&lt;&gt;""),IF(COUNTIF(Inventory_Ledger!$A$2:$A$2001,$A229)&gt;0,1,0),0)</f>
        <v>0</v>
      </c>
      <c r="Z229" s="52">
        <f>IF(AND(COUNTA($A229:$L229)&gt;0,$B229=""),1,0)</f>
        <v>0</v>
      </c>
      <c r="AA229" s="52">
        <f>IF(AND(COUNTA($A229:$L229)&gt;0,$B229&lt;&gt;""),IF($M229="ERR",1,0),0)</f>
        <v>0</v>
      </c>
      <c r="AB229" s="52">
        <f>IF(AND(COUNTA($A229:$L229)&gt;0,ISNUMBER($M229)),IF($M229&gt;Config!$B$4,1,0),0)</f>
        <v>0</v>
      </c>
      <c r="AC229" s="52">
        <f>IF(AND(COUNTA($A229:$L229)&gt;0,$C229=""),1,0)</f>
        <v>0</v>
      </c>
      <c r="AD229" s="52">
        <f>IF(AND(COUNTA($A229:$L229)&gt;0,$C229&lt;&gt;""),IF(COUNTIF(Config!$A$15:$A$34,$C229)=0,1,0),0)</f>
        <v>0</v>
      </c>
      <c r="AE229" s="52">
        <f>IF(AND(COUNTA($A229:$L229)&gt;0,$D229=""),1,0)</f>
        <v>0</v>
      </c>
      <c r="AF229" s="52">
        <f>IF(AND(COUNTA($A229:$L229)&gt;0,$D229&lt;&gt;""),IF(COUNTIF(Products!$A$2:$A$101,$D229)=0,1,0),0)</f>
        <v>0</v>
      </c>
      <c r="AG229" s="52">
        <f>IF(AND(COUNTA($A229:$L229)&gt;0,$C229="Receipt",$E229=""),1,0)</f>
        <v>0</v>
      </c>
      <c r="AH229" s="52">
        <f>IF(AND(COUNTA($A229:$L229)&gt;0,$E229&lt;&gt;""),IF(COUNTIF(Suppliers!$A$2:$A$51,$E229)=0,1,0),0)</f>
        <v>0</v>
      </c>
      <c r="AI229" s="52">
        <f>IF(AND(COUNTA($A229:$L229)&gt;0,$F229=""),1,0)</f>
        <v>0</v>
      </c>
      <c r="AJ229" s="52">
        <f>IF(AND(COUNTA($A229:$L229)&gt;0,$F229&lt;&gt;"",$D229&lt;&gt;"",OR($C229="Shipment",$C229="Adjustment")),IF($AF229=1,0,IF(COUNTIFS(Batches!$A$2:$A$301,$F229,Batches!$B$2:$B$301,$D229)+COUNTIFS($F$1:$F228,$F229,$D$1:$D228,$D229,$C$1:$C228,"Receipt")=0,1,0)),0)</f>
        <v>0</v>
      </c>
      <c r="AK229" s="52">
        <f>IF(AND(COUNTA($A229:$L229)&gt;0,$C229="Receipt",$G229=""),1,0)</f>
        <v>0</v>
      </c>
      <c r="AL229" s="52">
        <f>IF(AND(COUNTA($A229:$L229)&gt;0,$G229&lt;&gt;""),IF($N229="ERR",1,0),0)</f>
        <v>0</v>
      </c>
      <c r="AM229" s="52">
        <f>IF(AND(COUNTA($A229:$L229)&gt;0,$H229=""),1,0)</f>
        <v>0</v>
      </c>
      <c r="AN229" s="52">
        <f>IF(AND(COUNTA($A229:$L229)&gt;0,$H229&lt;&gt;""),IF($O229="ERR",1,IF(INT($O229)&lt;&gt;$O229,1,IF(AND(OR($C229="Receipt",$C229="Shipment"),$O229&lt;=0),1,IF(AND($C229="Adjustment",$O229=0),1,0)))),0)</f>
        <v>0</v>
      </c>
      <c r="AO229" s="52">
        <f>IF(AND(COUNTA($A229:$L229)&gt;0,$C229="Receipt",$I229=""),1,0)</f>
        <v>0</v>
      </c>
      <c r="AP229" s="52">
        <f>IF(AND(COUNTA($A229:$L229)&gt;0,$I229&lt;&gt;""),IF(IFERROR(INDEX(Config!$G$15:$G$34,MATCH($I229,Config!$E$15:$E$34,0)),"No")="Yes",0,1),0)</f>
        <v>0</v>
      </c>
      <c r="AQ229" s="52">
        <f>IF(AND(COUNTA($A229:$L229)&gt;0,$C229="Adjustment",$J229=""),1,0)</f>
        <v>0</v>
      </c>
      <c r="AR229" s="52">
        <f>IF(AND(COUNTA($A229:$L229)&gt;0,$L229=""),1,0)</f>
        <v>0</v>
      </c>
      <c r="AS229" s="52">
        <f>IF(AND(COUNTA($A229:$L229)&gt;0,ISNUMBER($S229)),IF($S229&lt;0,1,0),0)</f>
        <v>0</v>
      </c>
      <c r="AT229" s="52">
        <f>$W229</f>
        <v>0</v>
      </c>
      <c r="AU229" s="52">
        <f>$AT229+$X229</f>
        <v>0</v>
      </c>
      <c r="AV229" s="52">
        <f>$AU229+$Y229</f>
        <v>0</v>
      </c>
      <c r="AW229" s="52">
        <f>$AV229+$Z229</f>
        <v>0</v>
      </c>
      <c r="AX229" s="52">
        <f>$AW229+$AA229</f>
        <v>0</v>
      </c>
      <c r="AY229" s="52">
        <f>$AX229+$AB229</f>
        <v>0</v>
      </c>
      <c r="AZ229" s="52">
        <f>$AY229+$AC229</f>
        <v>0</v>
      </c>
      <c r="BA229" s="52">
        <f>$AZ229+$AD229</f>
        <v>0</v>
      </c>
      <c r="BB229" s="52">
        <f>$BA229+$AE229</f>
        <v>0</v>
      </c>
      <c r="BC229" s="52">
        <f>$BB229+$AF229</f>
        <v>0</v>
      </c>
      <c r="BD229" s="52">
        <f>$BC229+$AG229</f>
        <v>0</v>
      </c>
      <c r="BE229" s="52">
        <f>$BD229+$AH229</f>
        <v>0</v>
      </c>
      <c r="BF229" s="52">
        <f>$BE229+$AI229</f>
        <v>0</v>
      </c>
      <c r="BG229" s="52">
        <f>$BF229+$AJ229</f>
        <v>0</v>
      </c>
      <c r="BH229" s="52">
        <f>$BG229+$AK229</f>
        <v>0</v>
      </c>
      <c r="BI229" s="52">
        <f>$BH229+$AL229</f>
        <v>0</v>
      </c>
      <c r="BJ229" s="52">
        <f>$BI229+$AM229</f>
        <v>0</v>
      </c>
      <c r="BK229" s="52">
        <f>$BJ229+$AN229</f>
        <v>0</v>
      </c>
      <c r="BL229" s="52">
        <f>$BK229+$AO229</f>
        <v>0</v>
      </c>
      <c r="BM229" s="52">
        <f>$BL229+$AP229</f>
        <v>0</v>
      </c>
      <c r="BN229" s="52">
        <f>$BM229+$AQ229</f>
        <v>0</v>
      </c>
      <c r="BO229" s="52">
        <f>$BN229+$AR229</f>
        <v>0</v>
      </c>
      <c r="BP229" s="52">
        <f>$BO229+$AS229</f>
        <v>0</v>
      </c>
      <c r="BQ229" s="52">
        <f>SUM($T$1:$T228)</f>
        <v>11</v>
      </c>
      <c r="BR229" s="52" t="str">
        <f>IF(ISNUMBER($T229),IF($T229&gt;0,COUNTIF($T$2:$T229,"&gt;0"),""),"")</f>
        <v/>
      </c>
      <c r="BS229" s="52" t="str">
        <f>IF($BR229="","",$BQ229+$T229)</f>
        <v/>
      </c>
      <c r="BT229" s="52" t="str">
        <f>IF($U229="Ready",COUNTIF($U$2:$U229,"Ready"),"")</f>
        <v/>
      </c>
      <c r="BU229" s="52">
        <f>IF(AND($U229="Ready",$C229="Receipt"),IF(COUNTIF(Batches!$A$2:$A$301,$F229)+COUNTIFS($F$1:$F228,$F229,$C$1:$C228,"Receipt",$U$1:$U228,"Ready")=0,1,0),0)</f>
        <v>0</v>
      </c>
      <c r="BV229" s="52" t="str">
        <f>IF($BU229=1,SUM($BU$2:$BU229),"")</f>
        <v/>
      </c>
    </row>
    <row r="230">
      <c r="A230" s="46" t="n"/>
      <c r="B230" s="46" t="n"/>
      <c r="C230" s="46" t="n"/>
      <c r="D230" s="46" t="n"/>
      <c r="E230" s="46" t="n"/>
      <c r="F230" s="46" t="n"/>
      <c r="G230" s="46" t="n"/>
      <c r="H230" s="46" t="n"/>
      <c r="I230" s="46" t="n"/>
      <c r="J230" s="46" t="n"/>
      <c r="K230" s="46" t="n"/>
      <c r="L230" s="46" t="n"/>
      <c r="M230" s="62" t="str">
        <f>IF($B230="","",IF(ISNUMBER($B230),$B230,IF(AND(LEN($B230)=10,MID($B230,5,1)="-",MID($B230,8,1)="-"),IFERROR(IF(AND(MONTH(DATE(VALUE(LEFT($B230,4)),VALUE(MID($B230,6,2)),VALUE(RIGHT($B230,2))))=VALUE(MID($B230,6,2)),DAY(DATE(VALUE(LEFT($B230,4)),VALUE(MID($B230,6,2)),VALUE(RIGHT($B230,2))))=VALUE(RIGHT($B230,2))),DATE(VALUE(LEFT($B230,4)),VALUE(MID($B230,6,2)),VALUE(RIGHT($B230,2))),"ERR"),"ERR"),"ERR")))</f>
        <v/>
      </c>
      <c r="N230" s="62" t="str">
        <f>IF($G230="","",IF(ISNUMBER($G230),$G230,IF(AND(LEN($G230)=10,MID($G230,5,1)="-",MID($G230,8,1)="-"),IFERROR(IF(AND(MONTH(DATE(VALUE(LEFT($G230,4)),VALUE(MID($G230,6,2)),VALUE(RIGHT($G230,2))))=VALUE(MID($G230,6,2)),DAY(DATE(VALUE(LEFT($G230,4)),VALUE(MID($G230,6,2)),VALUE(RIGHT($G230,2))))=VALUE(RIGHT($G230,2))),DATE(VALUE(LEFT($G230,4)),VALUE(MID($G230,6,2)),VALUE(RIGHT($G230,2))),"ERR"),"ERR"),"ERR")))</f>
        <v/>
      </c>
      <c r="O230" s="51" t="str">
        <f>IF($H230="","",IF(ISNUMBER($H230),$H230,IFERROR(VALUE($H230),"ERR")))</f>
        <v/>
      </c>
      <c r="P230" s="51" t="str">
        <f>IF(AND(ISNUMBER($O230),OR($C230="Receipt",$C230="Shipment",$C230="Adjustment")),IF($C230="Shipment",-$O230,$O230),"")</f>
        <v/>
      </c>
      <c r="Q230" s="51" t="str">
        <f>IF($D230="","",IFERROR(INDEX(Products!$R$2:$R$101,MATCH($D230,Products!$A$2:$A$101,0)),""))</f>
        <v/>
      </c>
      <c r="R230" s="51" t="str">
        <f>IF(OR($Q230="",$P230=""),"",$Q230+SUMIFS($P$1:$P229,$D$1:$D229,$D230,$U$1:$U229,"Ready"))</f>
        <v/>
      </c>
      <c r="S230" s="51" t="str">
        <f>IF($R230="","",$R230+$P230)</f>
        <v/>
      </c>
      <c r="T230" s="52" t="str">
        <f>IF(COUNTA($A230:$L230)&gt;0,$BP230,"")</f>
        <v/>
      </c>
      <c r="U230" s="49" t="str">
        <f>IF($T230="","",IF($T230=0,"Ready","Rejected"))</f>
        <v/>
      </c>
      <c r="V230" s="49" t="str">
        <f>IF(OR($T230="",$T230=0),"",INDEX(Config!$D$39:$D$61,MATCH(1,$AT230:$BP230,0))&amp;IF($T230&gt;1," (+"&amp;($T230-1)&amp;" more)",""))</f>
        <v/>
      </c>
      <c r="W230" s="52">
        <f>IF(AND(COUNTA($A230:$L230)&gt;0,$A230=""),1,0)</f>
        <v>0</v>
      </c>
      <c r="X230" s="52">
        <f>IF(AND(COUNTA($A230:$L230)&gt;0,$A230&lt;&gt;""),IF(COUNTIF($A$1:$A229,$A230)&gt;0,1,0),0)</f>
        <v>0</v>
      </c>
      <c r="Y230" s="52">
        <f>IF(AND(COUNTA($A230:$L230)&gt;0,$A230&lt;&gt;""),IF(COUNTIF(Inventory_Ledger!$A$2:$A$2001,$A230)&gt;0,1,0),0)</f>
        <v>0</v>
      </c>
      <c r="Z230" s="52">
        <f>IF(AND(COUNTA($A230:$L230)&gt;0,$B230=""),1,0)</f>
        <v>0</v>
      </c>
      <c r="AA230" s="52">
        <f>IF(AND(COUNTA($A230:$L230)&gt;0,$B230&lt;&gt;""),IF($M230="ERR",1,0),0)</f>
        <v>0</v>
      </c>
      <c r="AB230" s="52">
        <f>IF(AND(COUNTA($A230:$L230)&gt;0,ISNUMBER($M230)),IF($M230&gt;Config!$B$4,1,0),0)</f>
        <v>0</v>
      </c>
      <c r="AC230" s="52">
        <f>IF(AND(COUNTA($A230:$L230)&gt;0,$C230=""),1,0)</f>
        <v>0</v>
      </c>
      <c r="AD230" s="52">
        <f>IF(AND(COUNTA($A230:$L230)&gt;0,$C230&lt;&gt;""),IF(COUNTIF(Config!$A$15:$A$34,$C230)=0,1,0),0)</f>
        <v>0</v>
      </c>
      <c r="AE230" s="52">
        <f>IF(AND(COUNTA($A230:$L230)&gt;0,$D230=""),1,0)</f>
        <v>0</v>
      </c>
      <c r="AF230" s="52">
        <f>IF(AND(COUNTA($A230:$L230)&gt;0,$D230&lt;&gt;""),IF(COUNTIF(Products!$A$2:$A$101,$D230)=0,1,0),0)</f>
        <v>0</v>
      </c>
      <c r="AG230" s="52">
        <f>IF(AND(COUNTA($A230:$L230)&gt;0,$C230="Receipt",$E230=""),1,0)</f>
        <v>0</v>
      </c>
      <c r="AH230" s="52">
        <f>IF(AND(COUNTA($A230:$L230)&gt;0,$E230&lt;&gt;""),IF(COUNTIF(Suppliers!$A$2:$A$51,$E230)=0,1,0),0)</f>
        <v>0</v>
      </c>
      <c r="AI230" s="52">
        <f>IF(AND(COUNTA($A230:$L230)&gt;0,$F230=""),1,0)</f>
        <v>0</v>
      </c>
      <c r="AJ230" s="52">
        <f>IF(AND(COUNTA($A230:$L230)&gt;0,$F230&lt;&gt;"",$D230&lt;&gt;"",OR($C230="Shipment",$C230="Adjustment")),IF($AF230=1,0,IF(COUNTIFS(Batches!$A$2:$A$301,$F230,Batches!$B$2:$B$301,$D230)+COUNTIFS($F$1:$F229,$F230,$D$1:$D229,$D230,$C$1:$C229,"Receipt")=0,1,0)),0)</f>
        <v>0</v>
      </c>
      <c r="AK230" s="52">
        <f>IF(AND(COUNTA($A230:$L230)&gt;0,$C230="Receipt",$G230=""),1,0)</f>
        <v>0</v>
      </c>
      <c r="AL230" s="52">
        <f>IF(AND(COUNTA($A230:$L230)&gt;0,$G230&lt;&gt;""),IF($N230="ERR",1,0),0)</f>
        <v>0</v>
      </c>
      <c r="AM230" s="52">
        <f>IF(AND(COUNTA($A230:$L230)&gt;0,$H230=""),1,0)</f>
        <v>0</v>
      </c>
      <c r="AN230" s="52">
        <f>IF(AND(COUNTA($A230:$L230)&gt;0,$H230&lt;&gt;""),IF($O230="ERR",1,IF(INT($O230)&lt;&gt;$O230,1,IF(AND(OR($C230="Receipt",$C230="Shipment"),$O230&lt;=0),1,IF(AND($C230="Adjustment",$O230=0),1,0)))),0)</f>
        <v>0</v>
      </c>
      <c r="AO230" s="52">
        <f>IF(AND(COUNTA($A230:$L230)&gt;0,$C230="Receipt",$I230=""),1,0)</f>
        <v>0</v>
      </c>
      <c r="AP230" s="52">
        <f>IF(AND(COUNTA($A230:$L230)&gt;0,$I230&lt;&gt;""),IF(IFERROR(INDEX(Config!$G$15:$G$34,MATCH($I230,Config!$E$15:$E$34,0)),"No")="Yes",0,1),0)</f>
        <v>0</v>
      </c>
      <c r="AQ230" s="52">
        <f>IF(AND(COUNTA($A230:$L230)&gt;0,$C230="Adjustment",$J230=""),1,0)</f>
        <v>0</v>
      </c>
      <c r="AR230" s="52">
        <f>IF(AND(COUNTA($A230:$L230)&gt;0,$L230=""),1,0)</f>
        <v>0</v>
      </c>
      <c r="AS230" s="52">
        <f>IF(AND(COUNTA($A230:$L230)&gt;0,ISNUMBER($S230)),IF($S230&lt;0,1,0),0)</f>
        <v>0</v>
      </c>
      <c r="AT230" s="52">
        <f>$W230</f>
        <v>0</v>
      </c>
      <c r="AU230" s="52">
        <f>$AT230+$X230</f>
        <v>0</v>
      </c>
      <c r="AV230" s="52">
        <f>$AU230+$Y230</f>
        <v>0</v>
      </c>
      <c r="AW230" s="52">
        <f>$AV230+$Z230</f>
        <v>0</v>
      </c>
      <c r="AX230" s="52">
        <f>$AW230+$AA230</f>
        <v>0</v>
      </c>
      <c r="AY230" s="52">
        <f>$AX230+$AB230</f>
        <v>0</v>
      </c>
      <c r="AZ230" s="52">
        <f>$AY230+$AC230</f>
        <v>0</v>
      </c>
      <c r="BA230" s="52">
        <f>$AZ230+$AD230</f>
        <v>0</v>
      </c>
      <c r="BB230" s="52">
        <f>$BA230+$AE230</f>
        <v>0</v>
      </c>
      <c r="BC230" s="52">
        <f>$BB230+$AF230</f>
        <v>0</v>
      </c>
      <c r="BD230" s="52">
        <f>$BC230+$AG230</f>
        <v>0</v>
      </c>
      <c r="BE230" s="52">
        <f>$BD230+$AH230</f>
        <v>0</v>
      </c>
      <c r="BF230" s="52">
        <f>$BE230+$AI230</f>
        <v>0</v>
      </c>
      <c r="BG230" s="52">
        <f>$BF230+$AJ230</f>
        <v>0</v>
      </c>
      <c r="BH230" s="52">
        <f>$BG230+$AK230</f>
        <v>0</v>
      </c>
      <c r="BI230" s="52">
        <f>$BH230+$AL230</f>
        <v>0</v>
      </c>
      <c r="BJ230" s="52">
        <f>$BI230+$AM230</f>
        <v>0</v>
      </c>
      <c r="BK230" s="52">
        <f>$BJ230+$AN230</f>
        <v>0</v>
      </c>
      <c r="BL230" s="52">
        <f>$BK230+$AO230</f>
        <v>0</v>
      </c>
      <c r="BM230" s="52">
        <f>$BL230+$AP230</f>
        <v>0</v>
      </c>
      <c r="BN230" s="52">
        <f>$BM230+$AQ230</f>
        <v>0</v>
      </c>
      <c r="BO230" s="52">
        <f>$BN230+$AR230</f>
        <v>0</v>
      </c>
      <c r="BP230" s="52">
        <f>$BO230+$AS230</f>
        <v>0</v>
      </c>
      <c r="BQ230" s="52">
        <f>SUM($T$1:$T229)</f>
        <v>11</v>
      </c>
      <c r="BR230" s="52" t="str">
        <f>IF(ISNUMBER($T230),IF($T230&gt;0,COUNTIF($T$2:$T230,"&gt;0"),""),"")</f>
        <v/>
      </c>
      <c r="BS230" s="52" t="str">
        <f>IF($BR230="","",$BQ230+$T230)</f>
        <v/>
      </c>
      <c r="BT230" s="52" t="str">
        <f>IF($U230="Ready",COUNTIF($U$2:$U230,"Ready"),"")</f>
        <v/>
      </c>
      <c r="BU230" s="52">
        <f>IF(AND($U230="Ready",$C230="Receipt"),IF(COUNTIF(Batches!$A$2:$A$301,$F230)+COUNTIFS($F$1:$F229,$F230,$C$1:$C229,"Receipt",$U$1:$U229,"Ready")=0,1,0),0)</f>
        <v>0</v>
      </c>
      <c r="BV230" s="52" t="str">
        <f>IF($BU230=1,SUM($BU$2:$BU230),"")</f>
        <v/>
      </c>
    </row>
    <row r="231">
      <c r="A231" s="46" t="n"/>
      <c r="B231" s="46" t="n"/>
      <c r="C231" s="46" t="n"/>
      <c r="D231" s="46" t="n"/>
      <c r="E231" s="46" t="n"/>
      <c r="F231" s="46" t="n"/>
      <c r="G231" s="46" t="n"/>
      <c r="H231" s="46" t="n"/>
      <c r="I231" s="46" t="n"/>
      <c r="J231" s="46" t="n"/>
      <c r="K231" s="46" t="n"/>
      <c r="L231" s="46" t="n"/>
      <c r="M231" s="62" t="str">
        <f>IF($B231="","",IF(ISNUMBER($B231),$B231,IF(AND(LEN($B231)=10,MID($B231,5,1)="-",MID($B231,8,1)="-"),IFERROR(IF(AND(MONTH(DATE(VALUE(LEFT($B231,4)),VALUE(MID($B231,6,2)),VALUE(RIGHT($B231,2))))=VALUE(MID($B231,6,2)),DAY(DATE(VALUE(LEFT($B231,4)),VALUE(MID($B231,6,2)),VALUE(RIGHT($B231,2))))=VALUE(RIGHT($B231,2))),DATE(VALUE(LEFT($B231,4)),VALUE(MID($B231,6,2)),VALUE(RIGHT($B231,2))),"ERR"),"ERR"),"ERR")))</f>
        <v/>
      </c>
      <c r="N231" s="62" t="str">
        <f>IF($G231="","",IF(ISNUMBER($G231),$G231,IF(AND(LEN($G231)=10,MID($G231,5,1)="-",MID($G231,8,1)="-"),IFERROR(IF(AND(MONTH(DATE(VALUE(LEFT($G231,4)),VALUE(MID($G231,6,2)),VALUE(RIGHT($G231,2))))=VALUE(MID($G231,6,2)),DAY(DATE(VALUE(LEFT($G231,4)),VALUE(MID($G231,6,2)),VALUE(RIGHT($G231,2))))=VALUE(RIGHT($G231,2))),DATE(VALUE(LEFT($G231,4)),VALUE(MID($G231,6,2)),VALUE(RIGHT($G231,2))),"ERR"),"ERR"),"ERR")))</f>
        <v/>
      </c>
      <c r="O231" s="51" t="str">
        <f>IF($H231="","",IF(ISNUMBER($H231),$H231,IFERROR(VALUE($H231),"ERR")))</f>
        <v/>
      </c>
      <c r="P231" s="51" t="str">
        <f>IF(AND(ISNUMBER($O231),OR($C231="Receipt",$C231="Shipment",$C231="Adjustment")),IF($C231="Shipment",-$O231,$O231),"")</f>
        <v/>
      </c>
      <c r="Q231" s="51" t="str">
        <f>IF($D231="","",IFERROR(INDEX(Products!$R$2:$R$101,MATCH($D231,Products!$A$2:$A$101,0)),""))</f>
        <v/>
      </c>
      <c r="R231" s="51" t="str">
        <f>IF(OR($Q231="",$P231=""),"",$Q231+SUMIFS($P$1:$P230,$D$1:$D230,$D231,$U$1:$U230,"Ready"))</f>
        <v/>
      </c>
      <c r="S231" s="51" t="str">
        <f>IF($R231="","",$R231+$P231)</f>
        <v/>
      </c>
      <c r="T231" s="52" t="str">
        <f>IF(COUNTA($A231:$L231)&gt;0,$BP231,"")</f>
        <v/>
      </c>
      <c r="U231" s="49" t="str">
        <f>IF($T231="","",IF($T231=0,"Ready","Rejected"))</f>
        <v/>
      </c>
      <c r="V231" s="49" t="str">
        <f>IF(OR($T231="",$T231=0),"",INDEX(Config!$D$39:$D$61,MATCH(1,$AT231:$BP231,0))&amp;IF($T231&gt;1," (+"&amp;($T231-1)&amp;" more)",""))</f>
        <v/>
      </c>
      <c r="W231" s="52">
        <f>IF(AND(COUNTA($A231:$L231)&gt;0,$A231=""),1,0)</f>
        <v>0</v>
      </c>
      <c r="X231" s="52">
        <f>IF(AND(COUNTA($A231:$L231)&gt;0,$A231&lt;&gt;""),IF(COUNTIF($A$1:$A230,$A231)&gt;0,1,0),0)</f>
        <v>0</v>
      </c>
      <c r="Y231" s="52">
        <f>IF(AND(COUNTA($A231:$L231)&gt;0,$A231&lt;&gt;""),IF(COUNTIF(Inventory_Ledger!$A$2:$A$2001,$A231)&gt;0,1,0),0)</f>
        <v>0</v>
      </c>
      <c r="Z231" s="52">
        <f>IF(AND(COUNTA($A231:$L231)&gt;0,$B231=""),1,0)</f>
        <v>0</v>
      </c>
      <c r="AA231" s="52">
        <f>IF(AND(COUNTA($A231:$L231)&gt;0,$B231&lt;&gt;""),IF($M231="ERR",1,0),0)</f>
        <v>0</v>
      </c>
      <c r="AB231" s="52">
        <f>IF(AND(COUNTA($A231:$L231)&gt;0,ISNUMBER($M231)),IF($M231&gt;Config!$B$4,1,0),0)</f>
        <v>0</v>
      </c>
      <c r="AC231" s="52">
        <f>IF(AND(COUNTA($A231:$L231)&gt;0,$C231=""),1,0)</f>
        <v>0</v>
      </c>
      <c r="AD231" s="52">
        <f>IF(AND(COUNTA($A231:$L231)&gt;0,$C231&lt;&gt;""),IF(COUNTIF(Config!$A$15:$A$34,$C231)=0,1,0),0)</f>
        <v>0</v>
      </c>
      <c r="AE231" s="52">
        <f>IF(AND(COUNTA($A231:$L231)&gt;0,$D231=""),1,0)</f>
        <v>0</v>
      </c>
      <c r="AF231" s="52">
        <f>IF(AND(COUNTA($A231:$L231)&gt;0,$D231&lt;&gt;""),IF(COUNTIF(Products!$A$2:$A$101,$D231)=0,1,0),0)</f>
        <v>0</v>
      </c>
      <c r="AG231" s="52">
        <f>IF(AND(COUNTA($A231:$L231)&gt;0,$C231="Receipt",$E231=""),1,0)</f>
        <v>0</v>
      </c>
      <c r="AH231" s="52">
        <f>IF(AND(COUNTA($A231:$L231)&gt;0,$E231&lt;&gt;""),IF(COUNTIF(Suppliers!$A$2:$A$51,$E231)=0,1,0),0)</f>
        <v>0</v>
      </c>
      <c r="AI231" s="52">
        <f>IF(AND(COUNTA($A231:$L231)&gt;0,$F231=""),1,0)</f>
        <v>0</v>
      </c>
      <c r="AJ231" s="52">
        <f>IF(AND(COUNTA($A231:$L231)&gt;0,$F231&lt;&gt;"",$D231&lt;&gt;"",OR($C231="Shipment",$C231="Adjustment")),IF($AF231=1,0,IF(COUNTIFS(Batches!$A$2:$A$301,$F231,Batches!$B$2:$B$301,$D231)+COUNTIFS($F$1:$F230,$F231,$D$1:$D230,$D231,$C$1:$C230,"Receipt")=0,1,0)),0)</f>
        <v>0</v>
      </c>
      <c r="AK231" s="52">
        <f>IF(AND(COUNTA($A231:$L231)&gt;0,$C231="Receipt",$G231=""),1,0)</f>
        <v>0</v>
      </c>
      <c r="AL231" s="52">
        <f>IF(AND(COUNTA($A231:$L231)&gt;0,$G231&lt;&gt;""),IF($N231="ERR",1,0),0)</f>
        <v>0</v>
      </c>
      <c r="AM231" s="52">
        <f>IF(AND(COUNTA($A231:$L231)&gt;0,$H231=""),1,0)</f>
        <v>0</v>
      </c>
      <c r="AN231" s="52">
        <f>IF(AND(COUNTA($A231:$L231)&gt;0,$H231&lt;&gt;""),IF($O231="ERR",1,IF(INT($O231)&lt;&gt;$O231,1,IF(AND(OR($C231="Receipt",$C231="Shipment"),$O231&lt;=0),1,IF(AND($C231="Adjustment",$O231=0),1,0)))),0)</f>
        <v>0</v>
      </c>
      <c r="AO231" s="52">
        <f>IF(AND(COUNTA($A231:$L231)&gt;0,$C231="Receipt",$I231=""),1,0)</f>
        <v>0</v>
      </c>
      <c r="AP231" s="52">
        <f>IF(AND(COUNTA($A231:$L231)&gt;0,$I231&lt;&gt;""),IF(IFERROR(INDEX(Config!$G$15:$G$34,MATCH($I231,Config!$E$15:$E$34,0)),"No")="Yes",0,1),0)</f>
        <v>0</v>
      </c>
      <c r="AQ231" s="52">
        <f>IF(AND(COUNTA($A231:$L231)&gt;0,$C231="Adjustment",$J231=""),1,0)</f>
        <v>0</v>
      </c>
      <c r="AR231" s="52">
        <f>IF(AND(COUNTA($A231:$L231)&gt;0,$L231=""),1,0)</f>
        <v>0</v>
      </c>
      <c r="AS231" s="52">
        <f>IF(AND(COUNTA($A231:$L231)&gt;0,ISNUMBER($S231)),IF($S231&lt;0,1,0),0)</f>
        <v>0</v>
      </c>
      <c r="AT231" s="52">
        <f>$W231</f>
        <v>0</v>
      </c>
      <c r="AU231" s="52">
        <f>$AT231+$X231</f>
        <v>0</v>
      </c>
      <c r="AV231" s="52">
        <f>$AU231+$Y231</f>
        <v>0</v>
      </c>
      <c r="AW231" s="52">
        <f>$AV231+$Z231</f>
        <v>0</v>
      </c>
      <c r="AX231" s="52">
        <f>$AW231+$AA231</f>
        <v>0</v>
      </c>
      <c r="AY231" s="52">
        <f>$AX231+$AB231</f>
        <v>0</v>
      </c>
      <c r="AZ231" s="52">
        <f>$AY231+$AC231</f>
        <v>0</v>
      </c>
      <c r="BA231" s="52">
        <f>$AZ231+$AD231</f>
        <v>0</v>
      </c>
      <c r="BB231" s="52">
        <f>$BA231+$AE231</f>
        <v>0</v>
      </c>
      <c r="BC231" s="52">
        <f>$BB231+$AF231</f>
        <v>0</v>
      </c>
      <c r="BD231" s="52">
        <f>$BC231+$AG231</f>
        <v>0</v>
      </c>
      <c r="BE231" s="52">
        <f>$BD231+$AH231</f>
        <v>0</v>
      </c>
      <c r="BF231" s="52">
        <f>$BE231+$AI231</f>
        <v>0</v>
      </c>
      <c r="BG231" s="52">
        <f>$BF231+$AJ231</f>
        <v>0</v>
      </c>
      <c r="BH231" s="52">
        <f>$BG231+$AK231</f>
        <v>0</v>
      </c>
      <c r="BI231" s="52">
        <f>$BH231+$AL231</f>
        <v>0</v>
      </c>
      <c r="BJ231" s="52">
        <f>$BI231+$AM231</f>
        <v>0</v>
      </c>
      <c r="BK231" s="52">
        <f>$BJ231+$AN231</f>
        <v>0</v>
      </c>
      <c r="BL231" s="52">
        <f>$BK231+$AO231</f>
        <v>0</v>
      </c>
      <c r="BM231" s="52">
        <f>$BL231+$AP231</f>
        <v>0</v>
      </c>
      <c r="BN231" s="52">
        <f>$BM231+$AQ231</f>
        <v>0</v>
      </c>
      <c r="BO231" s="52">
        <f>$BN231+$AR231</f>
        <v>0</v>
      </c>
      <c r="BP231" s="52">
        <f>$BO231+$AS231</f>
        <v>0</v>
      </c>
      <c r="BQ231" s="52">
        <f>SUM($T$1:$T230)</f>
        <v>11</v>
      </c>
      <c r="BR231" s="52" t="str">
        <f>IF(ISNUMBER($T231),IF($T231&gt;0,COUNTIF($T$2:$T231,"&gt;0"),""),"")</f>
        <v/>
      </c>
      <c r="BS231" s="52" t="str">
        <f>IF($BR231="","",$BQ231+$T231)</f>
        <v/>
      </c>
      <c r="BT231" s="52" t="str">
        <f>IF($U231="Ready",COUNTIF($U$2:$U231,"Ready"),"")</f>
        <v/>
      </c>
      <c r="BU231" s="52">
        <f>IF(AND($U231="Ready",$C231="Receipt"),IF(COUNTIF(Batches!$A$2:$A$301,$F231)+COUNTIFS($F$1:$F230,$F231,$C$1:$C230,"Receipt",$U$1:$U230,"Ready")=0,1,0),0)</f>
        <v>0</v>
      </c>
      <c r="BV231" s="52" t="str">
        <f>IF($BU231=1,SUM($BU$2:$BU231),"")</f>
        <v/>
      </c>
    </row>
    <row r="232">
      <c r="A232" s="46" t="n"/>
      <c r="B232" s="46" t="n"/>
      <c r="C232" s="46" t="n"/>
      <c r="D232" s="46" t="n"/>
      <c r="E232" s="46" t="n"/>
      <c r="F232" s="46" t="n"/>
      <c r="G232" s="46" t="n"/>
      <c r="H232" s="46" t="n"/>
      <c r="I232" s="46" t="n"/>
      <c r="J232" s="46" t="n"/>
      <c r="K232" s="46" t="n"/>
      <c r="L232" s="46" t="n"/>
      <c r="M232" s="62" t="str">
        <f>IF($B232="","",IF(ISNUMBER($B232),$B232,IF(AND(LEN($B232)=10,MID($B232,5,1)="-",MID($B232,8,1)="-"),IFERROR(IF(AND(MONTH(DATE(VALUE(LEFT($B232,4)),VALUE(MID($B232,6,2)),VALUE(RIGHT($B232,2))))=VALUE(MID($B232,6,2)),DAY(DATE(VALUE(LEFT($B232,4)),VALUE(MID($B232,6,2)),VALUE(RIGHT($B232,2))))=VALUE(RIGHT($B232,2))),DATE(VALUE(LEFT($B232,4)),VALUE(MID($B232,6,2)),VALUE(RIGHT($B232,2))),"ERR"),"ERR"),"ERR")))</f>
        <v/>
      </c>
      <c r="N232" s="62" t="str">
        <f>IF($G232="","",IF(ISNUMBER($G232),$G232,IF(AND(LEN($G232)=10,MID($G232,5,1)="-",MID($G232,8,1)="-"),IFERROR(IF(AND(MONTH(DATE(VALUE(LEFT($G232,4)),VALUE(MID($G232,6,2)),VALUE(RIGHT($G232,2))))=VALUE(MID($G232,6,2)),DAY(DATE(VALUE(LEFT($G232,4)),VALUE(MID($G232,6,2)),VALUE(RIGHT($G232,2))))=VALUE(RIGHT($G232,2))),DATE(VALUE(LEFT($G232,4)),VALUE(MID($G232,6,2)),VALUE(RIGHT($G232,2))),"ERR"),"ERR"),"ERR")))</f>
        <v/>
      </c>
      <c r="O232" s="51" t="str">
        <f>IF($H232="","",IF(ISNUMBER($H232),$H232,IFERROR(VALUE($H232),"ERR")))</f>
        <v/>
      </c>
      <c r="P232" s="51" t="str">
        <f>IF(AND(ISNUMBER($O232),OR($C232="Receipt",$C232="Shipment",$C232="Adjustment")),IF($C232="Shipment",-$O232,$O232),"")</f>
        <v/>
      </c>
      <c r="Q232" s="51" t="str">
        <f>IF($D232="","",IFERROR(INDEX(Products!$R$2:$R$101,MATCH($D232,Products!$A$2:$A$101,0)),""))</f>
        <v/>
      </c>
      <c r="R232" s="51" t="str">
        <f>IF(OR($Q232="",$P232=""),"",$Q232+SUMIFS($P$1:$P231,$D$1:$D231,$D232,$U$1:$U231,"Ready"))</f>
        <v/>
      </c>
      <c r="S232" s="51" t="str">
        <f>IF($R232="","",$R232+$P232)</f>
        <v/>
      </c>
      <c r="T232" s="52" t="str">
        <f>IF(COUNTA($A232:$L232)&gt;0,$BP232,"")</f>
        <v/>
      </c>
      <c r="U232" s="49" t="str">
        <f>IF($T232="","",IF($T232=0,"Ready","Rejected"))</f>
        <v/>
      </c>
      <c r="V232" s="49" t="str">
        <f>IF(OR($T232="",$T232=0),"",INDEX(Config!$D$39:$D$61,MATCH(1,$AT232:$BP232,0))&amp;IF($T232&gt;1," (+"&amp;($T232-1)&amp;" more)",""))</f>
        <v/>
      </c>
      <c r="W232" s="52">
        <f>IF(AND(COUNTA($A232:$L232)&gt;0,$A232=""),1,0)</f>
        <v>0</v>
      </c>
      <c r="X232" s="52">
        <f>IF(AND(COUNTA($A232:$L232)&gt;0,$A232&lt;&gt;""),IF(COUNTIF($A$1:$A231,$A232)&gt;0,1,0),0)</f>
        <v>0</v>
      </c>
      <c r="Y232" s="52">
        <f>IF(AND(COUNTA($A232:$L232)&gt;0,$A232&lt;&gt;""),IF(COUNTIF(Inventory_Ledger!$A$2:$A$2001,$A232)&gt;0,1,0),0)</f>
        <v>0</v>
      </c>
      <c r="Z232" s="52">
        <f>IF(AND(COUNTA($A232:$L232)&gt;0,$B232=""),1,0)</f>
        <v>0</v>
      </c>
      <c r="AA232" s="52">
        <f>IF(AND(COUNTA($A232:$L232)&gt;0,$B232&lt;&gt;""),IF($M232="ERR",1,0),0)</f>
        <v>0</v>
      </c>
      <c r="AB232" s="52">
        <f>IF(AND(COUNTA($A232:$L232)&gt;0,ISNUMBER($M232)),IF($M232&gt;Config!$B$4,1,0),0)</f>
        <v>0</v>
      </c>
      <c r="AC232" s="52">
        <f>IF(AND(COUNTA($A232:$L232)&gt;0,$C232=""),1,0)</f>
        <v>0</v>
      </c>
      <c r="AD232" s="52">
        <f>IF(AND(COUNTA($A232:$L232)&gt;0,$C232&lt;&gt;""),IF(COUNTIF(Config!$A$15:$A$34,$C232)=0,1,0),0)</f>
        <v>0</v>
      </c>
      <c r="AE232" s="52">
        <f>IF(AND(COUNTA($A232:$L232)&gt;0,$D232=""),1,0)</f>
        <v>0</v>
      </c>
      <c r="AF232" s="52">
        <f>IF(AND(COUNTA($A232:$L232)&gt;0,$D232&lt;&gt;""),IF(COUNTIF(Products!$A$2:$A$101,$D232)=0,1,0),0)</f>
        <v>0</v>
      </c>
      <c r="AG232" s="52">
        <f>IF(AND(COUNTA($A232:$L232)&gt;0,$C232="Receipt",$E232=""),1,0)</f>
        <v>0</v>
      </c>
      <c r="AH232" s="52">
        <f>IF(AND(COUNTA($A232:$L232)&gt;0,$E232&lt;&gt;""),IF(COUNTIF(Suppliers!$A$2:$A$51,$E232)=0,1,0),0)</f>
        <v>0</v>
      </c>
      <c r="AI232" s="52">
        <f>IF(AND(COUNTA($A232:$L232)&gt;0,$F232=""),1,0)</f>
        <v>0</v>
      </c>
      <c r="AJ232" s="52">
        <f>IF(AND(COUNTA($A232:$L232)&gt;0,$F232&lt;&gt;"",$D232&lt;&gt;"",OR($C232="Shipment",$C232="Adjustment")),IF($AF232=1,0,IF(COUNTIFS(Batches!$A$2:$A$301,$F232,Batches!$B$2:$B$301,$D232)+COUNTIFS($F$1:$F231,$F232,$D$1:$D231,$D232,$C$1:$C231,"Receipt")=0,1,0)),0)</f>
        <v>0</v>
      </c>
      <c r="AK232" s="52">
        <f>IF(AND(COUNTA($A232:$L232)&gt;0,$C232="Receipt",$G232=""),1,0)</f>
        <v>0</v>
      </c>
      <c r="AL232" s="52">
        <f>IF(AND(COUNTA($A232:$L232)&gt;0,$G232&lt;&gt;""),IF($N232="ERR",1,0),0)</f>
        <v>0</v>
      </c>
      <c r="AM232" s="52">
        <f>IF(AND(COUNTA($A232:$L232)&gt;0,$H232=""),1,0)</f>
        <v>0</v>
      </c>
      <c r="AN232" s="52">
        <f>IF(AND(COUNTA($A232:$L232)&gt;0,$H232&lt;&gt;""),IF($O232="ERR",1,IF(INT($O232)&lt;&gt;$O232,1,IF(AND(OR($C232="Receipt",$C232="Shipment"),$O232&lt;=0),1,IF(AND($C232="Adjustment",$O232=0),1,0)))),0)</f>
        <v>0</v>
      </c>
      <c r="AO232" s="52">
        <f>IF(AND(COUNTA($A232:$L232)&gt;0,$C232="Receipt",$I232=""),1,0)</f>
        <v>0</v>
      </c>
      <c r="AP232" s="52">
        <f>IF(AND(COUNTA($A232:$L232)&gt;0,$I232&lt;&gt;""),IF(IFERROR(INDEX(Config!$G$15:$G$34,MATCH($I232,Config!$E$15:$E$34,0)),"No")="Yes",0,1),0)</f>
        <v>0</v>
      </c>
      <c r="AQ232" s="52">
        <f>IF(AND(COUNTA($A232:$L232)&gt;0,$C232="Adjustment",$J232=""),1,0)</f>
        <v>0</v>
      </c>
      <c r="AR232" s="52">
        <f>IF(AND(COUNTA($A232:$L232)&gt;0,$L232=""),1,0)</f>
        <v>0</v>
      </c>
      <c r="AS232" s="52">
        <f>IF(AND(COUNTA($A232:$L232)&gt;0,ISNUMBER($S232)),IF($S232&lt;0,1,0),0)</f>
        <v>0</v>
      </c>
      <c r="AT232" s="52">
        <f>$W232</f>
        <v>0</v>
      </c>
      <c r="AU232" s="52">
        <f>$AT232+$X232</f>
        <v>0</v>
      </c>
      <c r="AV232" s="52">
        <f>$AU232+$Y232</f>
        <v>0</v>
      </c>
      <c r="AW232" s="52">
        <f>$AV232+$Z232</f>
        <v>0</v>
      </c>
      <c r="AX232" s="52">
        <f>$AW232+$AA232</f>
        <v>0</v>
      </c>
      <c r="AY232" s="52">
        <f>$AX232+$AB232</f>
        <v>0</v>
      </c>
      <c r="AZ232" s="52">
        <f>$AY232+$AC232</f>
        <v>0</v>
      </c>
      <c r="BA232" s="52">
        <f>$AZ232+$AD232</f>
        <v>0</v>
      </c>
      <c r="BB232" s="52">
        <f>$BA232+$AE232</f>
        <v>0</v>
      </c>
      <c r="BC232" s="52">
        <f>$BB232+$AF232</f>
        <v>0</v>
      </c>
      <c r="BD232" s="52">
        <f>$BC232+$AG232</f>
        <v>0</v>
      </c>
      <c r="BE232" s="52">
        <f>$BD232+$AH232</f>
        <v>0</v>
      </c>
      <c r="BF232" s="52">
        <f>$BE232+$AI232</f>
        <v>0</v>
      </c>
      <c r="BG232" s="52">
        <f>$BF232+$AJ232</f>
        <v>0</v>
      </c>
      <c r="BH232" s="52">
        <f>$BG232+$AK232</f>
        <v>0</v>
      </c>
      <c r="BI232" s="52">
        <f>$BH232+$AL232</f>
        <v>0</v>
      </c>
      <c r="BJ232" s="52">
        <f>$BI232+$AM232</f>
        <v>0</v>
      </c>
      <c r="BK232" s="52">
        <f>$BJ232+$AN232</f>
        <v>0</v>
      </c>
      <c r="BL232" s="52">
        <f>$BK232+$AO232</f>
        <v>0</v>
      </c>
      <c r="BM232" s="52">
        <f>$BL232+$AP232</f>
        <v>0</v>
      </c>
      <c r="BN232" s="52">
        <f>$BM232+$AQ232</f>
        <v>0</v>
      </c>
      <c r="BO232" s="52">
        <f>$BN232+$AR232</f>
        <v>0</v>
      </c>
      <c r="BP232" s="52">
        <f>$BO232+$AS232</f>
        <v>0</v>
      </c>
      <c r="BQ232" s="52">
        <f>SUM($T$1:$T231)</f>
        <v>11</v>
      </c>
      <c r="BR232" s="52" t="str">
        <f>IF(ISNUMBER($T232),IF($T232&gt;0,COUNTIF($T$2:$T232,"&gt;0"),""),"")</f>
        <v/>
      </c>
      <c r="BS232" s="52" t="str">
        <f>IF($BR232="","",$BQ232+$T232)</f>
        <v/>
      </c>
      <c r="BT232" s="52" t="str">
        <f>IF($U232="Ready",COUNTIF($U$2:$U232,"Ready"),"")</f>
        <v/>
      </c>
      <c r="BU232" s="52">
        <f>IF(AND($U232="Ready",$C232="Receipt"),IF(COUNTIF(Batches!$A$2:$A$301,$F232)+COUNTIFS($F$1:$F231,$F232,$C$1:$C231,"Receipt",$U$1:$U231,"Ready")=0,1,0),0)</f>
        <v>0</v>
      </c>
      <c r="BV232" s="52" t="str">
        <f>IF($BU232=1,SUM($BU$2:$BU232),"")</f>
        <v/>
      </c>
    </row>
    <row r="233">
      <c r="A233" s="46" t="n"/>
      <c r="B233" s="46" t="n"/>
      <c r="C233" s="46" t="n"/>
      <c r="D233" s="46" t="n"/>
      <c r="E233" s="46" t="n"/>
      <c r="F233" s="46" t="n"/>
      <c r="G233" s="46" t="n"/>
      <c r="H233" s="46" t="n"/>
      <c r="I233" s="46" t="n"/>
      <c r="J233" s="46" t="n"/>
      <c r="K233" s="46" t="n"/>
      <c r="L233" s="46" t="n"/>
      <c r="M233" s="62" t="str">
        <f>IF($B233="","",IF(ISNUMBER($B233),$B233,IF(AND(LEN($B233)=10,MID($B233,5,1)="-",MID($B233,8,1)="-"),IFERROR(IF(AND(MONTH(DATE(VALUE(LEFT($B233,4)),VALUE(MID($B233,6,2)),VALUE(RIGHT($B233,2))))=VALUE(MID($B233,6,2)),DAY(DATE(VALUE(LEFT($B233,4)),VALUE(MID($B233,6,2)),VALUE(RIGHT($B233,2))))=VALUE(RIGHT($B233,2))),DATE(VALUE(LEFT($B233,4)),VALUE(MID($B233,6,2)),VALUE(RIGHT($B233,2))),"ERR"),"ERR"),"ERR")))</f>
        <v/>
      </c>
      <c r="N233" s="62" t="str">
        <f>IF($G233="","",IF(ISNUMBER($G233),$G233,IF(AND(LEN($G233)=10,MID($G233,5,1)="-",MID($G233,8,1)="-"),IFERROR(IF(AND(MONTH(DATE(VALUE(LEFT($G233,4)),VALUE(MID($G233,6,2)),VALUE(RIGHT($G233,2))))=VALUE(MID($G233,6,2)),DAY(DATE(VALUE(LEFT($G233,4)),VALUE(MID($G233,6,2)),VALUE(RIGHT($G233,2))))=VALUE(RIGHT($G233,2))),DATE(VALUE(LEFT($G233,4)),VALUE(MID($G233,6,2)),VALUE(RIGHT($G233,2))),"ERR"),"ERR"),"ERR")))</f>
        <v/>
      </c>
      <c r="O233" s="51" t="str">
        <f>IF($H233="","",IF(ISNUMBER($H233),$H233,IFERROR(VALUE($H233),"ERR")))</f>
        <v/>
      </c>
      <c r="P233" s="51" t="str">
        <f>IF(AND(ISNUMBER($O233),OR($C233="Receipt",$C233="Shipment",$C233="Adjustment")),IF($C233="Shipment",-$O233,$O233),"")</f>
        <v/>
      </c>
      <c r="Q233" s="51" t="str">
        <f>IF($D233="","",IFERROR(INDEX(Products!$R$2:$R$101,MATCH($D233,Products!$A$2:$A$101,0)),""))</f>
        <v/>
      </c>
      <c r="R233" s="51" t="str">
        <f>IF(OR($Q233="",$P233=""),"",$Q233+SUMIFS($P$1:$P232,$D$1:$D232,$D233,$U$1:$U232,"Ready"))</f>
        <v/>
      </c>
      <c r="S233" s="51" t="str">
        <f>IF($R233="","",$R233+$P233)</f>
        <v/>
      </c>
      <c r="T233" s="52" t="str">
        <f>IF(COUNTA($A233:$L233)&gt;0,$BP233,"")</f>
        <v/>
      </c>
      <c r="U233" s="49" t="str">
        <f>IF($T233="","",IF($T233=0,"Ready","Rejected"))</f>
        <v/>
      </c>
      <c r="V233" s="49" t="str">
        <f>IF(OR($T233="",$T233=0),"",INDEX(Config!$D$39:$D$61,MATCH(1,$AT233:$BP233,0))&amp;IF($T233&gt;1," (+"&amp;($T233-1)&amp;" more)",""))</f>
        <v/>
      </c>
      <c r="W233" s="52">
        <f>IF(AND(COUNTA($A233:$L233)&gt;0,$A233=""),1,0)</f>
        <v>0</v>
      </c>
      <c r="X233" s="52">
        <f>IF(AND(COUNTA($A233:$L233)&gt;0,$A233&lt;&gt;""),IF(COUNTIF($A$1:$A232,$A233)&gt;0,1,0),0)</f>
        <v>0</v>
      </c>
      <c r="Y233" s="52">
        <f>IF(AND(COUNTA($A233:$L233)&gt;0,$A233&lt;&gt;""),IF(COUNTIF(Inventory_Ledger!$A$2:$A$2001,$A233)&gt;0,1,0),0)</f>
        <v>0</v>
      </c>
      <c r="Z233" s="52">
        <f>IF(AND(COUNTA($A233:$L233)&gt;0,$B233=""),1,0)</f>
        <v>0</v>
      </c>
      <c r="AA233" s="52">
        <f>IF(AND(COUNTA($A233:$L233)&gt;0,$B233&lt;&gt;""),IF($M233="ERR",1,0),0)</f>
        <v>0</v>
      </c>
      <c r="AB233" s="52">
        <f>IF(AND(COUNTA($A233:$L233)&gt;0,ISNUMBER($M233)),IF($M233&gt;Config!$B$4,1,0),0)</f>
        <v>0</v>
      </c>
      <c r="AC233" s="52">
        <f>IF(AND(COUNTA($A233:$L233)&gt;0,$C233=""),1,0)</f>
        <v>0</v>
      </c>
      <c r="AD233" s="52">
        <f>IF(AND(COUNTA($A233:$L233)&gt;0,$C233&lt;&gt;""),IF(COUNTIF(Config!$A$15:$A$34,$C233)=0,1,0),0)</f>
        <v>0</v>
      </c>
      <c r="AE233" s="52">
        <f>IF(AND(COUNTA($A233:$L233)&gt;0,$D233=""),1,0)</f>
        <v>0</v>
      </c>
      <c r="AF233" s="52">
        <f>IF(AND(COUNTA($A233:$L233)&gt;0,$D233&lt;&gt;""),IF(COUNTIF(Products!$A$2:$A$101,$D233)=0,1,0),0)</f>
        <v>0</v>
      </c>
      <c r="AG233" s="52">
        <f>IF(AND(COUNTA($A233:$L233)&gt;0,$C233="Receipt",$E233=""),1,0)</f>
        <v>0</v>
      </c>
      <c r="AH233" s="52">
        <f>IF(AND(COUNTA($A233:$L233)&gt;0,$E233&lt;&gt;""),IF(COUNTIF(Suppliers!$A$2:$A$51,$E233)=0,1,0),0)</f>
        <v>0</v>
      </c>
      <c r="AI233" s="52">
        <f>IF(AND(COUNTA($A233:$L233)&gt;0,$F233=""),1,0)</f>
        <v>0</v>
      </c>
      <c r="AJ233" s="52">
        <f>IF(AND(COUNTA($A233:$L233)&gt;0,$F233&lt;&gt;"",$D233&lt;&gt;"",OR($C233="Shipment",$C233="Adjustment")),IF($AF233=1,0,IF(COUNTIFS(Batches!$A$2:$A$301,$F233,Batches!$B$2:$B$301,$D233)+COUNTIFS($F$1:$F232,$F233,$D$1:$D232,$D233,$C$1:$C232,"Receipt")=0,1,0)),0)</f>
        <v>0</v>
      </c>
      <c r="AK233" s="52">
        <f>IF(AND(COUNTA($A233:$L233)&gt;0,$C233="Receipt",$G233=""),1,0)</f>
        <v>0</v>
      </c>
      <c r="AL233" s="52">
        <f>IF(AND(COUNTA($A233:$L233)&gt;0,$G233&lt;&gt;""),IF($N233="ERR",1,0),0)</f>
        <v>0</v>
      </c>
      <c r="AM233" s="52">
        <f>IF(AND(COUNTA($A233:$L233)&gt;0,$H233=""),1,0)</f>
        <v>0</v>
      </c>
      <c r="AN233" s="52">
        <f>IF(AND(COUNTA($A233:$L233)&gt;0,$H233&lt;&gt;""),IF($O233="ERR",1,IF(INT($O233)&lt;&gt;$O233,1,IF(AND(OR($C233="Receipt",$C233="Shipment"),$O233&lt;=0),1,IF(AND($C233="Adjustment",$O233=0),1,0)))),0)</f>
        <v>0</v>
      </c>
      <c r="AO233" s="52">
        <f>IF(AND(COUNTA($A233:$L233)&gt;0,$C233="Receipt",$I233=""),1,0)</f>
        <v>0</v>
      </c>
      <c r="AP233" s="52">
        <f>IF(AND(COUNTA($A233:$L233)&gt;0,$I233&lt;&gt;""),IF(IFERROR(INDEX(Config!$G$15:$G$34,MATCH($I233,Config!$E$15:$E$34,0)),"No")="Yes",0,1),0)</f>
        <v>0</v>
      </c>
      <c r="AQ233" s="52">
        <f>IF(AND(COUNTA($A233:$L233)&gt;0,$C233="Adjustment",$J233=""),1,0)</f>
        <v>0</v>
      </c>
      <c r="AR233" s="52">
        <f>IF(AND(COUNTA($A233:$L233)&gt;0,$L233=""),1,0)</f>
        <v>0</v>
      </c>
      <c r="AS233" s="52">
        <f>IF(AND(COUNTA($A233:$L233)&gt;0,ISNUMBER($S233)),IF($S233&lt;0,1,0),0)</f>
        <v>0</v>
      </c>
      <c r="AT233" s="52">
        <f>$W233</f>
        <v>0</v>
      </c>
      <c r="AU233" s="52">
        <f>$AT233+$X233</f>
        <v>0</v>
      </c>
      <c r="AV233" s="52">
        <f>$AU233+$Y233</f>
        <v>0</v>
      </c>
      <c r="AW233" s="52">
        <f>$AV233+$Z233</f>
        <v>0</v>
      </c>
      <c r="AX233" s="52">
        <f>$AW233+$AA233</f>
        <v>0</v>
      </c>
      <c r="AY233" s="52">
        <f>$AX233+$AB233</f>
        <v>0</v>
      </c>
      <c r="AZ233" s="52">
        <f>$AY233+$AC233</f>
        <v>0</v>
      </c>
      <c r="BA233" s="52">
        <f>$AZ233+$AD233</f>
        <v>0</v>
      </c>
      <c r="BB233" s="52">
        <f>$BA233+$AE233</f>
        <v>0</v>
      </c>
      <c r="BC233" s="52">
        <f>$BB233+$AF233</f>
        <v>0</v>
      </c>
      <c r="BD233" s="52">
        <f>$BC233+$AG233</f>
        <v>0</v>
      </c>
      <c r="BE233" s="52">
        <f>$BD233+$AH233</f>
        <v>0</v>
      </c>
      <c r="BF233" s="52">
        <f>$BE233+$AI233</f>
        <v>0</v>
      </c>
      <c r="BG233" s="52">
        <f>$BF233+$AJ233</f>
        <v>0</v>
      </c>
      <c r="BH233" s="52">
        <f>$BG233+$AK233</f>
        <v>0</v>
      </c>
      <c r="BI233" s="52">
        <f>$BH233+$AL233</f>
        <v>0</v>
      </c>
      <c r="BJ233" s="52">
        <f>$BI233+$AM233</f>
        <v>0</v>
      </c>
      <c r="BK233" s="52">
        <f>$BJ233+$AN233</f>
        <v>0</v>
      </c>
      <c r="BL233" s="52">
        <f>$BK233+$AO233</f>
        <v>0</v>
      </c>
      <c r="BM233" s="52">
        <f>$BL233+$AP233</f>
        <v>0</v>
      </c>
      <c r="BN233" s="52">
        <f>$BM233+$AQ233</f>
        <v>0</v>
      </c>
      <c r="BO233" s="52">
        <f>$BN233+$AR233</f>
        <v>0</v>
      </c>
      <c r="BP233" s="52">
        <f>$BO233+$AS233</f>
        <v>0</v>
      </c>
      <c r="BQ233" s="52">
        <f>SUM($T$1:$T232)</f>
        <v>11</v>
      </c>
      <c r="BR233" s="52" t="str">
        <f>IF(ISNUMBER($T233),IF($T233&gt;0,COUNTIF($T$2:$T233,"&gt;0"),""),"")</f>
        <v/>
      </c>
      <c r="BS233" s="52" t="str">
        <f>IF($BR233="","",$BQ233+$T233)</f>
        <v/>
      </c>
      <c r="BT233" s="52" t="str">
        <f>IF($U233="Ready",COUNTIF($U$2:$U233,"Ready"),"")</f>
        <v/>
      </c>
      <c r="BU233" s="52">
        <f>IF(AND($U233="Ready",$C233="Receipt"),IF(COUNTIF(Batches!$A$2:$A$301,$F233)+COUNTIFS($F$1:$F232,$F233,$C$1:$C232,"Receipt",$U$1:$U232,"Ready")=0,1,0),0)</f>
        <v>0</v>
      </c>
      <c r="BV233" s="52" t="str">
        <f>IF($BU233=1,SUM($BU$2:$BU233),"")</f>
        <v/>
      </c>
    </row>
    <row r="234">
      <c r="A234" s="46" t="n"/>
      <c r="B234" s="46" t="n"/>
      <c r="C234" s="46" t="n"/>
      <c r="D234" s="46" t="n"/>
      <c r="E234" s="46" t="n"/>
      <c r="F234" s="46" t="n"/>
      <c r="G234" s="46" t="n"/>
      <c r="H234" s="46" t="n"/>
      <c r="I234" s="46" t="n"/>
      <c r="J234" s="46" t="n"/>
      <c r="K234" s="46" t="n"/>
      <c r="L234" s="46" t="n"/>
      <c r="M234" s="62" t="str">
        <f>IF($B234="","",IF(ISNUMBER($B234),$B234,IF(AND(LEN($B234)=10,MID($B234,5,1)="-",MID($B234,8,1)="-"),IFERROR(IF(AND(MONTH(DATE(VALUE(LEFT($B234,4)),VALUE(MID($B234,6,2)),VALUE(RIGHT($B234,2))))=VALUE(MID($B234,6,2)),DAY(DATE(VALUE(LEFT($B234,4)),VALUE(MID($B234,6,2)),VALUE(RIGHT($B234,2))))=VALUE(RIGHT($B234,2))),DATE(VALUE(LEFT($B234,4)),VALUE(MID($B234,6,2)),VALUE(RIGHT($B234,2))),"ERR"),"ERR"),"ERR")))</f>
        <v/>
      </c>
      <c r="N234" s="62" t="str">
        <f>IF($G234="","",IF(ISNUMBER($G234),$G234,IF(AND(LEN($G234)=10,MID($G234,5,1)="-",MID($G234,8,1)="-"),IFERROR(IF(AND(MONTH(DATE(VALUE(LEFT($G234,4)),VALUE(MID($G234,6,2)),VALUE(RIGHT($G234,2))))=VALUE(MID($G234,6,2)),DAY(DATE(VALUE(LEFT($G234,4)),VALUE(MID($G234,6,2)),VALUE(RIGHT($G234,2))))=VALUE(RIGHT($G234,2))),DATE(VALUE(LEFT($G234,4)),VALUE(MID($G234,6,2)),VALUE(RIGHT($G234,2))),"ERR"),"ERR"),"ERR")))</f>
        <v/>
      </c>
      <c r="O234" s="51" t="str">
        <f>IF($H234="","",IF(ISNUMBER($H234),$H234,IFERROR(VALUE($H234),"ERR")))</f>
        <v/>
      </c>
      <c r="P234" s="51" t="str">
        <f>IF(AND(ISNUMBER($O234),OR($C234="Receipt",$C234="Shipment",$C234="Adjustment")),IF($C234="Shipment",-$O234,$O234),"")</f>
        <v/>
      </c>
      <c r="Q234" s="51" t="str">
        <f>IF($D234="","",IFERROR(INDEX(Products!$R$2:$R$101,MATCH($D234,Products!$A$2:$A$101,0)),""))</f>
        <v/>
      </c>
      <c r="R234" s="51" t="str">
        <f>IF(OR($Q234="",$P234=""),"",$Q234+SUMIFS($P$1:$P233,$D$1:$D233,$D234,$U$1:$U233,"Ready"))</f>
        <v/>
      </c>
      <c r="S234" s="51" t="str">
        <f>IF($R234="","",$R234+$P234)</f>
        <v/>
      </c>
      <c r="T234" s="52" t="str">
        <f>IF(COUNTA($A234:$L234)&gt;0,$BP234,"")</f>
        <v/>
      </c>
      <c r="U234" s="49" t="str">
        <f>IF($T234="","",IF($T234=0,"Ready","Rejected"))</f>
        <v/>
      </c>
      <c r="V234" s="49" t="str">
        <f>IF(OR($T234="",$T234=0),"",INDEX(Config!$D$39:$D$61,MATCH(1,$AT234:$BP234,0))&amp;IF($T234&gt;1," (+"&amp;($T234-1)&amp;" more)",""))</f>
        <v/>
      </c>
      <c r="W234" s="52">
        <f>IF(AND(COUNTA($A234:$L234)&gt;0,$A234=""),1,0)</f>
        <v>0</v>
      </c>
      <c r="X234" s="52">
        <f>IF(AND(COUNTA($A234:$L234)&gt;0,$A234&lt;&gt;""),IF(COUNTIF($A$1:$A233,$A234)&gt;0,1,0),0)</f>
        <v>0</v>
      </c>
      <c r="Y234" s="52">
        <f>IF(AND(COUNTA($A234:$L234)&gt;0,$A234&lt;&gt;""),IF(COUNTIF(Inventory_Ledger!$A$2:$A$2001,$A234)&gt;0,1,0),0)</f>
        <v>0</v>
      </c>
      <c r="Z234" s="52">
        <f>IF(AND(COUNTA($A234:$L234)&gt;0,$B234=""),1,0)</f>
        <v>0</v>
      </c>
      <c r="AA234" s="52">
        <f>IF(AND(COUNTA($A234:$L234)&gt;0,$B234&lt;&gt;""),IF($M234="ERR",1,0),0)</f>
        <v>0</v>
      </c>
      <c r="AB234" s="52">
        <f>IF(AND(COUNTA($A234:$L234)&gt;0,ISNUMBER($M234)),IF($M234&gt;Config!$B$4,1,0),0)</f>
        <v>0</v>
      </c>
      <c r="AC234" s="52">
        <f>IF(AND(COUNTA($A234:$L234)&gt;0,$C234=""),1,0)</f>
        <v>0</v>
      </c>
      <c r="AD234" s="52">
        <f>IF(AND(COUNTA($A234:$L234)&gt;0,$C234&lt;&gt;""),IF(COUNTIF(Config!$A$15:$A$34,$C234)=0,1,0),0)</f>
        <v>0</v>
      </c>
      <c r="AE234" s="52">
        <f>IF(AND(COUNTA($A234:$L234)&gt;0,$D234=""),1,0)</f>
        <v>0</v>
      </c>
      <c r="AF234" s="52">
        <f>IF(AND(COUNTA($A234:$L234)&gt;0,$D234&lt;&gt;""),IF(COUNTIF(Products!$A$2:$A$101,$D234)=0,1,0),0)</f>
        <v>0</v>
      </c>
      <c r="AG234" s="52">
        <f>IF(AND(COUNTA($A234:$L234)&gt;0,$C234="Receipt",$E234=""),1,0)</f>
        <v>0</v>
      </c>
      <c r="AH234" s="52">
        <f>IF(AND(COUNTA($A234:$L234)&gt;0,$E234&lt;&gt;""),IF(COUNTIF(Suppliers!$A$2:$A$51,$E234)=0,1,0),0)</f>
        <v>0</v>
      </c>
      <c r="AI234" s="52">
        <f>IF(AND(COUNTA($A234:$L234)&gt;0,$F234=""),1,0)</f>
        <v>0</v>
      </c>
      <c r="AJ234" s="52">
        <f>IF(AND(COUNTA($A234:$L234)&gt;0,$F234&lt;&gt;"",$D234&lt;&gt;"",OR($C234="Shipment",$C234="Adjustment")),IF($AF234=1,0,IF(COUNTIFS(Batches!$A$2:$A$301,$F234,Batches!$B$2:$B$301,$D234)+COUNTIFS($F$1:$F233,$F234,$D$1:$D233,$D234,$C$1:$C233,"Receipt")=0,1,0)),0)</f>
        <v>0</v>
      </c>
      <c r="AK234" s="52">
        <f>IF(AND(COUNTA($A234:$L234)&gt;0,$C234="Receipt",$G234=""),1,0)</f>
        <v>0</v>
      </c>
      <c r="AL234" s="52">
        <f>IF(AND(COUNTA($A234:$L234)&gt;0,$G234&lt;&gt;""),IF($N234="ERR",1,0),0)</f>
        <v>0</v>
      </c>
      <c r="AM234" s="52">
        <f>IF(AND(COUNTA($A234:$L234)&gt;0,$H234=""),1,0)</f>
        <v>0</v>
      </c>
      <c r="AN234" s="52">
        <f>IF(AND(COUNTA($A234:$L234)&gt;0,$H234&lt;&gt;""),IF($O234="ERR",1,IF(INT($O234)&lt;&gt;$O234,1,IF(AND(OR($C234="Receipt",$C234="Shipment"),$O234&lt;=0),1,IF(AND($C234="Adjustment",$O234=0),1,0)))),0)</f>
        <v>0</v>
      </c>
      <c r="AO234" s="52">
        <f>IF(AND(COUNTA($A234:$L234)&gt;0,$C234="Receipt",$I234=""),1,0)</f>
        <v>0</v>
      </c>
      <c r="AP234" s="52">
        <f>IF(AND(COUNTA($A234:$L234)&gt;0,$I234&lt;&gt;""),IF(IFERROR(INDEX(Config!$G$15:$G$34,MATCH($I234,Config!$E$15:$E$34,0)),"No")="Yes",0,1),0)</f>
        <v>0</v>
      </c>
      <c r="AQ234" s="52">
        <f>IF(AND(COUNTA($A234:$L234)&gt;0,$C234="Adjustment",$J234=""),1,0)</f>
        <v>0</v>
      </c>
      <c r="AR234" s="52">
        <f>IF(AND(COUNTA($A234:$L234)&gt;0,$L234=""),1,0)</f>
        <v>0</v>
      </c>
      <c r="AS234" s="52">
        <f>IF(AND(COUNTA($A234:$L234)&gt;0,ISNUMBER($S234)),IF($S234&lt;0,1,0),0)</f>
        <v>0</v>
      </c>
      <c r="AT234" s="52">
        <f>$W234</f>
        <v>0</v>
      </c>
      <c r="AU234" s="52">
        <f>$AT234+$X234</f>
        <v>0</v>
      </c>
      <c r="AV234" s="52">
        <f>$AU234+$Y234</f>
        <v>0</v>
      </c>
      <c r="AW234" s="52">
        <f>$AV234+$Z234</f>
        <v>0</v>
      </c>
      <c r="AX234" s="52">
        <f>$AW234+$AA234</f>
        <v>0</v>
      </c>
      <c r="AY234" s="52">
        <f>$AX234+$AB234</f>
        <v>0</v>
      </c>
      <c r="AZ234" s="52">
        <f>$AY234+$AC234</f>
        <v>0</v>
      </c>
      <c r="BA234" s="52">
        <f>$AZ234+$AD234</f>
        <v>0</v>
      </c>
      <c r="BB234" s="52">
        <f>$BA234+$AE234</f>
        <v>0</v>
      </c>
      <c r="BC234" s="52">
        <f>$BB234+$AF234</f>
        <v>0</v>
      </c>
      <c r="BD234" s="52">
        <f>$BC234+$AG234</f>
        <v>0</v>
      </c>
      <c r="BE234" s="52">
        <f>$BD234+$AH234</f>
        <v>0</v>
      </c>
      <c r="BF234" s="52">
        <f>$BE234+$AI234</f>
        <v>0</v>
      </c>
      <c r="BG234" s="52">
        <f>$BF234+$AJ234</f>
        <v>0</v>
      </c>
      <c r="BH234" s="52">
        <f>$BG234+$AK234</f>
        <v>0</v>
      </c>
      <c r="BI234" s="52">
        <f>$BH234+$AL234</f>
        <v>0</v>
      </c>
      <c r="BJ234" s="52">
        <f>$BI234+$AM234</f>
        <v>0</v>
      </c>
      <c r="BK234" s="52">
        <f>$BJ234+$AN234</f>
        <v>0</v>
      </c>
      <c r="BL234" s="52">
        <f>$BK234+$AO234</f>
        <v>0</v>
      </c>
      <c r="BM234" s="52">
        <f>$BL234+$AP234</f>
        <v>0</v>
      </c>
      <c r="BN234" s="52">
        <f>$BM234+$AQ234</f>
        <v>0</v>
      </c>
      <c r="BO234" s="52">
        <f>$BN234+$AR234</f>
        <v>0</v>
      </c>
      <c r="BP234" s="52">
        <f>$BO234+$AS234</f>
        <v>0</v>
      </c>
      <c r="BQ234" s="52">
        <f>SUM($T$1:$T233)</f>
        <v>11</v>
      </c>
      <c r="BR234" s="52" t="str">
        <f>IF(ISNUMBER($T234),IF($T234&gt;0,COUNTIF($T$2:$T234,"&gt;0"),""),"")</f>
        <v/>
      </c>
      <c r="BS234" s="52" t="str">
        <f>IF($BR234="","",$BQ234+$T234)</f>
        <v/>
      </c>
      <c r="BT234" s="52" t="str">
        <f>IF($U234="Ready",COUNTIF($U$2:$U234,"Ready"),"")</f>
        <v/>
      </c>
      <c r="BU234" s="52">
        <f>IF(AND($U234="Ready",$C234="Receipt"),IF(COUNTIF(Batches!$A$2:$A$301,$F234)+COUNTIFS($F$1:$F233,$F234,$C$1:$C233,"Receipt",$U$1:$U233,"Ready")=0,1,0),0)</f>
        <v>0</v>
      </c>
      <c r="BV234" s="52" t="str">
        <f>IF($BU234=1,SUM($BU$2:$BU234),"")</f>
        <v/>
      </c>
    </row>
    <row r="235">
      <c r="A235" s="46" t="n"/>
      <c r="B235" s="46" t="n"/>
      <c r="C235" s="46" t="n"/>
      <c r="D235" s="46" t="n"/>
      <c r="E235" s="46" t="n"/>
      <c r="F235" s="46" t="n"/>
      <c r="G235" s="46" t="n"/>
      <c r="H235" s="46" t="n"/>
      <c r="I235" s="46" t="n"/>
      <c r="J235" s="46" t="n"/>
      <c r="K235" s="46" t="n"/>
      <c r="L235" s="46" t="n"/>
      <c r="M235" s="62" t="str">
        <f>IF($B235="","",IF(ISNUMBER($B235),$B235,IF(AND(LEN($B235)=10,MID($B235,5,1)="-",MID($B235,8,1)="-"),IFERROR(IF(AND(MONTH(DATE(VALUE(LEFT($B235,4)),VALUE(MID($B235,6,2)),VALUE(RIGHT($B235,2))))=VALUE(MID($B235,6,2)),DAY(DATE(VALUE(LEFT($B235,4)),VALUE(MID($B235,6,2)),VALUE(RIGHT($B235,2))))=VALUE(RIGHT($B235,2))),DATE(VALUE(LEFT($B235,4)),VALUE(MID($B235,6,2)),VALUE(RIGHT($B235,2))),"ERR"),"ERR"),"ERR")))</f>
        <v/>
      </c>
      <c r="N235" s="62" t="str">
        <f>IF($G235="","",IF(ISNUMBER($G235),$G235,IF(AND(LEN($G235)=10,MID($G235,5,1)="-",MID($G235,8,1)="-"),IFERROR(IF(AND(MONTH(DATE(VALUE(LEFT($G235,4)),VALUE(MID($G235,6,2)),VALUE(RIGHT($G235,2))))=VALUE(MID($G235,6,2)),DAY(DATE(VALUE(LEFT($G235,4)),VALUE(MID($G235,6,2)),VALUE(RIGHT($G235,2))))=VALUE(RIGHT($G235,2))),DATE(VALUE(LEFT($G235,4)),VALUE(MID($G235,6,2)),VALUE(RIGHT($G235,2))),"ERR"),"ERR"),"ERR")))</f>
        <v/>
      </c>
      <c r="O235" s="51" t="str">
        <f>IF($H235="","",IF(ISNUMBER($H235),$H235,IFERROR(VALUE($H235),"ERR")))</f>
        <v/>
      </c>
      <c r="P235" s="51" t="str">
        <f>IF(AND(ISNUMBER($O235),OR($C235="Receipt",$C235="Shipment",$C235="Adjustment")),IF($C235="Shipment",-$O235,$O235),"")</f>
        <v/>
      </c>
      <c r="Q235" s="51" t="str">
        <f>IF($D235="","",IFERROR(INDEX(Products!$R$2:$R$101,MATCH($D235,Products!$A$2:$A$101,0)),""))</f>
        <v/>
      </c>
      <c r="R235" s="51" t="str">
        <f>IF(OR($Q235="",$P235=""),"",$Q235+SUMIFS($P$1:$P234,$D$1:$D234,$D235,$U$1:$U234,"Ready"))</f>
        <v/>
      </c>
      <c r="S235" s="51" t="str">
        <f>IF($R235="","",$R235+$P235)</f>
        <v/>
      </c>
      <c r="T235" s="52" t="str">
        <f>IF(COUNTA($A235:$L235)&gt;0,$BP235,"")</f>
        <v/>
      </c>
      <c r="U235" s="49" t="str">
        <f>IF($T235="","",IF($T235=0,"Ready","Rejected"))</f>
        <v/>
      </c>
      <c r="V235" s="49" t="str">
        <f>IF(OR($T235="",$T235=0),"",INDEX(Config!$D$39:$D$61,MATCH(1,$AT235:$BP235,0))&amp;IF($T235&gt;1," (+"&amp;($T235-1)&amp;" more)",""))</f>
        <v/>
      </c>
      <c r="W235" s="52">
        <f>IF(AND(COUNTA($A235:$L235)&gt;0,$A235=""),1,0)</f>
        <v>0</v>
      </c>
      <c r="X235" s="52">
        <f>IF(AND(COUNTA($A235:$L235)&gt;0,$A235&lt;&gt;""),IF(COUNTIF($A$1:$A234,$A235)&gt;0,1,0),0)</f>
        <v>0</v>
      </c>
      <c r="Y235" s="52">
        <f>IF(AND(COUNTA($A235:$L235)&gt;0,$A235&lt;&gt;""),IF(COUNTIF(Inventory_Ledger!$A$2:$A$2001,$A235)&gt;0,1,0),0)</f>
        <v>0</v>
      </c>
      <c r="Z235" s="52">
        <f>IF(AND(COUNTA($A235:$L235)&gt;0,$B235=""),1,0)</f>
        <v>0</v>
      </c>
      <c r="AA235" s="52">
        <f>IF(AND(COUNTA($A235:$L235)&gt;0,$B235&lt;&gt;""),IF($M235="ERR",1,0),0)</f>
        <v>0</v>
      </c>
      <c r="AB235" s="52">
        <f>IF(AND(COUNTA($A235:$L235)&gt;0,ISNUMBER($M235)),IF($M235&gt;Config!$B$4,1,0),0)</f>
        <v>0</v>
      </c>
      <c r="AC235" s="52">
        <f>IF(AND(COUNTA($A235:$L235)&gt;0,$C235=""),1,0)</f>
        <v>0</v>
      </c>
      <c r="AD235" s="52">
        <f>IF(AND(COUNTA($A235:$L235)&gt;0,$C235&lt;&gt;""),IF(COUNTIF(Config!$A$15:$A$34,$C235)=0,1,0),0)</f>
        <v>0</v>
      </c>
      <c r="AE235" s="52">
        <f>IF(AND(COUNTA($A235:$L235)&gt;0,$D235=""),1,0)</f>
        <v>0</v>
      </c>
      <c r="AF235" s="52">
        <f>IF(AND(COUNTA($A235:$L235)&gt;0,$D235&lt;&gt;""),IF(COUNTIF(Products!$A$2:$A$101,$D235)=0,1,0),0)</f>
        <v>0</v>
      </c>
      <c r="AG235" s="52">
        <f>IF(AND(COUNTA($A235:$L235)&gt;0,$C235="Receipt",$E235=""),1,0)</f>
        <v>0</v>
      </c>
      <c r="AH235" s="52">
        <f>IF(AND(COUNTA($A235:$L235)&gt;0,$E235&lt;&gt;""),IF(COUNTIF(Suppliers!$A$2:$A$51,$E235)=0,1,0),0)</f>
        <v>0</v>
      </c>
      <c r="AI235" s="52">
        <f>IF(AND(COUNTA($A235:$L235)&gt;0,$F235=""),1,0)</f>
        <v>0</v>
      </c>
      <c r="AJ235" s="52">
        <f>IF(AND(COUNTA($A235:$L235)&gt;0,$F235&lt;&gt;"",$D235&lt;&gt;"",OR($C235="Shipment",$C235="Adjustment")),IF($AF235=1,0,IF(COUNTIFS(Batches!$A$2:$A$301,$F235,Batches!$B$2:$B$301,$D235)+COUNTIFS($F$1:$F234,$F235,$D$1:$D234,$D235,$C$1:$C234,"Receipt")=0,1,0)),0)</f>
        <v>0</v>
      </c>
      <c r="AK235" s="52">
        <f>IF(AND(COUNTA($A235:$L235)&gt;0,$C235="Receipt",$G235=""),1,0)</f>
        <v>0</v>
      </c>
      <c r="AL235" s="52">
        <f>IF(AND(COUNTA($A235:$L235)&gt;0,$G235&lt;&gt;""),IF($N235="ERR",1,0),0)</f>
        <v>0</v>
      </c>
      <c r="AM235" s="52">
        <f>IF(AND(COUNTA($A235:$L235)&gt;0,$H235=""),1,0)</f>
        <v>0</v>
      </c>
      <c r="AN235" s="52">
        <f>IF(AND(COUNTA($A235:$L235)&gt;0,$H235&lt;&gt;""),IF($O235="ERR",1,IF(INT($O235)&lt;&gt;$O235,1,IF(AND(OR($C235="Receipt",$C235="Shipment"),$O235&lt;=0),1,IF(AND($C235="Adjustment",$O235=0),1,0)))),0)</f>
        <v>0</v>
      </c>
      <c r="AO235" s="52">
        <f>IF(AND(COUNTA($A235:$L235)&gt;0,$C235="Receipt",$I235=""),1,0)</f>
        <v>0</v>
      </c>
      <c r="AP235" s="52">
        <f>IF(AND(COUNTA($A235:$L235)&gt;0,$I235&lt;&gt;""),IF(IFERROR(INDEX(Config!$G$15:$G$34,MATCH($I235,Config!$E$15:$E$34,0)),"No")="Yes",0,1),0)</f>
        <v>0</v>
      </c>
      <c r="AQ235" s="52">
        <f>IF(AND(COUNTA($A235:$L235)&gt;0,$C235="Adjustment",$J235=""),1,0)</f>
        <v>0</v>
      </c>
      <c r="AR235" s="52">
        <f>IF(AND(COUNTA($A235:$L235)&gt;0,$L235=""),1,0)</f>
        <v>0</v>
      </c>
      <c r="AS235" s="52">
        <f>IF(AND(COUNTA($A235:$L235)&gt;0,ISNUMBER($S235)),IF($S235&lt;0,1,0),0)</f>
        <v>0</v>
      </c>
      <c r="AT235" s="52">
        <f>$W235</f>
        <v>0</v>
      </c>
      <c r="AU235" s="52">
        <f>$AT235+$X235</f>
        <v>0</v>
      </c>
      <c r="AV235" s="52">
        <f>$AU235+$Y235</f>
        <v>0</v>
      </c>
      <c r="AW235" s="52">
        <f>$AV235+$Z235</f>
        <v>0</v>
      </c>
      <c r="AX235" s="52">
        <f>$AW235+$AA235</f>
        <v>0</v>
      </c>
      <c r="AY235" s="52">
        <f>$AX235+$AB235</f>
        <v>0</v>
      </c>
      <c r="AZ235" s="52">
        <f>$AY235+$AC235</f>
        <v>0</v>
      </c>
      <c r="BA235" s="52">
        <f>$AZ235+$AD235</f>
        <v>0</v>
      </c>
      <c r="BB235" s="52">
        <f>$BA235+$AE235</f>
        <v>0</v>
      </c>
      <c r="BC235" s="52">
        <f>$BB235+$AF235</f>
        <v>0</v>
      </c>
      <c r="BD235" s="52">
        <f>$BC235+$AG235</f>
        <v>0</v>
      </c>
      <c r="BE235" s="52">
        <f>$BD235+$AH235</f>
        <v>0</v>
      </c>
      <c r="BF235" s="52">
        <f>$BE235+$AI235</f>
        <v>0</v>
      </c>
      <c r="BG235" s="52">
        <f>$BF235+$AJ235</f>
        <v>0</v>
      </c>
      <c r="BH235" s="52">
        <f>$BG235+$AK235</f>
        <v>0</v>
      </c>
      <c r="BI235" s="52">
        <f>$BH235+$AL235</f>
        <v>0</v>
      </c>
      <c r="BJ235" s="52">
        <f>$BI235+$AM235</f>
        <v>0</v>
      </c>
      <c r="BK235" s="52">
        <f>$BJ235+$AN235</f>
        <v>0</v>
      </c>
      <c r="BL235" s="52">
        <f>$BK235+$AO235</f>
        <v>0</v>
      </c>
      <c r="BM235" s="52">
        <f>$BL235+$AP235</f>
        <v>0</v>
      </c>
      <c r="BN235" s="52">
        <f>$BM235+$AQ235</f>
        <v>0</v>
      </c>
      <c r="BO235" s="52">
        <f>$BN235+$AR235</f>
        <v>0</v>
      </c>
      <c r="BP235" s="52">
        <f>$BO235+$AS235</f>
        <v>0</v>
      </c>
      <c r="BQ235" s="52">
        <f>SUM($T$1:$T234)</f>
        <v>11</v>
      </c>
      <c r="BR235" s="52" t="str">
        <f>IF(ISNUMBER($T235),IF($T235&gt;0,COUNTIF($T$2:$T235,"&gt;0"),""),"")</f>
        <v/>
      </c>
      <c r="BS235" s="52" t="str">
        <f>IF($BR235="","",$BQ235+$T235)</f>
        <v/>
      </c>
      <c r="BT235" s="52" t="str">
        <f>IF($U235="Ready",COUNTIF($U$2:$U235,"Ready"),"")</f>
        <v/>
      </c>
      <c r="BU235" s="52">
        <f>IF(AND($U235="Ready",$C235="Receipt"),IF(COUNTIF(Batches!$A$2:$A$301,$F235)+COUNTIFS($F$1:$F234,$F235,$C$1:$C234,"Receipt",$U$1:$U234,"Ready")=0,1,0),0)</f>
        <v>0</v>
      </c>
      <c r="BV235" s="52" t="str">
        <f>IF($BU235=1,SUM($BU$2:$BU235),"")</f>
        <v/>
      </c>
    </row>
    <row r="236">
      <c r="A236" s="46" t="n"/>
      <c r="B236" s="46" t="n"/>
      <c r="C236" s="46" t="n"/>
      <c r="D236" s="46" t="n"/>
      <c r="E236" s="46" t="n"/>
      <c r="F236" s="46" t="n"/>
      <c r="G236" s="46" t="n"/>
      <c r="H236" s="46" t="n"/>
      <c r="I236" s="46" t="n"/>
      <c r="J236" s="46" t="n"/>
      <c r="K236" s="46" t="n"/>
      <c r="L236" s="46" t="n"/>
      <c r="M236" s="62" t="str">
        <f>IF($B236="","",IF(ISNUMBER($B236),$B236,IF(AND(LEN($B236)=10,MID($B236,5,1)="-",MID($B236,8,1)="-"),IFERROR(IF(AND(MONTH(DATE(VALUE(LEFT($B236,4)),VALUE(MID($B236,6,2)),VALUE(RIGHT($B236,2))))=VALUE(MID($B236,6,2)),DAY(DATE(VALUE(LEFT($B236,4)),VALUE(MID($B236,6,2)),VALUE(RIGHT($B236,2))))=VALUE(RIGHT($B236,2))),DATE(VALUE(LEFT($B236,4)),VALUE(MID($B236,6,2)),VALUE(RIGHT($B236,2))),"ERR"),"ERR"),"ERR")))</f>
        <v/>
      </c>
      <c r="N236" s="62" t="str">
        <f>IF($G236="","",IF(ISNUMBER($G236),$G236,IF(AND(LEN($G236)=10,MID($G236,5,1)="-",MID($G236,8,1)="-"),IFERROR(IF(AND(MONTH(DATE(VALUE(LEFT($G236,4)),VALUE(MID($G236,6,2)),VALUE(RIGHT($G236,2))))=VALUE(MID($G236,6,2)),DAY(DATE(VALUE(LEFT($G236,4)),VALUE(MID($G236,6,2)),VALUE(RIGHT($G236,2))))=VALUE(RIGHT($G236,2))),DATE(VALUE(LEFT($G236,4)),VALUE(MID($G236,6,2)),VALUE(RIGHT($G236,2))),"ERR"),"ERR"),"ERR")))</f>
        <v/>
      </c>
      <c r="O236" s="51" t="str">
        <f>IF($H236="","",IF(ISNUMBER($H236),$H236,IFERROR(VALUE($H236),"ERR")))</f>
        <v/>
      </c>
      <c r="P236" s="51" t="str">
        <f>IF(AND(ISNUMBER($O236),OR($C236="Receipt",$C236="Shipment",$C236="Adjustment")),IF($C236="Shipment",-$O236,$O236),"")</f>
        <v/>
      </c>
      <c r="Q236" s="51" t="str">
        <f>IF($D236="","",IFERROR(INDEX(Products!$R$2:$R$101,MATCH($D236,Products!$A$2:$A$101,0)),""))</f>
        <v/>
      </c>
      <c r="R236" s="51" t="str">
        <f>IF(OR($Q236="",$P236=""),"",$Q236+SUMIFS($P$1:$P235,$D$1:$D235,$D236,$U$1:$U235,"Ready"))</f>
        <v/>
      </c>
      <c r="S236" s="51" t="str">
        <f>IF($R236="","",$R236+$P236)</f>
        <v/>
      </c>
      <c r="T236" s="52" t="str">
        <f>IF(COUNTA($A236:$L236)&gt;0,$BP236,"")</f>
        <v/>
      </c>
      <c r="U236" s="49" t="str">
        <f>IF($T236="","",IF($T236=0,"Ready","Rejected"))</f>
        <v/>
      </c>
      <c r="V236" s="49" t="str">
        <f>IF(OR($T236="",$T236=0),"",INDEX(Config!$D$39:$D$61,MATCH(1,$AT236:$BP236,0))&amp;IF($T236&gt;1," (+"&amp;($T236-1)&amp;" more)",""))</f>
        <v/>
      </c>
      <c r="W236" s="52">
        <f>IF(AND(COUNTA($A236:$L236)&gt;0,$A236=""),1,0)</f>
        <v>0</v>
      </c>
      <c r="X236" s="52">
        <f>IF(AND(COUNTA($A236:$L236)&gt;0,$A236&lt;&gt;""),IF(COUNTIF($A$1:$A235,$A236)&gt;0,1,0),0)</f>
        <v>0</v>
      </c>
      <c r="Y236" s="52">
        <f>IF(AND(COUNTA($A236:$L236)&gt;0,$A236&lt;&gt;""),IF(COUNTIF(Inventory_Ledger!$A$2:$A$2001,$A236)&gt;0,1,0),0)</f>
        <v>0</v>
      </c>
      <c r="Z236" s="52">
        <f>IF(AND(COUNTA($A236:$L236)&gt;0,$B236=""),1,0)</f>
        <v>0</v>
      </c>
      <c r="AA236" s="52">
        <f>IF(AND(COUNTA($A236:$L236)&gt;0,$B236&lt;&gt;""),IF($M236="ERR",1,0),0)</f>
        <v>0</v>
      </c>
      <c r="AB236" s="52">
        <f>IF(AND(COUNTA($A236:$L236)&gt;0,ISNUMBER($M236)),IF($M236&gt;Config!$B$4,1,0),0)</f>
        <v>0</v>
      </c>
      <c r="AC236" s="52">
        <f>IF(AND(COUNTA($A236:$L236)&gt;0,$C236=""),1,0)</f>
        <v>0</v>
      </c>
      <c r="AD236" s="52">
        <f>IF(AND(COUNTA($A236:$L236)&gt;0,$C236&lt;&gt;""),IF(COUNTIF(Config!$A$15:$A$34,$C236)=0,1,0),0)</f>
        <v>0</v>
      </c>
      <c r="AE236" s="52">
        <f>IF(AND(COUNTA($A236:$L236)&gt;0,$D236=""),1,0)</f>
        <v>0</v>
      </c>
      <c r="AF236" s="52">
        <f>IF(AND(COUNTA($A236:$L236)&gt;0,$D236&lt;&gt;""),IF(COUNTIF(Products!$A$2:$A$101,$D236)=0,1,0),0)</f>
        <v>0</v>
      </c>
      <c r="AG236" s="52">
        <f>IF(AND(COUNTA($A236:$L236)&gt;0,$C236="Receipt",$E236=""),1,0)</f>
        <v>0</v>
      </c>
      <c r="AH236" s="52">
        <f>IF(AND(COUNTA($A236:$L236)&gt;0,$E236&lt;&gt;""),IF(COUNTIF(Suppliers!$A$2:$A$51,$E236)=0,1,0),0)</f>
        <v>0</v>
      </c>
      <c r="AI236" s="52">
        <f>IF(AND(COUNTA($A236:$L236)&gt;0,$F236=""),1,0)</f>
        <v>0</v>
      </c>
      <c r="AJ236" s="52">
        <f>IF(AND(COUNTA($A236:$L236)&gt;0,$F236&lt;&gt;"",$D236&lt;&gt;"",OR($C236="Shipment",$C236="Adjustment")),IF($AF236=1,0,IF(COUNTIFS(Batches!$A$2:$A$301,$F236,Batches!$B$2:$B$301,$D236)+COUNTIFS($F$1:$F235,$F236,$D$1:$D235,$D236,$C$1:$C235,"Receipt")=0,1,0)),0)</f>
        <v>0</v>
      </c>
      <c r="AK236" s="52">
        <f>IF(AND(COUNTA($A236:$L236)&gt;0,$C236="Receipt",$G236=""),1,0)</f>
        <v>0</v>
      </c>
      <c r="AL236" s="52">
        <f>IF(AND(COUNTA($A236:$L236)&gt;0,$G236&lt;&gt;""),IF($N236="ERR",1,0),0)</f>
        <v>0</v>
      </c>
      <c r="AM236" s="52">
        <f>IF(AND(COUNTA($A236:$L236)&gt;0,$H236=""),1,0)</f>
        <v>0</v>
      </c>
      <c r="AN236" s="52">
        <f>IF(AND(COUNTA($A236:$L236)&gt;0,$H236&lt;&gt;""),IF($O236="ERR",1,IF(INT($O236)&lt;&gt;$O236,1,IF(AND(OR($C236="Receipt",$C236="Shipment"),$O236&lt;=0),1,IF(AND($C236="Adjustment",$O236=0),1,0)))),0)</f>
        <v>0</v>
      </c>
      <c r="AO236" s="52">
        <f>IF(AND(COUNTA($A236:$L236)&gt;0,$C236="Receipt",$I236=""),1,0)</f>
        <v>0</v>
      </c>
      <c r="AP236" s="52">
        <f>IF(AND(COUNTA($A236:$L236)&gt;0,$I236&lt;&gt;""),IF(IFERROR(INDEX(Config!$G$15:$G$34,MATCH($I236,Config!$E$15:$E$34,0)),"No")="Yes",0,1),0)</f>
        <v>0</v>
      </c>
      <c r="AQ236" s="52">
        <f>IF(AND(COUNTA($A236:$L236)&gt;0,$C236="Adjustment",$J236=""),1,0)</f>
        <v>0</v>
      </c>
      <c r="AR236" s="52">
        <f>IF(AND(COUNTA($A236:$L236)&gt;0,$L236=""),1,0)</f>
        <v>0</v>
      </c>
      <c r="AS236" s="52">
        <f>IF(AND(COUNTA($A236:$L236)&gt;0,ISNUMBER($S236)),IF($S236&lt;0,1,0),0)</f>
        <v>0</v>
      </c>
      <c r="AT236" s="52">
        <f>$W236</f>
        <v>0</v>
      </c>
      <c r="AU236" s="52">
        <f>$AT236+$X236</f>
        <v>0</v>
      </c>
      <c r="AV236" s="52">
        <f>$AU236+$Y236</f>
        <v>0</v>
      </c>
      <c r="AW236" s="52">
        <f>$AV236+$Z236</f>
        <v>0</v>
      </c>
      <c r="AX236" s="52">
        <f>$AW236+$AA236</f>
        <v>0</v>
      </c>
      <c r="AY236" s="52">
        <f>$AX236+$AB236</f>
        <v>0</v>
      </c>
      <c r="AZ236" s="52">
        <f>$AY236+$AC236</f>
        <v>0</v>
      </c>
      <c r="BA236" s="52">
        <f>$AZ236+$AD236</f>
        <v>0</v>
      </c>
      <c r="BB236" s="52">
        <f>$BA236+$AE236</f>
        <v>0</v>
      </c>
      <c r="BC236" s="52">
        <f>$BB236+$AF236</f>
        <v>0</v>
      </c>
      <c r="BD236" s="52">
        <f>$BC236+$AG236</f>
        <v>0</v>
      </c>
      <c r="BE236" s="52">
        <f>$BD236+$AH236</f>
        <v>0</v>
      </c>
      <c r="BF236" s="52">
        <f>$BE236+$AI236</f>
        <v>0</v>
      </c>
      <c r="BG236" s="52">
        <f>$BF236+$AJ236</f>
        <v>0</v>
      </c>
      <c r="BH236" s="52">
        <f>$BG236+$AK236</f>
        <v>0</v>
      </c>
      <c r="BI236" s="52">
        <f>$BH236+$AL236</f>
        <v>0</v>
      </c>
      <c r="BJ236" s="52">
        <f>$BI236+$AM236</f>
        <v>0</v>
      </c>
      <c r="BK236" s="52">
        <f>$BJ236+$AN236</f>
        <v>0</v>
      </c>
      <c r="BL236" s="52">
        <f>$BK236+$AO236</f>
        <v>0</v>
      </c>
      <c r="BM236" s="52">
        <f>$BL236+$AP236</f>
        <v>0</v>
      </c>
      <c r="BN236" s="52">
        <f>$BM236+$AQ236</f>
        <v>0</v>
      </c>
      <c r="BO236" s="52">
        <f>$BN236+$AR236</f>
        <v>0</v>
      </c>
      <c r="BP236" s="52">
        <f>$BO236+$AS236</f>
        <v>0</v>
      </c>
      <c r="BQ236" s="52">
        <f>SUM($T$1:$T235)</f>
        <v>11</v>
      </c>
      <c r="BR236" s="52" t="str">
        <f>IF(ISNUMBER($T236),IF($T236&gt;0,COUNTIF($T$2:$T236,"&gt;0"),""),"")</f>
        <v/>
      </c>
      <c r="BS236" s="52" t="str">
        <f>IF($BR236="","",$BQ236+$T236)</f>
        <v/>
      </c>
      <c r="BT236" s="52" t="str">
        <f>IF($U236="Ready",COUNTIF($U$2:$U236,"Ready"),"")</f>
        <v/>
      </c>
      <c r="BU236" s="52">
        <f>IF(AND($U236="Ready",$C236="Receipt"),IF(COUNTIF(Batches!$A$2:$A$301,$F236)+COUNTIFS($F$1:$F235,$F236,$C$1:$C235,"Receipt",$U$1:$U235,"Ready")=0,1,0),0)</f>
        <v>0</v>
      </c>
      <c r="BV236" s="52" t="str">
        <f>IF($BU236=1,SUM($BU$2:$BU236),"")</f>
        <v/>
      </c>
    </row>
    <row r="237">
      <c r="A237" s="46" t="n"/>
      <c r="B237" s="46" t="n"/>
      <c r="C237" s="46" t="n"/>
      <c r="D237" s="46" t="n"/>
      <c r="E237" s="46" t="n"/>
      <c r="F237" s="46" t="n"/>
      <c r="G237" s="46" t="n"/>
      <c r="H237" s="46" t="n"/>
      <c r="I237" s="46" t="n"/>
      <c r="J237" s="46" t="n"/>
      <c r="K237" s="46" t="n"/>
      <c r="L237" s="46" t="n"/>
      <c r="M237" s="62" t="str">
        <f>IF($B237="","",IF(ISNUMBER($B237),$B237,IF(AND(LEN($B237)=10,MID($B237,5,1)="-",MID($B237,8,1)="-"),IFERROR(IF(AND(MONTH(DATE(VALUE(LEFT($B237,4)),VALUE(MID($B237,6,2)),VALUE(RIGHT($B237,2))))=VALUE(MID($B237,6,2)),DAY(DATE(VALUE(LEFT($B237,4)),VALUE(MID($B237,6,2)),VALUE(RIGHT($B237,2))))=VALUE(RIGHT($B237,2))),DATE(VALUE(LEFT($B237,4)),VALUE(MID($B237,6,2)),VALUE(RIGHT($B237,2))),"ERR"),"ERR"),"ERR")))</f>
        <v/>
      </c>
      <c r="N237" s="62" t="str">
        <f>IF($G237="","",IF(ISNUMBER($G237),$G237,IF(AND(LEN($G237)=10,MID($G237,5,1)="-",MID($G237,8,1)="-"),IFERROR(IF(AND(MONTH(DATE(VALUE(LEFT($G237,4)),VALUE(MID($G237,6,2)),VALUE(RIGHT($G237,2))))=VALUE(MID($G237,6,2)),DAY(DATE(VALUE(LEFT($G237,4)),VALUE(MID($G237,6,2)),VALUE(RIGHT($G237,2))))=VALUE(RIGHT($G237,2))),DATE(VALUE(LEFT($G237,4)),VALUE(MID($G237,6,2)),VALUE(RIGHT($G237,2))),"ERR"),"ERR"),"ERR")))</f>
        <v/>
      </c>
      <c r="O237" s="51" t="str">
        <f>IF($H237="","",IF(ISNUMBER($H237),$H237,IFERROR(VALUE($H237),"ERR")))</f>
        <v/>
      </c>
      <c r="P237" s="51" t="str">
        <f>IF(AND(ISNUMBER($O237),OR($C237="Receipt",$C237="Shipment",$C237="Adjustment")),IF($C237="Shipment",-$O237,$O237),"")</f>
        <v/>
      </c>
      <c r="Q237" s="51" t="str">
        <f>IF($D237="","",IFERROR(INDEX(Products!$R$2:$R$101,MATCH($D237,Products!$A$2:$A$101,0)),""))</f>
        <v/>
      </c>
      <c r="R237" s="51" t="str">
        <f>IF(OR($Q237="",$P237=""),"",$Q237+SUMIFS($P$1:$P236,$D$1:$D236,$D237,$U$1:$U236,"Ready"))</f>
        <v/>
      </c>
      <c r="S237" s="51" t="str">
        <f>IF($R237="","",$R237+$P237)</f>
        <v/>
      </c>
      <c r="T237" s="52" t="str">
        <f>IF(COUNTA($A237:$L237)&gt;0,$BP237,"")</f>
        <v/>
      </c>
      <c r="U237" s="49" t="str">
        <f>IF($T237="","",IF($T237=0,"Ready","Rejected"))</f>
        <v/>
      </c>
      <c r="V237" s="49" t="str">
        <f>IF(OR($T237="",$T237=0),"",INDEX(Config!$D$39:$D$61,MATCH(1,$AT237:$BP237,0))&amp;IF($T237&gt;1," (+"&amp;($T237-1)&amp;" more)",""))</f>
        <v/>
      </c>
      <c r="W237" s="52">
        <f>IF(AND(COUNTA($A237:$L237)&gt;0,$A237=""),1,0)</f>
        <v>0</v>
      </c>
      <c r="X237" s="52">
        <f>IF(AND(COUNTA($A237:$L237)&gt;0,$A237&lt;&gt;""),IF(COUNTIF($A$1:$A236,$A237)&gt;0,1,0),0)</f>
        <v>0</v>
      </c>
      <c r="Y237" s="52">
        <f>IF(AND(COUNTA($A237:$L237)&gt;0,$A237&lt;&gt;""),IF(COUNTIF(Inventory_Ledger!$A$2:$A$2001,$A237)&gt;0,1,0),0)</f>
        <v>0</v>
      </c>
      <c r="Z237" s="52">
        <f>IF(AND(COUNTA($A237:$L237)&gt;0,$B237=""),1,0)</f>
        <v>0</v>
      </c>
      <c r="AA237" s="52">
        <f>IF(AND(COUNTA($A237:$L237)&gt;0,$B237&lt;&gt;""),IF($M237="ERR",1,0),0)</f>
        <v>0</v>
      </c>
      <c r="AB237" s="52">
        <f>IF(AND(COUNTA($A237:$L237)&gt;0,ISNUMBER($M237)),IF($M237&gt;Config!$B$4,1,0),0)</f>
        <v>0</v>
      </c>
      <c r="AC237" s="52">
        <f>IF(AND(COUNTA($A237:$L237)&gt;0,$C237=""),1,0)</f>
        <v>0</v>
      </c>
      <c r="AD237" s="52">
        <f>IF(AND(COUNTA($A237:$L237)&gt;0,$C237&lt;&gt;""),IF(COUNTIF(Config!$A$15:$A$34,$C237)=0,1,0),0)</f>
        <v>0</v>
      </c>
      <c r="AE237" s="52">
        <f>IF(AND(COUNTA($A237:$L237)&gt;0,$D237=""),1,0)</f>
        <v>0</v>
      </c>
      <c r="AF237" s="52">
        <f>IF(AND(COUNTA($A237:$L237)&gt;0,$D237&lt;&gt;""),IF(COUNTIF(Products!$A$2:$A$101,$D237)=0,1,0),0)</f>
        <v>0</v>
      </c>
      <c r="AG237" s="52">
        <f>IF(AND(COUNTA($A237:$L237)&gt;0,$C237="Receipt",$E237=""),1,0)</f>
        <v>0</v>
      </c>
      <c r="AH237" s="52">
        <f>IF(AND(COUNTA($A237:$L237)&gt;0,$E237&lt;&gt;""),IF(COUNTIF(Suppliers!$A$2:$A$51,$E237)=0,1,0),0)</f>
        <v>0</v>
      </c>
      <c r="AI237" s="52">
        <f>IF(AND(COUNTA($A237:$L237)&gt;0,$F237=""),1,0)</f>
        <v>0</v>
      </c>
      <c r="AJ237" s="52">
        <f>IF(AND(COUNTA($A237:$L237)&gt;0,$F237&lt;&gt;"",$D237&lt;&gt;"",OR($C237="Shipment",$C237="Adjustment")),IF($AF237=1,0,IF(COUNTIFS(Batches!$A$2:$A$301,$F237,Batches!$B$2:$B$301,$D237)+COUNTIFS($F$1:$F236,$F237,$D$1:$D236,$D237,$C$1:$C236,"Receipt")=0,1,0)),0)</f>
        <v>0</v>
      </c>
      <c r="AK237" s="52">
        <f>IF(AND(COUNTA($A237:$L237)&gt;0,$C237="Receipt",$G237=""),1,0)</f>
        <v>0</v>
      </c>
      <c r="AL237" s="52">
        <f>IF(AND(COUNTA($A237:$L237)&gt;0,$G237&lt;&gt;""),IF($N237="ERR",1,0),0)</f>
        <v>0</v>
      </c>
      <c r="AM237" s="52">
        <f>IF(AND(COUNTA($A237:$L237)&gt;0,$H237=""),1,0)</f>
        <v>0</v>
      </c>
      <c r="AN237" s="52">
        <f>IF(AND(COUNTA($A237:$L237)&gt;0,$H237&lt;&gt;""),IF($O237="ERR",1,IF(INT($O237)&lt;&gt;$O237,1,IF(AND(OR($C237="Receipt",$C237="Shipment"),$O237&lt;=0),1,IF(AND($C237="Adjustment",$O237=0),1,0)))),0)</f>
        <v>0</v>
      </c>
      <c r="AO237" s="52">
        <f>IF(AND(COUNTA($A237:$L237)&gt;0,$C237="Receipt",$I237=""),1,0)</f>
        <v>0</v>
      </c>
      <c r="AP237" s="52">
        <f>IF(AND(COUNTA($A237:$L237)&gt;0,$I237&lt;&gt;""),IF(IFERROR(INDEX(Config!$G$15:$G$34,MATCH($I237,Config!$E$15:$E$34,0)),"No")="Yes",0,1),0)</f>
        <v>0</v>
      </c>
      <c r="AQ237" s="52">
        <f>IF(AND(COUNTA($A237:$L237)&gt;0,$C237="Adjustment",$J237=""),1,0)</f>
        <v>0</v>
      </c>
      <c r="AR237" s="52">
        <f>IF(AND(COUNTA($A237:$L237)&gt;0,$L237=""),1,0)</f>
        <v>0</v>
      </c>
      <c r="AS237" s="52">
        <f>IF(AND(COUNTA($A237:$L237)&gt;0,ISNUMBER($S237)),IF($S237&lt;0,1,0),0)</f>
        <v>0</v>
      </c>
      <c r="AT237" s="52">
        <f>$W237</f>
        <v>0</v>
      </c>
      <c r="AU237" s="52">
        <f>$AT237+$X237</f>
        <v>0</v>
      </c>
      <c r="AV237" s="52">
        <f>$AU237+$Y237</f>
        <v>0</v>
      </c>
      <c r="AW237" s="52">
        <f>$AV237+$Z237</f>
        <v>0</v>
      </c>
      <c r="AX237" s="52">
        <f>$AW237+$AA237</f>
        <v>0</v>
      </c>
      <c r="AY237" s="52">
        <f>$AX237+$AB237</f>
        <v>0</v>
      </c>
      <c r="AZ237" s="52">
        <f>$AY237+$AC237</f>
        <v>0</v>
      </c>
      <c r="BA237" s="52">
        <f>$AZ237+$AD237</f>
        <v>0</v>
      </c>
      <c r="BB237" s="52">
        <f>$BA237+$AE237</f>
        <v>0</v>
      </c>
      <c r="BC237" s="52">
        <f>$BB237+$AF237</f>
        <v>0</v>
      </c>
      <c r="BD237" s="52">
        <f>$BC237+$AG237</f>
        <v>0</v>
      </c>
      <c r="BE237" s="52">
        <f>$BD237+$AH237</f>
        <v>0</v>
      </c>
      <c r="BF237" s="52">
        <f>$BE237+$AI237</f>
        <v>0</v>
      </c>
      <c r="BG237" s="52">
        <f>$BF237+$AJ237</f>
        <v>0</v>
      </c>
      <c r="BH237" s="52">
        <f>$BG237+$AK237</f>
        <v>0</v>
      </c>
      <c r="BI237" s="52">
        <f>$BH237+$AL237</f>
        <v>0</v>
      </c>
      <c r="BJ237" s="52">
        <f>$BI237+$AM237</f>
        <v>0</v>
      </c>
      <c r="BK237" s="52">
        <f>$BJ237+$AN237</f>
        <v>0</v>
      </c>
      <c r="BL237" s="52">
        <f>$BK237+$AO237</f>
        <v>0</v>
      </c>
      <c r="BM237" s="52">
        <f>$BL237+$AP237</f>
        <v>0</v>
      </c>
      <c r="BN237" s="52">
        <f>$BM237+$AQ237</f>
        <v>0</v>
      </c>
      <c r="BO237" s="52">
        <f>$BN237+$AR237</f>
        <v>0</v>
      </c>
      <c r="BP237" s="52">
        <f>$BO237+$AS237</f>
        <v>0</v>
      </c>
      <c r="BQ237" s="52">
        <f>SUM($T$1:$T236)</f>
        <v>11</v>
      </c>
      <c r="BR237" s="52" t="str">
        <f>IF(ISNUMBER($T237),IF($T237&gt;0,COUNTIF($T$2:$T237,"&gt;0"),""),"")</f>
        <v/>
      </c>
      <c r="BS237" s="52" t="str">
        <f>IF($BR237="","",$BQ237+$T237)</f>
        <v/>
      </c>
      <c r="BT237" s="52" t="str">
        <f>IF($U237="Ready",COUNTIF($U$2:$U237,"Ready"),"")</f>
        <v/>
      </c>
      <c r="BU237" s="52">
        <f>IF(AND($U237="Ready",$C237="Receipt"),IF(COUNTIF(Batches!$A$2:$A$301,$F237)+COUNTIFS($F$1:$F236,$F237,$C$1:$C236,"Receipt",$U$1:$U236,"Ready")=0,1,0),0)</f>
        <v>0</v>
      </c>
      <c r="BV237" s="52" t="str">
        <f>IF($BU237=1,SUM($BU$2:$BU237),"")</f>
        <v/>
      </c>
    </row>
    <row r="238">
      <c r="A238" s="46" t="n"/>
      <c r="B238" s="46" t="n"/>
      <c r="C238" s="46" t="n"/>
      <c r="D238" s="46" t="n"/>
      <c r="E238" s="46" t="n"/>
      <c r="F238" s="46" t="n"/>
      <c r="G238" s="46" t="n"/>
      <c r="H238" s="46" t="n"/>
      <c r="I238" s="46" t="n"/>
      <c r="J238" s="46" t="n"/>
      <c r="K238" s="46" t="n"/>
      <c r="L238" s="46" t="n"/>
      <c r="M238" s="62" t="str">
        <f>IF($B238="","",IF(ISNUMBER($B238),$B238,IF(AND(LEN($B238)=10,MID($B238,5,1)="-",MID($B238,8,1)="-"),IFERROR(IF(AND(MONTH(DATE(VALUE(LEFT($B238,4)),VALUE(MID($B238,6,2)),VALUE(RIGHT($B238,2))))=VALUE(MID($B238,6,2)),DAY(DATE(VALUE(LEFT($B238,4)),VALUE(MID($B238,6,2)),VALUE(RIGHT($B238,2))))=VALUE(RIGHT($B238,2))),DATE(VALUE(LEFT($B238,4)),VALUE(MID($B238,6,2)),VALUE(RIGHT($B238,2))),"ERR"),"ERR"),"ERR")))</f>
        <v/>
      </c>
      <c r="N238" s="62" t="str">
        <f>IF($G238="","",IF(ISNUMBER($G238),$G238,IF(AND(LEN($G238)=10,MID($G238,5,1)="-",MID($G238,8,1)="-"),IFERROR(IF(AND(MONTH(DATE(VALUE(LEFT($G238,4)),VALUE(MID($G238,6,2)),VALUE(RIGHT($G238,2))))=VALUE(MID($G238,6,2)),DAY(DATE(VALUE(LEFT($G238,4)),VALUE(MID($G238,6,2)),VALUE(RIGHT($G238,2))))=VALUE(RIGHT($G238,2))),DATE(VALUE(LEFT($G238,4)),VALUE(MID($G238,6,2)),VALUE(RIGHT($G238,2))),"ERR"),"ERR"),"ERR")))</f>
        <v/>
      </c>
      <c r="O238" s="51" t="str">
        <f>IF($H238="","",IF(ISNUMBER($H238),$H238,IFERROR(VALUE($H238),"ERR")))</f>
        <v/>
      </c>
      <c r="P238" s="51" t="str">
        <f>IF(AND(ISNUMBER($O238),OR($C238="Receipt",$C238="Shipment",$C238="Adjustment")),IF($C238="Shipment",-$O238,$O238),"")</f>
        <v/>
      </c>
      <c r="Q238" s="51" t="str">
        <f>IF($D238="","",IFERROR(INDEX(Products!$R$2:$R$101,MATCH($D238,Products!$A$2:$A$101,0)),""))</f>
        <v/>
      </c>
      <c r="R238" s="51" t="str">
        <f>IF(OR($Q238="",$P238=""),"",$Q238+SUMIFS($P$1:$P237,$D$1:$D237,$D238,$U$1:$U237,"Ready"))</f>
        <v/>
      </c>
      <c r="S238" s="51" t="str">
        <f>IF($R238="","",$R238+$P238)</f>
        <v/>
      </c>
      <c r="T238" s="52" t="str">
        <f>IF(COUNTA($A238:$L238)&gt;0,$BP238,"")</f>
        <v/>
      </c>
      <c r="U238" s="49" t="str">
        <f>IF($T238="","",IF($T238=0,"Ready","Rejected"))</f>
        <v/>
      </c>
      <c r="V238" s="49" t="str">
        <f>IF(OR($T238="",$T238=0),"",INDEX(Config!$D$39:$D$61,MATCH(1,$AT238:$BP238,0))&amp;IF($T238&gt;1," (+"&amp;($T238-1)&amp;" more)",""))</f>
        <v/>
      </c>
      <c r="W238" s="52">
        <f>IF(AND(COUNTA($A238:$L238)&gt;0,$A238=""),1,0)</f>
        <v>0</v>
      </c>
      <c r="X238" s="52">
        <f>IF(AND(COUNTA($A238:$L238)&gt;0,$A238&lt;&gt;""),IF(COUNTIF($A$1:$A237,$A238)&gt;0,1,0),0)</f>
        <v>0</v>
      </c>
      <c r="Y238" s="52">
        <f>IF(AND(COUNTA($A238:$L238)&gt;0,$A238&lt;&gt;""),IF(COUNTIF(Inventory_Ledger!$A$2:$A$2001,$A238)&gt;0,1,0),0)</f>
        <v>0</v>
      </c>
      <c r="Z238" s="52">
        <f>IF(AND(COUNTA($A238:$L238)&gt;0,$B238=""),1,0)</f>
        <v>0</v>
      </c>
      <c r="AA238" s="52">
        <f>IF(AND(COUNTA($A238:$L238)&gt;0,$B238&lt;&gt;""),IF($M238="ERR",1,0),0)</f>
        <v>0</v>
      </c>
      <c r="AB238" s="52">
        <f>IF(AND(COUNTA($A238:$L238)&gt;0,ISNUMBER($M238)),IF($M238&gt;Config!$B$4,1,0),0)</f>
        <v>0</v>
      </c>
      <c r="AC238" s="52">
        <f>IF(AND(COUNTA($A238:$L238)&gt;0,$C238=""),1,0)</f>
        <v>0</v>
      </c>
      <c r="AD238" s="52">
        <f>IF(AND(COUNTA($A238:$L238)&gt;0,$C238&lt;&gt;""),IF(COUNTIF(Config!$A$15:$A$34,$C238)=0,1,0),0)</f>
        <v>0</v>
      </c>
      <c r="AE238" s="52">
        <f>IF(AND(COUNTA($A238:$L238)&gt;0,$D238=""),1,0)</f>
        <v>0</v>
      </c>
      <c r="AF238" s="52">
        <f>IF(AND(COUNTA($A238:$L238)&gt;0,$D238&lt;&gt;""),IF(COUNTIF(Products!$A$2:$A$101,$D238)=0,1,0),0)</f>
        <v>0</v>
      </c>
      <c r="AG238" s="52">
        <f>IF(AND(COUNTA($A238:$L238)&gt;0,$C238="Receipt",$E238=""),1,0)</f>
        <v>0</v>
      </c>
      <c r="AH238" s="52">
        <f>IF(AND(COUNTA($A238:$L238)&gt;0,$E238&lt;&gt;""),IF(COUNTIF(Suppliers!$A$2:$A$51,$E238)=0,1,0),0)</f>
        <v>0</v>
      </c>
      <c r="AI238" s="52">
        <f>IF(AND(COUNTA($A238:$L238)&gt;0,$F238=""),1,0)</f>
        <v>0</v>
      </c>
      <c r="AJ238" s="52">
        <f>IF(AND(COUNTA($A238:$L238)&gt;0,$F238&lt;&gt;"",$D238&lt;&gt;"",OR($C238="Shipment",$C238="Adjustment")),IF($AF238=1,0,IF(COUNTIFS(Batches!$A$2:$A$301,$F238,Batches!$B$2:$B$301,$D238)+COUNTIFS($F$1:$F237,$F238,$D$1:$D237,$D238,$C$1:$C237,"Receipt")=0,1,0)),0)</f>
        <v>0</v>
      </c>
      <c r="AK238" s="52">
        <f>IF(AND(COUNTA($A238:$L238)&gt;0,$C238="Receipt",$G238=""),1,0)</f>
        <v>0</v>
      </c>
      <c r="AL238" s="52">
        <f>IF(AND(COUNTA($A238:$L238)&gt;0,$G238&lt;&gt;""),IF($N238="ERR",1,0),0)</f>
        <v>0</v>
      </c>
      <c r="AM238" s="52">
        <f>IF(AND(COUNTA($A238:$L238)&gt;0,$H238=""),1,0)</f>
        <v>0</v>
      </c>
      <c r="AN238" s="52">
        <f>IF(AND(COUNTA($A238:$L238)&gt;0,$H238&lt;&gt;""),IF($O238="ERR",1,IF(INT($O238)&lt;&gt;$O238,1,IF(AND(OR($C238="Receipt",$C238="Shipment"),$O238&lt;=0),1,IF(AND($C238="Adjustment",$O238=0),1,0)))),0)</f>
        <v>0</v>
      </c>
      <c r="AO238" s="52">
        <f>IF(AND(COUNTA($A238:$L238)&gt;0,$C238="Receipt",$I238=""),1,0)</f>
        <v>0</v>
      </c>
      <c r="AP238" s="52">
        <f>IF(AND(COUNTA($A238:$L238)&gt;0,$I238&lt;&gt;""),IF(IFERROR(INDEX(Config!$G$15:$G$34,MATCH($I238,Config!$E$15:$E$34,0)),"No")="Yes",0,1),0)</f>
        <v>0</v>
      </c>
      <c r="AQ238" s="52">
        <f>IF(AND(COUNTA($A238:$L238)&gt;0,$C238="Adjustment",$J238=""),1,0)</f>
        <v>0</v>
      </c>
      <c r="AR238" s="52">
        <f>IF(AND(COUNTA($A238:$L238)&gt;0,$L238=""),1,0)</f>
        <v>0</v>
      </c>
      <c r="AS238" s="52">
        <f>IF(AND(COUNTA($A238:$L238)&gt;0,ISNUMBER($S238)),IF($S238&lt;0,1,0),0)</f>
        <v>0</v>
      </c>
      <c r="AT238" s="52">
        <f>$W238</f>
        <v>0</v>
      </c>
      <c r="AU238" s="52">
        <f>$AT238+$X238</f>
        <v>0</v>
      </c>
      <c r="AV238" s="52">
        <f>$AU238+$Y238</f>
        <v>0</v>
      </c>
      <c r="AW238" s="52">
        <f>$AV238+$Z238</f>
        <v>0</v>
      </c>
      <c r="AX238" s="52">
        <f>$AW238+$AA238</f>
        <v>0</v>
      </c>
      <c r="AY238" s="52">
        <f>$AX238+$AB238</f>
        <v>0</v>
      </c>
      <c r="AZ238" s="52">
        <f>$AY238+$AC238</f>
        <v>0</v>
      </c>
      <c r="BA238" s="52">
        <f>$AZ238+$AD238</f>
        <v>0</v>
      </c>
      <c r="BB238" s="52">
        <f>$BA238+$AE238</f>
        <v>0</v>
      </c>
      <c r="BC238" s="52">
        <f>$BB238+$AF238</f>
        <v>0</v>
      </c>
      <c r="BD238" s="52">
        <f>$BC238+$AG238</f>
        <v>0</v>
      </c>
      <c r="BE238" s="52">
        <f>$BD238+$AH238</f>
        <v>0</v>
      </c>
      <c r="BF238" s="52">
        <f>$BE238+$AI238</f>
        <v>0</v>
      </c>
      <c r="BG238" s="52">
        <f>$BF238+$AJ238</f>
        <v>0</v>
      </c>
      <c r="BH238" s="52">
        <f>$BG238+$AK238</f>
        <v>0</v>
      </c>
      <c r="BI238" s="52">
        <f>$BH238+$AL238</f>
        <v>0</v>
      </c>
      <c r="BJ238" s="52">
        <f>$BI238+$AM238</f>
        <v>0</v>
      </c>
      <c r="BK238" s="52">
        <f>$BJ238+$AN238</f>
        <v>0</v>
      </c>
      <c r="BL238" s="52">
        <f>$BK238+$AO238</f>
        <v>0</v>
      </c>
      <c r="BM238" s="52">
        <f>$BL238+$AP238</f>
        <v>0</v>
      </c>
      <c r="BN238" s="52">
        <f>$BM238+$AQ238</f>
        <v>0</v>
      </c>
      <c r="BO238" s="52">
        <f>$BN238+$AR238</f>
        <v>0</v>
      </c>
      <c r="BP238" s="52">
        <f>$BO238+$AS238</f>
        <v>0</v>
      </c>
      <c r="BQ238" s="52">
        <f>SUM($T$1:$T237)</f>
        <v>11</v>
      </c>
      <c r="BR238" s="52" t="str">
        <f>IF(ISNUMBER($T238),IF($T238&gt;0,COUNTIF($T$2:$T238,"&gt;0"),""),"")</f>
        <v/>
      </c>
      <c r="BS238" s="52" t="str">
        <f>IF($BR238="","",$BQ238+$T238)</f>
        <v/>
      </c>
      <c r="BT238" s="52" t="str">
        <f>IF($U238="Ready",COUNTIF($U$2:$U238,"Ready"),"")</f>
        <v/>
      </c>
      <c r="BU238" s="52">
        <f>IF(AND($U238="Ready",$C238="Receipt"),IF(COUNTIF(Batches!$A$2:$A$301,$F238)+COUNTIFS($F$1:$F237,$F238,$C$1:$C237,"Receipt",$U$1:$U237,"Ready")=0,1,0),0)</f>
        <v>0</v>
      </c>
      <c r="BV238" s="52" t="str">
        <f>IF($BU238=1,SUM($BU$2:$BU238),"")</f>
        <v/>
      </c>
    </row>
    <row r="239">
      <c r="A239" s="46" t="n"/>
      <c r="B239" s="46" t="n"/>
      <c r="C239" s="46" t="n"/>
      <c r="D239" s="46" t="n"/>
      <c r="E239" s="46" t="n"/>
      <c r="F239" s="46" t="n"/>
      <c r="G239" s="46" t="n"/>
      <c r="H239" s="46" t="n"/>
      <c r="I239" s="46" t="n"/>
      <c r="J239" s="46" t="n"/>
      <c r="K239" s="46" t="n"/>
      <c r="L239" s="46" t="n"/>
      <c r="M239" s="62" t="str">
        <f>IF($B239="","",IF(ISNUMBER($B239),$B239,IF(AND(LEN($B239)=10,MID($B239,5,1)="-",MID($B239,8,1)="-"),IFERROR(IF(AND(MONTH(DATE(VALUE(LEFT($B239,4)),VALUE(MID($B239,6,2)),VALUE(RIGHT($B239,2))))=VALUE(MID($B239,6,2)),DAY(DATE(VALUE(LEFT($B239,4)),VALUE(MID($B239,6,2)),VALUE(RIGHT($B239,2))))=VALUE(RIGHT($B239,2))),DATE(VALUE(LEFT($B239,4)),VALUE(MID($B239,6,2)),VALUE(RIGHT($B239,2))),"ERR"),"ERR"),"ERR")))</f>
        <v/>
      </c>
      <c r="N239" s="62" t="str">
        <f>IF($G239="","",IF(ISNUMBER($G239),$G239,IF(AND(LEN($G239)=10,MID($G239,5,1)="-",MID($G239,8,1)="-"),IFERROR(IF(AND(MONTH(DATE(VALUE(LEFT($G239,4)),VALUE(MID($G239,6,2)),VALUE(RIGHT($G239,2))))=VALUE(MID($G239,6,2)),DAY(DATE(VALUE(LEFT($G239,4)),VALUE(MID($G239,6,2)),VALUE(RIGHT($G239,2))))=VALUE(RIGHT($G239,2))),DATE(VALUE(LEFT($G239,4)),VALUE(MID($G239,6,2)),VALUE(RIGHT($G239,2))),"ERR"),"ERR"),"ERR")))</f>
        <v/>
      </c>
      <c r="O239" s="51" t="str">
        <f>IF($H239="","",IF(ISNUMBER($H239),$H239,IFERROR(VALUE($H239),"ERR")))</f>
        <v/>
      </c>
      <c r="P239" s="51" t="str">
        <f>IF(AND(ISNUMBER($O239),OR($C239="Receipt",$C239="Shipment",$C239="Adjustment")),IF($C239="Shipment",-$O239,$O239),"")</f>
        <v/>
      </c>
      <c r="Q239" s="51" t="str">
        <f>IF($D239="","",IFERROR(INDEX(Products!$R$2:$R$101,MATCH($D239,Products!$A$2:$A$101,0)),""))</f>
        <v/>
      </c>
      <c r="R239" s="51" t="str">
        <f>IF(OR($Q239="",$P239=""),"",$Q239+SUMIFS($P$1:$P238,$D$1:$D238,$D239,$U$1:$U238,"Ready"))</f>
        <v/>
      </c>
      <c r="S239" s="51" t="str">
        <f>IF($R239="","",$R239+$P239)</f>
        <v/>
      </c>
      <c r="T239" s="52" t="str">
        <f>IF(COUNTA($A239:$L239)&gt;0,$BP239,"")</f>
        <v/>
      </c>
      <c r="U239" s="49" t="str">
        <f>IF($T239="","",IF($T239=0,"Ready","Rejected"))</f>
        <v/>
      </c>
      <c r="V239" s="49" t="str">
        <f>IF(OR($T239="",$T239=0),"",INDEX(Config!$D$39:$D$61,MATCH(1,$AT239:$BP239,0))&amp;IF($T239&gt;1," (+"&amp;($T239-1)&amp;" more)",""))</f>
        <v/>
      </c>
      <c r="W239" s="52">
        <f>IF(AND(COUNTA($A239:$L239)&gt;0,$A239=""),1,0)</f>
        <v>0</v>
      </c>
      <c r="X239" s="52">
        <f>IF(AND(COUNTA($A239:$L239)&gt;0,$A239&lt;&gt;""),IF(COUNTIF($A$1:$A238,$A239)&gt;0,1,0),0)</f>
        <v>0</v>
      </c>
      <c r="Y239" s="52">
        <f>IF(AND(COUNTA($A239:$L239)&gt;0,$A239&lt;&gt;""),IF(COUNTIF(Inventory_Ledger!$A$2:$A$2001,$A239)&gt;0,1,0),0)</f>
        <v>0</v>
      </c>
      <c r="Z239" s="52">
        <f>IF(AND(COUNTA($A239:$L239)&gt;0,$B239=""),1,0)</f>
        <v>0</v>
      </c>
      <c r="AA239" s="52">
        <f>IF(AND(COUNTA($A239:$L239)&gt;0,$B239&lt;&gt;""),IF($M239="ERR",1,0),0)</f>
        <v>0</v>
      </c>
      <c r="AB239" s="52">
        <f>IF(AND(COUNTA($A239:$L239)&gt;0,ISNUMBER($M239)),IF($M239&gt;Config!$B$4,1,0),0)</f>
        <v>0</v>
      </c>
      <c r="AC239" s="52">
        <f>IF(AND(COUNTA($A239:$L239)&gt;0,$C239=""),1,0)</f>
        <v>0</v>
      </c>
      <c r="AD239" s="52">
        <f>IF(AND(COUNTA($A239:$L239)&gt;0,$C239&lt;&gt;""),IF(COUNTIF(Config!$A$15:$A$34,$C239)=0,1,0),0)</f>
        <v>0</v>
      </c>
      <c r="AE239" s="52">
        <f>IF(AND(COUNTA($A239:$L239)&gt;0,$D239=""),1,0)</f>
        <v>0</v>
      </c>
      <c r="AF239" s="52">
        <f>IF(AND(COUNTA($A239:$L239)&gt;0,$D239&lt;&gt;""),IF(COUNTIF(Products!$A$2:$A$101,$D239)=0,1,0),0)</f>
        <v>0</v>
      </c>
      <c r="AG239" s="52">
        <f>IF(AND(COUNTA($A239:$L239)&gt;0,$C239="Receipt",$E239=""),1,0)</f>
        <v>0</v>
      </c>
      <c r="AH239" s="52">
        <f>IF(AND(COUNTA($A239:$L239)&gt;0,$E239&lt;&gt;""),IF(COUNTIF(Suppliers!$A$2:$A$51,$E239)=0,1,0),0)</f>
        <v>0</v>
      </c>
      <c r="AI239" s="52">
        <f>IF(AND(COUNTA($A239:$L239)&gt;0,$F239=""),1,0)</f>
        <v>0</v>
      </c>
      <c r="AJ239" s="52">
        <f>IF(AND(COUNTA($A239:$L239)&gt;0,$F239&lt;&gt;"",$D239&lt;&gt;"",OR($C239="Shipment",$C239="Adjustment")),IF($AF239=1,0,IF(COUNTIFS(Batches!$A$2:$A$301,$F239,Batches!$B$2:$B$301,$D239)+COUNTIFS($F$1:$F238,$F239,$D$1:$D238,$D239,$C$1:$C238,"Receipt")=0,1,0)),0)</f>
        <v>0</v>
      </c>
      <c r="AK239" s="52">
        <f>IF(AND(COUNTA($A239:$L239)&gt;0,$C239="Receipt",$G239=""),1,0)</f>
        <v>0</v>
      </c>
      <c r="AL239" s="52">
        <f>IF(AND(COUNTA($A239:$L239)&gt;0,$G239&lt;&gt;""),IF($N239="ERR",1,0),0)</f>
        <v>0</v>
      </c>
      <c r="AM239" s="52">
        <f>IF(AND(COUNTA($A239:$L239)&gt;0,$H239=""),1,0)</f>
        <v>0</v>
      </c>
      <c r="AN239" s="52">
        <f>IF(AND(COUNTA($A239:$L239)&gt;0,$H239&lt;&gt;""),IF($O239="ERR",1,IF(INT($O239)&lt;&gt;$O239,1,IF(AND(OR($C239="Receipt",$C239="Shipment"),$O239&lt;=0),1,IF(AND($C239="Adjustment",$O239=0),1,0)))),0)</f>
        <v>0</v>
      </c>
      <c r="AO239" s="52">
        <f>IF(AND(COUNTA($A239:$L239)&gt;0,$C239="Receipt",$I239=""),1,0)</f>
        <v>0</v>
      </c>
      <c r="AP239" s="52">
        <f>IF(AND(COUNTA($A239:$L239)&gt;0,$I239&lt;&gt;""),IF(IFERROR(INDEX(Config!$G$15:$G$34,MATCH($I239,Config!$E$15:$E$34,0)),"No")="Yes",0,1),0)</f>
        <v>0</v>
      </c>
      <c r="AQ239" s="52">
        <f>IF(AND(COUNTA($A239:$L239)&gt;0,$C239="Adjustment",$J239=""),1,0)</f>
        <v>0</v>
      </c>
      <c r="AR239" s="52">
        <f>IF(AND(COUNTA($A239:$L239)&gt;0,$L239=""),1,0)</f>
        <v>0</v>
      </c>
      <c r="AS239" s="52">
        <f>IF(AND(COUNTA($A239:$L239)&gt;0,ISNUMBER($S239)),IF($S239&lt;0,1,0),0)</f>
        <v>0</v>
      </c>
      <c r="AT239" s="52">
        <f>$W239</f>
        <v>0</v>
      </c>
      <c r="AU239" s="52">
        <f>$AT239+$X239</f>
        <v>0</v>
      </c>
      <c r="AV239" s="52">
        <f>$AU239+$Y239</f>
        <v>0</v>
      </c>
      <c r="AW239" s="52">
        <f>$AV239+$Z239</f>
        <v>0</v>
      </c>
      <c r="AX239" s="52">
        <f>$AW239+$AA239</f>
        <v>0</v>
      </c>
      <c r="AY239" s="52">
        <f>$AX239+$AB239</f>
        <v>0</v>
      </c>
      <c r="AZ239" s="52">
        <f>$AY239+$AC239</f>
        <v>0</v>
      </c>
      <c r="BA239" s="52">
        <f>$AZ239+$AD239</f>
        <v>0</v>
      </c>
      <c r="BB239" s="52">
        <f>$BA239+$AE239</f>
        <v>0</v>
      </c>
      <c r="BC239" s="52">
        <f>$BB239+$AF239</f>
        <v>0</v>
      </c>
      <c r="BD239" s="52">
        <f>$BC239+$AG239</f>
        <v>0</v>
      </c>
      <c r="BE239" s="52">
        <f>$BD239+$AH239</f>
        <v>0</v>
      </c>
      <c r="BF239" s="52">
        <f>$BE239+$AI239</f>
        <v>0</v>
      </c>
      <c r="BG239" s="52">
        <f>$BF239+$AJ239</f>
        <v>0</v>
      </c>
      <c r="BH239" s="52">
        <f>$BG239+$AK239</f>
        <v>0</v>
      </c>
      <c r="BI239" s="52">
        <f>$BH239+$AL239</f>
        <v>0</v>
      </c>
      <c r="BJ239" s="52">
        <f>$BI239+$AM239</f>
        <v>0</v>
      </c>
      <c r="BK239" s="52">
        <f>$BJ239+$AN239</f>
        <v>0</v>
      </c>
      <c r="BL239" s="52">
        <f>$BK239+$AO239</f>
        <v>0</v>
      </c>
      <c r="BM239" s="52">
        <f>$BL239+$AP239</f>
        <v>0</v>
      </c>
      <c r="BN239" s="52">
        <f>$BM239+$AQ239</f>
        <v>0</v>
      </c>
      <c r="BO239" s="52">
        <f>$BN239+$AR239</f>
        <v>0</v>
      </c>
      <c r="BP239" s="52">
        <f>$BO239+$AS239</f>
        <v>0</v>
      </c>
      <c r="BQ239" s="52">
        <f>SUM($T$1:$T238)</f>
        <v>11</v>
      </c>
      <c r="BR239" s="52" t="str">
        <f>IF(ISNUMBER($T239),IF($T239&gt;0,COUNTIF($T$2:$T239,"&gt;0"),""),"")</f>
        <v/>
      </c>
      <c r="BS239" s="52" t="str">
        <f>IF($BR239="","",$BQ239+$T239)</f>
        <v/>
      </c>
      <c r="BT239" s="52" t="str">
        <f>IF($U239="Ready",COUNTIF($U$2:$U239,"Ready"),"")</f>
        <v/>
      </c>
      <c r="BU239" s="52">
        <f>IF(AND($U239="Ready",$C239="Receipt"),IF(COUNTIF(Batches!$A$2:$A$301,$F239)+COUNTIFS($F$1:$F238,$F239,$C$1:$C238,"Receipt",$U$1:$U238,"Ready")=0,1,0),0)</f>
        <v>0</v>
      </c>
      <c r="BV239" s="52" t="str">
        <f>IF($BU239=1,SUM($BU$2:$BU239),"")</f>
        <v/>
      </c>
    </row>
    <row r="240">
      <c r="A240" s="46" t="n"/>
      <c r="B240" s="46" t="n"/>
      <c r="C240" s="46" t="n"/>
      <c r="D240" s="46" t="n"/>
      <c r="E240" s="46" t="n"/>
      <c r="F240" s="46" t="n"/>
      <c r="G240" s="46" t="n"/>
      <c r="H240" s="46" t="n"/>
      <c r="I240" s="46" t="n"/>
      <c r="J240" s="46" t="n"/>
      <c r="K240" s="46" t="n"/>
      <c r="L240" s="46" t="n"/>
      <c r="M240" s="62" t="str">
        <f>IF($B240="","",IF(ISNUMBER($B240),$B240,IF(AND(LEN($B240)=10,MID($B240,5,1)="-",MID($B240,8,1)="-"),IFERROR(IF(AND(MONTH(DATE(VALUE(LEFT($B240,4)),VALUE(MID($B240,6,2)),VALUE(RIGHT($B240,2))))=VALUE(MID($B240,6,2)),DAY(DATE(VALUE(LEFT($B240,4)),VALUE(MID($B240,6,2)),VALUE(RIGHT($B240,2))))=VALUE(RIGHT($B240,2))),DATE(VALUE(LEFT($B240,4)),VALUE(MID($B240,6,2)),VALUE(RIGHT($B240,2))),"ERR"),"ERR"),"ERR")))</f>
        <v/>
      </c>
      <c r="N240" s="62" t="str">
        <f>IF($G240="","",IF(ISNUMBER($G240),$G240,IF(AND(LEN($G240)=10,MID($G240,5,1)="-",MID($G240,8,1)="-"),IFERROR(IF(AND(MONTH(DATE(VALUE(LEFT($G240,4)),VALUE(MID($G240,6,2)),VALUE(RIGHT($G240,2))))=VALUE(MID($G240,6,2)),DAY(DATE(VALUE(LEFT($G240,4)),VALUE(MID($G240,6,2)),VALUE(RIGHT($G240,2))))=VALUE(RIGHT($G240,2))),DATE(VALUE(LEFT($G240,4)),VALUE(MID($G240,6,2)),VALUE(RIGHT($G240,2))),"ERR"),"ERR"),"ERR")))</f>
        <v/>
      </c>
      <c r="O240" s="51" t="str">
        <f>IF($H240="","",IF(ISNUMBER($H240),$H240,IFERROR(VALUE($H240),"ERR")))</f>
        <v/>
      </c>
      <c r="P240" s="51" t="str">
        <f>IF(AND(ISNUMBER($O240),OR($C240="Receipt",$C240="Shipment",$C240="Adjustment")),IF($C240="Shipment",-$O240,$O240),"")</f>
        <v/>
      </c>
      <c r="Q240" s="51" t="str">
        <f>IF($D240="","",IFERROR(INDEX(Products!$R$2:$R$101,MATCH($D240,Products!$A$2:$A$101,0)),""))</f>
        <v/>
      </c>
      <c r="R240" s="51" t="str">
        <f>IF(OR($Q240="",$P240=""),"",$Q240+SUMIFS($P$1:$P239,$D$1:$D239,$D240,$U$1:$U239,"Ready"))</f>
        <v/>
      </c>
      <c r="S240" s="51" t="str">
        <f>IF($R240="","",$R240+$P240)</f>
        <v/>
      </c>
      <c r="T240" s="52" t="str">
        <f>IF(COUNTA($A240:$L240)&gt;0,$BP240,"")</f>
        <v/>
      </c>
      <c r="U240" s="49" t="str">
        <f>IF($T240="","",IF($T240=0,"Ready","Rejected"))</f>
        <v/>
      </c>
      <c r="V240" s="49" t="str">
        <f>IF(OR($T240="",$T240=0),"",INDEX(Config!$D$39:$D$61,MATCH(1,$AT240:$BP240,0))&amp;IF($T240&gt;1," (+"&amp;($T240-1)&amp;" more)",""))</f>
        <v/>
      </c>
      <c r="W240" s="52">
        <f>IF(AND(COUNTA($A240:$L240)&gt;0,$A240=""),1,0)</f>
        <v>0</v>
      </c>
      <c r="X240" s="52">
        <f>IF(AND(COUNTA($A240:$L240)&gt;0,$A240&lt;&gt;""),IF(COUNTIF($A$1:$A239,$A240)&gt;0,1,0),0)</f>
        <v>0</v>
      </c>
      <c r="Y240" s="52">
        <f>IF(AND(COUNTA($A240:$L240)&gt;0,$A240&lt;&gt;""),IF(COUNTIF(Inventory_Ledger!$A$2:$A$2001,$A240)&gt;0,1,0),0)</f>
        <v>0</v>
      </c>
      <c r="Z240" s="52">
        <f>IF(AND(COUNTA($A240:$L240)&gt;0,$B240=""),1,0)</f>
        <v>0</v>
      </c>
      <c r="AA240" s="52">
        <f>IF(AND(COUNTA($A240:$L240)&gt;0,$B240&lt;&gt;""),IF($M240="ERR",1,0),0)</f>
        <v>0</v>
      </c>
      <c r="AB240" s="52">
        <f>IF(AND(COUNTA($A240:$L240)&gt;0,ISNUMBER($M240)),IF($M240&gt;Config!$B$4,1,0),0)</f>
        <v>0</v>
      </c>
      <c r="AC240" s="52">
        <f>IF(AND(COUNTA($A240:$L240)&gt;0,$C240=""),1,0)</f>
        <v>0</v>
      </c>
      <c r="AD240" s="52">
        <f>IF(AND(COUNTA($A240:$L240)&gt;0,$C240&lt;&gt;""),IF(COUNTIF(Config!$A$15:$A$34,$C240)=0,1,0),0)</f>
        <v>0</v>
      </c>
      <c r="AE240" s="52">
        <f>IF(AND(COUNTA($A240:$L240)&gt;0,$D240=""),1,0)</f>
        <v>0</v>
      </c>
      <c r="AF240" s="52">
        <f>IF(AND(COUNTA($A240:$L240)&gt;0,$D240&lt;&gt;""),IF(COUNTIF(Products!$A$2:$A$101,$D240)=0,1,0),0)</f>
        <v>0</v>
      </c>
      <c r="AG240" s="52">
        <f>IF(AND(COUNTA($A240:$L240)&gt;0,$C240="Receipt",$E240=""),1,0)</f>
        <v>0</v>
      </c>
      <c r="AH240" s="52">
        <f>IF(AND(COUNTA($A240:$L240)&gt;0,$E240&lt;&gt;""),IF(COUNTIF(Suppliers!$A$2:$A$51,$E240)=0,1,0),0)</f>
        <v>0</v>
      </c>
      <c r="AI240" s="52">
        <f>IF(AND(COUNTA($A240:$L240)&gt;0,$F240=""),1,0)</f>
        <v>0</v>
      </c>
      <c r="AJ240" s="52">
        <f>IF(AND(COUNTA($A240:$L240)&gt;0,$F240&lt;&gt;"",$D240&lt;&gt;"",OR($C240="Shipment",$C240="Adjustment")),IF($AF240=1,0,IF(COUNTIFS(Batches!$A$2:$A$301,$F240,Batches!$B$2:$B$301,$D240)+COUNTIFS($F$1:$F239,$F240,$D$1:$D239,$D240,$C$1:$C239,"Receipt")=0,1,0)),0)</f>
        <v>0</v>
      </c>
      <c r="AK240" s="52">
        <f>IF(AND(COUNTA($A240:$L240)&gt;0,$C240="Receipt",$G240=""),1,0)</f>
        <v>0</v>
      </c>
      <c r="AL240" s="52">
        <f>IF(AND(COUNTA($A240:$L240)&gt;0,$G240&lt;&gt;""),IF($N240="ERR",1,0),0)</f>
        <v>0</v>
      </c>
      <c r="AM240" s="52">
        <f>IF(AND(COUNTA($A240:$L240)&gt;0,$H240=""),1,0)</f>
        <v>0</v>
      </c>
      <c r="AN240" s="52">
        <f>IF(AND(COUNTA($A240:$L240)&gt;0,$H240&lt;&gt;""),IF($O240="ERR",1,IF(INT($O240)&lt;&gt;$O240,1,IF(AND(OR($C240="Receipt",$C240="Shipment"),$O240&lt;=0),1,IF(AND($C240="Adjustment",$O240=0),1,0)))),0)</f>
        <v>0</v>
      </c>
      <c r="AO240" s="52">
        <f>IF(AND(COUNTA($A240:$L240)&gt;0,$C240="Receipt",$I240=""),1,0)</f>
        <v>0</v>
      </c>
      <c r="AP240" s="52">
        <f>IF(AND(COUNTA($A240:$L240)&gt;0,$I240&lt;&gt;""),IF(IFERROR(INDEX(Config!$G$15:$G$34,MATCH($I240,Config!$E$15:$E$34,0)),"No")="Yes",0,1),0)</f>
        <v>0</v>
      </c>
      <c r="AQ240" s="52">
        <f>IF(AND(COUNTA($A240:$L240)&gt;0,$C240="Adjustment",$J240=""),1,0)</f>
        <v>0</v>
      </c>
      <c r="AR240" s="52">
        <f>IF(AND(COUNTA($A240:$L240)&gt;0,$L240=""),1,0)</f>
        <v>0</v>
      </c>
      <c r="AS240" s="52">
        <f>IF(AND(COUNTA($A240:$L240)&gt;0,ISNUMBER($S240)),IF($S240&lt;0,1,0),0)</f>
        <v>0</v>
      </c>
      <c r="AT240" s="52">
        <f>$W240</f>
        <v>0</v>
      </c>
      <c r="AU240" s="52">
        <f>$AT240+$X240</f>
        <v>0</v>
      </c>
      <c r="AV240" s="52">
        <f>$AU240+$Y240</f>
        <v>0</v>
      </c>
      <c r="AW240" s="52">
        <f>$AV240+$Z240</f>
        <v>0</v>
      </c>
      <c r="AX240" s="52">
        <f>$AW240+$AA240</f>
        <v>0</v>
      </c>
      <c r="AY240" s="52">
        <f>$AX240+$AB240</f>
        <v>0</v>
      </c>
      <c r="AZ240" s="52">
        <f>$AY240+$AC240</f>
        <v>0</v>
      </c>
      <c r="BA240" s="52">
        <f>$AZ240+$AD240</f>
        <v>0</v>
      </c>
      <c r="BB240" s="52">
        <f>$BA240+$AE240</f>
        <v>0</v>
      </c>
      <c r="BC240" s="52">
        <f>$BB240+$AF240</f>
        <v>0</v>
      </c>
      <c r="BD240" s="52">
        <f>$BC240+$AG240</f>
        <v>0</v>
      </c>
      <c r="BE240" s="52">
        <f>$BD240+$AH240</f>
        <v>0</v>
      </c>
      <c r="BF240" s="52">
        <f>$BE240+$AI240</f>
        <v>0</v>
      </c>
      <c r="BG240" s="52">
        <f>$BF240+$AJ240</f>
        <v>0</v>
      </c>
      <c r="BH240" s="52">
        <f>$BG240+$AK240</f>
        <v>0</v>
      </c>
      <c r="BI240" s="52">
        <f>$BH240+$AL240</f>
        <v>0</v>
      </c>
      <c r="BJ240" s="52">
        <f>$BI240+$AM240</f>
        <v>0</v>
      </c>
      <c r="BK240" s="52">
        <f>$BJ240+$AN240</f>
        <v>0</v>
      </c>
      <c r="BL240" s="52">
        <f>$BK240+$AO240</f>
        <v>0</v>
      </c>
      <c r="BM240" s="52">
        <f>$BL240+$AP240</f>
        <v>0</v>
      </c>
      <c r="BN240" s="52">
        <f>$BM240+$AQ240</f>
        <v>0</v>
      </c>
      <c r="BO240" s="52">
        <f>$BN240+$AR240</f>
        <v>0</v>
      </c>
      <c r="BP240" s="52">
        <f>$BO240+$AS240</f>
        <v>0</v>
      </c>
      <c r="BQ240" s="52">
        <f>SUM($T$1:$T239)</f>
        <v>11</v>
      </c>
      <c r="BR240" s="52" t="str">
        <f>IF(ISNUMBER($T240),IF($T240&gt;0,COUNTIF($T$2:$T240,"&gt;0"),""),"")</f>
        <v/>
      </c>
      <c r="BS240" s="52" t="str">
        <f>IF($BR240="","",$BQ240+$T240)</f>
        <v/>
      </c>
      <c r="BT240" s="52" t="str">
        <f>IF($U240="Ready",COUNTIF($U$2:$U240,"Ready"),"")</f>
        <v/>
      </c>
      <c r="BU240" s="52">
        <f>IF(AND($U240="Ready",$C240="Receipt"),IF(COUNTIF(Batches!$A$2:$A$301,$F240)+COUNTIFS($F$1:$F239,$F240,$C$1:$C239,"Receipt",$U$1:$U239,"Ready")=0,1,0),0)</f>
        <v>0</v>
      </c>
      <c r="BV240" s="52" t="str">
        <f>IF($BU240=1,SUM($BU$2:$BU240),"")</f>
        <v/>
      </c>
    </row>
    <row r="241">
      <c r="A241" s="46" t="n"/>
      <c r="B241" s="46" t="n"/>
      <c r="C241" s="46" t="n"/>
      <c r="D241" s="46" t="n"/>
      <c r="E241" s="46" t="n"/>
      <c r="F241" s="46" t="n"/>
      <c r="G241" s="46" t="n"/>
      <c r="H241" s="46" t="n"/>
      <c r="I241" s="46" t="n"/>
      <c r="J241" s="46" t="n"/>
      <c r="K241" s="46" t="n"/>
      <c r="L241" s="46" t="n"/>
      <c r="M241" s="62" t="str">
        <f>IF($B241="","",IF(ISNUMBER($B241),$B241,IF(AND(LEN($B241)=10,MID($B241,5,1)="-",MID($B241,8,1)="-"),IFERROR(IF(AND(MONTH(DATE(VALUE(LEFT($B241,4)),VALUE(MID($B241,6,2)),VALUE(RIGHT($B241,2))))=VALUE(MID($B241,6,2)),DAY(DATE(VALUE(LEFT($B241,4)),VALUE(MID($B241,6,2)),VALUE(RIGHT($B241,2))))=VALUE(RIGHT($B241,2))),DATE(VALUE(LEFT($B241,4)),VALUE(MID($B241,6,2)),VALUE(RIGHT($B241,2))),"ERR"),"ERR"),"ERR")))</f>
        <v/>
      </c>
      <c r="N241" s="62" t="str">
        <f>IF($G241="","",IF(ISNUMBER($G241),$G241,IF(AND(LEN($G241)=10,MID($G241,5,1)="-",MID($G241,8,1)="-"),IFERROR(IF(AND(MONTH(DATE(VALUE(LEFT($G241,4)),VALUE(MID($G241,6,2)),VALUE(RIGHT($G241,2))))=VALUE(MID($G241,6,2)),DAY(DATE(VALUE(LEFT($G241,4)),VALUE(MID($G241,6,2)),VALUE(RIGHT($G241,2))))=VALUE(RIGHT($G241,2))),DATE(VALUE(LEFT($G241,4)),VALUE(MID($G241,6,2)),VALUE(RIGHT($G241,2))),"ERR"),"ERR"),"ERR")))</f>
        <v/>
      </c>
      <c r="O241" s="51" t="str">
        <f>IF($H241="","",IF(ISNUMBER($H241),$H241,IFERROR(VALUE($H241),"ERR")))</f>
        <v/>
      </c>
      <c r="P241" s="51" t="str">
        <f>IF(AND(ISNUMBER($O241),OR($C241="Receipt",$C241="Shipment",$C241="Adjustment")),IF($C241="Shipment",-$O241,$O241),"")</f>
        <v/>
      </c>
      <c r="Q241" s="51" t="str">
        <f>IF($D241="","",IFERROR(INDEX(Products!$R$2:$R$101,MATCH($D241,Products!$A$2:$A$101,0)),""))</f>
        <v/>
      </c>
      <c r="R241" s="51" t="str">
        <f>IF(OR($Q241="",$P241=""),"",$Q241+SUMIFS($P$1:$P240,$D$1:$D240,$D241,$U$1:$U240,"Ready"))</f>
        <v/>
      </c>
      <c r="S241" s="51" t="str">
        <f>IF($R241="","",$R241+$P241)</f>
        <v/>
      </c>
      <c r="T241" s="52" t="str">
        <f>IF(COUNTA($A241:$L241)&gt;0,$BP241,"")</f>
        <v/>
      </c>
      <c r="U241" s="49" t="str">
        <f>IF($T241="","",IF($T241=0,"Ready","Rejected"))</f>
        <v/>
      </c>
      <c r="V241" s="49" t="str">
        <f>IF(OR($T241="",$T241=0),"",INDEX(Config!$D$39:$D$61,MATCH(1,$AT241:$BP241,0))&amp;IF($T241&gt;1," (+"&amp;($T241-1)&amp;" more)",""))</f>
        <v/>
      </c>
      <c r="W241" s="52">
        <f>IF(AND(COUNTA($A241:$L241)&gt;0,$A241=""),1,0)</f>
        <v>0</v>
      </c>
      <c r="X241" s="52">
        <f>IF(AND(COUNTA($A241:$L241)&gt;0,$A241&lt;&gt;""),IF(COUNTIF($A$1:$A240,$A241)&gt;0,1,0),0)</f>
        <v>0</v>
      </c>
      <c r="Y241" s="52">
        <f>IF(AND(COUNTA($A241:$L241)&gt;0,$A241&lt;&gt;""),IF(COUNTIF(Inventory_Ledger!$A$2:$A$2001,$A241)&gt;0,1,0),0)</f>
        <v>0</v>
      </c>
      <c r="Z241" s="52">
        <f>IF(AND(COUNTA($A241:$L241)&gt;0,$B241=""),1,0)</f>
        <v>0</v>
      </c>
      <c r="AA241" s="52">
        <f>IF(AND(COUNTA($A241:$L241)&gt;0,$B241&lt;&gt;""),IF($M241="ERR",1,0),0)</f>
        <v>0</v>
      </c>
      <c r="AB241" s="52">
        <f>IF(AND(COUNTA($A241:$L241)&gt;0,ISNUMBER($M241)),IF($M241&gt;Config!$B$4,1,0),0)</f>
        <v>0</v>
      </c>
      <c r="AC241" s="52">
        <f>IF(AND(COUNTA($A241:$L241)&gt;0,$C241=""),1,0)</f>
        <v>0</v>
      </c>
      <c r="AD241" s="52">
        <f>IF(AND(COUNTA($A241:$L241)&gt;0,$C241&lt;&gt;""),IF(COUNTIF(Config!$A$15:$A$34,$C241)=0,1,0),0)</f>
        <v>0</v>
      </c>
      <c r="AE241" s="52">
        <f>IF(AND(COUNTA($A241:$L241)&gt;0,$D241=""),1,0)</f>
        <v>0</v>
      </c>
      <c r="AF241" s="52">
        <f>IF(AND(COUNTA($A241:$L241)&gt;0,$D241&lt;&gt;""),IF(COUNTIF(Products!$A$2:$A$101,$D241)=0,1,0),0)</f>
        <v>0</v>
      </c>
      <c r="AG241" s="52">
        <f>IF(AND(COUNTA($A241:$L241)&gt;0,$C241="Receipt",$E241=""),1,0)</f>
        <v>0</v>
      </c>
      <c r="AH241" s="52">
        <f>IF(AND(COUNTA($A241:$L241)&gt;0,$E241&lt;&gt;""),IF(COUNTIF(Suppliers!$A$2:$A$51,$E241)=0,1,0),0)</f>
        <v>0</v>
      </c>
      <c r="AI241" s="52">
        <f>IF(AND(COUNTA($A241:$L241)&gt;0,$F241=""),1,0)</f>
        <v>0</v>
      </c>
      <c r="AJ241" s="52">
        <f>IF(AND(COUNTA($A241:$L241)&gt;0,$F241&lt;&gt;"",$D241&lt;&gt;"",OR($C241="Shipment",$C241="Adjustment")),IF($AF241=1,0,IF(COUNTIFS(Batches!$A$2:$A$301,$F241,Batches!$B$2:$B$301,$D241)+COUNTIFS($F$1:$F240,$F241,$D$1:$D240,$D241,$C$1:$C240,"Receipt")=0,1,0)),0)</f>
        <v>0</v>
      </c>
      <c r="AK241" s="52">
        <f>IF(AND(COUNTA($A241:$L241)&gt;0,$C241="Receipt",$G241=""),1,0)</f>
        <v>0</v>
      </c>
      <c r="AL241" s="52">
        <f>IF(AND(COUNTA($A241:$L241)&gt;0,$G241&lt;&gt;""),IF($N241="ERR",1,0),0)</f>
        <v>0</v>
      </c>
      <c r="AM241" s="52">
        <f>IF(AND(COUNTA($A241:$L241)&gt;0,$H241=""),1,0)</f>
        <v>0</v>
      </c>
      <c r="AN241" s="52">
        <f>IF(AND(COUNTA($A241:$L241)&gt;0,$H241&lt;&gt;""),IF($O241="ERR",1,IF(INT($O241)&lt;&gt;$O241,1,IF(AND(OR($C241="Receipt",$C241="Shipment"),$O241&lt;=0),1,IF(AND($C241="Adjustment",$O241=0),1,0)))),0)</f>
        <v>0</v>
      </c>
      <c r="AO241" s="52">
        <f>IF(AND(COUNTA($A241:$L241)&gt;0,$C241="Receipt",$I241=""),1,0)</f>
        <v>0</v>
      </c>
      <c r="AP241" s="52">
        <f>IF(AND(COUNTA($A241:$L241)&gt;0,$I241&lt;&gt;""),IF(IFERROR(INDEX(Config!$G$15:$G$34,MATCH($I241,Config!$E$15:$E$34,0)),"No")="Yes",0,1),0)</f>
        <v>0</v>
      </c>
      <c r="AQ241" s="52">
        <f>IF(AND(COUNTA($A241:$L241)&gt;0,$C241="Adjustment",$J241=""),1,0)</f>
        <v>0</v>
      </c>
      <c r="AR241" s="52">
        <f>IF(AND(COUNTA($A241:$L241)&gt;0,$L241=""),1,0)</f>
        <v>0</v>
      </c>
      <c r="AS241" s="52">
        <f>IF(AND(COUNTA($A241:$L241)&gt;0,ISNUMBER($S241)),IF($S241&lt;0,1,0),0)</f>
        <v>0</v>
      </c>
      <c r="AT241" s="52">
        <f>$W241</f>
        <v>0</v>
      </c>
      <c r="AU241" s="52">
        <f>$AT241+$X241</f>
        <v>0</v>
      </c>
      <c r="AV241" s="52">
        <f>$AU241+$Y241</f>
        <v>0</v>
      </c>
      <c r="AW241" s="52">
        <f>$AV241+$Z241</f>
        <v>0</v>
      </c>
      <c r="AX241" s="52">
        <f>$AW241+$AA241</f>
        <v>0</v>
      </c>
      <c r="AY241" s="52">
        <f>$AX241+$AB241</f>
        <v>0</v>
      </c>
      <c r="AZ241" s="52">
        <f>$AY241+$AC241</f>
        <v>0</v>
      </c>
      <c r="BA241" s="52">
        <f>$AZ241+$AD241</f>
        <v>0</v>
      </c>
      <c r="BB241" s="52">
        <f>$BA241+$AE241</f>
        <v>0</v>
      </c>
      <c r="BC241" s="52">
        <f>$BB241+$AF241</f>
        <v>0</v>
      </c>
      <c r="BD241" s="52">
        <f>$BC241+$AG241</f>
        <v>0</v>
      </c>
      <c r="BE241" s="52">
        <f>$BD241+$AH241</f>
        <v>0</v>
      </c>
      <c r="BF241" s="52">
        <f>$BE241+$AI241</f>
        <v>0</v>
      </c>
      <c r="BG241" s="52">
        <f>$BF241+$AJ241</f>
        <v>0</v>
      </c>
      <c r="BH241" s="52">
        <f>$BG241+$AK241</f>
        <v>0</v>
      </c>
      <c r="BI241" s="52">
        <f>$BH241+$AL241</f>
        <v>0</v>
      </c>
      <c r="BJ241" s="52">
        <f>$BI241+$AM241</f>
        <v>0</v>
      </c>
      <c r="BK241" s="52">
        <f>$BJ241+$AN241</f>
        <v>0</v>
      </c>
      <c r="BL241" s="52">
        <f>$BK241+$AO241</f>
        <v>0</v>
      </c>
      <c r="BM241" s="52">
        <f>$BL241+$AP241</f>
        <v>0</v>
      </c>
      <c r="BN241" s="52">
        <f>$BM241+$AQ241</f>
        <v>0</v>
      </c>
      <c r="BO241" s="52">
        <f>$BN241+$AR241</f>
        <v>0</v>
      </c>
      <c r="BP241" s="52">
        <f>$BO241+$AS241</f>
        <v>0</v>
      </c>
      <c r="BQ241" s="52">
        <f>SUM($T$1:$T240)</f>
        <v>11</v>
      </c>
      <c r="BR241" s="52" t="str">
        <f>IF(ISNUMBER($T241),IF($T241&gt;0,COUNTIF($T$2:$T241,"&gt;0"),""),"")</f>
        <v/>
      </c>
      <c r="BS241" s="52" t="str">
        <f>IF($BR241="","",$BQ241+$T241)</f>
        <v/>
      </c>
      <c r="BT241" s="52" t="str">
        <f>IF($U241="Ready",COUNTIF($U$2:$U241,"Ready"),"")</f>
        <v/>
      </c>
      <c r="BU241" s="52">
        <f>IF(AND($U241="Ready",$C241="Receipt"),IF(COUNTIF(Batches!$A$2:$A$301,$F241)+COUNTIFS($F$1:$F240,$F241,$C$1:$C240,"Receipt",$U$1:$U240,"Ready")=0,1,0),0)</f>
        <v>0</v>
      </c>
      <c r="BV241" s="52" t="str">
        <f>IF($BU241=1,SUM($BU$2:$BU241),"")</f>
        <v/>
      </c>
    </row>
    <row r="242">
      <c r="A242" s="46" t="n"/>
      <c r="B242" s="46" t="n"/>
      <c r="C242" s="46" t="n"/>
      <c r="D242" s="46" t="n"/>
      <c r="E242" s="46" t="n"/>
      <c r="F242" s="46" t="n"/>
      <c r="G242" s="46" t="n"/>
      <c r="H242" s="46" t="n"/>
      <c r="I242" s="46" t="n"/>
      <c r="J242" s="46" t="n"/>
      <c r="K242" s="46" t="n"/>
      <c r="L242" s="46" t="n"/>
      <c r="M242" s="62" t="str">
        <f>IF($B242="","",IF(ISNUMBER($B242),$B242,IF(AND(LEN($B242)=10,MID($B242,5,1)="-",MID($B242,8,1)="-"),IFERROR(IF(AND(MONTH(DATE(VALUE(LEFT($B242,4)),VALUE(MID($B242,6,2)),VALUE(RIGHT($B242,2))))=VALUE(MID($B242,6,2)),DAY(DATE(VALUE(LEFT($B242,4)),VALUE(MID($B242,6,2)),VALUE(RIGHT($B242,2))))=VALUE(RIGHT($B242,2))),DATE(VALUE(LEFT($B242,4)),VALUE(MID($B242,6,2)),VALUE(RIGHT($B242,2))),"ERR"),"ERR"),"ERR")))</f>
        <v/>
      </c>
      <c r="N242" s="62" t="str">
        <f>IF($G242="","",IF(ISNUMBER($G242),$G242,IF(AND(LEN($G242)=10,MID($G242,5,1)="-",MID($G242,8,1)="-"),IFERROR(IF(AND(MONTH(DATE(VALUE(LEFT($G242,4)),VALUE(MID($G242,6,2)),VALUE(RIGHT($G242,2))))=VALUE(MID($G242,6,2)),DAY(DATE(VALUE(LEFT($G242,4)),VALUE(MID($G242,6,2)),VALUE(RIGHT($G242,2))))=VALUE(RIGHT($G242,2))),DATE(VALUE(LEFT($G242,4)),VALUE(MID($G242,6,2)),VALUE(RIGHT($G242,2))),"ERR"),"ERR"),"ERR")))</f>
        <v/>
      </c>
      <c r="O242" s="51" t="str">
        <f>IF($H242="","",IF(ISNUMBER($H242),$H242,IFERROR(VALUE($H242),"ERR")))</f>
        <v/>
      </c>
      <c r="P242" s="51" t="str">
        <f>IF(AND(ISNUMBER($O242),OR($C242="Receipt",$C242="Shipment",$C242="Adjustment")),IF($C242="Shipment",-$O242,$O242),"")</f>
        <v/>
      </c>
      <c r="Q242" s="51" t="str">
        <f>IF($D242="","",IFERROR(INDEX(Products!$R$2:$R$101,MATCH($D242,Products!$A$2:$A$101,0)),""))</f>
        <v/>
      </c>
      <c r="R242" s="51" t="str">
        <f>IF(OR($Q242="",$P242=""),"",$Q242+SUMIFS($P$1:$P241,$D$1:$D241,$D242,$U$1:$U241,"Ready"))</f>
        <v/>
      </c>
      <c r="S242" s="51" t="str">
        <f>IF($R242="","",$R242+$P242)</f>
        <v/>
      </c>
      <c r="T242" s="52" t="str">
        <f>IF(COUNTA($A242:$L242)&gt;0,$BP242,"")</f>
        <v/>
      </c>
      <c r="U242" s="49" t="str">
        <f>IF($T242="","",IF($T242=0,"Ready","Rejected"))</f>
        <v/>
      </c>
      <c r="V242" s="49" t="str">
        <f>IF(OR($T242="",$T242=0),"",INDEX(Config!$D$39:$D$61,MATCH(1,$AT242:$BP242,0))&amp;IF($T242&gt;1," (+"&amp;($T242-1)&amp;" more)",""))</f>
        <v/>
      </c>
      <c r="W242" s="52">
        <f>IF(AND(COUNTA($A242:$L242)&gt;0,$A242=""),1,0)</f>
        <v>0</v>
      </c>
      <c r="X242" s="52">
        <f>IF(AND(COUNTA($A242:$L242)&gt;0,$A242&lt;&gt;""),IF(COUNTIF($A$1:$A241,$A242)&gt;0,1,0),0)</f>
        <v>0</v>
      </c>
      <c r="Y242" s="52">
        <f>IF(AND(COUNTA($A242:$L242)&gt;0,$A242&lt;&gt;""),IF(COUNTIF(Inventory_Ledger!$A$2:$A$2001,$A242)&gt;0,1,0),0)</f>
        <v>0</v>
      </c>
      <c r="Z242" s="52">
        <f>IF(AND(COUNTA($A242:$L242)&gt;0,$B242=""),1,0)</f>
        <v>0</v>
      </c>
      <c r="AA242" s="52">
        <f>IF(AND(COUNTA($A242:$L242)&gt;0,$B242&lt;&gt;""),IF($M242="ERR",1,0),0)</f>
        <v>0</v>
      </c>
      <c r="AB242" s="52">
        <f>IF(AND(COUNTA($A242:$L242)&gt;0,ISNUMBER($M242)),IF($M242&gt;Config!$B$4,1,0),0)</f>
        <v>0</v>
      </c>
      <c r="AC242" s="52">
        <f>IF(AND(COUNTA($A242:$L242)&gt;0,$C242=""),1,0)</f>
        <v>0</v>
      </c>
      <c r="AD242" s="52">
        <f>IF(AND(COUNTA($A242:$L242)&gt;0,$C242&lt;&gt;""),IF(COUNTIF(Config!$A$15:$A$34,$C242)=0,1,0),0)</f>
        <v>0</v>
      </c>
      <c r="AE242" s="52">
        <f>IF(AND(COUNTA($A242:$L242)&gt;0,$D242=""),1,0)</f>
        <v>0</v>
      </c>
      <c r="AF242" s="52">
        <f>IF(AND(COUNTA($A242:$L242)&gt;0,$D242&lt;&gt;""),IF(COUNTIF(Products!$A$2:$A$101,$D242)=0,1,0),0)</f>
        <v>0</v>
      </c>
      <c r="AG242" s="52">
        <f>IF(AND(COUNTA($A242:$L242)&gt;0,$C242="Receipt",$E242=""),1,0)</f>
        <v>0</v>
      </c>
      <c r="AH242" s="52">
        <f>IF(AND(COUNTA($A242:$L242)&gt;0,$E242&lt;&gt;""),IF(COUNTIF(Suppliers!$A$2:$A$51,$E242)=0,1,0),0)</f>
        <v>0</v>
      </c>
      <c r="AI242" s="52">
        <f>IF(AND(COUNTA($A242:$L242)&gt;0,$F242=""),1,0)</f>
        <v>0</v>
      </c>
      <c r="AJ242" s="52">
        <f>IF(AND(COUNTA($A242:$L242)&gt;0,$F242&lt;&gt;"",$D242&lt;&gt;"",OR($C242="Shipment",$C242="Adjustment")),IF($AF242=1,0,IF(COUNTIFS(Batches!$A$2:$A$301,$F242,Batches!$B$2:$B$301,$D242)+COUNTIFS($F$1:$F241,$F242,$D$1:$D241,$D242,$C$1:$C241,"Receipt")=0,1,0)),0)</f>
        <v>0</v>
      </c>
      <c r="AK242" s="52">
        <f>IF(AND(COUNTA($A242:$L242)&gt;0,$C242="Receipt",$G242=""),1,0)</f>
        <v>0</v>
      </c>
      <c r="AL242" s="52">
        <f>IF(AND(COUNTA($A242:$L242)&gt;0,$G242&lt;&gt;""),IF($N242="ERR",1,0),0)</f>
        <v>0</v>
      </c>
      <c r="AM242" s="52">
        <f>IF(AND(COUNTA($A242:$L242)&gt;0,$H242=""),1,0)</f>
        <v>0</v>
      </c>
      <c r="AN242" s="52">
        <f>IF(AND(COUNTA($A242:$L242)&gt;0,$H242&lt;&gt;""),IF($O242="ERR",1,IF(INT($O242)&lt;&gt;$O242,1,IF(AND(OR($C242="Receipt",$C242="Shipment"),$O242&lt;=0),1,IF(AND($C242="Adjustment",$O242=0),1,0)))),0)</f>
        <v>0</v>
      </c>
      <c r="AO242" s="52">
        <f>IF(AND(COUNTA($A242:$L242)&gt;0,$C242="Receipt",$I242=""),1,0)</f>
        <v>0</v>
      </c>
      <c r="AP242" s="52">
        <f>IF(AND(COUNTA($A242:$L242)&gt;0,$I242&lt;&gt;""),IF(IFERROR(INDEX(Config!$G$15:$G$34,MATCH($I242,Config!$E$15:$E$34,0)),"No")="Yes",0,1),0)</f>
        <v>0</v>
      </c>
      <c r="AQ242" s="52">
        <f>IF(AND(COUNTA($A242:$L242)&gt;0,$C242="Adjustment",$J242=""),1,0)</f>
        <v>0</v>
      </c>
      <c r="AR242" s="52">
        <f>IF(AND(COUNTA($A242:$L242)&gt;0,$L242=""),1,0)</f>
        <v>0</v>
      </c>
      <c r="AS242" s="52">
        <f>IF(AND(COUNTA($A242:$L242)&gt;0,ISNUMBER($S242)),IF($S242&lt;0,1,0),0)</f>
        <v>0</v>
      </c>
      <c r="AT242" s="52">
        <f>$W242</f>
        <v>0</v>
      </c>
      <c r="AU242" s="52">
        <f>$AT242+$X242</f>
        <v>0</v>
      </c>
      <c r="AV242" s="52">
        <f>$AU242+$Y242</f>
        <v>0</v>
      </c>
      <c r="AW242" s="52">
        <f>$AV242+$Z242</f>
        <v>0</v>
      </c>
      <c r="AX242" s="52">
        <f>$AW242+$AA242</f>
        <v>0</v>
      </c>
      <c r="AY242" s="52">
        <f>$AX242+$AB242</f>
        <v>0</v>
      </c>
      <c r="AZ242" s="52">
        <f>$AY242+$AC242</f>
        <v>0</v>
      </c>
      <c r="BA242" s="52">
        <f>$AZ242+$AD242</f>
        <v>0</v>
      </c>
      <c r="BB242" s="52">
        <f>$BA242+$AE242</f>
        <v>0</v>
      </c>
      <c r="BC242" s="52">
        <f>$BB242+$AF242</f>
        <v>0</v>
      </c>
      <c r="BD242" s="52">
        <f>$BC242+$AG242</f>
        <v>0</v>
      </c>
      <c r="BE242" s="52">
        <f>$BD242+$AH242</f>
        <v>0</v>
      </c>
      <c r="BF242" s="52">
        <f>$BE242+$AI242</f>
        <v>0</v>
      </c>
      <c r="BG242" s="52">
        <f>$BF242+$AJ242</f>
        <v>0</v>
      </c>
      <c r="BH242" s="52">
        <f>$BG242+$AK242</f>
        <v>0</v>
      </c>
      <c r="BI242" s="52">
        <f>$BH242+$AL242</f>
        <v>0</v>
      </c>
      <c r="BJ242" s="52">
        <f>$BI242+$AM242</f>
        <v>0</v>
      </c>
      <c r="BK242" s="52">
        <f>$BJ242+$AN242</f>
        <v>0</v>
      </c>
      <c r="BL242" s="52">
        <f>$BK242+$AO242</f>
        <v>0</v>
      </c>
      <c r="BM242" s="52">
        <f>$BL242+$AP242</f>
        <v>0</v>
      </c>
      <c r="BN242" s="52">
        <f>$BM242+$AQ242</f>
        <v>0</v>
      </c>
      <c r="BO242" s="52">
        <f>$BN242+$AR242</f>
        <v>0</v>
      </c>
      <c r="BP242" s="52">
        <f>$BO242+$AS242</f>
        <v>0</v>
      </c>
      <c r="BQ242" s="52">
        <f>SUM($T$1:$T241)</f>
        <v>11</v>
      </c>
      <c r="BR242" s="52" t="str">
        <f>IF(ISNUMBER($T242),IF($T242&gt;0,COUNTIF($T$2:$T242,"&gt;0"),""),"")</f>
        <v/>
      </c>
      <c r="BS242" s="52" t="str">
        <f>IF($BR242="","",$BQ242+$T242)</f>
        <v/>
      </c>
      <c r="BT242" s="52" t="str">
        <f>IF($U242="Ready",COUNTIF($U$2:$U242,"Ready"),"")</f>
        <v/>
      </c>
      <c r="BU242" s="52">
        <f>IF(AND($U242="Ready",$C242="Receipt"),IF(COUNTIF(Batches!$A$2:$A$301,$F242)+COUNTIFS($F$1:$F241,$F242,$C$1:$C241,"Receipt",$U$1:$U241,"Ready")=0,1,0),0)</f>
        <v>0</v>
      </c>
      <c r="BV242" s="52" t="str">
        <f>IF($BU242=1,SUM($BU$2:$BU242),"")</f>
        <v/>
      </c>
    </row>
    <row r="243">
      <c r="A243" s="46" t="n"/>
      <c r="B243" s="46" t="n"/>
      <c r="C243" s="46" t="n"/>
      <c r="D243" s="46" t="n"/>
      <c r="E243" s="46" t="n"/>
      <c r="F243" s="46" t="n"/>
      <c r="G243" s="46" t="n"/>
      <c r="H243" s="46" t="n"/>
      <c r="I243" s="46" t="n"/>
      <c r="J243" s="46" t="n"/>
      <c r="K243" s="46" t="n"/>
      <c r="L243" s="46" t="n"/>
      <c r="M243" s="62" t="str">
        <f>IF($B243="","",IF(ISNUMBER($B243),$B243,IF(AND(LEN($B243)=10,MID($B243,5,1)="-",MID($B243,8,1)="-"),IFERROR(IF(AND(MONTH(DATE(VALUE(LEFT($B243,4)),VALUE(MID($B243,6,2)),VALUE(RIGHT($B243,2))))=VALUE(MID($B243,6,2)),DAY(DATE(VALUE(LEFT($B243,4)),VALUE(MID($B243,6,2)),VALUE(RIGHT($B243,2))))=VALUE(RIGHT($B243,2))),DATE(VALUE(LEFT($B243,4)),VALUE(MID($B243,6,2)),VALUE(RIGHT($B243,2))),"ERR"),"ERR"),"ERR")))</f>
        <v/>
      </c>
      <c r="N243" s="62" t="str">
        <f>IF($G243="","",IF(ISNUMBER($G243),$G243,IF(AND(LEN($G243)=10,MID($G243,5,1)="-",MID($G243,8,1)="-"),IFERROR(IF(AND(MONTH(DATE(VALUE(LEFT($G243,4)),VALUE(MID($G243,6,2)),VALUE(RIGHT($G243,2))))=VALUE(MID($G243,6,2)),DAY(DATE(VALUE(LEFT($G243,4)),VALUE(MID($G243,6,2)),VALUE(RIGHT($G243,2))))=VALUE(RIGHT($G243,2))),DATE(VALUE(LEFT($G243,4)),VALUE(MID($G243,6,2)),VALUE(RIGHT($G243,2))),"ERR"),"ERR"),"ERR")))</f>
        <v/>
      </c>
      <c r="O243" s="51" t="str">
        <f>IF($H243="","",IF(ISNUMBER($H243),$H243,IFERROR(VALUE($H243),"ERR")))</f>
        <v/>
      </c>
      <c r="P243" s="51" t="str">
        <f>IF(AND(ISNUMBER($O243),OR($C243="Receipt",$C243="Shipment",$C243="Adjustment")),IF($C243="Shipment",-$O243,$O243),"")</f>
        <v/>
      </c>
      <c r="Q243" s="51" t="str">
        <f>IF($D243="","",IFERROR(INDEX(Products!$R$2:$R$101,MATCH($D243,Products!$A$2:$A$101,0)),""))</f>
        <v/>
      </c>
      <c r="R243" s="51" t="str">
        <f>IF(OR($Q243="",$P243=""),"",$Q243+SUMIFS($P$1:$P242,$D$1:$D242,$D243,$U$1:$U242,"Ready"))</f>
        <v/>
      </c>
      <c r="S243" s="51" t="str">
        <f>IF($R243="","",$R243+$P243)</f>
        <v/>
      </c>
      <c r="T243" s="52" t="str">
        <f>IF(COUNTA($A243:$L243)&gt;0,$BP243,"")</f>
        <v/>
      </c>
      <c r="U243" s="49" t="str">
        <f>IF($T243="","",IF($T243=0,"Ready","Rejected"))</f>
        <v/>
      </c>
      <c r="V243" s="49" t="str">
        <f>IF(OR($T243="",$T243=0),"",INDEX(Config!$D$39:$D$61,MATCH(1,$AT243:$BP243,0))&amp;IF($T243&gt;1," (+"&amp;($T243-1)&amp;" more)",""))</f>
        <v/>
      </c>
      <c r="W243" s="52">
        <f>IF(AND(COUNTA($A243:$L243)&gt;0,$A243=""),1,0)</f>
        <v>0</v>
      </c>
      <c r="X243" s="52">
        <f>IF(AND(COUNTA($A243:$L243)&gt;0,$A243&lt;&gt;""),IF(COUNTIF($A$1:$A242,$A243)&gt;0,1,0),0)</f>
        <v>0</v>
      </c>
      <c r="Y243" s="52">
        <f>IF(AND(COUNTA($A243:$L243)&gt;0,$A243&lt;&gt;""),IF(COUNTIF(Inventory_Ledger!$A$2:$A$2001,$A243)&gt;0,1,0),0)</f>
        <v>0</v>
      </c>
      <c r="Z243" s="52">
        <f>IF(AND(COUNTA($A243:$L243)&gt;0,$B243=""),1,0)</f>
        <v>0</v>
      </c>
      <c r="AA243" s="52">
        <f>IF(AND(COUNTA($A243:$L243)&gt;0,$B243&lt;&gt;""),IF($M243="ERR",1,0),0)</f>
        <v>0</v>
      </c>
      <c r="AB243" s="52">
        <f>IF(AND(COUNTA($A243:$L243)&gt;0,ISNUMBER($M243)),IF($M243&gt;Config!$B$4,1,0),0)</f>
        <v>0</v>
      </c>
      <c r="AC243" s="52">
        <f>IF(AND(COUNTA($A243:$L243)&gt;0,$C243=""),1,0)</f>
        <v>0</v>
      </c>
      <c r="AD243" s="52">
        <f>IF(AND(COUNTA($A243:$L243)&gt;0,$C243&lt;&gt;""),IF(COUNTIF(Config!$A$15:$A$34,$C243)=0,1,0),0)</f>
        <v>0</v>
      </c>
      <c r="AE243" s="52">
        <f>IF(AND(COUNTA($A243:$L243)&gt;0,$D243=""),1,0)</f>
        <v>0</v>
      </c>
      <c r="AF243" s="52">
        <f>IF(AND(COUNTA($A243:$L243)&gt;0,$D243&lt;&gt;""),IF(COUNTIF(Products!$A$2:$A$101,$D243)=0,1,0),0)</f>
        <v>0</v>
      </c>
      <c r="AG243" s="52">
        <f>IF(AND(COUNTA($A243:$L243)&gt;0,$C243="Receipt",$E243=""),1,0)</f>
        <v>0</v>
      </c>
      <c r="AH243" s="52">
        <f>IF(AND(COUNTA($A243:$L243)&gt;0,$E243&lt;&gt;""),IF(COUNTIF(Suppliers!$A$2:$A$51,$E243)=0,1,0),0)</f>
        <v>0</v>
      </c>
      <c r="AI243" s="52">
        <f>IF(AND(COUNTA($A243:$L243)&gt;0,$F243=""),1,0)</f>
        <v>0</v>
      </c>
      <c r="AJ243" s="52">
        <f>IF(AND(COUNTA($A243:$L243)&gt;0,$F243&lt;&gt;"",$D243&lt;&gt;"",OR($C243="Shipment",$C243="Adjustment")),IF($AF243=1,0,IF(COUNTIFS(Batches!$A$2:$A$301,$F243,Batches!$B$2:$B$301,$D243)+COUNTIFS($F$1:$F242,$F243,$D$1:$D242,$D243,$C$1:$C242,"Receipt")=0,1,0)),0)</f>
        <v>0</v>
      </c>
      <c r="AK243" s="52">
        <f>IF(AND(COUNTA($A243:$L243)&gt;0,$C243="Receipt",$G243=""),1,0)</f>
        <v>0</v>
      </c>
      <c r="AL243" s="52">
        <f>IF(AND(COUNTA($A243:$L243)&gt;0,$G243&lt;&gt;""),IF($N243="ERR",1,0),0)</f>
        <v>0</v>
      </c>
      <c r="AM243" s="52">
        <f>IF(AND(COUNTA($A243:$L243)&gt;0,$H243=""),1,0)</f>
        <v>0</v>
      </c>
      <c r="AN243" s="52">
        <f>IF(AND(COUNTA($A243:$L243)&gt;0,$H243&lt;&gt;""),IF($O243="ERR",1,IF(INT($O243)&lt;&gt;$O243,1,IF(AND(OR($C243="Receipt",$C243="Shipment"),$O243&lt;=0),1,IF(AND($C243="Adjustment",$O243=0),1,0)))),0)</f>
        <v>0</v>
      </c>
      <c r="AO243" s="52">
        <f>IF(AND(COUNTA($A243:$L243)&gt;0,$C243="Receipt",$I243=""),1,0)</f>
        <v>0</v>
      </c>
      <c r="AP243" s="52">
        <f>IF(AND(COUNTA($A243:$L243)&gt;0,$I243&lt;&gt;""),IF(IFERROR(INDEX(Config!$G$15:$G$34,MATCH($I243,Config!$E$15:$E$34,0)),"No")="Yes",0,1),0)</f>
        <v>0</v>
      </c>
      <c r="AQ243" s="52">
        <f>IF(AND(COUNTA($A243:$L243)&gt;0,$C243="Adjustment",$J243=""),1,0)</f>
        <v>0</v>
      </c>
      <c r="AR243" s="52">
        <f>IF(AND(COUNTA($A243:$L243)&gt;0,$L243=""),1,0)</f>
        <v>0</v>
      </c>
      <c r="AS243" s="52">
        <f>IF(AND(COUNTA($A243:$L243)&gt;0,ISNUMBER($S243)),IF($S243&lt;0,1,0),0)</f>
        <v>0</v>
      </c>
      <c r="AT243" s="52">
        <f>$W243</f>
        <v>0</v>
      </c>
      <c r="AU243" s="52">
        <f>$AT243+$X243</f>
        <v>0</v>
      </c>
      <c r="AV243" s="52">
        <f>$AU243+$Y243</f>
        <v>0</v>
      </c>
      <c r="AW243" s="52">
        <f>$AV243+$Z243</f>
        <v>0</v>
      </c>
      <c r="AX243" s="52">
        <f>$AW243+$AA243</f>
        <v>0</v>
      </c>
      <c r="AY243" s="52">
        <f>$AX243+$AB243</f>
        <v>0</v>
      </c>
      <c r="AZ243" s="52">
        <f>$AY243+$AC243</f>
        <v>0</v>
      </c>
      <c r="BA243" s="52">
        <f>$AZ243+$AD243</f>
        <v>0</v>
      </c>
      <c r="BB243" s="52">
        <f>$BA243+$AE243</f>
        <v>0</v>
      </c>
      <c r="BC243" s="52">
        <f>$BB243+$AF243</f>
        <v>0</v>
      </c>
      <c r="BD243" s="52">
        <f>$BC243+$AG243</f>
        <v>0</v>
      </c>
      <c r="BE243" s="52">
        <f>$BD243+$AH243</f>
        <v>0</v>
      </c>
      <c r="BF243" s="52">
        <f>$BE243+$AI243</f>
        <v>0</v>
      </c>
      <c r="BG243" s="52">
        <f>$BF243+$AJ243</f>
        <v>0</v>
      </c>
      <c r="BH243" s="52">
        <f>$BG243+$AK243</f>
        <v>0</v>
      </c>
      <c r="BI243" s="52">
        <f>$BH243+$AL243</f>
        <v>0</v>
      </c>
      <c r="BJ243" s="52">
        <f>$BI243+$AM243</f>
        <v>0</v>
      </c>
      <c r="BK243" s="52">
        <f>$BJ243+$AN243</f>
        <v>0</v>
      </c>
      <c r="BL243" s="52">
        <f>$BK243+$AO243</f>
        <v>0</v>
      </c>
      <c r="BM243" s="52">
        <f>$BL243+$AP243</f>
        <v>0</v>
      </c>
      <c r="BN243" s="52">
        <f>$BM243+$AQ243</f>
        <v>0</v>
      </c>
      <c r="BO243" s="52">
        <f>$BN243+$AR243</f>
        <v>0</v>
      </c>
      <c r="BP243" s="52">
        <f>$BO243+$AS243</f>
        <v>0</v>
      </c>
      <c r="BQ243" s="52">
        <f>SUM($T$1:$T242)</f>
        <v>11</v>
      </c>
      <c r="BR243" s="52" t="str">
        <f>IF(ISNUMBER($T243),IF($T243&gt;0,COUNTIF($T$2:$T243,"&gt;0"),""),"")</f>
        <v/>
      </c>
      <c r="BS243" s="52" t="str">
        <f>IF($BR243="","",$BQ243+$T243)</f>
        <v/>
      </c>
      <c r="BT243" s="52" t="str">
        <f>IF($U243="Ready",COUNTIF($U$2:$U243,"Ready"),"")</f>
        <v/>
      </c>
      <c r="BU243" s="52">
        <f>IF(AND($U243="Ready",$C243="Receipt"),IF(COUNTIF(Batches!$A$2:$A$301,$F243)+COUNTIFS($F$1:$F242,$F243,$C$1:$C242,"Receipt",$U$1:$U242,"Ready")=0,1,0),0)</f>
        <v>0</v>
      </c>
      <c r="BV243" s="52" t="str">
        <f>IF($BU243=1,SUM($BU$2:$BU243),"")</f>
        <v/>
      </c>
    </row>
    <row r="244">
      <c r="A244" s="46" t="n"/>
      <c r="B244" s="46" t="n"/>
      <c r="C244" s="46" t="n"/>
      <c r="D244" s="46" t="n"/>
      <c r="E244" s="46" t="n"/>
      <c r="F244" s="46" t="n"/>
      <c r="G244" s="46" t="n"/>
      <c r="H244" s="46" t="n"/>
      <c r="I244" s="46" t="n"/>
      <c r="J244" s="46" t="n"/>
      <c r="K244" s="46" t="n"/>
      <c r="L244" s="46" t="n"/>
      <c r="M244" s="62" t="str">
        <f>IF($B244="","",IF(ISNUMBER($B244),$B244,IF(AND(LEN($B244)=10,MID($B244,5,1)="-",MID($B244,8,1)="-"),IFERROR(IF(AND(MONTH(DATE(VALUE(LEFT($B244,4)),VALUE(MID($B244,6,2)),VALUE(RIGHT($B244,2))))=VALUE(MID($B244,6,2)),DAY(DATE(VALUE(LEFT($B244,4)),VALUE(MID($B244,6,2)),VALUE(RIGHT($B244,2))))=VALUE(RIGHT($B244,2))),DATE(VALUE(LEFT($B244,4)),VALUE(MID($B244,6,2)),VALUE(RIGHT($B244,2))),"ERR"),"ERR"),"ERR")))</f>
        <v/>
      </c>
      <c r="N244" s="62" t="str">
        <f>IF($G244="","",IF(ISNUMBER($G244),$G244,IF(AND(LEN($G244)=10,MID($G244,5,1)="-",MID($G244,8,1)="-"),IFERROR(IF(AND(MONTH(DATE(VALUE(LEFT($G244,4)),VALUE(MID($G244,6,2)),VALUE(RIGHT($G244,2))))=VALUE(MID($G244,6,2)),DAY(DATE(VALUE(LEFT($G244,4)),VALUE(MID($G244,6,2)),VALUE(RIGHT($G244,2))))=VALUE(RIGHT($G244,2))),DATE(VALUE(LEFT($G244,4)),VALUE(MID($G244,6,2)),VALUE(RIGHT($G244,2))),"ERR"),"ERR"),"ERR")))</f>
        <v/>
      </c>
      <c r="O244" s="51" t="str">
        <f>IF($H244="","",IF(ISNUMBER($H244),$H244,IFERROR(VALUE($H244),"ERR")))</f>
        <v/>
      </c>
      <c r="P244" s="51" t="str">
        <f>IF(AND(ISNUMBER($O244),OR($C244="Receipt",$C244="Shipment",$C244="Adjustment")),IF($C244="Shipment",-$O244,$O244),"")</f>
        <v/>
      </c>
      <c r="Q244" s="51" t="str">
        <f>IF($D244="","",IFERROR(INDEX(Products!$R$2:$R$101,MATCH($D244,Products!$A$2:$A$101,0)),""))</f>
        <v/>
      </c>
      <c r="R244" s="51" t="str">
        <f>IF(OR($Q244="",$P244=""),"",$Q244+SUMIFS($P$1:$P243,$D$1:$D243,$D244,$U$1:$U243,"Ready"))</f>
        <v/>
      </c>
      <c r="S244" s="51" t="str">
        <f>IF($R244="","",$R244+$P244)</f>
        <v/>
      </c>
      <c r="T244" s="52" t="str">
        <f>IF(COUNTA($A244:$L244)&gt;0,$BP244,"")</f>
        <v/>
      </c>
      <c r="U244" s="49" t="str">
        <f>IF($T244="","",IF($T244=0,"Ready","Rejected"))</f>
        <v/>
      </c>
      <c r="V244" s="49" t="str">
        <f>IF(OR($T244="",$T244=0),"",INDEX(Config!$D$39:$D$61,MATCH(1,$AT244:$BP244,0))&amp;IF($T244&gt;1," (+"&amp;($T244-1)&amp;" more)",""))</f>
        <v/>
      </c>
      <c r="W244" s="52">
        <f>IF(AND(COUNTA($A244:$L244)&gt;0,$A244=""),1,0)</f>
        <v>0</v>
      </c>
      <c r="X244" s="52">
        <f>IF(AND(COUNTA($A244:$L244)&gt;0,$A244&lt;&gt;""),IF(COUNTIF($A$1:$A243,$A244)&gt;0,1,0),0)</f>
        <v>0</v>
      </c>
      <c r="Y244" s="52">
        <f>IF(AND(COUNTA($A244:$L244)&gt;0,$A244&lt;&gt;""),IF(COUNTIF(Inventory_Ledger!$A$2:$A$2001,$A244)&gt;0,1,0),0)</f>
        <v>0</v>
      </c>
      <c r="Z244" s="52">
        <f>IF(AND(COUNTA($A244:$L244)&gt;0,$B244=""),1,0)</f>
        <v>0</v>
      </c>
      <c r="AA244" s="52">
        <f>IF(AND(COUNTA($A244:$L244)&gt;0,$B244&lt;&gt;""),IF($M244="ERR",1,0),0)</f>
        <v>0</v>
      </c>
      <c r="AB244" s="52">
        <f>IF(AND(COUNTA($A244:$L244)&gt;0,ISNUMBER($M244)),IF($M244&gt;Config!$B$4,1,0),0)</f>
        <v>0</v>
      </c>
      <c r="AC244" s="52">
        <f>IF(AND(COUNTA($A244:$L244)&gt;0,$C244=""),1,0)</f>
        <v>0</v>
      </c>
      <c r="AD244" s="52">
        <f>IF(AND(COUNTA($A244:$L244)&gt;0,$C244&lt;&gt;""),IF(COUNTIF(Config!$A$15:$A$34,$C244)=0,1,0),0)</f>
        <v>0</v>
      </c>
      <c r="AE244" s="52">
        <f>IF(AND(COUNTA($A244:$L244)&gt;0,$D244=""),1,0)</f>
        <v>0</v>
      </c>
      <c r="AF244" s="52">
        <f>IF(AND(COUNTA($A244:$L244)&gt;0,$D244&lt;&gt;""),IF(COUNTIF(Products!$A$2:$A$101,$D244)=0,1,0),0)</f>
        <v>0</v>
      </c>
      <c r="AG244" s="52">
        <f>IF(AND(COUNTA($A244:$L244)&gt;0,$C244="Receipt",$E244=""),1,0)</f>
        <v>0</v>
      </c>
      <c r="AH244" s="52">
        <f>IF(AND(COUNTA($A244:$L244)&gt;0,$E244&lt;&gt;""),IF(COUNTIF(Suppliers!$A$2:$A$51,$E244)=0,1,0),0)</f>
        <v>0</v>
      </c>
      <c r="AI244" s="52">
        <f>IF(AND(COUNTA($A244:$L244)&gt;0,$F244=""),1,0)</f>
        <v>0</v>
      </c>
      <c r="AJ244" s="52">
        <f>IF(AND(COUNTA($A244:$L244)&gt;0,$F244&lt;&gt;"",$D244&lt;&gt;"",OR($C244="Shipment",$C244="Adjustment")),IF($AF244=1,0,IF(COUNTIFS(Batches!$A$2:$A$301,$F244,Batches!$B$2:$B$301,$D244)+COUNTIFS($F$1:$F243,$F244,$D$1:$D243,$D244,$C$1:$C243,"Receipt")=0,1,0)),0)</f>
        <v>0</v>
      </c>
      <c r="AK244" s="52">
        <f>IF(AND(COUNTA($A244:$L244)&gt;0,$C244="Receipt",$G244=""),1,0)</f>
        <v>0</v>
      </c>
      <c r="AL244" s="52">
        <f>IF(AND(COUNTA($A244:$L244)&gt;0,$G244&lt;&gt;""),IF($N244="ERR",1,0),0)</f>
        <v>0</v>
      </c>
      <c r="AM244" s="52">
        <f>IF(AND(COUNTA($A244:$L244)&gt;0,$H244=""),1,0)</f>
        <v>0</v>
      </c>
      <c r="AN244" s="52">
        <f>IF(AND(COUNTA($A244:$L244)&gt;0,$H244&lt;&gt;""),IF($O244="ERR",1,IF(INT($O244)&lt;&gt;$O244,1,IF(AND(OR($C244="Receipt",$C244="Shipment"),$O244&lt;=0),1,IF(AND($C244="Adjustment",$O244=0),1,0)))),0)</f>
        <v>0</v>
      </c>
      <c r="AO244" s="52">
        <f>IF(AND(COUNTA($A244:$L244)&gt;0,$C244="Receipt",$I244=""),1,0)</f>
        <v>0</v>
      </c>
      <c r="AP244" s="52">
        <f>IF(AND(COUNTA($A244:$L244)&gt;0,$I244&lt;&gt;""),IF(IFERROR(INDEX(Config!$G$15:$G$34,MATCH($I244,Config!$E$15:$E$34,0)),"No")="Yes",0,1),0)</f>
        <v>0</v>
      </c>
      <c r="AQ244" s="52">
        <f>IF(AND(COUNTA($A244:$L244)&gt;0,$C244="Adjustment",$J244=""),1,0)</f>
        <v>0</v>
      </c>
      <c r="AR244" s="52">
        <f>IF(AND(COUNTA($A244:$L244)&gt;0,$L244=""),1,0)</f>
        <v>0</v>
      </c>
      <c r="AS244" s="52">
        <f>IF(AND(COUNTA($A244:$L244)&gt;0,ISNUMBER($S244)),IF($S244&lt;0,1,0),0)</f>
        <v>0</v>
      </c>
      <c r="AT244" s="52">
        <f>$W244</f>
        <v>0</v>
      </c>
      <c r="AU244" s="52">
        <f>$AT244+$X244</f>
        <v>0</v>
      </c>
      <c r="AV244" s="52">
        <f>$AU244+$Y244</f>
        <v>0</v>
      </c>
      <c r="AW244" s="52">
        <f>$AV244+$Z244</f>
        <v>0</v>
      </c>
      <c r="AX244" s="52">
        <f>$AW244+$AA244</f>
        <v>0</v>
      </c>
      <c r="AY244" s="52">
        <f>$AX244+$AB244</f>
        <v>0</v>
      </c>
      <c r="AZ244" s="52">
        <f>$AY244+$AC244</f>
        <v>0</v>
      </c>
      <c r="BA244" s="52">
        <f>$AZ244+$AD244</f>
        <v>0</v>
      </c>
      <c r="BB244" s="52">
        <f>$BA244+$AE244</f>
        <v>0</v>
      </c>
      <c r="BC244" s="52">
        <f>$BB244+$AF244</f>
        <v>0</v>
      </c>
      <c r="BD244" s="52">
        <f>$BC244+$AG244</f>
        <v>0</v>
      </c>
      <c r="BE244" s="52">
        <f>$BD244+$AH244</f>
        <v>0</v>
      </c>
      <c r="BF244" s="52">
        <f>$BE244+$AI244</f>
        <v>0</v>
      </c>
      <c r="BG244" s="52">
        <f>$BF244+$AJ244</f>
        <v>0</v>
      </c>
      <c r="BH244" s="52">
        <f>$BG244+$AK244</f>
        <v>0</v>
      </c>
      <c r="BI244" s="52">
        <f>$BH244+$AL244</f>
        <v>0</v>
      </c>
      <c r="BJ244" s="52">
        <f>$BI244+$AM244</f>
        <v>0</v>
      </c>
      <c r="BK244" s="52">
        <f>$BJ244+$AN244</f>
        <v>0</v>
      </c>
      <c r="BL244" s="52">
        <f>$BK244+$AO244</f>
        <v>0</v>
      </c>
      <c r="BM244" s="52">
        <f>$BL244+$AP244</f>
        <v>0</v>
      </c>
      <c r="BN244" s="52">
        <f>$BM244+$AQ244</f>
        <v>0</v>
      </c>
      <c r="BO244" s="52">
        <f>$BN244+$AR244</f>
        <v>0</v>
      </c>
      <c r="BP244" s="52">
        <f>$BO244+$AS244</f>
        <v>0</v>
      </c>
      <c r="BQ244" s="52">
        <f>SUM($T$1:$T243)</f>
        <v>11</v>
      </c>
      <c r="BR244" s="52" t="str">
        <f>IF(ISNUMBER($T244),IF($T244&gt;0,COUNTIF($T$2:$T244,"&gt;0"),""),"")</f>
        <v/>
      </c>
      <c r="BS244" s="52" t="str">
        <f>IF($BR244="","",$BQ244+$T244)</f>
        <v/>
      </c>
      <c r="BT244" s="52" t="str">
        <f>IF($U244="Ready",COUNTIF($U$2:$U244,"Ready"),"")</f>
        <v/>
      </c>
      <c r="BU244" s="52">
        <f>IF(AND($U244="Ready",$C244="Receipt"),IF(COUNTIF(Batches!$A$2:$A$301,$F244)+COUNTIFS($F$1:$F243,$F244,$C$1:$C243,"Receipt",$U$1:$U243,"Ready")=0,1,0),0)</f>
        <v>0</v>
      </c>
      <c r="BV244" s="52" t="str">
        <f>IF($BU244=1,SUM($BU$2:$BU244),"")</f>
        <v/>
      </c>
    </row>
    <row r="245">
      <c r="A245" s="46" t="n"/>
      <c r="B245" s="46" t="n"/>
      <c r="C245" s="46" t="n"/>
      <c r="D245" s="46" t="n"/>
      <c r="E245" s="46" t="n"/>
      <c r="F245" s="46" t="n"/>
      <c r="G245" s="46" t="n"/>
      <c r="H245" s="46" t="n"/>
      <c r="I245" s="46" t="n"/>
      <c r="J245" s="46" t="n"/>
      <c r="K245" s="46" t="n"/>
      <c r="L245" s="46" t="n"/>
      <c r="M245" s="62" t="str">
        <f>IF($B245="","",IF(ISNUMBER($B245),$B245,IF(AND(LEN($B245)=10,MID($B245,5,1)="-",MID($B245,8,1)="-"),IFERROR(IF(AND(MONTH(DATE(VALUE(LEFT($B245,4)),VALUE(MID($B245,6,2)),VALUE(RIGHT($B245,2))))=VALUE(MID($B245,6,2)),DAY(DATE(VALUE(LEFT($B245,4)),VALUE(MID($B245,6,2)),VALUE(RIGHT($B245,2))))=VALUE(RIGHT($B245,2))),DATE(VALUE(LEFT($B245,4)),VALUE(MID($B245,6,2)),VALUE(RIGHT($B245,2))),"ERR"),"ERR"),"ERR")))</f>
        <v/>
      </c>
      <c r="N245" s="62" t="str">
        <f>IF($G245="","",IF(ISNUMBER($G245),$G245,IF(AND(LEN($G245)=10,MID($G245,5,1)="-",MID($G245,8,1)="-"),IFERROR(IF(AND(MONTH(DATE(VALUE(LEFT($G245,4)),VALUE(MID($G245,6,2)),VALUE(RIGHT($G245,2))))=VALUE(MID($G245,6,2)),DAY(DATE(VALUE(LEFT($G245,4)),VALUE(MID($G245,6,2)),VALUE(RIGHT($G245,2))))=VALUE(RIGHT($G245,2))),DATE(VALUE(LEFT($G245,4)),VALUE(MID($G245,6,2)),VALUE(RIGHT($G245,2))),"ERR"),"ERR"),"ERR")))</f>
        <v/>
      </c>
      <c r="O245" s="51" t="str">
        <f>IF($H245="","",IF(ISNUMBER($H245),$H245,IFERROR(VALUE($H245),"ERR")))</f>
        <v/>
      </c>
      <c r="P245" s="51" t="str">
        <f>IF(AND(ISNUMBER($O245),OR($C245="Receipt",$C245="Shipment",$C245="Adjustment")),IF($C245="Shipment",-$O245,$O245),"")</f>
        <v/>
      </c>
      <c r="Q245" s="51" t="str">
        <f>IF($D245="","",IFERROR(INDEX(Products!$R$2:$R$101,MATCH($D245,Products!$A$2:$A$101,0)),""))</f>
        <v/>
      </c>
      <c r="R245" s="51" t="str">
        <f>IF(OR($Q245="",$P245=""),"",$Q245+SUMIFS($P$1:$P244,$D$1:$D244,$D245,$U$1:$U244,"Ready"))</f>
        <v/>
      </c>
      <c r="S245" s="51" t="str">
        <f>IF($R245="","",$R245+$P245)</f>
        <v/>
      </c>
      <c r="T245" s="52" t="str">
        <f>IF(COUNTA($A245:$L245)&gt;0,$BP245,"")</f>
        <v/>
      </c>
      <c r="U245" s="49" t="str">
        <f>IF($T245="","",IF($T245=0,"Ready","Rejected"))</f>
        <v/>
      </c>
      <c r="V245" s="49" t="str">
        <f>IF(OR($T245="",$T245=0),"",INDEX(Config!$D$39:$D$61,MATCH(1,$AT245:$BP245,0))&amp;IF($T245&gt;1," (+"&amp;($T245-1)&amp;" more)",""))</f>
        <v/>
      </c>
      <c r="W245" s="52">
        <f>IF(AND(COUNTA($A245:$L245)&gt;0,$A245=""),1,0)</f>
        <v>0</v>
      </c>
      <c r="X245" s="52">
        <f>IF(AND(COUNTA($A245:$L245)&gt;0,$A245&lt;&gt;""),IF(COUNTIF($A$1:$A244,$A245)&gt;0,1,0),0)</f>
        <v>0</v>
      </c>
      <c r="Y245" s="52">
        <f>IF(AND(COUNTA($A245:$L245)&gt;0,$A245&lt;&gt;""),IF(COUNTIF(Inventory_Ledger!$A$2:$A$2001,$A245)&gt;0,1,0),0)</f>
        <v>0</v>
      </c>
      <c r="Z245" s="52">
        <f>IF(AND(COUNTA($A245:$L245)&gt;0,$B245=""),1,0)</f>
        <v>0</v>
      </c>
      <c r="AA245" s="52">
        <f>IF(AND(COUNTA($A245:$L245)&gt;0,$B245&lt;&gt;""),IF($M245="ERR",1,0),0)</f>
        <v>0</v>
      </c>
      <c r="AB245" s="52">
        <f>IF(AND(COUNTA($A245:$L245)&gt;0,ISNUMBER($M245)),IF($M245&gt;Config!$B$4,1,0),0)</f>
        <v>0</v>
      </c>
      <c r="AC245" s="52">
        <f>IF(AND(COUNTA($A245:$L245)&gt;0,$C245=""),1,0)</f>
        <v>0</v>
      </c>
      <c r="AD245" s="52">
        <f>IF(AND(COUNTA($A245:$L245)&gt;0,$C245&lt;&gt;""),IF(COUNTIF(Config!$A$15:$A$34,$C245)=0,1,0),0)</f>
        <v>0</v>
      </c>
      <c r="AE245" s="52">
        <f>IF(AND(COUNTA($A245:$L245)&gt;0,$D245=""),1,0)</f>
        <v>0</v>
      </c>
      <c r="AF245" s="52">
        <f>IF(AND(COUNTA($A245:$L245)&gt;0,$D245&lt;&gt;""),IF(COUNTIF(Products!$A$2:$A$101,$D245)=0,1,0),0)</f>
        <v>0</v>
      </c>
      <c r="AG245" s="52">
        <f>IF(AND(COUNTA($A245:$L245)&gt;0,$C245="Receipt",$E245=""),1,0)</f>
        <v>0</v>
      </c>
      <c r="AH245" s="52">
        <f>IF(AND(COUNTA($A245:$L245)&gt;0,$E245&lt;&gt;""),IF(COUNTIF(Suppliers!$A$2:$A$51,$E245)=0,1,0),0)</f>
        <v>0</v>
      </c>
      <c r="AI245" s="52">
        <f>IF(AND(COUNTA($A245:$L245)&gt;0,$F245=""),1,0)</f>
        <v>0</v>
      </c>
      <c r="AJ245" s="52">
        <f>IF(AND(COUNTA($A245:$L245)&gt;0,$F245&lt;&gt;"",$D245&lt;&gt;"",OR($C245="Shipment",$C245="Adjustment")),IF($AF245=1,0,IF(COUNTIFS(Batches!$A$2:$A$301,$F245,Batches!$B$2:$B$301,$D245)+COUNTIFS($F$1:$F244,$F245,$D$1:$D244,$D245,$C$1:$C244,"Receipt")=0,1,0)),0)</f>
        <v>0</v>
      </c>
      <c r="AK245" s="52">
        <f>IF(AND(COUNTA($A245:$L245)&gt;0,$C245="Receipt",$G245=""),1,0)</f>
        <v>0</v>
      </c>
      <c r="AL245" s="52">
        <f>IF(AND(COUNTA($A245:$L245)&gt;0,$G245&lt;&gt;""),IF($N245="ERR",1,0),0)</f>
        <v>0</v>
      </c>
      <c r="AM245" s="52">
        <f>IF(AND(COUNTA($A245:$L245)&gt;0,$H245=""),1,0)</f>
        <v>0</v>
      </c>
      <c r="AN245" s="52">
        <f>IF(AND(COUNTA($A245:$L245)&gt;0,$H245&lt;&gt;""),IF($O245="ERR",1,IF(INT($O245)&lt;&gt;$O245,1,IF(AND(OR($C245="Receipt",$C245="Shipment"),$O245&lt;=0),1,IF(AND($C245="Adjustment",$O245=0),1,0)))),0)</f>
        <v>0</v>
      </c>
      <c r="AO245" s="52">
        <f>IF(AND(COUNTA($A245:$L245)&gt;0,$C245="Receipt",$I245=""),1,0)</f>
        <v>0</v>
      </c>
      <c r="AP245" s="52">
        <f>IF(AND(COUNTA($A245:$L245)&gt;0,$I245&lt;&gt;""),IF(IFERROR(INDEX(Config!$G$15:$G$34,MATCH($I245,Config!$E$15:$E$34,0)),"No")="Yes",0,1),0)</f>
        <v>0</v>
      </c>
      <c r="AQ245" s="52">
        <f>IF(AND(COUNTA($A245:$L245)&gt;0,$C245="Adjustment",$J245=""),1,0)</f>
        <v>0</v>
      </c>
      <c r="AR245" s="52">
        <f>IF(AND(COUNTA($A245:$L245)&gt;0,$L245=""),1,0)</f>
        <v>0</v>
      </c>
      <c r="AS245" s="52">
        <f>IF(AND(COUNTA($A245:$L245)&gt;0,ISNUMBER($S245)),IF($S245&lt;0,1,0),0)</f>
        <v>0</v>
      </c>
      <c r="AT245" s="52">
        <f>$W245</f>
        <v>0</v>
      </c>
      <c r="AU245" s="52">
        <f>$AT245+$X245</f>
        <v>0</v>
      </c>
      <c r="AV245" s="52">
        <f>$AU245+$Y245</f>
        <v>0</v>
      </c>
      <c r="AW245" s="52">
        <f>$AV245+$Z245</f>
        <v>0</v>
      </c>
      <c r="AX245" s="52">
        <f>$AW245+$AA245</f>
        <v>0</v>
      </c>
      <c r="AY245" s="52">
        <f>$AX245+$AB245</f>
        <v>0</v>
      </c>
      <c r="AZ245" s="52">
        <f>$AY245+$AC245</f>
        <v>0</v>
      </c>
      <c r="BA245" s="52">
        <f>$AZ245+$AD245</f>
        <v>0</v>
      </c>
      <c r="BB245" s="52">
        <f>$BA245+$AE245</f>
        <v>0</v>
      </c>
      <c r="BC245" s="52">
        <f>$BB245+$AF245</f>
        <v>0</v>
      </c>
      <c r="BD245" s="52">
        <f>$BC245+$AG245</f>
        <v>0</v>
      </c>
      <c r="BE245" s="52">
        <f>$BD245+$AH245</f>
        <v>0</v>
      </c>
      <c r="BF245" s="52">
        <f>$BE245+$AI245</f>
        <v>0</v>
      </c>
      <c r="BG245" s="52">
        <f>$BF245+$AJ245</f>
        <v>0</v>
      </c>
      <c r="BH245" s="52">
        <f>$BG245+$AK245</f>
        <v>0</v>
      </c>
      <c r="BI245" s="52">
        <f>$BH245+$AL245</f>
        <v>0</v>
      </c>
      <c r="BJ245" s="52">
        <f>$BI245+$AM245</f>
        <v>0</v>
      </c>
      <c r="BK245" s="52">
        <f>$BJ245+$AN245</f>
        <v>0</v>
      </c>
      <c r="BL245" s="52">
        <f>$BK245+$AO245</f>
        <v>0</v>
      </c>
      <c r="BM245" s="52">
        <f>$BL245+$AP245</f>
        <v>0</v>
      </c>
      <c r="BN245" s="52">
        <f>$BM245+$AQ245</f>
        <v>0</v>
      </c>
      <c r="BO245" s="52">
        <f>$BN245+$AR245</f>
        <v>0</v>
      </c>
      <c r="BP245" s="52">
        <f>$BO245+$AS245</f>
        <v>0</v>
      </c>
      <c r="BQ245" s="52">
        <f>SUM($T$1:$T244)</f>
        <v>11</v>
      </c>
      <c r="BR245" s="52" t="str">
        <f>IF(ISNUMBER($T245),IF($T245&gt;0,COUNTIF($T$2:$T245,"&gt;0"),""),"")</f>
        <v/>
      </c>
      <c r="BS245" s="52" t="str">
        <f>IF($BR245="","",$BQ245+$T245)</f>
        <v/>
      </c>
      <c r="BT245" s="52" t="str">
        <f>IF($U245="Ready",COUNTIF($U$2:$U245,"Ready"),"")</f>
        <v/>
      </c>
      <c r="BU245" s="52">
        <f>IF(AND($U245="Ready",$C245="Receipt"),IF(COUNTIF(Batches!$A$2:$A$301,$F245)+COUNTIFS($F$1:$F244,$F245,$C$1:$C244,"Receipt",$U$1:$U244,"Ready")=0,1,0),0)</f>
        <v>0</v>
      </c>
      <c r="BV245" s="52" t="str">
        <f>IF($BU245=1,SUM($BU$2:$BU245),"")</f>
        <v/>
      </c>
    </row>
    <row r="246">
      <c r="A246" s="46" t="n"/>
      <c r="B246" s="46" t="n"/>
      <c r="C246" s="46" t="n"/>
      <c r="D246" s="46" t="n"/>
      <c r="E246" s="46" t="n"/>
      <c r="F246" s="46" t="n"/>
      <c r="G246" s="46" t="n"/>
      <c r="H246" s="46" t="n"/>
      <c r="I246" s="46" t="n"/>
      <c r="J246" s="46" t="n"/>
      <c r="K246" s="46" t="n"/>
      <c r="L246" s="46" t="n"/>
      <c r="M246" s="62" t="str">
        <f>IF($B246="","",IF(ISNUMBER($B246),$B246,IF(AND(LEN($B246)=10,MID($B246,5,1)="-",MID($B246,8,1)="-"),IFERROR(IF(AND(MONTH(DATE(VALUE(LEFT($B246,4)),VALUE(MID($B246,6,2)),VALUE(RIGHT($B246,2))))=VALUE(MID($B246,6,2)),DAY(DATE(VALUE(LEFT($B246,4)),VALUE(MID($B246,6,2)),VALUE(RIGHT($B246,2))))=VALUE(RIGHT($B246,2))),DATE(VALUE(LEFT($B246,4)),VALUE(MID($B246,6,2)),VALUE(RIGHT($B246,2))),"ERR"),"ERR"),"ERR")))</f>
        <v/>
      </c>
      <c r="N246" s="62" t="str">
        <f>IF($G246="","",IF(ISNUMBER($G246),$G246,IF(AND(LEN($G246)=10,MID($G246,5,1)="-",MID($G246,8,1)="-"),IFERROR(IF(AND(MONTH(DATE(VALUE(LEFT($G246,4)),VALUE(MID($G246,6,2)),VALUE(RIGHT($G246,2))))=VALUE(MID($G246,6,2)),DAY(DATE(VALUE(LEFT($G246,4)),VALUE(MID($G246,6,2)),VALUE(RIGHT($G246,2))))=VALUE(RIGHT($G246,2))),DATE(VALUE(LEFT($G246,4)),VALUE(MID($G246,6,2)),VALUE(RIGHT($G246,2))),"ERR"),"ERR"),"ERR")))</f>
        <v/>
      </c>
      <c r="O246" s="51" t="str">
        <f>IF($H246="","",IF(ISNUMBER($H246),$H246,IFERROR(VALUE($H246),"ERR")))</f>
        <v/>
      </c>
      <c r="P246" s="51" t="str">
        <f>IF(AND(ISNUMBER($O246),OR($C246="Receipt",$C246="Shipment",$C246="Adjustment")),IF($C246="Shipment",-$O246,$O246),"")</f>
        <v/>
      </c>
      <c r="Q246" s="51" t="str">
        <f>IF($D246="","",IFERROR(INDEX(Products!$R$2:$R$101,MATCH($D246,Products!$A$2:$A$101,0)),""))</f>
        <v/>
      </c>
      <c r="R246" s="51" t="str">
        <f>IF(OR($Q246="",$P246=""),"",$Q246+SUMIFS($P$1:$P245,$D$1:$D245,$D246,$U$1:$U245,"Ready"))</f>
        <v/>
      </c>
      <c r="S246" s="51" t="str">
        <f>IF($R246="","",$R246+$P246)</f>
        <v/>
      </c>
      <c r="T246" s="52" t="str">
        <f>IF(COUNTA($A246:$L246)&gt;0,$BP246,"")</f>
        <v/>
      </c>
      <c r="U246" s="49" t="str">
        <f>IF($T246="","",IF($T246=0,"Ready","Rejected"))</f>
        <v/>
      </c>
      <c r="V246" s="49" t="str">
        <f>IF(OR($T246="",$T246=0),"",INDEX(Config!$D$39:$D$61,MATCH(1,$AT246:$BP246,0))&amp;IF($T246&gt;1," (+"&amp;($T246-1)&amp;" more)",""))</f>
        <v/>
      </c>
      <c r="W246" s="52">
        <f>IF(AND(COUNTA($A246:$L246)&gt;0,$A246=""),1,0)</f>
        <v>0</v>
      </c>
      <c r="X246" s="52">
        <f>IF(AND(COUNTA($A246:$L246)&gt;0,$A246&lt;&gt;""),IF(COUNTIF($A$1:$A245,$A246)&gt;0,1,0),0)</f>
        <v>0</v>
      </c>
      <c r="Y246" s="52">
        <f>IF(AND(COUNTA($A246:$L246)&gt;0,$A246&lt;&gt;""),IF(COUNTIF(Inventory_Ledger!$A$2:$A$2001,$A246)&gt;0,1,0),0)</f>
        <v>0</v>
      </c>
      <c r="Z246" s="52">
        <f>IF(AND(COUNTA($A246:$L246)&gt;0,$B246=""),1,0)</f>
        <v>0</v>
      </c>
      <c r="AA246" s="52">
        <f>IF(AND(COUNTA($A246:$L246)&gt;0,$B246&lt;&gt;""),IF($M246="ERR",1,0),0)</f>
        <v>0</v>
      </c>
      <c r="AB246" s="52">
        <f>IF(AND(COUNTA($A246:$L246)&gt;0,ISNUMBER($M246)),IF($M246&gt;Config!$B$4,1,0),0)</f>
        <v>0</v>
      </c>
      <c r="AC246" s="52">
        <f>IF(AND(COUNTA($A246:$L246)&gt;0,$C246=""),1,0)</f>
        <v>0</v>
      </c>
      <c r="AD246" s="52">
        <f>IF(AND(COUNTA($A246:$L246)&gt;0,$C246&lt;&gt;""),IF(COUNTIF(Config!$A$15:$A$34,$C246)=0,1,0),0)</f>
        <v>0</v>
      </c>
      <c r="AE246" s="52">
        <f>IF(AND(COUNTA($A246:$L246)&gt;0,$D246=""),1,0)</f>
        <v>0</v>
      </c>
      <c r="AF246" s="52">
        <f>IF(AND(COUNTA($A246:$L246)&gt;0,$D246&lt;&gt;""),IF(COUNTIF(Products!$A$2:$A$101,$D246)=0,1,0),0)</f>
        <v>0</v>
      </c>
      <c r="AG246" s="52">
        <f>IF(AND(COUNTA($A246:$L246)&gt;0,$C246="Receipt",$E246=""),1,0)</f>
        <v>0</v>
      </c>
      <c r="AH246" s="52">
        <f>IF(AND(COUNTA($A246:$L246)&gt;0,$E246&lt;&gt;""),IF(COUNTIF(Suppliers!$A$2:$A$51,$E246)=0,1,0),0)</f>
        <v>0</v>
      </c>
      <c r="AI246" s="52">
        <f>IF(AND(COUNTA($A246:$L246)&gt;0,$F246=""),1,0)</f>
        <v>0</v>
      </c>
      <c r="AJ246" s="52">
        <f>IF(AND(COUNTA($A246:$L246)&gt;0,$F246&lt;&gt;"",$D246&lt;&gt;"",OR($C246="Shipment",$C246="Adjustment")),IF($AF246=1,0,IF(COUNTIFS(Batches!$A$2:$A$301,$F246,Batches!$B$2:$B$301,$D246)+COUNTIFS($F$1:$F245,$F246,$D$1:$D245,$D246,$C$1:$C245,"Receipt")=0,1,0)),0)</f>
        <v>0</v>
      </c>
      <c r="AK246" s="52">
        <f>IF(AND(COUNTA($A246:$L246)&gt;0,$C246="Receipt",$G246=""),1,0)</f>
        <v>0</v>
      </c>
      <c r="AL246" s="52">
        <f>IF(AND(COUNTA($A246:$L246)&gt;0,$G246&lt;&gt;""),IF($N246="ERR",1,0),0)</f>
        <v>0</v>
      </c>
      <c r="AM246" s="52">
        <f>IF(AND(COUNTA($A246:$L246)&gt;0,$H246=""),1,0)</f>
        <v>0</v>
      </c>
      <c r="AN246" s="52">
        <f>IF(AND(COUNTA($A246:$L246)&gt;0,$H246&lt;&gt;""),IF($O246="ERR",1,IF(INT($O246)&lt;&gt;$O246,1,IF(AND(OR($C246="Receipt",$C246="Shipment"),$O246&lt;=0),1,IF(AND($C246="Adjustment",$O246=0),1,0)))),0)</f>
        <v>0</v>
      </c>
      <c r="AO246" s="52">
        <f>IF(AND(COUNTA($A246:$L246)&gt;0,$C246="Receipt",$I246=""),1,0)</f>
        <v>0</v>
      </c>
      <c r="AP246" s="52">
        <f>IF(AND(COUNTA($A246:$L246)&gt;0,$I246&lt;&gt;""),IF(IFERROR(INDEX(Config!$G$15:$G$34,MATCH($I246,Config!$E$15:$E$34,0)),"No")="Yes",0,1),0)</f>
        <v>0</v>
      </c>
      <c r="AQ246" s="52">
        <f>IF(AND(COUNTA($A246:$L246)&gt;0,$C246="Adjustment",$J246=""),1,0)</f>
        <v>0</v>
      </c>
      <c r="AR246" s="52">
        <f>IF(AND(COUNTA($A246:$L246)&gt;0,$L246=""),1,0)</f>
        <v>0</v>
      </c>
      <c r="AS246" s="52">
        <f>IF(AND(COUNTA($A246:$L246)&gt;0,ISNUMBER($S246)),IF($S246&lt;0,1,0),0)</f>
        <v>0</v>
      </c>
      <c r="AT246" s="52">
        <f>$W246</f>
        <v>0</v>
      </c>
      <c r="AU246" s="52">
        <f>$AT246+$X246</f>
        <v>0</v>
      </c>
      <c r="AV246" s="52">
        <f>$AU246+$Y246</f>
        <v>0</v>
      </c>
      <c r="AW246" s="52">
        <f>$AV246+$Z246</f>
        <v>0</v>
      </c>
      <c r="AX246" s="52">
        <f>$AW246+$AA246</f>
        <v>0</v>
      </c>
      <c r="AY246" s="52">
        <f>$AX246+$AB246</f>
        <v>0</v>
      </c>
      <c r="AZ246" s="52">
        <f>$AY246+$AC246</f>
        <v>0</v>
      </c>
      <c r="BA246" s="52">
        <f>$AZ246+$AD246</f>
        <v>0</v>
      </c>
      <c r="BB246" s="52">
        <f>$BA246+$AE246</f>
        <v>0</v>
      </c>
      <c r="BC246" s="52">
        <f>$BB246+$AF246</f>
        <v>0</v>
      </c>
      <c r="BD246" s="52">
        <f>$BC246+$AG246</f>
        <v>0</v>
      </c>
      <c r="BE246" s="52">
        <f>$BD246+$AH246</f>
        <v>0</v>
      </c>
      <c r="BF246" s="52">
        <f>$BE246+$AI246</f>
        <v>0</v>
      </c>
      <c r="BG246" s="52">
        <f>$BF246+$AJ246</f>
        <v>0</v>
      </c>
      <c r="BH246" s="52">
        <f>$BG246+$AK246</f>
        <v>0</v>
      </c>
      <c r="BI246" s="52">
        <f>$BH246+$AL246</f>
        <v>0</v>
      </c>
      <c r="BJ246" s="52">
        <f>$BI246+$AM246</f>
        <v>0</v>
      </c>
      <c r="BK246" s="52">
        <f>$BJ246+$AN246</f>
        <v>0</v>
      </c>
      <c r="BL246" s="52">
        <f>$BK246+$AO246</f>
        <v>0</v>
      </c>
      <c r="BM246" s="52">
        <f>$BL246+$AP246</f>
        <v>0</v>
      </c>
      <c r="BN246" s="52">
        <f>$BM246+$AQ246</f>
        <v>0</v>
      </c>
      <c r="BO246" s="52">
        <f>$BN246+$AR246</f>
        <v>0</v>
      </c>
      <c r="BP246" s="52">
        <f>$BO246+$AS246</f>
        <v>0</v>
      </c>
      <c r="BQ246" s="52">
        <f>SUM($T$1:$T245)</f>
        <v>11</v>
      </c>
      <c r="BR246" s="52" t="str">
        <f>IF(ISNUMBER($T246),IF($T246&gt;0,COUNTIF($T$2:$T246,"&gt;0"),""),"")</f>
        <v/>
      </c>
      <c r="BS246" s="52" t="str">
        <f>IF($BR246="","",$BQ246+$T246)</f>
        <v/>
      </c>
      <c r="BT246" s="52" t="str">
        <f>IF($U246="Ready",COUNTIF($U$2:$U246,"Ready"),"")</f>
        <v/>
      </c>
      <c r="BU246" s="52">
        <f>IF(AND($U246="Ready",$C246="Receipt"),IF(COUNTIF(Batches!$A$2:$A$301,$F246)+COUNTIFS($F$1:$F245,$F246,$C$1:$C245,"Receipt",$U$1:$U245,"Ready")=0,1,0),0)</f>
        <v>0</v>
      </c>
      <c r="BV246" s="52" t="str">
        <f>IF($BU246=1,SUM($BU$2:$BU246),"")</f>
        <v/>
      </c>
    </row>
    <row r="247">
      <c r="A247" s="46" t="n"/>
      <c r="B247" s="46" t="n"/>
      <c r="C247" s="46" t="n"/>
      <c r="D247" s="46" t="n"/>
      <c r="E247" s="46" t="n"/>
      <c r="F247" s="46" t="n"/>
      <c r="G247" s="46" t="n"/>
      <c r="H247" s="46" t="n"/>
      <c r="I247" s="46" t="n"/>
      <c r="J247" s="46" t="n"/>
      <c r="K247" s="46" t="n"/>
      <c r="L247" s="46" t="n"/>
      <c r="M247" s="62" t="str">
        <f>IF($B247="","",IF(ISNUMBER($B247),$B247,IF(AND(LEN($B247)=10,MID($B247,5,1)="-",MID($B247,8,1)="-"),IFERROR(IF(AND(MONTH(DATE(VALUE(LEFT($B247,4)),VALUE(MID($B247,6,2)),VALUE(RIGHT($B247,2))))=VALUE(MID($B247,6,2)),DAY(DATE(VALUE(LEFT($B247,4)),VALUE(MID($B247,6,2)),VALUE(RIGHT($B247,2))))=VALUE(RIGHT($B247,2))),DATE(VALUE(LEFT($B247,4)),VALUE(MID($B247,6,2)),VALUE(RIGHT($B247,2))),"ERR"),"ERR"),"ERR")))</f>
        <v/>
      </c>
      <c r="N247" s="62" t="str">
        <f>IF($G247="","",IF(ISNUMBER($G247),$G247,IF(AND(LEN($G247)=10,MID($G247,5,1)="-",MID($G247,8,1)="-"),IFERROR(IF(AND(MONTH(DATE(VALUE(LEFT($G247,4)),VALUE(MID($G247,6,2)),VALUE(RIGHT($G247,2))))=VALUE(MID($G247,6,2)),DAY(DATE(VALUE(LEFT($G247,4)),VALUE(MID($G247,6,2)),VALUE(RIGHT($G247,2))))=VALUE(RIGHT($G247,2))),DATE(VALUE(LEFT($G247,4)),VALUE(MID($G247,6,2)),VALUE(RIGHT($G247,2))),"ERR"),"ERR"),"ERR")))</f>
        <v/>
      </c>
      <c r="O247" s="51" t="str">
        <f>IF($H247="","",IF(ISNUMBER($H247),$H247,IFERROR(VALUE($H247),"ERR")))</f>
        <v/>
      </c>
      <c r="P247" s="51" t="str">
        <f>IF(AND(ISNUMBER($O247),OR($C247="Receipt",$C247="Shipment",$C247="Adjustment")),IF($C247="Shipment",-$O247,$O247),"")</f>
        <v/>
      </c>
      <c r="Q247" s="51" t="str">
        <f>IF($D247="","",IFERROR(INDEX(Products!$R$2:$R$101,MATCH($D247,Products!$A$2:$A$101,0)),""))</f>
        <v/>
      </c>
      <c r="R247" s="51" t="str">
        <f>IF(OR($Q247="",$P247=""),"",$Q247+SUMIFS($P$1:$P246,$D$1:$D246,$D247,$U$1:$U246,"Ready"))</f>
        <v/>
      </c>
      <c r="S247" s="51" t="str">
        <f>IF($R247="","",$R247+$P247)</f>
        <v/>
      </c>
      <c r="T247" s="52" t="str">
        <f>IF(COUNTA($A247:$L247)&gt;0,$BP247,"")</f>
        <v/>
      </c>
      <c r="U247" s="49" t="str">
        <f>IF($T247="","",IF($T247=0,"Ready","Rejected"))</f>
        <v/>
      </c>
      <c r="V247" s="49" t="str">
        <f>IF(OR($T247="",$T247=0),"",INDEX(Config!$D$39:$D$61,MATCH(1,$AT247:$BP247,0))&amp;IF($T247&gt;1," (+"&amp;($T247-1)&amp;" more)",""))</f>
        <v/>
      </c>
      <c r="W247" s="52">
        <f>IF(AND(COUNTA($A247:$L247)&gt;0,$A247=""),1,0)</f>
        <v>0</v>
      </c>
      <c r="X247" s="52">
        <f>IF(AND(COUNTA($A247:$L247)&gt;0,$A247&lt;&gt;""),IF(COUNTIF($A$1:$A246,$A247)&gt;0,1,0),0)</f>
        <v>0</v>
      </c>
      <c r="Y247" s="52">
        <f>IF(AND(COUNTA($A247:$L247)&gt;0,$A247&lt;&gt;""),IF(COUNTIF(Inventory_Ledger!$A$2:$A$2001,$A247)&gt;0,1,0),0)</f>
        <v>0</v>
      </c>
      <c r="Z247" s="52">
        <f>IF(AND(COUNTA($A247:$L247)&gt;0,$B247=""),1,0)</f>
        <v>0</v>
      </c>
      <c r="AA247" s="52">
        <f>IF(AND(COUNTA($A247:$L247)&gt;0,$B247&lt;&gt;""),IF($M247="ERR",1,0),0)</f>
        <v>0</v>
      </c>
      <c r="AB247" s="52">
        <f>IF(AND(COUNTA($A247:$L247)&gt;0,ISNUMBER($M247)),IF($M247&gt;Config!$B$4,1,0),0)</f>
        <v>0</v>
      </c>
      <c r="AC247" s="52">
        <f>IF(AND(COUNTA($A247:$L247)&gt;0,$C247=""),1,0)</f>
        <v>0</v>
      </c>
      <c r="AD247" s="52">
        <f>IF(AND(COUNTA($A247:$L247)&gt;0,$C247&lt;&gt;""),IF(COUNTIF(Config!$A$15:$A$34,$C247)=0,1,0),0)</f>
        <v>0</v>
      </c>
      <c r="AE247" s="52">
        <f>IF(AND(COUNTA($A247:$L247)&gt;0,$D247=""),1,0)</f>
        <v>0</v>
      </c>
      <c r="AF247" s="52">
        <f>IF(AND(COUNTA($A247:$L247)&gt;0,$D247&lt;&gt;""),IF(COUNTIF(Products!$A$2:$A$101,$D247)=0,1,0),0)</f>
        <v>0</v>
      </c>
      <c r="AG247" s="52">
        <f>IF(AND(COUNTA($A247:$L247)&gt;0,$C247="Receipt",$E247=""),1,0)</f>
        <v>0</v>
      </c>
      <c r="AH247" s="52">
        <f>IF(AND(COUNTA($A247:$L247)&gt;0,$E247&lt;&gt;""),IF(COUNTIF(Suppliers!$A$2:$A$51,$E247)=0,1,0),0)</f>
        <v>0</v>
      </c>
      <c r="AI247" s="52">
        <f>IF(AND(COUNTA($A247:$L247)&gt;0,$F247=""),1,0)</f>
        <v>0</v>
      </c>
      <c r="AJ247" s="52">
        <f>IF(AND(COUNTA($A247:$L247)&gt;0,$F247&lt;&gt;"",$D247&lt;&gt;"",OR($C247="Shipment",$C247="Adjustment")),IF($AF247=1,0,IF(COUNTIFS(Batches!$A$2:$A$301,$F247,Batches!$B$2:$B$301,$D247)+COUNTIFS($F$1:$F246,$F247,$D$1:$D246,$D247,$C$1:$C246,"Receipt")=0,1,0)),0)</f>
        <v>0</v>
      </c>
      <c r="AK247" s="52">
        <f>IF(AND(COUNTA($A247:$L247)&gt;0,$C247="Receipt",$G247=""),1,0)</f>
        <v>0</v>
      </c>
      <c r="AL247" s="52">
        <f>IF(AND(COUNTA($A247:$L247)&gt;0,$G247&lt;&gt;""),IF($N247="ERR",1,0),0)</f>
        <v>0</v>
      </c>
      <c r="AM247" s="52">
        <f>IF(AND(COUNTA($A247:$L247)&gt;0,$H247=""),1,0)</f>
        <v>0</v>
      </c>
      <c r="AN247" s="52">
        <f>IF(AND(COUNTA($A247:$L247)&gt;0,$H247&lt;&gt;""),IF($O247="ERR",1,IF(INT($O247)&lt;&gt;$O247,1,IF(AND(OR($C247="Receipt",$C247="Shipment"),$O247&lt;=0),1,IF(AND($C247="Adjustment",$O247=0),1,0)))),0)</f>
        <v>0</v>
      </c>
      <c r="AO247" s="52">
        <f>IF(AND(COUNTA($A247:$L247)&gt;0,$C247="Receipt",$I247=""),1,0)</f>
        <v>0</v>
      </c>
      <c r="AP247" s="52">
        <f>IF(AND(COUNTA($A247:$L247)&gt;0,$I247&lt;&gt;""),IF(IFERROR(INDEX(Config!$G$15:$G$34,MATCH($I247,Config!$E$15:$E$34,0)),"No")="Yes",0,1),0)</f>
        <v>0</v>
      </c>
      <c r="AQ247" s="52">
        <f>IF(AND(COUNTA($A247:$L247)&gt;0,$C247="Adjustment",$J247=""),1,0)</f>
        <v>0</v>
      </c>
      <c r="AR247" s="52">
        <f>IF(AND(COUNTA($A247:$L247)&gt;0,$L247=""),1,0)</f>
        <v>0</v>
      </c>
      <c r="AS247" s="52">
        <f>IF(AND(COUNTA($A247:$L247)&gt;0,ISNUMBER($S247)),IF($S247&lt;0,1,0),0)</f>
        <v>0</v>
      </c>
      <c r="AT247" s="52">
        <f>$W247</f>
        <v>0</v>
      </c>
      <c r="AU247" s="52">
        <f>$AT247+$X247</f>
        <v>0</v>
      </c>
      <c r="AV247" s="52">
        <f>$AU247+$Y247</f>
        <v>0</v>
      </c>
      <c r="AW247" s="52">
        <f>$AV247+$Z247</f>
        <v>0</v>
      </c>
      <c r="AX247" s="52">
        <f>$AW247+$AA247</f>
        <v>0</v>
      </c>
      <c r="AY247" s="52">
        <f>$AX247+$AB247</f>
        <v>0</v>
      </c>
      <c r="AZ247" s="52">
        <f>$AY247+$AC247</f>
        <v>0</v>
      </c>
      <c r="BA247" s="52">
        <f>$AZ247+$AD247</f>
        <v>0</v>
      </c>
      <c r="BB247" s="52">
        <f>$BA247+$AE247</f>
        <v>0</v>
      </c>
      <c r="BC247" s="52">
        <f>$BB247+$AF247</f>
        <v>0</v>
      </c>
      <c r="BD247" s="52">
        <f>$BC247+$AG247</f>
        <v>0</v>
      </c>
      <c r="BE247" s="52">
        <f>$BD247+$AH247</f>
        <v>0</v>
      </c>
      <c r="BF247" s="52">
        <f>$BE247+$AI247</f>
        <v>0</v>
      </c>
      <c r="BG247" s="52">
        <f>$BF247+$AJ247</f>
        <v>0</v>
      </c>
      <c r="BH247" s="52">
        <f>$BG247+$AK247</f>
        <v>0</v>
      </c>
      <c r="BI247" s="52">
        <f>$BH247+$AL247</f>
        <v>0</v>
      </c>
      <c r="BJ247" s="52">
        <f>$BI247+$AM247</f>
        <v>0</v>
      </c>
      <c r="BK247" s="52">
        <f>$BJ247+$AN247</f>
        <v>0</v>
      </c>
      <c r="BL247" s="52">
        <f>$BK247+$AO247</f>
        <v>0</v>
      </c>
      <c r="BM247" s="52">
        <f>$BL247+$AP247</f>
        <v>0</v>
      </c>
      <c r="BN247" s="52">
        <f>$BM247+$AQ247</f>
        <v>0</v>
      </c>
      <c r="BO247" s="52">
        <f>$BN247+$AR247</f>
        <v>0</v>
      </c>
      <c r="BP247" s="52">
        <f>$BO247+$AS247</f>
        <v>0</v>
      </c>
      <c r="BQ247" s="52">
        <f>SUM($T$1:$T246)</f>
        <v>11</v>
      </c>
      <c r="BR247" s="52" t="str">
        <f>IF(ISNUMBER($T247),IF($T247&gt;0,COUNTIF($T$2:$T247,"&gt;0"),""),"")</f>
        <v/>
      </c>
      <c r="BS247" s="52" t="str">
        <f>IF($BR247="","",$BQ247+$T247)</f>
        <v/>
      </c>
      <c r="BT247" s="52" t="str">
        <f>IF($U247="Ready",COUNTIF($U$2:$U247,"Ready"),"")</f>
        <v/>
      </c>
      <c r="BU247" s="52">
        <f>IF(AND($U247="Ready",$C247="Receipt"),IF(COUNTIF(Batches!$A$2:$A$301,$F247)+COUNTIFS($F$1:$F246,$F247,$C$1:$C246,"Receipt",$U$1:$U246,"Ready")=0,1,0),0)</f>
        <v>0</v>
      </c>
      <c r="BV247" s="52" t="str">
        <f>IF($BU247=1,SUM($BU$2:$BU247),"")</f>
        <v/>
      </c>
    </row>
    <row r="248">
      <c r="A248" s="46" t="n"/>
      <c r="B248" s="46" t="n"/>
      <c r="C248" s="46" t="n"/>
      <c r="D248" s="46" t="n"/>
      <c r="E248" s="46" t="n"/>
      <c r="F248" s="46" t="n"/>
      <c r="G248" s="46" t="n"/>
      <c r="H248" s="46" t="n"/>
      <c r="I248" s="46" t="n"/>
      <c r="J248" s="46" t="n"/>
      <c r="K248" s="46" t="n"/>
      <c r="L248" s="46" t="n"/>
      <c r="M248" s="62" t="str">
        <f>IF($B248="","",IF(ISNUMBER($B248),$B248,IF(AND(LEN($B248)=10,MID($B248,5,1)="-",MID($B248,8,1)="-"),IFERROR(IF(AND(MONTH(DATE(VALUE(LEFT($B248,4)),VALUE(MID($B248,6,2)),VALUE(RIGHT($B248,2))))=VALUE(MID($B248,6,2)),DAY(DATE(VALUE(LEFT($B248,4)),VALUE(MID($B248,6,2)),VALUE(RIGHT($B248,2))))=VALUE(RIGHT($B248,2))),DATE(VALUE(LEFT($B248,4)),VALUE(MID($B248,6,2)),VALUE(RIGHT($B248,2))),"ERR"),"ERR"),"ERR")))</f>
        <v/>
      </c>
      <c r="N248" s="62" t="str">
        <f>IF($G248="","",IF(ISNUMBER($G248),$G248,IF(AND(LEN($G248)=10,MID($G248,5,1)="-",MID($G248,8,1)="-"),IFERROR(IF(AND(MONTH(DATE(VALUE(LEFT($G248,4)),VALUE(MID($G248,6,2)),VALUE(RIGHT($G248,2))))=VALUE(MID($G248,6,2)),DAY(DATE(VALUE(LEFT($G248,4)),VALUE(MID($G248,6,2)),VALUE(RIGHT($G248,2))))=VALUE(RIGHT($G248,2))),DATE(VALUE(LEFT($G248,4)),VALUE(MID($G248,6,2)),VALUE(RIGHT($G248,2))),"ERR"),"ERR"),"ERR")))</f>
        <v/>
      </c>
      <c r="O248" s="51" t="str">
        <f>IF($H248="","",IF(ISNUMBER($H248),$H248,IFERROR(VALUE($H248),"ERR")))</f>
        <v/>
      </c>
      <c r="P248" s="51" t="str">
        <f>IF(AND(ISNUMBER($O248),OR($C248="Receipt",$C248="Shipment",$C248="Adjustment")),IF($C248="Shipment",-$O248,$O248),"")</f>
        <v/>
      </c>
      <c r="Q248" s="51" t="str">
        <f>IF($D248="","",IFERROR(INDEX(Products!$R$2:$R$101,MATCH($D248,Products!$A$2:$A$101,0)),""))</f>
        <v/>
      </c>
      <c r="R248" s="51" t="str">
        <f>IF(OR($Q248="",$P248=""),"",$Q248+SUMIFS($P$1:$P247,$D$1:$D247,$D248,$U$1:$U247,"Ready"))</f>
        <v/>
      </c>
      <c r="S248" s="51" t="str">
        <f>IF($R248="","",$R248+$P248)</f>
        <v/>
      </c>
      <c r="T248" s="52" t="str">
        <f>IF(COUNTA($A248:$L248)&gt;0,$BP248,"")</f>
        <v/>
      </c>
      <c r="U248" s="49" t="str">
        <f>IF($T248="","",IF($T248=0,"Ready","Rejected"))</f>
        <v/>
      </c>
      <c r="V248" s="49" t="str">
        <f>IF(OR($T248="",$T248=0),"",INDEX(Config!$D$39:$D$61,MATCH(1,$AT248:$BP248,0))&amp;IF($T248&gt;1," (+"&amp;($T248-1)&amp;" more)",""))</f>
        <v/>
      </c>
      <c r="W248" s="52">
        <f>IF(AND(COUNTA($A248:$L248)&gt;0,$A248=""),1,0)</f>
        <v>0</v>
      </c>
      <c r="X248" s="52">
        <f>IF(AND(COUNTA($A248:$L248)&gt;0,$A248&lt;&gt;""),IF(COUNTIF($A$1:$A247,$A248)&gt;0,1,0),0)</f>
        <v>0</v>
      </c>
      <c r="Y248" s="52">
        <f>IF(AND(COUNTA($A248:$L248)&gt;0,$A248&lt;&gt;""),IF(COUNTIF(Inventory_Ledger!$A$2:$A$2001,$A248)&gt;0,1,0),0)</f>
        <v>0</v>
      </c>
      <c r="Z248" s="52">
        <f>IF(AND(COUNTA($A248:$L248)&gt;0,$B248=""),1,0)</f>
        <v>0</v>
      </c>
      <c r="AA248" s="52">
        <f>IF(AND(COUNTA($A248:$L248)&gt;0,$B248&lt;&gt;""),IF($M248="ERR",1,0),0)</f>
        <v>0</v>
      </c>
      <c r="AB248" s="52">
        <f>IF(AND(COUNTA($A248:$L248)&gt;0,ISNUMBER($M248)),IF($M248&gt;Config!$B$4,1,0),0)</f>
        <v>0</v>
      </c>
      <c r="AC248" s="52">
        <f>IF(AND(COUNTA($A248:$L248)&gt;0,$C248=""),1,0)</f>
        <v>0</v>
      </c>
      <c r="AD248" s="52">
        <f>IF(AND(COUNTA($A248:$L248)&gt;0,$C248&lt;&gt;""),IF(COUNTIF(Config!$A$15:$A$34,$C248)=0,1,0),0)</f>
        <v>0</v>
      </c>
      <c r="AE248" s="52">
        <f>IF(AND(COUNTA($A248:$L248)&gt;0,$D248=""),1,0)</f>
        <v>0</v>
      </c>
      <c r="AF248" s="52">
        <f>IF(AND(COUNTA($A248:$L248)&gt;0,$D248&lt;&gt;""),IF(COUNTIF(Products!$A$2:$A$101,$D248)=0,1,0),0)</f>
        <v>0</v>
      </c>
      <c r="AG248" s="52">
        <f>IF(AND(COUNTA($A248:$L248)&gt;0,$C248="Receipt",$E248=""),1,0)</f>
        <v>0</v>
      </c>
      <c r="AH248" s="52">
        <f>IF(AND(COUNTA($A248:$L248)&gt;0,$E248&lt;&gt;""),IF(COUNTIF(Suppliers!$A$2:$A$51,$E248)=0,1,0),0)</f>
        <v>0</v>
      </c>
      <c r="AI248" s="52">
        <f>IF(AND(COUNTA($A248:$L248)&gt;0,$F248=""),1,0)</f>
        <v>0</v>
      </c>
      <c r="AJ248" s="52">
        <f>IF(AND(COUNTA($A248:$L248)&gt;0,$F248&lt;&gt;"",$D248&lt;&gt;"",OR($C248="Shipment",$C248="Adjustment")),IF($AF248=1,0,IF(COUNTIFS(Batches!$A$2:$A$301,$F248,Batches!$B$2:$B$301,$D248)+COUNTIFS($F$1:$F247,$F248,$D$1:$D247,$D248,$C$1:$C247,"Receipt")=0,1,0)),0)</f>
        <v>0</v>
      </c>
      <c r="AK248" s="52">
        <f>IF(AND(COUNTA($A248:$L248)&gt;0,$C248="Receipt",$G248=""),1,0)</f>
        <v>0</v>
      </c>
      <c r="AL248" s="52">
        <f>IF(AND(COUNTA($A248:$L248)&gt;0,$G248&lt;&gt;""),IF($N248="ERR",1,0),0)</f>
        <v>0</v>
      </c>
      <c r="AM248" s="52">
        <f>IF(AND(COUNTA($A248:$L248)&gt;0,$H248=""),1,0)</f>
        <v>0</v>
      </c>
      <c r="AN248" s="52">
        <f>IF(AND(COUNTA($A248:$L248)&gt;0,$H248&lt;&gt;""),IF($O248="ERR",1,IF(INT($O248)&lt;&gt;$O248,1,IF(AND(OR($C248="Receipt",$C248="Shipment"),$O248&lt;=0),1,IF(AND($C248="Adjustment",$O248=0),1,0)))),0)</f>
        <v>0</v>
      </c>
      <c r="AO248" s="52">
        <f>IF(AND(COUNTA($A248:$L248)&gt;0,$C248="Receipt",$I248=""),1,0)</f>
        <v>0</v>
      </c>
      <c r="AP248" s="52">
        <f>IF(AND(COUNTA($A248:$L248)&gt;0,$I248&lt;&gt;""),IF(IFERROR(INDEX(Config!$G$15:$G$34,MATCH($I248,Config!$E$15:$E$34,0)),"No")="Yes",0,1),0)</f>
        <v>0</v>
      </c>
      <c r="AQ248" s="52">
        <f>IF(AND(COUNTA($A248:$L248)&gt;0,$C248="Adjustment",$J248=""),1,0)</f>
        <v>0</v>
      </c>
      <c r="AR248" s="52">
        <f>IF(AND(COUNTA($A248:$L248)&gt;0,$L248=""),1,0)</f>
        <v>0</v>
      </c>
      <c r="AS248" s="52">
        <f>IF(AND(COUNTA($A248:$L248)&gt;0,ISNUMBER($S248)),IF($S248&lt;0,1,0),0)</f>
        <v>0</v>
      </c>
      <c r="AT248" s="52">
        <f>$W248</f>
        <v>0</v>
      </c>
      <c r="AU248" s="52">
        <f>$AT248+$X248</f>
        <v>0</v>
      </c>
      <c r="AV248" s="52">
        <f>$AU248+$Y248</f>
        <v>0</v>
      </c>
      <c r="AW248" s="52">
        <f>$AV248+$Z248</f>
        <v>0</v>
      </c>
      <c r="AX248" s="52">
        <f>$AW248+$AA248</f>
        <v>0</v>
      </c>
      <c r="AY248" s="52">
        <f>$AX248+$AB248</f>
        <v>0</v>
      </c>
      <c r="AZ248" s="52">
        <f>$AY248+$AC248</f>
        <v>0</v>
      </c>
      <c r="BA248" s="52">
        <f>$AZ248+$AD248</f>
        <v>0</v>
      </c>
      <c r="BB248" s="52">
        <f>$BA248+$AE248</f>
        <v>0</v>
      </c>
      <c r="BC248" s="52">
        <f>$BB248+$AF248</f>
        <v>0</v>
      </c>
      <c r="BD248" s="52">
        <f>$BC248+$AG248</f>
        <v>0</v>
      </c>
      <c r="BE248" s="52">
        <f>$BD248+$AH248</f>
        <v>0</v>
      </c>
      <c r="BF248" s="52">
        <f>$BE248+$AI248</f>
        <v>0</v>
      </c>
      <c r="BG248" s="52">
        <f>$BF248+$AJ248</f>
        <v>0</v>
      </c>
      <c r="BH248" s="52">
        <f>$BG248+$AK248</f>
        <v>0</v>
      </c>
      <c r="BI248" s="52">
        <f>$BH248+$AL248</f>
        <v>0</v>
      </c>
      <c r="BJ248" s="52">
        <f>$BI248+$AM248</f>
        <v>0</v>
      </c>
      <c r="BK248" s="52">
        <f>$BJ248+$AN248</f>
        <v>0</v>
      </c>
      <c r="BL248" s="52">
        <f>$BK248+$AO248</f>
        <v>0</v>
      </c>
      <c r="BM248" s="52">
        <f>$BL248+$AP248</f>
        <v>0</v>
      </c>
      <c r="BN248" s="52">
        <f>$BM248+$AQ248</f>
        <v>0</v>
      </c>
      <c r="BO248" s="52">
        <f>$BN248+$AR248</f>
        <v>0</v>
      </c>
      <c r="BP248" s="52">
        <f>$BO248+$AS248</f>
        <v>0</v>
      </c>
      <c r="BQ248" s="52">
        <f>SUM($T$1:$T247)</f>
        <v>11</v>
      </c>
      <c r="BR248" s="52" t="str">
        <f>IF(ISNUMBER($T248),IF($T248&gt;0,COUNTIF($T$2:$T248,"&gt;0"),""),"")</f>
        <v/>
      </c>
      <c r="BS248" s="52" t="str">
        <f>IF($BR248="","",$BQ248+$T248)</f>
        <v/>
      </c>
      <c r="BT248" s="52" t="str">
        <f>IF($U248="Ready",COUNTIF($U$2:$U248,"Ready"),"")</f>
        <v/>
      </c>
      <c r="BU248" s="52">
        <f>IF(AND($U248="Ready",$C248="Receipt"),IF(COUNTIF(Batches!$A$2:$A$301,$F248)+COUNTIFS($F$1:$F247,$F248,$C$1:$C247,"Receipt",$U$1:$U247,"Ready")=0,1,0),0)</f>
        <v>0</v>
      </c>
      <c r="BV248" s="52" t="str">
        <f>IF($BU248=1,SUM($BU$2:$BU248),"")</f>
        <v/>
      </c>
    </row>
    <row r="249">
      <c r="A249" s="46" t="n"/>
      <c r="B249" s="46" t="n"/>
      <c r="C249" s="46" t="n"/>
      <c r="D249" s="46" t="n"/>
      <c r="E249" s="46" t="n"/>
      <c r="F249" s="46" t="n"/>
      <c r="G249" s="46" t="n"/>
      <c r="H249" s="46" t="n"/>
      <c r="I249" s="46" t="n"/>
      <c r="J249" s="46" t="n"/>
      <c r="K249" s="46" t="n"/>
      <c r="L249" s="46" t="n"/>
      <c r="M249" s="62" t="str">
        <f>IF($B249="","",IF(ISNUMBER($B249),$B249,IF(AND(LEN($B249)=10,MID($B249,5,1)="-",MID($B249,8,1)="-"),IFERROR(IF(AND(MONTH(DATE(VALUE(LEFT($B249,4)),VALUE(MID($B249,6,2)),VALUE(RIGHT($B249,2))))=VALUE(MID($B249,6,2)),DAY(DATE(VALUE(LEFT($B249,4)),VALUE(MID($B249,6,2)),VALUE(RIGHT($B249,2))))=VALUE(RIGHT($B249,2))),DATE(VALUE(LEFT($B249,4)),VALUE(MID($B249,6,2)),VALUE(RIGHT($B249,2))),"ERR"),"ERR"),"ERR")))</f>
        <v/>
      </c>
      <c r="N249" s="62" t="str">
        <f>IF($G249="","",IF(ISNUMBER($G249),$G249,IF(AND(LEN($G249)=10,MID($G249,5,1)="-",MID($G249,8,1)="-"),IFERROR(IF(AND(MONTH(DATE(VALUE(LEFT($G249,4)),VALUE(MID($G249,6,2)),VALUE(RIGHT($G249,2))))=VALUE(MID($G249,6,2)),DAY(DATE(VALUE(LEFT($G249,4)),VALUE(MID($G249,6,2)),VALUE(RIGHT($G249,2))))=VALUE(RIGHT($G249,2))),DATE(VALUE(LEFT($G249,4)),VALUE(MID($G249,6,2)),VALUE(RIGHT($G249,2))),"ERR"),"ERR"),"ERR")))</f>
        <v/>
      </c>
      <c r="O249" s="51" t="str">
        <f>IF($H249="","",IF(ISNUMBER($H249),$H249,IFERROR(VALUE($H249),"ERR")))</f>
        <v/>
      </c>
      <c r="P249" s="51" t="str">
        <f>IF(AND(ISNUMBER($O249),OR($C249="Receipt",$C249="Shipment",$C249="Adjustment")),IF($C249="Shipment",-$O249,$O249),"")</f>
        <v/>
      </c>
      <c r="Q249" s="51" t="str">
        <f>IF($D249="","",IFERROR(INDEX(Products!$R$2:$R$101,MATCH($D249,Products!$A$2:$A$101,0)),""))</f>
        <v/>
      </c>
      <c r="R249" s="51" t="str">
        <f>IF(OR($Q249="",$P249=""),"",$Q249+SUMIFS($P$1:$P248,$D$1:$D248,$D249,$U$1:$U248,"Ready"))</f>
        <v/>
      </c>
      <c r="S249" s="51" t="str">
        <f>IF($R249="","",$R249+$P249)</f>
        <v/>
      </c>
      <c r="T249" s="52" t="str">
        <f>IF(COUNTA($A249:$L249)&gt;0,$BP249,"")</f>
        <v/>
      </c>
      <c r="U249" s="49" t="str">
        <f>IF($T249="","",IF($T249=0,"Ready","Rejected"))</f>
        <v/>
      </c>
      <c r="V249" s="49" t="str">
        <f>IF(OR($T249="",$T249=0),"",INDEX(Config!$D$39:$D$61,MATCH(1,$AT249:$BP249,0))&amp;IF($T249&gt;1," (+"&amp;($T249-1)&amp;" more)",""))</f>
        <v/>
      </c>
      <c r="W249" s="52">
        <f>IF(AND(COUNTA($A249:$L249)&gt;0,$A249=""),1,0)</f>
        <v>0</v>
      </c>
      <c r="X249" s="52">
        <f>IF(AND(COUNTA($A249:$L249)&gt;0,$A249&lt;&gt;""),IF(COUNTIF($A$1:$A248,$A249)&gt;0,1,0),0)</f>
        <v>0</v>
      </c>
      <c r="Y249" s="52">
        <f>IF(AND(COUNTA($A249:$L249)&gt;0,$A249&lt;&gt;""),IF(COUNTIF(Inventory_Ledger!$A$2:$A$2001,$A249)&gt;0,1,0),0)</f>
        <v>0</v>
      </c>
      <c r="Z249" s="52">
        <f>IF(AND(COUNTA($A249:$L249)&gt;0,$B249=""),1,0)</f>
        <v>0</v>
      </c>
      <c r="AA249" s="52">
        <f>IF(AND(COUNTA($A249:$L249)&gt;0,$B249&lt;&gt;""),IF($M249="ERR",1,0),0)</f>
        <v>0</v>
      </c>
      <c r="AB249" s="52">
        <f>IF(AND(COUNTA($A249:$L249)&gt;0,ISNUMBER($M249)),IF($M249&gt;Config!$B$4,1,0),0)</f>
        <v>0</v>
      </c>
      <c r="AC249" s="52">
        <f>IF(AND(COUNTA($A249:$L249)&gt;0,$C249=""),1,0)</f>
        <v>0</v>
      </c>
      <c r="AD249" s="52">
        <f>IF(AND(COUNTA($A249:$L249)&gt;0,$C249&lt;&gt;""),IF(COUNTIF(Config!$A$15:$A$34,$C249)=0,1,0),0)</f>
        <v>0</v>
      </c>
      <c r="AE249" s="52">
        <f>IF(AND(COUNTA($A249:$L249)&gt;0,$D249=""),1,0)</f>
        <v>0</v>
      </c>
      <c r="AF249" s="52">
        <f>IF(AND(COUNTA($A249:$L249)&gt;0,$D249&lt;&gt;""),IF(COUNTIF(Products!$A$2:$A$101,$D249)=0,1,0),0)</f>
        <v>0</v>
      </c>
      <c r="AG249" s="52">
        <f>IF(AND(COUNTA($A249:$L249)&gt;0,$C249="Receipt",$E249=""),1,0)</f>
        <v>0</v>
      </c>
      <c r="AH249" s="52">
        <f>IF(AND(COUNTA($A249:$L249)&gt;0,$E249&lt;&gt;""),IF(COUNTIF(Suppliers!$A$2:$A$51,$E249)=0,1,0),0)</f>
        <v>0</v>
      </c>
      <c r="AI249" s="52">
        <f>IF(AND(COUNTA($A249:$L249)&gt;0,$F249=""),1,0)</f>
        <v>0</v>
      </c>
      <c r="AJ249" s="52">
        <f>IF(AND(COUNTA($A249:$L249)&gt;0,$F249&lt;&gt;"",$D249&lt;&gt;"",OR($C249="Shipment",$C249="Adjustment")),IF($AF249=1,0,IF(COUNTIFS(Batches!$A$2:$A$301,$F249,Batches!$B$2:$B$301,$D249)+COUNTIFS($F$1:$F248,$F249,$D$1:$D248,$D249,$C$1:$C248,"Receipt")=0,1,0)),0)</f>
        <v>0</v>
      </c>
      <c r="AK249" s="52">
        <f>IF(AND(COUNTA($A249:$L249)&gt;0,$C249="Receipt",$G249=""),1,0)</f>
        <v>0</v>
      </c>
      <c r="AL249" s="52">
        <f>IF(AND(COUNTA($A249:$L249)&gt;0,$G249&lt;&gt;""),IF($N249="ERR",1,0),0)</f>
        <v>0</v>
      </c>
      <c r="AM249" s="52">
        <f>IF(AND(COUNTA($A249:$L249)&gt;0,$H249=""),1,0)</f>
        <v>0</v>
      </c>
      <c r="AN249" s="52">
        <f>IF(AND(COUNTA($A249:$L249)&gt;0,$H249&lt;&gt;""),IF($O249="ERR",1,IF(INT($O249)&lt;&gt;$O249,1,IF(AND(OR($C249="Receipt",$C249="Shipment"),$O249&lt;=0),1,IF(AND($C249="Adjustment",$O249=0),1,0)))),0)</f>
        <v>0</v>
      </c>
      <c r="AO249" s="52">
        <f>IF(AND(COUNTA($A249:$L249)&gt;0,$C249="Receipt",$I249=""),1,0)</f>
        <v>0</v>
      </c>
      <c r="AP249" s="52">
        <f>IF(AND(COUNTA($A249:$L249)&gt;0,$I249&lt;&gt;""),IF(IFERROR(INDEX(Config!$G$15:$G$34,MATCH($I249,Config!$E$15:$E$34,0)),"No")="Yes",0,1),0)</f>
        <v>0</v>
      </c>
      <c r="AQ249" s="52">
        <f>IF(AND(COUNTA($A249:$L249)&gt;0,$C249="Adjustment",$J249=""),1,0)</f>
        <v>0</v>
      </c>
      <c r="AR249" s="52">
        <f>IF(AND(COUNTA($A249:$L249)&gt;0,$L249=""),1,0)</f>
        <v>0</v>
      </c>
      <c r="AS249" s="52">
        <f>IF(AND(COUNTA($A249:$L249)&gt;0,ISNUMBER($S249)),IF($S249&lt;0,1,0),0)</f>
        <v>0</v>
      </c>
      <c r="AT249" s="52">
        <f>$W249</f>
        <v>0</v>
      </c>
      <c r="AU249" s="52">
        <f>$AT249+$X249</f>
        <v>0</v>
      </c>
      <c r="AV249" s="52">
        <f>$AU249+$Y249</f>
        <v>0</v>
      </c>
      <c r="AW249" s="52">
        <f>$AV249+$Z249</f>
        <v>0</v>
      </c>
      <c r="AX249" s="52">
        <f>$AW249+$AA249</f>
        <v>0</v>
      </c>
      <c r="AY249" s="52">
        <f>$AX249+$AB249</f>
        <v>0</v>
      </c>
      <c r="AZ249" s="52">
        <f>$AY249+$AC249</f>
        <v>0</v>
      </c>
      <c r="BA249" s="52">
        <f>$AZ249+$AD249</f>
        <v>0</v>
      </c>
      <c r="BB249" s="52">
        <f>$BA249+$AE249</f>
        <v>0</v>
      </c>
      <c r="BC249" s="52">
        <f>$BB249+$AF249</f>
        <v>0</v>
      </c>
      <c r="BD249" s="52">
        <f>$BC249+$AG249</f>
        <v>0</v>
      </c>
      <c r="BE249" s="52">
        <f>$BD249+$AH249</f>
        <v>0</v>
      </c>
      <c r="BF249" s="52">
        <f>$BE249+$AI249</f>
        <v>0</v>
      </c>
      <c r="BG249" s="52">
        <f>$BF249+$AJ249</f>
        <v>0</v>
      </c>
      <c r="BH249" s="52">
        <f>$BG249+$AK249</f>
        <v>0</v>
      </c>
      <c r="BI249" s="52">
        <f>$BH249+$AL249</f>
        <v>0</v>
      </c>
      <c r="BJ249" s="52">
        <f>$BI249+$AM249</f>
        <v>0</v>
      </c>
      <c r="BK249" s="52">
        <f>$BJ249+$AN249</f>
        <v>0</v>
      </c>
      <c r="BL249" s="52">
        <f>$BK249+$AO249</f>
        <v>0</v>
      </c>
      <c r="BM249" s="52">
        <f>$BL249+$AP249</f>
        <v>0</v>
      </c>
      <c r="BN249" s="52">
        <f>$BM249+$AQ249</f>
        <v>0</v>
      </c>
      <c r="BO249" s="52">
        <f>$BN249+$AR249</f>
        <v>0</v>
      </c>
      <c r="BP249" s="52">
        <f>$BO249+$AS249</f>
        <v>0</v>
      </c>
      <c r="BQ249" s="52">
        <f>SUM($T$1:$T248)</f>
        <v>11</v>
      </c>
      <c r="BR249" s="52" t="str">
        <f>IF(ISNUMBER($T249),IF($T249&gt;0,COUNTIF($T$2:$T249,"&gt;0"),""),"")</f>
        <v/>
      </c>
      <c r="BS249" s="52" t="str">
        <f>IF($BR249="","",$BQ249+$T249)</f>
        <v/>
      </c>
      <c r="BT249" s="52" t="str">
        <f>IF($U249="Ready",COUNTIF($U$2:$U249,"Ready"),"")</f>
        <v/>
      </c>
      <c r="BU249" s="52">
        <f>IF(AND($U249="Ready",$C249="Receipt"),IF(COUNTIF(Batches!$A$2:$A$301,$F249)+COUNTIFS($F$1:$F248,$F249,$C$1:$C248,"Receipt",$U$1:$U248,"Ready")=0,1,0),0)</f>
        <v>0</v>
      </c>
      <c r="BV249" s="52" t="str">
        <f>IF($BU249=1,SUM($BU$2:$BU249),"")</f>
        <v/>
      </c>
    </row>
    <row r="250">
      <c r="A250" s="46" t="n"/>
      <c r="B250" s="46" t="n"/>
      <c r="C250" s="46" t="n"/>
      <c r="D250" s="46" t="n"/>
      <c r="E250" s="46" t="n"/>
      <c r="F250" s="46" t="n"/>
      <c r="G250" s="46" t="n"/>
      <c r="H250" s="46" t="n"/>
      <c r="I250" s="46" t="n"/>
      <c r="J250" s="46" t="n"/>
      <c r="K250" s="46" t="n"/>
      <c r="L250" s="46" t="n"/>
      <c r="M250" s="62" t="str">
        <f>IF($B250="","",IF(ISNUMBER($B250),$B250,IF(AND(LEN($B250)=10,MID($B250,5,1)="-",MID($B250,8,1)="-"),IFERROR(IF(AND(MONTH(DATE(VALUE(LEFT($B250,4)),VALUE(MID($B250,6,2)),VALUE(RIGHT($B250,2))))=VALUE(MID($B250,6,2)),DAY(DATE(VALUE(LEFT($B250,4)),VALUE(MID($B250,6,2)),VALUE(RIGHT($B250,2))))=VALUE(RIGHT($B250,2))),DATE(VALUE(LEFT($B250,4)),VALUE(MID($B250,6,2)),VALUE(RIGHT($B250,2))),"ERR"),"ERR"),"ERR")))</f>
        <v/>
      </c>
      <c r="N250" s="62" t="str">
        <f>IF($G250="","",IF(ISNUMBER($G250),$G250,IF(AND(LEN($G250)=10,MID($G250,5,1)="-",MID($G250,8,1)="-"),IFERROR(IF(AND(MONTH(DATE(VALUE(LEFT($G250,4)),VALUE(MID($G250,6,2)),VALUE(RIGHT($G250,2))))=VALUE(MID($G250,6,2)),DAY(DATE(VALUE(LEFT($G250,4)),VALUE(MID($G250,6,2)),VALUE(RIGHT($G250,2))))=VALUE(RIGHT($G250,2))),DATE(VALUE(LEFT($G250,4)),VALUE(MID($G250,6,2)),VALUE(RIGHT($G250,2))),"ERR"),"ERR"),"ERR")))</f>
        <v/>
      </c>
      <c r="O250" s="51" t="str">
        <f>IF($H250="","",IF(ISNUMBER($H250),$H250,IFERROR(VALUE($H250),"ERR")))</f>
        <v/>
      </c>
      <c r="P250" s="51" t="str">
        <f>IF(AND(ISNUMBER($O250),OR($C250="Receipt",$C250="Shipment",$C250="Adjustment")),IF($C250="Shipment",-$O250,$O250),"")</f>
        <v/>
      </c>
      <c r="Q250" s="51" t="str">
        <f>IF($D250="","",IFERROR(INDEX(Products!$R$2:$R$101,MATCH($D250,Products!$A$2:$A$101,0)),""))</f>
        <v/>
      </c>
      <c r="R250" s="51" t="str">
        <f>IF(OR($Q250="",$P250=""),"",$Q250+SUMIFS($P$1:$P249,$D$1:$D249,$D250,$U$1:$U249,"Ready"))</f>
        <v/>
      </c>
      <c r="S250" s="51" t="str">
        <f>IF($R250="","",$R250+$P250)</f>
        <v/>
      </c>
      <c r="T250" s="52" t="str">
        <f>IF(COUNTA($A250:$L250)&gt;0,$BP250,"")</f>
        <v/>
      </c>
      <c r="U250" s="49" t="str">
        <f>IF($T250="","",IF($T250=0,"Ready","Rejected"))</f>
        <v/>
      </c>
      <c r="V250" s="49" t="str">
        <f>IF(OR($T250="",$T250=0),"",INDEX(Config!$D$39:$D$61,MATCH(1,$AT250:$BP250,0))&amp;IF($T250&gt;1," (+"&amp;($T250-1)&amp;" more)",""))</f>
        <v/>
      </c>
      <c r="W250" s="52">
        <f>IF(AND(COUNTA($A250:$L250)&gt;0,$A250=""),1,0)</f>
        <v>0</v>
      </c>
      <c r="X250" s="52">
        <f>IF(AND(COUNTA($A250:$L250)&gt;0,$A250&lt;&gt;""),IF(COUNTIF($A$1:$A249,$A250)&gt;0,1,0),0)</f>
        <v>0</v>
      </c>
      <c r="Y250" s="52">
        <f>IF(AND(COUNTA($A250:$L250)&gt;0,$A250&lt;&gt;""),IF(COUNTIF(Inventory_Ledger!$A$2:$A$2001,$A250)&gt;0,1,0),0)</f>
        <v>0</v>
      </c>
      <c r="Z250" s="52">
        <f>IF(AND(COUNTA($A250:$L250)&gt;0,$B250=""),1,0)</f>
        <v>0</v>
      </c>
      <c r="AA250" s="52">
        <f>IF(AND(COUNTA($A250:$L250)&gt;0,$B250&lt;&gt;""),IF($M250="ERR",1,0),0)</f>
        <v>0</v>
      </c>
      <c r="AB250" s="52">
        <f>IF(AND(COUNTA($A250:$L250)&gt;0,ISNUMBER($M250)),IF($M250&gt;Config!$B$4,1,0),0)</f>
        <v>0</v>
      </c>
      <c r="AC250" s="52">
        <f>IF(AND(COUNTA($A250:$L250)&gt;0,$C250=""),1,0)</f>
        <v>0</v>
      </c>
      <c r="AD250" s="52">
        <f>IF(AND(COUNTA($A250:$L250)&gt;0,$C250&lt;&gt;""),IF(COUNTIF(Config!$A$15:$A$34,$C250)=0,1,0),0)</f>
        <v>0</v>
      </c>
      <c r="AE250" s="52">
        <f>IF(AND(COUNTA($A250:$L250)&gt;0,$D250=""),1,0)</f>
        <v>0</v>
      </c>
      <c r="AF250" s="52">
        <f>IF(AND(COUNTA($A250:$L250)&gt;0,$D250&lt;&gt;""),IF(COUNTIF(Products!$A$2:$A$101,$D250)=0,1,0),0)</f>
        <v>0</v>
      </c>
      <c r="AG250" s="52">
        <f>IF(AND(COUNTA($A250:$L250)&gt;0,$C250="Receipt",$E250=""),1,0)</f>
        <v>0</v>
      </c>
      <c r="AH250" s="52">
        <f>IF(AND(COUNTA($A250:$L250)&gt;0,$E250&lt;&gt;""),IF(COUNTIF(Suppliers!$A$2:$A$51,$E250)=0,1,0),0)</f>
        <v>0</v>
      </c>
      <c r="AI250" s="52">
        <f>IF(AND(COUNTA($A250:$L250)&gt;0,$F250=""),1,0)</f>
        <v>0</v>
      </c>
      <c r="AJ250" s="52">
        <f>IF(AND(COUNTA($A250:$L250)&gt;0,$F250&lt;&gt;"",$D250&lt;&gt;"",OR($C250="Shipment",$C250="Adjustment")),IF($AF250=1,0,IF(COUNTIFS(Batches!$A$2:$A$301,$F250,Batches!$B$2:$B$301,$D250)+COUNTIFS($F$1:$F249,$F250,$D$1:$D249,$D250,$C$1:$C249,"Receipt")=0,1,0)),0)</f>
        <v>0</v>
      </c>
      <c r="AK250" s="52">
        <f>IF(AND(COUNTA($A250:$L250)&gt;0,$C250="Receipt",$G250=""),1,0)</f>
        <v>0</v>
      </c>
      <c r="AL250" s="52">
        <f>IF(AND(COUNTA($A250:$L250)&gt;0,$G250&lt;&gt;""),IF($N250="ERR",1,0),0)</f>
        <v>0</v>
      </c>
      <c r="AM250" s="52">
        <f>IF(AND(COUNTA($A250:$L250)&gt;0,$H250=""),1,0)</f>
        <v>0</v>
      </c>
      <c r="AN250" s="52">
        <f>IF(AND(COUNTA($A250:$L250)&gt;0,$H250&lt;&gt;""),IF($O250="ERR",1,IF(INT($O250)&lt;&gt;$O250,1,IF(AND(OR($C250="Receipt",$C250="Shipment"),$O250&lt;=0),1,IF(AND($C250="Adjustment",$O250=0),1,0)))),0)</f>
        <v>0</v>
      </c>
      <c r="AO250" s="52">
        <f>IF(AND(COUNTA($A250:$L250)&gt;0,$C250="Receipt",$I250=""),1,0)</f>
        <v>0</v>
      </c>
      <c r="AP250" s="52">
        <f>IF(AND(COUNTA($A250:$L250)&gt;0,$I250&lt;&gt;""),IF(IFERROR(INDEX(Config!$G$15:$G$34,MATCH($I250,Config!$E$15:$E$34,0)),"No")="Yes",0,1),0)</f>
        <v>0</v>
      </c>
      <c r="AQ250" s="52">
        <f>IF(AND(COUNTA($A250:$L250)&gt;0,$C250="Adjustment",$J250=""),1,0)</f>
        <v>0</v>
      </c>
      <c r="AR250" s="52">
        <f>IF(AND(COUNTA($A250:$L250)&gt;0,$L250=""),1,0)</f>
        <v>0</v>
      </c>
      <c r="AS250" s="52">
        <f>IF(AND(COUNTA($A250:$L250)&gt;0,ISNUMBER($S250)),IF($S250&lt;0,1,0),0)</f>
        <v>0</v>
      </c>
      <c r="AT250" s="52">
        <f>$W250</f>
        <v>0</v>
      </c>
      <c r="AU250" s="52">
        <f>$AT250+$X250</f>
        <v>0</v>
      </c>
      <c r="AV250" s="52">
        <f>$AU250+$Y250</f>
        <v>0</v>
      </c>
      <c r="AW250" s="52">
        <f>$AV250+$Z250</f>
        <v>0</v>
      </c>
      <c r="AX250" s="52">
        <f>$AW250+$AA250</f>
        <v>0</v>
      </c>
      <c r="AY250" s="52">
        <f>$AX250+$AB250</f>
        <v>0</v>
      </c>
      <c r="AZ250" s="52">
        <f>$AY250+$AC250</f>
        <v>0</v>
      </c>
      <c r="BA250" s="52">
        <f>$AZ250+$AD250</f>
        <v>0</v>
      </c>
      <c r="BB250" s="52">
        <f>$BA250+$AE250</f>
        <v>0</v>
      </c>
      <c r="BC250" s="52">
        <f>$BB250+$AF250</f>
        <v>0</v>
      </c>
      <c r="BD250" s="52">
        <f>$BC250+$AG250</f>
        <v>0</v>
      </c>
      <c r="BE250" s="52">
        <f>$BD250+$AH250</f>
        <v>0</v>
      </c>
      <c r="BF250" s="52">
        <f>$BE250+$AI250</f>
        <v>0</v>
      </c>
      <c r="BG250" s="52">
        <f>$BF250+$AJ250</f>
        <v>0</v>
      </c>
      <c r="BH250" s="52">
        <f>$BG250+$AK250</f>
        <v>0</v>
      </c>
      <c r="BI250" s="52">
        <f>$BH250+$AL250</f>
        <v>0</v>
      </c>
      <c r="BJ250" s="52">
        <f>$BI250+$AM250</f>
        <v>0</v>
      </c>
      <c r="BK250" s="52">
        <f>$BJ250+$AN250</f>
        <v>0</v>
      </c>
      <c r="BL250" s="52">
        <f>$BK250+$AO250</f>
        <v>0</v>
      </c>
      <c r="BM250" s="52">
        <f>$BL250+$AP250</f>
        <v>0</v>
      </c>
      <c r="BN250" s="52">
        <f>$BM250+$AQ250</f>
        <v>0</v>
      </c>
      <c r="BO250" s="52">
        <f>$BN250+$AR250</f>
        <v>0</v>
      </c>
      <c r="BP250" s="52">
        <f>$BO250+$AS250</f>
        <v>0</v>
      </c>
      <c r="BQ250" s="52">
        <f>SUM($T$1:$T249)</f>
        <v>11</v>
      </c>
      <c r="BR250" s="52" t="str">
        <f>IF(ISNUMBER($T250),IF($T250&gt;0,COUNTIF($T$2:$T250,"&gt;0"),""),"")</f>
        <v/>
      </c>
      <c r="BS250" s="52" t="str">
        <f>IF($BR250="","",$BQ250+$T250)</f>
        <v/>
      </c>
      <c r="BT250" s="52" t="str">
        <f>IF($U250="Ready",COUNTIF($U$2:$U250,"Ready"),"")</f>
        <v/>
      </c>
      <c r="BU250" s="52">
        <f>IF(AND($U250="Ready",$C250="Receipt"),IF(COUNTIF(Batches!$A$2:$A$301,$F250)+COUNTIFS($F$1:$F249,$F250,$C$1:$C249,"Receipt",$U$1:$U249,"Ready")=0,1,0),0)</f>
        <v>0</v>
      </c>
      <c r="BV250" s="52" t="str">
        <f>IF($BU250=1,SUM($BU$2:$BU250),"")</f>
        <v/>
      </c>
    </row>
    <row r="251">
      <c r="A251" s="46" t="n"/>
      <c r="B251" s="46" t="n"/>
      <c r="C251" s="46" t="n"/>
      <c r="D251" s="46" t="n"/>
      <c r="E251" s="46" t="n"/>
      <c r="F251" s="46" t="n"/>
      <c r="G251" s="46" t="n"/>
      <c r="H251" s="46" t="n"/>
      <c r="I251" s="46" t="n"/>
      <c r="J251" s="46" t="n"/>
      <c r="K251" s="46" t="n"/>
      <c r="L251" s="46" t="n"/>
      <c r="M251" s="62" t="str">
        <f>IF($B251="","",IF(ISNUMBER($B251),$B251,IF(AND(LEN($B251)=10,MID($B251,5,1)="-",MID($B251,8,1)="-"),IFERROR(IF(AND(MONTH(DATE(VALUE(LEFT($B251,4)),VALUE(MID($B251,6,2)),VALUE(RIGHT($B251,2))))=VALUE(MID($B251,6,2)),DAY(DATE(VALUE(LEFT($B251,4)),VALUE(MID($B251,6,2)),VALUE(RIGHT($B251,2))))=VALUE(RIGHT($B251,2))),DATE(VALUE(LEFT($B251,4)),VALUE(MID($B251,6,2)),VALUE(RIGHT($B251,2))),"ERR"),"ERR"),"ERR")))</f>
        <v/>
      </c>
      <c r="N251" s="62" t="str">
        <f>IF($G251="","",IF(ISNUMBER($G251),$G251,IF(AND(LEN($G251)=10,MID($G251,5,1)="-",MID($G251,8,1)="-"),IFERROR(IF(AND(MONTH(DATE(VALUE(LEFT($G251,4)),VALUE(MID($G251,6,2)),VALUE(RIGHT($G251,2))))=VALUE(MID($G251,6,2)),DAY(DATE(VALUE(LEFT($G251,4)),VALUE(MID($G251,6,2)),VALUE(RIGHT($G251,2))))=VALUE(RIGHT($G251,2))),DATE(VALUE(LEFT($G251,4)),VALUE(MID($G251,6,2)),VALUE(RIGHT($G251,2))),"ERR"),"ERR"),"ERR")))</f>
        <v/>
      </c>
      <c r="O251" s="51" t="str">
        <f>IF($H251="","",IF(ISNUMBER($H251),$H251,IFERROR(VALUE($H251),"ERR")))</f>
        <v/>
      </c>
      <c r="P251" s="51" t="str">
        <f>IF(AND(ISNUMBER($O251),OR($C251="Receipt",$C251="Shipment",$C251="Adjustment")),IF($C251="Shipment",-$O251,$O251),"")</f>
        <v/>
      </c>
      <c r="Q251" s="51" t="str">
        <f>IF($D251="","",IFERROR(INDEX(Products!$R$2:$R$101,MATCH($D251,Products!$A$2:$A$101,0)),""))</f>
        <v/>
      </c>
      <c r="R251" s="51" t="str">
        <f>IF(OR($Q251="",$P251=""),"",$Q251+SUMIFS($P$1:$P250,$D$1:$D250,$D251,$U$1:$U250,"Ready"))</f>
        <v/>
      </c>
      <c r="S251" s="51" t="str">
        <f>IF($R251="","",$R251+$P251)</f>
        <v/>
      </c>
      <c r="T251" s="52" t="str">
        <f>IF(COUNTA($A251:$L251)&gt;0,$BP251,"")</f>
        <v/>
      </c>
      <c r="U251" s="49" t="str">
        <f>IF($T251="","",IF($T251=0,"Ready","Rejected"))</f>
        <v/>
      </c>
      <c r="V251" s="49" t="str">
        <f>IF(OR($T251="",$T251=0),"",INDEX(Config!$D$39:$D$61,MATCH(1,$AT251:$BP251,0))&amp;IF($T251&gt;1," (+"&amp;($T251-1)&amp;" more)",""))</f>
        <v/>
      </c>
      <c r="W251" s="52">
        <f>IF(AND(COUNTA($A251:$L251)&gt;0,$A251=""),1,0)</f>
        <v>0</v>
      </c>
      <c r="X251" s="52">
        <f>IF(AND(COUNTA($A251:$L251)&gt;0,$A251&lt;&gt;""),IF(COUNTIF($A$1:$A250,$A251)&gt;0,1,0),0)</f>
        <v>0</v>
      </c>
      <c r="Y251" s="52">
        <f>IF(AND(COUNTA($A251:$L251)&gt;0,$A251&lt;&gt;""),IF(COUNTIF(Inventory_Ledger!$A$2:$A$2001,$A251)&gt;0,1,0),0)</f>
        <v>0</v>
      </c>
      <c r="Z251" s="52">
        <f>IF(AND(COUNTA($A251:$L251)&gt;0,$B251=""),1,0)</f>
        <v>0</v>
      </c>
      <c r="AA251" s="52">
        <f>IF(AND(COUNTA($A251:$L251)&gt;0,$B251&lt;&gt;""),IF($M251="ERR",1,0),0)</f>
        <v>0</v>
      </c>
      <c r="AB251" s="52">
        <f>IF(AND(COUNTA($A251:$L251)&gt;0,ISNUMBER($M251)),IF($M251&gt;Config!$B$4,1,0),0)</f>
        <v>0</v>
      </c>
      <c r="AC251" s="52">
        <f>IF(AND(COUNTA($A251:$L251)&gt;0,$C251=""),1,0)</f>
        <v>0</v>
      </c>
      <c r="AD251" s="52">
        <f>IF(AND(COUNTA($A251:$L251)&gt;0,$C251&lt;&gt;""),IF(COUNTIF(Config!$A$15:$A$34,$C251)=0,1,0),0)</f>
        <v>0</v>
      </c>
      <c r="AE251" s="52">
        <f>IF(AND(COUNTA($A251:$L251)&gt;0,$D251=""),1,0)</f>
        <v>0</v>
      </c>
      <c r="AF251" s="52">
        <f>IF(AND(COUNTA($A251:$L251)&gt;0,$D251&lt;&gt;""),IF(COUNTIF(Products!$A$2:$A$101,$D251)=0,1,0),0)</f>
        <v>0</v>
      </c>
      <c r="AG251" s="52">
        <f>IF(AND(COUNTA($A251:$L251)&gt;0,$C251="Receipt",$E251=""),1,0)</f>
        <v>0</v>
      </c>
      <c r="AH251" s="52">
        <f>IF(AND(COUNTA($A251:$L251)&gt;0,$E251&lt;&gt;""),IF(COUNTIF(Suppliers!$A$2:$A$51,$E251)=0,1,0),0)</f>
        <v>0</v>
      </c>
      <c r="AI251" s="52">
        <f>IF(AND(COUNTA($A251:$L251)&gt;0,$F251=""),1,0)</f>
        <v>0</v>
      </c>
      <c r="AJ251" s="52">
        <f>IF(AND(COUNTA($A251:$L251)&gt;0,$F251&lt;&gt;"",$D251&lt;&gt;"",OR($C251="Shipment",$C251="Adjustment")),IF($AF251=1,0,IF(COUNTIFS(Batches!$A$2:$A$301,$F251,Batches!$B$2:$B$301,$D251)+COUNTIFS($F$1:$F250,$F251,$D$1:$D250,$D251,$C$1:$C250,"Receipt")=0,1,0)),0)</f>
        <v>0</v>
      </c>
      <c r="AK251" s="52">
        <f>IF(AND(COUNTA($A251:$L251)&gt;0,$C251="Receipt",$G251=""),1,0)</f>
        <v>0</v>
      </c>
      <c r="AL251" s="52">
        <f>IF(AND(COUNTA($A251:$L251)&gt;0,$G251&lt;&gt;""),IF($N251="ERR",1,0),0)</f>
        <v>0</v>
      </c>
      <c r="AM251" s="52">
        <f>IF(AND(COUNTA($A251:$L251)&gt;0,$H251=""),1,0)</f>
        <v>0</v>
      </c>
      <c r="AN251" s="52">
        <f>IF(AND(COUNTA($A251:$L251)&gt;0,$H251&lt;&gt;""),IF($O251="ERR",1,IF(INT($O251)&lt;&gt;$O251,1,IF(AND(OR($C251="Receipt",$C251="Shipment"),$O251&lt;=0),1,IF(AND($C251="Adjustment",$O251=0),1,0)))),0)</f>
        <v>0</v>
      </c>
      <c r="AO251" s="52">
        <f>IF(AND(COUNTA($A251:$L251)&gt;0,$C251="Receipt",$I251=""),1,0)</f>
        <v>0</v>
      </c>
      <c r="AP251" s="52">
        <f>IF(AND(COUNTA($A251:$L251)&gt;0,$I251&lt;&gt;""),IF(IFERROR(INDEX(Config!$G$15:$G$34,MATCH($I251,Config!$E$15:$E$34,0)),"No")="Yes",0,1),0)</f>
        <v>0</v>
      </c>
      <c r="AQ251" s="52">
        <f>IF(AND(COUNTA($A251:$L251)&gt;0,$C251="Adjustment",$J251=""),1,0)</f>
        <v>0</v>
      </c>
      <c r="AR251" s="52">
        <f>IF(AND(COUNTA($A251:$L251)&gt;0,$L251=""),1,0)</f>
        <v>0</v>
      </c>
      <c r="AS251" s="52">
        <f>IF(AND(COUNTA($A251:$L251)&gt;0,ISNUMBER($S251)),IF($S251&lt;0,1,0),0)</f>
        <v>0</v>
      </c>
      <c r="AT251" s="52">
        <f>$W251</f>
        <v>0</v>
      </c>
      <c r="AU251" s="52">
        <f>$AT251+$X251</f>
        <v>0</v>
      </c>
      <c r="AV251" s="52">
        <f>$AU251+$Y251</f>
        <v>0</v>
      </c>
      <c r="AW251" s="52">
        <f>$AV251+$Z251</f>
        <v>0</v>
      </c>
      <c r="AX251" s="52">
        <f>$AW251+$AA251</f>
        <v>0</v>
      </c>
      <c r="AY251" s="52">
        <f>$AX251+$AB251</f>
        <v>0</v>
      </c>
      <c r="AZ251" s="52">
        <f>$AY251+$AC251</f>
        <v>0</v>
      </c>
      <c r="BA251" s="52">
        <f>$AZ251+$AD251</f>
        <v>0</v>
      </c>
      <c r="BB251" s="52">
        <f>$BA251+$AE251</f>
        <v>0</v>
      </c>
      <c r="BC251" s="52">
        <f>$BB251+$AF251</f>
        <v>0</v>
      </c>
      <c r="BD251" s="52">
        <f>$BC251+$AG251</f>
        <v>0</v>
      </c>
      <c r="BE251" s="52">
        <f>$BD251+$AH251</f>
        <v>0</v>
      </c>
      <c r="BF251" s="52">
        <f>$BE251+$AI251</f>
        <v>0</v>
      </c>
      <c r="BG251" s="52">
        <f>$BF251+$AJ251</f>
        <v>0</v>
      </c>
      <c r="BH251" s="52">
        <f>$BG251+$AK251</f>
        <v>0</v>
      </c>
      <c r="BI251" s="52">
        <f>$BH251+$AL251</f>
        <v>0</v>
      </c>
      <c r="BJ251" s="52">
        <f>$BI251+$AM251</f>
        <v>0</v>
      </c>
      <c r="BK251" s="52">
        <f>$BJ251+$AN251</f>
        <v>0</v>
      </c>
      <c r="BL251" s="52">
        <f>$BK251+$AO251</f>
        <v>0</v>
      </c>
      <c r="BM251" s="52">
        <f>$BL251+$AP251</f>
        <v>0</v>
      </c>
      <c r="BN251" s="52">
        <f>$BM251+$AQ251</f>
        <v>0</v>
      </c>
      <c r="BO251" s="52">
        <f>$BN251+$AR251</f>
        <v>0</v>
      </c>
      <c r="BP251" s="52">
        <f>$BO251+$AS251</f>
        <v>0</v>
      </c>
      <c r="BQ251" s="52">
        <f>SUM($T$1:$T250)</f>
        <v>11</v>
      </c>
      <c r="BR251" s="52" t="str">
        <f>IF(ISNUMBER($T251),IF($T251&gt;0,COUNTIF($T$2:$T251,"&gt;0"),""),"")</f>
        <v/>
      </c>
      <c r="BS251" s="52" t="str">
        <f>IF($BR251="","",$BQ251+$T251)</f>
        <v/>
      </c>
      <c r="BT251" s="52" t="str">
        <f>IF($U251="Ready",COUNTIF($U$2:$U251,"Ready"),"")</f>
        <v/>
      </c>
      <c r="BU251" s="52">
        <f>IF(AND($U251="Ready",$C251="Receipt"),IF(COUNTIF(Batches!$A$2:$A$301,$F251)+COUNTIFS($F$1:$F250,$F251,$C$1:$C250,"Receipt",$U$1:$U250,"Ready")=0,1,0),0)</f>
        <v>0</v>
      </c>
      <c r="BV251" s="52" t="str">
        <f>IF($BU251=1,SUM($BU$2:$BU251),"")</f>
        <v/>
      </c>
    </row>
    <row r="252">
      <c r="A252" s="46" t="n"/>
      <c r="B252" s="46" t="n"/>
      <c r="C252" s="46" t="n"/>
      <c r="D252" s="46" t="n"/>
      <c r="E252" s="46" t="n"/>
      <c r="F252" s="46" t="n"/>
      <c r="G252" s="46" t="n"/>
      <c r="H252" s="46" t="n"/>
      <c r="I252" s="46" t="n"/>
      <c r="J252" s="46" t="n"/>
      <c r="K252" s="46" t="n"/>
      <c r="L252" s="46" t="n"/>
      <c r="M252" s="62" t="str">
        <f>IF($B252="","",IF(ISNUMBER($B252),$B252,IF(AND(LEN($B252)=10,MID($B252,5,1)="-",MID($B252,8,1)="-"),IFERROR(IF(AND(MONTH(DATE(VALUE(LEFT($B252,4)),VALUE(MID($B252,6,2)),VALUE(RIGHT($B252,2))))=VALUE(MID($B252,6,2)),DAY(DATE(VALUE(LEFT($B252,4)),VALUE(MID($B252,6,2)),VALUE(RIGHT($B252,2))))=VALUE(RIGHT($B252,2))),DATE(VALUE(LEFT($B252,4)),VALUE(MID($B252,6,2)),VALUE(RIGHT($B252,2))),"ERR"),"ERR"),"ERR")))</f>
        <v/>
      </c>
      <c r="N252" s="62" t="str">
        <f>IF($G252="","",IF(ISNUMBER($G252),$G252,IF(AND(LEN($G252)=10,MID($G252,5,1)="-",MID($G252,8,1)="-"),IFERROR(IF(AND(MONTH(DATE(VALUE(LEFT($G252,4)),VALUE(MID($G252,6,2)),VALUE(RIGHT($G252,2))))=VALUE(MID($G252,6,2)),DAY(DATE(VALUE(LEFT($G252,4)),VALUE(MID($G252,6,2)),VALUE(RIGHT($G252,2))))=VALUE(RIGHT($G252,2))),DATE(VALUE(LEFT($G252,4)),VALUE(MID($G252,6,2)),VALUE(RIGHT($G252,2))),"ERR"),"ERR"),"ERR")))</f>
        <v/>
      </c>
      <c r="O252" s="51" t="str">
        <f>IF($H252="","",IF(ISNUMBER($H252),$H252,IFERROR(VALUE($H252),"ERR")))</f>
        <v/>
      </c>
      <c r="P252" s="51" t="str">
        <f>IF(AND(ISNUMBER($O252),OR($C252="Receipt",$C252="Shipment",$C252="Adjustment")),IF($C252="Shipment",-$O252,$O252),"")</f>
        <v/>
      </c>
      <c r="Q252" s="51" t="str">
        <f>IF($D252="","",IFERROR(INDEX(Products!$R$2:$R$101,MATCH($D252,Products!$A$2:$A$101,0)),""))</f>
        <v/>
      </c>
      <c r="R252" s="51" t="str">
        <f>IF(OR($Q252="",$P252=""),"",$Q252+SUMIFS($P$1:$P251,$D$1:$D251,$D252,$U$1:$U251,"Ready"))</f>
        <v/>
      </c>
      <c r="S252" s="51" t="str">
        <f>IF($R252="","",$R252+$P252)</f>
        <v/>
      </c>
      <c r="T252" s="52" t="str">
        <f>IF(COUNTA($A252:$L252)&gt;0,$BP252,"")</f>
        <v/>
      </c>
      <c r="U252" s="49" t="str">
        <f>IF($T252="","",IF($T252=0,"Ready","Rejected"))</f>
        <v/>
      </c>
      <c r="V252" s="49" t="str">
        <f>IF(OR($T252="",$T252=0),"",INDEX(Config!$D$39:$D$61,MATCH(1,$AT252:$BP252,0))&amp;IF($T252&gt;1," (+"&amp;($T252-1)&amp;" more)",""))</f>
        <v/>
      </c>
      <c r="W252" s="52">
        <f>IF(AND(COUNTA($A252:$L252)&gt;0,$A252=""),1,0)</f>
        <v>0</v>
      </c>
      <c r="X252" s="52">
        <f>IF(AND(COUNTA($A252:$L252)&gt;0,$A252&lt;&gt;""),IF(COUNTIF($A$1:$A251,$A252)&gt;0,1,0),0)</f>
        <v>0</v>
      </c>
      <c r="Y252" s="52">
        <f>IF(AND(COUNTA($A252:$L252)&gt;0,$A252&lt;&gt;""),IF(COUNTIF(Inventory_Ledger!$A$2:$A$2001,$A252)&gt;0,1,0),0)</f>
        <v>0</v>
      </c>
      <c r="Z252" s="52">
        <f>IF(AND(COUNTA($A252:$L252)&gt;0,$B252=""),1,0)</f>
        <v>0</v>
      </c>
      <c r="AA252" s="52">
        <f>IF(AND(COUNTA($A252:$L252)&gt;0,$B252&lt;&gt;""),IF($M252="ERR",1,0),0)</f>
        <v>0</v>
      </c>
      <c r="AB252" s="52">
        <f>IF(AND(COUNTA($A252:$L252)&gt;0,ISNUMBER($M252)),IF($M252&gt;Config!$B$4,1,0),0)</f>
        <v>0</v>
      </c>
      <c r="AC252" s="52">
        <f>IF(AND(COUNTA($A252:$L252)&gt;0,$C252=""),1,0)</f>
        <v>0</v>
      </c>
      <c r="AD252" s="52">
        <f>IF(AND(COUNTA($A252:$L252)&gt;0,$C252&lt;&gt;""),IF(COUNTIF(Config!$A$15:$A$34,$C252)=0,1,0),0)</f>
        <v>0</v>
      </c>
      <c r="AE252" s="52">
        <f>IF(AND(COUNTA($A252:$L252)&gt;0,$D252=""),1,0)</f>
        <v>0</v>
      </c>
      <c r="AF252" s="52">
        <f>IF(AND(COUNTA($A252:$L252)&gt;0,$D252&lt;&gt;""),IF(COUNTIF(Products!$A$2:$A$101,$D252)=0,1,0),0)</f>
        <v>0</v>
      </c>
      <c r="AG252" s="52">
        <f>IF(AND(COUNTA($A252:$L252)&gt;0,$C252="Receipt",$E252=""),1,0)</f>
        <v>0</v>
      </c>
      <c r="AH252" s="52">
        <f>IF(AND(COUNTA($A252:$L252)&gt;0,$E252&lt;&gt;""),IF(COUNTIF(Suppliers!$A$2:$A$51,$E252)=0,1,0),0)</f>
        <v>0</v>
      </c>
      <c r="AI252" s="52">
        <f>IF(AND(COUNTA($A252:$L252)&gt;0,$F252=""),1,0)</f>
        <v>0</v>
      </c>
      <c r="AJ252" s="52">
        <f>IF(AND(COUNTA($A252:$L252)&gt;0,$F252&lt;&gt;"",$D252&lt;&gt;"",OR($C252="Shipment",$C252="Adjustment")),IF($AF252=1,0,IF(COUNTIFS(Batches!$A$2:$A$301,$F252,Batches!$B$2:$B$301,$D252)+COUNTIFS($F$1:$F251,$F252,$D$1:$D251,$D252,$C$1:$C251,"Receipt")=0,1,0)),0)</f>
        <v>0</v>
      </c>
      <c r="AK252" s="52">
        <f>IF(AND(COUNTA($A252:$L252)&gt;0,$C252="Receipt",$G252=""),1,0)</f>
        <v>0</v>
      </c>
      <c r="AL252" s="52">
        <f>IF(AND(COUNTA($A252:$L252)&gt;0,$G252&lt;&gt;""),IF($N252="ERR",1,0),0)</f>
        <v>0</v>
      </c>
      <c r="AM252" s="52">
        <f>IF(AND(COUNTA($A252:$L252)&gt;0,$H252=""),1,0)</f>
        <v>0</v>
      </c>
      <c r="AN252" s="52">
        <f>IF(AND(COUNTA($A252:$L252)&gt;0,$H252&lt;&gt;""),IF($O252="ERR",1,IF(INT($O252)&lt;&gt;$O252,1,IF(AND(OR($C252="Receipt",$C252="Shipment"),$O252&lt;=0),1,IF(AND($C252="Adjustment",$O252=0),1,0)))),0)</f>
        <v>0</v>
      </c>
      <c r="AO252" s="52">
        <f>IF(AND(COUNTA($A252:$L252)&gt;0,$C252="Receipt",$I252=""),1,0)</f>
        <v>0</v>
      </c>
      <c r="AP252" s="52">
        <f>IF(AND(COUNTA($A252:$L252)&gt;0,$I252&lt;&gt;""),IF(IFERROR(INDEX(Config!$G$15:$G$34,MATCH($I252,Config!$E$15:$E$34,0)),"No")="Yes",0,1),0)</f>
        <v>0</v>
      </c>
      <c r="AQ252" s="52">
        <f>IF(AND(COUNTA($A252:$L252)&gt;0,$C252="Adjustment",$J252=""),1,0)</f>
        <v>0</v>
      </c>
      <c r="AR252" s="52">
        <f>IF(AND(COUNTA($A252:$L252)&gt;0,$L252=""),1,0)</f>
        <v>0</v>
      </c>
      <c r="AS252" s="52">
        <f>IF(AND(COUNTA($A252:$L252)&gt;0,ISNUMBER($S252)),IF($S252&lt;0,1,0),0)</f>
        <v>0</v>
      </c>
      <c r="AT252" s="52">
        <f>$W252</f>
        <v>0</v>
      </c>
      <c r="AU252" s="52">
        <f>$AT252+$X252</f>
        <v>0</v>
      </c>
      <c r="AV252" s="52">
        <f>$AU252+$Y252</f>
        <v>0</v>
      </c>
      <c r="AW252" s="52">
        <f>$AV252+$Z252</f>
        <v>0</v>
      </c>
      <c r="AX252" s="52">
        <f>$AW252+$AA252</f>
        <v>0</v>
      </c>
      <c r="AY252" s="52">
        <f>$AX252+$AB252</f>
        <v>0</v>
      </c>
      <c r="AZ252" s="52">
        <f>$AY252+$AC252</f>
        <v>0</v>
      </c>
      <c r="BA252" s="52">
        <f>$AZ252+$AD252</f>
        <v>0</v>
      </c>
      <c r="BB252" s="52">
        <f>$BA252+$AE252</f>
        <v>0</v>
      </c>
      <c r="BC252" s="52">
        <f>$BB252+$AF252</f>
        <v>0</v>
      </c>
      <c r="BD252" s="52">
        <f>$BC252+$AG252</f>
        <v>0</v>
      </c>
      <c r="BE252" s="52">
        <f>$BD252+$AH252</f>
        <v>0</v>
      </c>
      <c r="BF252" s="52">
        <f>$BE252+$AI252</f>
        <v>0</v>
      </c>
      <c r="BG252" s="52">
        <f>$BF252+$AJ252</f>
        <v>0</v>
      </c>
      <c r="BH252" s="52">
        <f>$BG252+$AK252</f>
        <v>0</v>
      </c>
      <c r="BI252" s="52">
        <f>$BH252+$AL252</f>
        <v>0</v>
      </c>
      <c r="BJ252" s="52">
        <f>$BI252+$AM252</f>
        <v>0</v>
      </c>
      <c r="BK252" s="52">
        <f>$BJ252+$AN252</f>
        <v>0</v>
      </c>
      <c r="BL252" s="52">
        <f>$BK252+$AO252</f>
        <v>0</v>
      </c>
      <c r="BM252" s="52">
        <f>$BL252+$AP252</f>
        <v>0</v>
      </c>
      <c r="BN252" s="52">
        <f>$BM252+$AQ252</f>
        <v>0</v>
      </c>
      <c r="BO252" s="52">
        <f>$BN252+$AR252</f>
        <v>0</v>
      </c>
      <c r="BP252" s="52">
        <f>$BO252+$AS252</f>
        <v>0</v>
      </c>
      <c r="BQ252" s="52">
        <f>SUM($T$1:$T251)</f>
        <v>11</v>
      </c>
      <c r="BR252" s="52" t="str">
        <f>IF(ISNUMBER($T252),IF($T252&gt;0,COUNTIF($T$2:$T252,"&gt;0"),""),"")</f>
        <v/>
      </c>
      <c r="BS252" s="52" t="str">
        <f>IF($BR252="","",$BQ252+$T252)</f>
        <v/>
      </c>
      <c r="BT252" s="52" t="str">
        <f>IF($U252="Ready",COUNTIF($U$2:$U252,"Ready"),"")</f>
        <v/>
      </c>
      <c r="BU252" s="52">
        <f>IF(AND($U252="Ready",$C252="Receipt"),IF(COUNTIF(Batches!$A$2:$A$301,$F252)+COUNTIFS($F$1:$F251,$F252,$C$1:$C251,"Receipt",$U$1:$U251,"Ready")=0,1,0),0)</f>
        <v>0</v>
      </c>
      <c r="BV252" s="52" t="str">
        <f>IF($BU252=1,SUM($BU$2:$BU252),"")</f>
        <v/>
      </c>
    </row>
    <row r="253">
      <c r="A253" s="46" t="n"/>
      <c r="B253" s="46" t="n"/>
      <c r="C253" s="46" t="n"/>
      <c r="D253" s="46" t="n"/>
      <c r="E253" s="46" t="n"/>
      <c r="F253" s="46" t="n"/>
      <c r="G253" s="46" t="n"/>
      <c r="H253" s="46" t="n"/>
      <c r="I253" s="46" t="n"/>
      <c r="J253" s="46" t="n"/>
      <c r="K253" s="46" t="n"/>
      <c r="L253" s="46" t="n"/>
      <c r="M253" s="62" t="str">
        <f>IF($B253="","",IF(ISNUMBER($B253),$B253,IF(AND(LEN($B253)=10,MID($B253,5,1)="-",MID($B253,8,1)="-"),IFERROR(IF(AND(MONTH(DATE(VALUE(LEFT($B253,4)),VALUE(MID($B253,6,2)),VALUE(RIGHT($B253,2))))=VALUE(MID($B253,6,2)),DAY(DATE(VALUE(LEFT($B253,4)),VALUE(MID($B253,6,2)),VALUE(RIGHT($B253,2))))=VALUE(RIGHT($B253,2))),DATE(VALUE(LEFT($B253,4)),VALUE(MID($B253,6,2)),VALUE(RIGHT($B253,2))),"ERR"),"ERR"),"ERR")))</f>
        <v/>
      </c>
      <c r="N253" s="62" t="str">
        <f>IF($G253="","",IF(ISNUMBER($G253),$G253,IF(AND(LEN($G253)=10,MID($G253,5,1)="-",MID($G253,8,1)="-"),IFERROR(IF(AND(MONTH(DATE(VALUE(LEFT($G253,4)),VALUE(MID($G253,6,2)),VALUE(RIGHT($G253,2))))=VALUE(MID($G253,6,2)),DAY(DATE(VALUE(LEFT($G253,4)),VALUE(MID($G253,6,2)),VALUE(RIGHT($G253,2))))=VALUE(RIGHT($G253,2))),DATE(VALUE(LEFT($G253,4)),VALUE(MID($G253,6,2)),VALUE(RIGHT($G253,2))),"ERR"),"ERR"),"ERR")))</f>
        <v/>
      </c>
      <c r="O253" s="51" t="str">
        <f>IF($H253="","",IF(ISNUMBER($H253),$H253,IFERROR(VALUE($H253),"ERR")))</f>
        <v/>
      </c>
      <c r="P253" s="51" t="str">
        <f>IF(AND(ISNUMBER($O253),OR($C253="Receipt",$C253="Shipment",$C253="Adjustment")),IF($C253="Shipment",-$O253,$O253),"")</f>
        <v/>
      </c>
      <c r="Q253" s="51" t="str">
        <f>IF($D253="","",IFERROR(INDEX(Products!$R$2:$R$101,MATCH($D253,Products!$A$2:$A$101,0)),""))</f>
        <v/>
      </c>
      <c r="R253" s="51" t="str">
        <f>IF(OR($Q253="",$P253=""),"",$Q253+SUMIFS($P$1:$P252,$D$1:$D252,$D253,$U$1:$U252,"Ready"))</f>
        <v/>
      </c>
      <c r="S253" s="51" t="str">
        <f>IF($R253="","",$R253+$P253)</f>
        <v/>
      </c>
      <c r="T253" s="52" t="str">
        <f>IF(COUNTA($A253:$L253)&gt;0,$BP253,"")</f>
        <v/>
      </c>
      <c r="U253" s="49" t="str">
        <f>IF($T253="","",IF($T253=0,"Ready","Rejected"))</f>
        <v/>
      </c>
      <c r="V253" s="49" t="str">
        <f>IF(OR($T253="",$T253=0),"",INDEX(Config!$D$39:$D$61,MATCH(1,$AT253:$BP253,0))&amp;IF($T253&gt;1," (+"&amp;($T253-1)&amp;" more)",""))</f>
        <v/>
      </c>
      <c r="W253" s="52">
        <f>IF(AND(COUNTA($A253:$L253)&gt;0,$A253=""),1,0)</f>
        <v>0</v>
      </c>
      <c r="X253" s="52">
        <f>IF(AND(COUNTA($A253:$L253)&gt;0,$A253&lt;&gt;""),IF(COUNTIF($A$1:$A252,$A253)&gt;0,1,0),0)</f>
        <v>0</v>
      </c>
      <c r="Y253" s="52">
        <f>IF(AND(COUNTA($A253:$L253)&gt;0,$A253&lt;&gt;""),IF(COUNTIF(Inventory_Ledger!$A$2:$A$2001,$A253)&gt;0,1,0),0)</f>
        <v>0</v>
      </c>
      <c r="Z253" s="52">
        <f>IF(AND(COUNTA($A253:$L253)&gt;0,$B253=""),1,0)</f>
        <v>0</v>
      </c>
      <c r="AA253" s="52">
        <f>IF(AND(COUNTA($A253:$L253)&gt;0,$B253&lt;&gt;""),IF($M253="ERR",1,0),0)</f>
        <v>0</v>
      </c>
      <c r="AB253" s="52">
        <f>IF(AND(COUNTA($A253:$L253)&gt;0,ISNUMBER($M253)),IF($M253&gt;Config!$B$4,1,0),0)</f>
        <v>0</v>
      </c>
      <c r="AC253" s="52">
        <f>IF(AND(COUNTA($A253:$L253)&gt;0,$C253=""),1,0)</f>
        <v>0</v>
      </c>
      <c r="AD253" s="52">
        <f>IF(AND(COUNTA($A253:$L253)&gt;0,$C253&lt;&gt;""),IF(COUNTIF(Config!$A$15:$A$34,$C253)=0,1,0),0)</f>
        <v>0</v>
      </c>
      <c r="AE253" s="52">
        <f>IF(AND(COUNTA($A253:$L253)&gt;0,$D253=""),1,0)</f>
        <v>0</v>
      </c>
      <c r="AF253" s="52">
        <f>IF(AND(COUNTA($A253:$L253)&gt;0,$D253&lt;&gt;""),IF(COUNTIF(Products!$A$2:$A$101,$D253)=0,1,0),0)</f>
        <v>0</v>
      </c>
      <c r="AG253" s="52">
        <f>IF(AND(COUNTA($A253:$L253)&gt;0,$C253="Receipt",$E253=""),1,0)</f>
        <v>0</v>
      </c>
      <c r="AH253" s="52">
        <f>IF(AND(COUNTA($A253:$L253)&gt;0,$E253&lt;&gt;""),IF(COUNTIF(Suppliers!$A$2:$A$51,$E253)=0,1,0),0)</f>
        <v>0</v>
      </c>
      <c r="AI253" s="52">
        <f>IF(AND(COUNTA($A253:$L253)&gt;0,$F253=""),1,0)</f>
        <v>0</v>
      </c>
      <c r="AJ253" s="52">
        <f>IF(AND(COUNTA($A253:$L253)&gt;0,$F253&lt;&gt;"",$D253&lt;&gt;"",OR($C253="Shipment",$C253="Adjustment")),IF($AF253=1,0,IF(COUNTIFS(Batches!$A$2:$A$301,$F253,Batches!$B$2:$B$301,$D253)+COUNTIFS($F$1:$F252,$F253,$D$1:$D252,$D253,$C$1:$C252,"Receipt")=0,1,0)),0)</f>
        <v>0</v>
      </c>
      <c r="AK253" s="52">
        <f>IF(AND(COUNTA($A253:$L253)&gt;0,$C253="Receipt",$G253=""),1,0)</f>
        <v>0</v>
      </c>
      <c r="AL253" s="52">
        <f>IF(AND(COUNTA($A253:$L253)&gt;0,$G253&lt;&gt;""),IF($N253="ERR",1,0),0)</f>
        <v>0</v>
      </c>
      <c r="AM253" s="52">
        <f>IF(AND(COUNTA($A253:$L253)&gt;0,$H253=""),1,0)</f>
        <v>0</v>
      </c>
      <c r="AN253" s="52">
        <f>IF(AND(COUNTA($A253:$L253)&gt;0,$H253&lt;&gt;""),IF($O253="ERR",1,IF(INT($O253)&lt;&gt;$O253,1,IF(AND(OR($C253="Receipt",$C253="Shipment"),$O253&lt;=0),1,IF(AND($C253="Adjustment",$O253=0),1,0)))),0)</f>
        <v>0</v>
      </c>
      <c r="AO253" s="52">
        <f>IF(AND(COUNTA($A253:$L253)&gt;0,$C253="Receipt",$I253=""),1,0)</f>
        <v>0</v>
      </c>
      <c r="AP253" s="52">
        <f>IF(AND(COUNTA($A253:$L253)&gt;0,$I253&lt;&gt;""),IF(IFERROR(INDEX(Config!$G$15:$G$34,MATCH($I253,Config!$E$15:$E$34,0)),"No")="Yes",0,1),0)</f>
        <v>0</v>
      </c>
      <c r="AQ253" s="52">
        <f>IF(AND(COUNTA($A253:$L253)&gt;0,$C253="Adjustment",$J253=""),1,0)</f>
        <v>0</v>
      </c>
      <c r="AR253" s="52">
        <f>IF(AND(COUNTA($A253:$L253)&gt;0,$L253=""),1,0)</f>
        <v>0</v>
      </c>
      <c r="AS253" s="52">
        <f>IF(AND(COUNTA($A253:$L253)&gt;0,ISNUMBER($S253)),IF($S253&lt;0,1,0),0)</f>
        <v>0</v>
      </c>
      <c r="AT253" s="52">
        <f>$W253</f>
        <v>0</v>
      </c>
      <c r="AU253" s="52">
        <f>$AT253+$X253</f>
        <v>0</v>
      </c>
      <c r="AV253" s="52">
        <f>$AU253+$Y253</f>
        <v>0</v>
      </c>
      <c r="AW253" s="52">
        <f>$AV253+$Z253</f>
        <v>0</v>
      </c>
      <c r="AX253" s="52">
        <f>$AW253+$AA253</f>
        <v>0</v>
      </c>
      <c r="AY253" s="52">
        <f>$AX253+$AB253</f>
        <v>0</v>
      </c>
      <c r="AZ253" s="52">
        <f>$AY253+$AC253</f>
        <v>0</v>
      </c>
      <c r="BA253" s="52">
        <f>$AZ253+$AD253</f>
        <v>0</v>
      </c>
      <c r="BB253" s="52">
        <f>$BA253+$AE253</f>
        <v>0</v>
      </c>
      <c r="BC253" s="52">
        <f>$BB253+$AF253</f>
        <v>0</v>
      </c>
      <c r="BD253" s="52">
        <f>$BC253+$AG253</f>
        <v>0</v>
      </c>
      <c r="BE253" s="52">
        <f>$BD253+$AH253</f>
        <v>0</v>
      </c>
      <c r="BF253" s="52">
        <f>$BE253+$AI253</f>
        <v>0</v>
      </c>
      <c r="BG253" s="52">
        <f>$BF253+$AJ253</f>
        <v>0</v>
      </c>
      <c r="BH253" s="52">
        <f>$BG253+$AK253</f>
        <v>0</v>
      </c>
      <c r="BI253" s="52">
        <f>$BH253+$AL253</f>
        <v>0</v>
      </c>
      <c r="BJ253" s="52">
        <f>$BI253+$AM253</f>
        <v>0</v>
      </c>
      <c r="BK253" s="52">
        <f>$BJ253+$AN253</f>
        <v>0</v>
      </c>
      <c r="BL253" s="52">
        <f>$BK253+$AO253</f>
        <v>0</v>
      </c>
      <c r="BM253" s="52">
        <f>$BL253+$AP253</f>
        <v>0</v>
      </c>
      <c r="BN253" s="52">
        <f>$BM253+$AQ253</f>
        <v>0</v>
      </c>
      <c r="BO253" s="52">
        <f>$BN253+$AR253</f>
        <v>0</v>
      </c>
      <c r="BP253" s="52">
        <f>$BO253+$AS253</f>
        <v>0</v>
      </c>
      <c r="BQ253" s="52">
        <f>SUM($T$1:$T252)</f>
        <v>11</v>
      </c>
      <c r="BR253" s="52" t="str">
        <f>IF(ISNUMBER($T253),IF($T253&gt;0,COUNTIF($T$2:$T253,"&gt;0"),""),"")</f>
        <v/>
      </c>
      <c r="BS253" s="52" t="str">
        <f>IF($BR253="","",$BQ253+$T253)</f>
        <v/>
      </c>
      <c r="BT253" s="52" t="str">
        <f>IF($U253="Ready",COUNTIF($U$2:$U253,"Ready"),"")</f>
        <v/>
      </c>
      <c r="BU253" s="52">
        <f>IF(AND($U253="Ready",$C253="Receipt"),IF(COUNTIF(Batches!$A$2:$A$301,$F253)+COUNTIFS($F$1:$F252,$F253,$C$1:$C252,"Receipt",$U$1:$U252,"Ready")=0,1,0),0)</f>
        <v>0</v>
      </c>
      <c r="BV253" s="52" t="str">
        <f>IF($BU253=1,SUM($BU$2:$BU253),"")</f>
        <v/>
      </c>
    </row>
    <row r="254">
      <c r="A254" s="46" t="n"/>
      <c r="B254" s="46" t="n"/>
      <c r="C254" s="46" t="n"/>
      <c r="D254" s="46" t="n"/>
      <c r="E254" s="46" t="n"/>
      <c r="F254" s="46" t="n"/>
      <c r="G254" s="46" t="n"/>
      <c r="H254" s="46" t="n"/>
      <c r="I254" s="46" t="n"/>
      <c r="J254" s="46" t="n"/>
      <c r="K254" s="46" t="n"/>
      <c r="L254" s="46" t="n"/>
      <c r="M254" s="62" t="str">
        <f>IF($B254="","",IF(ISNUMBER($B254),$B254,IF(AND(LEN($B254)=10,MID($B254,5,1)="-",MID($B254,8,1)="-"),IFERROR(IF(AND(MONTH(DATE(VALUE(LEFT($B254,4)),VALUE(MID($B254,6,2)),VALUE(RIGHT($B254,2))))=VALUE(MID($B254,6,2)),DAY(DATE(VALUE(LEFT($B254,4)),VALUE(MID($B254,6,2)),VALUE(RIGHT($B254,2))))=VALUE(RIGHT($B254,2))),DATE(VALUE(LEFT($B254,4)),VALUE(MID($B254,6,2)),VALUE(RIGHT($B254,2))),"ERR"),"ERR"),"ERR")))</f>
        <v/>
      </c>
      <c r="N254" s="62" t="str">
        <f>IF($G254="","",IF(ISNUMBER($G254),$G254,IF(AND(LEN($G254)=10,MID($G254,5,1)="-",MID($G254,8,1)="-"),IFERROR(IF(AND(MONTH(DATE(VALUE(LEFT($G254,4)),VALUE(MID($G254,6,2)),VALUE(RIGHT($G254,2))))=VALUE(MID($G254,6,2)),DAY(DATE(VALUE(LEFT($G254,4)),VALUE(MID($G254,6,2)),VALUE(RIGHT($G254,2))))=VALUE(RIGHT($G254,2))),DATE(VALUE(LEFT($G254,4)),VALUE(MID($G254,6,2)),VALUE(RIGHT($G254,2))),"ERR"),"ERR"),"ERR")))</f>
        <v/>
      </c>
      <c r="O254" s="51" t="str">
        <f>IF($H254="","",IF(ISNUMBER($H254),$H254,IFERROR(VALUE($H254),"ERR")))</f>
        <v/>
      </c>
      <c r="P254" s="51" t="str">
        <f>IF(AND(ISNUMBER($O254),OR($C254="Receipt",$C254="Shipment",$C254="Adjustment")),IF($C254="Shipment",-$O254,$O254),"")</f>
        <v/>
      </c>
      <c r="Q254" s="51" t="str">
        <f>IF($D254="","",IFERROR(INDEX(Products!$R$2:$R$101,MATCH($D254,Products!$A$2:$A$101,0)),""))</f>
        <v/>
      </c>
      <c r="R254" s="51" t="str">
        <f>IF(OR($Q254="",$P254=""),"",$Q254+SUMIFS($P$1:$P253,$D$1:$D253,$D254,$U$1:$U253,"Ready"))</f>
        <v/>
      </c>
      <c r="S254" s="51" t="str">
        <f>IF($R254="","",$R254+$P254)</f>
        <v/>
      </c>
      <c r="T254" s="52" t="str">
        <f>IF(COUNTA($A254:$L254)&gt;0,$BP254,"")</f>
        <v/>
      </c>
      <c r="U254" s="49" t="str">
        <f>IF($T254="","",IF($T254=0,"Ready","Rejected"))</f>
        <v/>
      </c>
      <c r="V254" s="49" t="str">
        <f>IF(OR($T254="",$T254=0),"",INDEX(Config!$D$39:$D$61,MATCH(1,$AT254:$BP254,0))&amp;IF($T254&gt;1," (+"&amp;($T254-1)&amp;" more)",""))</f>
        <v/>
      </c>
      <c r="W254" s="52">
        <f>IF(AND(COUNTA($A254:$L254)&gt;0,$A254=""),1,0)</f>
        <v>0</v>
      </c>
      <c r="X254" s="52">
        <f>IF(AND(COUNTA($A254:$L254)&gt;0,$A254&lt;&gt;""),IF(COUNTIF($A$1:$A253,$A254)&gt;0,1,0),0)</f>
        <v>0</v>
      </c>
      <c r="Y254" s="52">
        <f>IF(AND(COUNTA($A254:$L254)&gt;0,$A254&lt;&gt;""),IF(COUNTIF(Inventory_Ledger!$A$2:$A$2001,$A254)&gt;0,1,0),0)</f>
        <v>0</v>
      </c>
      <c r="Z254" s="52">
        <f>IF(AND(COUNTA($A254:$L254)&gt;0,$B254=""),1,0)</f>
        <v>0</v>
      </c>
      <c r="AA254" s="52">
        <f>IF(AND(COUNTA($A254:$L254)&gt;0,$B254&lt;&gt;""),IF($M254="ERR",1,0),0)</f>
        <v>0</v>
      </c>
      <c r="AB254" s="52">
        <f>IF(AND(COUNTA($A254:$L254)&gt;0,ISNUMBER($M254)),IF($M254&gt;Config!$B$4,1,0),0)</f>
        <v>0</v>
      </c>
      <c r="AC254" s="52">
        <f>IF(AND(COUNTA($A254:$L254)&gt;0,$C254=""),1,0)</f>
        <v>0</v>
      </c>
      <c r="AD254" s="52">
        <f>IF(AND(COUNTA($A254:$L254)&gt;0,$C254&lt;&gt;""),IF(COUNTIF(Config!$A$15:$A$34,$C254)=0,1,0),0)</f>
        <v>0</v>
      </c>
      <c r="AE254" s="52">
        <f>IF(AND(COUNTA($A254:$L254)&gt;0,$D254=""),1,0)</f>
        <v>0</v>
      </c>
      <c r="AF254" s="52">
        <f>IF(AND(COUNTA($A254:$L254)&gt;0,$D254&lt;&gt;""),IF(COUNTIF(Products!$A$2:$A$101,$D254)=0,1,0),0)</f>
        <v>0</v>
      </c>
      <c r="AG254" s="52">
        <f>IF(AND(COUNTA($A254:$L254)&gt;0,$C254="Receipt",$E254=""),1,0)</f>
        <v>0</v>
      </c>
      <c r="AH254" s="52">
        <f>IF(AND(COUNTA($A254:$L254)&gt;0,$E254&lt;&gt;""),IF(COUNTIF(Suppliers!$A$2:$A$51,$E254)=0,1,0),0)</f>
        <v>0</v>
      </c>
      <c r="AI254" s="52">
        <f>IF(AND(COUNTA($A254:$L254)&gt;0,$F254=""),1,0)</f>
        <v>0</v>
      </c>
      <c r="AJ254" s="52">
        <f>IF(AND(COUNTA($A254:$L254)&gt;0,$F254&lt;&gt;"",$D254&lt;&gt;"",OR($C254="Shipment",$C254="Adjustment")),IF($AF254=1,0,IF(COUNTIFS(Batches!$A$2:$A$301,$F254,Batches!$B$2:$B$301,$D254)+COUNTIFS($F$1:$F253,$F254,$D$1:$D253,$D254,$C$1:$C253,"Receipt")=0,1,0)),0)</f>
        <v>0</v>
      </c>
      <c r="AK254" s="52">
        <f>IF(AND(COUNTA($A254:$L254)&gt;0,$C254="Receipt",$G254=""),1,0)</f>
        <v>0</v>
      </c>
      <c r="AL254" s="52">
        <f>IF(AND(COUNTA($A254:$L254)&gt;0,$G254&lt;&gt;""),IF($N254="ERR",1,0),0)</f>
        <v>0</v>
      </c>
      <c r="AM254" s="52">
        <f>IF(AND(COUNTA($A254:$L254)&gt;0,$H254=""),1,0)</f>
        <v>0</v>
      </c>
      <c r="AN254" s="52">
        <f>IF(AND(COUNTA($A254:$L254)&gt;0,$H254&lt;&gt;""),IF($O254="ERR",1,IF(INT($O254)&lt;&gt;$O254,1,IF(AND(OR($C254="Receipt",$C254="Shipment"),$O254&lt;=0),1,IF(AND($C254="Adjustment",$O254=0),1,0)))),0)</f>
        <v>0</v>
      </c>
      <c r="AO254" s="52">
        <f>IF(AND(COUNTA($A254:$L254)&gt;0,$C254="Receipt",$I254=""),1,0)</f>
        <v>0</v>
      </c>
      <c r="AP254" s="52">
        <f>IF(AND(COUNTA($A254:$L254)&gt;0,$I254&lt;&gt;""),IF(IFERROR(INDEX(Config!$G$15:$G$34,MATCH($I254,Config!$E$15:$E$34,0)),"No")="Yes",0,1),0)</f>
        <v>0</v>
      </c>
      <c r="AQ254" s="52">
        <f>IF(AND(COUNTA($A254:$L254)&gt;0,$C254="Adjustment",$J254=""),1,0)</f>
        <v>0</v>
      </c>
      <c r="AR254" s="52">
        <f>IF(AND(COUNTA($A254:$L254)&gt;0,$L254=""),1,0)</f>
        <v>0</v>
      </c>
      <c r="AS254" s="52">
        <f>IF(AND(COUNTA($A254:$L254)&gt;0,ISNUMBER($S254)),IF($S254&lt;0,1,0),0)</f>
        <v>0</v>
      </c>
      <c r="AT254" s="52">
        <f>$W254</f>
        <v>0</v>
      </c>
      <c r="AU254" s="52">
        <f>$AT254+$X254</f>
        <v>0</v>
      </c>
      <c r="AV254" s="52">
        <f>$AU254+$Y254</f>
        <v>0</v>
      </c>
      <c r="AW254" s="52">
        <f>$AV254+$Z254</f>
        <v>0</v>
      </c>
      <c r="AX254" s="52">
        <f>$AW254+$AA254</f>
        <v>0</v>
      </c>
      <c r="AY254" s="52">
        <f>$AX254+$AB254</f>
        <v>0</v>
      </c>
      <c r="AZ254" s="52">
        <f>$AY254+$AC254</f>
        <v>0</v>
      </c>
      <c r="BA254" s="52">
        <f>$AZ254+$AD254</f>
        <v>0</v>
      </c>
      <c r="BB254" s="52">
        <f>$BA254+$AE254</f>
        <v>0</v>
      </c>
      <c r="BC254" s="52">
        <f>$BB254+$AF254</f>
        <v>0</v>
      </c>
      <c r="BD254" s="52">
        <f>$BC254+$AG254</f>
        <v>0</v>
      </c>
      <c r="BE254" s="52">
        <f>$BD254+$AH254</f>
        <v>0</v>
      </c>
      <c r="BF254" s="52">
        <f>$BE254+$AI254</f>
        <v>0</v>
      </c>
      <c r="BG254" s="52">
        <f>$BF254+$AJ254</f>
        <v>0</v>
      </c>
      <c r="BH254" s="52">
        <f>$BG254+$AK254</f>
        <v>0</v>
      </c>
      <c r="BI254" s="52">
        <f>$BH254+$AL254</f>
        <v>0</v>
      </c>
      <c r="BJ254" s="52">
        <f>$BI254+$AM254</f>
        <v>0</v>
      </c>
      <c r="BK254" s="52">
        <f>$BJ254+$AN254</f>
        <v>0</v>
      </c>
      <c r="BL254" s="52">
        <f>$BK254+$AO254</f>
        <v>0</v>
      </c>
      <c r="BM254" s="52">
        <f>$BL254+$AP254</f>
        <v>0</v>
      </c>
      <c r="BN254" s="52">
        <f>$BM254+$AQ254</f>
        <v>0</v>
      </c>
      <c r="BO254" s="52">
        <f>$BN254+$AR254</f>
        <v>0</v>
      </c>
      <c r="BP254" s="52">
        <f>$BO254+$AS254</f>
        <v>0</v>
      </c>
      <c r="BQ254" s="52">
        <f>SUM($T$1:$T253)</f>
        <v>11</v>
      </c>
      <c r="BR254" s="52" t="str">
        <f>IF(ISNUMBER($T254),IF($T254&gt;0,COUNTIF($T$2:$T254,"&gt;0"),""),"")</f>
        <v/>
      </c>
      <c r="BS254" s="52" t="str">
        <f>IF($BR254="","",$BQ254+$T254)</f>
        <v/>
      </c>
      <c r="BT254" s="52" t="str">
        <f>IF($U254="Ready",COUNTIF($U$2:$U254,"Ready"),"")</f>
        <v/>
      </c>
      <c r="BU254" s="52">
        <f>IF(AND($U254="Ready",$C254="Receipt"),IF(COUNTIF(Batches!$A$2:$A$301,$F254)+COUNTIFS($F$1:$F253,$F254,$C$1:$C253,"Receipt",$U$1:$U253,"Ready")=0,1,0),0)</f>
        <v>0</v>
      </c>
      <c r="BV254" s="52" t="str">
        <f>IF($BU254=1,SUM($BU$2:$BU254),"")</f>
        <v/>
      </c>
    </row>
    <row r="255">
      <c r="A255" s="46" t="n"/>
      <c r="B255" s="46" t="n"/>
      <c r="C255" s="46" t="n"/>
      <c r="D255" s="46" t="n"/>
      <c r="E255" s="46" t="n"/>
      <c r="F255" s="46" t="n"/>
      <c r="G255" s="46" t="n"/>
      <c r="H255" s="46" t="n"/>
      <c r="I255" s="46" t="n"/>
      <c r="J255" s="46" t="n"/>
      <c r="K255" s="46" t="n"/>
      <c r="L255" s="46" t="n"/>
      <c r="M255" s="62" t="str">
        <f>IF($B255="","",IF(ISNUMBER($B255),$B255,IF(AND(LEN($B255)=10,MID($B255,5,1)="-",MID($B255,8,1)="-"),IFERROR(IF(AND(MONTH(DATE(VALUE(LEFT($B255,4)),VALUE(MID($B255,6,2)),VALUE(RIGHT($B255,2))))=VALUE(MID($B255,6,2)),DAY(DATE(VALUE(LEFT($B255,4)),VALUE(MID($B255,6,2)),VALUE(RIGHT($B255,2))))=VALUE(RIGHT($B255,2))),DATE(VALUE(LEFT($B255,4)),VALUE(MID($B255,6,2)),VALUE(RIGHT($B255,2))),"ERR"),"ERR"),"ERR")))</f>
        <v/>
      </c>
      <c r="N255" s="62" t="str">
        <f>IF($G255="","",IF(ISNUMBER($G255),$G255,IF(AND(LEN($G255)=10,MID($G255,5,1)="-",MID($G255,8,1)="-"),IFERROR(IF(AND(MONTH(DATE(VALUE(LEFT($G255,4)),VALUE(MID($G255,6,2)),VALUE(RIGHT($G255,2))))=VALUE(MID($G255,6,2)),DAY(DATE(VALUE(LEFT($G255,4)),VALUE(MID($G255,6,2)),VALUE(RIGHT($G255,2))))=VALUE(RIGHT($G255,2))),DATE(VALUE(LEFT($G255,4)),VALUE(MID($G255,6,2)),VALUE(RIGHT($G255,2))),"ERR"),"ERR"),"ERR")))</f>
        <v/>
      </c>
      <c r="O255" s="51" t="str">
        <f>IF($H255="","",IF(ISNUMBER($H255),$H255,IFERROR(VALUE($H255),"ERR")))</f>
        <v/>
      </c>
      <c r="P255" s="51" t="str">
        <f>IF(AND(ISNUMBER($O255),OR($C255="Receipt",$C255="Shipment",$C255="Adjustment")),IF($C255="Shipment",-$O255,$O255),"")</f>
        <v/>
      </c>
      <c r="Q255" s="51" t="str">
        <f>IF($D255="","",IFERROR(INDEX(Products!$R$2:$R$101,MATCH($D255,Products!$A$2:$A$101,0)),""))</f>
        <v/>
      </c>
      <c r="R255" s="51" t="str">
        <f>IF(OR($Q255="",$P255=""),"",$Q255+SUMIFS($P$1:$P254,$D$1:$D254,$D255,$U$1:$U254,"Ready"))</f>
        <v/>
      </c>
      <c r="S255" s="51" t="str">
        <f>IF($R255="","",$R255+$P255)</f>
        <v/>
      </c>
      <c r="T255" s="52" t="str">
        <f>IF(COUNTA($A255:$L255)&gt;0,$BP255,"")</f>
        <v/>
      </c>
      <c r="U255" s="49" t="str">
        <f>IF($T255="","",IF($T255=0,"Ready","Rejected"))</f>
        <v/>
      </c>
      <c r="V255" s="49" t="str">
        <f>IF(OR($T255="",$T255=0),"",INDEX(Config!$D$39:$D$61,MATCH(1,$AT255:$BP255,0))&amp;IF($T255&gt;1," (+"&amp;($T255-1)&amp;" more)",""))</f>
        <v/>
      </c>
      <c r="W255" s="52">
        <f>IF(AND(COUNTA($A255:$L255)&gt;0,$A255=""),1,0)</f>
        <v>0</v>
      </c>
      <c r="X255" s="52">
        <f>IF(AND(COUNTA($A255:$L255)&gt;0,$A255&lt;&gt;""),IF(COUNTIF($A$1:$A254,$A255)&gt;0,1,0),0)</f>
        <v>0</v>
      </c>
      <c r="Y255" s="52">
        <f>IF(AND(COUNTA($A255:$L255)&gt;0,$A255&lt;&gt;""),IF(COUNTIF(Inventory_Ledger!$A$2:$A$2001,$A255)&gt;0,1,0),0)</f>
        <v>0</v>
      </c>
      <c r="Z255" s="52">
        <f>IF(AND(COUNTA($A255:$L255)&gt;0,$B255=""),1,0)</f>
        <v>0</v>
      </c>
      <c r="AA255" s="52">
        <f>IF(AND(COUNTA($A255:$L255)&gt;0,$B255&lt;&gt;""),IF($M255="ERR",1,0),0)</f>
        <v>0</v>
      </c>
      <c r="AB255" s="52">
        <f>IF(AND(COUNTA($A255:$L255)&gt;0,ISNUMBER($M255)),IF($M255&gt;Config!$B$4,1,0),0)</f>
        <v>0</v>
      </c>
      <c r="AC255" s="52">
        <f>IF(AND(COUNTA($A255:$L255)&gt;0,$C255=""),1,0)</f>
        <v>0</v>
      </c>
      <c r="AD255" s="52">
        <f>IF(AND(COUNTA($A255:$L255)&gt;0,$C255&lt;&gt;""),IF(COUNTIF(Config!$A$15:$A$34,$C255)=0,1,0),0)</f>
        <v>0</v>
      </c>
      <c r="AE255" s="52">
        <f>IF(AND(COUNTA($A255:$L255)&gt;0,$D255=""),1,0)</f>
        <v>0</v>
      </c>
      <c r="AF255" s="52">
        <f>IF(AND(COUNTA($A255:$L255)&gt;0,$D255&lt;&gt;""),IF(COUNTIF(Products!$A$2:$A$101,$D255)=0,1,0),0)</f>
        <v>0</v>
      </c>
      <c r="AG255" s="52">
        <f>IF(AND(COUNTA($A255:$L255)&gt;0,$C255="Receipt",$E255=""),1,0)</f>
        <v>0</v>
      </c>
      <c r="AH255" s="52">
        <f>IF(AND(COUNTA($A255:$L255)&gt;0,$E255&lt;&gt;""),IF(COUNTIF(Suppliers!$A$2:$A$51,$E255)=0,1,0),0)</f>
        <v>0</v>
      </c>
      <c r="AI255" s="52">
        <f>IF(AND(COUNTA($A255:$L255)&gt;0,$F255=""),1,0)</f>
        <v>0</v>
      </c>
      <c r="AJ255" s="52">
        <f>IF(AND(COUNTA($A255:$L255)&gt;0,$F255&lt;&gt;"",$D255&lt;&gt;"",OR($C255="Shipment",$C255="Adjustment")),IF($AF255=1,0,IF(COUNTIFS(Batches!$A$2:$A$301,$F255,Batches!$B$2:$B$301,$D255)+COUNTIFS($F$1:$F254,$F255,$D$1:$D254,$D255,$C$1:$C254,"Receipt")=0,1,0)),0)</f>
        <v>0</v>
      </c>
      <c r="AK255" s="52">
        <f>IF(AND(COUNTA($A255:$L255)&gt;0,$C255="Receipt",$G255=""),1,0)</f>
        <v>0</v>
      </c>
      <c r="AL255" s="52">
        <f>IF(AND(COUNTA($A255:$L255)&gt;0,$G255&lt;&gt;""),IF($N255="ERR",1,0),0)</f>
        <v>0</v>
      </c>
      <c r="AM255" s="52">
        <f>IF(AND(COUNTA($A255:$L255)&gt;0,$H255=""),1,0)</f>
        <v>0</v>
      </c>
      <c r="AN255" s="52">
        <f>IF(AND(COUNTA($A255:$L255)&gt;0,$H255&lt;&gt;""),IF($O255="ERR",1,IF(INT($O255)&lt;&gt;$O255,1,IF(AND(OR($C255="Receipt",$C255="Shipment"),$O255&lt;=0),1,IF(AND($C255="Adjustment",$O255=0),1,0)))),0)</f>
        <v>0</v>
      </c>
      <c r="AO255" s="52">
        <f>IF(AND(COUNTA($A255:$L255)&gt;0,$C255="Receipt",$I255=""),1,0)</f>
        <v>0</v>
      </c>
      <c r="AP255" s="52">
        <f>IF(AND(COUNTA($A255:$L255)&gt;0,$I255&lt;&gt;""),IF(IFERROR(INDEX(Config!$G$15:$G$34,MATCH($I255,Config!$E$15:$E$34,0)),"No")="Yes",0,1),0)</f>
        <v>0</v>
      </c>
      <c r="AQ255" s="52">
        <f>IF(AND(COUNTA($A255:$L255)&gt;0,$C255="Adjustment",$J255=""),1,0)</f>
        <v>0</v>
      </c>
      <c r="AR255" s="52">
        <f>IF(AND(COUNTA($A255:$L255)&gt;0,$L255=""),1,0)</f>
        <v>0</v>
      </c>
      <c r="AS255" s="52">
        <f>IF(AND(COUNTA($A255:$L255)&gt;0,ISNUMBER($S255)),IF($S255&lt;0,1,0),0)</f>
        <v>0</v>
      </c>
      <c r="AT255" s="52">
        <f>$W255</f>
        <v>0</v>
      </c>
      <c r="AU255" s="52">
        <f>$AT255+$X255</f>
        <v>0</v>
      </c>
      <c r="AV255" s="52">
        <f>$AU255+$Y255</f>
        <v>0</v>
      </c>
      <c r="AW255" s="52">
        <f>$AV255+$Z255</f>
        <v>0</v>
      </c>
      <c r="AX255" s="52">
        <f>$AW255+$AA255</f>
        <v>0</v>
      </c>
      <c r="AY255" s="52">
        <f>$AX255+$AB255</f>
        <v>0</v>
      </c>
      <c r="AZ255" s="52">
        <f>$AY255+$AC255</f>
        <v>0</v>
      </c>
      <c r="BA255" s="52">
        <f>$AZ255+$AD255</f>
        <v>0</v>
      </c>
      <c r="BB255" s="52">
        <f>$BA255+$AE255</f>
        <v>0</v>
      </c>
      <c r="BC255" s="52">
        <f>$BB255+$AF255</f>
        <v>0</v>
      </c>
      <c r="BD255" s="52">
        <f>$BC255+$AG255</f>
        <v>0</v>
      </c>
      <c r="BE255" s="52">
        <f>$BD255+$AH255</f>
        <v>0</v>
      </c>
      <c r="BF255" s="52">
        <f>$BE255+$AI255</f>
        <v>0</v>
      </c>
      <c r="BG255" s="52">
        <f>$BF255+$AJ255</f>
        <v>0</v>
      </c>
      <c r="BH255" s="52">
        <f>$BG255+$AK255</f>
        <v>0</v>
      </c>
      <c r="BI255" s="52">
        <f>$BH255+$AL255</f>
        <v>0</v>
      </c>
      <c r="BJ255" s="52">
        <f>$BI255+$AM255</f>
        <v>0</v>
      </c>
      <c r="BK255" s="52">
        <f>$BJ255+$AN255</f>
        <v>0</v>
      </c>
      <c r="BL255" s="52">
        <f>$BK255+$AO255</f>
        <v>0</v>
      </c>
      <c r="BM255" s="52">
        <f>$BL255+$AP255</f>
        <v>0</v>
      </c>
      <c r="BN255" s="52">
        <f>$BM255+$AQ255</f>
        <v>0</v>
      </c>
      <c r="BO255" s="52">
        <f>$BN255+$AR255</f>
        <v>0</v>
      </c>
      <c r="BP255" s="52">
        <f>$BO255+$AS255</f>
        <v>0</v>
      </c>
      <c r="BQ255" s="52">
        <f>SUM($T$1:$T254)</f>
        <v>11</v>
      </c>
      <c r="BR255" s="52" t="str">
        <f>IF(ISNUMBER($T255),IF($T255&gt;0,COUNTIF($T$2:$T255,"&gt;0"),""),"")</f>
        <v/>
      </c>
      <c r="BS255" s="52" t="str">
        <f>IF($BR255="","",$BQ255+$T255)</f>
        <v/>
      </c>
      <c r="BT255" s="52" t="str">
        <f>IF($U255="Ready",COUNTIF($U$2:$U255,"Ready"),"")</f>
        <v/>
      </c>
      <c r="BU255" s="52">
        <f>IF(AND($U255="Ready",$C255="Receipt"),IF(COUNTIF(Batches!$A$2:$A$301,$F255)+COUNTIFS($F$1:$F254,$F255,$C$1:$C254,"Receipt",$U$1:$U254,"Ready")=0,1,0),0)</f>
        <v>0</v>
      </c>
      <c r="BV255" s="52" t="str">
        <f>IF($BU255=1,SUM($BU$2:$BU255),"")</f>
        <v/>
      </c>
    </row>
    <row r="256">
      <c r="A256" s="46" t="n"/>
      <c r="B256" s="46" t="n"/>
      <c r="C256" s="46" t="n"/>
      <c r="D256" s="46" t="n"/>
      <c r="E256" s="46" t="n"/>
      <c r="F256" s="46" t="n"/>
      <c r="G256" s="46" t="n"/>
      <c r="H256" s="46" t="n"/>
      <c r="I256" s="46" t="n"/>
      <c r="J256" s="46" t="n"/>
      <c r="K256" s="46" t="n"/>
      <c r="L256" s="46" t="n"/>
      <c r="M256" s="62" t="str">
        <f>IF($B256="","",IF(ISNUMBER($B256),$B256,IF(AND(LEN($B256)=10,MID($B256,5,1)="-",MID($B256,8,1)="-"),IFERROR(IF(AND(MONTH(DATE(VALUE(LEFT($B256,4)),VALUE(MID($B256,6,2)),VALUE(RIGHT($B256,2))))=VALUE(MID($B256,6,2)),DAY(DATE(VALUE(LEFT($B256,4)),VALUE(MID($B256,6,2)),VALUE(RIGHT($B256,2))))=VALUE(RIGHT($B256,2))),DATE(VALUE(LEFT($B256,4)),VALUE(MID($B256,6,2)),VALUE(RIGHT($B256,2))),"ERR"),"ERR"),"ERR")))</f>
        <v/>
      </c>
      <c r="N256" s="62" t="str">
        <f>IF($G256="","",IF(ISNUMBER($G256),$G256,IF(AND(LEN($G256)=10,MID($G256,5,1)="-",MID($G256,8,1)="-"),IFERROR(IF(AND(MONTH(DATE(VALUE(LEFT($G256,4)),VALUE(MID($G256,6,2)),VALUE(RIGHT($G256,2))))=VALUE(MID($G256,6,2)),DAY(DATE(VALUE(LEFT($G256,4)),VALUE(MID($G256,6,2)),VALUE(RIGHT($G256,2))))=VALUE(RIGHT($G256,2))),DATE(VALUE(LEFT($G256,4)),VALUE(MID($G256,6,2)),VALUE(RIGHT($G256,2))),"ERR"),"ERR"),"ERR")))</f>
        <v/>
      </c>
      <c r="O256" s="51" t="str">
        <f>IF($H256="","",IF(ISNUMBER($H256),$H256,IFERROR(VALUE($H256),"ERR")))</f>
        <v/>
      </c>
      <c r="P256" s="51" t="str">
        <f>IF(AND(ISNUMBER($O256),OR($C256="Receipt",$C256="Shipment",$C256="Adjustment")),IF($C256="Shipment",-$O256,$O256),"")</f>
        <v/>
      </c>
      <c r="Q256" s="51" t="str">
        <f>IF($D256="","",IFERROR(INDEX(Products!$R$2:$R$101,MATCH($D256,Products!$A$2:$A$101,0)),""))</f>
        <v/>
      </c>
      <c r="R256" s="51" t="str">
        <f>IF(OR($Q256="",$P256=""),"",$Q256+SUMIFS($P$1:$P255,$D$1:$D255,$D256,$U$1:$U255,"Ready"))</f>
        <v/>
      </c>
      <c r="S256" s="51" t="str">
        <f>IF($R256="","",$R256+$P256)</f>
        <v/>
      </c>
      <c r="T256" s="52" t="str">
        <f>IF(COUNTA($A256:$L256)&gt;0,$BP256,"")</f>
        <v/>
      </c>
      <c r="U256" s="49" t="str">
        <f>IF($T256="","",IF($T256=0,"Ready","Rejected"))</f>
        <v/>
      </c>
      <c r="V256" s="49" t="str">
        <f>IF(OR($T256="",$T256=0),"",INDEX(Config!$D$39:$D$61,MATCH(1,$AT256:$BP256,0))&amp;IF($T256&gt;1," (+"&amp;($T256-1)&amp;" more)",""))</f>
        <v/>
      </c>
      <c r="W256" s="52">
        <f>IF(AND(COUNTA($A256:$L256)&gt;0,$A256=""),1,0)</f>
        <v>0</v>
      </c>
      <c r="X256" s="52">
        <f>IF(AND(COUNTA($A256:$L256)&gt;0,$A256&lt;&gt;""),IF(COUNTIF($A$1:$A255,$A256)&gt;0,1,0),0)</f>
        <v>0</v>
      </c>
      <c r="Y256" s="52">
        <f>IF(AND(COUNTA($A256:$L256)&gt;0,$A256&lt;&gt;""),IF(COUNTIF(Inventory_Ledger!$A$2:$A$2001,$A256)&gt;0,1,0),0)</f>
        <v>0</v>
      </c>
      <c r="Z256" s="52">
        <f>IF(AND(COUNTA($A256:$L256)&gt;0,$B256=""),1,0)</f>
        <v>0</v>
      </c>
      <c r="AA256" s="52">
        <f>IF(AND(COUNTA($A256:$L256)&gt;0,$B256&lt;&gt;""),IF($M256="ERR",1,0),0)</f>
        <v>0</v>
      </c>
      <c r="AB256" s="52">
        <f>IF(AND(COUNTA($A256:$L256)&gt;0,ISNUMBER($M256)),IF($M256&gt;Config!$B$4,1,0),0)</f>
        <v>0</v>
      </c>
      <c r="AC256" s="52">
        <f>IF(AND(COUNTA($A256:$L256)&gt;0,$C256=""),1,0)</f>
        <v>0</v>
      </c>
      <c r="AD256" s="52">
        <f>IF(AND(COUNTA($A256:$L256)&gt;0,$C256&lt;&gt;""),IF(COUNTIF(Config!$A$15:$A$34,$C256)=0,1,0),0)</f>
        <v>0</v>
      </c>
      <c r="AE256" s="52">
        <f>IF(AND(COUNTA($A256:$L256)&gt;0,$D256=""),1,0)</f>
        <v>0</v>
      </c>
      <c r="AF256" s="52">
        <f>IF(AND(COUNTA($A256:$L256)&gt;0,$D256&lt;&gt;""),IF(COUNTIF(Products!$A$2:$A$101,$D256)=0,1,0),0)</f>
        <v>0</v>
      </c>
      <c r="AG256" s="52">
        <f>IF(AND(COUNTA($A256:$L256)&gt;0,$C256="Receipt",$E256=""),1,0)</f>
        <v>0</v>
      </c>
      <c r="AH256" s="52">
        <f>IF(AND(COUNTA($A256:$L256)&gt;0,$E256&lt;&gt;""),IF(COUNTIF(Suppliers!$A$2:$A$51,$E256)=0,1,0),0)</f>
        <v>0</v>
      </c>
      <c r="AI256" s="52">
        <f>IF(AND(COUNTA($A256:$L256)&gt;0,$F256=""),1,0)</f>
        <v>0</v>
      </c>
      <c r="AJ256" s="52">
        <f>IF(AND(COUNTA($A256:$L256)&gt;0,$F256&lt;&gt;"",$D256&lt;&gt;"",OR($C256="Shipment",$C256="Adjustment")),IF($AF256=1,0,IF(COUNTIFS(Batches!$A$2:$A$301,$F256,Batches!$B$2:$B$301,$D256)+COUNTIFS($F$1:$F255,$F256,$D$1:$D255,$D256,$C$1:$C255,"Receipt")=0,1,0)),0)</f>
        <v>0</v>
      </c>
      <c r="AK256" s="52">
        <f>IF(AND(COUNTA($A256:$L256)&gt;0,$C256="Receipt",$G256=""),1,0)</f>
        <v>0</v>
      </c>
      <c r="AL256" s="52">
        <f>IF(AND(COUNTA($A256:$L256)&gt;0,$G256&lt;&gt;""),IF($N256="ERR",1,0),0)</f>
        <v>0</v>
      </c>
      <c r="AM256" s="52">
        <f>IF(AND(COUNTA($A256:$L256)&gt;0,$H256=""),1,0)</f>
        <v>0</v>
      </c>
      <c r="AN256" s="52">
        <f>IF(AND(COUNTA($A256:$L256)&gt;0,$H256&lt;&gt;""),IF($O256="ERR",1,IF(INT($O256)&lt;&gt;$O256,1,IF(AND(OR($C256="Receipt",$C256="Shipment"),$O256&lt;=0),1,IF(AND($C256="Adjustment",$O256=0),1,0)))),0)</f>
        <v>0</v>
      </c>
      <c r="AO256" s="52">
        <f>IF(AND(COUNTA($A256:$L256)&gt;0,$C256="Receipt",$I256=""),1,0)</f>
        <v>0</v>
      </c>
      <c r="AP256" s="52">
        <f>IF(AND(COUNTA($A256:$L256)&gt;0,$I256&lt;&gt;""),IF(IFERROR(INDEX(Config!$G$15:$G$34,MATCH($I256,Config!$E$15:$E$34,0)),"No")="Yes",0,1),0)</f>
        <v>0</v>
      </c>
      <c r="AQ256" s="52">
        <f>IF(AND(COUNTA($A256:$L256)&gt;0,$C256="Adjustment",$J256=""),1,0)</f>
        <v>0</v>
      </c>
      <c r="AR256" s="52">
        <f>IF(AND(COUNTA($A256:$L256)&gt;0,$L256=""),1,0)</f>
        <v>0</v>
      </c>
      <c r="AS256" s="52">
        <f>IF(AND(COUNTA($A256:$L256)&gt;0,ISNUMBER($S256)),IF($S256&lt;0,1,0),0)</f>
        <v>0</v>
      </c>
      <c r="AT256" s="52">
        <f>$W256</f>
        <v>0</v>
      </c>
      <c r="AU256" s="52">
        <f>$AT256+$X256</f>
        <v>0</v>
      </c>
      <c r="AV256" s="52">
        <f>$AU256+$Y256</f>
        <v>0</v>
      </c>
      <c r="AW256" s="52">
        <f>$AV256+$Z256</f>
        <v>0</v>
      </c>
      <c r="AX256" s="52">
        <f>$AW256+$AA256</f>
        <v>0</v>
      </c>
      <c r="AY256" s="52">
        <f>$AX256+$AB256</f>
        <v>0</v>
      </c>
      <c r="AZ256" s="52">
        <f>$AY256+$AC256</f>
        <v>0</v>
      </c>
      <c r="BA256" s="52">
        <f>$AZ256+$AD256</f>
        <v>0</v>
      </c>
      <c r="BB256" s="52">
        <f>$BA256+$AE256</f>
        <v>0</v>
      </c>
      <c r="BC256" s="52">
        <f>$BB256+$AF256</f>
        <v>0</v>
      </c>
      <c r="BD256" s="52">
        <f>$BC256+$AG256</f>
        <v>0</v>
      </c>
      <c r="BE256" s="52">
        <f>$BD256+$AH256</f>
        <v>0</v>
      </c>
      <c r="BF256" s="52">
        <f>$BE256+$AI256</f>
        <v>0</v>
      </c>
      <c r="BG256" s="52">
        <f>$BF256+$AJ256</f>
        <v>0</v>
      </c>
      <c r="BH256" s="52">
        <f>$BG256+$AK256</f>
        <v>0</v>
      </c>
      <c r="BI256" s="52">
        <f>$BH256+$AL256</f>
        <v>0</v>
      </c>
      <c r="BJ256" s="52">
        <f>$BI256+$AM256</f>
        <v>0</v>
      </c>
      <c r="BK256" s="52">
        <f>$BJ256+$AN256</f>
        <v>0</v>
      </c>
      <c r="BL256" s="52">
        <f>$BK256+$AO256</f>
        <v>0</v>
      </c>
      <c r="BM256" s="52">
        <f>$BL256+$AP256</f>
        <v>0</v>
      </c>
      <c r="BN256" s="52">
        <f>$BM256+$AQ256</f>
        <v>0</v>
      </c>
      <c r="BO256" s="52">
        <f>$BN256+$AR256</f>
        <v>0</v>
      </c>
      <c r="BP256" s="52">
        <f>$BO256+$AS256</f>
        <v>0</v>
      </c>
      <c r="BQ256" s="52">
        <f>SUM($T$1:$T255)</f>
        <v>11</v>
      </c>
      <c r="BR256" s="52" t="str">
        <f>IF(ISNUMBER($T256),IF($T256&gt;0,COUNTIF($T$2:$T256,"&gt;0"),""),"")</f>
        <v/>
      </c>
      <c r="BS256" s="52" t="str">
        <f>IF($BR256="","",$BQ256+$T256)</f>
        <v/>
      </c>
      <c r="BT256" s="52" t="str">
        <f>IF($U256="Ready",COUNTIF($U$2:$U256,"Ready"),"")</f>
        <v/>
      </c>
      <c r="BU256" s="52">
        <f>IF(AND($U256="Ready",$C256="Receipt"),IF(COUNTIF(Batches!$A$2:$A$301,$F256)+COUNTIFS($F$1:$F255,$F256,$C$1:$C255,"Receipt",$U$1:$U255,"Ready")=0,1,0),0)</f>
        <v>0</v>
      </c>
      <c r="BV256" s="52" t="str">
        <f>IF($BU256=1,SUM($BU$2:$BU256),"")</f>
        <v/>
      </c>
    </row>
    <row r="257">
      <c r="A257" s="46" t="n"/>
      <c r="B257" s="46" t="n"/>
      <c r="C257" s="46" t="n"/>
      <c r="D257" s="46" t="n"/>
      <c r="E257" s="46" t="n"/>
      <c r="F257" s="46" t="n"/>
      <c r="G257" s="46" t="n"/>
      <c r="H257" s="46" t="n"/>
      <c r="I257" s="46" t="n"/>
      <c r="J257" s="46" t="n"/>
      <c r="K257" s="46" t="n"/>
      <c r="L257" s="46" t="n"/>
      <c r="M257" s="62" t="str">
        <f>IF($B257="","",IF(ISNUMBER($B257),$B257,IF(AND(LEN($B257)=10,MID($B257,5,1)="-",MID($B257,8,1)="-"),IFERROR(IF(AND(MONTH(DATE(VALUE(LEFT($B257,4)),VALUE(MID($B257,6,2)),VALUE(RIGHT($B257,2))))=VALUE(MID($B257,6,2)),DAY(DATE(VALUE(LEFT($B257,4)),VALUE(MID($B257,6,2)),VALUE(RIGHT($B257,2))))=VALUE(RIGHT($B257,2))),DATE(VALUE(LEFT($B257,4)),VALUE(MID($B257,6,2)),VALUE(RIGHT($B257,2))),"ERR"),"ERR"),"ERR")))</f>
        <v/>
      </c>
      <c r="N257" s="62" t="str">
        <f>IF($G257="","",IF(ISNUMBER($G257),$G257,IF(AND(LEN($G257)=10,MID($G257,5,1)="-",MID($G257,8,1)="-"),IFERROR(IF(AND(MONTH(DATE(VALUE(LEFT($G257,4)),VALUE(MID($G257,6,2)),VALUE(RIGHT($G257,2))))=VALUE(MID($G257,6,2)),DAY(DATE(VALUE(LEFT($G257,4)),VALUE(MID($G257,6,2)),VALUE(RIGHT($G257,2))))=VALUE(RIGHT($G257,2))),DATE(VALUE(LEFT($G257,4)),VALUE(MID($G257,6,2)),VALUE(RIGHT($G257,2))),"ERR"),"ERR"),"ERR")))</f>
        <v/>
      </c>
      <c r="O257" s="51" t="str">
        <f>IF($H257="","",IF(ISNUMBER($H257),$H257,IFERROR(VALUE($H257),"ERR")))</f>
        <v/>
      </c>
      <c r="P257" s="51" t="str">
        <f>IF(AND(ISNUMBER($O257),OR($C257="Receipt",$C257="Shipment",$C257="Adjustment")),IF($C257="Shipment",-$O257,$O257),"")</f>
        <v/>
      </c>
      <c r="Q257" s="51" t="str">
        <f>IF($D257="","",IFERROR(INDEX(Products!$R$2:$R$101,MATCH($D257,Products!$A$2:$A$101,0)),""))</f>
        <v/>
      </c>
      <c r="R257" s="51" t="str">
        <f>IF(OR($Q257="",$P257=""),"",$Q257+SUMIFS($P$1:$P256,$D$1:$D256,$D257,$U$1:$U256,"Ready"))</f>
        <v/>
      </c>
      <c r="S257" s="51" t="str">
        <f>IF($R257="","",$R257+$P257)</f>
        <v/>
      </c>
      <c r="T257" s="52" t="str">
        <f>IF(COUNTA($A257:$L257)&gt;0,$BP257,"")</f>
        <v/>
      </c>
      <c r="U257" s="49" t="str">
        <f>IF($T257="","",IF($T257=0,"Ready","Rejected"))</f>
        <v/>
      </c>
      <c r="V257" s="49" t="str">
        <f>IF(OR($T257="",$T257=0),"",INDEX(Config!$D$39:$D$61,MATCH(1,$AT257:$BP257,0))&amp;IF($T257&gt;1," (+"&amp;($T257-1)&amp;" more)",""))</f>
        <v/>
      </c>
      <c r="W257" s="52">
        <f>IF(AND(COUNTA($A257:$L257)&gt;0,$A257=""),1,0)</f>
        <v>0</v>
      </c>
      <c r="X257" s="52">
        <f>IF(AND(COUNTA($A257:$L257)&gt;0,$A257&lt;&gt;""),IF(COUNTIF($A$1:$A256,$A257)&gt;0,1,0),0)</f>
        <v>0</v>
      </c>
      <c r="Y257" s="52">
        <f>IF(AND(COUNTA($A257:$L257)&gt;0,$A257&lt;&gt;""),IF(COUNTIF(Inventory_Ledger!$A$2:$A$2001,$A257)&gt;0,1,0),0)</f>
        <v>0</v>
      </c>
      <c r="Z257" s="52">
        <f>IF(AND(COUNTA($A257:$L257)&gt;0,$B257=""),1,0)</f>
        <v>0</v>
      </c>
      <c r="AA257" s="52">
        <f>IF(AND(COUNTA($A257:$L257)&gt;0,$B257&lt;&gt;""),IF($M257="ERR",1,0),0)</f>
        <v>0</v>
      </c>
      <c r="AB257" s="52">
        <f>IF(AND(COUNTA($A257:$L257)&gt;0,ISNUMBER($M257)),IF($M257&gt;Config!$B$4,1,0),0)</f>
        <v>0</v>
      </c>
      <c r="AC257" s="52">
        <f>IF(AND(COUNTA($A257:$L257)&gt;0,$C257=""),1,0)</f>
        <v>0</v>
      </c>
      <c r="AD257" s="52">
        <f>IF(AND(COUNTA($A257:$L257)&gt;0,$C257&lt;&gt;""),IF(COUNTIF(Config!$A$15:$A$34,$C257)=0,1,0),0)</f>
        <v>0</v>
      </c>
      <c r="AE257" s="52">
        <f>IF(AND(COUNTA($A257:$L257)&gt;0,$D257=""),1,0)</f>
        <v>0</v>
      </c>
      <c r="AF257" s="52">
        <f>IF(AND(COUNTA($A257:$L257)&gt;0,$D257&lt;&gt;""),IF(COUNTIF(Products!$A$2:$A$101,$D257)=0,1,0),0)</f>
        <v>0</v>
      </c>
      <c r="AG257" s="52">
        <f>IF(AND(COUNTA($A257:$L257)&gt;0,$C257="Receipt",$E257=""),1,0)</f>
        <v>0</v>
      </c>
      <c r="AH257" s="52">
        <f>IF(AND(COUNTA($A257:$L257)&gt;0,$E257&lt;&gt;""),IF(COUNTIF(Suppliers!$A$2:$A$51,$E257)=0,1,0),0)</f>
        <v>0</v>
      </c>
      <c r="AI257" s="52">
        <f>IF(AND(COUNTA($A257:$L257)&gt;0,$F257=""),1,0)</f>
        <v>0</v>
      </c>
      <c r="AJ257" s="52">
        <f>IF(AND(COUNTA($A257:$L257)&gt;0,$F257&lt;&gt;"",$D257&lt;&gt;"",OR($C257="Shipment",$C257="Adjustment")),IF($AF257=1,0,IF(COUNTIFS(Batches!$A$2:$A$301,$F257,Batches!$B$2:$B$301,$D257)+COUNTIFS($F$1:$F256,$F257,$D$1:$D256,$D257,$C$1:$C256,"Receipt")=0,1,0)),0)</f>
        <v>0</v>
      </c>
      <c r="AK257" s="52">
        <f>IF(AND(COUNTA($A257:$L257)&gt;0,$C257="Receipt",$G257=""),1,0)</f>
        <v>0</v>
      </c>
      <c r="AL257" s="52">
        <f>IF(AND(COUNTA($A257:$L257)&gt;0,$G257&lt;&gt;""),IF($N257="ERR",1,0),0)</f>
        <v>0</v>
      </c>
      <c r="AM257" s="52">
        <f>IF(AND(COUNTA($A257:$L257)&gt;0,$H257=""),1,0)</f>
        <v>0</v>
      </c>
      <c r="AN257" s="52">
        <f>IF(AND(COUNTA($A257:$L257)&gt;0,$H257&lt;&gt;""),IF($O257="ERR",1,IF(INT($O257)&lt;&gt;$O257,1,IF(AND(OR($C257="Receipt",$C257="Shipment"),$O257&lt;=0),1,IF(AND($C257="Adjustment",$O257=0),1,0)))),0)</f>
        <v>0</v>
      </c>
      <c r="AO257" s="52">
        <f>IF(AND(COUNTA($A257:$L257)&gt;0,$C257="Receipt",$I257=""),1,0)</f>
        <v>0</v>
      </c>
      <c r="AP257" s="52">
        <f>IF(AND(COUNTA($A257:$L257)&gt;0,$I257&lt;&gt;""),IF(IFERROR(INDEX(Config!$G$15:$G$34,MATCH($I257,Config!$E$15:$E$34,0)),"No")="Yes",0,1),0)</f>
        <v>0</v>
      </c>
      <c r="AQ257" s="52">
        <f>IF(AND(COUNTA($A257:$L257)&gt;0,$C257="Adjustment",$J257=""),1,0)</f>
        <v>0</v>
      </c>
      <c r="AR257" s="52">
        <f>IF(AND(COUNTA($A257:$L257)&gt;0,$L257=""),1,0)</f>
        <v>0</v>
      </c>
      <c r="AS257" s="52">
        <f>IF(AND(COUNTA($A257:$L257)&gt;0,ISNUMBER($S257)),IF($S257&lt;0,1,0),0)</f>
        <v>0</v>
      </c>
      <c r="AT257" s="52">
        <f>$W257</f>
        <v>0</v>
      </c>
      <c r="AU257" s="52">
        <f>$AT257+$X257</f>
        <v>0</v>
      </c>
      <c r="AV257" s="52">
        <f>$AU257+$Y257</f>
        <v>0</v>
      </c>
      <c r="AW257" s="52">
        <f>$AV257+$Z257</f>
        <v>0</v>
      </c>
      <c r="AX257" s="52">
        <f>$AW257+$AA257</f>
        <v>0</v>
      </c>
      <c r="AY257" s="52">
        <f>$AX257+$AB257</f>
        <v>0</v>
      </c>
      <c r="AZ257" s="52">
        <f>$AY257+$AC257</f>
        <v>0</v>
      </c>
      <c r="BA257" s="52">
        <f>$AZ257+$AD257</f>
        <v>0</v>
      </c>
      <c r="BB257" s="52">
        <f>$BA257+$AE257</f>
        <v>0</v>
      </c>
      <c r="BC257" s="52">
        <f>$BB257+$AF257</f>
        <v>0</v>
      </c>
      <c r="BD257" s="52">
        <f>$BC257+$AG257</f>
        <v>0</v>
      </c>
      <c r="BE257" s="52">
        <f>$BD257+$AH257</f>
        <v>0</v>
      </c>
      <c r="BF257" s="52">
        <f>$BE257+$AI257</f>
        <v>0</v>
      </c>
      <c r="BG257" s="52">
        <f>$BF257+$AJ257</f>
        <v>0</v>
      </c>
      <c r="BH257" s="52">
        <f>$BG257+$AK257</f>
        <v>0</v>
      </c>
      <c r="BI257" s="52">
        <f>$BH257+$AL257</f>
        <v>0</v>
      </c>
      <c r="BJ257" s="52">
        <f>$BI257+$AM257</f>
        <v>0</v>
      </c>
      <c r="BK257" s="52">
        <f>$BJ257+$AN257</f>
        <v>0</v>
      </c>
      <c r="BL257" s="52">
        <f>$BK257+$AO257</f>
        <v>0</v>
      </c>
      <c r="BM257" s="52">
        <f>$BL257+$AP257</f>
        <v>0</v>
      </c>
      <c r="BN257" s="52">
        <f>$BM257+$AQ257</f>
        <v>0</v>
      </c>
      <c r="BO257" s="52">
        <f>$BN257+$AR257</f>
        <v>0</v>
      </c>
      <c r="BP257" s="52">
        <f>$BO257+$AS257</f>
        <v>0</v>
      </c>
      <c r="BQ257" s="52">
        <f>SUM($T$1:$T256)</f>
        <v>11</v>
      </c>
      <c r="BR257" s="52" t="str">
        <f>IF(ISNUMBER($T257),IF($T257&gt;0,COUNTIF($T$2:$T257,"&gt;0"),""),"")</f>
        <v/>
      </c>
      <c r="BS257" s="52" t="str">
        <f>IF($BR257="","",$BQ257+$T257)</f>
        <v/>
      </c>
      <c r="BT257" s="52" t="str">
        <f>IF($U257="Ready",COUNTIF($U$2:$U257,"Ready"),"")</f>
        <v/>
      </c>
      <c r="BU257" s="52">
        <f>IF(AND($U257="Ready",$C257="Receipt"),IF(COUNTIF(Batches!$A$2:$A$301,$F257)+COUNTIFS($F$1:$F256,$F257,$C$1:$C256,"Receipt",$U$1:$U256,"Ready")=0,1,0),0)</f>
        <v>0</v>
      </c>
      <c r="BV257" s="52" t="str">
        <f>IF($BU257=1,SUM($BU$2:$BU257),"")</f>
        <v/>
      </c>
    </row>
    <row r="258">
      <c r="A258" s="46" t="n"/>
      <c r="B258" s="46" t="n"/>
      <c r="C258" s="46" t="n"/>
      <c r="D258" s="46" t="n"/>
      <c r="E258" s="46" t="n"/>
      <c r="F258" s="46" t="n"/>
      <c r="G258" s="46" t="n"/>
      <c r="H258" s="46" t="n"/>
      <c r="I258" s="46" t="n"/>
      <c r="J258" s="46" t="n"/>
      <c r="K258" s="46" t="n"/>
      <c r="L258" s="46" t="n"/>
      <c r="M258" s="62" t="str">
        <f>IF($B258="","",IF(ISNUMBER($B258),$B258,IF(AND(LEN($B258)=10,MID($B258,5,1)="-",MID($B258,8,1)="-"),IFERROR(IF(AND(MONTH(DATE(VALUE(LEFT($B258,4)),VALUE(MID($B258,6,2)),VALUE(RIGHT($B258,2))))=VALUE(MID($B258,6,2)),DAY(DATE(VALUE(LEFT($B258,4)),VALUE(MID($B258,6,2)),VALUE(RIGHT($B258,2))))=VALUE(RIGHT($B258,2))),DATE(VALUE(LEFT($B258,4)),VALUE(MID($B258,6,2)),VALUE(RIGHT($B258,2))),"ERR"),"ERR"),"ERR")))</f>
        <v/>
      </c>
      <c r="N258" s="62" t="str">
        <f>IF($G258="","",IF(ISNUMBER($G258),$G258,IF(AND(LEN($G258)=10,MID($G258,5,1)="-",MID($G258,8,1)="-"),IFERROR(IF(AND(MONTH(DATE(VALUE(LEFT($G258,4)),VALUE(MID($G258,6,2)),VALUE(RIGHT($G258,2))))=VALUE(MID($G258,6,2)),DAY(DATE(VALUE(LEFT($G258,4)),VALUE(MID($G258,6,2)),VALUE(RIGHT($G258,2))))=VALUE(RIGHT($G258,2))),DATE(VALUE(LEFT($G258,4)),VALUE(MID($G258,6,2)),VALUE(RIGHT($G258,2))),"ERR"),"ERR"),"ERR")))</f>
        <v/>
      </c>
      <c r="O258" s="51" t="str">
        <f>IF($H258="","",IF(ISNUMBER($H258),$H258,IFERROR(VALUE($H258),"ERR")))</f>
        <v/>
      </c>
      <c r="P258" s="51" t="str">
        <f>IF(AND(ISNUMBER($O258),OR($C258="Receipt",$C258="Shipment",$C258="Adjustment")),IF($C258="Shipment",-$O258,$O258),"")</f>
        <v/>
      </c>
      <c r="Q258" s="51" t="str">
        <f>IF($D258="","",IFERROR(INDEX(Products!$R$2:$R$101,MATCH($D258,Products!$A$2:$A$101,0)),""))</f>
        <v/>
      </c>
      <c r="R258" s="51" t="str">
        <f>IF(OR($Q258="",$P258=""),"",$Q258+SUMIFS($P$1:$P257,$D$1:$D257,$D258,$U$1:$U257,"Ready"))</f>
        <v/>
      </c>
      <c r="S258" s="51" t="str">
        <f>IF($R258="","",$R258+$P258)</f>
        <v/>
      </c>
      <c r="T258" s="52" t="str">
        <f>IF(COUNTA($A258:$L258)&gt;0,$BP258,"")</f>
        <v/>
      </c>
      <c r="U258" s="49" t="str">
        <f>IF($T258="","",IF($T258=0,"Ready","Rejected"))</f>
        <v/>
      </c>
      <c r="V258" s="49" t="str">
        <f>IF(OR($T258="",$T258=0),"",INDEX(Config!$D$39:$D$61,MATCH(1,$AT258:$BP258,0))&amp;IF($T258&gt;1," (+"&amp;($T258-1)&amp;" more)",""))</f>
        <v/>
      </c>
      <c r="W258" s="52">
        <f>IF(AND(COUNTA($A258:$L258)&gt;0,$A258=""),1,0)</f>
        <v>0</v>
      </c>
      <c r="X258" s="52">
        <f>IF(AND(COUNTA($A258:$L258)&gt;0,$A258&lt;&gt;""),IF(COUNTIF($A$1:$A257,$A258)&gt;0,1,0),0)</f>
        <v>0</v>
      </c>
      <c r="Y258" s="52">
        <f>IF(AND(COUNTA($A258:$L258)&gt;0,$A258&lt;&gt;""),IF(COUNTIF(Inventory_Ledger!$A$2:$A$2001,$A258)&gt;0,1,0),0)</f>
        <v>0</v>
      </c>
      <c r="Z258" s="52">
        <f>IF(AND(COUNTA($A258:$L258)&gt;0,$B258=""),1,0)</f>
        <v>0</v>
      </c>
      <c r="AA258" s="52">
        <f>IF(AND(COUNTA($A258:$L258)&gt;0,$B258&lt;&gt;""),IF($M258="ERR",1,0),0)</f>
        <v>0</v>
      </c>
      <c r="AB258" s="52">
        <f>IF(AND(COUNTA($A258:$L258)&gt;0,ISNUMBER($M258)),IF($M258&gt;Config!$B$4,1,0),0)</f>
        <v>0</v>
      </c>
      <c r="AC258" s="52">
        <f>IF(AND(COUNTA($A258:$L258)&gt;0,$C258=""),1,0)</f>
        <v>0</v>
      </c>
      <c r="AD258" s="52">
        <f>IF(AND(COUNTA($A258:$L258)&gt;0,$C258&lt;&gt;""),IF(COUNTIF(Config!$A$15:$A$34,$C258)=0,1,0),0)</f>
        <v>0</v>
      </c>
      <c r="AE258" s="52">
        <f>IF(AND(COUNTA($A258:$L258)&gt;0,$D258=""),1,0)</f>
        <v>0</v>
      </c>
      <c r="AF258" s="52">
        <f>IF(AND(COUNTA($A258:$L258)&gt;0,$D258&lt;&gt;""),IF(COUNTIF(Products!$A$2:$A$101,$D258)=0,1,0),0)</f>
        <v>0</v>
      </c>
      <c r="AG258" s="52">
        <f>IF(AND(COUNTA($A258:$L258)&gt;0,$C258="Receipt",$E258=""),1,0)</f>
        <v>0</v>
      </c>
      <c r="AH258" s="52">
        <f>IF(AND(COUNTA($A258:$L258)&gt;0,$E258&lt;&gt;""),IF(COUNTIF(Suppliers!$A$2:$A$51,$E258)=0,1,0),0)</f>
        <v>0</v>
      </c>
      <c r="AI258" s="52">
        <f>IF(AND(COUNTA($A258:$L258)&gt;0,$F258=""),1,0)</f>
        <v>0</v>
      </c>
      <c r="AJ258" s="52">
        <f>IF(AND(COUNTA($A258:$L258)&gt;0,$F258&lt;&gt;"",$D258&lt;&gt;"",OR($C258="Shipment",$C258="Adjustment")),IF($AF258=1,0,IF(COUNTIFS(Batches!$A$2:$A$301,$F258,Batches!$B$2:$B$301,$D258)+COUNTIFS($F$1:$F257,$F258,$D$1:$D257,$D258,$C$1:$C257,"Receipt")=0,1,0)),0)</f>
        <v>0</v>
      </c>
      <c r="AK258" s="52">
        <f>IF(AND(COUNTA($A258:$L258)&gt;0,$C258="Receipt",$G258=""),1,0)</f>
        <v>0</v>
      </c>
      <c r="AL258" s="52">
        <f>IF(AND(COUNTA($A258:$L258)&gt;0,$G258&lt;&gt;""),IF($N258="ERR",1,0),0)</f>
        <v>0</v>
      </c>
      <c r="AM258" s="52">
        <f>IF(AND(COUNTA($A258:$L258)&gt;0,$H258=""),1,0)</f>
        <v>0</v>
      </c>
      <c r="AN258" s="52">
        <f>IF(AND(COUNTA($A258:$L258)&gt;0,$H258&lt;&gt;""),IF($O258="ERR",1,IF(INT($O258)&lt;&gt;$O258,1,IF(AND(OR($C258="Receipt",$C258="Shipment"),$O258&lt;=0),1,IF(AND($C258="Adjustment",$O258=0),1,0)))),0)</f>
        <v>0</v>
      </c>
      <c r="AO258" s="52">
        <f>IF(AND(COUNTA($A258:$L258)&gt;0,$C258="Receipt",$I258=""),1,0)</f>
        <v>0</v>
      </c>
      <c r="AP258" s="52">
        <f>IF(AND(COUNTA($A258:$L258)&gt;0,$I258&lt;&gt;""),IF(IFERROR(INDEX(Config!$G$15:$G$34,MATCH($I258,Config!$E$15:$E$34,0)),"No")="Yes",0,1),0)</f>
        <v>0</v>
      </c>
      <c r="AQ258" s="52">
        <f>IF(AND(COUNTA($A258:$L258)&gt;0,$C258="Adjustment",$J258=""),1,0)</f>
        <v>0</v>
      </c>
      <c r="AR258" s="52">
        <f>IF(AND(COUNTA($A258:$L258)&gt;0,$L258=""),1,0)</f>
        <v>0</v>
      </c>
      <c r="AS258" s="52">
        <f>IF(AND(COUNTA($A258:$L258)&gt;0,ISNUMBER($S258)),IF($S258&lt;0,1,0),0)</f>
        <v>0</v>
      </c>
      <c r="AT258" s="52">
        <f>$W258</f>
        <v>0</v>
      </c>
      <c r="AU258" s="52">
        <f>$AT258+$X258</f>
        <v>0</v>
      </c>
      <c r="AV258" s="52">
        <f>$AU258+$Y258</f>
        <v>0</v>
      </c>
      <c r="AW258" s="52">
        <f>$AV258+$Z258</f>
        <v>0</v>
      </c>
      <c r="AX258" s="52">
        <f>$AW258+$AA258</f>
        <v>0</v>
      </c>
      <c r="AY258" s="52">
        <f>$AX258+$AB258</f>
        <v>0</v>
      </c>
      <c r="AZ258" s="52">
        <f>$AY258+$AC258</f>
        <v>0</v>
      </c>
      <c r="BA258" s="52">
        <f>$AZ258+$AD258</f>
        <v>0</v>
      </c>
      <c r="BB258" s="52">
        <f>$BA258+$AE258</f>
        <v>0</v>
      </c>
      <c r="BC258" s="52">
        <f>$BB258+$AF258</f>
        <v>0</v>
      </c>
      <c r="BD258" s="52">
        <f>$BC258+$AG258</f>
        <v>0</v>
      </c>
      <c r="BE258" s="52">
        <f>$BD258+$AH258</f>
        <v>0</v>
      </c>
      <c r="BF258" s="52">
        <f>$BE258+$AI258</f>
        <v>0</v>
      </c>
      <c r="BG258" s="52">
        <f>$BF258+$AJ258</f>
        <v>0</v>
      </c>
      <c r="BH258" s="52">
        <f>$BG258+$AK258</f>
        <v>0</v>
      </c>
      <c r="BI258" s="52">
        <f>$BH258+$AL258</f>
        <v>0</v>
      </c>
      <c r="BJ258" s="52">
        <f>$BI258+$AM258</f>
        <v>0</v>
      </c>
      <c r="BK258" s="52">
        <f>$BJ258+$AN258</f>
        <v>0</v>
      </c>
      <c r="BL258" s="52">
        <f>$BK258+$AO258</f>
        <v>0</v>
      </c>
      <c r="BM258" s="52">
        <f>$BL258+$AP258</f>
        <v>0</v>
      </c>
      <c r="BN258" s="52">
        <f>$BM258+$AQ258</f>
        <v>0</v>
      </c>
      <c r="BO258" s="52">
        <f>$BN258+$AR258</f>
        <v>0</v>
      </c>
      <c r="BP258" s="52">
        <f>$BO258+$AS258</f>
        <v>0</v>
      </c>
      <c r="BQ258" s="52">
        <f>SUM($T$1:$T257)</f>
        <v>11</v>
      </c>
      <c r="BR258" s="52" t="str">
        <f>IF(ISNUMBER($T258),IF($T258&gt;0,COUNTIF($T$2:$T258,"&gt;0"),""),"")</f>
        <v/>
      </c>
      <c r="BS258" s="52" t="str">
        <f>IF($BR258="","",$BQ258+$T258)</f>
        <v/>
      </c>
      <c r="BT258" s="52" t="str">
        <f>IF($U258="Ready",COUNTIF($U$2:$U258,"Ready"),"")</f>
        <v/>
      </c>
      <c r="BU258" s="52">
        <f>IF(AND($U258="Ready",$C258="Receipt"),IF(COUNTIF(Batches!$A$2:$A$301,$F258)+COUNTIFS($F$1:$F257,$F258,$C$1:$C257,"Receipt",$U$1:$U257,"Ready")=0,1,0),0)</f>
        <v>0</v>
      </c>
      <c r="BV258" s="52" t="str">
        <f>IF($BU258=1,SUM($BU$2:$BU258),"")</f>
        <v/>
      </c>
    </row>
    <row r="259">
      <c r="A259" s="46" t="n"/>
      <c r="B259" s="46" t="n"/>
      <c r="C259" s="46" t="n"/>
      <c r="D259" s="46" t="n"/>
      <c r="E259" s="46" t="n"/>
      <c r="F259" s="46" t="n"/>
      <c r="G259" s="46" t="n"/>
      <c r="H259" s="46" t="n"/>
      <c r="I259" s="46" t="n"/>
      <c r="J259" s="46" t="n"/>
      <c r="K259" s="46" t="n"/>
      <c r="L259" s="46" t="n"/>
      <c r="M259" s="62" t="str">
        <f>IF($B259="","",IF(ISNUMBER($B259),$B259,IF(AND(LEN($B259)=10,MID($B259,5,1)="-",MID($B259,8,1)="-"),IFERROR(IF(AND(MONTH(DATE(VALUE(LEFT($B259,4)),VALUE(MID($B259,6,2)),VALUE(RIGHT($B259,2))))=VALUE(MID($B259,6,2)),DAY(DATE(VALUE(LEFT($B259,4)),VALUE(MID($B259,6,2)),VALUE(RIGHT($B259,2))))=VALUE(RIGHT($B259,2))),DATE(VALUE(LEFT($B259,4)),VALUE(MID($B259,6,2)),VALUE(RIGHT($B259,2))),"ERR"),"ERR"),"ERR")))</f>
        <v/>
      </c>
      <c r="N259" s="62" t="str">
        <f>IF($G259="","",IF(ISNUMBER($G259),$G259,IF(AND(LEN($G259)=10,MID($G259,5,1)="-",MID($G259,8,1)="-"),IFERROR(IF(AND(MONTH(DATE(VALUE(LEFT($G259,4)),VALUE(MID($G259,6,2)),VALUE(RIGHT($G259,2))))=VALUE(MID($G259,6,2)),DAY(DATE(VALUE(LEFT($G259,4)),VALUE(MID($G259,6,2)),VALUE(RIGHT($G259,2))))=VALUE(RIGHT($G259,2))),DATE(VALUE(LEFT($G259,4)),VALUE(MID($G259,6,2)),VALUE(RIGHT($G259,2))),"ERR"),"ERR"),"ERR")))</f>
        <v/>
      </c>
      <c r="O259" s="51" t="str">
        <f>IF($H259="","",IF(ISNUMBER($H259),$H259,IFERROR(VALUE($H259),"ERR")))</f>
        <v/>
      </c>
      <c r="P259" s="51" t="str">
        <f>IF(AND(ISNUMBER($O259),OR($C259="Receipt",$C259="Shipment",$C259="Adjustment")),IF($C259="Shipment",-$O259,$O259),"")</f>
        <v/>
      </c>
      <c r="Q259" s="51" t="str">
        <f>IF($D259="","",IFERROR(INDEX(Products!$R$2:$R$101,MATCH($D259,Products!$A$2:$A$101,0)),""))</f>
        <v/>
      </c>
      <c r="R259" s="51" t="str">
        <f>IF(OR($Q259="",$P259=""),"",$Q259+SUMIFS($P$1:$P258,$D$1:$D258,$D259,$U$1:$U258,"Ready"))</f>
        <v/>
      </c>
      <c r="S259" s="51" t="str">
        <f>IF($R259="","",$R259+$P259)</f>
        <v/>
      </c>
      <c r="T259" s="52" t="str">
        <f>IF(COUNTA($A259:$L259)&gt;0,$BP259,"")</f>
        <v/>
      </c>
      <c r="U259" s="49" t="str">
        <f>IF($T259="","",IF($T259=0,"Ready","Rejected"))</f>
        <v/>
      </c>
      <c r="V259" s="49" t="str">
        <f>IF(OR($T259="",$T259=0),"",INDEX(Config!$D$39:$D$61,MATCH(1,$AT259:$BP259,0))&amp;IF($T259&gt;1," (+"&amp;($T259-1)&amp;" more)",""))</f>
        <v/>
      </c>
      <c r="W259" s="52">
        <f>IF(AND(COUNTA($A259:$L259)&gt;0,$A259=""),1,0)</f>
        <v>0</v>
      </c>
      <c r="X259" s="52">
        <f>IF(AND(COUNTA($A259:$L259)&gt;0,$A259&lt;&gt;""),IF(COUNTIF($A$1:$A258,$A259)&gt;0,1,0),0)</f>
        <v>0</v>
      </c>
      <c r="Y259" s="52">
        <f>IF(AND(COUNTA($A259:$L259)&gt;0,$A259&lt;&gt;""),IF(COUNTIF(Inventory_Ledger!$A$2:$A$2001,$A259)&gt;0,1,0),0)</f>
        <v>0</v>
      </c>
      <c r="Z259" s="52">
        <f>IF(AND(COUNTA($A259:$L259)&gt;0,$B259=""),1,0)</f>
        <v>0</v>
      </c>
      <c r="AA259" s="52">
        <f>IF(AND(COUNTA($A259:$L259)&gt;0,$B259&lt;&gt;""),IF($M259="ERR",1,0),0)</f>
        <v>0</v>
      </c>
      <c r="AB259" s="52">
        <f>IF(AND(COUNTA($A259:$L259)&gt;0,ISNUMBER($M259)),IF($M259&gt;Config!$B$4,1,0),0)</f>
        <v>0</v>
      </c>
      <c r="AC259" s="52">
        <f>IF(AND(COUNTA($A259:$L259)&gt;0,$C259=""),1,0)</f>
        <v>0</v>
      </c>
      <c r="AD259" s="52">
        <f>IF(AND(COUNTA($A259:$L259)&gt;0,$C259&lt;&gt;""),IF(COUNTIF(Config!$A$15:$A$34,$C259)=0,1,0),0)</f>
        <v>0</v>
      </c>
      <c r="AE259" s="52">
        <f>IF(AND(COUNTA($A259:$L259)&gt;0,$D259=""),1,0)</f>
        <v>0</v>
      </c>
      <c r="AF259" s="52">
        <f>IF(AND(COUNTA($A259:$L259)&gt;0,$D259&lt;&gt;""),IF(COUNTIF(Products!$A$2:$A$101,$D259)=0,1,0),0)</f>
        <v>0</v>
      </c>
      <c r="AG259" s="52">
        <f>IF(AND(COUNTA($A259:$L259)&gt;0,$C259="Receipt",$E259=""),1,0)</f>
        <v>0</v>
      </c>
      <c r="AH259" s="52">
        <f>IF(AND(COUNTA($A259:$L259)&gt;0,$E259&lt;&gt;""),IF(COUNTIF(Suppliers!$A$2:$A$51,$E259)=0,1,0),0)</f>
        <v>0</v>
      </c>
      <c r="AI259" s="52">
        <f>IF(AND(COUNTA($A259:$L259)&gt;0,$F259=""),1,0)</f>
        <v>0</v>
      </c>
      <c r="AJ259" s="52">
        <f>IF(AND(COUNTA($A259:$L259)&gt;0,$F259&lt;&gt;"",$D259&lt;&gt;"",OR($C259="Shipment",$C259="Adjustment")),IF($AF259=1,0,IF(COUNTIFS(Batches!$A$2:$A$301,$F259,Batches!$B$2:$B$301,$D259)+COUNTIFS($F$1:$F258,$F259,$D$1:$D258,$D259,$C$1:$C258,"Receipt")=0,1,0)),0)</f>
        <v>0</v>
      </c>
      <c r="AK259" s="52">
        <f>IF(AND(COUNTA($A259:$L259)&gt;0,$C259="Receipt",$G259=""),1,0)</f>
        <v>0</v>
      </c>
      <c r="AL259" s="52">
        <f>IF(AND(COUNTA($A259:$L259)&gt;0,$G259&lt;&gt;""),IF($N259="ERR",1,0),0)</f>
        <v>0</v>
      </c>
      <c r="AM259" s="52">
        <f>IF(AND(COUNTA($A259:$L259)&gt;0,$H259=""),1,0)</f>
        <v>0</v>
      </c>
      <c r="AN259" s="52">
        <f>IF(AND(COUNTA($A259:$L259)&gt;0,$H259&lt;&gt;""),IF($O259="ERR",1,IF(INT($O259)&lt;&gt;$O259,1,IF(AND(OR($C259="Receipt",$C259="Shipment"),$O259&lt;=0),1,IF(AND($C259="Adjustment",$O259=0),1,0)))),0)</f>
        <v>0</v>
      </c>
      <c r="AO259" s="52">
        <f>IF(AND(COUNTA($A259:$L259)&gt;0,$C259="Receipt",$I259=""),1,0)</f>
        <v>0</v>
      </c>
      <c r="AP259" s="52">
        <f>IF(AND(COUNTA($A259:$L259)&gt;0,$I259&lt;&gt;""),IF(IFERROR(INDEX(Config!$G$15:$G$34,MATCH($I259,Config!$E$15:$E$34,0)),"No")="Yes",0,1),0)</f>
        <v>0</v>
      </c>
      <c r="AQ259" s="52">
        <f>IF(AND(COUNTA($A259:$L259)&gt;0,$C259="Adjustment",$J259=""),1,0)</f>
        <v>0</v>
      </c>
      <c r="AR259" s="52">
        <f>IF(AND(COUNTA($A259:$L259)&gt;0,$L259=""),1,0)</f>
        <v>0</v>
      </c>
      <c r="AS259" s="52">
        <f>IF(AND(COUNTA($A259:$L259)&gt;0,ISNUMBER($S259)),IF($S259&lt;0,1,0),0)</f>
        <v>0</v>
      </c>
      <c r="AT259" s="52">
        <f>$W259</f>
        <v>0</v>
      </c>
      <c r="AU259" s="52">
        <f>$AT259+$X259</f>
        <v>0</v>
      </c>
      <c r="AV259" s="52">
        <f>$AU259+$Y259</f>
        <v>0</v>
      </c>
      <c r="AW259" s="52">
        <f>$AV259+$Z259</f>
        <v>0</v>
      </c>
      <c r="AX259" s="52">
        <f>$AW259+$AA259</f>
        <v>0</v>
      </c>
      <c r="AY259" s="52">
        <f>$AX259+$AB259</f>
        <v>0</v>
      </c>
      <c r="AZ259" s="52">
        <f>$AY259+$AC259</f>
        <v>0</v>
      </c>
      <c r="BA259" s="52">
        <f>$AZ259+$AD259</f>
        <v>0</v>
      </c>
      <c r="BB259" s="52">
        <f>$BA259+$AE259</f>
        <v>0</v>
      </c>
      <c r="BC259" s="52">
        <f>$BB259+$AF259</f>
        <v>0</v>
      </c>
      <c r="BD259" s="52">
        <f>$BC259+$AG259</f>
        <v>0</v>
      </c>
      <c r="BE259" s="52">
        <f>$BD259+$AH259</f>
        <v>0</v>
      </c>
      <c r="BF259" s="52">
        <f>$BE259+$AI259</f>
        <v>0</v>
      </c>
      <c r="BG259" s="52">
        <f>$BF259+$AJ259</f>
        <v>0</v>
      </c>
      <c r="BH259" s="52">
        <f>$BG259+$AK259</f>
        <v>0</v>
      </c>
      <c r="BI259" s="52">
        <f>$BH259+$AL259</f>
        <v>0</v>
      </c>
      <c r="BJ259" s="52">
        <f>$BI259+$AM259</f>
        <v>0</v>
      </c>
      <c r="BK259" s="52">
        <f>$BJ259+$AN259</f>
        <v>0</v>
      </c>
      <c r="BL259" s="52">
        <f>$BK259+$AO259</f>
        <v>0</v>
      </c>
      <c r="BM259" s="52">
        <f>$BL259+$AP259</f>
        <v>0</v>
      </c>
      <c r="BN259" s="52">
        <f>$BM259+$AQ259</f>
        <v>0</v>
      </c>
      <c r="BO259" s="52">
        <f>$BN259+$AR259</f>
        <v>0</v>
      </c>
      <c r="BP259" s="52">
        <f>$BO259+$AS259</f>
        <v>0</v>
      </c>
      <c r="BQ259" s="52">
        <f>SUM($T$1:$T258)</f>
        <v>11</v>
      </c>
      <c r="BR259" s="52" t="str">
        <f>IF(ISNUMBER($T259),IF($T259&gt;0,COUNTIF($T$2:$T259,"&gt;0"),""),"")</f>
        <v/>
      </c>
      <c r="BS259" s="52" t="str">
        <f>IF($BR259="","",$BQ259+$T259)</f>
        <v/>
      </c>
      <c r="BT259" s="52" t="str">
        <f>IF($U259="Ready",COUNTIF($U$2:$U259,"Ready"),"")</f>
        <v/>
      </c>
      <c r="BU259" s="52">
        <f>IF(AND($U259="Ready",$C259="Receipt"),IF(COUNTIF(Batches!$A$2:$A$301,$F259)+COUNTIFS($F$1:$F258,$F259,$C$1:$C258,"Receipt",$U$1:$U258,"Ready")=0,1,0),0)</f>
        <v>0</v>
      </c>
      <c r="BV259" s="52" t="str">
        <f>IF($BU259=1,SUM($BU$2:$BU259),"")</f>
        <v/>
      </c>
    </row>
    <row r="260">
      <c r="A260" s="46" t="n"/>
      <c r="B260" s="46" t="n"/>
      <c r="C260" s="46" t="n"/>
      <c r="D260" s="46" t="n"/>
      <c r="E260" s="46" t="n"/>
      <c r="F260" s="46" t="n"/>
      <c r="G260" s="46" t="n"/>
      <c r="H260" s="46" t="n"/>
      <c r="I260" s="46" t="n"/>
      <c r="J260" s="46" t="n"/>
      <c r="K260" s="46" t="n"/>
      <c r="L260" s="46" t="n"/>
      <c r="M260" s="62" t="str">
        <f>IF($B260="","",IF(ISNUMBER($B260),$B260,IF(AND(LEN($B260)=10,MID($B260,5,1)="-",MID($B260,8,1)="-"),IFERROR(IF(AND(MONTH(DATE(VALUE(LEFT($B260,4)),VALUE(MID($B260,6,2)),VALUE(RIGHT($B260,2))))=VALUE(MID($B260,6,2)),DAY(DATE(VALUE(LEFT($B260,4)),VALUE(MID($B260,6,2)),VALUE(RIGHT($B260,2))))=VALUE(RIGHT($B260,2))),DATE(VALUE(LEFT($B260,4)),VALUE(MID($B260,6,2)),VALUE(RIGHT($B260,2))),"ERR"),"ERR"),"ERR")))</f>
        <v/>
      </c>
      <c r="N260" s="62" t="str">
        <f>IF($G260="","",IF(ISNUMBER($G260),$G260,IF(AND(LEN($G260)=10,MID($G260,5,1)="-",MID($G260,8,1)="-"),IFERROR(IF(AND(MONTH(DATE(VALUE(LEFT($G260,4)),VALUE(MID($G260,6,2)),VALUE(RIGHT($G260,2))))=VALUE(MID($G260,6,2)),DAY(DATE(VALUE(LEFT($G260,4)),VALUE(MID($G260,6,2)),VALUE(RIGHT($G260,2))))=VALUE(RIGHT($G260,2))),DATE(VALUE(LEFT($G260,4)),VALUE(MID($G260,6,2)),VALUE(RIGHT($G260,2))),"ERR"),"ERR"),"ERR")))</f>
        <v/>
      </c>
      <c r="O260" s="51" t="str">
        <f>IF($H260="","",IF(ISNUMBER($H260),$H260,IFERROR(VALUE($H260),"ERR")))</f>
        <v/>
      </c>
      <c r="P260" s="51" t="str">
        <f>IF(AND(ISNUMBER($O260),OR($C260="Receipt",$C260="Shipment",$C260="Adjustment")),IF($C260="Shipment",-$O260,$O260),"")</f>
        <v/>
      </c>
      <c r="Q260" s="51" t="str">
        <f>IF($D260="","",IFERROR(INDEX(Products!$R$2:$R$101,MATCH($D260,Products!$A$2:$A$101,0)),""))</f>
        <v/>
      </c>
      <c r="R260" s="51" t="str">
        <f>IF(OR($Q260="",$P260=""),"",$Q260+SUMIFS($P$1:$P259,$D$1:$D259,$D260,$U$1:$U259,"Ready"))</f>
        <v/>
      </c>
      <c r="S260" s="51" t="str">
        <f>IF($R260="","",$R260+$P260)</f>
        <v/>
      </c>
      <c r="T260" s="52" t="str">
        <f>IF(COUNTA($A260:$L260)&gt;0,$BP260,"")</f>
        <v/>
      </c>
      <c r="U260" s="49" t="str">
        <f>IF($T260="","",IF($T260=0,"Ready","Rejected"))</f>
        <v/>
      </c>
      <c r="V260" s="49" t="str">
        <f>IF(OR($T260="",$T260=0),"",INDEX(Config!$D$39:$D$61,MATCH(1,$AT260:$BP260,0))&amp;IF($T260&gt;1," (+"&amp;($T260-1)&amp;" more)",""))</f>
        <v/>
      </c>
      <c r="W260" s="52">
        <f>IF(AND(COUNTA($A260:$L260)&gt;0,$A260=""),1,0)</f>
        <v>0</v>
      </c>
      <c r="X260" s="52">
        <f>IF(AND(COUNTA($A260:$L260)&gt;0,$A260&lt;&gt;""),IF(COUNTIF($A$1:$A259,$A260)&gt;0,1,0),0)</f>
        <v>0</v>
      </c>
      <c r="Y260" s="52">
        <f>IF(AND(COUNTA($A260:$L260)&gt;0,$A260&lt;&gt;""),IF(COUNTIF(Inventory_Ledger!$A$2:$A$2001,$A260)&gt;0,1,0),0)</f>
        <v>0</v>
      </c>
      <c r="Z260" s="52">
        <f>IF(AND(COUNTA($A260:$L260)&gt;0,$B260=""),1,0)</f>
        <v>0</v>
      </c>
      <c r="AA260" s="52">
        <f>IF(AND(COUNTA($A260:$L260)&gt;0,$B260&lt;&gt;""),IF($M260="ERR",1,0),0)</f>
        <v>0</v>
      </c>
      <c r="AB260" s="52">
        <f>IF(AND(COUNTA($A260:$L260)&gt;0,ISNUMBER($M260)),IF($M260&gt;Config!$B$4,1,0),0)</f>
        <v>0</v>
      </c>
      <c r="AC260" s="52">
        <f>IF(AND(COUNTA($A260:$L260)&gt;0,$C260=""),1,0)</f>
        <v>0</v>
      </c>
      <c r="AD260" s="52">
        <f>IF(AND(COUNTA($A260:$L260)&gt;0,$C260&lt;&gt;""),IF(COUNTIF(Config!$A$15:$A$34,$C260)=0,1,0),0)</f>
        <v>0</v>
      </c>
      <c r="AE260" s="52">
        <f>IF(AND(COUNTA($A260:$L260)&gt;0,$D260=""),1,0)</f>
        <v>0</v>
      </c>
      <c r="AF260" s="52">
        <f>IF(AND(COUNTA($A260:$L260)&gt;0,$D260&lt;&gt;""),IF(COUNTIF(Products!$A$2:$A$101,$D260)=0,1,0),0)</f>
        <v>0</v>
      </c>
      <c r="AG260" s="52">
        <f>IF(AND(COUNTA($A260:$L260)&gt;0,$C260="Receipt",$E260=""),1,0)</f>
        <v>0</v>
      </c>
      <c r="AH260" s="52">
        <f>IF(AND(COUNTA($A260:$L260)&gt;0,$E260&lt;&gt;""),IF(COUNTIF(Suppliers!$A$2:$A$51,$E260)=0,1,0),0)</f>
        <v>0</v>
      </c>
      <c r="AI260" s="52">
        <f>IF(AND(COUNTA($A260:$L260)&gt;0,$F260=""),1,0)</f>
        <v>0</v>
      </c>
      <c r="AJ260" s="52">
        <f>IF(AND(COUNTA($A260:$L260)&gt;0,$F260&lt;&gt;"",$D260&lt;&gt;"",OR($C260="Shipment",$C260="Adjustment")),IF($AF260=1,0,IF(COUNTIFS(Batches!$A$2:$A$301,$F260,Batches!$B$2:$B$301,$D260)+COUNTIFS($F$1:$F259,$F260,$D$1:$D259,$D260,$C$1:$C259,"Receipt")=0,1,0)),0)</f>
        <v>0</v>
      </c>
      <c r="AK260" s="52">
        <f>IF(AND(COUNTA($A260:$L260)&gt;0,$C260="Receipt",$G260=""),1,0)</f>
        <v>0</v>
      </c>
      <c r="AL260" s="52">
        <f>IF(AND(COUNTA($A260:$L260)&gt;0,$G260&lt;&gt;""),IF($N260="ERR",1,0),0)</f>
        <v>0</v>
      </c>
      <c r="AM260" s="52">
        <f>IF(AND(COUNTA($A260:$L260)&gt;0,$H260=""),1,0)</f>
        <v>0</v>
      </c>
      <c r="AN260" s="52">
        <f>IF(AND(COUNTA($A260:$L260)&gt;0,$H260&lt;&gt;""),IF($O260="ERR",1,IF(INT($O260)&lt;&gt;$O260,1,IF(AND(OR($C260="Receipt",$C260="Shipment"),$O260&lt;=0),1,IF(AND($C260="Adjustment",$O260=0),1,0)))),0)</f>
        <v>0</v>
      </c>
      <c r="AO260" s="52">
        <f>IF(AND(COUNTA($A260:$L260)&gt;0,$C260="Receipt",$I260=""),1,0)</f>
        <v>0</v>
      </c>
      <c r="AP260" s="52">
        <f>IF(AND(COUNTA($A260:$L260)&gt;0,$I260&lt;&gt;""),IF(IFERROR(INDEX(Config!$G$15:$G$34,MATCH($I260,Config!$E$15:$E$34,0)),"No")="Yes",0,1),0)</f>
        <v>0</v>
      </c>
      <c r="AQ260" s="52">
        <f>IF(AND(COUNTA($A260:$L260)&gt;0,$C260="Adjustment",$J260=""),1,0)</f>
        <v>0</v>
      </c>
      <c r="AR260" s="52">
        <f>IF(AND(COUNTA($A260:$L260)&gt;0,$L260=""),1,0)</f>
        <v>0</v>
      </c>
      <c r="AS260" s="52">
        <f>IF(AND(COUNTA($A260:$L260)&gt;0,ISNUMBER($S260)),IF($S260&lt;0,1,0),0)</f>
        <v>0</v>
      </c>
      <c r="AT260" s="52">
        <f>$W260</f>
        <v>0</v>
      </c>
      <c r="AU260" s="52">
        <f>$AT260+$X260</f>
        <v>0</v>
      </c>
      <c r="AV260" s="52">
        <f>$AU260+$Y260</f>
        <v>0</v>
      </c>
      <c r="AW260" s="52">
        <f>$AV260+$Z260</f>
        <v>0</v>
      </c>
      <c r="AX260" s="52">
        <f>$AW260+$AA260</f>
        <v>0</v>
      </c>
      <c r="AY260" s="52">
        <f>$AX260+$AB260</f>
        <v>0</v>
      </c>
      <c r="AZ260" s="52">
        <f>$AY260+$AC260</f>
        <v>0</v>
      </c>
      <c r="BA260" s="52">
        <f>$AZ260+$AD260</f>
        <v>0</v>
      </c>
      <c r="BB260" s="52">
        <f>$BA260+$AE260</f>
        <v>0</v>
      </c>
      <c r="BC260" s="52">
        <f>$BB260+$AF260</f>
        <v>0</v>
      </c>
      <c r="BD260" s="52">
        <f>$BC260+$AG260</f>
        <v>0</v>
      </c>
      <c r="BE260" s="52">
        <f>$BD260+$AH260</f>
        <v>0</v>
      </c>
      <c r="BF260" s="52">
        <f>$BE260+$AI260</f>
        <v>0</v>
      </c>
      <c r="BG260" s="52">
        <f>$BF260+$AJ260</f>
        <v>0</v>
      </c>
      <c r="BH260" s="52">
        <f>$BG260+$AK260</f>
        <v>0</v>
      </c>
      <c r="BI260" s="52">
        <f>$BH260+$AL260</f>
        <v>0</v>
      </c>
      <c r="BJ260" s="52">
        <f>$BI260+$AM260</f>
        <v>0</v>
      </c>
      <c r="BK260" s="52">
        <f>$BJ260+$AN260</f>
        <v>0</v>
      </c>
      <c r="BL260" s="52">
        <f>$BK260+$AO260</f>
        <v>0</v>
      </c>
      <c r="BM260" s="52">
        <f>$BL260+$AP260</f>
        <v>0</v>
      </c>
      <c r="BN260" s="52">
        <f>$BM260+$AQ260</f>
        <v>0</v>
      </c>
      <c r="BO260" s="52">
        <f>$BN260+$AR260</f>
        <v>0</v>
      </c>
      <c r="BP260" s="52">
        <f>$BO260+$AS260</f>
        <v>0</v>
      </c>
      <c r="BQ260" s="52">
        <f>SUM($T$1:$T259)</f>
        <v>11</v>
      </c>
      <c r="BR260" s="52" t="str">
        <f>IF(ISNUMBER($T260),IF($T260&gt;0,COUNTIF($T$2:$T260,"&gt;0"),""),"")</f>
        <v/>
      </c>
      <c r="BS260" s="52" t="str">
        <f>IF($BR260="","",$BQ260+$T260)</f>
        <v/>
      </c>
      <c r="BT260" s="52" t="str">
        <f>IF($U260="Ready",COUNTIF($U$2:$U260,"Ready"),"")</f>
        <v/>
      </c>
      <c r="BU260" s="52">
        <f>IF(AND($U260="Ready",$C260="Receipt"),IF(COUNTIF(Batches!$A$2:$A$301,$F260)+COUNTIFS($F$1:$F259,$F260,$C$1:$C259,"Receipt",$U$1:$U259,"Ready")=0,1,0),0)</f>
        <v>0</v>
      </c>
      <c r="BV260" s="52" t="str">
        <f>IF($BU260=1,SUM($BU$2:$BU260),"")</f>
        <v/>
      </c>
    </row>
    <row r="261">
      <c r="A261" s="46" t="n"/>
      <c r="B261" s="46" t="n"/>
      <c r="C261" s="46" t="n"/>
      <c r="D261" s="46" t="n"/>
      <c r="E261" s="46" t="n"/>
      <c r="F261" s="46" t="n"/>
      <c r="G261" s="46" t="n"/>
      <c r="H261" s="46" t="n"/>
      <c r="I261" s="46" t="n"/>
      <c r="J261" s="46" t="n"/>
      <c r="K261" s="46" t="n"/>
      <c r="L261" s="46" t="n"/>
      <c r="M261" s="62" t="str">
        <f>IF($B261="","",IF(ISNUMBER($B261),$B261,IF(AND(LEN($B261)=10,MID($B261,5,1)="-",MID($B261,8,1)="-"),IFERROR(IF(AND(MONTH(DATE(VALUE(LEFT($B261,4)),VALUE(MID($B261,6,2)),VALUE(RIGHT($B261,2))))=VALUE(MID($B261,6,2)),DAY(DATE(VALUE(LEFT($B261,4)),VALUE(MID($B261,6,2)),VALUE(RIGHT($B261,2))))=VALUE(RIGHT($B261,2))),DATE(VALUE(LEFT($B261,4)),VALUE(MID($B261,6,2)),VALUE(RIGHT($B261,2))),"ERR"),"ERR"),"ERR")))</f>
        <v/>
      </c>
      <c r="N261" s="62" t="str">
        <f>IF($G261="","",IF(ISNUMBER($G261),$G261,IF(AND(LEN($G261)=10,MID($G261,5,1)="-",MID($G261,8,1)="-"),IFERROR(IF(AND(MONTH(DATE(VALUE(LEFT($G261,4)),VALUE(MID($G261,6,2)),VALUE(RIGHT($G261,2))))=VALUE(MID($G261,6,2)),DAY(DATE(VALUE(LEFT($G261,4)),VALUE(MID($G261,6,2)),VALUE(RIGHT($G261,2))))=VALUE(RIGHT($G261,2))),DATE(VALUE(LEFT($G261,4)),VALUE(MID($G261,6,2)),VALUE(RIGHT($G261,2))),"ERR"),"ERR"),"ERR")))</f>
        <v/>
      </c>
      <c r="O261" s="51" t="str">
        <f>IF($H261="","",IF(ISNUMBER($H261),$H261,IFERROR(VALUE($H261),"ERR")))</f>
        <v/>
      </c>
      <c r="P261" s="51" t="str">
        <f>IF(AND(ISNUMBER($O261),OR($C261="Receipt",$C261="Shipment",$C261="Adjustment")),IF($C261="Shipment",-$O261,$O261),"")</f>
        <v/>
      </c>
      <c r="Q261" s="51" t="str">
        <f>IF($D261="","",IFERROR(INDEX(Products!$R$2:$R$101,MATCH($D261,Products!$A$2:$A$101,0)),""))</f>
        <v/>
      </c>
      <c r="R261" s="51" t="str">
        <f>IF(OR($Q261="",$P261=""),"",$Q261+SUMIFS($P$1:$P260,$D$1:$D260,$D261,$U$1:$U260,"Ready"))</f>
        <v/>
      </c>
      <c r="S261" s="51" t="str">
        <f>IF($R261="","",$R261+$P261)</f>
        <v/>
      </c>
      <c r="T261" s="52" t="str">
        <f>IF(COUNTA($A261:$L261)&gt;0,$BP261,"")</f>
        <v/>
      </c>
      <c r="U261" s="49" t="str">
        <f>IF($T261="","",IF($T261=0,"Ready","Rejected"))</f>
        <v/>
      </c>
      <c r="V261" s="49" t="str">
        <f>IF(OR($T261="",$T261=0),"",INDEX(Config!$D$39:$D$61,MATCH(1,$AT261:$BP261,0))&amp;IF($T261&gt;1," (+"&amp;($T261-1)&amp;" more)",""))</f>
        <v/>
      </c>
      <c r="W261" s="52">
        <f>IF(AND(COUNTA($A261:$L261)&gt;0,$A261=""),1,0)</f>
        <v>0</v>
      </c>
      <c r="X261" s="52">
        <f>IF(AND(COUNTA($A261:$L261)&gt;0,$A261&lt;&gt;""),IF(COUNTIF($A$1:$A260,$A261)&gt;0,1,0),0)</f>
        <v>0</v>
      </c>
      <c r="Y261" s="52">
        <f>IF(AND(COUNTA($A261:$L261)&gt;0,$A261&lt;&gt;""),IF(COUNTIF(Inventory_Ledger!$A$2:$A$2001,$A261)&gt;0,1,0),0)</f>
        <v>0</v>
      </c>
      <c r="Z261" s="52">
        <f>IF(AND(COUNTA($A261:$L261)&gt;0,$B261=""),1,0)</f>
        <v>0</v>
      </c>
      <c r="AA261" s="52">
        <f>IF(AND(COUNTA($A261:$L261)&gt;0,$B261&lt;&gt;""),IF($M261="ERR",1,0),0)</f>
        <v>0</v>
      </c>
      <c r="AB261" s="52">
        <f>IF(AND(COUNTA($A261:$L261)&gt;0,ISNUMBER($M261)),IF($M261&gt;Config!$B$4,1,0),0)</f>
        <v>0</v>
      </c>
      <c r="AC261" s="52">
        <f>IF(AND(COUNTA($A261:$L261)&gt;0,$C261=""),1,0)</f>
        <v>0</v>
      </c>
      <c r="AD261" s="52">
        <f>IF(AND(COUNTA($A261:$L261)&gt;0,$C261&lt;&gt;""),IF(COUNTIF(Config!$A$15:$A$34,$C261)=0,1,0),0)</f>
        <v>0</v>
      </c>
      <c r="AE261" s="52">
        <f>IF(AND(COUNTA($A261:$L261)&gt;0,$D261=""),1,0)</f>
        <v>0</v>
      </c>
      <c r="AF261" s="52">
        <f>IF(AND(COUNTA($A261:$L261)&gt;0,$D261&lt;&gt;""),IF(COUNTIF(Products!$A$2:$A$101,$D261)=0,1,0),0)</f>
        <v>0</v>
      </c>
      <c r="AG261" s="52">
        <f>IF(AND(COUNTA($A261:$L261)&gt;0,$C261="Receipt",$E261=""),1,0)</f>
        <v>0</v>
      </c>
      <c r="AH261" s="52">
        <f>IF(AND(COUNTA($A261:$L261)&gt;0,$E261&lt;&gt;""),IF(COUNTIF(Suppliers!$A$2:$A$51,$E261)=0,1,0),0)</f>
        <v>0</v>
      </c>
      <c r="AI261" s="52">
        <f>IF(AND(COUNTA($A261:$L261)&gt;0,$F261=""),1,0)</f>
        <v>0</v>
      </c>
      <c r="AJ261" s="52">
        <f>IF(AND(COUNTA($A261:$L261)&gt;0,$F261&lt;&gt;"",$D261&lt;&gt;"",OR($C261="Shipment",$C261="Adjustment")),IF($AF261=1,0,IF(COUNTIFS(Batches!$A$2:$A$301,$F261,Batches!$B$2:$B$301,$D261)+COUNTIFS($F$1:$F260,$F261,$D$1:$D260,$D261,$C$1:$C260,"Receipt")=0,1,0)),0)</f>
        <v>0</v>
      </c>
      <c r="AK261" s="52">
        <f>IF(AND(COUNTA($A261:$L261)&gt;0,$C261="Receipt",$G261=""),1,0)</f>
        <v>0</v>
      </c>
      <c r="AL261" s="52">
        <f>IF(AND(COUNTA($A261:$L261)&gt;0,$G261&lt;&gt;""),IF($N261="ERR",1,0),0)</f>
        <v>0</v>
      </c>
      <c r="AM261" s="52">
        <f>IF(AND(COUNTA($A261:$L261)&gt;0,$H261=""),1,0)</f>
        <v>0</v>
      </c>
      <c r="AN261" s="52">
        <f>IF(AND(COUNTA($A261:$L261)&gt;0,$H261&lt;&gt;""),IF($O261="ERR",1,IF(INT($O261)&lt;&gt;$O261,1,IF(AND(OR($C261="Receipt",$C261="Shipment"),$O261&lt;=0),1,IF(AND($C261="Adjustment",$O261=0),1,0)))),0)</f>
        <v>0</v>
      </c>
      <c r="AO261" s="52">
        <f>IF(AND(COUNTA($A261:$L261)&gt;0,$C261="Receipt",$I261=""),1,0)</f>
        <v>0</v>
      </c>
      <c r="AP261" s="52">
        <f>IF(AND(COUNTA($A261:$L261)&gt;0,$I261&lt;&gt;""),IF(IFERROR(INDEX(Config!$G$15:$G$34,MATCH($I261,Config!$E$15:$E$34,0)),"No")="Yes",0,1),0)</f>
        <v>0</v>
      </c>
      <c r="AQ261" s="52">
        <f>IF(AND(COUNTA($A261:$L261)&gt;0,$C261="Adjustment",$J261=""),1,0)</f>
        <v>0</v>
      </c>
      <c r="AR261" s="52">
        <f>IF(AND(COUNTA($A261:$L261)&gt;0,$L261=""),1,0)</f>
        <v>0</v>
      </c>
      <c r="AS261" s="52">
        <f>IF(AND(COUNTA($A261:$L261)&gt;0,ISNUMBER($S261)),IF($S261&lt;0,1,0),0)</f>
        <v>0</v>
      </c>
      <c r="AT261" s="52">
        <f>$W261</f>
        <v>0</v>
      </c>
      <c r="AU261" s="52">
        <f>$AT261+$X261</f>
        <v>0</v>
      </c>
      <c r="AV261" s="52">
        <f>$AU261+$Y261</f>
        <v>0</v>
      </c>
      <c r="AW261" s="52">
        <f>$AV261+$Z261</f>
        <v>0</v>
      </c>
      <c r="AX261" s="52">
        <f>$AW261+$AA261</f>
        <v>0</v>
      </c>
      <c r="AY261" s="52">
        <f>$AX261+$AB261</f>
        <v>0</v>
      </c>
      <c r="AZ261" s="52">
        <f>$AY261+$AC261</f>
        <v>0</v>
      </c>
      <c r="BA261" s="52">
        <f>$AZ261+$AD261</f>
        <v>0</v>
      </c>
      <c r="BB261" s="52">
        <f>$BA261+$AE261</f>
        <v>0</v>
      </c>
      <c r="BC261" s="52">
        <f>$BB261+$AF261</f>
        <v>0</v>
      </c>
      <c r="BD261" s="52">
        <f>$BC261+$AG261</f>
        <v>0</v>
      </c>
      <c r="BE261" s="52">
        <f>$BD261+$AH261</f>
        <v>0</v>
      </c>
      <c r="BF261" s="52">
        <f>$BE261+$AI261</f>
        <v>0</v>
      </c>
      <c r="BG261" s="52">
        <f>$BF261+$AJ261</f>
        <v>0</v>
      </c>
      <c r="BH261" s="52">
        <f>$BG261+$AK261</f>
        <v>0</v>
      </c>
      <c r="BI261" s="52">
        <f>$BH261+$AL261</f>
        <v>0</v>
      </c>
      <c r="BJ261" s="52">
        <f>$BI261+$AM261</f>
        <v>0</v>
      </c>
      <c r="BK261" s="52">
        <f>$BJ261+$AN261</f>
        <v>0</v>
      </c>
      <c r="BL261" s="52">
        <f>$BK261+$AO261</f>
        <v>0</v>
      </c>
      <c r="BM261" s="52">
        <f>$BL261+$AP261</f>
        <v>0</v>
      </c>
      <c r="BN261" s="52">
        <f>$BM261+$AQ261</f>
        <v>0</v>
      </c>
      <c r="BO261" s="52">
        <f>$BN261+$AR261</f>
        <v>0</v>
      </c>
      <c r="BP261" s="52">
        <f>$BO261+$AS261</f>
        <v>0</v>
      </c>
      <c r="BQ261" s="52">
        <f>SUM($T$1:$T260)</f>
        <v>11</v>
      </c>
      <c r="BR261" s="52" t="str">
        <f>IF(ISNUMBER($T261),IF($T261&gt;0,COUNTIF($T$2:$T261,"&gt;0"),""),"")</f>
        <v/>
      </c>
      <c r="BS261" s="52" t="str">
        <f>IF($BR261="","",$BQ261+$T261)</f>
        <v/>
      </c>
      <c r="BT261" s="52" t="str">
        <f>IF($U261="Ready",COUNTIF($U$2:$U261,"Ready"),"")</f>
        <v/>
      </c>
      <c r="BU261" s="52">
        <f>IF(AND($U261="Ready",$C261="Receipt"),IF(COUNTIF(Batches!$A$2:$A$301,$F261)+COUNTIFS($F$1:$F260,$F261,$C$1:$C260,"Receipt",$U$1:$U260,"Ready")=0,1,0),0)</f>
        <v>0</v>
      </c>
      <c r="BV261" s="52" t="str">
        <f>IF($BU261=1,SUM($BU$2:$BU261),"")</f>
        <v/>
      </c>
    </row>
    <row r="262">
      <c r="A262" s="46" t="n"/>
      <c r="B262" s="46" t="n"/>
      <c r="C262" s="46" t="n"/>
      <c r="D262" s="46" t="n"/>
      <c r="E262" s="46" t="n"/>
      <c r="F262" s="46" t="n"/>
      <c r="G262" s="46" t="n"/>
      <c r="H262" s="46" t="n"/>
      <c r="I262" s="46" t="n"/>
      <c r="J262" s="46" t="n"/>
      <c r="K262" s="46" t="n"/>
      <c r="L262" s="46" t="n"/>
      <c r="M262" s="62" t="str">
        <f>IF($B262="","",IF(ISNUMBER($B262),$B262,IF(AND(LEN($B262)=10,MID($B262,5,1)="-",MID($B262,8,1)="-"),IFERROR(IF(AND(MONTH(DATE(VALUE(LEFT($B262,4)),VALUE(MID($B262,6,2)),VALUE(RIGHT($B262,2))))=VALUE(MID($B262,6,2)),DAY(DATE(VALUE(LEFT($B262,4)),VALUE(MID($B262,6,2)),VALUE(RIGHT($B262,2))))=VALUE(RIGHT($B262,2))),DATE(VALUE(LEFT($B262,4)),VALUE(MID($B262,6,2)),VALUE(RIGHT($B262,2))),"ERR"),"ERR"),"ERR")))</f>
        <v/>
      </c>
      <c r="N262" s="62" t="str">
        <f>IF($G262="","",IF(ISNUMBER($G262),$G262,IF(AND(LEN($G262)=10,MID($G262,5,1)="-",MID($G262,8,1)="-"),IFERROR(IF(AND(MONTH(DATE(VALUE(LEFT($G262,4)),VALUE(MID($G262,6,2)),VALUE(RIGHT($G262,2))))=VALUE(MID($G262,6,2)),DAY(DATE(VALUE(LEFT($G262,4)),VALUE(MID($G262,6,2)),VALUE(RIGHT($G262,2))))=VALUE(RIGHT($G262,2))),DATE(VALUE(LEFT($G262,4)),VALUE(MID($G262,6,2)),VALUE(RIGHT($G262,2))),"ERR"),"ERR"),"ERR")))</f>
        <v/>
      </c>
      <c r="O262" s="51" t="str">
        <f>IF($H262="","",IF(ISNUMBER($H262),$H262,IFERROR(VALUE($H262),"ERR")))</f>
        <v/>
      </c>
      <c r="P262" s="51" t="str">
        <f>IF(AND(ISNUMBER($O262),OR($C262="Receipt",$C262="Shipment",$C262="Adjustment")),IF($C262="Shipment",-$O262,$O262),"")</f>
        <v/>
      </c>
      <c r="Q262" s="51" t="str">
        <f>IF($D262="","",IFERROR(INDEX(Products!$R$2:$R$101,MATCH($D262,Products!$A$2:$A$101,0)),""))</f>
        <v/>
      </c>
      <c r="R262" s="51" t="str">
        <f>IF(OR($Q262="",$P262=""),"",$Q262+SUMIFS($P$1:$P261,$D$1:$D261,$D262,$U$1:$U261,"Ready"))</f>
        <v/>
      </c>
      <c r="S262" s="51" t="str">
        <f>IF($R262="","",$R262+$P262)</f>
        <v/>
      </c>
      <c r="T262" s="52" t="str">
        <f>IF(COUNTA($A262:$L262)&gt;0,$BP262,"")</f>
        <v/>
      </c>
      <c r="U262" s="49" t="str">
        <f>IF($T262="","",IF($T262=0,"Ready","Rejected"))</f>
        <v/>
      </c>
      <c r="V262" s="49" t="str">
        <f>IF(OR($T262="",$T262=0),"",INDEX(Config!$D$39:$D$61,MATCH(1,$AT262:$BP262,0))&amp;IF($T262&gt;1," (+"&amp;($T262-1)&amp;" more)",""))</f>
        <v/>
      </c>
      <c r="W262" s="52">
        <f>IF(AND(COUNTA($A262:$L262)&gt;0,$A262=""),1,0)</f>
        <v>0</v>
      </c>
      <c r="X262" s="52">
        <f>IF(AND(COUNTA($A262:$L262)&gt;0,$A262&lt;&gt;""),IF(COUNTIF($A$1:$A261,$A262)&gt;0,1,0),0)</f>
        <v>0</v>
      </c>
      <c r="Y262" s="52">
        <f>IF(AND(COUNTA($A262:$L262)&gt;0,$A262&lt;&gt;""),IF(COUNTIF(Inventory_Ledger!$A$2:$A$2001,$A262)&gt;0,1,0),0)</f>
        <v>0</v>
      </c>
      <c r="Z262" s="52">
        <f>IF(AND(COUNTA($A262:$L262)&gt;0,$B262=""),1,0)</f>
        <v>0</v>
      </c>
      <c r="AA262" s="52">
        <f>IF(AND(COUNTA($A262:$L262)&gt;0,$B262&lt;&gt;""),IF($M262="ERR",1,0),0)</f>
        <v>0</v>
      </c>
      <c r="AB262" s="52">
        <f>IF(AND(COUNTA($A262:$L262)&gt;0,ISNUMBER($M262)),IF($M262&gt;Config!$B$4,1,0),0)</f>
        <v>0</v>
      </c>
      <c r="AC262" s="52">
        <f>IF(AND(COUNTA($A262:$L262)&gt;0,$C262=""),1,0)</f>
        <v>0</v>
      </c>
      <c r="AD262" s="52">
        <f>IF(AND(COUNTA($A262:$L262)&gt;0,$C262&lt;&gt;""),IF(COUNTIF(Config!$A$15:$A$34,$C262)=0,1,0),0)</f>
        <v>0</v>
      </c>
      <c r="AE262" s="52">
        <f>IF(AND(COUNTA($A262:$L262)&gt;0,$D262=""),1,0)</f>
        <v>0</v>
      </c>
      <c r="AF262" s="52">
        <f>IF(AND(COUNTA($A262:$L262)&gt;0,$D262&lt;&gt;""),IF(COUNTIF(Products!$A$2:$A$101,$D262)=0,1,0),0)</f>
        <v>0</v>
      </c>
      <c r="AG262" s="52">
        <f>IF(AND(COUNTA($A262:$L262)&gt;0,$C262="Receipt",$E262=""),1,0)</f>
        <v>0</v>
      </c>
      <c r="AH262" s="52">
        <f>IF(AND(COUNTA($A262:$L262)&gt;0,$E262&lt;&gt;""),IF(COUNTIF(Suppliers!$A$2:$A$51,$E262)=0,1,0),0)</f>
        <v>0</v>
      </c>
      <c r="AI262" s="52">
        <f>IF(AND(COUNTA($A262:$L262)&gt;0,$F262=""),1,0)</f>
        <v>0</v>
      </c>
      <c r="AJ262" s="52">
        <f>IF(AND(COUNTA($A262:$L262)&gt;0,$F262&lt;&gt;"",$D262&lt;&gt;"",OR($C262="Shipment",$C262="Adjustment")),IF($AF262=1,0,IF(COUNTIFS(Batches!$A$2:$A$301,$F262,Batches!$B$2:$B$301,$D262)+COUNTIFS($F$1:$F261,$F262,$D$1:$D261,$D262,$C$1:$C261,"Receipt")=0,1,0)),0)</f>
        <v>0</v>
      </c>
      <c r="AK262" s="52">
        <f>IF(AND(COUNTA($A262:$L262)&gt;0,$C262="Receipt",$G262=""),1,0)</f>
        <v>0</v>
      </c>
      <c r="AL262" s="52">
        <f>IF(AND(COUNTA($A262:$L262)&gt;0,$G262&lt;&gt;""),IF($N262="ERR",1,0),0)</f>
        <v>0</v>
      </c>
      <c r="AM262" s="52">
        <f>IF(AND(COUNTA($A262:$L262)&gt;0,$H262=""),1,0)</f>
        <v>0</v>
      </c>
      <c r="AN262" s="52">
        <f>IF(AND(COUNTA($A262:$L262)&gt;0,$H262&lt;&gt;""),IF($O262="ERR",1,IF(INT($O262)&lt;&gt;$O262,1,IF(AND(OR($C262="Receipt",$C262="Shipment"),$O262&lt;=0),1,IF(AND($C262="Adjustment",$O262=0),1,0)))),0)</f>
        <v>0</v>
      </c>
      <c r="AO262" s="52">
        <f>IF(AND(COUNTA($A262:$L262)&gt;0,$C262="Receipt",$I262=""),1,0)</f>
        <v>0</v>
      </c>
      <c r="AP262" s="52">
        <f>IF(AND(COUNTA($A262:$L262)&gt;0,$I262&lt;&gt;""),IF(IFERROR(INDEX(Config!$G$15:$G$34,MATCH($I262,Config!$E$15:$E$34,0)),"No")="Yes",0,1),0)</f>
        <v>0</v>
      </c>
      <c r="AQ262" s="52">
        <f>IF(AND(COUNTA($A262:$L262)&gt;0,$C262="Adjustment",$J262=""),1,0)</f>
        <v>0</v>
      </c>
      <c r="AR262" s="52">
        <f>IF(AND(COUNTA($A262:$L262)&gt;0,$L262=""),1,0)</f>
        <v>0</v>
      </c>
      <c r="AS262" s="52">
        <f>IF(AND(COUNTA($A262:$L262)&gt;0,ISNUMBER($S262)),IF($S262&lt;0,1,0),0)</f>
        <v>0</v>
      </c>
      <c r="AT262" s="52">
        <f>$W262</f>
        <v>0</v>
      </c>
      <c r="AU262" s="52">
        <f>$AT262+$X262</f>
        <v>0</v>
      </c>
      <c r="AV262" s="52">
        <f>$AU262+$Y262</f>
        <v>0</v>
      </c>
      <c r="AW262" s="52">
        <f>$AV262+$Z262</f>
        <v>0</v>
      </c>
      <c r="AX262" s="52">
        <f>$AW262+$AA262</f>
        <v>0</v>
      </c>
      <c r="AY262" s="52">
        <f>$AX262+$AB262</f>
        <v>0</v>
      </c>
      <c r="AZ262" s="52">
        <f>$AY262+$AC262</f>
        <v>0</v>
      </c>
      <c r="BA262" s="52">
        <f>$AZ262+$AD262</f>
        <v>0</v>
      </c>
      <c r="BB262" s="52">
        <f>$BA262+$AE262</f>
        <v>0</v>
      </c>
      <c r="BC262" s="52">
        <f>$BB262+$AF262</f>
        <v>0</v>
      </c>
      <c r="BD262" s="52">
        <f>$BC262+$AG262</f>
        <v>0</v>
      </c>
      <c r="BE262" s="52">
        <f>$BD262+$AH262</f>
        <v>0</v>
      </c>
      <c r="BF262" s="52">
        <f>$BE262+$AI262</f>
        <v>0</v>
      </c>
      <c r="BG262" s="52">
        <f>$BF262+$AJ262</f>
        <v>0</v>
      </c>
      <c r="BH262" s="52">
        <f>$BG262+$AK262</f>
        <v>0</v>
      </c>
      <c r="BI262" s="52">
        <f>$BH262+$AL262</f>
        <v>0</v>
      </c>
      <c r="BJ262" s="52">
        <f>$BI262+$AM262</f>
        <v>0</v>
      </c>
      <c r="BK262" s="52">
        <f>$BJ262+$AN262</f>
        <v>0</v>
      </c>
      <c r="BL262" s="52">
        <f>$BK262+$AO262</f>
        <v>0</v>
      </c>
      <c r="BM262" s="52">
        <f>$BL262+$AP262</f>
        <v>0</v>
      </c>
      <c r="BN262" s="52">
        <f>$BM262+$AQ262</f>
        <v>0</v>
      </c>
      <c r="BO262" s="52">
        <f>$BN262+$AR262</f>
        <v>0</v>
      </c>
      <c r="BP262" s="52">
        <f>$BO262+$AS262</f>
        <v>0</v>
      </c>
      <c r="BQ262" s="52">
        <f>SUM($T$1:$T261)</f>
        <v>11</v>
      </c>
      <c r="BR262" s="52" t="str">
        <f>IF(ISNUMBER($T262),IF($T262&gt;0,COUNTIF($T$2:$T262,"&gt;0"),""),"")</f>
        <v/>
      </c>
      <c r="BS262" s="52" t="str">
        <f>IF($BR262="","",$BQ262+$T262)</f>
        <v/>
      </c>
      <c r="BT262" s="52" t="str">
        <f>IF($U262="Ready",COUNTIF($U$2:$U262,"Ready"),"")</f>
        <v/>
      </c>
      <c r="BU262" s="52">
        <f>IF(AND($U262="Ready",$C262="Receipt"),IF(COUNTIF(Batches!$A$2:$A$301,$F262)+COUNTIFS($F$1:$F261,$F262,$C$1:$C261,"Receipt",$U$1:$U261,"Ready")=0,1,0),0)</f>
        <v>0</v>
      </c>
      <c r="BV262" s="52" t="str">
        <f>IF($BU262=1,SUM($BU$2:$BU262),"")</f>
        <v/>
      </c>
    </row>
    <row r="263">
      <c r="A263" s="46" t="n"/>
      <c r="B263" s="46" t="n"/>
      <c r="C263" s="46" t="n"/>
      <c r="D263" s="46" t="n"/>
      <c r="E263" s="46" t="n"/>
      <c r="F263" s="46" t="n"/>
      <c r="G263" s="46" t="n"/>
      <c r="H263" s="46" t="n"/>
      <c r="I263" s="46" t="n"/>
      <c r="J263" s="46" t="n"/>
      <c r="K263" s="46" t="n"/>
      <c r="L263" s="46" t="n"/>
      <c r="M263" s="62" t="str">
        <f>IF($B263="","",IF(ISNUMBER($B263),$B263,IF(AND(LEN($B263)=10,MID($B263,5,1)="-",MID($B263,8,1)="-"),IFERROR(IF(AND(MONTH(DATE(VALUE(LEFT($B263,4)),VALUE(MID($B263,6,2)),VALUE(RIGHT($B263,2))))=VALUE(MID($B263,6,2)),DAY(DATE(VALUE(LEFT($B263,4)),VALUE(MID($B263,6,2)),VALUE(RIGHT($B263,2))))=VALUE(RIGHT($B263,2))),DATE(VALUE(LEFT($B263,4)),VALUE(MID($B263,6,2)),VALUE(RIGHT($B263,2))),"ERR"),"ERR"),"ERR")))</f>
        <v/>
      </c>
      <c r="N263" s="62" t="str">
        <f>IF($G263="","",IF(ISNUMBER($G263),$G263,IF(AND(LEN($G263)=10,MID($G263,5,1)="-",MID($G263,8,1)="-"),IFERROR(IF(AND(MONTH(DATE(VALUE(LEFT($G263,4)),VALUE(MID($G263,6,2)),VALUE(RIGHT($G263,2))))=VALUE(MID($G263,6,2)),DAY(DATE(VALUE(LEFT($G263,4)),VALUE(MID($G263,6,2)),VALUE(RIGHT($G263,2))))=VALUE(RIGHT($G263,2))),DATE(VALUE(LEFT($G263,4)),VALUE(MID($G263,6,2)),VALUE(RIGHT($G263,2))),"ERR"),"ERR"),"ERR")))</f>
        <v/>
      </c>
      <c r="O263" s="51" t="str">
        <f>IF($H263="","",IF(ISNUMBER($H263),$H263,IFERROR(VALUE($H263),"ERR")))</f>
        <v/>
      </c>
      <c r="P263" s="51" t="str">
        <f>IF(AND(ISNUMBER($O263),OR($C263="Receipt",$C263="Shipment",$C263="Adjustment")),IF($C263="Shipment",-$O263,$O263),"")</f>
        <v/>
      </c>
      <c r="Q263" s="51" t="str">
        <f>IF($D263="","",IFERROR(INDEX(Products!$R$2:$R$101,MATCH($D263,Products!$A$2:$A$101,0)),""))</f>
        <v/>
      </c>
      <c r="R263" s="51" t="str">
        <f>IF(OR($Q263="",$P263=""),"",$Q263+SUMIFS($P$1:$P262,$D$1:$D262,$D263,$U$1:$U262,"Ready"))</f>
        <v/>
      </c>
      <c r="S263" s="51" t="str">
        <f>IF($R263="","",$R263+$P263)</f>
        <v/>
      </c>
      <c r="T263" s="52" t="str">
        <f>IF(COUNTA($A263:$L263)&gt;0,$BP263,"")</f>
        <v/>
      </c>
      <c r="U263" s="49" t="str">
        <f>IF($T263="","",IF($T263=0,"Ready","Rejected"))</f>
        <v/>
      </c>
      <c r="V263" s="49" t="str">
        <f>IF(OR($T263="",$T263=0),"",INDEX(Config!$D$39:$D$61,MATCH(1,$AT263:$BP263,0))&amp;IF($T263&gt;1," (+"&amp;($T263-1)&amp;" more)",""))</f>
        <v/>
      </c>
      <c r="W263" s="52">
        <f>IF(AND(COUNTA($A263:$L263)&gt;0,$A263=""),1,0)</f>
        <v>0</v>
      </c>
      <c r="X263" s="52">
        <f>IF(AND(COUNTA($A263:$L263)&gt;0,$A263&lt;&gt;""),IF(COUNTIF($A$1:$A262,$A263)&gt;0,1,0),0)</f>
        <v>0</v>
      </c>
      <c r="Y263" s="52">
        <f>IF(AND(COUNTA($A263:$L263)&gt;0,$A263&lt;&gt;""),IF(COUNTIF(Inventory_Ledger!$A$2:$A$2001,$A263)&gt;0,1,0),0)</f>
        <v>0</v>
      </c>
      <c r="Z263" s="52">
        <f>IF(AND(COUNTA($A263:$L263)&gt;0,$B263=""),1,0)</f>
        <v>0</v>
      </c>
      <c r="AA263" s="52">
        <f>IF(AND(COUNTA($A263:$L263)&gt;0,$B263&lt;&gt;""),IF($M263="ERR",1,0),0)</f>
        <v>0</v>
      </c>
      <c r="AB263" s="52">
        <f>IF(AND(COUNTA($A263:$L263)&gt;0,ISNUMBER($M263)),IF($M263&gt;Config!$B$4,1,0),0)</f>
        <v>0</v>
      </c>
      <c r="AC263" s="52">
        <f>IF(AND(COUNTA($A263:$L263)&gt;0,$C263=""),1,0)</f>
        <v>0</v>
      </c>
      <c r="AD263" s="52">
        <f>IF(AND(COUNTA($A263:$L263)&gt;0,$C263&lt;&gt;""),IF(COUNTIF(Config!$A$15:$A$34,$C263)=0,1,0),0)</f>
        <v>0</v>
      </c>
      <c r="AE263" s="52">
        <f>IF(AND(COUNTA($A263:$L263)&gt;0,$D263=""),1,0)</f>
        <v>0</v>
      </c>
      <c r="AF263" s="52">
        <f>IF(AND(COUNTA($A263:$L263)&gt;0,$D263&lt;&gt;""),IF(COUNTIF(Products!$A$2:$A$101,$D263)=0,1,0),0)</f>
        <v>0</v>
      </c>
      <c r="AG263" s="52">
        <f>IF(AND(COUNTA($A263:$L263)&gt;0,$C263="Receipt",$E263=""),1,0)</f>
        <v>0</v>
      </c>
      <c r="AH263" s="52">
        <f>IF(AND(COUNTA($A263:$L263)&gt;0,$E263&lt;&gt;""),IF(COUNTIF(Suppliers!$A$2:$A$51,$E263)=0,1,0),0)</f>
        <v>0</v>
      </c>
      <c r="AI263" s="52">
        <f>IF(AND(COUNTA($A263:$L263)&gt;0,$F263=""),1,0)</f>
        <v>0</v>
      </c>
      <c r="AJ263" s="52">
        <f>IF(AND(COUNTA($A263:$L263)&gt;0,$F263&lt;&gt;"",$D263&lt;&gt;"",OR($C263="Shipment",$C263="Adjustment")),IF($AF263=1,0,IF(COUNTIFS(Batches!$A$2:$A$301,$F263,Batches!$B$2:$B$301,$D263)+COUNTIFS($F$1:$F262,$F263,$D$1:$D262,$D263,$C$1:$C262,"Receipt")=0,1,0)),0)</f>
        <v>0</v>
      </c>
      <c r="AK263" s="52">
        <f>IF(AND(COUNTA($A263:$L263)&gt;0,$C263="Receipt",$G263=""),1,0)</f>
        <v>0</v>
      </c>
      <c r="AL263" s="52">
        <f>IF(AND(COUNTA($A263:$L263)&gt;0,$G263&lt;&gt;""),IF($N263="ERR",1,0),0)</f>
        <v>0</v>
      </c>
      <c r="AM263" s="52">
        <f>IF(AND(COUNTA($A263:$L263)&gt;0,$H263=""),1,0)</f>
        <v>0</v>
      </c>
      <c r="AN263" s="52">
        <f>IF(AND(COUNTA($A263:$L263)&gt;0,$H263&lt;&gt;""),IF($O263="ERR",1,IF(INT($O263)&lt;&gt;$O263,1,IF(AND(OR($C263="Receipt",$C263="Shipment"),$O263&lt;=0),1,IF(AND($C263="Adjustment",$O263=0),1,0)))),0)</f>
        <v>0</v>
      </c>
      <c r="AO263" s="52">
        <f>IF(AND(COUNTA($A263:$L263)&gt;0,$C263="Receipt",$I263=""),1,0)</f>
        <v>0</v>
      </c>
      <c r="AP263" s="52">
        <f>IF(AND(COUNTA($A263:$L263)&gt;0,$I263&lt;&gt;""),IF(IFERROR(INDEX(Config!$G$15:$G$34,MATCH($I263,Config!$E$15:$E$34,0)),"No")="Yes",0,1),0)</f>
        <v>0</v>
      </c>
      <c r="AQ263" s="52">
        <f>IF(AND(COUNTA($A263:$L263)&gt;0,$C263="Adjustment",$J263=""),1,0)</f>
        <v>0</v>
      </c>
      <c r="AR263" s="52">
        <f>IF(AND(COUNTA($A263:$L263)&gt;0,$L263=""),1,0)</f>
        <v>0</v>
      </c>
      <c r="AS263" s="52">
        <f>IF(AND(COUNTA($A263:$L263)&gt;0,ISNUMBER($S263)),IF($S263&lt;0,1,0),0)</f>
        <v>0</v>
      </c>
      <c r="AT263" s="52">
        <f>$W263</f>
        <v>0</v>
      </c>
      <c r="AU263" s="52">
        <f>$AT263+$X263</f>
        <v>0</v>
      </c>
      <c r="AV263" s="52">
        <f>$AU263+$Y263</f>
        <v>0</v>
      </c>
      <c r="AW263" s="52">
        <f>$AV263+$Z263</f>
        <v>0</v>
      </c>
      <c r="AX263" s="52">
        <f>$AW263+$AA263</f>
        <v>0</v>
      </c>
      <c r="AY263" s="52">
        <f>$AX263+$AB263</f>
        <v>0</v>
      </c>
      <c r="AZ263" s="52">
        <f>$AY263+$AC263</f>
        <v>0</v>
      </c>
      <c r="BA263" s="52">
        <f>$AZ263+$AD263</f>
        <v>0</v>
      </c>
      <c r="BB263" s="52">
        <f>$BA263+$AE263</f>
        <v>0</v>
      </c>
      <c r="BC263" s="52">
        <f>$BB263+$AF263</f>
        <v>0</v>
      </c>
      <c r="BD263" s="52">
        <f>$BC263+$AG263</f>
        <v>0</v>
      </c>
      <c r="BE263" s="52">
        <f>$BD263+$AH263</f>
        <v>0</v>
      </c>
      <c r="BF263" s="52">
        <f>$BE263+$AI263</f>
        <v>0</v>
      </c>
      <c r="BG263" s="52">
        <f>$BF263+$AJ263</f>
        <v>0</v>
      </c>
      <c r="BH263" s="52">
        <f>$BG263+$AK263</f>
        <v>0</v>
      </c>
      <c r="BI263" s="52">
        <f>$BH263+$AL263</f>
        <v>0</v>
      </c>
      <c r="BJ263" s="52">
        <f>$BI263+$AM263</f>
        <v>0</v>
      </c>
      <c r="BK263" s="52">
        <f>$BJ263+$AN263</f>
        <v>0</v>
      </c>
      <c r="BL263" s="52">
        <f>$BK263+$AO263</f>
        <v>0</v>
      </c>
      <c r="BM263" s="52">
        <f>$BL263+$AP263</f>
        <v>0</v>
      </c>
      <c r="BN263" s="52">
        <f>$BM263+$AQ263</f>
        <v>0</v>
      </c>
      <c r="BO263" s="52">
        <f>$BN263+$AR263</f>
        <v>0</v>
      </c>
      <c r="BP263" s="52">
        <f>$BO263+$AS263</f>
        <v>0</v>
      </c>
      <c r="BQ263" s="52">
        <f>SUM($T$1:$T262)</f>
        <v>11</v>
      </c>
      <c r="BR263" s="52" t="str">
        <f>IF(ISNUMBER($T263),IF($T263&gt;0,COUNTIF($T$2:$T263,"&gt;0"),""),"")</f>
        <v/>
      </c>
      <c r="BS263" s="52" t="str">
        <f>IF($BR263="","",$BQ263+$T263)</f>
        <v/>
      </c>
      <c r="BT263" s="52" t="str">
        <f>IF($U263="Ready",COUNTIF($U$2:$U263,"Ready"),"")</f>
        <v/>
      </c>
      <c r="BU263" s="52">
        <f>IF(AND($U263="Ready",$C263="Receipt"),IF(COUNTIF(Batches!$A$2:$A$301,$F263)+COUNTIFS($F$1:$F262,$F263,$C$1:$C262,"Receipt",$U$1:$U262,"Ready")=0,1,0),0)</f>
        <v>0</v>
      </c>
      <c r="BV263" s="52" t="str">
        <f>IF($BU263=1,SUM($BU$2:$BU263),"")</f>
        <v/>
      </c>
    </row>
    <row r="264">
      <c r="A264" s="46" t="n"/>
      <c r="B264" s="46" t="n"/>
      <c r="C264" s="46" t="n"/>
      <c r="D264" s="46" t="n"/>
      <c r="E264" s="46" t="n"/>
      <c r="F264" s="46" t="n"/>
      <c r="G264" s="46" t="n"/>
      <c r="H264" s="46" t="n"/>
      <c r="I264" s="46" t="n"/>
      <c r="J264" s="46" t="n"/>
      <c r="K264" s="46" t="n"/>
      <c r="L264" s="46" t="n"/>
      <c r="M264" s="62" t="str">
        <f>IF($B264="","",IF(ISNUMBER($B264),$B264,IF(AND(LEN($B264)=10,MID($B264,5,1)="-",MID($B264,8,1)="-"),IFERROR(IF(AND(MONTH(DATE(VALUE(LEFT($B264,4)),VALUE(MID($B264,6,2)),VALUE(RIGHT($B264,2))))=VALUE(MID($B264,6,2)),DAY(DATE(VALUE(LEFT($B264,4)),VALUE(MID($B264,6,2)),VALUE(RIGHT($B264,2))))=VALUE(RIGHT($B264,2))),DATE(VALUE(LEFT($B264,4)),VALUE(MID($B264,6,2)),VALUE(RIGHT($B264,2))),"ERR"),"ERR"),"ERR")))</f>
        <v/>
      </c>
      <c r="N264" s="62" t="str">
        <f>IF($G264="","",IF(ISNUMBER($G264),$G264,IF(AND(LEN($G264)=10,MID($G264,5,1)="-",MID($G264,8,1)="-"),IFERROR(IF(AND(MONTH(DATE(VALUE(LEFT($G264,4)),VALUE(MID($G264,6,2)),VALUE(RIGHT($G264,2))))=VALUE(MID($G264,6,2)),DAY(DATE(VALUE(LEFT($G264,4)),VALUE(MID($G264,6,2)),VALUE(RIGHT($G264,2))))=VALUE(RIGHT($G264,2))),DATE(VALUE(LEFT($G264,4)),VALUE(MID($G264,6,2)),VALUE(RIGHT($G264,2))),"ERR"),"ERR"),"ERR")))</f>
        <v/>
      </c>
      <c r="O264" s="51" t="str">
        <f>IF($H264="","",IF(ISNUMBER($H264),$H264,IFERROR(VALUE($H264),"ERR")))</f>
        <v/>
      </c>
      <c r="P264" s="51" t="str">
        <f>IF(AND(ISNUMBER($O264),OR($C264="Receipt",$C264="Shipment",$C264="Adjustment")),IF($C264="Shipment",-$O264,$O264),"")</f>
        <v/>
      </c>
      <c r="Q264" s="51" t="str">
        <f>IF($D264="","",IFERROR(INDEX(Products!$R$2:$R$101,MATCH($D264,Products!$A$2:$A$101,0)),""))</f>
        <v/>
      </c>
      <c r="R264" s="51" t="str">
        <f>IF(OR($Q264="",$P264=""),"",$Q264+SUMIFS($P$1:$P263,$D$1:$D263,$D264,$U$1:$U263,"Ready"))</f>
        <v/>
      </c>
      <c r="S264" s="51" t="str">
        <f>IF($R264="","",$R264+$P264)</f>
        <v/>
      </c>
      <c r="T264" s="52" t="str">
        <f>IF(COUNTA($A264:$L264)&gt;0,$BP264,"")</f>
        <v/>
      </c>
      <c r="U264" s="49" t="str">
        <f>IF($T264="","",IF($T264=0,"Ready","Rejected"))</f>
        <v/>
      </c>
      <c r="V264" s="49" t="str">
        <f>IF(OR($T264="",$T264=0),"",INDEX(Config!$D$39:$D$61,MATCH(1,$AT264:$BP264,0))&amp;IF($T264&gt;1," (+"&amp;($T264-1)&amp;" more)",""))</f>
        <v/>
      </c>
      <c r="W264" s="52">
        <f>IF(AND(COUNTA($A264:$L264)&gt;0,$A264=""),1,0)</f>
        <v>0</v>
      </c>
      <c r="X264" s="52">
        <f>IF(AND(COUNTA($A264:$L264)&gt;0,$A264&lt;&gt;""),IF(COUNTIF($A$1:$A263,$A264)&gt;0,1,0),0)</f>
        <v>0</v>
      </c>
      <c r="Y264" s="52">
        <f>IF(AND(COUNTA($A264:$L264)&gt;0,$A264&lt;&gt;""),IF(COUNTIF(Inventory_Ledger!$A$2:$A$2001,$A264)&gt;0,1,0),0)</f>
        <v>0</v>
      </c>
      <c r="Z264" s="52">
        <f>IF(AND(COUNTA($A264:$L264)&gt;0,$B264=""),1,0)</f>
        <v>0</v>
      </c>
      <c r="AA264" s="52">
        <f>IF(AND(COUNTA($A264:$L264)&gt;0,$B264&lt;&gt;""),IF($M264="ERR",1,0),0)</f>
        <v>0</v>
      </c>
      <c r="AB264" s="52">
        <f>IF(AND(COUNTA($A264:$L264)&gt;0,ISNUMBER($M264)),IF($M264&gt;Config!$B$4,1,0),0)</f>
        <v>0</v>
      </c>
      <c r="AC264" s="52">
        <f>IF(AND(COUNTA($A264:$L264)&gt;0,$C264=""),1,0)</f>
        <v>0</v>
      </c>
      <c r="AD264" s="52">
        <f>IF(AND(COUNTA($A264:$L264)&gt;0,$C264&lt;&gt;""),IF(COUNTIF(Config!$A$15:$A$34,$C264)=0,1,0),0)</f>
        <v>0</v>
      </c>
      <c r="AE264" s="52">
        <f>IF(AND(COUNTA($A264:$L264)&gt;0,$D264=""),1,0)</f>
        <v>0</v>
      </c>
      <c r="AF264" s="52">
        <f>IF(AND(COUNTA($A264:$L264)&gt;0,$D264&lt;&gt;""),IF(COUNTIF(Products!$A$2:$A$101,$D264)=0,1,0),0)</f>
        <v>0</v>
      </c>
      <c r="AG264" s="52">
        <f>IF(AND(COUNTA($A264:$L264)&gt;0,$C264="Receipt",$E264=""),1,0)</f>
        <v>0</v>
      </c>
      <c r="AH264" s="52">
        <f>IF(AND(COUNTA($A264:$L264)&gt;0,$E264&lt;&gt;""),IF(COUNTIF(Suppliers!$A$2:$A$51,$E264)=0,1,0),0)</f>
        <v>0</v>
      </c>
      <c r="AI264" s="52">
        <f>IF(AND(COUNTA($A264:$L264)&gt;0,$F264=""),1,0)</f>
        <v>0</v>
      </c>
      <c r="AJ264" s="52">
        <f>IF(AND(COUNTA($A264:$L264)&gt;0,$F264&lt;&gt;"",$D264&lt;&gt;"",OR($C264="Shipment",$C264="Adjustment")),IF($AF264=1,0,IF(COUNTIFS(Batches!$A$2:$A$301,$F264,Batches!$B$2:$B$301,$D264)+COUNTIFS($F$1:$F263,$F264,$D$1:$D263,$D264,$C$1:$C263,"Receipt")=0,1,0)),0)</f>
        <v>0</v>
      </c>
      <c r="AK264" s="52">
        <f>IF(AND(COUNTA($A264:$L264)&gt;0,$C264="Receipt",$G264=""),1,0)</f>
        <v>0</v>
      </c>
      <c r="AL264" s="52">
        <f>IF(AND(COUNTA($A264:$L264)&gt;0,$G264&lt;&gt;""),IF($N264="ERR",1,0),0)</f>
        <v>0</v>
      </c>
      <c r="AM264" s="52">
        <f>IF(AND(COUNTA($A264:$L264)&gt;0,$H264=""),1,0)</f>
        <v>0</v>
      </c>
      <c r="AN264" s="52">
        <f>IF(AND(COUNTA($A264:$L264)&gt;0,$H264&lt;&gt;""),IF($O264="ERR",1,IF(INT($O264)&lt;&gt;$O264,1,IF(AND(OR($C264="Receipt",$C264="Shipment"),$O264&lt;=0),1,IF(AND($C264="Adjustment",$O264=0),1,0)))),0)</f>
        <v>0</v>
      </c>
      <c r="AO264" s="52">
        <f>IF(AND(COUNTA($A264:$L264)&gt;0,$C264="Receipt",$I264=""),1,0)</f>
        <v>0</v>
      </c>
      <c r="AP264" s="52">
        <f>IF(AND(COUNTA($A264:$L264)&gt;0,$I264&lt;&gt;""),IF(IFERROR(INDEX(Config!$G$15:$G$34,MATCH($I264,Config!$E$15:$E$34,0)),"No")="Yes",0,1),0)</f>
        <v>0</v>
      </c>
      <c r="AQ264" s="52">
        <f>IF(AND(COUNTA($A264:$L264)&gt;0,$C264="Adjustment",$J264=""),1,0)</f>
        <v>0</v>
      </c>
      <c r="AR264" s="52">
        <f>IF(AND(COUNTA($A264:$L264)&gt;0,$L264=""),1,0)</f>
        <v>0</v>
      </c>
      <c r="AS264" s="52">
        <f>IF(AND(COUNTA($A264:$L264)&gt;0,ISNUMBER($S264)),IF($S264&lt;0,1,0),0)</f>
        <v>0</v>
      </c>
      <c r="AT264" s="52">
        <f>$W264</f>
        <v>0</v>
      </c>
      <c r="AU264" s="52">
        <f>$AT264+$X264</f>
        <v>0</v>
      </c>
      <c r="AV264" s="52">
        <f>$AU264+$Y264</f>
        <v>0</v>
      </c>
      <c r="AW264" s="52">
        <f>$AV264+$Z264</f>
        <v>0</v>
      </c>
      <c r="AX264" s="52">
        <f>$AW264+$AA264</f>
        <v>0</v>
      </c>
      <c r="AY264" s="52">
        <f>$AX264+$AB264</f>
        <v>0</v>
      </c>
      <c r="AZ264" s="52">
        <f>$AY264+$AC264</f>
        <v>0</v>
      </c>
      <c r="BA264" s="52">
        <f>$AZ264+$AD264</f>
        <v>0</v>
      </c>
      <c r="BB264" s="52">
        <f>$BA264+$AE264</f>
        <v>0</v>
      </c>
      <c r="BC264" s="52">
        <f>$BB264+$AF264</f>
        <v>0</v>
      </c>
      <c r="BD264" s="52">
        <f>$BC264+$AG264</f>
        <v>0</v>
      </c>
      <c r="BE264" s="52">
        <f>$BD264+$AH264</f>
        <v>0</v>
      </c>
      <c r="BF264" s="52">
        <f>$BE264+$AI264</f>
        <v>0</v>
      </c>
      <c r="BG264" s="52">
        <f>$BF264+$AJ264</f>
        <v>0</v>
      </c>
      <c r="BH264" s="52">
        <f>$BG264+$AK264</f>
        <v>0</v>
      </c>
      <c r="BI264" s="52">
        <f>$BH264+$AL264</f>
        <v>0</v>
      </c>
      <c r="BJ264" s="52">
        <f>$BI264+$AM264</f>
        <v>0</v>
      </c>
      <c r="BK264" s="52">
        <f>$BJ264+$AN264</f>
        <v>0</v>
      </c>
      <c r="BL264" s="52">
        <f>$BK264+$AO264</f>
        <v>0</v>
      </c>
      <c r="BM264" s="52">
        <f>$BL264+$AP264</f>
        <v>0</v>
      </c>
      <c r="BN264" s="52">
        <f>$BM264+$AQ264</f>
        <v>0</v>
      </c>
      <c r="BO264" s="52">
        <f>$BN264+$AR264</f>
        <v>0</v>
      </c>
      <c r="BP264" s="52">
        <f>$BO264+$AS264</f>
        <v>0</v>
      </c>
      <c r="BQ264" s="52">
        <f>SUM($T$1:$T263)</f>
        <v>11</v>
      </c>
      <c r="BR264" s="52" t="str">
        <f>IF(ISNUMBER($T264),IF($T264&gt;0,COUNTIF($T$2:$T264,"&gt;0"),""),"")</f>
        <v/>
      </c>
      <c r="BS264" s="52" t="str">
        <f>IF($BR264="","",$BQ264+$T264)</f>
        <v/>
      </c>
      <c r="BT264" s="52" t="str">
        <f>IF($U264="Ready",COUNTIF($U$2:$U264,"Ready"),"")</f>
        <v/>
      </c>
      <c r="BU264" s="52">
        <f>IF(AND($U264="Ready",$C264="Receipt"),IF(COUNTIF(Batches!$A$2:$A$301,$F264)+COUNTIFS($F$1:$F263,$F264,$C$1:$C263,"Receipt",$U$1:$U263,"Ready")=0,1,0),0)</f>
        <v>0</v>
      </c>
      <c r="BV264" s="52" t="str">
        <f>IF($BU264=1,SUM($BU$2:$BU264),"")</f>
        <v/>
      </c>
    </row>
    <row r="265">
      <c r="A265" s="46" t="n"/>
      <c r="B265" s="46" t="n"/>
      <c r="C265" s="46" t="n"/>
      <c r="D265" s="46" t="n"/>
      <c r="E265" s="46" t="n"/>
      <c r="F265" s="46" t="n"/>
      <c r="G265" s="46" t="n"/>
      <c r="H265" s="46" t="n"/>
      <c r="I265" s="46" t="n"/>
      <c r="J265" s="46" t="n"/>
      <c r="K265" s="46" t="n"/>
      <c r="L265" s="46" t="n"/>
      <c r="M265" s="62" t="str">
        <f>IF($B265="","",IF(ISNUMBER($B265),$B265,IF(AND(LEN($B265)=10,MID($B265,5,1)="-",MID($B265,8,1)="-"),IFERROR(IF(AND(MONTH(DATE(VALUE(LEFT($B265,4)),VALUE(MID($B265,6,2)),VALUE(RIGHT($B265,2))))=VALUE(MID($B265,6,2)),DAY(DATE(VALUE(LEFT($B265,4)),VALUE(MID($B265,6,2)),VALUE(RIGHT($B265,2))))=VALUE(RIGHT($B265,2))),DATE(VALUE(LEFT($B265,4)),VALUE(MID($B265,6,2)),VALUE(RIGHT($B265,2))),"ERR"),"ERR"),"ERR")))</f>
        <v/>
      </c>
      <c r="N265" s="62" t="str">
        <f>IF($G265="","",IF(ISNUMBER($G265),$G265,IF(AND(LEN($G265)=10,MID($G265,5,1)="-",MID($G265,8,1)="-"),IFERROR(IF(AND(MONTH(DATE(VALUE(LEFT($G265,4)),VALUE(MID($G265,6,2)),VALUE(RIGHT($G265,2))))=VALUE(MID($G265,6,2)),DAY(DATE(VALUE(LEFT($G265,4)),VALUE(MID($G265,6,2)),VALUE(RIGHT($G265,2))))=VALUE(RIGHT($G265,2))),DATE(VALUE(LEFT($G265,4)),VALUE(MID($G265,6,2)),VALUE(RIGHT($G265,2))),"ERR"),"ERR"),"ERR")))</f>
        <v/>
      </c>
      <c r="O265" s="51" t="str">
        <f>IF($H265="","",IF(ISNUMBER($H265),$H265,IFERROR(VALUE($H265),"ERR")))</f>
        <v/>
      </c>
      <c r="P265" s="51" t="str">
        <f>IF(AND(ISNUMBER($O265),OR($C265="Receipt",$C265="Shipment",$C265="Adjustment")),IF($C265="Shipment",-$O265,$O265),"")</f>
        <v/>
      </c>
      <c r="Q265" s="51" t="str">
        <f>IF($D265="","",IFERROR(INDEX(Products!$R$2:$R$101,MATCH($D265,Products!$A$2:$A$101,0)),""))</f>
        <v/>
      </c>
      <c r="R265" s="51" t="str">
        <f>IF(OR($Q265="",$P265=""),"",$Q265+SUMIFS($P$1:$P264,$D$1:$D264,$D265,$U$1:$U264,"Ready"))</f>
        <v/>
      </c>
      <c r="S265" s="51" t="str">
        <f>IF($R265="","",$R265+$P265)</f>
        <v/>
      </c>
      <c r="T265" s="52" t="str">
        <f>IF(COUNTA($A265:$L265)&gt;0,$BP265,"")</f>
        <v/>
      </c>
      <c r="U265" s="49" t="str">
        <f>IF($T265="","",IF($T265=0,"Ready","Rejected"))</f>
        <v/>
      </c>
      <c r="V265" s="49" t="str">
        <f>IF(OR($T265="",$T265=0),"",INDEX(Config!$D$39:$D$61,MATCH(1,$AT265:$BP265,0))&amp;IF($T265&gt;1," (+"&amp;($T265-1)&amp;" more)",""))</f>
        <v/>
      </c>
      <c r="W265" s="52">
        <f>IF(AND(COUNTA($A265:$L265)&gt;0,$A265=""),1,0)</f>
        <v>0</v>
      </c>
      <c r="X265" s="52">
        <f>IF(AND(COUNTA($A265:$L265)&gt;0,$A265&lt;&gt;""),IF(COUNTIF($A$1:$A264,$A265)&gt;0,1,0),0)</f>
        <v>0</v>
      </c>
      <c r="Y265" s="52">
        <f>IF(AND(COUNTA($A265:$L265)&gt;0,$A265&lt;&gt;""),IF(COUNTIF(Inventory_Ledger!$A$2:$A$2001,$A265)&gt;0,1,0),0)</f>
        <v>0</v>
      </c>
      <c r="Z265" s="52">
        <f>IF(AND(COUNTA($A265:$L265)&gt;0,$B265=""),1,0)</f>
        <v>0</v>
      </c>
      <c r="AA265" s="52">
        <f>IF(AND(COUNTA($A265:$L265)&gt;0,$B265&lt;&gt;""),IF($M265="ERR",1,0),0)</f>
        <v>0</v>
      </c>
      <c r="AB265" s="52">
        <f>IF(AND(COUNTA($A265:$L265)&gt;0,ISNUMBER($M265)),IF($M265&gt;Config!$B$4,1,0),0)</f>
        <v>0</v>
      </c>
      <c r="AC265" s="52">
        <f>IF(AND(COUNTA($A265:$L265)&gt;0,$C265=""),1,0)</f>
        <v>0</v>
      </c>
      <c r="AD265" s="52">
        <f>IF(AND(COUNTA($A265:$L265)&gt;0,$C265&lt;&gt;""),IF(COUNTIF(Config!$A$15:$A$34,$C265)=0,1,0),0)</f>
        <v>0</v>
      </c>
      <c r="AE265" s="52">
        <f>IF(AND(COUNTA($A265:$L265)&gt;0,$D265=""),1,0)</f>
        <v>0</v>
      </c>
      <c r="AF265" s="52">
        <f>IF(AND(COUNTA($A265:$L265)&gt;0,$D265&lt;&gt;""),IF(COUNTIF(Products!$A$2:$A$101,$D265)=0,1,0),0)</f>
        <v>0</v>
      </c>
      <c r="AG265" s="52">
        <f>IF(AND(COUNTA($A265:$L265)&gt;0,$C265="Receipt",$E265=""),1,0)</f>
        <v>0</v>
      </c>
      <c r="AH265" s="52">
        <f>IF(AND(COUNTA($A265:$L265)&gt;0,$E265&lt;&gt;""),IF(COUNTIF(Suppliers!$A$2:$A$51,$E265)=0,1,0),0)</f>
        <v>0</v>
      </c>
      <c r="AI265" s="52">
        <f>IF(AND(COUNTA($A265:$L265)&gt;0,$F265=""),1,0)</f>
        <v>0</v>
      </c>
      <c r="AJ265" s="52">
        <f>IF(AND(COUNTA($A265:$L265)&gt;0,$F265&lt;&gt;"",$D265&lt;&gt;"",OR($C265="Shipment",$C265="Adjustment")),IF($AF265=1,0,IF(COUNTIFS(Batches!$A$2:$A$301,$F265,Batches!$B$2:$B$301,$D265)+COUNTIFS($F$1:$F264,$F265,$D$1:$D264,$D265,$C$1:$C264,"Receipt")=0,1,0)),0)</f>
        <v>0</v>
      </c>
      <c r="AK265" s="52">
        <f>IF(AND(COUNTA($A265:$L265)&gt;0,$C265="Receipt",$G265=""),1,0)</f>
        <v>0</v>
      </c>
      <c r="AL265" s="52">
        <f>IF(AND(COUNTA($A265:$L265)&gt;0,$G265&lt;&gt;""),IF($N265="ERR",1,0),0)</f>
        <v>0</v>
      </c>
      <c r="AM265" s="52">
        <f>IF(AND(COUNTA($A265:$L265)&gt;0,$H265=""),1,0)</f>
        <v>0</v>
      </c>
      <c r="AN265" s="52">
        <f>IF(AND(COUNTA($A265:$L265)&gt;0,$H265&lt;&gt;""),IF($O265="ERR",1,IF(INT($O265)&lt;&gt;$O265,1,IF(AND(OR($C265="Receipt",$C265="Shipment"),$O265&lt;=0),1,IF(AND($C265="Adjustment",$O265=0),1,0)))),0)</f>
        <v>0</v>
      </c>
      <c r="AO265" s="52">
        <f>IF(AND(COUNTA($A265:$L265)&gt;0,$C265="Receipt",$I265=""),1,0)</f>
        <v>0</v>
      </c>
      <c r="AP265" s="52">
        <f>IF(AND(COUNTA($A265:$L265)&gt;0,$I265&lt;&gt;""),IF(IFERROR(INDEX(Config!$G$15:$G$34,MATCH($I265,Config!$E$15:$E$34,0)),"No")="Yes",0,1),0)</f>
        <v>0</v>
      </c>
      <c r="AQ265" s="52">
        <f>IF(AND(COUNTA($A265:$L265)&gt;0,$C265="Adjustment",$J265=""),1,0)</f>
        <v>0</v>
      </c>
      <c r="AR265" s="52">
        <f>IF(AND(COUNTA($A265:$L265)&gt;0,$L265=""),1,0)</f>
        <v>0</v>
      </c>
      <c r="AS265" s="52">
        <f>IF(AND(COUNTA($A265:$L265)&gt;0,ISNUMBER($S265)),IF($S265&lt;0,1,0),0)</f>
        <v>0</v>
      </c>
      <c r="AT265" s="52">
        <f>$W265</f>
        <v>0</v>
      </c>
      <c r="AU265" s="52">
        <f>$AT265+$X265</f>
        <v>0</v>
      </c>
      <c r="AV265" s="52">
        <f>$AU265+$Y265</f>
        <v>0</v>
      </c>
      <c r="AW265" s="52">
        <f>$AV265+$Z265</f>
        <v>0</v>
      </c>
      <c r="AX265" s="52">
        <f>$AW265+$AA265</f>
        <v>0</v>
      </c>
      <c r="AY265" s="52">
        <f>$AX265+$AB265</f>
        <v>0</v>
      </c>
      <c r="AZ265" s="52">
        <f>$AY265+$AC265</f>
        <v>0</v>
      </c>
      <c r="BA265" s="52">
        <f>$AZ265+$AD265</f>
        <v>0</v>
      </c>
      <c r="BB265" s="52">
        <f>$BA265+$AE265</f>
        <v>0</v>
      </c>
      <c r="BC265" s="52">
        <f>$BB265+$AF265</f>
        <v>0</v>
      </c>
      <c r="BD265" s="52">
        <f>$BC265+$AG265</f>
        <v>0</v>
      </c>
      <c r="BE265" s="52">
        <f>$BD265+$AH265</f>
        <v>0</v>
      </c>
      <c r="BF265" s="52">
        <f>$BE265+$AI265</f>
        <v>0</v>
      </c>
      <c r="BG265" s="52">
        <f>$BF265+$AJ265</f>
        <v>0</v>
      </c>
      <c r="BH265" s="52">
        <f>$BG265+$AK265</f>
        <v>0</v>
      </c>
      <c r="BI265" s="52">
        <f>$BH265+$AL265</f>
        <v>0</v>
      </c>
      <c r="BJ265" s="52">
        <f>$BI265+$AM265</f>
        <v>0</v>
      </c>
      <c r="BK265" s="52">
        <f>$BJ265+$AN265</f>
        <v>0</v>
      </c>
      <c r="BL265" s="52">
        <f>$BK265+$AO265</f>
        <v>0</v>
      </c>
      <c r="BM265" s="52">
        <f>$BL265+$AP265</f>
        <v>0</v>
      </c>
      <c r="BN265" s="52">
        <f>$BM265+$AQ265</f>
        <v>0</v>
      </c>
      <c r="BO265" s="52">
        <f>$BN265+$AR265</f>
        <v>0</v>
      </c>
      <c r="BP265" s="52">
        <f>$BO265+$AS265</f>
        <v>0</v>
      </c>
      <c r="BQ265" s="52">
        <f>SUM($T$1:$T264)</f>
        <v>11</v>
      </c>
      <c r="BR265" s="52" t="str">
        <f>IF(ISNUMBER($T265),IF($T265&gt;0,COUNTIF($T$2:$T265,"&gt;0"),""),"")</f>
        <v/>
      </c>
      <c r="BS265" s="52" t="str">
        <f>IF($BR265="","",$BQ265+$T265)</f>
        <v/>
      </c>
      <c r="BT265" s="52" t="str">
        <f>IF($U265="Ready",COUNTIF($U$2:$U265,"Ready"),"")</f>
        <v/>
      </c>
      <c r="BU265" s="52">
        <f>IF(AND($U265="Ready",$C265="Receipt"),IF(COUNTIF(Batches!$A$2:$A$301,$F265)+COUNTIFS($F$1:$F264,$F265,$C$1:$C264,"Receipt",$U$1:$U264,"Ready")=0,1,0),0)</f>
        <v>0</v>
      </c>
      <c r="BV265" s="52" t="str">
        <f>IF($BU265=1,SUM($BU$2:$BU265),"")</f>
        <v/>
      </c>
    </row>
    <row r="266">
      <c r="A266" s="46" t="n"/>
      <c r="B266" s="46" t="n"/>
      <c r="C266" s="46" t="n"/>
      <c r="D266" s="46" t="n"/>
      <c r="E266" s="46" t="n"/>
      <c r="F266" s="46" t="n"/>
      <c r="G266" s="46" t="n"/>
      <c r="H266" s="46" t="n"/>
      <c r="I266" s="46" t="n"/>
      <c r="J266" s="46" t="n"/>
      <c r="K266" s="46" t="n"/>
      <c r="L266" s="46" t="n"/>
      <c r="M266" s="62" t="str">
        <f>IF($B266="","",IF(ISNUMBER($B266),$B266,IF(AND(LEN($B266)=10,MID($B266,5,1)="-",MID($B266,8,1)="-"),IFERROR(IF(AND(MONTH(DATE(VALUE(LEFT($B266,4)),VALUE(MID($B266,6,2)),VALUE(RIGHT($B266,2))))=VALUE(MID($B266,6,2)),DAY(DATE(VALUE(LEFT($B266,4)),VALUE(MID($B266,6,2)),VALUE(RIGHT($B266,2))))=VALUE(RIGHT($B266,2))),DATE(VALUE(LEFT($B266,4)),VALUE(MID($B266,6,2)),VALUE(RIGHT($B266,2))),"ERR"),"ERR"),"ERR")))</f>
        <v/>
      </c>
      <c r="N266" s="62" t="str">
        <f>IF($G266="","",IF(ISNUMBER($G266),$G266,IF(AND(LEN($G266)=10,MID($G266,5,1)="-",MID($G266,8,1)="-"),IFERROR(IF(AND(MONTH(DATE(VALUE(LEFT($G266,4)),VALUE(MID($G266,6,2)),VALUE(RIGHT($G266,2))))=VALUE(MID($G266,6,2)),DAY(DATE(VALUE(LEFT($G266,4)),VALUE(MID($G266,6,2)),VALUE(RIGHT($G266,2))))=VALUE(RIGHT($G266,2))),DATE(VALUE(LEFT($G266,4)),VALUE(MID($G266,6,2)),VALUE(RIGHT($G266,2))),"ERR"),"ERR"),"ERR")))</f>
        <v/>
      </c>
      <c r="O266" s="51" t="str">
        <f>IF($H266="","",IF(ISNUMBER($H266),$H266,IFERROR(VALUE($H266),"ERR")))</f>
        <v/>
      </c>
      <c r="P266" s="51" t="str">
        <f>IF(AND(ISNUMBER($O266),OR($C266="Receipt",$C266="Shipment",$C266="Adjustment")),IF($C266="Shipment",-$O266,$O266),"")</f>
        <v/>
      </c>
      <c r="Q266" s="51" t="str">
        <f>IF($D266="","",IFERROR(INDEX(Products!$R$2:$R$101,MATCH($D266,Products!$A$2:$A$101,0)),""))</f>
        <v/>
      </c>
      <c r="R266" s="51" t="str">
        <f>IF(OR($Q266="",$P266=""),"",$Q266+SUMIFS($P$1:$P265,$D$1:$D265,$D266,$U$1:$U265,"Ready"))</f>
        <v/>
      </c>
      <c r="S266" s="51" t="str">
        <f>IF($R266="","",$R266+$P266)</f>
        <v/>
      </c>
      <c r="T266" s="52" t="str">
        <f>IF(COUNTA($A266:$L266)&gt;0,$BP266,"")</f>
        <v/>
      </c>
      <c r="U266" s="49" t="str">
        <f>IF($T266="","",IF($T266=0,"Ready","Rejected"))</f>
        <v/>
      </c>
      <c r="V266" s="49" t="str">
        <f>IF(OR($T266="",$T266=0),"",INDEX(Config!$D$39:$D$61,MATCH(1,$AT266:$BP266,0))&amp;IF($T266&gt;1," (+"&amp;($T266-1)&amp;" more)",""))</f>
        <v/>
      </c>
      <c r="W266" s="52">
        <f>IF(AND(COUNTA($A266:$L266)&gt;0,$A266=""),1,0)</f>
        <v>0</v>
      </c>
      <c r="X266" s="52">
        <f>IF(AND(COUNTA($A266:$L266)&gt;0,$A266&lt;&gt;""),IF(COUNTIF($A$1:$A265,$A266)&gt;0,1,0),0)</f>
        <v>0</v>
      </c>
      <c r="Y266" s="52">
        <f>IF(AND(COUNTA($A266:$L266)&gt;0,$A266&lt;&gt;""),IF(COUNTIF(Inventory_Ledger!$A$2:$A$2001,$A266)&gt;0,1,0),0)</f>
        <v>0</v>
      </c>
      <c r="Z266" s="52">
        <f>IF(AND(COUNTA($A266:$L266)&gt;0,$B266=""),1,0)</f>
        <v>0</v>
      </c>
      <c r="AA266" s="52">
        <f>IF(AND(COUNTA($A266:$L266)&gt;0,$B266&lt;&gt;""),IF($M266="ERR",1,0),0)</f>
        <v>0</v>
      </c>
      <c r="AB266" s="52">
        <f>IF(AND(COUNTA($A266:$L266)&gt;0,ISNUMBER($M266)),IF($M266&gt;Config!$B$4,1,0),0)</f>
        <v>0</v>
      </c>
      <c r="AC266" s="52">
        <f>IF(AND(COUNTA($A266:$L266)&gt;0,$C266=""),1,0)</f>
        <v>0</v>
      </c>
      <c r="AD266" s="52">
        <f>IF(AND(COUNTA($A266:$L266)&gt;0,$C266&lt;&gt;""),IF(COUNTIF(Config!$A$15:$A$34,$C266)=0,1,0),0)</f>
        <v>0</v>
      </c>
      <c r="AE266" s="52">
        <f>IF(AND(COUNTA($A266:$L266)&gt;0,$D266=""),1,0)</f>
        <v>0</v>
      </c>
      <c r="AF266" s="52">
        <f>IF(AND(COUNTA($A266:$L266)&gt;0,$D266&lt;&gt;""),IF(COUNTIF(Products!$A$2:$A$101,$D266)=0,1,0),0)</f>
        <v>0</v>
      </c>
      <c r="AG266" s="52">
        <f>IF(AND(COUNTA($A266:$L266)&gt;0,$C266="Receipt",$E266=""),1,0)</f>
        <v>0</v>
      </c>
      <c r="AH266" s="52">
        <f>IF(AND(COUNTA($A266:$L266)&gt;0,$E266&lt;&gt;""),IF(COUNTIF(Suppliers!$A$2:$A$51,$E266)=0,1,0),0)</f>
        <v>0</v>
      </c>
      <c r="AI266" s="52">
        <f>IF(AND(COUNTA($A266:$L266)&gt;0,$F266=""),1,0)</f>
        <v>0</v>
      </c>
      <c r="AJ266" s="52">
        <f>IF(AND(COUNTA($A266:$L266)&gt;0,$F266&lt;&gt;"",$D266&lt;&gt;"",OR($C266="Shipment",$C266="Adjustment")),IF($AF266=1,0,IF(COUNTIFS(Batches!$A$2:$A$301,$F266,Batches!$B$2:$B$301,$D266)+COUNTIFS($F$1:$F265,$F266,$D$1:$D265,$D266,$C$1:$C265,"Receipt")=0,1,0)),0)</f>
        <v>0</v>
      </c>
      <c r="AK266" s="52">
        <f>IF(AND(COUNTA($A266:$L266)&gt;0,$C266="Receipt",$G266=""),1,0)</f>
        <v>0</v>
      </c>
      <c r="AL266" s="52">
        <f>IF(AND(COUNTA($A266:$L266)&gt;0,$G266&lt;&gt;""),IF($N266="ERR",1,0),0)</f>
        <v>0</v>
      </c>
      <c r="AM266" s="52">
        <f>IF(AND(COUNTA($A266:$L266)&gt;0,$H266=""),1,0)</f>
        <v>0</v>
      </c>
      <c r="AN266" s="52">
        <f>IF(AND(COUNTA($A266:$L266)&gt;0,$H266&lt;&gt;""),IF($O266="ERR",1,IF(INT($O266)&lt;&gt;$O266,1,IF(AND(OR($C266="Receipt",$C266="Shipment"),$O266&lt;=0),1,IF(AND($C266="Adjustment",$O266=0),1,0)))),0)</f>
        <v>0</v>
      </c>
      <c r="AO266" s="52">
        <f>IF(AND(COUNTA($A266:$L266)&gt;0,$C266="Receipt",$I266=""),1,0)</f>
        <v>0</v>
      </c>
      <c r="AP266" s="52">
        <f>IF(AND(COUNTA($A266:$L266)&gt;0,$I266&lt;&gt;""),IF(IFERROR(INDEX(Config!$G$15:$G$34,MATCH($I266,Config!$E$15:$E$34,0)),"No")="Yes",0,1),0)</f>
        <v>0</v>
      </c>
      <c r="AQ266" s="52">
        <f>IF(AND(COUNTA($A266:$L266)&gt;0,$C266="Adjustment",$J266=""),1,0)</f>
        <v>0</v>
      </c>
      <c r="AR266" s="52">
        <f>IF(AND(COUNTA($A266:$L266)&gt;0,$L266=""),1,0)</f>
        <v>0</v>
      </c>
      <c r="AS266" s="52">
        <f>IF(AND(COUNTA($A266:$L266)&gt;0,ISNUMBER($S266)),IF($S266&lt;0,1,0),0)</f>
        <v>0</v>
      </c>
      <c r="AT266" s="52">
        <f>$W266</f>
        <v>0</v>
      </c>
      <c r="AU266" s="52">
        <f>$AT266+$X266</f>
        <v>0</v>
      </c>
      <c r="AV266" s="52">
        <f>$AU266+$Y266</f>
        <v>0</v>
      </c>
      <c r="AW266" s="52">
        <f>$AV266+$Z266</f>
        <v>0</v>
      </c>
      <c r="AX266" s="52">
        <f>$AW266+$AA266</f>
        <v>0</v>
      </c>
      <c r="AY266" s="52">
        <f>$AX266+$AB266</f>
        <v>0</v>
      </c>
      <c r="AZ266" s="52">
        <f>$AY266+$AC266</f>
        <v>0</v>
      </c>
      <c r="BA266" s="52">
        <f>$AZ266+$AD266</f>
        <v>0</v>
      </c>
      <c r="BB266" s="52">
        <f>$BA266+$AE266</f>
        <v>0</v>
      </c>
      <c r="BC266" s="52">
        <f>$BB266+$AF266</f>
        <v>0</v>
      </c>
      <c r="BD266" s="52">
        <f>$BC266+$AG266</f>
        <v>0</v>
      </c>
      <c r="BE266" s="52">
        <f>$BD266+$AH266</f>
        <v>0</v>
      </c>
      <c r="BF266" s="52">
        <f>$BE266+$AI266</f>
        <v>0</v>
      </c>
      <c r="BG266" s="52">
        <f>$BF266+$AJ266</f>
        <v>0</v>
      </c>
      <c r="BH266" s="52">
        <f>$BG266+$AK266</f>
        <v>0</v>
      </c>
      <c r="BI266" s="52">
        <f>$BH266+$AL266</f>
        <v>0</v>
      </c>
      <c r="BJ266" s="52">
        <f>$BI266+$AM266</f>
        <v>0</v>
      </c>
      <c r="BK266" s="52">
        <f>$BJ266+$AN266</f>
        <v>0</v>
      </c>
      <c r="BL266" s="52">
        <f>$BK266+$AO266</f>
        <v>0</v>
      </c>
      <c r="BM266" s="52">
        <f>$BL266+$AP266</f>
        <v>0</v>
      </c>
      <c r="BN266" s="52">
        <f>$BM266+$AQ266</f>
        <v>0</v>
      </c>
      <c r="BO266" s="52">
        <f>$BN266+$AR266</f>
        <v>0</v>
      </c>
      <c r="BP266" s="52">
        <f>$BO266+$AS266</f>
        <v>0</v>
      </c>
      <c r="BQ266" s="52">
        <f>SUM($T$1:$T265)</f>
        <v>11</v>
      </c>
      <c r="BR266" s="52" t="str">
        <f>IF(ISNUMBER($T266),IF($T266&gt;0,COUNTIF($T$2:$T266,"&gt;0"),""),"")</f>
        <v/>
      </c>
      <c r="BS266" s="52" t="str">
        <f>IF($BR266="","",$BQ266+$T266)</f>
        <v/>
      </c>
      <c r="BT266" s="52" t="str">
        <f>IF($U266="Ready",COUNTIF($U$2:$U266,"Ready"),"")</f>
        <v/>
      </c>
      <c r="BU266" s="52">
        <f>IF(AND($U266="Ready",$C266="Receipt"),IF(COUNTIF(Batches!$A$2:$A$301,$F266)+COUNTIFS($F$1:$F265,$F266,$C$1:$C265,"Receipt",$U$1:$U265,"Ready")=0,1,0),0)</f>
        <v>0</v>
      </c>
      <c r="BV266" s="52" t="str">
        <f>IF($BU266=1,SUM($BU$2:$BU266),"")</f>
        <v/>
      </c>
    </row>
    <row r="267">
      <c r="A267" s="46" t="n"/>
      <c r="B267" s="46" t="n"/>
      <c r="C267" s="46" t="n"/>
      <c r="D267" s="46" t="n"/>
      <c r="E267" s="46" t="n"/>
      <c r="F267" s="46" t="n"/>
      <c r="G267" s="46" t="n"/>
      <c r="H267" s="46" t="n"/>
      <c r="I267" s="46" t="n"/>
      <c r="J267" s="46" t="n"/>
      <c r="K267" s="46" t="n"/>
      <c r="L267" s="46" t="n"/>
      <c r="M267" s="62" t="str">
        <f>IF($B267="","",IF(ISNUMBER($B267),$B267,IF(AND(LEN($B267)=10,MID($B267,5,1)="-",MID($B267,8,1)="-"),IFERROR(IF(AND(MONTH(DATE(VALUE(LEFT($B267,4)),VALUE(MID($B267,6,2)),VALUE(RIGHT($B267,2))))=VALUE(MID($B267,6,2)),DAY(DATE(VALUE(LEFT($B267,4)),VALUE(MID($B267,6,2)),VALUE(RIGHT($B267,2))))=VALUE(RIGHT($B267,2))),DATE(VALUE(LEFT($B267,4)),VALUE(MID($B267,6,2)),VALUE(RIGHT($B267,2))),"ERR"),"ERR"),"ERR")))</f>
        <v/>
      </c>
      <c r="N267" s="62" t="str">
        <f>IF($G267="","",IF(ISNUMBER($G267),$G267,IF(AND(LEN($G267)=10,MID($G267,5,1)="-",MID($G267,8,1)="-"),IFERROR(IF(AND(MONTH(DATE(VALUE(LEFT($G267,4)),VALUE(MID($G267,6,2)),VALUE(RIGHT($G267,2))))=VALUE(MID($G267,6,2)),DAY(DATE(VALUE(LEFT($G267,4)),VALUE(MID($G267,6,2)),VALUE(RIGHT($G267,2))))=VALUE(RIGHT($G267,2))),DATE(VALUE(LEFT($G267,4)),VALUE(MID($G267,6,2)),VALUE(RIGHT($G267,2))),"ERR"),"ERR"),"ERR")))</f>
        <v/>
      </c>
      <c r="O267" s="51" t="str">
        <f>IF($H267="","",IF(ISNUMBER($H267),$H267,IFERROR(VALUE($H267),"ERR")))</f>
        <v/>
      </c>
      <c r="P267" s="51" t="str">
        <f>IF(AND(ISNUMBER($O267),OR($C267="Receipt",$C267="Shipment",$C267="Adjustment")),IF($C267="Shipment",-$O267,$O267),"")</f>
        <v/>
      </c>
      <c r="Q267" s="51" t="str">
        <f>IF($D267="","",IFERROR(INDEX(Products!$R$2:$R$101,MATCH($D267,Products!$A$2:$A$101,0)),""))</f>
        <v/>
      </c>
      <c r="R267" s="51" t="str">
        <f>IF(OR($Q267="",$P267=""),"",$Q267+SUMIFS($P$1:$P266,$D$1:$D266,$D267,$U$1:$U266,"Ready"))</f>
        <v/>
      </c>
      <c r="S267" s="51" t="str">
        <f>IF($R267="","",$R267+$P267)</f>
        <v/>
      </c>
      <c r="T267" s="52" t="str">
        <f>IF(COUNTA($A267:$L267)&gt;0,$BP267,"")</f>
        <v/>
      </c>
      <c r="U267" s="49" t="str">
        <f>IF($T267="","",IF($T267=0,"Ready","Rejected"))</f>
        <v/>
      </c>
      <c r="V267" s="49" t="str">
        <f>IF(OR($T267="",$T267=0),"",INDEX(Config!$D$39:$D$61,MATCH(1,$AT267:$BP267,0))&amp;IF($T267&gt;1," (+"&amp;($T267-1)&amp;" more)",""))</f>
        <v/>
      </c>
      <c r="W267" s="52">
        <f>IF(AND(COUNTA($A267:$L267)&gt;0,$A267=""),1,0)</f>
        <v>0</v>
      </c>
      <c r="X267" s="52">
        <f>IF(AND(COUNTA($A267:$L267)&gt;0,$A267&lt;&gt;""),IF(COUNTIF($A$1:$A266,$A267)&gt;0,1,0),0)</f>
        <v>0</v>
      </c>
      <c r="Y267" s="52">
        <f>IF(AND(COUNTA($A267:$L267)&gt;0,$A267&lt;&gt;""),IF(COUNTIF(Inventory_Ledger!$A$2:$A$2001,$A267)&gt;0,1,0),0)</f>
        <v>0</v>
      </c>
      <c r="Z267" s="52">
        <f>IF(AND(COUNTA($A267:$L267)&gt;0,$B267=""),1,0)</f>
        <v>0</v>
      </c>
      <c r="AA267" s="52">
        <f>IF(AND(COUNTA($A267:$L267)&gt;0,$B267&lt;&gt;""),IF($M267="ERR",1,0),0)</f>
        <v>0</v>
      </c>
      <c r="AB267" s="52">
        <f>IF(AND(COUNTA($A267:$L267)&gt;0,ISNUMBER($M267)),IF($M267&gt;Config!$B$4,1,0),0)</f>
        <v>0</v>
      </c>
      <c r="AC267" s="52">
        <f>IF(AND(COUNTA($A267:$L267)&gt;0,$C267=""),1,0)</f>
        <v>0</v>
      </c>
      <c r="AD267" s="52">
        <f>IF(AND(COUNTA($A267:$L267)&gt;0,$C267&lt;&gt;""),IF(COUNTIF(Config!$A$15:$A$34,$C267)=0,1,0),0)</f>
        <v>0</v>
      </c>
      <c r="AE267" s="52">
        <f>IF(AND(COUNTA($A267:$L267)&gt;0,$D267=""),1,0)</f>
        <v>0</v>
      </c>
      <c r="AF267" s="52">
        <f>IF(AND(COUNTA($A267:$L267)&gt;0,$D267&lt;&gt;""),IF(COUNTIF(Products!$A$2:$A$101,$D267)=0,1,0),0)</f>
        <v>0</v>
      </c>
      <c r="AG267" s="52">
        <f>IF(AND(COUNTA($A267:$L267)&gt;0,$C267="Receipt",$E267=""),1,0)</f>
        <v>0</v>
      </c>
      <c r="AH267" s="52">
        <f>IF(AND(COUNTA($A267:$L267)&gt;0,$E267&lt;&gt;""),IF(COUNTIF(Suppliers!$A$2:$A$51,$E267)=0,1,0),0)</f>
        <v>0</v>
      </c>
      <c r="AI267" s="52">
        <f>IF(AND(COUNTA($A267:$L267)&gt;0,$F267=""),1,0)</f>
        <v>0</v>
      </c>
      <c r="AJ267" s="52">
        <f>IF(AND(COUNTA($A267:$L267)&gt;0,$F267&lt;&gt;"",$D267&lt;&gt;"",OR($C267="Shipment",$C267="Adjustment")),IF($AF267=1,0,IF(COUNTIFS(Batches!$A$2:$A$301,$F267,Batches!$B$2:$B$301,$D267)+COUNTIFS($F$1:$F266,$F267,$D$1:$D266,$D267,$C$1:$C266,"Receipt")=0,1,0)),0)</f>
        <v>0</v>
      </c>
      <c r="AK267" s="52">
        <f>IF(AND(COUNTA($A267:$L267)&gt;0,$C267="Receipt",$G267=""),1,0)</f>
        <v>0</v>
      </c>
      <c r="AL267" s="52">
        <f>IF(AND(COUNTA($A267:$L267)&gt;0,$G267&lt;&gt;""),IF($N267="ERR",1,0),0)</f>
        <v>0</v>
      </c>
      <c r="AM267" s="52">
        <f>IF(AND(COUNTA($A267:$L267)&gt;0,$H267=""),1,0)</f>
        <v>0</v>
      </c>
      <c r="AN267" s="52">
        <f>IF(AND(COUNTA($A267:$L267)&gt;0,$H267&lt;&gt;""),IF($O267="ERR",1,IF(INT($O267)&lt;&gt;$O267,1,IF(AND(OR($C267="Receipt",$C267="Shipment"),$O267&lt;=0),1,IF(AND($C267="Adjustment",$O267=0),1,0)))),0)</f>
        <v>0</v>
      </c>
      <c r="AO267" s="52">
        <f>IF(AND(COUNTA($A267:$L267)&gt;0,$C267="Receipt",$I267=""),1,0)</f>
        <v>0</v>
      </c>
      <c r="AP267" s="52">
        <f>IF(AND(COUNTA($A267:$L267)&gt;0,$I267&lt;&gt;""),IF(IFERROR(INDEX(Config!$G$15:$G$34,MATCH($I267,Config!$E$15:$E$34,0)),"No")="Yes",0,1),0)</f>
        <v>0</v>
      </c>
      <c r="AQ267" s="52">
        <f>IF(AND(COUNTA($A267:$L267)&gt;0,$C267="Adjustment",$J267=""),1,0)</f>
        <v>0</v>
      </c>
      <c r="AR267" s="52">
        <f>IF(AND(COUNTA($A267:$L267)&gt;0,$L267=""),1,0)</f>
        <v>0</v>
      </c>
      <c r="AS267" s="52">
        <f>IF(AND(COUNTA($A267:$L267)&gt;0,ISNUMBER($S267)),IF($S267&lt;0,1,0),0)</f>
        <v>0</v>
      </c>
      <c r="AT267" s="52">
        <f>$W267</f>
        <v>0</v>
      </c>
      <c r="AU267" s="52">
        <f>$AT267+$X267</f>
        <v>0</v>
      </c>
      <c r="AV267" s="52">
        <f>$AU267+$Y267</f>
        <v>0</v>
      </c>
      <c r="AW267" s="52">
        <f>$AV267+$Z267</f>
        <v>0</v>
      </c>
      <c r="AX267" s="52">
        <f>$AW267+$AA267</f>
        <v>0</v>
      </c>
      <c r="AY267" s="52">
        <f>$AX267+$AB267</f>
        <v>0</v>
      </c>
      <c r="AZ267" s="52">
        <f>$AY267+$AC267</f>
        <v>0</v>
      </c>
      <c r="BA267" s="52">
        <f>$AZ267+$AD267</f>
        <v>0</v>
      </c>
      <c r="BB267" s="52">
        <f>$BA267+$AE267</f>
        <v>0</v>
      </c>
      <c r="BC267" s="52">
        <f>$BB267+$AF267</f>
        <v>0</v>
      </c>
      <c r="BD267" s="52">
        <f>$BC267+$AG267</f>
        <v>0</v>
      </c>
      <c r="BE267" s="52">
        <f>$BD267+$AH267</f>
        <v>0</v>
      </c>
      <c r="BF267" s="52">
        <f>$BE267+$AI267</f>
        <v>0</v>
      </c>
      <c r="BG267" s="52">
        <f>$BF267+$AJ267</f>
        <v>0</v>
      </c>
      <c r="BH267" s="52">
        <f>$BG267+$AK267</f>
        <v>0</v>
      </c>
      <c r="BI267" s="52">
        <f>$BH267+$AL267</f>
        <v>0</v>
      </c>
      <c r="BJ267" s="52">
        <f>$BI267+$AM267</f>
        <v>0</v>
      </c>
      <c r="BK267" s="52">
        <f>$BJ267+$AN267</f>
        <v>0</v>
      </c>
      <c r="BL267" s="52">
        <f>$BK267+$AO267</f>
        <v>0</v>
      </c>
      <c r="BM267" s="52">
        <f>$BL267+$AP267</f>
        <v>0</v>
      </c>
      <c r="BN267" s="52">
        <f>$BM267+$AQ267</f>
        <v>0</v>
      </c>
      <c r="BO267" s="52">
        <f>$BN267+$AR267</f>
        <v>0</v>
      </c>
      <c r="BP267" s="52">
        <f>$BO267+$AS267</f>
        <v>0</v>
      </c>
      <c r="BQ267" s="52">
        <f>SUM($T$1:$T266)</f>
        <v>11</v>
      </c>
      <c r="BR267" s="52" t="str">
        <f>IF(ISNUMBER($T267),IF($T267&gt;0,COUNTIF($T$2:$T267,"&gt;0"),""),"")</f>
        <v/>
      </c>
      <c r="BS267" s="52" t="str">
        <f>IF($BR267="","",$BQ267+$T267)</f>
        <v/>
      </c>
      <c r="BT267" s="52" t="str">
        <f>IF($U267="Ready",COUNTIF($U$2:$U267,"Ready"),"")</f>
        <v/>
      </c>
      <c r="BU267" s="52">
        <f>IF(AND($U267="Ready",$C267="Receipt"),IF(COUNTIF(Batches!$A$2:$A$301,$F267)+COUNTIFS($F$1:$F266,$F267,$C$1:$C266,"Receipt",$U$1:$U266,"Ready")=0,1,0),0)</f>
        <v>0</v>
      </c>
      <c r="BV267" s="52" t="str">
        <f>IF($BU267=1,SUM($BU$2:$BU267),"")</f>
        <v/>
      </c>
    </row>
    <row r="268">
      <c r="A268" s="46" t="n"/>
      <c r="B268" s="46" t="n"/>
      <c r="C268" s="46" t="n"/>
      <c r="D268" s="46" t="n"/>
      <c r="E268" s="46" t="n"/>
      <c r="F268" s="46" t="n"/>
      <c r="G268" s="46" t="n"/>
      <c r="H268" s="46" t="n"/>
      <c r="I268" s="46" t="n"/>
      <c r="J268" s="46" t="n"/>
      <c r="K268" s="46" t="n"/>
      <c r="L268" s="46" t="n"/>
      <c r="M268" s="62" t="str">
        <f>IF($B268="","",IF(ISNUMBER($B268),$B268,IF(AND(LEN($B268)=10,MID($B268,5,1)="-",MID($B268,8,1)="-"),IFERROR(IF(AND(MONTH(DATE(VALUE(LEFT($B268,4)),VALUE(MID($B268,6,2)),VALUE(RIGHT($B268,2))))=VALUE(MID($B268,6,2)),DAY(DATE(VALUE(LEFT($B268,4)),VALUE(MID($B268,6,2)),VALUE(RIGHT($B268,2))))=VALUE(RIGHT($B268,2))),DATE(VALUE(LEFT($B268,4)),VALUE(MID($B268,6,2)),VALUE(RIGHT($B268,2))),"ERR"),"ERR"),"ERR")))</f>
        <v/>
      </c>
      <c r="N268" s="62" t="str">
        <f>IF($G268="","",IF(ISNUMBER($G268),$G268,IF(AND(LEN($G268)=10,MID($G268,5,1)="-",MID($G268,8,1)="-"),IFERROR(IF(AND(MONTH(DATE(VALUE(LEFT($G268,4)),VALUE(MID($G268,6,2)),VALUE(RIGHT($G268,2))))=VALUE(MID($G268,6,2)),DAY(DATE(VALUE(LEFT($G268,4)),VALUE(MID($G268,6,2)),VALUE(RIGHT($G268,2))))=VALUE(RIGHT($G268,2))),DATE(VALUE(LEFT($G268,4)),VALUE(MID($G268,6,2)),VALUE(RIGHT($G268,2))),"ERR"),"ERR"),"ERR")))</f>
        <v/>
      </c>
      <c r="O268" s="51" t="str">
        <f>IF($H268="","",IF(ISNUMBER($H268),$H268,IFERROR(VALUE($H268),"ERR")))</f>
        <v/>
      </c>
      <c r="P268" s="51" t="str">
        <f>IF(AND(ISNUMBER($O268),OR($C268="Receipt",$C268="Shipment",$C268="Adjustment")),IF($C268="Shipment",-$O268,$O268),"")</f>
        <v/>
      </c>
      <c r="Q268" s="51" t="str">
        <f>IF($D268="","",IFERROR(INDEX(Products!$R$2:$R$101,MATCH($D268,Products!$A$2:$A$101,0)),""))</f>
        <v/>
      </c>
      <c r="R268" s="51" t="str">
        <f>IF(OR($Q268="",$P268=""),"",$Q268+SUMIFS($P$1:$P267,$D$1:$D267,$D268,$U$1:$U267,"Ready"))</f>
        <v/>
      </c>
      <c r="S268" s="51" t="str">
        <f>IF($R268="","",$R268+$P268)</f>
        <v/>
      </c>
      <c r="T268" s="52" t="str">
        <f>IF(COUNTA($A268:$L268)&gt;0,$BP268,"")</f>
        <v/>
      </c>
      <c r="U268" s="49" t="str">
        <f>IF($T268="","",IF($T268=0,"Ready","Rejected"))</f>
        <v/>
      </c>
      <c r="V268" s="49" t="str">
        <f>IF(OR($T268="",$T268=0),"",INDEX(Config!$D$39:$D$61,MATCH(1,$AT268:$BP268,0))&amp;IF($T268&gt;1," (+"&amp;($T268-1)&amp;" more)",""))</f>
        <v/>
      </c>
      <c r="W268" s="52">
        <f>IF(AND(COUNTA($A268:$L268)&gt;0,$A268=""),1,0)</f>
        <v>0</v>
      </c>
      <c r="X268" s="52">
        <f>IF(AND(COUNTA($A268:$L268)&gt;0,$A268&lt;&gt;""),IF(COUNTIF($A$1:$A267,$A268)&gt;0,1,0),0)</f>
        <v>0</v>
      </c>
      <c r="Y268" s="52">
        <f>IF(AND(COUNTA($A268:$L268)&gt;0,$A268&lt;&gt;""),IF(COUNTIF(Inventory_Ledger!$A$2:$A$2001,$A268)&gt;0,1,0),0)</f>
        <v>0</v>
      </c>
      <c r="Z268" s="52">
        <f>IF(AND(COUNTA($A268:$L268)&gt;0,$B268=""),1,0)</f>
        <v>0</v>
      </c>
      <c r="AA268" s="52">
        <f>IF(AND(COUNTA($A268:$L268)&gt;0,$B268&lt;&gt;""),IF($M268="ERR",1,0),0)</f>
        <v>0</v>
      </c>
      <c r="AB268" s="52">
        <f>IF(AND(COUNTA($A268:$L268)&gt;0,ISNUMBER($M268)),IF($M268&gt;Config!$B$4,1,0),0)</f>
        <v>0</v>
      </c>
      <c r="AC268" s="52">
        <f>IF(AND(COUNTA($A268:$L268)&gt;0,$C268=""),1,0)</f>
        <v>0</v>
      </c>
      <c r="AD268" s="52">
        <f>IF(AND(COUNTA($A268:$L268)&gt;0,$C268&lt;&gt;""),IF(COUNTIF(Config!$A$15:$A$34,$C268)=0,1,0),0)</f>
        <v>0</v>
      </c>
      <c r="AE268" s="52">
        <f>IF(AND(COUNTA($A268:$L268)&gt;0,$D268=""),1,0)</f>
        <v>0</v>
      </c>
      <c r="AF268" s="52">
        <f>IF(AND(COUNTA($A268:$L268)&gt;0,$D268&lt;&gt;""),IF(COUNTIF(Products!$A$2:$A$101,$D268)=0,1,0),0)</f>
        <v>0</v>
      </c>
      <c r="AG268" s="52">
        <f>IF(AND(COUNTA($A268:$L268)&gt;0,$C268="Receipt",$E268=""),1,0)</f>
        <v>0</v>
      </c>
      <c r="AH268" s="52">
        <f>IF(AND(COUNTA($A268:$L268)&gt;0,$E268&lt;&gt;""),IF(COUNTIF(Suppliers!$A$2:$A$51,$E268)=0,1,0),0)</f>
        <v>0</v>
      </c>
      <c r="AI268" s="52">
        <f>IF(AND(COUNTA($A268:$L268)&gt;0,$F268=""),1,0)</f>
        <v>0</v>
      </c>
      <c r="AJ268" s="52">
        <f>IF(AND(COUNTA($A268:$L268)&gt;0,$F268&lt;&gt;"",$D268&lt;&gt;"",OR($C268="Shipment",$C268="Adjustment")),IF($AF268=1,0,IF(COUNTIFS(Batches!$A$2:$A$301,$F268,Batches!$B$2:$B$301,$D268)+COUNTIFS($F$1:$F267,$F268,$D$1:$D267,$D268,$C$1:$C267,"Receipt")=0,1,0)),0)</f>
        <v>0</v>
      </c>
      <c r="AK268" s="52">
        <f>IF(AND(COUNTA($A268:$L268)&gt;0,$C268="Receipt",$G268=""),1,0)</f>
        <v>0</v>
      </c>
      <c r="AL268" s="52">
        <f>IF(AND(COUNTA($A268:$L268)&gt;0,$G268&lt;&gt;""),IF($N268="ERR",1,0),0)</f>
        <v>0</v>
      </c>
      <c r="AM268" s="52">
        <f>IF(AND(COUNTA($A268:$L268)&gt;0,$H268=""),1,0)</f>
        <v>0</v>
      </c>
      <c r="AN268" s="52">
        <f>IF(AND(COUNTA($A268:$L268)&gt;0,$H268&lt;&gt;""),IF($O268="ERR",1,IF(INT($O268)&lt;&gt;$O268,1,IF(AND(OR($C268="Receipt",$C268="Shipment"),$O268&lt;=0),1,IF(AND($C268="Adjustment",$O268=0),1,0)))),0)</f>
        <v>0</v>
      </c>
      <c r="AO268" s="52">
        <f>IF(AND(COUNTA($A268:$L268)&gt;0,$C268="Receipt",$I268=""),1,0)</f>
        <v>0</v>
      </c>
      <c r="AP268" s="52">
        <f>IF(AND(COUNTA($A268:$L268)&gt;0,$I268&lt;&gt;""),IF(IFERROR(INDEX(Config!$G$15:$G$34,MATCH($I268,Config!$E$15:$E$34,0)),"No")="Yes",0,1),0)</f>
        <v>0</v>
      </c>
      <c r="AQ268" s="52">
        <f>IF(AND(COUNTA($A268:$L268)&gt;0,$C268="Adjustment",$J268=""),1,0)</f>
        <v>0</v>
      </c>
      <c r="AR268" s="52">
        <f>IF(AND(COUNTA($A268:$L268)&gt;0,$L268=""),1,0)</f>
        <v>0</v>
      </c>
      <c r="AS268" s="52">
        <f>IF(AND(COUNTA($A268:$L268)&gt;0,ISNUMBER($S268)),IF($S268&lt;0,1,0),0)</f>
        <v>0</v>
      </c>
      <c r="AT268" s="52">
        <f>$W268</f>
        <v>0</v>
      </c>
      <c r="AU268" s="52">
        <f>$AT268+$X268</f>
        <v>0</v>
      </c>
      <c r="AV268" s="52">
        <f>$AU268+$Y268</f>
        <v>0</v>
      </c>
      <c r="AW268" s="52">
        <f>$AV268+$Z268</f>
        <v>0</v>
      </c>
      <c r="AX268" s="52">
        <f>$AW268+$AA268</f>
        <v>0</v>
      </c>
      <c r="AY268" s="52">
        <f>$AX268+$AB268</f>
        <v>0</v>
      </c>
      <c r="AZ268" s="52">
        <f>$AY268+$AC268</f>
        <v>0</v>
      </c>
      <c r="BA268" s="52">
        <f>$AZ268+$AD268</f>
        <v>0</v>
      </c>
      <c r="BB268" s="52">
        <f>$BA268+$AE268</f>
        <v>0</v>
      </c>
      <c r="BC268" s="52">
        <f>$BB268+$AF268</f>
        <v>0</v>
      </c>
      <c r="BD268" s="52">
        <f>$BC268+$AG268</f>
        <v>0</v>
      </c>
      <c r="BE268" s="52">
        <f>$BD268+$AH268</f>
        <v>0</v>
      </c>
      <c r="BF268" s="52">
        <f>$BE268+$AI268</f>
        <v>0</v>
      </c>
      <c r="BG268" s="52">
        <f>$BF268+$AJ268</f>
        <v>0</v>
      </c>
      <c r="BH268" s="52">
        <f>$BG268+$AK268</f>
        <v>0</v>
      </c>
      <c r="BI268" s="52">
        <f>$BH268+$AL268</f>
        <v>0</v>
      </c>
      <c r="BJ268" s="52">
        <f>$BI268+$AM268</f>
        <v>0</v>
      </c>
      <c r="BK268" s="52">
        <f>$BJ268+$AN268</f>
        <v>0</v>
      </c>
      <c r="BL268" s="52">
        <f>$BK268+$AO268</f>
        <v>0</v>
      </c>
      <c r="BM268" s="52">
        <f>$BL268+$AP268</f>
        <v>0</v>
      </c>
      <c r="BN268" s="52">
        <f>$BM268+$AQ268</f>
        <v>0</v>
      </c>
      <c r="BO268" s="52">
        <f>$BN268+$AR268</f>
        <v>0</v>
      </c>
      <c r="BP268" s="52">
        <f>$BO268+$AS268</f>
        <v>0</v>
      </c>
      <c r="BQ268" s="52">
        <f>SUM($T$1:$T267)</f>
        <v>11</v>
      </c>
      <c r="BR268" s="52" t="str">
        <f>IF(ISNUMBER($T268),IF($T268&gt;0,COUNTIF($T$2:$T268,"&gt;0"),""),"")</f>
        <v/>
      </c>
      <c r="BS268" s="52" t="str">
        <f>IF($BR268="","",$BQ268+$T268)</f>
        <v/>
      </c>
      <c r="BT268" s="52" t="str">
        <f>IF($U268="Ready",COUNTIF($U$2:$U268,"Ready"),"")</f>
        <v/>
      </c>
      <c r="BU268" s="52">
        <f>IF(AND($U268="Ready",$C268="Receipt"),IF(COUNTIF(Batches!$A$2:$A$301,$F268)+COUNTIFS($F$1:$F267,$F268,$C$1:$C267,"Receipt",$U$1:$U267,"Ready")=0,1,0),0)</f>
        <v>0</v>
      </c>
      <c r="BV268" s="52" t="str">
        <f>IF($BU268=1,SUM($BU$2:$BU268),"")</f>
        <v/>
      </c>
    </row>
    <row r="269">
      <c r="A269" s="46" t="n"/>
      <c r="B269" s="46" t="n"/>
      <c r="C269" s="46" t="n"/>
      <c r="D269" s="46" t="n"/>
      <c r="E269" s="46" t="n"/>
      <c r="F269" s="46" t="n"/>
      <c r="G269" s="46" t="n"/>
      <c r="H269" s="46" t="n"/>
      <c r="I269" s="46" t="n"/>
      <c r="J269" s="46" t="n"/>
      <c r="K269" s="46" t="n"/>
      <c r="L269" s="46" t="n"/>
      <c r="M269" s="62" t="str">
        <f>IF($B269="","",IF(ISNUMBER($B269),$B269,IF(AND(LEN($B269)=10,MID($B269,5,1)="-",MID($B269,8,1)="-"),IFERROR(IF(AND(MONTH(DATE(VALUE(LEFT($B269,4)),VALUE(MID($B269,6,2)),VALUE(RIGHT($B269,2))))=VALUE(MID($B269,6,2)),DAY(DATE(VALUE(LEFT($B269,4)),VALUE(MID($B269,6,2)),VALUE(RIGHT($B269,2))))=VALUE(RIGHT($B269,2))),DATE(VALUE(LEFT($B269,4)),VALUE(MID($B269,6,2)),VALUE(RIGHT($B269,2))),"ERR"),"ERR"),"ERR")))</f>
        <v/>
      </c>
      <c r="N269" s="62" t="str">
        <f>IF($G269="","",IF(ISNUMBER($G269),$G269,IF(AND(LEN($G269)=10,MID($G269,5,1)="-",MID($G269,8,1)="-"),IFERROR(IF(AND(MONTH(DATE(VALUE(LEFT($G269,4)),VALUE(MID($G269,6,2)),VALUE(RIGHT($G269,2))))=VALUE(MID($G269,6,2)),DAY(DATE(VALUE(LEFT($G269,4)),VALUE(MID($G269,6,2)),VALUE(RIGHT($G269,2))))=VALUE(RIGHT($G269,2))),DATE(VALUE(LEFT($G269,4)),VALUE(MID($G269,6,2)),VALUE(RIGHT($G269,2))),"ERR"),"ERR"),"ERR")))</f>
        <v/>
      </c>
      <c r="O269" s="51" t="str">
        <f>IF($H269="","",IF(ISNUMBER($H269),$H269,IFERROR(VALUE($H269),"ERR")))</f>
        <v/>
      </c>
      <c r="P269" s="51" t="str">
        <f>IF(AND(ISNUMBER($O269),OR($C269="Receipt",$C269="Shipment",$C269="Adjustment")),IF($C269="Shipment",-$O269,$O269),"")</f>
        <v/>
      </c>
      <c r="Q269" s="51" t="str">
        <f>IF($D269="","",IFERROR(INDEX(Products!$R$2:$R$101,MATCH($D269,Products!$A$2:$A$101,0)),""))</f>
        <v/>
      </c>
      <c r="R269" s="51" t="str">
        <f>IF(OR($Q269="",$P269=""),"",$Q269+SUMIFS($P$1:$P268,$D$1:$D268,$D269,$U$1:$U268,"Ready"))</f>
        <v/>
      </c>
      <c r="S269" s="51" t="str">
        <f>IF($R269="","",$R269+$P269)</f>
        <v/>
      </c>
      <c r="T269" s="52" t="str">
        <f>IF(COUNTA($A269:$L269)&gt;0,$BP269,"")</f>
        <v/>
      </c>
      <c r="U269" s="49" t="str">
        <f>IF($T269="","",IF($T269=0,"Ready","Rejected"))</f>
        <v/>
      </c>
      <c r="V269" s="49" t="str">
        <f>IF(OR($T269="",$T269=0),"",INDEX(Config!$D$39:$D$61,MATCH(1,$AT269:$BP269,0))&amp;IF($T269&gt;1," (+"&amp;($T269-1)&amp;" more)",""))</f>
        <v/>
      </c>
      <c r="W269" s="52">
        <f>IF(AND(COUNTA($A269:$L269)&gt;0,$A269=""),1,0)</f>
        <v>0</v>
      </c>
      <c r="X269" s="52">
        <f>IF(AND(COUNTA($A269:$L269)&gt;0,$A269&lt;&gt;""),IF(COUNTIF($A$1:$A268,$A269)&gt;0,1,0),0)</f>
        <v>0</v>
      </c>
      <c r="Y269" s="52">
        <f>IF(AND(COUNTA($A269:$L269)&gt;0,$A269&lt;&gt;""),IF(COUNTIF(Inventory_Ledger!$A$2:$A$2001,$A269)&gt;0,1,0),0)</f>
        <v>0</v>
      </c>
      <c r="Z269" s="52">
        <f>IF(AND(COUNTA($A269:$L269)&gt;0,$B269=""),1,0)</f>
        <v>0</v>
      </c>
      <c r="AA269" s="52">
        <f>IF(AND(COUNTA($A269:$L269)&gt;0,$B269&lt;&gt;""),IF($M269="ERR",1,0),0)</f>
        <v>0</v>
      </c>
      <c r="AB269" s="52">
        <f>IF(AND(COUNTA($A269:$L269)&gt;0,ISNUMBER($M269)),IF($M269&gt;Config!$B$4,1,0),0)</f>
        <v>0</v>
      </c>
      <c r="AC269" s="52">
        <f>IF(AND(COUNTA($A269:$L269)&gt;0,$C269=""),1,0)</f>
        <v>0</v>
      </c>
      <c r="AD269" s="52">
        <f>IF(AND(COUNTA($A269:$L269)&gt;0,$C269&lt;&gt;""),IF(COUNTIF(Config!$A$15:$A$34,$C269)=0,1,0),0)</f>
        <v>0</v>
      </c>
      <c r="AE269" s="52">
        <f>IF(AND(COUNTA($A269:$L269)&gt;0,$D269=""),1,0)</f>
        <v>0</v>
      </c>
      <c r="AF269" s="52">
        <f>IF(AND(COUNTA($A269:$L269)&gt;0,$D269&lt;&gt;""),IF(COUNTIF(Products!$A$2:$A$101,$D269)=0,1,0),0)</f>
        <v>0</v>
      </c>
      <c r="AG269" s="52">
        <f>IF(AND(COUNTA($A269:$L269)&gt;0,$C269="Receipt",$E269=""),1,0)</f>
        <v>0</v>
      </c>
      <c r="AH269" s="52">
        <f>IF(AND(COUNTA($A269:$L269)&gt;0,$E269&lt;&gt;""),IF(COUNTIF(Suppliers!$A$2:$A$51,$E269)=0,1,0),0)</f>
        <v>0</v>
      </c>
      <c r="AI269" s="52">
        <f>IF(AND(COUNTA($A269:$L269)&gt;0,$F269=""),1,0)</f>
        <v>0</v>
      </c>
      <c r="AJ269" s="52">
        <f>IF(AND(COUNTA($A269:$L269)&gt;0,$F269&lt;&gt;"",$D269&lt;&gt;"",OR($C269="Shipment",$C269="Adjustment")),IF($AF269=1,0,IF(COUNTIFS(Batches!$A$2:$A$301,$F269,Batches!$B$2:$B$301,$D269)+COUNTIFS($F$1:$F268,$F269,$D$1:$D268,$D269,$C$1:$C268,"Receipt")=0,1,0)),0)</f>
        <v>0</v>
      </c>
      <c r="AK269" s="52">
        <f>IF(AND(COUNTA($A269:$L269)&gt;0,$C269="Receipt",$G269=""),1,0)</f>
        <v>0</v>
      </c>
      <c r="AL269" s="52">
        <f>IF(AND(COUNTA($A269:$L269)&gt;0,$G269&lt;&gt;""),IF($N269="ERR",1,0),0)</f>
        <v>0</v>
      </c>
      <c r="AM269" s="52">
        <f>IF(AND(COUNTA($A269:$L269)&gt;0,$H269=""),1,0)</f>
        <v>0</v>
      </c>
      <c r="AN269" s="52">
        <f>IF(AND(COUNTA($A269:$L269)&gt;0,$H269&lt;&gt;""),IF($O269="ERR",1,IF(INT($O269)&lt;&gt;$O269,1,IF(AND(OR($C269="Receipt",$C269="Shipment"),$O269&lt;=0),1,IF(AND($C269="Adjustment",$O269=0),1,0)))),0)</f>
        <v>0</v>
      </c>
      <c r="AO269" s="52">
        <f>IF(AND(COUNTA($A269:$L269)&gt;0,$C269="Receipt",$I269=""),1,0)</f>
        <v>0</v>
      </c>
      <c r="AP269" s="52">
        <f>IF(AND(COUNTA($A269:$L269)&gt;0,$I269&lt;&gt;""),IF(IFERROR(INDEX(Config!$G$15:$G$34,MATCH($I269,Config!$E$15:$E$34,0)),"No")="Yes",0,1),0)</f>
        <v>0</v>
      </c>
      <c r="AQ269" s="52">
        <f>IF(AND(COUNTA($A269:$L269)&gt;0,$C269="Adjustment",$J269=""),1,0)</f>
        <v>0</v>
      </c>
      <c r="AR269" s="52">
        <f>IF(AND(COUNTA($A269:$L269)&gt;0,$L269=""),1,0)</f>
        <v>0</v>
      </c>
      <c r="AS269" s="52">
        <f>IF(AND(COUNTA($A269:$L269)&gt;0,ISNUMBER($S269)),IF($S269&lt;0,1,0),0)</f>
        <v>0</v>
      </c>
      <c r="AT269" s="52">
        <f>$W269</f>
        <v>0</v>
      </c>
      <c r="AU269" s="52">
        <f>$AT269+$X269</f>
        <v>0</v>
      </c>
      <c r="AV269" s="52">
        <f>$AU269+$Y269</f>
        <v>0</v>
      </c>
      <c r="AW269" s="52">
        <f>$AV269+$Z269</f>
        <v>0</v>
      </c>
      <c r="AX269" s="52">
        <f>$AW269+$AA269</f>
        <v>0</v>
      </c>
      <c r="AY269" s="52">
        <f>$AX269+$AB269</f>
        <v>0</v>
      </c>
      <c r="AZ269" s="52">
        <f>$AY269+$AC269</f>
        <v>0</v>
      </c>
      <c r="BA269" s="52">
        <f>$AZ269+$AD269</f>
        <v>0</v>
      </c>
      <c r="BB269" s="52">
        <f>$BA269+$AE269</f>
        <v>0</v>
      </c>
      <c r="BC269" s="52">
        <f>$BB269+$AF269</f>
        <v>0</v>
      </c>
      <c r="BD269" s="52">
        <f>$BC269+$AG269</f>
        <v>0</v>
      </c>
      <c r="BE269" s="52">
        <f>$BD269+$AH269</f>
        <v>0</v>
      </c>
      <c r="BF269" s="52">
        <f>$BE269+$AI269</f>
        <v>0</v>
      </c>
      <c r="BG269" s="52">
        <f>$BF269+$AJ269</f>
        <v>0</v>
      </c>
      <c r="BH269" s="52">
        <f>$BG269+$AK269</f>
        <v>0</v>
      </c>
      <c r="BI269" s="52">
        <f>$BH269+$AL269</f>
        <v>0</v>
      </c>
      <c r="BJ269" s="52">
        <f>$BI269+$AM269</f>
        <v>0</v>
      </c>
      <c r="BK269" s="52">
        <f>$BJ269+$AN269</f>
        <v>0</v>
      </c>
      <c r="BL269" s="52">
        <f>$BK269+$AO269</f>
        <v>0</v>
      </c>
      <c r="BM269" s="52">
        <f>$BL269+$AP269</f>
        <v>0</v>
      </c>
      <c r="BN269" s="52">
        <f>$BM269+$AQ269</f>
        <v>0</v>
      </c>
      <c r="BO269" s="52">
        <f>$BN269+$AR269</f>
        <v>0</v>
      </c>
      <c r="BP269" s="52">
        <f>$BO269+$AS269</f>
        <v>0</v>
      </c>
      <c r="BQ269" s="52">
        <f>SUM($T$1:$T268)</f>
        <v>11</v>
      </c>
      <c r="BR269" s="52" t="str">
        <f>IF(ISNUMBER($T269),IF($T269&gt;0,COUNTIF($T$2:$T269,"&gt;0"),""),"")</f>
        <v/>
      </c>
      <c r="BS269" s="52" t="str">
        <f>IF($BR269="","",$BQ269+$T269)</f>
        <v/>
      </c>
      <c r="BT269" s="52" t="str">
        <f>IF($U269="Ready",COUNTIF($U$2:$U269,"Ready"),"")</f>
        <v/>
      </c>
      <c r="BU269" s="52">
        <f>IF(AND($U269="Ready",$C269="Receipt"),IF(COUNTIF(Batches!$A$2:$A$301,$F269)+COUNTIFS($F$1:$F268,$F269,$C$1:$C268,"Receipt",$U$1:$U268,"Ready")=0,1,0),0)</f>
        <v>0</v>
      </c>
      <c r="BV269" s="52" t="str">
        <f>IF($BU269=1,SUM($BU$2:$BU269),"")</f>
        <v/>
      </c>
    </row>
    <row r="270">
      <c r="A270" s="46" t="n"/>
      <c r="B270" s="46" t="n"/>
      <c r="C270" s="46" t="n"/>
      <c r="D270" s="46" t="n"/>
      <c r="E270" s="46" t="n"/>
      <c r="F270" s="46" t="n"/>
      <c r="G270" s="46" t="n"/>
      <c r="H270" s="46" t="n"/>
      <c r="I270" s="46" t="n"/>
      <c r="J270" s="46" t="n"/>
      <c r="K270" s="46" t="n"/>
      <c r="L270" s="46" t="n"/>
      <c r="M270" s="62" t="str">
        <f>IF($B270="","",IF(ISNUMBER($B270),$B270,IF(AND(LEN($B270)=10,MID($B270,5,1)="-",MID($B270,8,1)="-"),IFERROR(IF(AND(MONTH(DATE(VALUE(LEFT($B270,4)),VALUE(MID($B270,6,2)),VALUE(RIGHT($B270,2))))=VALUE(MID($B270,6,2)),DAY(DATE(VALUE(LEFT($B270,4)),VALUE(MID($B270,6,2)),VALUE(RIGHT($B270,2))))=VALUE(RIGHT($B270,2))),DATE(VALUE(LEFT($B270,4)),VALUE(MID($B270,6,2)),VALUE(RIGHT($B270,2))),"ERR"),"ERR"),"ERR")))</f>
        <v/>
      </c>
      <c r="N270" s="62" t="str">
        <f>IF($G270="","",IF(ISNUMBER($G270),$G270,IF(AND(LEN($G270)=10,MID($G270,5,1)="-",MID($G270,8,1)="-"),IFERROR(IF(AND(MONTH(DATE(VALUE(LEFT($G270,4)),VALUE(MID($G270,6,2)),VALUE(RIGHT($G270,2))))=VALUE(MID($G270,6,2)),DAY(DATE(VALUE(LEFT($G270,4)),VALUE(MID($G270,6,2)),VALUE(RIGHT($G270,2))))=VALUE(RIGHT($G270,2))),DATE(VALUE(LEFT($G270,4)),VALUE(MID($G270,6,2)),VALUE(RIGHT($G270,2))),"ERR"),"ERR"),"ERR")))</f>
        <v/>
      </c>
      <c r="O270" s="51" t="str">
        <f>IF($H270="","",IF(ISNUMBER($H270),$H270,IFERROR(VALUE($H270),"ERR")))</f>
        <v/>
      </c>
      <c r="P270" s="51" t="str">
        <f>IF(AND(ISNUMBER($O270),OR($C270="Receipt",$C270="Shipment",$C270="Adjustment")),IF($C270="Shipment",-$O270,$O270),"")</f>
        <v/>
      </c>
      <c r="Q270" s="51" t="str">
        <f>IF($D270="","",IFERROR(INDEX(Products!$R$2:$R$101,MATCH($D270,Products!$A$2:$A$101,0)),""))</f>
        <v/>
      </c>
      <c r="R270" s="51" t="str">
        <f>IF(OR($Q270="",$P270=""),"",$Q270+SUMIFS($P$1:$P269,$D$1:$D269,$D270,$U$1:$U269,"Ready"))</f>
        <v/>
      </c>
      <c r="S270" s="51" t="str">
        <f>IF($R270="","",$R270+$P270)</f>
        <v/>
      </c>
      <c r="T270" s="52" t="str">
        <f>IF(COUNTA($A270:$L270)&gt;0,$BP270,"")</f>
        <v/>
      </c>
      <c r="U270" s="49" t="str">
        <f>IF($T270="","",IF($T270=0,"Ready","Rejected"))</f>
        <v/>
      </c>
      <c r="V270" s="49" t="str">
        <f>IF(OR($T270="",$T270=0),"",INDEX(Config!$D$39:$D$61,MATCH(1,$AT270:$BP270,0))&amp;IF($T270&gt;1," (+"&amp;($T270-1)&amp;" more)",""))</f>
        <v/>
      </c>
      <c r="W270" s="52">
        <f>IF(AND(COUNTA($A270:$L270)&gt;0,$A270=""),1,0)</f>
        <v>0</v>
      </c>
      <c r="X270" s="52">
        <f>IF(AND(COUNTA($A270:$L270)&gt;0,$A270&lt;&gt;""),IF(COUNTIF($A$1:$A269,$A270)&gt;0,1,0),0)</f>
        <v>0</v>
      </c>
      <c r="Y270" s="52">
        <f>IF(AND(COUNTA($A270:$L270)&gt;0,$A270&lt;&gt;""),IF(COUNTIF(Inventory_Ledger!$A$2:$A$2001,$A270)&gt;0,1,0),0)</f>
        <v>0</v>
      </c>
      <c r="Z270" s="52">
        <f>IF(AND(COUNTA($A270:$L270)&gt;0,$B270=""),1,0)</f>
        <v>0</v>
      </c>
      <c r="AA270" s="52">
        <f>IF(AND(COUNTA($A270:$L270)&gt;0,$B270&lt;&gt;""),IF($M270="ERR",1,0),0)</f>
        <v>0</v>
      </c>
      <c r="AB270" s="52">
        <f>IF(AND(COUNTA($A270:$L270)&gt;0,ISNUMBER($M270)),IF($M270&gt;Config!$B$4,1,0),0)</f>
        <v>0</v>
      </c>
      <c r="AC270" s="52">
        <f>IF(AND(COUNTA($A270:$L270)&gt;0,$C270=""),1,0)</f>
        <v>0</v>
      </c>
      <c r="AD270" s="52">
        <f>IF(AND(COUNTA($A270:$L270)&gt;0,$C270&lt;&gt;""),IF(COUNTIF(Config!$A$15:$A$34,$C270)=0,1,0),0)</f>
        <v>0</v>
      </c>
      <c r="AE270" s="52">
        <f>IF(AND(COUNTA($A270:$L270)&gt;0,$D270=""),1,0)</f>
        <v>0</v>
      </c>
      <c r="AF270" s="52">
        <f>IF(AND(COUNTA($A270:$L270)&gt;0,$D270&lt;&gt;""),IF(COUNTIF(Products!$A$2:$A$101,$D270)=0,1,0),0)</f>
        <v>0</v>
      </c>
      <c r="AG270" s="52">
        <f>IF(AND(COUNTA($A270:$L270)&gt;0,$C270="Receipt",$E270=""),1,0)</f>
        <v>0</v>
      </c>
      <c r="AH270" s="52">
        <f>IF(AND(COUNTA($A270:$L270)&gt;0,$E270&lt;&gt;""),IF(COUNTIF(Suppliers!$A$2:$A$51,$E270)=0,1,0),0)</f>
        <v>0</v>
      </c>
      <c r="AI270" s="52">
        <f>IF(AND(COUNTA($A270:$L270)&gt;0,$F270=""),1,0)</f>
        <v>0</v>
      </c>
      <c r="AJ270" s="52">
        <f>IF(AND(COUNTA($A270:$L270)&gt;0,$F270&lt;&gt;"",$D270&lt;&gt;"",OR($C270="Shipment",$C270="Adjustment")),IF($AF270=1,0,IF(COUNTIFS(Batches!$A$2:$A$301,$F270,Batches!$B$2:$B$301,$D270)+COUNTIFS($F$1:$F269,$F270,$D$1:$D269,$D270,$C$1:$C269,"Receipt")=0,1,0)),0)</f>
        <v>0</v>
      </c>
      <c r="AK270" s="52">
        <f>IF(AND(COUNTA($A270:$L270)&gt;0,$C270="Receipt",$G270=""),1,0)</f>
        <v>0</v>
      </c>
      <c r="AL270" s="52">
        <f>IF(AND(COUNTA($A270:$L270)&gt;0,$G270&lt;&gt;""),IF($N270="ERR",1,0),0)</f>
        <v>0</v>
      </c>
      <c r="AM270" s="52">
        <f>IF(AND(COUNTA($A270:$L270)&gt;0,$H270=""),1,0)</f>
        <v>0</v>
      </c>
      <c r="AN270" s="52">
        <f>IF(AND(COUNTA($A270:$L270)&gt;0,$H270&lt;&gt;""),IF($O270="ERR",1,IF(INT($O270)&lt;&gt;$O270,1,IF(AND(OR($C270="Receipt",$C270="Shipment"),$O270&lt;=0),1,IF(AND($C270="Adjustment",$O270=0),1,0)))),0)</f>
        <v>0</v>
      </c>
      <c r="AO270" s="52">
        <f>IF(AND(COUNTA($A270:$L270)&gt;0,$C270="Receipt",$I270=""),1,0)</f>
        <v>0</v>
      </c>
      <c r="AP270" s="52">
        <f>IF(AND(COUNTA($A270:$L270)&gt;0,$I270&lt;&gt;""),IF(IFERROR(INDEX(Config!$G$15:$G$34,MATCH($I270,Config!$E$15:$E$34,0)),"No")="Yes",0,1),0)</f>
        <v>0</v>
      </c>
      <c r="AQ270" s="52">
        <f>IF(AND(COUNTA($A270:$L270)&gt;0,$C270="Adjustment",$J270=""),1,0)</f>
        <v>0</v>
      </c>
      <c r="AR270" s="52">
        <f>IF(AND(COUNTA($A270:$L270)&gt;0,$L270=""),1,0)</f>
        <v>0</v>
      </c>
      <c r="AS270" s="52">
        <f>IF(AND(COUNTA($A270:$L270)&gt;0,ISNUMBER($S270)),IF($S270&lt;0,1,0),0)</f>
        <v>0</v>
      </c>
      <c r="AT270" s="52">
        <f>$W270</f>
        <v>0</v>
      </c>
      <c r="AU270" s="52">
        <f>$AT270+$X270</f>
        <v>0</v>
      </c>
      <c r="AV270" s="52">
        <f>$AU270+$Y270</f>
        <v>0</v>
      </c>
      <c r="AW270" s="52">
        <f>$AV270+$Z270</f>
        <v>0</v>
      </c>
      <c r="AX270" s="52">
        <f>$AW270+$AA270</f>
        <v>0</v>
      </c>
      <c r="AY270" s="52">
        <f>$AX270+$AB270</f>
        <v>0</v>
      </c>
      <c r="AZ270" s="52">
        <f>$AY270+$AC270</f>
        <v>0</v>
      </c>
      <c r="BA270" s="52">
        <f>$AZ270+$AD270</f>
        <v>0</v>
      </c>
      <c r="BB270" s="52">
        <f>$BA270+$AE270</f>
        <v>0</v>
      </c>
      <c r="BC270" s="52">
        <f>$BB270+$AF270</f>
        <v>0</v>
      </c>
      <c r="BD270" s="52">
        <f>$BC270+$AG270</f>
        <v>0</v>
      </c>
      <c r="BE270" s="52">
        <f>$BD270+$AH270</f>
        <v>0</v>
      </c>
      <c r="BF270" s="52">
        <f>$BE270+$AI270</f>
        <v>0</v>
      </c>
      <c r="BG270" s="52">
        <f>$BF270+$AJ270</f>
        <v>0</v>
      </c>
      <c r="BH270" s="52">
        <f>$BG270+$AK270</f>
        <v>0</v>
      </c>
      <c r="BI270" s="52">
        <f>$BH270+$AL270</f>
        <v>0</v>
      </c>
      <c r="BJ270" s="52">
        <f>$BI270+$AM270</f>
        <v>0</v>
      </c>
      <c r="BK270" s="52">
        <f>$BJ270+$AN270</f>
        <v>0</v>
      </c>
      <c r="BL270" s="52">
        <f>$BK270+$AO270</f>
        <v>0</v>
      </c>
      <c r="BM270" s="52">
        <f>$BL270+$AP270</f>
        <v>0</v>
      </c>
      <c r="BN270" s="52">
        <f>$BM270+$AQ270</f>
        <v>0</v>
      </c>
      <c r="BO270" s="52">
        <f>$BN270+$AR270</f>
        <v>0</v>
      </c>
      <c r="BP270" s="52">
        <f>$BO270+$AS270</f>
        <v>0</v>
      </c>
      <c r="BQ270" s="52">
        <f>SUM($T$1:$T269)</f>
        <v>11</v>
      </c>
      <c r="BR270" s="52" t="str">
        <f>IF(ISNUMBER($T270),IF($T270&gt;0,COUNTIF($T$2:$T270,"&gt;0"),""),"")</f>
        <v/>
      </c>
      <c r="BS270" s="52" t="str">
        <f>IF($BR270="","",$BQ270+$T270)</f>
        <v/>
      </c>
      <c r="BT270" s="52" t="str">
        <f>IF($U270="Ready",COUNTIF($U$2:$U270,"Ready"),"")</f>
        <v/>
      </c>
      <c r="BU270" s="52">
        <f>IF(AND($U270="Ready",$C270="Receipt"),IF(COUNTIF(Batches!$A$2:$A$301,$F270)+COUNTIFS($F$1:$F269,$F270,$C$1:$C269,"Receipt",$U$1:$U269,"Ready")=0,1,0),0)</f>
        <v>0</v>
      </c>
      <c r="BV270" s="52" t="str">
        <f>IF($BU270=1,SUM($BU$2:$BU270),"")</f>
        <v/>
      </c>
    </row>
    <row r="271">
      <c r="A271" s="46" t="n"/>
      <c r="B271" s="46" t="n"/>
      <c r="C271" s="46" t="n"/>
      <c r="D271" s="46" t="n"/>
      <c r="E271" s="46" t="n"/>
      <c r="F271" s="46" t="n"/>
      <c r="G271" s="46" t="n"/>
      <c r="H271" s="46" t="n"/>
      <c r="I271" s="46" t="n"/>
      <c r="J271" s="46" t="n"/>
      <c r="K271" s="46" t="n"/>
      <c r="L271" s="46" t="n"/>
      <c r="M271" s="62" t="str">
        <f>IF($B271="","",IF(ISNUMBER($B271),$B271,IF(AND(LEN($B271)=10,MID($B271,5,1)="-",MID($B271,8,1)="-"),IFERROR(IF(AND(MONTH(DATE(VALUE(LEFT($B271,4)),VALUE(MID($B271,6,2)),VALUE(RIGHT($B271,2))))=VALUE(MID($B271,6,2)),DAY(DATE(VALUE(LEFT($B271,4)),VALUE(MID($B271,6,2)),VALUE(RIGHT($B271,2))))=VALUE(RIGHT($B271,2))),DATE(VALUE(LEFT($B271,4)),VALUE(MID($B271,6,2)),VALUE(RIGHT($B271,2))),"ERR"),"ERR"),"ERR")))</f>
        <v/>
      </c>
      <c r="N271" s="62" t="str">
        <f>IF($G271="","",IF(ISNUMBER($G271),$G271,IF(AND(LEN($G271)=10,MID($G271,5,1)="-",MID($G271,8,1)="-"),IFERROR(IF(AND(MONTH(DATE(VALUE(LEFT($G271,4)),VALUE(MID($G271,6,2)),VALUE(RIGHT($G271,2))))=VALUE(MID($G271,6,2)),DAY(DATE(VALUE(LEFT($G271,4)),VALUE(MID($G271,6,2)),VALUE(RIGHT($G271,2))))=VALUE(RIGHT($G271,2))),DATE(VALUE(LEFT($G271,4)),VALUE(MID($G271,6,2)),VALUE(RIGHT($G271,2))),"ERR"),"ERR"),"ERR")))</f>
        <v/>
      </c>
      <c r="O271" s="51" t="str">
        <f>IF($H271="","",IF(ISNUMBER($H271),$H271,IFERROR(VALUE($H271),"ERR")))</f>
        <v/>
      </c>
      <c r="P271" s="51" t="str">
        <f>IF(AND(ISNUMBER($O271),OR($C271="Receipt",$C271="Shipment",$C271="Adjustment")),IF($C271="Shipment",-$O271,$O271),"")</f>
        <v/>
      </c>
      <c r="Q271" s="51" t="str">
        <f>IF($D271="","",IFERROR(INDEX(Products!$R$2:$R$101,MATCH($D271,Products!$A$2:$A$101,0)),""))</f>
        <v/>
      </c>
      <c r="R271" s="51" t="str">
        <f>IF(OR($Q271="",$P271=""),"",$Q271+SUMIFS($P$1:$P270,$D$1:$D270,$D271,$U$1:$U270,"Ready"))</f>
        <v/>
      </c>
      <c r="S271" s="51" t="str">
        <f>IF($R271="","",$R271+$P271)</f>
        <v/>
      </c>
      <c r="T271" s="52" t="str">
        <f>IF(COUNTA($A271:$L271)&gt;0,$BP271,"")</f>
        <v/>
      </c>
      <c r="U271" s="49" t="str">
        <f>IF($T271="","",IF($T271=0,"Ready","Rejected"))</f>
        <v/>
      </c>
      <c r="V271" s="49" t="str">
        <f>IF(OR($T271="",$T271=0),"",INDEX(Config!$D$39:$D$61,MATCH(1,$AT271:$BP271,0))&amp;IF($T271&gt;1," (+"&amp;($T271-1)&amp;" more)",""))</f>
        <v/>
      </c>
      <c r="W271" s="52">
        <f>IF(AND(COUNTA($A271:$L271)&gt;0,$A271=""),1,0)</f>
        <v>0</v>
      </c>
      <c r="X271" s="52">
        <f>IF(AND(COUNTA($A271:$L271)&gt;0,$A271&lt;&gt;""),IF(COUNTIF($A$1:$A270,$A271)&gt;0,1,0),0)</f>
        <v>0</v>
      </c>
      <c r="Y271" s="52">
        <f>IF(AND(COUNTA($A271:$L271)&gt;0,$A271&lt;&gt;""),IF(COUNTIF(Inventory_Ledger!$A$2:$A$2001,$A271)&gt;0,1,0),0)</f>
        <v>0</v>
      </c>
      <c r="Z271" s="52">
        <f>IF(AND(COUNTA($A271:$L271)&gt;0,$B271=""),1,0)</f>
        <v>0</v>
      </c>
      <c r="AA271" s="52">
        <f>IF(AND(COUNTA($A271:$L271)&gt;0,$B271&lt;&gt;""),IF($M271="ERR",1,0),0)</f>
        <v>0</v>
      </c>
      <c r="AB271" s="52">
        <f>IF(AND(COUNTA($A271:$L271)&gt;0,ISNUMBER($M271)),IF($M271&gt;Config!$B$4,1,0),0)</f>
        <v>0</v>
      </c>
      <c r="AC271" s="52">
        <f>IF(AND(COUNTA($A271:$L271)&gt;0,$C271=""),1,0)</f>
        <v>0</v>
      </c>
      <c r="AD271" s="52">
        <f>IF(AND(COUNTA($A271:$L271)&gt;0,$C271&lt;&gt;""),IF(COUNTIF(Config!$A$15:$A$34,$C271)=0,1,0),0)</f>
        <v>0</v>
      </c>
      <c r="AE271" s="52">
        <f>IF(AND(COUNTA($A271:$L271)&gt;0,$D271=""),1,0)</f>
        <v>0</v>
      </c>
      <c r="AF271" s="52">
        <f>IF(AND(COUNTA($A271:$L271)&gt;0,$D271&lt;&gt;""),IF(COUNTIF(Products!$A$2:$A$101,$D271)=0,1,0),0)</f>
        <v>0</v>
      </c>
      <c r="AG271" s="52">
        <f>IF(AND(COUNTA($A271:$L271)&gt;0,$C271="Receipt",$E271=""),1,0)</f>
        <v>0</v>
      </c>
      <c r="AH271" s="52">
        <f>IF(AND(COUNTA($A271:$L271)&gt;0,$E271&lt;&gt;""),IF(COUNTIF(Suppliers!$A$2:$A$51,$E271)=0,1,0),0)</f>
        <v>0</v>
      </c>
      <c r="AI271" s="52">
        <f>IF(AND(COUNTA($A271:$L271)&gt;0,$F271=""),1,0)</f>
        <v>0</v>
      </c>
      <c r="AJ271" s="52">
        <f>IF(AND(COUNTA($A271:$L271)&gt;0,$F271&lt;&gt;"",$D271&lt;&gt;"",OR($C271="Shipment",$C271="Adjustment")),IF($AF271=1,0,IF(COUNTIFS(Batches!$A$2:$A$301,$F271,Batches!$B$2:$B$301,$D271)+COUNTIFS($F$1:$F270,$F271,$D$1:$D270,$D271,$C$1:$C270,"Receipt")=0,1,0)),0)</f>
        <v>0</v>
      </c>
      <c r="AK271" s="52">
        <f>IF(AND(COUNTA($A271:$L271)&gt;0,$C271="Receipt",$G271=""),1,0)</f>
        <v>0</v>
      </c>
      <c r="AL271" s="52">
        <f>IF(AND(COUNTA($A271:$L271)&gt;0,$G271&lt;&gt;""),IF($N271="ERR",1,0),0)</f>
        <v>0</v>
      </c>
      <c r="AM271" s="52">
        <f>IF(AND(COUNTA($A271:$L271)&gt;0,$H271=""),1,0)</f>
        <v>0</v>
      </c>
      <c r="AN271" s="52">
        <f>IF(AND(COUNTA($A271:$L271)&gt;0,$H271&lt;&gt;""),IF($O271="ERR",1,IF(INT($O271)&lt;&gt;$O271,1,IF(AND(OR($C271="Receipt",$C271="Shipment"),$O271&lt;=0),1,IF(AND($C271="Adjustment",$O271=0),1,0)))),0)</f>
        <v>0</v>
      </c>
      <c r="AO271" s="52">
        <f>IF(AND(COUNTA($A271:$L271)&gt;0,$C271="Receipt",$I271=""),1,0)</f>
        <v>0</v>
      </c>
      <c r="AP271" s="52">
        <f>IF(AND(COUNTA($A271:$L271)&gt;0,$I271&lt;&gt;""),IF(IFERROR(INDEX(Config!$G$15:$G$34,MATCH($I271,Config!$E$15:$E$34,0)),"No")="Yes",0,1),0)</f>
        <v>0</v>
      </c>
      <c r="AQ271" s="52">
        <f>IF(AND(COUNTA($A271:$L271)&gt;0,$C271="Adjustment",$J271=""),1,0)</f>
        <v>0</v>
      </c>
      <c r="AR271" s="52">
        <f>IF(AND(COUNTA($A271:$L271)&gt;0,$L271=""),1,0)</f>
        <v>0</v>
      </c>
      <c r="AS271" s="52">
        <f>IF(AND(COUNTA($A271:$L271)&gt;0,ISNUMBER($S271)),IF($S271&lt;0,1,0),0)</f>
        <v>0</v>
      </c>
      <c r="AT271" s="52">
        <f>$W271</f>
        <v>0</v>
      </c>
      <c r="AU271" s="52">
        <f>$AT271+$X271</f>
        <v>0</v>
      </c>
      <c r="AV271" s="52">
        <f>$AU271+$Y271</f>
        <v>0</v>
      </c>
      <c r="AW271" s="52">
        <f>$AV271+$Z271</f>
        <v>0</v>
      </c>
      <c r="AX271" s="52">
        <f>$AW271+$AA271</f>
        <v>0</v>
      </c>
      <c r="AY271" s="52">
        <f>$AX271+$AB271</f>
        <v>0</v>
      </c>
      <c r="AZ271" s="52">
        <f>$AY271+$AC271</f>
        <v>0</v>
      </c>
      <c r="BA271" s="52">
        <f>$AZ271+$AD271</f>
        <v>0</v>
      </c>
      <c r="BB271" s="52">
        <f>$BA271+$AE271</f>
        <v>0</v>
      </c>
      <c r="BC271" s="52">
        <f>$BB271+$AF271</f>
        <v>0</v>
      </c>
      <c r="BD271" s="52">
        <f>$BC271+$AG271</f>
        <v>0</v>
      </c>
      <c r="BE271" s="52">
        <f>$BD271+$AH271</f>
        <v>0</v>
      </c>
      <c r="BF271" s="52">
        <f>$BE271+$AI271</f>
        <v>0</v>
      </c>
      <c r="BG271" s="52">
        <f>$BF271+$AJ271</f>
        <v>0</v>
      </c>
      <c r="BH271" s="52">
        <f>$BG271+$AK271</f>
        <v>0</v>
      </c>
      <c r="BI271" s="52">
        <f>$BH271+$AL271</f>
        <v>0</v>
      </c>
      <c r="BJ271" s="52">
        <f>$BI271+$AM271</f>
        <v>0</v>
      </c>
      <c r="BK271" s="52">
        <f>$BJ271+$AN271</f>
        <v>0</v>
      </c>
      <c r="BL271" s="52">
        <f>$BK271+$AO271</f>
        <v>0</v>
      </c>
      <c r="BM271" s="52">
        <f>$BL271+$AP271</f>
        <v>0</v>
      </c>
      <c r="BN271" s="52">
        <f>$BM271+$AQ271</f>
        <v>0</v>
      </c>
      <c r="BO271" s="52">
        <f>$BN271+$AR271</f>
        <v>0</v>
      </c>
      <c r="BP271" s="52">
        <f>$BO271+$AS271</f>
        <v>0</v>
      </c>
      <c r="BQ271" s="52">
        <f>SUM($T$1:$T270)</f>
        <v>11</v>
      </c>
      <c r="BR271" s="52" t="str">
        <f>IF(ISNUMBER($T271),IF($T271&gt;0,COUNTIF($T$2:$T271,"&gt;0"),""),"")</f>
        <v/>
      </c>
      <c r="BS271" s="52" t="str">
        <f>IF($BR271="","",$BQ271+$T271)</f>
        <v/>
      </c>
      <c r="BT271" s="52" t="str">
        <f>IF($U271="Ready",COUNTIF($U$2:$U271,"Ready"),"")</f>
        <v/>
      </c>
      <c r="BU271" s="52">
        <f>IF(AND($U271="Ready",$C271="Receipt"),IF(COUNTIF(Batches!$A$2:$A$301,$F271)+COUNTIFS($F$1:$F270,$F271,$C$1:$C270,"Receipt",$U$1:$U270,"Ready")=0,1,0),0)</f>
        <v>0</v>
      </c>
      <c r="BV271" s="52" t="str">
        <f>IF($BU271=1,SUM($BU$2:$BU271),"")</f>
        <v/>
      </c>
    </row>
    <row r="272">
      <c r="A272" s="46" t="n"/>
      <c r="B272" s="46" t="n"/>
      <c r="C272" s="46" t="n"/>
      <c r="D272" s="46" t="n"/>
      <c r="E272" s="46" t="n"/>
      <c r="F272" s="46" t="n"/>
      <c r="G272" s="46" t="n"/>
      <c r="H272" s="46" t="n"/>
      <c r="I272" s="46" t="n"/>
      <c r="J272" s="46" t="n"/>
      <c r="K272" s="46" t="n"/>
      <c r="L272" s="46" t="n"/>
      <c r="M272" s="62" t="str">
        <f>IF($B272="","",IF(ISNUMBER($B272),$B272,IF(AND(LEN($B272)=10,MID($B272,5,1)="-",MID($B272,8,1)="-"),IFERROR(IF(AND(MONTH(DATE(VALUE(LEFT($B272,4)),VALUE(MID($B272,6,2)),VALUE(RIGHT($B272,2))))=VALUE(MID($B272,6,2)),DAY(DATE(VALUE(LEFT($B272,4)),VALUE(MID($B272,6,2)),VALUE(RIGHT($B272,2))))=VALUE(RIGHT($B272,2))),DATE(VALUE(LEFT($B272,4)),VALUE(MID($B272,6,2)),VALUE(RIGHT($B272,2))),"ERR"),"ERR"),"ERR")))</f>
        <v/>
      </c>
      <c r="N272" s="62" t="str">
        <f>IF($G272="","",IF(ISNUMBER($G272),$G272,IF(AND(LEN($G272)=10,MID($G272,5,1)="-",MID($G272,8,1)="-"),IFERROR(IF(AND(MONTH(DATE(VALUE(LEFT($G272,4)),VALUE(MID($G272,6,2)),VALUE(RIGHT($G272,2))))=VALUE(MID($G272,6,2)),DAY(DATE(VALUE(LEFT($G272,4)),VALUE(MID($G272,6,2)),VALUE(RIGHT($G272,2))))=VALUE(RIGHT($G272,2))),DATE(VALUE(LEFT($G272,4)),VALUE(MID($G272,6,2)),VALUE(RIGHT($G272,2))),"ERR"),"ERR"),"ERR")))</f>
        <v/>
      </c>
      <c r="O272" s="51" t="str">
        <f>IF($H272="","",IF(ISNUMBER($H272),$H272,IFERROR(VALUE($H272),"ERR")))</f>
        <v/>
      </c>
      <c r="P272" s="51" t="str">
        <f>IF(AND(ISNUMBER($O272),OR($C272="Receipt",$C272="Shipment",$C272="Adjustment")),IF($C272="Shipment",-$O272,$O272),"")</f>
        <v/>
      </c>
      <c r="Q272" s="51" t="str">
        <f>IF($D272="","",IFERROR(INDEX(Products!$R$2:$R$101,MATCH($D272,Products!$A$2:$A$101,0)),""))</f>
        <v/>
      </c>
      <c r="R272" s="51" t="str">
        <f>IF(OR($Q272="",$P272=""),"",$Q272+SUMIFS($P$1:$P271,$D$1:$D271,$D272,$U$1:$U271,"Ready"))</f>
        <v/>
      </c>
      <c r="S272" s="51" t="str">
        <f>IF($R272="","",$R272+$P272)</f>
        <v/>
      </c>
      <c r="T272" s="52" t="str">
        <f>IF(COUNTA($A272:$L272)&gt;0,$BP272,"")</f>
        <v/>
      </c>
      <c r="U272" s="49" t="str">
        <f>IF($T272="","",IF($T272=0,"Ready","Rejected"))</f>
        <v/>
      </c>
      <c r="V272" s="49" t="str">
        <f>IF(OR($T272="",$T272=0),"",INDEX(Config!$D$39:$D$61,MATCH(1,$AT272:$BP272,0))&amp;IF($T272&gt;1," (+"&amp;($T272-1)&amp;" more)",""))</f>
        <v/>
      </c>
      <c r="W272" s="52">
        <f>IF(AND(COUNTA($A272:$L272)&gt;0,$A272=""),1,0)</f>
        <v>0</v>
      </c>
      <c r="X272" s="52">
        <f>IF(AND(COUNTA($A272:$L272)&gt;0,$A272&lt;&gt;""),IF(COUNTIF($A$1:$A271,$A272)&gt;0,1,0),0)</f>
        <v>0</v>
      </c>
      <c r="Y272" s="52">
        <f>IF(AND(COUNTA($A272:$L272)&gt;0,$A272&lt;&gt;""),IF(COUNTIF(Inventory_Ledger!$A$2:$A$2001,$A272)&gt;0,1,0),0)</f>
        <v>0</v>
      </c>
      <c r="Z272" s="52">
        <f>IF(AND(COUNTA($A272:$L272)&gt;0,$B272=""),1,0)</f>
        <v>0</v>
      </c>
      <c r="AA272" s="52">
        <f>IF(AND(COUNTA($A272:$L272)&gt;0,$B272&lt;&gt;""),IF($M272="ERR",1,0),0)</f>
        <v>0</v>
      </c>
      <c r="AB272" s="52">
        <f>IF(AND(COUNTA($A272:$L272)&gt;0,ISNUMBER($M272)),IF($M272&gt;Config!$B$4,1,0),0)</f>
        <v>0</v>
      </c>
      <c r="AC272" s="52">
        <f>IF(AND(COUNTA($A272:$L272)&gt;0,$C272=""),1,0)</f>
        <v>0</v>
      </c>
      <c r="AD272" s="52">
        <f>IF(AND(COUNTA($A272:$L272)&gt;0,$C272&lt;&gt;""),IF(COUNTIF(Config!$A$15:$A$34,$C272)=0,1,0),0)</f>
        <v>0</v>
      </c>
      <c r="AE272" s="52">
        <f>IF(AND(COUNTA($A272:$L272)&gt;0,$D272=""),1,0)</f>
        <v>0</v>
      </c>
      <c r="AF272" s="52">
        <f>IF(AND(COUNTA($A272:$L272)&gt;0,$D272&lt;&gt;""),IF(COUNTIF(Products!$A$2:$A$101,$D272)=0,1,0),0)</f>
        <v>0</v>
      </c>
      <c r="AG272" s="52">
        <f>IF(AND(COUNTA($A272:$L272)&gt;0,$C272="Receipt",$E272=""),1,0)</f>
        <v>0</v>
      </c>
      <c r="AH272" s="52">
        <f>IF(AND(COUNTA($A272:$L272)&gt;0,$E272&lt;&gt;""),IF(COUNTIF(Suppliers!$A$2:$A$51,$E272)=0,1,0),0)</f>
        <v>0</v>
      </c>
      <c r="AI272" s="52">
        <f>IF(AND(COUNTA($A272:$L272)&gt;0,$F272=""),1,0)</f>
        <v>0</v>
      </c>
      <c r="AJ272" s="52">
        <f>IF(AND(COUNTA($A272:$L272)&gt;0,$F272&lt;&gt;"",$D272&lt;&gt;"",OR($C272="Shipment",$C272="Adjustment")),IF($AF272=1,0,IF(COUNTIFS(Batches!$A$2:$A$301,$F272,Batches!$B$2:$B$301,$D272)+COUNTIFS($F$1:$F271,$F272,$D$1:$D271,$D272,$C$1:$C271,"Receipt")=0,1,0)),0)</f>
        <v>0</v>
      </c>
      <c r="AK272" s="52">
        <f>IF(AND(COUNTA($A272:$L272)&gt;0,$C272="Receipt",$G272=""),1,0)</f>
        <v>0</v>
      </c>
      <c r="AL272" s="52">
        <f>IF(AND(COUNTA($A272:$L272)&gt;0,$G272&lt;&gt;""),IF($N272="ERR",1,0),0)</f>
        <v>0</v>
      </c>
      <c r="AM272" s="52">
        <f>IF(AND(COUNTA($A272:$L272)&gt;0,$H272=""),1,0)</f>
        <v>0</v>
      </c>
      <c r="AN272" s="52">
        <f>IF(AND(COUNTA($A272:$L272)&gt;0,$H272&lt;&gt;""),IF($O272="ERR",1,IF(INT($O272)&lt;&gt;$O272,1,IF(AND(OR($C272="Receipt",$C272="Shipment"),$O272&lt;=0),1,IF(AND($C272="Adjustment",$O272=0),1,0)))),0)</f>
        <v>0</v>
      </c>
      <c r="AO272" s="52">
        <f>IF(AND(COUNTA($A272:$L272)&gt;0,$C272="Receipt",$I272=""),1,0)</f>
        <v>0</v>
      </c>
      <c r="AP272" s="52">
        <f>IF(AND(COUNTA($A272:$L272)&gt;0,$I272&lt;&gt;""),IF(IFERROR(INDEX(Config!$G$15:$G$34,MATCH($I272,Config!$E$15:$E$34,0)),"No")="Yes",0,1),0)</f>
        <v>0</v>
      </c>
      <c r="AQ272" s="52">
        <f>IF(AND(COUNTA($A272:$L272)&gt;0,$C272="Adjustment",$J272=""),1,0)</f>
        <v>0</v>
      </c>
      <c r="AR272" s="52">
        <f>IF(AND(COUNTA($A272:$L272)&gt;0,$L272=""),1,0)</f>
        <v>0</v>
      </c>
      <c r="AS272" s="52">
        <f>IF(AND(COUNTA($A272:$L272)&gt;0,ISNUMBER($S272)),IF($S272&lt;0,1,0),0)</f>
        <v>0</v>
      </c>
      <c r="AT272" s="52">
        <f>$W272</f>
        <v>0</v>
      </c>
      <c r="AU272" s="52">
        <f>$AT272+$X272</f>
        <v>0</v>
      </c>
      <c r="AV272" s="52">
        <f>$AU272+$Y272</f>
        <v>0</v>
      </c>
      <c r="AW272" s="52">
        <f>$AV272+$Z272</f>
        <v>0</v>
      </c>
      <c r="AX272" s="52">
        <f>$AW272+$AA272</f>
        <v>0</v>
      </c>
      <c r="AY272" s="52">
        <f>$AX272+$AB272</f>
        <v>0</v>
      </c>
      <c r="AZ272" s="52">
        <f>$AY272+$AC272</f>
        <v>0</v>
      </c>
      <c r="BA272" s="52">
        <f>$AZ272+$AD272</f>
        <v>0</v>
      </c>
      <c r="BB272" s="52">
        <f>$BA272+$AE272</f>
        <v>0</v>
      </c>
      <c r="BC272" s="52">
        <f>$BB272+$AF272</f>
        <v>0</v>
      </c>
      <c r="BD272" s="52">
        <f>$BC272+$AG272</f>
        <v>0</v>
      </c>
      <c r="BE272" s="52">
        <f>$BD272+$AH272</f>
        <v>0</v>
      </c>
      <c r="BF272" s="52">
        <f>$BE272+$AI272</f>
        <v>0</v>
      </c>
      <c r="BG272" s="52">
        <f>$BF272+$AJ272</f>
        <v>0</v>
      </c>
      <c r="BH272" s="52">
        <f>$BG272+$AK272</f>
        <v>0</v>
      </c>
      <c r="BI272" s="52">
        <f>$BH272+$AL272</f>
        <v>0</v>
      </c>
      <c r="BJ272" s="52">
        <f>$BI272+$AM272</f>
        <v>0</v>
      </c>
      <c r="BK272" s="52">
        <f>$BJ272+$AN272</f>
        <v>0</v>
      </c>
      <c r="BL272" s="52">
        <f>$BK272+$AO272</f>
        <v>0</v>
      </c>
      <c r="BM272" s="52">
        <f>$BL272+$AP272</f>
        <v>0</v>
      </c>
      <c r="BN272" s="52">
        <f>$BM272+$AQ272</f>
        <v>0</v>
      </c>
      <c r="BO272" s="52">
        <f>$BN272+$AR272</f>
        <v>0</v>
      </c>
      <c r="BP272" s="52">
        <f>$BO272+$AS272</f>
        <v>0</v>
      </c>
      <c r="BQ272" s="52">
        <f>SUM($T$1:$T271)</f>
        <v>11</v>
      </c>
      <c r="BR272" s="52" t="str">
        <f>IF(ISNUMBER($T272),IF($T272&gt;0,COUNTIF($T$2:$T272,"&gt;0"),""),"")</f>
        <v/>
      </c>
      <c r="BS272" s="52" t="str">
        <f>IF($BR272="","",$BQ272+$T272)</f>
        <v/>
      </c>
      <c r="BT272" s="52" t="str">
        <f>IF($U272="Ready",COUNTIF($U$2:$U272,"Ready"),"")</f>
        <v/>
      </c>
      <c r="BU272" s="52">
        <f>IF(AND($U272="Ready",$C272="Receipt"),IF(COUNTIF(Batches!$A$2:$A$301,$F272)+COUNTIFS($F$1:$F271,$F272,$C$1:$C271,"Receipt",$U$1:$U271,"Ready")=0,1,0),0)</f>
        <v>0</v>
      </c>
      <c r="BV272" s="52" t="str">
        <f>IF($BU272=1,SUM($BU$2:$BU272),"")</f>
        <v/>
      </c>
    </row>
    <row r="273">
      <c r="A273" s="46" t="n"/>
      <c r="B273" s="46" t="n"/>
      <c r="C273" s="46" t="n"/>
      <c r="D273" s="46" t="n"/>
      <c r="E273" s="46" t="n"/>
      <c r="F273" s="46" t="n"/>
      <c r="G273" s="46" t="n"/>
      <c r="H273" s="46" t="n"/>
      <c r="I273" s="46" t="n"/>
      <c r="J273" s="46" t="n"/>
      <c r="K273" s="46" t="n"/>
      <c r="L273" s="46" t="n"/>
      <c r="M273" s="62" t="str">
        <f>IF($B273="","",IF(ISNUMBER($B273),$B273,IF(AND(LEN($B273)=10,MID($B273,5,1)="-",MID($B273,8,1)="-"),IFERROR(IF(AND(MONTH(DATE(VALUE(LEFT($B273,4)),VALUE(MID($B273,6,2)),VALUE(RIGHT($B273,2))))=VALUE(MID($B273,6,2)),DAY(DATE(VALUE(LEFT($B273,4)),VALUE(MID($B273,6,2)),VALUE(RIGHT($B273,2))))=VALUE(RIGHT($B273,2))),DATE(VALUE(LEFT($B273,4)),VALUE(MID($B273,6,2)),VALUE(RIGHT($B273,2))),"ERR"),"ERR"),"ERR")))</f>
        <v/>
      </c>
      <c r="N273" s="62" t="str">
        <f>IF($G273="","",IF(ISNUMBER($G273),$G273,IF(AND(LEN($G273)=10,MID($G273,5,1)="-",MID($G273,8,1)="-"),IFERROR(IF(AND(MONTH(DATE(VALUE(LEFT($G273,4)),VALUE(MID($G273,6,2)),VALUE(RIGHT($G273,2))))=VALUE(MID($G273,6,2)),DAY(DATE(VALUE(LEFT($G273,4)),VALUE(MID($G273,6,2)),VALUE(RIGHT($G273,2))))=VALUE(RIGHT($G273,2))),DATE(VALUE(LEFT($G273,4)),VALUE(MID($G273,6,2)),VALUE(RIGHT($G273,2))),"ERR"),"ERR"),"ERR")))</f>
        <v/>
      </c>
      <c r="O273" s="51" t="str">
        <f>IF($H273="","",IF(ISNUMBER($H273),$H273,IFERROR(VALUE($H273),"ERR")))</f>
        <v/>
      </c>
      <c r="P273" s="51" t="str">
        <f>IF(AND(ISNUMBER($O273),OR($C273="Receipt",$C273="Shipment",$C273="Adjustment")),IF($C273="Shipment",-$O273,$O273),"")</f>
        <v/>
      </c>
      <c r="Q273" s="51" t="str">
        <f>IF($D273="","",IFERROR(INDEX(Products!$R$2:$R$101,MATCH($D273,Products!$A$2:$A$101,0)),""))</f>
        <v/>
      </c>
      <c r="R273" s="51" t="str">
        <f>IF(OR($Q273="",$P273=""),"",$Q273+SUMIFS($P$1:$P272,$D$1:$D272,$D273,$U$1:$U272,"Ready"))</f>
        <v/>
      </c>
      <c r="S273" s="51" t="str">
        <f>IF($R273="","",$R273+$P273)</f>
        <v/>
      </c>
      <c r="T273" s="52" t="str">
        <f>IF(COUNTA($A273:$L273)&gt;0,$BP273,"")</f>
        <v/>
      </c>
      <c r="U273" s="49" t="str">
        <f>IF($T273="","",IF($T273=0,"Ready","Rejected"))</f>
        <v/>
      </c>
      <c r="V273" s="49" t="str">
        <f>IF(OR($T273="",$T273=0),"",INDEX(Config!$D$39:$D$61,MATCH(1,$AT273:$BP273,0))&amp;IF($T273&gt;1," (+"&amp;($T273-1)&amp;" more)",""))</f>
        <v/>
      </c>
      <c r="W273" s="52">
        <f>IF(AND(COUNTA($A273:$L273)&gt;0,$A273=""),1,0)</f>
        <v>0</v>
      </c>
      <c r="X273" s="52">
        <f>IF(AND(COUNTA($A273:$L273)&gt;0,$A273&lt;&gt;""),IF(COUNTIF($A$1:$A272,$A273)&gt;0,1,0),0)</f>
        <v>0</v>
      </c>
      <c r="Y273" s="52">
        <f>IF(AND(COUNTA($A273:$L273)&gt;0,$A273&lt;&gt;""),IF(COUNTIF(Inventory_Ledger!$A$2:$A$2001,$A273)&gt;0,1,0),0)</f>
        <v>0</v>
      </c>
      <c r="Z273" s="52">
        <f>IF(AND(COUNTA($A273:$L273)&gt;0,$B273=""),1,0)</f>
        <v>0</v>
      </c>
      <c r="AA273" s="52">
        <f>IF(AND(COUNTA($A273:$L273)&gt;0,$B273&lt;&gt;""),IF($M273="ERR",1,0),0)</f>
        <v>0</v>
      </c>
      <c r="AB273" s="52">
        <f>IF(AND(COUNTA($A273:$L273)&gt;0,ISNUMBER($M273)),IF($M273&gt;Config!$B$4,1,0),0)</f>
        <v>0</v>
      </c>
      <c r="AC273" s="52">
        <f>IF(AND(COUNTA($A273:$L273)&gt;0,$C273=""),1,0)</f>
        <v>0</v>
      </c>
      <c r="AD273" s="52">
        <f>IF(AND(COUNTA($A273:$L273)&gt;0,$C273&lt;&gt;""),IF(COUNTIF(Config!$A$15:$A$34,$C273)=0,1,0),0)</f>
        <v>0</v>
      </c>
      <c r="AE273" s="52">
        <f>IF(AND(COUNTA($A273:$L273)&gt;0,$D273=""),1,0)</f>
        <v>0</v>
      </c>
      <c r="AF273" s="52">
        <f>IF(AND(COUNTA($A273:$L273)&gt;0,$D273&lt;&gt;""),IF(COUNTIF(Products!$A$2:$A$101,$D273)=0,1,0),0)</f>
        <v>0</v>
      </c>
      <c r="AG273" s="52">
        <f>IF(AND(COUNTA($A273:$L273)&gt;0,$C273="Receipt",$E273=""),1,0)</f>
        <v>0</v>
      </c>
      <c r="AH273" s="52">
        <f>IF(AND(COUNTA($A273:$L273)&gt;0,$E273&lt;&gt;""),IF(COUNTIF(Suppliers!$A$2:$A$51,$E273)=0,1,0),0)</f>
        <v>0</v>
      </c>
      <c r="AI273" s="52">
        <f>IF(AND(COUNTA($A273:$L273)&gt;0,$F273=""),1,0)</f>
        <v>0</v>
      </c>
      <c r="AJ273" s="52">
        <f>IF(AND(COUNTA($A273:$L273)&gt;0,$F273&lt;&gt;"",$D273&lt;&gt;"",OR($C273="Shipment",$C273="Adjustment")),IF($AF273=1,0,IF(COUNTIFS(Batches!$A$2:$A$301,$F273,Batches!$B$2:$B$301,$D273)+COUNTIFS($F$1:$F272,$F273,$D$1:$D272,$D273,$C$1:$C272,"Receipt")=0,1,0)),0)</f>
        <v>0</v>
      </c>
      <c r="AK273" s="52">
        <f>IF(AND(COUNTA($A273:$L273)&gt;0,$C273="Receipt",$G273=""),1,0)</f>
        <v>0</v>
      </c>
      <c r="AL273" s="52">
        <f>IF(AND(COUNTA($A273:$L273)&gt;0,$G273&lt;&gt;""),IF($N273="ERR",1,0),0)</f>
        <v>0</v>
      </c>
      <c r="AM273" s="52">
        <f>IF(AND(COUNTA($A273:$L273)&gt;0,$H273=""),1,0)</f>
        <v>0</v>
      </c>
      <c r="AN273" s="52">
        <f>IF(AND(COUNTA($A273:$L273)&gt;0,$H273&lt;&gt;""),IF($O273="ERR",1,IF(INT($O273)&lt;&gt;$O273,1,IF(AND(OR($C273="Receipt",$C273="Shipment"),$O273&lt;=0),1,IF(AND($C273="Adjustment",$O273=0),1,0)))),0)</f>
        <v>0</v>
      </c>
      <c r="AO273" s="52">
        <f>IF(AND(COUNTA($A273:$L273)&gt;0,$C273="Receipt",$I273=""),1,0)</f>
        <v>0</v>
      </c>
      <c r="AP273" s="52">
        <f>IF(AND(COUNTA($A273:$L273)&gt;0,$I273&lt;&gt;""),IF(IFERROR(INDEX(Config!$G$15:$G$34,MATCH($I273,Config!$E$15:$E$34,0)),"No")="Yes",0,1),0)</f>
        <v>0</v>
      </c>
      <c r="AQ273" s="52">
        <f>IF(AND(COUNTA($A273:$L273)&gt;0,$C273="Adjustment",$J273=""),1,0)</f>
        <v>0</v>
      </c>
      <c r="AR273" s="52">
        <f>IF(AND(COUNTA($A273:$L273)&gt;0,$L273=""),1,0)</f>
        <v>0</v>
      </c>
      <c r="AS273" s="52">
        <f>IF(AND(COUNTA($A273:$L273)&gt;0,ISNUMBER($S273)),IF($S273&lt;0,1,0),0)</f>
        <v>0</v>
      </c>
      <c r="AT273" s="52">
        <f>$W273</f>
        <v>0</v>
      </c>
      <c r="AU273" s="52">
        <f>$AT273+$X273</f>
        <v>0</v>
      </c>
      <c r="AV273" s="52">
        <f>$AU273+$Y273</f>
        <v>0</v>
      </c>
      <c r="AW273" s="52">
        <f>$AV273+$Z273</f>
        <v>0</v>
      </c>
      <c r="AX273" s="52">
        <f>$AW273+$AA273</f>
        <v>0</v>
      </c>
      <c r="AY273" s="52">
        <f>$AX273+$AB273</f>
        <v>0</v>
      </c>
      <c r="AZ273" s="52">
        <f>$AY273+$AC273</f>
        <v>0</v>
      </c>
      <c r="BA273" s="52">
        <f>$AZ273+$AD273</f>
        <v>0</v>
      </c>
      <c r="BB273" s="52">
        <f>$BA273+$AE273</f>
        <v>0</v>
      </c>
      <c r="BC273" s="52">
        <f>$BB273+$AF273</f>
        <v>0</v>
      </c>
      <c r="BD273" s="52">
        <f>$BC273+$AG273</f>
        <v>0</v>
      </c>
      <c r="BE273" s="52">
        <f>$BD273+$AH273</f>
        <v>0</v>
      </c>
      <c r="BF273" s="52">
        <f>$BE273+$AI273</f>
        <v>0</v>
      </c>
      <c r="BG273" s="52">
        <f>$BF273+$AJ273</f>
        <v>0</v>
      </c>
      <c r="BH273" s="52">
        <f>$BG273+$AK273</f>
        <v>0</v>
      </c>
      <c r="BI273" s="52">
        <f>$BH273+$AL273</f>
        <v>0</v>
      </c>
      <c r="BJ273" s="52">
        <f>$BI273+$AM273</f>
        <v>0</v>
      </c>
      <c r="BK273" s="52">
        <f>$BJ273+$AN273</f>
        <v>0</v>
      </c>
      <c r="BL273" s="52">
        <f>$BK273+$AO273</f>
        <v>0</v>
      </c>
      <c r="BM273" s="52">
        <f>$BL273+$AP273</f>
        <v>0</v>
      </c>
      <c r="BN273" s="52">
        <f>$BM273+$AQ273</f>
        <v>0</v>
      </c>
      <c r="BO273" s="52">
        <f>$BN273+$AR273</f>
        <v>0</v>
      </c>
      <c r="BP273" s="52">
        <f>$BO273+$AS273</f>
        <v>0</v>
      </c>
      <c r="BQ273" s="52">
        <f>SUM($T$1:$T272)</f>
        <v>11</v>
      </c>
      <c r="BR273" s="52" t="str">
        <f>IF(ISNUMBER($T273),IF($T273&gt;0,COUNTIF($T$2:$T273,"&gt;0"),""),"")</f>
        <v/>
      </c>
      <c r="BS273" s="52" t="str">
        <f>IF($BR273="","",$BQ273+$T273)</f>
        <v/>
      </c>
      <c r="BT273" s="52" t="str">
        <f>IF($U273="Ready",COUNTIF($U$2:$U273,"Ready"),"")</f>
        <v/>
      </c>
      <c r="BU273" s="52">
        <f>IF(AND($U273="Ready",$C273="Receipt"),IF(COUNTIF(Batches!$A$2:$A$301,$F273)+COUNTIFS($F$1:$F272,$F273,$C$1:$C272,"Receipt",$U$1:$U272,"Ready")=0,1,0),0)</f>
        <v>0</v>
      </c>
      <c r="BV273" s="52" t="str">
        <f>IF($BU273=1,SUM($BU$2:$BU273),"")</f>
        <v/>
      </c>
    </row>
    <row r="274">
      <c r="A274" s="46" t="n"/>
      <c r="B274" s="46" t="n"/>
      <c r="C274" s="46" t="n"/>
      <c r="D274" s="46" t="n"/>
      <c r="E274" s="46" t="n"/>
      <c r="F274" s="46" t="n"/>
      <c r="G274" s="46" t="n"/>
      <c r="H274" s="46" t="n"/>
      <c r="I274" s="46" t="n"/>
      <c r="J274" s="46" t="n"/>
      <c r="K274" s="46" t="n"/>
      <c r="L274" s="46" t="n"/>
      <c r="M274" s="62" t="str">
        <f>IF($B274="","",IF(ISNUMBER($B274),$B274,IF(AND(LEN($B274)=10,MID($B274,5,1)="-",MID($B274,8,1)="-"),IFERROR(IF(AND(MONTH(DATE(VALUE(LEFT($B274,4)),VALUE(MID($B274,6,2)),VALUE(RIGHT($B274,2))))=VALUE(MID($B274,6,2)),DAY(DATE(VALUE(LEFT($B274,4)),VALUE(MID($B274,6,2)),VALUE(RIGHT($B274,2))))=VALUE(RIGHT($B274,2))),DATE(VALUE(LEFT($B274,4)),VALUE(MID($B274,6,2)),VALUE(RIGHT($B274,2))),"ERR"),"ERR"),"ERR")))</f>
        <v/>
      </c>
      <c r="N274" s="62" t="str">
        <f>IF($G274="","",IF(ISNUMBER($G274),$G274,IF(AND(LEN($G274)=10,MID($G274,5,1)="-",MID($G274,8,1)="-"),IFERROR(IF(AND(MONTH(DATE(VALUE(LEFT($G274,4)),VALUE(MID($G274,6,2)),VALUE(RIGHT($G274,2))))=VALUE(MID($G274,6,2)),DAY(DATE(VALUE(LEFT($G274,4)),VALUE(MID($G274,6,2)),VALUE(RIGHT($G274,2))))=VALUE(RIGHT($G274,2))),DATE(VALUE(LEFT($G274,4)),VALUE(MID($G274,6,2)),VALUE(RIGHT($G274,2))),"ERR"),"ERR"),"ERR")))</f>
        <v/>
      </c>
      <c r="O274" s="51" t="str">
        <f>IF($H274="","",IF(ISNUMBER($H274),$H274,IFERROR(VALUE($H274),"ERR")))</f>
        <v/>
      </c>
      <c r="P274" s="51" t="str">
        <f>IF(AND(ISNUMBER($O274),OR($C274="Receipt",$C274="Shipment",$C274="Adjustment")),IF($C274="Shipment",-$O274,$O274),"")</f>
        <v/>
      </c>
      <c r="Q274" s="51" t="str">
        <f>IF($D274="","",IFERROR(INDEX(Products!$R$2:$R$101,MATCH($D274,Products!$A$2:$A$101,0)),""))</f>
        <v/>
      </c>
      <c r="R274" s="51" t="str">
        <f>IF(OR($Q274="",$P274=""),"",$Q274+SUMIFS($P$1:$P273,$D$1:$D273,$D274,$U$1:$U273,"Ready"))</f>
        <v/>
      </c>
      <c r="S274" s="51" t="str">
        <f>IF($R274="","",$R274+$P274)</f>
        <v/>
      </c>
      <c r="T274" s="52" t="str">
        <f>IF(COUNTA($A274:$L274)&gt;0,$BP274,"")</f>
        <v/>
      </c>
      <c r="U274" s="49" t="str">
        <f>IF($T274="","",IF($T274=0,"Ready","Rejected"))</f>
        <v/>
      </c>
      <c r="V274" s="49" t="str">
        <f>IF(OR($T274="",$T274=0),"",INDEX(Config!$D$39:$D$61,MATCH(1,$AT274:$BP274,0))&amp;IF($T274&gt;1," (+"&amp;($T274-1)&amp;" more)",""))</f>
        <v/>
      </c>
      <c r="W274" s="52">
        <f>IF(AND(COUNTA($A274:$L274)&gt;0,$A274=""),1,0)</f>
        <v>0</v>
      </c>
      <c r="X274" s="52">
        <f>IF(AND(COUNTA($A274:$L274)&gt;0,$A274&lt;&gt;""),IF(COUNTIF($A$1:$A273,$A274)&gt;0,1,0),0)</f>
        <v>0</v>
      </c>
      <c r="Y274" s="52">
        <f>IF(AND(COUNTA($A274:$L274)&gt;0,$A274&lt;&gt;""),IF(COUNTIF(Inventory_Ledger!$A$2:$A$2001,$A274)&gt;0,1,0),0)</f>
        <v>0</v>
      </c>
      <c r="Z274" s="52">
        <f>IF(AND(COUNTA($A274:$L274)&gt;0,$B274=""),1,0)</f>
        <v>0</v>
      </c>
      <c r="AA274" s="52">
        <f>IF(AND(COUNTA($A274:$L274)&gt;0,$B274&lt;&gt;""),IF($M274="ERR",1,0),0)</f>
        <v>0</v>
      </c>
      <c r="AB274" s="52">
        <f>IF(AND(COUNTA($A274:$L274)&gt;0,ISNUMBER($M274)),IF($M274&gt;Config!$B$4,1,0),0)</f>
        <v>0</v>
      </c>
      <c r="AC274" s="52">
        <f>IF(AND(COUNTA($A274:$L274)&gt;0,$C274=""),1,0)</f>
        <v>0</v>
      </c>
      <c r="AD274" s="52">
        <f>IF(AND(COUNTA($A274:$L274)&gt;0,$C274&lt;&gt;""),IF(COUNTIF(Config!$A$15:$A$34,$C274)=0,1,0),0)</f>
        <v>0</v>
      </c>
      <c r="AE274" s="52">
        <f>IF(AND(COUNTA($A274:$L274)&gt;0,$D274=""),1,0)</f>
        <v>0</v>
      </c>
      <c r="AF274" s="52">
        <f>IF(AND(COUNTA($A274:$L274)&gt;0,$D274&lt;&gt;""),IF(COUNTIF(Products!$A$2:$A$101,$D274)=0,1,0),0)</f>
        <v>0</v>
      </c>
      <c r="AG274" s="52">
        <f>IF(AND(COUNTA($A274:$L274)&gt;0,$C274="Receipt",$E274=""),1,0)</f>
        <v>0</v>
      </c>
      <c r="AH274" s="52">
        <f>IF(AND(COUNTA($A274:$L274)&gt;0,$E274&lt;&gt;""),IF(COUNTIF(Suppliers!$A$2:$A$51,$E274)=0,1,0),0)</f>
        <v>0</v>
      </c>
      <c r="AI274" s="52">
        <f>IF(AND(COUNTA($A274:$L274)&gt;0,$F274=""),1,0)</f>
        <v>0</v>
      </c>
      <c r="AJ274" s="52">
        <f>IF(AND(COUNTA($A274:$L274)&gt;0,$F274&lt;&gt;"",$D274&lt;&gt;"",OR($C274="Shipment",$C274="Adjustment")),IF($AF274=1,0,IF(COUNTIFS(Batches!$A$2:$A$301,$F274,Batches!$B$2:$B$301,$D274)+COUNTIFS($F$1:$F273,$F274,$D$1:$D273,$D274,$C$1:$C273,"Receipt")=0,1,0)),0)</f>
        <v>0</v>
      </c>
      <c r="AK274" s="52">
        <f>IF(AND(COUNTA($A274:$L274)&gt;0,$C274="Receipt",$G274=""),1,0)</f>
        <v>0</v>
      </c>
      <c r="AL274" s="52">
        <f>IF(AND(COUNTA($A274:$L274)&gt;0,$G274&lt;&gt;""),IF($N274="ERR",1,0),0)</f>
        <v>0</v>
      </c>
      <c r="AM274" s="52">
        <f>IF(AND(COUNTA($A274:$L274)&gt;0,$H274=""),1,0)</f>
        <v>0</v>
      </c>
      <c r="AN274" s="52">
        <f>IF(AND(COUNTA($A274:$L274)&gt;0,$H274&lt;&gt;""),IF($O274="ERR",1,IF(INT($O274)&lt;&gt;$O274,1,IF(AND(OR($C274="Receipt",$C274="Shipment"),$O274&lt;=0),1,IF(AND($C274="Adjustment",$O274=0),1,0)))),0)</f>
        <v>0</v>
      </c>
      <c r="AO274" s="52">
        <f>IF(AND(COUNTA($A274:$L274)&gt;0,$C274="Receipt",$I274=""),1,0)</f>
        <v>0</v>
      </c>
      <c r="AP274" s="52">
        <f>IF(AND(COUNTA($A274:$L274)&gt;0,$I274&lt;&gt;""),IF(IFERROR(INDEX(Config!$G$15:$G$34,MATCH($I274,Config!$E$15:$E$34,0)),"No")="Yes",0,1),0)</f>
        <v>0</v>
      </c>
      <c r="AQ274" s="52">
        <f>IF(AND(COUNTA($A274:$L274)&gt;0,$C274="Adjustment",$J274=""),1,0)</f>
        <v>0</v>
      </c>
      <c r="AR274" s="52">
        <f>IF(AND(COUNTA($A274:$L274)&gt;0,$L274=""),1,0)</f>
        <v>0</v>
      </c>
      <c r="AS274" s="52">
        <f>IF(AND(COUNTA($A274:$L274)&gt;0,ISNUMBER($S274)),IF($S274&lt;0,1,0),0)</f>
        <v>0</v>
      </c>
      <c r="AT274" s="52">
        <f>$W274</f>
        <v>0</v>
      </c>
      <c r="AU274" s="52">
        <f>$AT274+$X274</f>
        <v>0</v>
      </c>
      <c r="AV274" s="52">
        <f>$AU274+$Y274</f>
        <v>0</v>
      </c>
      <c r="AW274" s="52">
        <f>$AV274+$Z274</f>
        <v>0</v>
      </c>
      <c r="AX274" s="52">
        <f>$AW274+$AA274</f>
        <v>0</v>
      </c>
      <c r="AY274" s="52">
        <f>$AX274+$AB274</f>
        <v>0</v>
      </c>
      <c r="AZ274" s="52">
        <f>$AY274+$AC274</f>
        <v>0</v>
      </c>
      <c r="BA274" s="52">
        <f>$AZ274+$AD274</f>
        <v>0</v>
      </c>
      <c r="BB274" s="52">
        <f>$BA274+$AE274</f>
        <v>0</v>
      </c>
      <c r="BC274" s="52">
        <f>$BB274+$AF274</f>
        <v>0</v>
      </c>
      <c r="BD274" s="52">
        <f>$BC274+$AG274</f>
        <v>0</v>
      </c>
      <c r="BE274" s="52">
        <f>$BD274+$AH274</f>
        <v>0</v>
      </c>
      <c r="BF274" s="52">
        <f>$BE274+$AI274</f>
        <v>0</v>
      </c>
      <c r="BG274" s="52">
        <f>$BF274+$AJ274</f>
        <v>0</v>
      </c>
      <c r="BH274" s="52">
        <f>$BG274+$AK274</f>
        <v>0</v>
      </c>
      <c r="BI274" s="52">
        <f>$BH274+$AL274</f>
        <v>0</v>
      </c>
      <c r="BJ274" s="52">
        <f>$BI274+$AM274</f>
        <v>0</v>
      </c>
      <c r="BK274" s="52">
        <f>$BJ274+$AN274</f>
        <v>0</v>
      </c>
      <c r="BL274" s="52">
        <f>$BK274+$AO274</f>
        <v>0</v>
      </c>
      <c r="BM274" s="52">
        <f>$BL274+$AP274</f>
        <v>0</v>
      </c>
      <c r="BN274" s="52">
        <f>$BM274+$AQ274</f>
        <v>0</v>
      </c>
      <c r="BO274" s="52">
        <f>$BN274+$AR274</f>
        <v>0</v>
      </c>
      <c r="BP274" s="52">
        <f>$BO274+$AS274</f>
        <v>0</v>
      </c>
      <c r="BQ274" s="52">
        <f>SUM($T$1:$T273)</f>
        <v>11</v>
      </c>
      <c r="BR274" s="52" t="str">
        <f>IF(ISNUMBER($T274),IF($T274&gt;0,COUNTIF($T$2:$T274,"&gt;0"),""),"")</f>
        <v/>
      </c>
      <c r="BS274" s="52" t="str">
        <f>IF($BR274="","",$BQ274+$T274)</f>
        <v/>
      </c>
      <c r="BT274" s="52" t="str">
        <f>IF($U274="Ready",COUNTIF($U$2:$U274,"Ready"),"")</f>
        <v/>
      </c>
      <c r="BU274" s="52">
        <f>IF(AND($U274="Ready",$C274="Receipt"),IF(COUNTIF(Batches!$A$2:$A$301,$F274)+COUNTIFS($F$1:$F273,$F274,$C$1:$C273,"Receipt",$U$1:$U273,"Ready")=0,1,0),0)</f>
        <v>0</v>
      </c>
      <c r="BV274" s="52" t="str">
        <f>IF($BU274=1,SUM($BU$2:$BU274),"")</f>
        <v/>
      </c>
    </row>
    <row r="275">
      <c r="A275" s="46" t="n"/>
      <c r="B275" s="46" t="n"/>
      <c r="C275" s="46" t="n"/>
      <c r="D275" s="46" t="n"/>
      <c r="E275" s="46" t="n"/>
      <c r="F275" s="46" t="n"/>
      <c r="G275" s="46" t="n"/>
      <c r="H275" s="46" t="n"/>
      <c r="I275" s="46" t="n"/>
      <c r="J275" s="46" t="n"/>
      <c r="K275" s="46" t="n"/>
      <c r="L275" s="46" t="n"/>
      <c r="M275" s="62" t="str">
        <f>IF($B275="","",IF(ISNUMBER($B275),$B275,IF(AND(LEN($B275)=10,MID($B275,5,1)="-",MID($B275,8,1)="-"),IFERROR(IF(AND(MONTH(DATE(VALUE(LEFT($B275,4)),VALUE(MID($B275,6,2)),VALUE(RIGHT($B275,2))))=VALUE(MID($B275,6,2)),DAY(DATE(VALUE(LEFT($B275,4)),VALUE(MID($B275,6,2)),VALUE(RIGHT($B275,2))))=VALUE(RIGHT($B275,2))),DATE(VALUE(LEFT($B275,4)),VALUE(MID($B275,6,2)),VALUE(RIGHT($B275,2))),"ERR"),"ERR"),"ERR")))</f>
        <v/>
      </c>
      <c r="N275" s="62" t="str">
        <f>IF($G275="","",IF(ISNUMBER($G275),$G275,IF(AND(LEN($G275)=10,MID($G275,5,1)="-",MID($G275,8,1)="-"),IFERROR(IF(AND(MONTH(DATE(VALUE(LEFT($G275,4)),VALUE(MID($G275,6,2)),VALUE(RIGHT($G275,2))))=VALUE(MID($G275,6,2)),DAY(DATE(VALUE(LEFT($G275,4)),VALUE(MID($G275,6,2)),VALUE(RIGHT($G275,2))))=VALUE(RIGHT($G275,2))),DATE(VALUE(LEFT($G275,4)),VALUE(MID($G275,6,2)),VALUE(RIGHT($G275,2))),"ERR"),"ERR"),"ERR")))</f>
        <v/>
      </c>
      <c r="O275" s="51" t="str">
        <f>IF($H275="","",IF(ISNUMBER($H275),$H275,IFERROR(VALUE($H275),"ERR")))</f>
        <v/>
      </c>
      <c r="P275" s="51" t="str">
        <f>IF(AND(ISNUMBER($O275),OR($C275="Receipt",$C275="Shipment",$C275="Adjustment")),IF($C275="Shipment",-$O275,$O275),"")</f>
        <v/>
      </c>
      <c r="Q275" s="51" t="str">
        <f>IF($D275="","",IFERROR(INDEX(Products!$R$2:$R$101,MATCH($D275,Products!$A$2:$A$101,0)),""))</f>
        <v/>
      </c>
      <c r="R275" s="51" t="str">
        <f>IF(OR($Q275="",$P275=""),"",$Q275+SUMIFS($P$1:$P274,$D$1:$D274,$D275,$U$1:$U274,"Ready"))</f>
        <v/>
      </c>
      <c r="S275" s="51" t="str">
        <f>IF($R275="","",$R275+$P275)</f>
        <v/>
      </c>
      <c r="T275" s="52" t="str">
        <f>IF(COUNTA($A275:$L275)&gt;0,$BP275,"")</f>
        <v/>
      </c>
      <c r="U275" s="49" t="str">
        <f>IF($T275="","",IF($T275=0,"Ready","Rejected"))</f>
        <v/>
      </c>
      <c r="V275" s="49" t="str">
        <f>IF(OR($T275="",$T275=0),"",INDEX(Config!$D$39:$D$61,MATCH(1,$AT275:$BP275,0))&amp;IF($T275&gt;1," (+"&amp;($T275-1)&amp;" more)",""))</f>
        <v/>
      </c>
      <c r="W275" s="52">
        <f>IF(AND(COUNTA($A275:$L275)&gt;0,$A275=""),1,0)</f>
        <v>0</v>
      </c>
      <c r="X275" s="52">
        <f>IF(AND(COUNTA($A275:$L275)&gt;0,$A275&lt;&gt;""),IF(COUNTIF($A$1:$A274,$A275)&gt;0,1,0),0)</f>
        <v>0</v>
      </c>
      <c r="Y275" s="52">
        <f>IF(AND(COUNTA($A275:$L275)&gt;0,$A275&lt;&gt;""),IF(COUNTIF(Inventory_Ledger!$A$2:$A$2001,$A275)&gt;0,1,0),0)</f>
        <v>0</v>
      </c>
      <c r="Z275" s="52">
        <f>IF(AND(COUNTA($A275:$L275)&gt;0,$B275=""),1,0)</f>
        <v>0</v>
      </c>
      <c r="AA275" s="52">
        <f>IF(AND(COUNTA($A275:$L275)&gt;0,$B275&lt;&gt;""),IF($M275="ERR",1,0),0)</f>
        <v>0</v>
      </c>
      <c r="AB275" s="52">
        <f>IF(AND(COUNTA($A275:$L275)&gt;0,ISNUMBER($M275)),IF($M275&gt;Config!$B$4,1,0),0)</f>
        <v>0</v>
      </c>
      <c r="AC275" s="52">
        <f>IF(AND(COUNTA($A275:$L275)&gt;0,$C275=""),1,0)</f>
        <v>0</v>
      </c>
      <c r="AD275" s="52">
        <f>IF(AND(COUNTA($A275:$L275)&gt;0,$C275&lt;&gt;""),IF(COUNTIF(Config!$A$15:$A$34,$C275)=0,1,0),0)</f>
        <v>0</v>
      </c>
      <c r="AE275" s="52">
        <f>IF(AND(COUNTA($A275:$L275)&gt;0,$D275=""),1,0)</f>
        <v>0</v>
      </c>
      <c r="AF275" s="52">
        <f>IF(AND(COUNTA($A275:$L275)&gt;0,$D275&lt;&gt;""),IF(COUNTIF(Products!$A$2:$A$101,$D275)=0,1,0),0)</f>
        <v>0</v>
      </c>
      <c r="AG275" s="52">
        <f>IF(AND(COUNTA($A275:$L275)&gt;0,$C275="Receipt",$E275=""),1,0)</f>
        <v>0</v>
      </c>
      <c r="AH275" s="52">
        <f>IF(AND(COUNTA($A275:$L275)&gt;0,$E275&lt;&gt;""),IF(COUNTIF(Suppliers!$A$2:$A$51,$E275)=0,1,0),0)</f>
        <v>0</v>
      </c>
      <c r="AI275" s="52">
        <f>IF(AND(COUNTA($A275:$L275)&gt;0,$F275=""),1,0)</f>
        <v>0</v>
      </c>
      <c r="AJ275" s="52">
        <f>IF(AND(COUNTA($A275:$L275)&gt;0,$F275&lt;&gt;"",$D275&lt;&gt;"",OR($C275="Shipment",$C275="Adjustment")),IF($AF275=1,0,IF(COUNTIFS(Batches!$A$2:$A$301,$F275,Batches!$B$2:$B$301,$D275)+COUNTIFS($F$1:$F274,$F275,$D$1:$D274,$D275,$C$1:$C274,"Receipt")=0,1,0)),0)</f>
        <v>0</v>
      </c>
      <c r="AK275" s="52">
        <f>IF(AND(COUNTA($A275:$L275)&gt;0,$C275="Receipt",$G275=""),1,0)</f>
        <v>0</v>
      </c>
      <c r="AL275" s="52">
        <f>IF(AND(COUNTA($A275:$L275)&gt;0,$G275&lt;&gt;""),IF($N275="ERR",1,0),0)</f>
        <v>0</v>
      </c>
      <c r="AM275" s="52">
        <f>IF(AND(COUNTA($A275:$L275)&gt;0,$H275=""),1,0)</f>
        <v>0</v>
      </c>
      <c r="AN275" s="52">
        <f>IF(AND(COUNTA($A275:$L275)&gt;0,$H275&lt;&gt;""),IF($O275="ERR",1,IF(INT($O275)&lt;&gt;$O275,1,IF(AND(OR($C275="Receipt",$C275="Shipment"),$O275&lt;=0),1,IF(AND($C275="Adjustment",$O275=0),1,0)))),0)</f>
        <v>0</v>
      </c>
      <c r="AO275" s="52">
        <f>IF(AND(COUNTA($A275:$L275)&gt;0,$C275="Receipt",$I275=""),1,0)</f>
        <v>0</v>
      </c>
      <c r="AP275" s="52">
        <f>IF(AND(COUNTA($A275:$L275)&gt;0,$I275&lt;&gt;""),IF(IFERROR(INDEX(Config!$G$15:$G$34,MATCH($I275,Config!$E$15:$E$34,0)),"No")="Yes",0,1),0)</f>
        <v>0</v>
      </c>
      <c r="AQ275" s="52">
        <f>IF(AND(COUNTA($A275:$L275)&gt;0,$C275="Adjustment",$J275=""),1,0)</f>
        <v>0</v>
      </c>
      <c r="AR275" s="52">
        <f>IF(AND(COUNTA($A275:$L275)&gt;0,$L275=""),1,0)</f>
        <v>0</v>
      </c>
      <c r="AS275" s="52">
        <f>IF(AND(COUNTA($A275:$L275)&gt;0,ISNUMBER($S275)),IF($S275&lt;0,1,0),0)</f>
        <v>0</v>
      </c>
      <c r="AT275" s="52">
        <f>$W275</f>
        <v>0</v>
      </c>
      <c r="AU275" s="52">
        <f>$AT275+$X275</f>
        <v>0</v>
      </c>
      <c r="AV275" s="52">
        <f>$AU275+$Y275</f>
        <v>0</v>
      </c>
      <c r="AW275" s="52">
        <f>$AV275+$Z275</f>
        <v>0</v>
      </c>
      <c r="AX275" s="52">
        <f>$AW275+$AA275</f>
        <v>0</v>
      </c>
      <c r="AY275" s="52">
        <f>$AX275+$AB275</f>
        <v>0</v>
      </c>
      <c r="AZ275" s="52">
        <f>$AY275+$AC275</f>
        <v>0</v>
      </c>
      <c r="BA275" s="52">
        <f>$AZ275+$AD275</f>
        <v>0</v>
      </c>
      <c r="BB275" s="52">
        <f>$BA275+$AE275</f>
        <v>0</v>
      </c>
      <c r="BC275" s="52">
        <f>$BB275+$AF275</f>
        <v>0</v>
      </c>
      <c r="BD275" s="52">
        <f>$BC275+$AG275</f>
        <v>0</v>
      </c>
      <c r="BE275" s="52">
        <f>$BD275+$AH275</f>
        <v>0</v>
      </c>
      <c r="BF275" s="52">
        <f>$BE275+$AI275</f>
        <v>0</v>
      </c>
      <c r="BG275" s="52">
        <f>$BF275+$AJ275</f>
        <v>0</v>
      </c>
      <c r="BH275" s="52">
        <f>$BG275+$AK275</f>
        <v>0</v>
      </c>
      <c r="BI275" s="52">
        <f>$BH275+$AL275</f>
        <v>0</v>
      </c>
      <c r="BJ275" s="52">
        <f>$BI275+$AM275</f>
        <v>0</v>
      </c>
      <c r="BK275" s="52">
        <f>$BJ275+$AN275</f>
        <v>0</v>
      </c>
      <c r="BL275" s="52">
        <f>$BK275+$AO275</f>
        <v>0</v>
      </c>
      <c r="BM275" s="52">
        <f>$BL275+$AP275</f>
        <v>0</v>
      </c>
      <c r="BN275" s="52">
        <f>$BM275+$AQ275</f>
        <v>0</v>
      </c>
      <c r="BO275" s="52">
        <f>$BN275+$AR275</f>
        <v>0</v>
      </c>
      <c r="BP275" s="52">
        <f>$BO275+$AS275</f>
        <v>0</v>
      </c>
      <c r="BQ275" s="52">
        <f>SUM($T$1:$T274)</f>
        <v>11</v>
      </c>
      <c r="BR275" s="52" t="str">
        <f>IF(ISNUMBER($T275),IF($T275&gt;0,COUNTIF($T$2:$T275,"&gt;0"),""),"")</f>
        <v/>
      </c>
      <c r="BS275" s="52" t="str">
        <f>IF($BR275="","",$BQ275+$T275)</f>
        <v/>
      </c>
      <c r="BT275" s="52" t="str">
        <f>IF($U275="Ready",COUNTIF($U$2:$U275,"Ready"),"")</f>
        <v/>
      </c>
      <c r="BU275" s="52">
        <f>IF(AND($U275="Ready",$C275="Receipt"),IF(COUNTIF(Batches!$A$2:$A$301,$F275)+COUNTIFS($F$1:$F274,$F275,$C$1:$C274,"Receipt",$U$1:$U274,"Ready")=0,1,0),0)</f>
        <v>0</v>
      </c>
      <c r="BV275" s="52" t="str">
        <f>IF($BU275=1,SUM($BU$2:$BU275),"")</f>
        <v/>
      </c>
    </row>
    <row r="276">
      <c r="A276" s="46" t="n"/>
      <c r="B276" s="46" t="n"/>
      <c r="C276" s="46" t="n"/>
      <c r="D276" s="46" t="n"/>
      <c r="E276" s="46" t="n"/>
      <c r="F276" s="46" t="n"/>
      <c r="G276" s="46" t="n"/>
      <c r="H276" s="46" t="n"/>
      <c r="I276" s="46" t="n"/>
      <c r="J276" s="46" t="n"/>
      <c r="K276" s="46" t="n"/>
      <c r="L276" s="46" t="n"/>
      <c r="M276" s="62" t="str">
        <f>IF($B276="","",IF(ISNUMBER($B276),$B276,IF(AND(LEN($B276)=10,MID($B276,5,1)="-",MID($B276,8,1)="-"),IFERROR(IF(AND(MONTH(DATE(VALUE(LEFT($B276,4)),VALUE(MID($B276,6,2)),VALUE(RIGHT($B276,2))))=VALUE(MID($B276,6,2)),DAY(DATE(VALUE(LEFT($B276,4)),VALUE(MID($B276,6,2)),VALUE(RIGHT($B276,2))))=VALUE(RIGHT($B276,2))),DATE(VALUE(LEFT($B276,4)),VALUE(MID($B276,6,2)),VALUE(RIGHT($B276,2))),"ERR"),"ERR"),"ERR")))</f>
        <v/>
      </c>
      <c r="N276" s="62" t="str">
        <f>IF($G276="","",IF(ISNUMBER($G276),$G276,IF(AND(LEN($G276)=10,MID($G276,5,1)="-",MID($G276,8,1)="-"),IFERROR(IF(AND(MONTH(DATE(VALUE(LEFT($G276,4)),VALUE(MID($G276,6,2)),VALUE(RIGHT($G276,2))))=VALUE(MID($G276,6,2)),DAY(DATE(VALUE(LEFT($G276,4)),VALUE(MID($G276,6,2)),VALUE(RIGHT($G276,2))))=VALUE(RIGHT($G276,2))),DATE(VALUE(LEFT($G276,4)),VALUE(MID($G276,6,2)),VALUE(RIGHT($G276,2))),"ERR"),"ERR"),"ERR")))</f>
        <v/>
      </c>
      <c r="O276" s="51" t="str">
        <f>IF($H276="","",IF(ISNUMBER($H276),$H276,IFERROR(VALUE($H276),"ERR")))</f>
        <v/>
      </c>
      <c r="P276" s="51" t="str">
        <f>IF(AND(ISNUMBER($O276),OR($C276="Receipt",$C276="Shipment",$C276="Adjustment")),IF($C276="Shipment",-$O276,$O276),"")</f>
        <v/>
      </c>
      <c r="Q276" s="51" t="str">
        <f>IF($D276="","",IFERROR(INDEX(Products!$R$2:$R$101,MATCH($D276,Products!$A$2:$A$101,0)),""))</f>
        <v/>
      </c>
      <c r="R276" s="51" t="str">
        <f>IF(OR($Q276="",$P276=""),"",$Q276+SUMIFS($P$1:$P275,$D$1:$D275,$D276,$U$1:$U275,"Ready"))</f>
        <v/>
      </c>
      <c r="S276" s="51" t="str">
        <f>IF($R276="","",$R276+$P276)</f>
        <v/>
      </c>
      <c r="T276" s="52" t="str">
        <f>IF(COUNTA($A276:$L276)&gt;0,$BP276,"")</f>
        <v/>
      </c>
      <c r="U276" s="49" t="str">
        <f>IF($T276="","",IF($T276=0,"Ready","Rejected"))</f>
        <v/>
      </c>
      <c r="V276" s="49" t="str">
        <f>IF(OR($T276="",$T276=0),"",INDEX(Config!$D$39:$D$61,MATCH(1,$AT276:$BP276,0))&amp;IF($T276&gt;1," (+"&amp;($T276-1)&amp;" more)",""))</f>
        <v/>
      </c>
      <c r="W276" s="52">
        <f>IF(AND(COUNTA($A276:$L276)&gt;0,$A276=""),1,0)</f>
        <v>0</v>
      </c>
      <c r="X276" s="52">
        <f>IF(AND(COUNTA($A276:$L276)&gt;0,$A276&lt;&gt;""),IF(COUNTIF($A$1:$A275,$A276)&gt;0,1,0),0)</f>
        <v>0</v>
      </c>
      <c r="Y276" s="52">
        <f>IF(AND(COUNTA($A276:$L276)&gt;0,$A276&lt;&gt;""),IF(COUNTIF(Inventory_Ledger!$A$2:$A$2001,$A276)&gt;0,1,0),0)</f>
        <v>0</v>
      </c>
      <c r="Z276" s="52">
        <f>IF(AND(COUNTA($A276:$L276)&gt;0,$B276=""),1,0)</f>
        <v>0</v>
      </c>
      <c r="AA276" s="52">
        <f>IF(AND(COUNTA($A276:$L276)&gt;0,$B276&lt;&gt;""),IF($M276="ERR",1,0),0)</f>
        <v>0</v>
      </c>
      <c r="AB276" s="52">
        <f>IF(AND(COUNTA($A276:$L276)&gt;0,ISNUMBER($M276)),IF($M276&gt;Config!$B$4,1,0),0)</f>
        <v>0</v>
      </c>
      <c r="AC276" s="52">
        <f>IF(AND(COUNTA($A276:$L276)&gt;0,$C276=""),1,0)</f>
        <v>0</v>
      </c>
      <c r="AD276" s="52">
        <f>IF(AND(COUNTA($A276:$L276)&gt;0,$C276&lt;&gt;""),IF(COUNTIF(Config!$A$15:$A$34,$C276)=0,1,0),0)</f>
        <v>0</v>
      </c>
      <c r="AE276" s="52">
        <f>IF(AND(COUNTA($A276:$L276)&gt;0,$D276=""),1,0)</f>
        <v>0</v>
      </c>
      <c r="AF276" s="52">
        <f>IF(AND(COUNTA($A276:$L276)&gt;0,$D276&lt;&gt;""),IF(COUNTIF(Products!$A$2:$A$101,$D276)=0,1,0),0)</f>
        <v>0</v>
      </c>
      <c r="AG276" s="52">
        <f>IF(AND(COUNTA($A276:$L276)&gt;0,$C276="Receipt",$E276=""),1,0)</f>
        <v>0</v>
      </c>
      <c r="AH276" s="52">
        <f>IF(AND(COUNTA($A276:$L276)&gt;0,$E276&lt;&gt;""),IF(COUNTIF(Suppliers!$A$2:$A$51,$E276)=0,1,0),0)</f>
        <v>0</v>
      </c>
      <c r="AI276" s="52">
        <f>IF(AND(COUNTA($A276:$L276)&gt;0,$F276=""),1,0)</f>
        <v>0</v>
      </c>
      <c r="AJ276" s="52">
        <f>IF(AND(COUNTA($A276:$L276)&gt;0,$F276&lt;&gt;"",$D276&lt;&gt;"",OR($C276="Shipment",$C276="Adjustment")),IF($AF276=1,0,IF(COUNTIFS(Batches!$A$2:$A$301,$F276,Batches!$B$2:$B$301,$D276)+COUNTIFS($F$1:$F275,$F276,$D$1:$D275,$D276,$C$1:$C275,"Receipt")=0,1,0)),0)</f>
        <v>0</v>
      </c>
      <c r="AK276" s="52">
        <f>IF(AND(COUNTA($A276:$L276)&gt;0,$C276="Receipt",$G276=""),1,0)</f>
        <v>0</v>
      </c>
      <c r="AL276" s="52">
        <f>IF(AND(COUNTA($A276:$L276)&gt;0,$G276&lt;&gt;""),IF($N276="ERR",1,0),0)</f>
        <v>0</v>
      </c>
      <c r="AM276" s="52">
        <f>IF(AND(COUNTA($A276:$L276)&gt;0,$H276=""),1,0)</f>
        <v>0</v>
      </c>
      <c r="AN276" s="52">
        <f>IF(AND(COUNTA($A276:$L276)&gt;0,$H276&lt;&gt;""),IF($O276="ERR",1,IF(INT($O276)&lt;&gt;$O276,1,IF(AND(OR($C276="Receipt",$C276="Shipment"),$O276&lt;=0),1,IF(AND($C276="Adjustment",$O276=0),1,0)))),0)</f>
        <v>0</v>
      </c>
      <c r="AO276" s="52">
        <f>IF(AND(COUNTA($A276:$L276)&gt;0,$C276="Receipt",$I276=""),1,0)</f>
        <v>0</v>
      </c>
      <c r="AP276" s="52">
        <f>IF(AND(COUNTA($A276:$L276)&gt;0,$I276&lt;&gt;""),IF(IFERROR(INDEX(Config!$G$15:$G$34,MATCH($I276,Config!$E$15:$E$34,0)),"No")="Yes",0,1),0)</f>
        <v>0</v>
      </c>
      <c r="AQ276" s="52">
        <f>IF(AND(COUNTA($A276:$L276)&gt;0,$C276="Adjustment",$J276=""),1,0)</f>
        <v>0</v>
      </c>
      <c r="AR276" s="52">
        <f>IF(AND(COUNTA($A276:$L276)&gt;0,$L276=""),1,0)</f>
        <v>0</v>
      </c>
      <c r="AS276" s="52">
        <f>IF(AND(COUNTA($A276:$L276)&gt;0,ISNUMBER($S276)),IF($S276&lt;0,1,0),0)</f>
        <v>0</v>
      </c>
      <c r="AT276" s="52">
        <f>$W276</f>
        <v>0</v>
      </c>
      <c r="AU276" s="52">
        <f>$AT276+$X276</f>
        <v>0</v>
      </c>
      <c r="AV276" s="52">
        <f>$AU276+$Y276</f>
        <v>0</v>
      </c>
      <c r="AW276" s="52">
        <f>$AV276+$Z276</f>
        <v>0</v>
      </c>
      <c r="AX276" s="52">
        <f>$AW276+$AA276</f>
        <v>0</v>
      </c>
      <c r="AY276" s="52">
        <f>$AX276+$AB276</f>
        <v>0</v>
      </c>
      <c r="AZ276" s="52">
        <f>$AY276+$AC276</f>
        <v>0</v>
      </c>
      <c r="BA276" s="52">
        <f>$AZ276+$AD276</f>
        <v>0</v>
      </c>
      <c r="BB276" s="52">
        <f>$BA276+$AE276</f>
        <v>0</v>
      </c>
      <c r="BC276" s="52">
        <f>$BB276+$AF276</f>
        <v>0</v>
      </c>
      <c r="BD276" s="52">
        <f>$BC276+$AG276</f>
        <v>0</v>
      </c>
      <c r="BE276" s="52">
        <f>$BD276+$AH276</f>
        <v>0</v>
      </c>
      <c r="BF276" s="52">
        <f>$BE276+$AI276</f>
        <v>0</v>
      </c>
      <c r="BG276" s="52">
        <f>$BF276+$AJ276</f>
        <v>0</v>
      </c>
      <c r="BH276" s="52">
        <f>$BG276+$AK276</f>
        <v>0</v>
      </c>
      <c r="BI276" s="52">
        <f>$BH276+$AL276</f>
        <v>0</v>
      </c>
      <c r="BJ276" s="52">
        <f>$BI276+$AM276</f>
        <v>0</v>
      </c>
      <c r="BK276" s="52">
        <f>$BJ276+$AN276</f>
        <v>0</v>
      </c>
      <c r="BL276" s="52">
        <f>$BK276+$AO276</f>
        <v>0</v>
      </c>
      <c r="BM276" s="52">
        <f>$BL276+$AP276</f>
        <v>0</v>
      </c>
      <c r="BN276" s="52">
        <f>$BM276+$AQ276</f>
        <v>0</v>
      </c>
      <c r="BO276" s="52">
        <f>$BN276+$AR276</f>
        <v>0</v>
      </c>
      <c r="BP276" s="52">
        <f>$BO276+$AS276</f>
        <v>0</v>
      </c>
      <c r="BQ276" s="52">
        <f>SUM($T$1:$T275)</f>
        <v>11</v>
      </c>
      <c r="BR276" s="52" t="str">
        <f>IF(ISNUMBER($T276),IF($T276&gt;0,COUNTIF($T$2:$T276,"&gt;0"),""),"")</f>
        <v/>
      </c>
      <c r="BS276" s="52" t="str">
        <f>IF($BR276="","",$BQ276+$T276)</f>
        <v/>
      </c>
      <c r="BT276" s="52" t="str">
        <f>IF($U276="Ready",COUNTIF($U$2:$U276,"Ready"),"")</f>
        <v/>
      </c>
      <c r="BU276" s="52">
        <f>IF(AND($U276="Ready",$C276="Receipt"),IF(COUNTIF(Batches!$A$2:$A$301,$F276)+COUNTIFS($F$1:$F275,$F276,$C$1:$C275,"Receipt",$U$1:$U275,"Ready")=0,1,0),0)</f>
        <v>0</v>
      </c>
      <c r="BV276" s="52" t="str">
        <f>IF($BU276=1,SUM($BU$2:$BU276),"")</f>
        <v/>
      </c>
    </row>
    <row r="277">
      <c r="A277" s="46" t="n"/>
      <c r="B277" s="46" t="n"/>
      <c r="C277" s="46" t="n"/>
      <c r="D277" s="46" t="n"/>
      <c r="E277" s="46" t="n"/>
      <c r="F277" s="46" t="n"/>
      <c r="G277" s="46" t="n"/>
      <c r="H277" s="46" t="n"/>
      <c r="I277" s="46" t="n"/>
      <c r="J277" s="46" t="n"/>
      <c r="K277" s="46" t="n"/>
      <c r="L277" s="46" t="n"/>
      <c r="M277" s="62" t="str">
        <f>IF($B277="","",IF(ISNUMBER($B277),$B277,IF(AND(LEN($B277)=10,MID($B277,5,1)="-",MID($B277,8,1)="-"),IFERROR(IF(AND(MONTH(DATE(VALUE(LEFT($B277,4)),VALUE(MID($B277,6,2)),VALUE(RIGHT($B277,2))))=VALUE(MID($B277,6,2)),DAY(DATE(VALUE(LEFT($B277,4)),VALUE(MID($B277,6,2)),VALUE(RIGHT($B277,2))))=VALUE(RIGHT($B277,2))),DATE(VALUE(LEFT($B277,4)),VALUE(MID($B277,6,2)),VALUE(RIGHT($B277,2))),"ERR"),"ERR"),"ERR")))</f>
        <v/>
      </c>
      <c r="N277" s="62" t="str">
        <f>IF($G277="","",IF(ISNUMBER($G277),$G277,IF(AND(LEN($G277)=10,MID($G277,5,1)="-",MID($G277,8,1)="-"),IFERROR(IF(AND(MONTH(DATE(VALUE(LEFT($G277,4)),VALUE(MID($G277,6,2)),VALUE(RIGHT($G277,2))))=VALUE(MID($G277,6,2)),DAY(DATE(VALUE(LEFT($G277,4)),VALUE(MID($G277,6,2)),VALUE(RIGHT($G277,2))))=VALUE(RIGHT($G277,2))),DATE(VALUE(LEFT($G277,4)),VALUE(MID($G277,6,2)),VALUE(RIGHT($G277,2))),"ERR"),"ERR"),"ERR")))</f>
        <v/>
      </c>
      <c r="O277" s="51" t="str">
        <f>IF($H277="","",IF(ISNUMBER($H277),$H277,IFERROR(VALUE($H277),"ERR")))</f>
        <v/>
      </c>
      <c r="P277" s="51" t="str">
        <f>IF(AND(ISNUMBER($O277),OR($C277="Receipt",$C277="Shipment",$C277="Adjustment")),IF($C277="Shipment",-$O277,$O277),"")</f>
        <v/>
      </c>
      <c r="Q277" s="51" t="str">
        <f>IF($D277="","",IFERROR(INDEX(Products!$R$2:$R$101,MATCH($D277,Products!$A$2:$A$101,0)),""))</f>
        <v/>
      </c>
      <c r="R277" s="51" t="str">
        <f>IF(OR($Q277="",$P277=""),"",$Q277+SUMIFS($P$1:$P276,$D$1:$D276,$D277,$U$1:$U276,"Ready"))</f>
        <v/>
      </c>
      <c r="S277" s="51" t="str">
        <f>IF($R277="","",$R277+$P277)</f>
        <v/>
      </c>
      <c r="T277" s="52" t="str">
        <f>IF(COUNTA($A277:$L277)&gt;0,$BP277,"")</f>
        <v/>
      </c>
      <c r="U277" s="49" t="str">
        <f>IF($T277="","",IF($T277=0,"Ready","Rejected"))</f>
        <v/>
      </c>
      <c r="V277" s="49" t="str">
        <f>IF(OR($T277="",$T277=0),"",INDEX(Config!$D$39:$D$61,MATCH(1,$AT277:$BP277,0))&amp;IF($T277&gt;1," (+"&amp;($T277-1)&amp;" more)",""))</f>
        <v/>
      </c>
      <c r="W277" s="52">
        <f>IF(AND(COUNTA($A277:$L277)&gt;0,$A277=""),1,0)</f>
        <v>0</v>
      </c>
      <c r="X277" s="52">
        <f>IF(AND(COUNTA($A277:$L277)&gt;0,$A277&lt;&gt;""),IF(COUNTIF($A$1:$A276,$A277)&gt;0,1,0),0)</f>
        <v>0</v>
      </c>
      <c r="Y277" s="52">
        <f>IF(AND(COUNTA($A277:$L277)&gt;0,$A277&lt;&gt;""),IF(COUNTIF(Inventory_Ledger!$A$2:$A$2001,$A277)&gt;0,1,0),0)</f>
        <v>0</v>
      </c>
      <c r="Z277" s="52">
        <f>IF(AND(COUNTA($A277:$L277)&gt;0,$B277=""),1,0)</f>
        <v>0</v>
      </c>
      <c r="AA277" s="52">
        <f>IF(AND(COUNTA($A277:$L277)&gt;0,$B277&lt;&gt;""),IF($M277="ERR",1,0),0)</f>
        <v>0</v>
      </c>
      <c r="AB277" s="52">
        <f>IF(AND(COUNTA($A277:$L277)&gt;0,ISNUMBER($M277)),IF($M277&gt;Config!$B$4,1,0),0)</f>
        <v>0</v>
      </c>
      <c r="AC277" s="52">
        <f>IF(AND(COUNTA($A277:$L277)&gt;0,$C277=""),1,0)</f>
        <v>0</v>
      </c>
      <c r="AD277" s="52">
        <f>IF(AND(COUNTA($A277:$L277)&gt;0,$C277&lt;&gt;""),IF(COUNTIF(Config!$A$15:$A$34,$C277)=0,1,0),0)</f>
        <v>0</v>
      </c>
      <c r="AE277" s="52">
        <f>IF(AND(COUNTA($A277:$L277)&gt;0,$D277=""),1,0)</f>
        <v>0</v>
      </c>
      <c r="AF277" s="52">
        <f>IF(AND(COUNTA($A277:$L277)&gt;0,$D277&lt;&gt;""),IF(COUNTIF(Products!$A$2:$A$101,$D277)=0,1,0),0)</f>
        <v>0</v>
      </c>
      <c r="AG277" s="52">
        <f>IF(AND(COUNTA($A277:$L277)&gt;0,$C277="Receipt",$E277=""),1,0)</f>
        <v>0</v>
      </c>
      <c r="AH277" s="52">
        <f>IF(AND(COUNTA($A277:$L277)&gt;0,$E277&lt;&gt;""),IF(COUNTIF(Suppliers!$A$2:$A$51,$E277)=0,1,0),0)</f>
        <v>0</v>
      </c>
      <c r="AI277" s="52">
        <f>IF(AND(COUNTA($A277:$L277)&gt;0,$F277=""),1,0)</f>
        <v>0</v>
      </c>
      <c r="AJ277" s="52">
        <f>IF(AND(COUNTA($A277:$L277)&gt;0,$F277&lt;&gt;"",$D277&lt;&gt;"",OR($C277="Shipment",$C277="Adjustment")),IF($AF277=1,0,IF(COUNTIFS(Batches!$A$2:$A$301,$F277,Batches!$B$2:$B$301,$D277)+COUNTIFS($F$1:$F276,$F277,$D$1:$D276,$D277,$C$1:$C276,"Receipt")=0,1,0)),0)</f>
        <v>0</v>
      </c>
      <c r="AK277" s="52">
        <f>IF(AND(COUNTA($A277:$L277)&gt;0,$C277="Receipt",$G277=""),1,0)</f>
        <v>0</v>
      </c>
      <c r="AL277" s="52">
        <f>IF(AND(COUNTA($A277:$L277)&gt;0,$G277&lt;&gt;""),IF($N277="ERR",1,0),0)</f>
        <v>0</v>
      </c>
      <c r="AM277" s="52">
        <f>IF(AND(COUNTA($A277:$L277)&gt;0,$H277=""),1,0)</f>
        <v>0</v>
      </c>
      <c r="AN277" s="52">
        <f>IF(AND(COUNTA($A277:$L277)&gt;0,$H277&lt;&gt;""),IF($O277="ERR",1,IF(INT($O277)&lt;&gt;$O277,1,IF(AND(OR($C277="Receipt",$C277="Shipment"),$O277&lt;=0),1,IF(AND($C277="Adjustment",$O277=0),1,0)))),0)</f>
        <v>0</v>
      </c>
      <c r="AO277" s="52">
        <f>IF(AND(COUNTA($A277:$L277)&gt;0,$C277="Receipt",$I277=""),1,0)</f>
        <v>0</v>
      </c>
      <c r="AP277" s="52">
        <f>IF(AND(COUNTA($A277:$L277)&gt;0,$I277&lt;&gt;""),IF(IFERROR(INDEX(Config!$G$15:$G$34,MATCH($I277,Config!$E$15:$E$34,0)),"No")="Yes",0,1),0)</f>
        <v>0</v>
      </c>
      <c r="AQ277" s="52">
        <f>IF(AND(COUNTA($A277:$L277)&gt;0,$C277="Adjustment",$J277=""),1,0)</f>
        <v>0</v>
      </c>
      <c r="AR277" s="52">
        <f>IF(AND(COUNTA($A277:$L277)&gt;0,$L277=""),1,0)</f>
        <v>0</v>
      </c>
      <c r="AS277" s="52">
        <f>IF(AND(COUNTA($A277:$L277)&gt;0,ISNUMBER($S277)),IF($S277&lt;0,1,0),0)</f>
        <v>0</v>
      </c>
      <c r="AT277" s="52">
        <f>$W277</f>
        <v>0</v>
      </c>
      <c r="AU277" s="52">
        <f>$AT277+$X277</f>
        <v>0</v>
      </c>
      <c r="AV277" s="52">
        <f>$AU277+$Y277</f>
        <v>0</v>
      </c>
      <c r="AW277" s="52">
        <f>$AV277+$Z277</f>
        <v>0</v>
      </c>
      <c r="AX277" s="52">
        <f>$AW277+$AA277</f>
        <v>0</v>
      </c>
      <c r="AY277" s="52">
        <f>$AX277+$AB277</f>
        <v>0</v>
      </c>
      <c r="AZ277" s="52">
        <f>$AY277+$AC277</f>
        <v>0</v>
      </c>
      <c r="BA277" s="52">
        <f>$AZ277+$AD277</f>
        <v>0</v>
      </c>
      <c r="BB277" s="52">
        <f>$BA277+$AE277</f>
        <v>0</v>
      </c>
      <c r="BC277" s="52">
        <f>$BB277+$AF277</f>
        <v>0</v>
      </c>
      <c r="BD277" s="52">
        <f>$BC277+$AG277</f>
        <v>0</v>
      </c>
      <c r="BE277" s="52">
        <f>$BD277+$AH277</f>
        <v>0</v>
      </c>
      <c r="BF277" s="52">
        <f>$BE277+$AI277</f>
        <v>0</v>
      </c>
      <c r="BG277" s="52">
        <f>$BF277+$AJ277</f>
        <v>0</v>
      </c>
      <c r="BH277" s="52">
        <f>$BG277+$AK277</f>
        <v>0</v>
      </c>
      <c r="BI277" s="52">
        <f>$BH277+$AL277</f>
        <v>0</v>
      </c>
      <c r="BJ277" s="52">
        <f>$BI277+$AM277</f>
        <v>0</v>
      </c>
      <c r="BK277" s="52">
        <f>$BJ277+$AN277</f>
        <v>0</v>
      </c>
      <c r="BL277" s="52">
        <f>$BK277+$AO277</f>
        <v>0</v>
      </c>
      <c r="BM277" s="52">
        <f>$BL277+$AP277</f>
        <v>0</v>
      </c>
      <c r="BN277" s="52">
        <f>$BM277+$AQ277</f>
        <v>0</v>
      </c>
      <c r="BO277" s="52">
        <f>$BN277+$AR277</f>
        <v>0</v>
      </c>
      <c r="BP277" s="52">
        <f>$BO277+$AS277</f>
        <v>0</v>
      </c>
      <c r="BQ277" s="52">
        <f>SUM($T$1:$T276)</f>
        <v>11</v>
      </c>
      <c r="BR277" s="52" t="str">
        <f>IF(ISNUMBER($T277),IF($T277&gt;0,COUNTIF($T$2:$T277,"&gt;0"),""),"")</f>
        <v/>
      </c>
      <c r="BS277" s="52" t="str">
        <f>IF($BR277="","",$BQ277+$T277)</f>
        <v/>
      </c>
      <c r="BT277" s="52" t="str">
        <f>IF($U277="Ready",COUNTIF($U$2:$U277,"Ready"),"")</f>
        <v/>
      </c>
      <c r="BU277" s="52">
        <f>IF(AND($U277="Ready",$C277="Receipt"),IF(COUNTIF(Batches!$A$2:$A$301,$F277)+COUNTIFS($F$1:$F276,$F277,$C$1:$C276,"Receipt",$U$1:$U276,"Ready")=0,1,0),0)</f>
        <v>0</v>
      </c>
      <c r="BV277" s="52" t="str">
        <f>IF($BU277=1,SUM($BU$2:$BU277),"")</f>
        <v/>
      </c>
    </row>
    <row r="278">
      <c r="A278" s="46" t="n"/>
      <c r="B278" s="46" t="n"/>
      <c r="C278" s="46" t="n"/>
      <c r="D278" s="46" t="n"/>
      <c r="E278" s="46" t="n"/>
      <c r="F278" s="46" t="n"/>
      <c r="G278" s="46" t="n"/>
      <c r="H278" s="46" t="n"/>
      <c r="I278" s="46" t="n"/>
      <c r="J278" s="46" t="n"/>
      <c r="K278" s="46" t="n"/>
      <c r="L278" s="46" t="n"/>
      <c r="M278" s="62" t="str">
        <f>IF($B278="","",IF(ISNUMBER($B278),$B278,IF(AND(LEN($B278)=10,MID($B278,5,1)="-",MID($B278,8,1)="-"),IFERROR(IF(AND(MONTH(DATE(VALUE(LEFT($B278,4)),VALUE(MID($B278,6,2)),VALUE(RIGHT($B278,2))))=VALUE(MID($B278,6,2)),DAY(DATE(VALUE(LEFT($B278,4)),VALUE(MID($B278,6,2)),VALUE(RIGHT($B278,2))))=VALUE(RIGHT($B278,2))),DATE(VALUE(LEFT($B278,4)),VALUE(MID($B278,6,2)),VALUE(RIGHT($B278,2))),"ERR"),"ERR"),"ERR")))</f>
        <v/>
      </c>
      <c r="N278" s="62" t="str">
        <f>IF($G278="","",IF(ISNUMBER($G278),$G278,IF(AND(LEN($G278)=10,MID($G278,5,1)="-",MID($G278,8,1)="-"),IFERROR(IF(AND(MONTH(DATE(VALUE(LEFT($G278,4)),VALUE(MID($G278,6,2)),VALUE(RIGHT($G278,2))))=VALUE(MID($G278,6,2)),DAY(DATE(VALUE(LEFT($G278,4)),VALUE(MID($G278,6,2)),VALUE(RIGHT($G278,2))))=VALUE(RIGHT($G278,2))),DATE(VALUE(LEFT($G278,4)),VALUE(MID($G278,6,2)),VALUE(RIGHT($G278,2))),"ERR"),"ERR"),"ERR")))</f>
        <v/>
      </c>
      <c r="O278" s="51" t="str">
        <f>IF($H278="","",IF(ISNUMBER($H278),$H278,IFERROR(VALUE($H278),"ERR")))</f>
        <v/>
      </c>
      <c r="P278" s="51" t="str">
        <f>IF(AND(ISNUMBER($O278),OR($C278="Receipt",$C278="Shipment",$C278="Adjustment")),IF($C278="Shipment",-$O278,$O278),"")</f>
        <v/>
      </c>
      <c r="Q278" s="51" t="str">
        <f>IF($D278="","",IFERROR(INDEX(Products!$R$2:$R$101,MATCH($D278,Products!$A$2:$A$101,0)),""))</f>
        <v/>
      </c>
      <c r="R278" s="51" t="str">
        <f>IF(OR($Q278="",$P278=""),"",$Q278+SUMIFS($P$1:$P277,$D$1:$D277,$D278,$U$1:$U277,"Ready"))</f>
        <v/>
      </c>
      <c r="S278" s="51" t="str">
        <f>IF($R278="","",$R278+$P278)</f>
        <v/>
      </c>
      <c r="T278" s="52" t="str">
        <f>IF(COUNTA($A278:$L278)&gt;0,$BP278,"")</f>
        <v/>
      </c>
      <c r="U278" s="49" t="str">
        <f>IF($T278="","",IF($T278=0,"Ready","Rejected"))</f>
        <v/>
      </c>
      <c r="V278" s="49" t="str">
        <f>IF(OR($T278="",$T278=0),"",INDEX(Config!$D$39:$D$61,MATCH(1,$AT278:$BP278,0))&amp;IF($T278&gt;1," (+"&amp;($T278-1)&amp;" more)",""))</f>
        <v/>
      </c>
      <c r="W278" s="52">
        <f>IF(AND(COUNTA($A278:$L278)&gt;0,$A278=""),1,0)</f>
        <v>0</v>
      </c>
      <c r="X278" s="52">
        <f>IF(AND(COUNTA($A278:$L278)&gt;0,$A278&lt;&gt;""),IF(COUNTIF($A$1:$A277,$A278)&gt;0,1,0),0)</f>
        <v>0</v>
      </c>
      <c r="Y278" s="52">
        <f>IF(AND(COUNTA($A278:$L278)&gt;0,$A278&lt;&gt;""),IF(COUNTIF(Inventory_Ledger!$A$2:$A$2001,$A278)&gt;0,1,0),0)</f>
        <v>0</v>
      </c>
      <c r="Z278" s="52">
        <f>IF(AND(COUNTA($A278:$L278)&gt;0,$B278=""),1,0)</f>
        <v>0</v>
      </c>
      <c r="AA278" s="52">
        <f>IF(AND(COUNTA($A278:$L278)&gt;0,$B278&lt;&gt;""),IF($M278="ERR",1,0),0)</f>
        <v>0</v>
      </c>
      <c r="AB278" s="52">
        <f>IF(AND(COUNTA($A278:$L278)&gt;0,ISNUMBER($M278)),IF($M278&gt;Config!$B$4,1,0),0)</f>
        <v>0</v>
      </c>
      <c r="AC278" s="52">
        <f>IF(AND(COUNTA($A278:$L278)&gt;0,$C278=""),1,0)</f>
        <v>0</v>
      </c>
      <c r="AD278" s="52">
        <f>IF(AND(COUNTA($A278:$L278)&gt;0,$C278&lt;&gt;""),IF(COUNTIF(Config!$A$15:$A$34,$C278)=0,1,0),0)</f>
        <v>0</v>
      </c>
      <c r="AE278" s="52">
        <f>IF(AND(COUNTA($A278:$L278)&gt;0,$D278=""),1,0)</f>
        <v>0</v>
      </c>
      <c r="AF278" s="52">
        <f>IF(AND(COUNTA($A278:$L278)&gt;0,$D278&lt;&gt;""),IF(COUNTIF(Products!$A$2:$A$101,$D278)=0,1,0),0)</f>
        <v>0</v>
      </c>
      <c r="AG278" s="52">
        <f>IF(AND(COUNTA($A278:$L278)&gt;0,$C278="Receipt",$E278=""),1,0)</f>
        <v>0</v>
      </c>
      <c r="AH278" s="52">
        <f>IF(AND(COUNTA($A278:$L278)&gt;0,$E278&lt;&gt;""),IF(COUNTIF(Suppliers!$A$2:$A$51,$E278)=0,1,0),0)</f>
        <v>0</v>
      </c>
      <c r="AI278" s="52">
        <f>IF(AND(COUNTA($A278:$L278)&gt;0,$F278=""),1,0)</f>
        <v>0</v>
      </c>
      <c r="AJ278" s="52">
        <f>IF(AND(COUNTA($A278:$L278)&gt;0,$F278&lt;&gt;"",$D278&lt;&gt;"",OR($C278="Shipment",$C278="Adjustment")),IF($AF278=1,0,IF(COUNTIFS(Batches!$A$2:$A$301,$F278,Batches!$B$2:$B$301,$D278)+COUNTIFS($F$1:$F277,$F278,$D$1:$D277,$D278,$C$1:$C277,"Receipt")=0,1,0)),0)</f>
        <v>0</v>
      </c>
      <c r="AK278" s="52">
        <f>IF(AND(COUNTA($A278:$L278)&gt;0,$C278="Receipt",$G278=""),1,0)</f>
        <v>0</v>
      </c>
      <c r="AL278" s="52">
        <f>IF(AND(COUNTA($A278:$L278)&gt;0,$G278&lt;&gt;""),IF($N278="ERR",1,0),0)</f>
        <v>0</v>
      </c>
      <c r="AM278" s="52">
        <f>IF(AND(COUNTA($A278:$L278)&gt;0,$H278=""),1,0)</f>
        <v>0</v>
      </c>
      <c r="AN278" s="52">
        <f>IF(AND(COUNTA($A278:$L278)&gt;0,$H278&lt;&gt;""),IF($O278="ERR",1,IF(INT($O278)&lt;&gt;$O278,1,IF(AND(OR($C278="Receipt",$C278="Shipment"),$O278&lt;=0),1,IF(AND($C278="Adjustment",$O278=0),1,0)))),0)</f>
        <v>0</v>
      </c>
      <c r="AO278" s="52">
        <f>IF(AND(COUNTA($A278:$L278)&gt;0,$C278="Receipt",$I278=""),1,0)</f>
        <v>0</v>
      </c>
      <c r="AP278" s="52">
        <f>IF(AND(COUNTA($A278:$L278)&gt;0,$I278&lt;&gt;""),IF(IFERROR(INDEX(Config!$G$15:$G$34,MATCH($I278,Config!$E$15:$E$34,0)),"No")="Yes",0,1),0)</f>
        <v>0</v>
      </c>
      <c r="AQ278" s="52">
        <f>IF(AND(COUNTA($A278:$L278)&gt;0,$C278="Adjustment",$J278=""),1,0)</f>
        <v>0</v>
      </c>
      <c r="AR278" s="52">
        <f>IF(AND(COUNTA($A278:$L278)&gt;0,$L278=""),1,0)</f>
        <v>0</v>
      </c>
      <c r="AS278" s="52">
        <f>IF(AND(COUNTA($A278:$L278)&gt;0,ISNUMBER($S278)),IF($S278&lt;0,1,0),0)</f>
        <v>0</v>
      </c>
      <c r="AT278" s="52">
        <f>$W278</f>
        <v>0</v>
      </c>
      <c r="AU278" s="52">
        <f>$AT278+$X278</f>
        <v>0</v>
      </c>
      <c r="AV278" s="52">
        <f>$AU278+$Y278</f>
        <v>0</v>
      </c>
      <c r="AW278" s="52">
        <f>$AV278+$Z278</f>
        <v>0</v>
      </c>
      <c r="AX278" s="52">
        <f>$AW278+$AA278</f>
        <v>0</v>
      </c>
      <c r="AY278" s="52">
        <f>$AX278+$AB278</f>
        <v>0</v>
      </c>
      <c r="AZ278" s="52">
        <f>$AY278+$AC278</f>
        <v>0</v>
      </c>
      <c r="BA278" s="52">
        <f>$AZ278+$AD278</f>
        <v>0</v>
      </c>
      <c r="BB278" s="52">
        <f>$BA278+$AE278</f>
        <v>0</v>
      </c>
      <c r="BC278" s="52">
        <f>$BB278+$AF278</f>
        <v>0</v>
      </c>
      <c r="BD278" s="52">
        <f>$BC278+$AG278</f>
        <v>0</v>
      </c>
      <c r="BE278" s="52">
        <f>$BD278+$AH278</f>
        <v>0</v>
      </c>
      <c r="BF278" s="52">
        <f>$BE278+$AI278</f>
        <v>0</v>
      </c>
      <c r="BG278" s="52">
        <f>$BF278+$AJ278</f>
        <v>0</v>
      </c>
      <c r="BH278" s="52">
        <f>$BG278+$AK278</f>
        <v>0</v>
      </c>
      <c r="BI278" s="52">
        <f>$BH278+$AL278</f>
        <v>0</v>
      </c>
      <c r="BJ278" s="52">
        <f>$BI278+$AM278</f>
        <v>0</v>
      </c>
      <c r="BK278" s="52">
        <f>$BJ278+$AN278</f>
        <v>0</v>
      </c>
      <c r="BL278" s="52">
        <f>$BK278+$AO278</f>
        <v>0</v>
      </c>
      <c r="BM278" s="52">
        <f>$BL278+$AP278</f>
        <v>0</v>
      </c>
      <c r="BN278" s="52">
        <f>$BM278+$AQ278</f>
        <v>0</v>
      </c>
      <c r="BO278" s="52">
        <f>$BN278+$AR278</f>
        <v>0</v>
      </c>
      <c r="BP278" s="52">
        <f>$BO278+$AS278</f>
        <v>0</v>
      </c>
      <c r="BQ278" s="52">
        <f>SUM($T$1:$T277)</f>
        <v>11</v>
      </c>
      <c r="BR278" s="52" t="str">
        <f>IF(ISNUMBER($T278),IF($T278&gt;0,COUNTIF($T$2:$T278,"&gt;0"),""),"")</f>
        <v/>
      </c>
      <c r="BS278" s="52" t="str">
        <f>IF($BR278="","",$BQ278+$T278)</f>
        <v/>
      </c>
      <c r="BT278" s="52" t="str">
        <f>IF($U278="Ready",COUNTIF($U$2:$U278,"Ready"),"")</f>
        <v/>
      </c>
      <c r="BU278" s="52">
        <f>IF(AND($U278="Ready",$C278="Receipt"),IF(COUNTIF(Batches!$A$2:$A$301,$F278)+COUNTIFS($F$1:$F277,$F278,$C$1:$C277,"Receipt",$U$1:$U277,"Ready")=0,1,0),0)</f>
        <v>0</v>
      </c>
      <c r="BV278" s="52" t="str">
        <f>IF($BU278=1,SUM($BU$2:$BU278),"")</f>
        <v/>
      </c>
    </row>
    <row r="279">
      <c r="A279" s="46" t="n"/>
      <c r="B279" s="46" t="n"/>
      <c r="C279" s="46" t="n"/>
      <c r="D279" s="46" t="n"/>
      <c r="E279" s="46" t="n"/>
      <c r="F279" s="46" t="n"/>
      <c r="G279" s="46" t="n"/>
      <c r="H279" s="46" t="n"/>
      <c r="I279" s="46" t="n"/>
      <c r="J279" s="46" t="n"/>
      <c r="K279" s="46" t="n"/>
      <c r="L279" s="46" t="n"/>
      <c r="M279" s="62" t="str">
        <f>IF($B279="","",IF(ISNUMBER($B279),$B279,IF(AND(LEN($B279)=10,MID($B279,5,1)="-",MID($B279,8,1)="-"),IFERROR(IF(AND(MONTH(DATE(VALUE(LEFT($B279,4)),VALUE(MID($B279,6,2)),VALUE(RIGHT($B279,2))))=VALUE(MID($B279,6,2)),DAY(DATE(VALUE(LEFT($B279,4)),VALUE(MID($B279,6,2)),VALUE(RIGHT($B279,2))))=VALUE(RIGHT($B279,2))),DATE(VALUE(LEFT($B279,4)),VALUE(MID($B279,6,2)),VALUE(RIGHT($B279,2))),"ERR"),"ERR"),"ERR")))</f>
        <v/>
      </c>
      <c r="N279" s="62" t="str">
        <f>IF($G279="","",IF(ISNUMBER($G279),$G279,IF(AND(LEN($G279)=10,MID($G279,5,1)="-",MID($G279,8,1)="-"),IFERROR(IF(AND(MONTH(DATE(VALUE(LEFT($G279,4)),VALUE(MID($G279,6,2)),VALUE(RIGHT($G279,2))))=VALUE(MID($G279,6,2)),DAY(DATE(VALUE(LEFT($G279,4)),VALUE(MID($G279,6,2)),VALUE(RIGHT($G279,2))))=VALUE(RIGHT($G279,2))),DATE(VALUE(LEFT($G279,4)),VALUE(MID($G279,6,2)),VALUE(RIGHT($G279,2))),"ERR"),"ERR"),"ERR")))</f>
        <v/>
      </c>
      <c r="O279" s="51" t="str">
        <f>IF($H279="","",IF(ISNUMBER($H279),$H279,IFERROR(VALUE($H279),"ERR")))</f>
        <v/>
      </c>
      <c r="P279" s="51" t="str">
        <f>IF(AND(ISNUMBER($O279),OR($C279="Receipt",$C279="Shipment",$C279="Adjustment")),IF($C279="Shipment",-$O279,$O279),"")</f>
        <v/>
      </c>
      <c r="Q279" s="51" t="str">
        <f>IF($D279="","",IFERROR(INDEX(Products!$R$2:$R$101,MATCH($D279,Products!$A$2:$A$101,0)),""))</f>
        <v/>
      </c>
      <c r="R279" s="51" t="str">
        <f>IF(OR($Q279="",$P279=""),"",$Q279+SUMIFS($P$1:$P278,$D$1:$D278,$D279,$U$1:$U278,"Ready"))</f>
        <v/>
      </c>
      <c r="S279" s="51" t="str">
        <f>IF($R279="","",$R279+$P279)</f>
        <v/>
      </c>
      <c r="T279" s="52" t="str">
        <f>IF(COUNTA($A279:$L279)&gt;0,$BP279,"")</f>
        <v/>
      </c>
      <c r="U279" s="49" t="str">
        <f>IF($T279="","",IF($T279=0,"Ready","Rejected"))</f>
        <v/>
      </c>
      <c r="V279" s="49" t="str">
        <f>IF(OR($T279="",$T279=0),"",INDEX(Config!$D$39:$D$61,MATCH(1,$AT279:$BP279,0))&amp;IF($T279&gt;1," (+"&amp;($T279-1)&amp;" more)",""))</f>
        <v/>
      </c>
      <c r="W279" s="52">
        <f>IF(AND(COUNTA($A279:$L279)&gt;0,$A279=""),1,0)</f>
        <v>0</v>
      </c>
      <c r="X279" s="52">
        <f>IF(AND(COUNTA($A279:$L279)&gt;0,$A279&lt;&gt;""),IF(COUNTIF($A$1:$A278,$A279)&gt;0,1,0),0)</f>
        <v>0</v>
      </c>
      <c r="Y279" s="52">
        <f>IF(AND(COUNTA($A279:$L279)&gt;0,$A279&lt;&gt;""),IF(COUNTIF(Inventory_Ledger!$A$2:$A$2001,$A279)&gt;0,1,0),0)</f>
        <v>0</v>
      </c>
      <c r="Z279" s="52">
        <f>IF(AND(COUNTA($A279:$L279)&gt;0,$B279=""),1,0)</f>
        <v>0</v>
      </c>
      <c r="AA279" s="52">
        <f>IF(AND(COUNTA($A279:$L279)&gt;0,$B279&lt;&gt;""),IF($M279="ERR",1,0),0)</f>
        <v>0</v>
      </c>
      <c r="AB279" s="52">
        <f>IF(AND(COUNTA($A279:$L279)&gt;0,ISNUMBER($M279)),IF($M279&gt;Config!$B$4,1,0),0)</f>
        <v>0</v>
      </c>
      <c r="AC279" s="52">
        <f>IF(AND(COUNTA($A279:$L279)&gt;0,$C279=""),1,0)</f>
        <v>0</v>
      </c>
      <c r="AD279" s="52">
        <f>IF(AND(COUNTA($A279:$L279)&gt;0,$C279&lt;&gt;""),IF(COUNTIF(Config!$A$15:$A$34,$C279)=0,1,0),0)</f>
        <v>0</v>
      </c>
      <c r="AE279" s="52">
        <f>IF(AND(COUNTA($A279:$L279)&gt;0,$D279=""),1,0)</f>
        <v>0</v>
      </c>
      <c r="AF279" s="52">
        <f>IF(AND(COUNTA($A279:$L279)&gt;0,$D279&lt;&gt;""),IF(COUNTIF(Products!$A$2:$A$101,$D279)=0,1,0),0)</f>
        <v>0</v>
      </c>
      <c r="AG279" s="52">
        <f>IF(AND(COUNTA($A279:$L279)&gt;0,$C279="Receipt",$E279=""),1,0)</f>
        <v>0</v>
      </c>
      <c r="AH279" s="52">
        <f>IF(AND(COUNTA($A279:$L279)&gt;0,$E279&lt;&gt;""),IF(COUNTIF(Suppliers!$A$2:$A$51,$E279)=0,1,0),0)</f>
        <v>0</v>
      </c>
      <c r="AI279" s="52">
        <f>IF(AND(COUNTA($A279:$L279)&gt;0,$F279=""),1,0)</f>
        <v>0</v>
      </c>
      <c r="AJ279" s="52">
        <f>IF(AND(COUNTA($A279:$L279)&gt;0,$F279&lt;&gt;"",$D279&lt;&gt;"",OR($C279="Shipment",$C279="Adjustment")),IF($AF279=1,0,IF(COUNTIFS(Batches!$A$2:$A$301,$F279,Batches!$B$2:$B$301,$D279)+COUNTIFS($F$1:$F278,$F279,$D$1:$D278,$D279,$C$1:$C278,"Receipt")=0,1,0)),0)</f>
        <v>0</v>
      </c>
      <c r="AK279" s="52">
        <f>IF(AND(COUNTA($A279:$L279)&gt;0,$C279="Receipt",$G279=""),1,0)</f>
        <v>0</v>
      </c>
      <c r="AL279" s="52">
        <f>IF(AND(COUNTA($A279:$L279)&gt;0,$G279&lt;&gt;""),IF($N279="ERR",1,0),0)</f>
        <v>0</v>
      </c>
      <c r="AM279" s="52">
        <f>IF(AND(COUNTA($A279:$L279)&gt;0,$H279=""),1,0)</f>
        <v>0</v>
      </c>
      <c r="AN279" s="52">
        <f>IF(AND(COUNTA($A279:$L279)&gt;0,$H279&lt;&gt;""),IF($O279="ERR",1,IF(INT($O279)&lt;&gt;$O279,1,IF(AND(OR($C279="Receipt",$C279="Shipment"),$O279&lt;=0),1,IF(AND($C279="Adjustment",$O279=0),1,0)))),0)</f>
        <v>0</v>
      </c>
      <c r="AO279" s="52">
        <f>IF(AND(COUNTA($A279:$L279)&gt;0,$C279="Receipt",$I279=""),1,0)</f>
        <v>0</v>
      </c>
      <c r="AP279" s="52">
        <f>IF(AND(COUNTA($A279:$L279)&gt;0,$I279&lt;&gt;""),IF(IFERROR(INDEX(Config!$G$15:$G$34,MATCH($I279,Config!$E$15:$E$34,0)),"No")="Yes",0,1),0)</f>
        <v>0</v>
      </c>
      <c r="AQ279" s="52">
        <f>IF(AND(COUNTA($A279:$L279)&gt;0,$C279="Adjustment",$J279=""),1,0)</f>
        <v>0</v>
      </c>
      <c r="AR279" s="52">
        <f>IF(AND(COUNTA($A279:$L279)&gt;0,$L279=""),1,0)</f>
        <v>0</v>
      </c>
      <c r="AS279" s="52">
        <f>IF(AND(COUNTA($A279:$L279)&gt;0,ISNUMBER($S279)),IF($S279&lt;0,1,0),0)</f>
        <v>0</v>
      </c>
      <c r="AT279" s="52">
        <f>$W279</f>
        <v>0</v>
      </c>
      <c r="AU279" s="52">
        <f>$AT279+$X279</f>
        <v>0</v>
      </c>
      <c r="AV279" s="52">
        <f>$AU279+$Y279</f>
        <v>0</v>
      </c>
      <c r="AW279" s="52">
        <f>$AV279+$Z279</f>
        <v>0</v>
      </c>
      <c r="AX279" s="52">
        <f>$AW279+$AA279</f>
        <v>0</v>
      </c>
      <c r="AY279" s="52">
        <f>$AX279+$AB279</f>
        <v>0</v>
      </c>
      <c r="AZ279" s="52">
        <f>$AY279+$AC279</f>
        <v>0</v>
      </c>
      <c r="BA279" s="52">
        <f>$AZ279+$AD279</f>
        <v>0</v>
      </c>
      <c r="BB279" s="52">
        <f>$BA279+$AE279</f>
        <v>0</v>
      </c>
      <c r="BC279" s="52">
        <f>$BB279+$AF279</f>
        <v>0</v>
      </c>
      <c r="BD279" s="52">
        <f>$BC279+$AG279</f>
        <v>0</v>
      </c>
      <c r="BE279" s="52">
        <f>$BD279+$AH279</f>
        <v>0</v>
      </c>
      <c r="BF279" s="52">
        <f>$BE279+$AI279</f>
        <v>0</v>
      </c>
      <c r="BG279" s="52">
        <f>$BF279+$AJ279</f>
        <v>0</v>
      </c>
      <c r="BH279" s="52">
        <f>$BG279+$AK279</f>
        <v>0</v>
      </c>
      <c r="BI279" s="52">
        <f>$BH279+$AL279</f>
        <v>0</v>
      </c>
      <c r="BJ279" s="52">
        <f>$BI279+$AM279</f>
        <v>0</v>
      </c>
      <c r="BK279" s="52">
        <f>$BJ279+$AN279</f>
        <v>0</v>
      </c>
      <c r="BL279" s="52">
        <f>$BK279+$AO279</f>
        <v>0</v>
      </c>
      <c r="BM279" s="52">
        <f>$BL279+$AP279</f>
        <v>0</v>
      </c>
      <c r="BN279" s="52">
        <f>$BM279+$AQ279</f>
        <v>0</v>
      </c>
      <c r="BO279" s="52">
        <f>$BN279+$AR279</f>
        <v>0</v>
      </c>
      <c r="BP279" s="52">
        <f>$BO279+$AS279</f>
        <v>0</v>
      </c>
      <c r="BQ279" s="52">
        <f>SUM($T$1:$T278)</f>
        <v>11</v>
      </c>
      <c r="BR279" s="52" t="str">
        <f>IF(ISNUMBER($T279),IF($T279&gt;0,COUNTIF($T$2:$T279,"&gt;0"),""),"")</f>
        <v/>
      </c>
      <c r="BS279" s="52" t="str">
        <f>IF($BR279="","",$BQ279+$T279)</f>
        <v/>
      </c>
      <c r="BT279" s="52" t="str">
        <f>IF($U279="Ready",COUNTIF($U$2:$U279,"Ready"),"")</f>
        <v/>
      </c>
      <c r="BU279" s="52">
        <f>IF(AND($U279="Ready",$C279="Receipt"),IF(COUNTIF(Batches!$A$2:$A$301,$F279)+COUNTIFS($F$1:$F278,$F279,$C$1:$C278,"Receipt",$U$1:$U278,"Ready")=0,1,0),0)</f>
        <v>0</v>
      </c>
      <c r="BV279" s="52" t="str">
        <f>IF($BU279=1,SUM($BU$2:$BU279),"")</f>
        <v/>
      </c>
    </row>
    <row r="280">
      <c r="A280" s="46" t="n"/>
      <c r="B280" s="46" t="n"/>
      <c r="C280" s="46" t="n"/>
      <c r="D280" s="46" t="n"/>
      <c r="E280" s="46" t="n"/>
      <c r="F280" s="46" t="n"/>
      <c r="G280" s="46" t="n"/>
      <c r="H280" s="46" t="n"/>
      <c r="I280" s="46" t="n"/>
      <c r="J280" s="46" t="n"/>
      <c r="K280" s="46" t="n"/>
      <c r="L280" s="46" t="n"/>
      <c r="M280" s="62" t="str">
        <f>IF($B280="","",IF(ISNUMBER($B280),$B280,IF(AND(LEN($B280)=10,MID($B280,5,1)="-",MID($B280,8,1)="-"),IFERROR(IF(AND(MONTH(DATE(VALUE(LEFT($B280,4)),VALUE(MID($B280,6,2)),VALUE(RIGHT($B280,2))))=VALUE(MID($B280,6,2)),DAY(DATE(VALUE(LEFT($B280,4)),VALUE(MID($B280,6,2)),VALUE(RIGHT($B280,2))))=VALUE(RIGHT($B280,2))),DATE(VALUE(LEFT($B280,4)),VALUE(MID($B280,6,2)),VALUE(RIGHT($B280,2))),"ERR"),"ERR"),"ERR")))</f>
        <v/>
      </c>
      <c r="N280" s="62" t="str">
        <f>IF($G280="","",IF(ISNUMBER($G280),$G280,IF(AND(LEN($G280)=10,MID($G280,5,1)="-",MID($G280,8,1)="-"),IFERROR(IF(AND(MONTH(DATE(VALUE(LEFT($G280,4)),VALUE(MID($G280,6,2)),VALUE(RIGHT($G280,2))))=VALUE(MID($G280,6,2)),DAY(DATE(VALUE(LEFT($G280,4)),VALUE(MID($G280,6,2)),VALUE(RIGHT($G280,2))))=VALUE(RIGHT($G280,2))),DATE(VALUE(LEFT($G280,4)),VALUE(MID($G280,6,2)),VALUE(RIGHT($G280,2))),"ERR"),"ERR"),"ERR")))</f>
        <v/>
      </c>
      <c r="O280" s="51" t="str">
        <f>IF($H280="","",IF(ISNUMBER($H280),$H280,IFERROR(VALUE($H280),"ERR")))</f>
        <v/>
      </c>
      <c r="P280" s="51" t="str">
        <f>IF(AND(ISNUMBER($O280),OR($C280="Receipt",$C280="Shipment",$C280="Adjustment")),IF($C280="Shipment",-$O280,$O280),"")</f>
        <v/>
      </c>
      <c r="Q280" s="51" t="str">
        <f>IF($D280="","",IFERROR(INDEX(Products!$R$2:$R$101,MATCH($D280,Products!$A$2:$A$101,0)),""))</f>
        <v/>
      </c>
      <c r="R280" s="51" t="str">
        <f>IF(OR($Q280="",$P280=""),"",$Q280+SUMIFS($P$1:$P279,$D$1:$D279,$D280,$U$1:$U279,"Ready"))</f>
        <v/>
      </c>
      <c r="S280" s="51" t="str">
        <f>IF($R280="","",$R280+$P280)</f>
        <v/>
      </c>
      <c r="T280" s="52" t="str">
        <f>IF(COUNTA($A280:$L280)&gt;0,$BP280,"")</f>
        <v/>
      </c>
      <c r="U280" s="49" t="str">
        <f>IF($T280="","",IF($T280=0,"Ready","Rejected"))</f>
        <v/>
      </c>
      <c r="V280" s="49" t="str">
        <f>IF(OR($T280="",$T280=0),"",INDEX(Config!$D$39:$D$61,MATCH(1,$AT280:$BP280,0))&amp;IF($T280&gt;1," (+"&amp;($T280-1)&amp;" more)",""))</f>
        <v/>
      </c>
      <c r="W280" s="52">
        <f>IF(AND(COUNTA($A280:$L280)&gt;0,$A280=""),1,0)</f>
        <v>0</v>
      </c>
      <c r="X280" s="52">
        <f>IF(AND(COUNTA($A280:$L280)&gt;0,$A280&lt;&gt;""),IF(COUNTIF($A$1:$A279,$A280)&gt;0,1,0),0)</f>
        <v>0</v>
      </c>
      <c r="Y280" s="52">
        <f>IF(AND(COUNTA($A280:$L280)&gt;0,$A280&lt;&gt;""),IF(COUNTIF(Inventory_Ledger!$A$2:$A$2001,$A280)&gt;0,1,0),0)</f>
        <v>0</v>
      </c>
      <c r="Z280" s="52">
        <f>IF(AND(COUNTA($A280:$L280)&gt;0,$B280=""),1,0)</f>
        <v>0</v>
      </c>
      <c r="AA280" s="52">
        <f>IF(AND(COUNTA($A280:$L280)&gt;0,$B280&lt;&gt;""),IF($M280="ERR",1,0),0)</f>
        <v>0</v>
      </c>
      <c r="AB280" s="52">
        <f>IF(AND(COUNTA($A280:$L280)&gt;0,ISNUMBER($M280)),IF($M280&gt;Config!$B$4,1,0),0)</f>
        <v>0</v>
      </c>
      <c r="AC280" s="52">
        <f>IF(AND(COUNTA($A280:$L280)&gt;0,$C280=""),1,0)</f>
        <v>0</v>
      </c>
      <c r="AD280" s="52">
        <f>IF(AND(COUNTA($A280:$L280)&gt;0,$C280&lt;&gt;""),IF(COUNTIF(Config!$A$15:$A$34,$C280)=0,1,0),0)</f>
        <v>0</v>
      </c>
      <c r="AE280" s="52">
        <f>IF(AND(COUNTA($A280:$L280)&gt;0,$D280=""),1,0)</f>
        <v>0</v>
      </c>
      <c r="AF280" s="52">
        <f>IF(AND(COUNTA($A280:$L280)&gt;0,$D280&lt;&gt;""),IF(COUNTIF(Products!$A$2:$A$101,$D280)=0,1,0),0)</f>
        <v>0</v>
      </c>
      <c r="AG280" s="52">
        <f>IF(AND(COUNTA($A280:$L280)&gt;0,$C280="Receipt",$E280=""),1,0)</f>
        <v>0</v>
      </c>
      <c r="AH280" s="52">
        <f>IF(AND(COUNTA($A280:$L280)&gt;0,$E280&lt;&gt;""),IF(COUNTIF(Suppliers!$A$2:$A$51,$E280)=0,1,0),0)</f>
        <v>0</v>
      </c>
      <c r="AI280" s="52">
        <f>IF(AND(COUNTA($A280:$L280)&gt;0,$F280=""),1,0)</f>
        <v>0</v>
      </c>
      <c r="AJ280" s="52">
        <f>IF(AND(COUNTA($A280:$L280)&gt;0,$F280&lt;&gt;"",$D280&lt;&gt;"",OR($C280="Shipment",$C280="Adjustment")),IF($AF280=1,0,IF(COUNTIFS(Batches!$A$2:$A$301,$F280,Batches!$B$2:$B$301,$D280)+COUNTIFS($F$1:$F279,$F280,$D$1:$D279,$D280,$C$1:$C279,"Receipt")=0,1,0)),0)</f>
        <v>0</v>
      </c>
      <c r="AK280" s="52">
        <f>IF(AND(COUNTA($A280:$L280)&gt;0,$C280="Receipt",$G280=""),1,0)</f>
        <v>0</v>
      </c>
      <c r="AL280" s="52">
        <f>IF(AND(COUNTA($A280:$L280)&gt;0,$G280&lt;&gt;""),IF($N280="ERR",1,0),0)</f>
        <v>0</v>
      </c>
      <c r="AM280" s="52">
        <f>IF(AND(COUNTA($A280:$L280)&gt;0,$H280=""),1,0)</f>
        <v>0</v>
      </c>
      <c r="AN280" s="52">
        <f>IF(AND(COUNTA($A280:$L280)&gt;0,$H280&lt;&gt;""),IF($O280="ERR",1,IF(INT($O280)&lt;&gt;$O280,1,IF(AND(OR($C280="Receipt",$C280="Shipment"),$O280&lt;=0),1,IF(AND($C280="Adjustment",$O280=0),1,0)))),0)</f>
        <v>0</v>
      </c>
      <c r="AO280" s="52">
        <f>IF(AND(COUNTA($A280:$L280)&gt;0,$C280="Receipt",$I280=""),1,0)</f>
        <v>0</v>
      </c>
      <c r="AP280" s="52">
        <f>IF(AND(COUNTA($A280:$L280)&gt;0,$I280&lt;&gt;""),IF(IFERROR(INDEX(Config!$G$15:$G$34,MATCH($I280,Config!$E$15:$E$34,0)),"No")="Yes",0,1),0)</f>
        <v>0</v>
      </c>
      <c r="AQ280" s="52">
        <f>IF(AND(COUNTA($A280:$L280)&gt;0,$C280="Adjustment",$J280=""),1,0)</f>
        <v>0</v>
      </c>
      <c r="AR280" s="52">
        <f>IF(AND(COUNTA($A280:$L280)&gt;0,$L280=""),1,0)</f>
        <v>0</v>
      </c>
      <c r="AS280" s="52">
        <f>IF(AND(COUNTA($A280:$L280)&gt;0,ISNUMBER($S280)),IF($S280&lt;0,1,0),0)</f>
        <v>0</v>
      </c>
      <c r="AT280" s="52">
        <f>$W280</f>
        <v>0</v>
      </c>
      <c r="AU280" s="52">
        <f>$AT280+$X280</f>
        <v>0</v>
      </c>
      <c r="AV280" s="52">
        <f>$AU280+$Y280</f>
        <v>0</v>
      </c>
      <c r="AW280" s="52">
        <f>$AV280+$Z280</f>
        <v>0</v>
      </c>
      <c r="AX280" s="52">
        <f>$AW280+$AA280</f>
        <v>0</v>
      </c>
      <c r="AY280" s="52">
        <f>$AX280+$AB280</f>
        <v>0</v>
      </c>
      <c r="AZ280" s="52">
        <f>$AY280+$AC280</f>
        <v>0</v>
      </c>
      <c r="BA280" s="52">
        <f>$AZ280+$AD280</f>
        <v>0</v>
      </c>
      <c r="BB280" s="52">
        <f>$BA280+$AE280</f>
        <v>0</v>
      </c>
      <c r="BC280" s="52">
        <f>$BB280+$AF280</f>
        <v>0</v>
      </c>
      <c r="BD280" s="52">
        <f>$BC280+$AG280</f>
        <v>0</v>
      </c>
      <c r="BE280" s="52">
        <f>$BD280+$AH280</f>
        <v>0</v>
      </c>
      <c r="BF280" s="52">
        <f>$BE280+$AI280</f>
        <v>0</v>
      </c>
      <c r="BG280" s="52">
        <f>$BF280+$AJ280</f>
        <v>0</v>
      </c>
      <c r="BH280" s="52">
        <f>$BG280+$AK280</f>
        <v>0</v>
      </c>
      <c r="BI280" s="52">
        <f>$BH280+$AL280</f>
        <v>0</v>
      </c>
      <c r="BJ280" s="52">
        <f>$BI280+$AM280</f>
        <v>0</v>
      </c>
      <c r="BK280" s="52">
        <f>$BJ280+$AN280</f>
        <v>0</v>
      </c>
      <c r="BL280" s="52">
        <f>$BK280+$AO280</f>
        <v>0</v>
      </c>
      <c r="BM280" s="52">
        <f>$BL280+$AP280</f>
        <v>0</v>
      </c>
      <c r="BN280" s="52">
        <f>$BM280+$AQ280</f>
        <v>0</v>
      </c>
      <c r="BO280" s="52">
        <f>$BN280+$AR280</f>
        <v>0</v>
      </c>
      <c r="BP280" s="52">
        <f>$BO280+$AS280</f>
        <v>0</v>
      </c>
      <c r="BQ280" s="52">
        <f>SUM($T$1:$T279)</f>
        <v>11</v>
      </c>
      <c r="BR280" s="52" t="str">
        <f>IF(ISNUMBER($T280),IF($T280&gt;0,COUNTIF($T$2:$T280,"&gt;0"),""),"")</f>
        <v/>
      </c>
      <c r="BS280" s="52" t="str">
        <f>IF($BR280="","",$BQ280+$T280)</f>
        <v/>
      </c>
      <c r="BT280" s="52" t="str">
        <f>IF($U280="Ready",COUNTIF($U$2:$U280,"Ready"),"")</f>
        <v/>
      </c>
      <c r="BU280" s="52">
        <f>IF(AND($U280="Ready",$C280="Receipt"),IF(COUNTIF(Batches!$A$2:$A$301,$F280)+COUNTIFS($F$1:$F279,$F280,$C$1:$C279,"Receipt",$U$1:$U279,"Ready")=0,1,0),0)</f>
        <v>0</v>
      </c>
      <c r="BV280" s="52" t="str">
        <f>IF($BU280=1,SUM($BU$2:$BU280),"")</f>
        <v/>
      </c>
    </row>
    <row r="281">
      <c r="A281" s="46" t="n"/>
      <c r="B281" s="46" t="n"/>
      <c r="C281" s="46" t="n"/>
      <c r="D281" s="46" t="n"/>
      <c r="E281" s="46" t="n"/>
      <c r="F281" s="46" t="n"/>
      <c r="G281" s="46" t="n"/>
      <c r="H281" s="46" t="n"/>
      <c r="I281" s="46" t="n"/>
      <c r="J281" s="46" t="n"/>
      <c r="K281" s="46" t="n"/>
      <c r="L281" s="46" t="n"/>
      <c r="M281" s="62" t="str">
        <f>IF($B281="","",IF(ISNUMBER($B281),$B281,IF(AND(LEN($B281)=10,MID($B281,5,1)="-",MID($B281,8,1)="-"),IFERROR(IF(AND(MONTH(DATE(VALUE(LEFT($B281,4)),VALUE(MID($B281,6,2)),VALUE(RIGHT($B281,2))))=VALUE(MID($B281,6,2)),DAY(DATE(VALUE(LEFT($B281,4)),VALUE(MID($B281,6,2)),VALUE(RIGHT($B281,2))))=VALUE(RIGHT($B281,2))),DATE(VALUE(LEFT($B281,4)),VALUE(MID($B281,6,2)),VALUE(RIGHT($B281,2))),"ERR"),"ERR"),"ERR")))</f>
        <v/>
      </c>
      <c r="N281" s="62" t="str">
        <f>IF($G281="","",IF(ISNUMBER($G281),$G281,IF(AND(LEN($G281)=10,MID($G281,5,1)="-",MID($G281,8,1)="-"),IFERROR(IF(AND(MONTH(DATE(VALUE(LEFT($G281,4)),VALUE(MID($G281,6,2)),VALUE(RIGHT($G281,2))))=VALUE(MID($G281,6,2)),DAY(DATE(VALUE(LEFT($G281,4)),VALUE(MID($G281,6,2)),VALUE(RIGHT($G281,2))))=VALUE(RIGHT($G281,2))),DATE(VALUE(LEFT($G281,4)),VALUE(MID($G281,6,2)),VALUE(RIGHT($G281,2))),"ERR"),"ERR"),"ERR")))</f>
        <v/>
      </c>
      <c r="O281" s="51" t="str">
        <f>IF($H281="","",IF(ISNUMBER($H281),$H281,IFERROR(VALUE($H281),"ERR")))</f>
        <v/>
      </c>
      <c r="P281" s="51" t="str">
        <f>IF(AND(ISNUMBER($O281),OR($C281="Receipt",$C281="Shipment",$C281="Adjustment")),IF($C281="Shipment",-$O281,$O281),"")</f>
        <v/>
      </c>
      <c r="Q281" s="51" t="str">
        <f>IF($D281="","",IFERROR(INDEX(Products!$R$2:$R$101,MATCH($D281,Products!$A$2:$A$101,0)),""))</f>
        <v/>
      </c>
      <c r="R281" s="51" t="str">
        <f>IF(OR($Q281="",$P281=""),"",$Q281+SUMIFS($P$1:$P280,$D$1:$D280,$D281,$U$1:$U280,"Ready"))</f>
        <v/>
      </c>
      <c r="S281" s="51" t="str">
        <f>IF($R281="","",$R281+$P281)</f>
        <v/>
      </c>
      <c r="T281" s="52" t="str">
        <f>IF(COUNTA($A281:$L281)&gt;0,$BP281,"")</f>
        <v/>
      </c>
      <c r="U281" s="49" t="str">
        <f>IF($T281="","",IF($T281=0,"Ready","Rejected"))</f>
        <v/>
      </c>
      <c r="V281" s="49" t="str">
        <f>IF(OR($T281="",$T281=0),"",INDEX(Config!$D$39:$D$61,MATCH(1,$AT281:$BP281,0))&amp;IF($T281&gt;1," (+"&amp;($T281-1)&amp;" more)",""))</f>
        <v/>
      </c>
      <c r="W281" s="52">
        <f>IF(AND(COUNTA($A281:$L281)&gt;0,$A281=""),1,0)</f>
        <v>0</v>
      </c>
      <c r="X281" s="52">
        <f>IF(AND(COUNTA($A281:$L281)&gt;0,$A281&lt;&gt;""),IF(COUNTIF($A$1:$A280,$A281)&gt;0,1,0),0)</f>
        <v>0</v>
      </c>
      <c r="Y281" s="52">
        <f>IF(AND(COUNTA($A281:$L281)&gt;0,$A281&lt;&gt;""),IF(COUNTIF(Inventory_Ledger!$A$2:$A$2001,$A281)&gt;0,1,0),0)</f>
        <v>0</v>
      </c>
      <c r="Z281" s="52">
        <f>IF(AND(COUNTA($A281:$L281)&gt;0,$B281=""),1,0)</f>
        <v>0</v>
      </c>
      <c r="AA281" s="52">
        <f>IF(AND(COUNTA($A281:$L281)&gt;0,$B281&lt;&gt;""),IF($M281="ERR",1,0),0)</f>
        <v>0</v>
      </c>
      <c r="AB281" s="52">
        <f>IF(AND(COUNTA($A281:$L281)&gt;0,ISNUMBER($M281)),IF($M281&gt;Config!$B$4,1,0),0)</f>
        <v>0</v>
      </c>
      <c r="AC281" s="52">
        <f>IF(AND(COUNTA($A281:$L281)&gt;0,$C281=""),1,0)</f>
        <v>0</v>
      </c>
      <c r="AD281" s="52">
        <f>IF(AND(COUNTA($A281:$L281)&gt;0,$C281&lt;&gt;""),IF(COUNTIF(Config!$A$15:$A$34,$C281)=0,1,0),0)</f>
        <v>0</v>
      </c>
      <c r="AE281" s="52">
        <f>IF(AND(COUNTA($A281:$L281)&gt;0,$D281=""),1,0)</f>
        <v>0</v>
      </c>
      <c r="AF281" s="52">
        <f>IF(AND(COUNTA($A281:$L281)&gt;0,$D281&lt;&gt;""),IF(COUNTIF(Products!$A$2:$A$101,$D281)=0,1,0),0)</f>
        <v>0</v>
      </c>
      <c r="AG281" s="52">
        <f>IF(AND(COUNTA($A281:$L281)&gt;0,$C281="Receipt",$E281=""),1,0)</f>
        <v>0</v>
      </c>
      <c r="AH281" s="52">
        <f>IF(AND(COUNTA($A281:$L281)&gt;0,$E281&lt;&gt;""),IF(COUNTIF(Suppliers!$A$2:$A$51,$E281)=0,1,0),0)</f>
        <v>0</v>
      </c>
      <c r="AI281" s="52">
        <f>IF(AND(COUNTA($A281:$L281)&gt;0,$F281=""),1,0)</f>
        <v>0</v>
      </c>
      <c r="AJ281" s="52">
        <f>IF(AND(COUNTA($A281:$L281)&gt;0,$F281&lt;&gt;"",$D281&lt;&gt;"",OR($C281="Shipment",$C281="Adjustment")),IF($AF281=1,0,IF(COUNTIFS(Batches!$A$2:$A$301,$F281,Batches!$B$2:$B$301,$D281)+COUNTIFS($F$1:$F280,$F281,$D$1:$D280,$D281,$C$1:$C280,"Receipt")=0,1,0)),0)</f>
        <v>0</v>
      </c>
      <c r="AK281" s="52">
        <f>IF(AND(COUNTA($A281:$L281)&gt;0,$C281="Receipt",$G281=""),1,0)</f>
        <v>0</v>
      </c>
      <c r="AL281" s="52">
        <f>IF(AND(COUNTA($A281:$L281)&gt;0,$G281&lt;&gt;""),IF($N281="ERR",1,0),0)</f>
        <v>0</v>
      </c>
      <c r="AM281" s="52">
        <f>IF(AND(COUNTA($A281:$L281)&gt;0,$H281=""),1,0)</f>
        <v>0</v>
      </c>
      <c r="AN281" s="52">
        <f>IF(AND(COUNTA($A281:$L281)&gt;0,$H281&lt;&gt;""),IF($O281="ERR",1,IF(INT($O281)&lt;&gt;$O281,1,IF(AND(OR($C281="Receipt",$C281="Shipment"),$O281&lt;=0),1,IF(AND($C281="Adjustment",$O281=0),1,0)))),0)</f>
        <v>0</v>
      </c>
      <c r="AO281" s="52">
        <f>IF(AND(COUNTA($A281:$L281)&gt;0,$C281="Receipt",$I281=""),1,0)</f>
        <v>0</v>
      </c>
      <c r="AP281" s="52">
        <f>IF(AND(COUNTA($A281:$L281)&gt;0,$I281&lt;&gt;""),IF(IFERROR(INDEX(Config!$G$15:$G$34,MATCH($I281,Config!$E$15:$E$34,0)),"No")="Yes",0,1),0)</f>
        <v>0</v>
      </c>
      <c r="AQ281" s="52">
        <f>IF(AND(COUNTA($A281:$L281)&gt;0,$C281="Adjustment",$J281=""),1,0)</f>
        <v>0</v>
      </c>
      <c r="AR281" s="52">
        <f>IF(AND(COUNTA($A281:$L281)&gt;0,$L281=""),1,0)</f>
        <v>0</v>
      </c>
      <c r="AS281" s="52">
        <f>IF(AND(COUNTA($A281:$L281)&gt;0,ISNUMBER($S281)),IF($S281&lt;0,1,0),0)</f>
        <v>0</v>
      </c>
      <c r="AT281" s="52">
        <f>$W281</f>
        <v>0</v>
      </c>
      <c r="AU281" s="52">
        <f>$AT281+$X281</f>
        <v>0</v>
      </c>
      <c r="AV281" s="52">
        <f>$AU281+$Y281</f>
        <v>0</v>
      </c>
      <c r="AW281" s="52">
        <f>$AV281+$Z281</f>
        <v>0</v>
      </c>
      <c r="AX281" s="52">
        <f>$AW281+$AA281</f>
        <v>0</v>
      </c>
      <c r="AY281" s="52">
        <f>$AX281+$AB281</f>
        <v>0</v>
      </c>
      <c r="AZ281" s="52">
        <f>$AY281+$AC281</f>
        <v>0</v>
      </c>
      <c r="BA281" s="52">
        <f>$AZ281+$AD281</f>
        <v>0</v>
      </c>
      <c r="BB281" s="52">
        <f>$BA281+$AE281</f>
        <v>0</v>
      </c>
      <c r="BC281" s="52">
        <f>$BB281+$AF281</f>
        <v>0</v>
      </c>
      <c r="BD281" s="52">
        <f>$BC281+$AG281</f>
        <v>0</v>
      </c>
      <c r="BE281" s="52">
        <f>$BD281+$AH281</f>
        <v>0</v>
      </c>
      <c r="BF281" s="52">
        <f>$BE281+$AI281</f>
        <v>0</v>
      </c>
      <c r="BG281" s="52">
        <f>$BF281+$AJ281</f>
        <v>0</v>
      </c>
      <c r="BH281" s="52">
        <f>$BG281+$AK281</f>
        <v>0</v>
      </c>
      <c r="BI281" s="52">
        <f>$BH281+$AL281</f>
        <v>0</v>
      </c>
      <c r="BJ281" s="52">
        <f>$BI281+$AM281</f>
        <v>0</v>
      </c>
      <c r="BK281" s="52">
        <f>$BJ281+$AN281</f>
        <v>0</v>
      </c>
      <c r="BL281" s="52">
        <f>$BK281+$AO281</f>
        <v>0</v>
      </c>
      <c r="BM281" s="52">
        <f>$BL281+$AP281</f>
        <v>0</v>
      </c>
      <c r="BN281" s="52">
        <f>$BM281+$AQ281</f>
        <v>0</v>
      </c>
      <c r="BO281" s="52">
        <f>$BN281+$AR281</f>
        <v>0</v>
      </c>
      <c r="BP281" s="52">
        <f>$BO281+$AS281</f>
        <v>0</v>
      </c>
      <c r="BQ281" s="52">
        <f>SUM($T$1:$T280)</f>
        <v>11</v>
      </c>
      <c r="BR281" s="52" t="str">
        <f>IF(ISNUMBER($T281),IF($T281&gt;0,COUNTIF($T$2:$T281,"&gt;0"),""),"")</f>
        <v/>
      </c>
      <c r="BS281" s="52" t="str">
        <f>IF($BR281="","",$BQ281+$T281)</f>
        <v/>
      </c>
      <c r="BT281" s="52" t="str">
        <f>IF($U281="Ready",COUNTIF($U$2:$U281,"Ready"),"")</f>
        <v/>
      </c>
      <c r="BU281" s="52">
        <f>IF(AND($U281="Ready",$C281="Receipt"),IF(COUNTIF(Batches!$A$2:$A$301,$F281)+COUNTIFS($F$1:$F280,$F281,$C$1:$C280,"Receipt",$U$1:$U280,"Ready")=0,1,0),0)</f>
        <v>0</v>
      </c>
      <c r="BV281" s="52" t="str">
        <f>IF($BU281=1,SUM($BU$2:$BU281),"")</f>
        <v/>
      </c>
    </row>
    <row r="282">
      <c r="A282" s="46" t="n"/>
      <c r="B282" s="46" t="n"/>
      <c r="C282" s="46" t="n"/>
      <c r="D282" s="46" t="n"/>
      <c r="E282" s="46" t="n"/>
      <c r="F282" s="46" t="n"/>
      <c r="G282" s="46" t="n"/>
      <c r="H282" s="46" t="n"/>
      <c r="I282" s="46" t="n"/>
      <c r="J282" s="46" t="n"/>
      <c r="K282" s="46" t="n"/>
      <c r="L282" s="46" t="n"/>
      <c r="M282" s="62" t="str">
        <f>IF($B282="","",IF(ISNUMBER($B282),$B282,IF(AND(LEN($B282)=10,MID($B282,5,1)="-",MID($B282,8,1)="-"),IFERROR(IF(AND(MONTH(DATE(VALUE(LEFT($B282,4)),VALUE(MID($B282,6,2)),VALUE(RIGHT($B282,2))))=VALUE(MID($B282,6,2)),DAY(DATE(VALUE(LEFT($B282,4)),VALUE(MID($B282,6,2)),VALUE(RIGHT($B282,2))))=VALUE(RIGHT($B282,2))),DATE(VALUE(LEFT($B282,4)),VALUE(MID($B282,6,2)),VALUE(RIGHT($B282,2))),"ERR"),"ERR"),"ERR")))</f>
        <v/>
      </c>
      <c r="N282" s="62" t="str">
        <f>IF($G282="","",IF(ISNUMBER($G282),$G282,IF(AND(LEN($G282)=10,MID($G282,5,1)="-",MID($G282,8,1)="-"),IFERROR(IF(AND(MONTH(DATE(VALUE(LEFT($G282,4)),VALUE(MID($G282,6,2)),VALUE(RIGHT($G282,2))))=VALUE(MID($G282,6,2)),DAY(DATE(VALUE(LEFT($G282,4)),VALUE(MID($G282,6,2)),VALUE(RIGHT($G282,2))))=VALUE(RIGHT($G282,2))),DATE(VALUE(LEFT($G282,4)),VALUE(MID($G282,6,2)),VALUE(RIGHT($G282,2))),"ERR"),"ERR"),"ERR")))</f>
        <v/>
      </c>
      <c r="O282" s="51" t="str">
        <f>IF($H282="","",IF(ISNUMBER($H282),$H282,IFERROR(VALUE($H282),"ERR")))</f>
        <v/>
      </c>
      <c r="P282" s="51" t="str">
        <f>IF(AND(ISNUMBER($O282),OR($C282="Receipt",$C282="Shipment",$C282="Adjustment")),IF($C282="Shipment",-$O282,$O282),"")</f>
        <v/>
      </c>
      <c r="Q282" s="51" t="str">
        <f>IF($D282="","",IFERROR(INDEX(Products!$R$2:$R$101,MATCH($D282,Products!$A$2:$A$101,0)),""))</f>
        <v/>
      </c>
      <c r="R282" s="51" t="str">
        <f>IF(OR($Q282="",$P282=""),"",$Q282+SUMIFS($P$1:$P281,$D$1:$D281,$D282,$U$1:$U281,"Ready"))</f>
        <v/>
      </c>
      <c r="S282" s="51" t="str">
        <f>IF($R282="","",$R282+$P282)</f>
        <v/>
      </c>
      <c r="T282" s="52" t="str">
        <f>IF(COUNTA($A282:$L282)&gt;0,$BP282,"")</f>
        <v/>
      </c>
      <c r="U282" s="49" t="str">
        <f>IF($T282="","",IF($T282=0,"Ready","Rejected"))</f>
        <v/>
      </c>
      <c r="V282" s="49" t="str">
        <f>IF(OR($T282="",$T282=0),"",INDEX(Config!$D$39:$D$61,MATCH(1,$AT282:$BP282,0))&amp;IF($T282&gt;1," (+"&amp;($T282-1)&amp;" more)",""))</f>
        <v/>
      </c>
      <c r="W282" s="52">
        <f>IF(AND(COUNTA($A282:$L282)&gt;0,$A282=""),1,0)</f>
        <v>0</v>
      </c>
      <c r="X282" s="52">
        <f>IF(AND(COUNTA($A282:$L282)&gt;0,$A282&lt;&gt;""),IF(COUNTIF($A$1:$A281,$A282)&gt;0,1,0),0)</f>
        <v>0</v>
      </c>
      <c r="Y282" s="52">
        <f>IF(AND(COUNTA($A282:$L282)&gt;0,$A282&lt;&gt;""),IF(COUNTIF(Inventory_Ledger!$A$2:$A$2001,$A282)&gt;0,1,0),0)</f>
        <v>0</v>
      </c>
      <c r="Z282" s="52">
        <f>IF(AND(COUNTA($A282:$L282)&gt;0,$B282=""),1,0)</f>
        <v>0</v>
      </c>
      <c r="AA282" s="52">
        <f>IF(AND(COUNTA($A282:$L282)&gt;0,$B282&lt;&gt;""),IF($M282="ERR",1,0),0)</f>
        <v>0</v>
      </c>
      <c r="AB282" s="52">
        <f>IF(AND(COUNTA($A282:$L282)&gt;0,ISNUMBER($M282)),IF($M282&gt;Config!$B$4,1,0),0)</f>
        <v>0</v>
      </c>
      <c r="AC282" s="52">
        <f>IF(AND(COUNTA($A282:$L282)&gt;0,$C282=""),1,0)</f>
        <v>0</v>
      </c>
      <c r="AD282" s="52">
        <f>IF(AND(COUNTA($A282:$L282)&gt;0,$C282&lt;&gt;""),IF(COUNTIF(Config!$A$15:$A$34,$C282)=0,1,0),0)</f>
        <v>0</v>
      </c>
      <c r="AE282" s="52">
        <f>IF(AND(COUNTA($A282:$L282)&gt;0,$D282=""),1,0)</f>
        <v>0</v>
      </c>
      <c r="AF282" s="52">
        <f>IF(AND(COUNTA($A282:$L282)&gt;0,$D282&lt;&gt;""),IF(COUNTIF(Products!$A$2:$A$101,$D282)=0,1,0),0)</f>
        <v>0</v>
      </c>
      <c r="AG282" s="52">
        <f>IF(AND(COUNTA($A282:$L282)&gt;0,$C282="Receipt",$E282=""),1,0)</f>
        <v>0</v>
      </c>
      <c r="AH282" s="52">
        <f>IF(AND(COUNTA($A282:$L282)&gt;0,$E282&lt;&gt;""),IF(COUNTIF(Suppliers!$A$2:$A$51,$E282)=0,1,0),0)</f>
        <v>0</v>
      </c>
      <c r="AI282" s="52">
        <f>IF(AND(COUNTA($A282:$L282)&gt;0,$F282=""),1,0)</f>
        <v>0</v>
      </c>
      <c r="AJ282" s="52">
        <f>IF(AND(COUNTA($A282:$L282)&gt;0,$F282&lt;&gt;"",$D282&lt;&gt;"",OR($C282="Shipment",$C282="Adjustment")),IF($AF282=1,0,IF(COUNTIFS(Batches!$A$2:$A$301,$F282,Batches!$B$2:$B$301,$D282)+COUNTIFS($F$1:$F281,$F282,$D$1:$D281,$D282,$C$1:$C281,"Receipt")=0,1,0)),0)</f>
        <v>0</v>
      </c>
      <c r="AK282" s="52">
        <f>IF(AND(COUNTA($A282:$L282)&gt;0,$C282="Receipt",$G282=""),1,0)</f>
        <v>0</v>
      </c>
      <c r="AL282" s="52">
        <f>IF(AND(COUNTA($A282:$L282)&gt;0,$G282&lt;&gt;""),IF($N282="ERR",1,0),0)</f>
        <v>0</v>
      </c>
      <c r="AM282" s="52">
        <f>IF(AND(COUNTA($A282:$L282)&gt;0,$H282=""),1,0)</f>
        <v>0</v>
      </c>
      <c r="AN282" s="52">
        <f>IF(AND(COUNTA($A282:$L282)&gt;0,$H282&lt;&gt;""),IF($O282="ERR",1,IF(INT($O282)&lt;&gt;$O282,1,IF(AND(OR($C282="Receipt",$C282="Shipment"),$O282&lt;=0),1,IF(AND($C282="Adjustment",$O282=0),1,0)))),0)</f>
        <v>0</v>
      </c>
      <c r="AO282" s="52">
        <f>IF(AND(COUNTA($A282:$L282)&gt;0,$C282="Receipt",$I282=""),1,0)</f>
        <v>0</v>
      </c>
      <c r="AP282" s="52">
        <f>IF(AND(COUNTA($A282:$L282)&gt;0,$I282&lt;&gt;""),IF(IFERROR(INDEX(Config!$G$15:$G$34,MATCH($I282,Config!$E$15:$E$34,0)),"No")="Yes",0,1),0)</f>
        <v>0</v>
      </c>
      <c r="AQ282" s="52">
        <f>IF(AND(COUNTA($A282:$L282)&gt;0,$C282="Adjustment",$J282=""),1,0)</f>
        <v>0</v>
      </c>
      <c r="AR282" s="52">
        <f>IF(AND(COUNTA($A282:$L282)&gt;0,$L282=""),1,0)</f>
        <v>0</v>
      </c>
      <c r="AS282" s="52">
        <f>IF(AND(COUNTA($A282:$L282)&gt;0,ISNUMBER($S282)),IF($S282&lt;0,1,0),0)</f>
        <v>0</v>
      </c>
      <c r="AT282" s="52">
        <f>$W282</f>
        <v>0</v>
      </c>
      <c r="AU282" s="52">
        <f>$AT282+$X282</f>
        <v>0</v>
      </c>
      <c r="AV282" s="52">
        <f>$AU282+$Y282</f>
        <v>0</v>
      </c>
      <c r="AW282" s="52">
        <f>$AV282+$Z282</f>
        <v>0</v>
      </c>
      <c r="AX282" s="52">
        <f>$AW282+$AA282</f>
        <v>0</v>
      </c>
      <c r="AY282" s="52">
        <f>$AX282+$AB282</f>
        <v>0</v>
      </c>
      <c r="AZ282" s="52">
        <f>$AY282+$AC282</f>
        <v>0</v>
      </c>
      <c r="BA282" s="52">
        <f>$AZ282+$AD282</f>
        <v>0</v>
      </c>
      <c r="BB282" s="52">
        <f>$BA282+$AE282</f>
        <v>0</v>
      </c>
      <c r="BC282" s="52">
        <f>$BB282+$AF282</f>
        <v>0</v>
      </c>
      <c r="BD282" s="52">
        <f>$BC282+$AG282</f>
        <v>0</v>
      </c>
      <c r="BE282" s="52">
        <f>$BD282+$AH282</f>
        <v>0</v>
      </c>
      <c r="BF282" s="52">
        <f>$BE282+$AI282</f>
        <v>0</v>
      </c>
      <c r="BG282" s="52">
        <f>$BF282+$AJ282</f>
        <v>0</v>
      </c>
      <c r="BH282" s="52">
        <f>$BG282+$AK282</f>
        <v>0</v>
      </c>
      <c r="BI282" s="52">
        <f>$BH282+$AL282</f>
        <v>0</v>
      </c>
      <c r="BJ282" s="52">
        <f>$BI282+$AM282</f>
        <v>0</v>
      </c>
      <c r="BK282" s="52">
        <f>$BJ282+$AN282</f>
        <v>0</v>
      </c>
      <c r="BL282" s="52">
        <f>$BK282+$AO282</f>
        <v>0</v>
      </c>
      <c r="BM282" s="52">
        <f>$BL282+$AP282</f>
        <v>0</v>
      </c>
      <c r="BN282" s="52">
        <f>$BM282+$AQ282</f>
        <v>0</v>
      </c>
      <c r="BO282" s="52">
        <f>$BN282+$AR282</f>
        <v>0</v>
      </c>
      <c r="BP282" s="52">
        <f>$BO282+$AS282</f>
        <v>0</v>
      </c>
      <c r="BQ282" s="52">
        <f>SUM($T$1:$T281)</f>
        <v>11</v>
      </c>
      <c r="BR282" s="52" t="str">
        <f>IF(ISNUMBER($T282),IF($T282&gt;0,COUNTIF($T$2:$T282,"&gt;0"),""),"")</f>
        <v/>
      </c>
      <c r="BS282" s="52" t="str">
        <f>IF($BR282="","",$BQ282+$T282)</f>
        <v/>
      </c>
      <c r="BT282" s="52" t="str">
        <f>IF($U282="Ready",COUNTIF($U$2:$U282,"Ready"),"")</f>
        <v/>
      </c>
      <c r="BU282" s="52">
        <f>IF(AND($U282="Ready",$C282="Receipt"),IF(COUNTIF(Batches!$A$2:$A$301,$F282)+COUNTIFS($F$1:$F281,$F282,$C$1:$C281,"Receipt",$U$1:$U281,"Ready")=0,1,0),0)</f>
        <v>0</v>
      </c>
      <c r="BV282" s="52" t="str">
        <f>IF($BU282=1,SUM($BU$2:$BU282),"")</f>
        <v/>
      </c>
    </row>
    <row r="283">
      <c r="A283" s="46" t="n"/>
      <c r="B283" s="46" t="n"/>
      <c r="C283" s="46" t="n"/>
      <c r="D283" s="46" t="n"/>
      <c r="E283" s="46" t="n"/>
      <c r="F283" s="46" t="n"/>
      <c r="G283" s="46" t="n"/>
      <c r="H283" s="46" t="n"/>
      <c r="I283" s="46" t="n"/>
      <c r="J283" s="46" t="n"/>
      <c r="K283" s="46" t="n"/>
      <c r="L283" s="46" t="n"/>
      <c r="M283" s="62" t="str">
        <f>IF($B283="","",IF(ISNUMBER($B283),$B283,IF(AND(LEN($B283)=10,MID($B283,5,1)="-",MID($B283,8,1)="-"),IFERROR(IF(AND(MONTH(DATE(VALUE(LEFT($B283,4)),VALUE(MID($B283,6,2)),VALUE(RIGHT($B283,2))))=VALUE(MID($B283,6,2)),DAY(DATE(VALUE(LEFT($B283,4)),VALUE(MID($B283,6,2)),VALUE(RIGHT($B283,2))))=VALUE(RIGHT($B283,2))),DATE(VALUE(LEFT($B283,4)),VALUE(MID($B283,6,2)),VALUE(RIGHT($B283,2))),"ERR"),"ERR"),"ERR")))</f>
        <v/>
      </c>
      <c r="N283" s="62" t="str">
        <f>IF($G283="","",IF(ISNUMBER($G283),$G283,IF(AND(LEN($G283)=10,MID($G283,5,1)="-",MID($G283,8,1)="-"),IFERROR(IF(AND(MONTH(DATE(VALUE(LEFT($G283,4)),VALUE(MID($G283,6,2)),VALUE(RIGHT($G283,2))))=VALUE(MID($G283,6,2)),DAY(DATE(VALUE(LEFT($G283,4)),VALUE(MID($G283,6,2)),VALUE(RIGHT($G283,2))))=VALUE(RIGHT($G283,2))),DATE(VALUE(LEFT($G283,4)),VALUE(MID($G283,6,2)),VALUE(RIGHT($G283,2))),"ERR"),"ERR"),"ERR")))</f>
        <v/>
      </c>
      <c r="O283" s="51" t="str">
        <f>IF($H283="","",IF(ISNUMBER($H283),$H283,IFERROR(VALUE($H283),"ERR")))</f>
        <v/>
      </c>
      <c r="P283" s="51" t="str">
        <f>IF(AND(ISNUMBER($O283),OR($C283="Receipt",$C283="Shipment",$C283="Adjustment")),IF($C283="Shipment",-$O283,$O283),"")</f>
        <v/>
      </c>
      <c r="Q283" s="51" t="str">
        <f>IF($D283="","",IFERROR(INDEX(Products!$R$2:$R$101,MATCH($D283,Products!$A$2:$A$101,0)),""))</f>
        <v/>
      </c>
      <c r="R283" s="51" t="str">
        <f>IF(OR($Q283="",$P283=""),"",$Q283+SUMIFS($P$1:$P282,$D$1:$D282,$D283,$U$1:$U282,"Ready"))</f>
        <v/>
      </c>
      <c r="S283" s="51" t="str">
        <f>IF($R283="","",$R283+$P283)</f>
        <v/>
      </c>
      <c r="T283" s="52" t="str">
        <f>IF(COUNTA($A283:$L283)&gt;0,$BP283,"")</f>
        <v/>
      </c>
      <c r="U283" s="49" t="str">
        <f>IF($T283="","",IF($T283=0,"Ready","Rejected"))</f>
        <v/>
      </c>
      <c r="V283" s="49" t="str">
        <f>IF(OR($T283="",$T283=0),"",INDEX(Config!$D$39:$D$61,MATCH(1,$AT283:$BP283,0))&amp;IF($T283&gt;1," (+"&amp;($T283-1)&amp;" more)",""))</f>
        <v/>
      </c>
      <c r="W283" s="52">
        <f>IF(AND(COUNTA($A283:$L283)&gt;0,$A283=""),1,0)</f>
        <v>0</v>
      </c>
      <c r="X283" s="52">
        <f>IF(AND(COUNTA($A283:$L283)&gt;0,$A283&lt;&gt;""),IF(COUNTIF($A$1:$A282,$A283)&gt;0,1,0),0)</f>
        <v>0</v>
      </c>
      <c r="Y283" s="52">
        <f>IF(AND(COUNTA($A283:$L283)&gt;0,$A283&lt;&gt;""),IF(COUNTIF(Inventory_Ledger!$A$2:$A$2001,$A283)&gt;0,1,0),0)</f>
        <v>0</v>
      </c>
      <c r="Z283" s="52">
        <f>IF(AND(COUNTA($A283:$L283)&gt;0,$B283=""),1,0)</f>
        <v>0</v>
      </c>
      <c r="AA283" s="52">
        <f>IF(AND(COUNTA($A283:$L283)&gt;0,$B283&lt;&gt;""),IF($M283="ERR",1,0),0)</f>
        <v>0</v>
      </c>
      <c r="AB283" s="52">
        <f>IF(AND(COUNTA($A283:$L283)&gt;0,ISNUMBER($M283)),IF($M283&gt;Config!$B$4,1,0),0)</f>
        <v>0</v>
      </c>
      <c r="AC283" s="52">
        <f>IF(AND(COUNTA($A283:$L283)&gt;0,$C283=""),1,0)</f>
        <v>0</v>
      </c>
      <c r="AD283" s="52">
        <f>IF(AND(COUNTA($A283:$L283)&gt;0,$C283&lt;&gt;""),IF(COUNTIF(Config!$A$15:$A$34,$C283)=0,1,0),0)</f>
        <v>0</v>
      </c>
      <c r="AE283" s="52">
        <f>IF(AND(COUNTA($A283:$L283)&gt;0,$D283=""),1,0)</f>
        <v>0</v>
      </c>
      <c r="AF283" s="52">
        <f>IF(AND(COUNTA($A283:$L283)&gt;0,$D283&lt;&gt;""),IF(COUNTIF(Products!$A$2:$A$101,$D283)=0,1,0),0)</f>
        <v>0</v>
      </c>
      <c r="AG283" s="52">
        <f>IF(AND(COUNTA($A283:$L283)&gt;0,$C283="Receipt",$E283=""),1,0)</f>
        <v>0</v>
      </c>
      <c r="AH283" s="52">
        <f>IF(AND(COUNTA($A283:$L283)&gt;0,$E283&lt;&gt;""),IF(COUNTIF(Suppliers!$A$2:$A$51,$E283)=0,1,0),0)</f>
        <v>0</v>
      </c>
      <c r="AI283" s="52">
        <f>IF(AND(COUNTA($A283:$L283)&gt;0,$F283=""),1,0)</f>
        <v>0</v>
      </c>
      <c r="AJ283" s="52">
        <f>IF(AND(COUNTA($A283:$L283)&gt;0,$F283&lt;&gt;"",$D283&lt;&gt;"",OR($C283="Shipment",$C283="Adjustment")),IF($AF283=1,0,IF(COUNTIFS(Batches!$A$2:$A$301,$F283,Batches!$B$2:$B$301,$D283)+COUNTIFS($F$1:$F282,$F283,$D$1:$D282,$D283,$C$1:$C282,"Receipt")=0,1,0)),0)</f>
        <v>0</v>
      </c>
      <c r="AK283" s="52">
        <f>IF(AND(COUNTA($A283:$L283)&gt;0,$C283="Receipt",$G283=""),1,0)</f>
        <v>0</v>
      </c>
      <c r="AL283" s="52">
        <f>IF(AND(COUNTA($A283:$L283)&gt;0,$G283&lt;&gt;""),IF($N283="ERR",1,0),0)</f>
        <v>0</v>
      </c>
      <c r="AM283" s="52">
        <f>IF(AND(COUNTA($A283:$L283)&gt;0,$H283=""),1,0)</f>
        <v>0</v>
      </c>
      <c r="AN283" s="52">
        <f>IF(AND(COUNTA($A283:$L283)&gt;0,$H283&lt;&gt;""),IF($O283="ERR",1,IF(INT($O283)&lt;&gt;$O283,1,IF(AND(OR($C283="Receipt",$C283="Shipment"),$O283&lt;=0),1,IF(AND($C283="Adjustment",$O283=0),1,0)))),0)</f>
        <v>0</v>
      </c>
      <c r="AO283" s="52">
        <f>IF(AND(COUNTA($A283:$L283)&gt;0,$C283="Receipt",$I283=""),1,0)</f>
        <v>0</v>
      </c>
      <c r="AP283" s="52">
        <f>IF(AND(COUNTA($A283:$L283)&gt;0,$I283&lt;&gt;""),IF(IFERROR(INDEX(Config!$G$15:$G$34,MATCH($I283,Config!$E$15:$E$34,0)),"No")="Yes",0,1),0)</f>
        <v>0</v>
      </c>
      <c r="AQ283" s="52">
        <f>IF(AND(COUNTA($A283:$L283)&gt;0,$C283="Adjustment",$J283=""),1,0)</f>
        <v>0</v>
      </c>
      <c r="AR283" s="52">
        <f>IF(AND(COUNTA($A283:$L283)&gt;0,$L283=""),1,0)</f>
        <v>0</v>
      </c>
      <c r="AS283" s="52">
        <f>IF(AND(COUNTA($A283:$L283)&gt;0,ISNUMBER($S283)),IF($S283&lt;0,1,0),0)</f>
        <v>0</v>
      </c>
      <c r="AT283" s="52">
        <f>$W283</f>
        <v>0</v>
      </c>
      <c r="AU283" s="52">
        <f>$AT283+$X283</f>
        <v>0</v>
      </c>
      <c r="AV283" s="52">
        <f>$AU283+$Y283</f>
        <v>0</v>
      </c>
      <c r="AW283" s="52">
        <f>$AV283+$Z283</f>
        <v>0</v>
      </c>
      <c r="AX283" s="52">
        <f>$AW283+$AA283</f>
        <v>0</v>
      </c>
      <c r="AY283" s="52">
        <f>$AX283+$AB283</f>
        <v>0</v>
      </c>
      <c r="AZ283" s="52">
        <f>$AY283+$AC283</f>
        <v>0</v>
      </c>
      <c r="BA283" s="52">
        <f>$AZ283+$AD283</f>
        <v>0</v>
      </c>
      <c r="BB283" s="52">
        <f>$BA283+$AE283</f>
        <v>0</v>
      </c>
      <c r="BC283" s="52">
        <f>$BB283+$AF283</f>
        <v>0</v>
      </c>
      <c r="BD283" s="52">
        <f>$BC283+$AG283</f>
        <v>0</v>
      </c>
      <c r="BE283" s="52">
        <f>$BD283+$AH283</f>
        <v>0</v>
      </c>
      <c r="BF283" s="52">
        <f>$BE283+$AI283</f>
        <v>0</v>
      </c>
      <c r="BG283" s="52">
        <f>$BF283+$AJ283</f>
        <v>0</v>
      </c>
      <c r="BH283" s="52">
        <f>$BG283+$AK283</f>
        <v>0</v>
      </c>
      <c r="BI283" s="52">
        <f>$BH283+$AL283</f>
        <v>0</v>
      </c>
      <c r="BJ283" s="52">
        <f>$BI283+$AM283</f>
        <v>0</v>
      </c>
      <c r="BK283" s="52">
        <f>$BJ283+$AN283</f>
        <v>0</v>
      </c>
      <c r="BL283" s="52">
        <f>$BK283+$AO283</f>
        <v>0</v>
      </c>
      <c r="BM283" s="52">
        <f>$BL283+$AP283</f>
        <v>0</v>
      </c>
      <c r="BN283" s="52">
        <f>$BM283+$AQ283</f>
        <v>0</v>
      </c>
      <c r="BO283" s="52">
        <f>$BN283+$AR283</f>
        <v>0</v>
      </c>
      <c r="BP283" s="52">
        <f>$BO283+$AS283</f>
        <v>0</v>
      </c>
      <c r="BQ283" s="52">
        <f>SUM($T$1:$T282)</f>
        <v>11</v>
      </c>
      <c r="BR283" s="52" t="str">
        <f>IF(ISNUMBER($T283),IF($T283&gt;0,COUNTIF($T$2:$T283,"&gt;0"),""),"")</f>
        <v/>
      </c>
      <c r="BS283" s="52" t="str">
        <f>IF($BR283="","",$BQ283+$T283)</f>
        <v/>
      </c>
      <c r="BT283" s="52" t="str">
        <f>IF($U283="Ready",COUNTIF($U$2:$U283,"Ready"),"")</f>
        <v/>
      </c>
      <c r="BU283" s="52">
        <f>IF(AND($U283="Ready",$C283="Receipt"),IF(COUNTIF(Batches!$A$2:$A$301,$F283)+COUNTIFS($F$1:$F282,$F283,$C$1:$C282,"Receipt",$U$1:$U282,"Ready")=0,1,0),0)</f>
        <v>0</v>
      </c>
      <c r="BV283" s="52" t="str">
        <f>IF($BU283=1,SUM($BU$2:$BU283),"")</f>
        <v/>
      </c>
    </row>
    <row r="284">
      <c r="A284" s="46" t="n"/>
      <c r="B284" s="46" t="n"/>
      <c r="C284" s="46" t="n"/>
      <c r="D284" s="46" t="n"/>
      <c r="E284" s="46" t="n"/>
      <c r="F284" s="46" t="n"/>
      <c r="G284" s="46" t="n"/>
      <c r="H284" s="46" t="n"/>
      <c r="I284" s="46" t="n"/>
      <c r="J284" s="46" t="n"/>
      <c r="K284" s="46" t="n"/>
      <c r="L284" s="46" t="n"/>
      <c r="M284" s="62" t="str">
        <f>IF($B284="","",IF(ISNUMBER($B284),$B284,IF(AND(LEN($B284)=10,MID($B284,5,1)="-",MID($B284,8,1)="-"),IFERROR(IF(AND(MONTH(DATE(VALUE(LEFT($B284,4)),VALUE(MID($B284,6,2)),VALUE(RIGHT($B284,2))))=VALUE(MID($B284,6,2)),DAY(DATE(VALUE(LEFT($B284,4)),VALUE(MID($B284,6,2)),VALUE(RIGHT($B284,2))))=VALUE(RIGHT($B284,2))),DATE(VALUE(LEFT($B284,4)),VALUE(MID($B284,6,2)),VALUE(RIGHT($B284,2))),"ERR"),"ERR"),"ERR")))</f>
        <v/>
      </c>
      <c r="N284" s="62" t="str">
        <f>IF($G284="","",IF(ISNUMBER($G284),$G284,IF(AND(LEN($G284)=10,MID($G284,5,1)="-",MID($G284,8,1)="-"),IFERROR(IF(AND(MONTH(DATE(VALUE(LEFT($G284,4)),VALUE(MID($G284,6,2)),VALUE(RIGHT($G284,2))))=VALUE(MID($G284,6,2)),DAY(DATE(VALUE(LEFT($G284,4)),VALUE(MID($G284,6,2)),VALUE(RIGHT($G284,2))))=VALUE(RIGHT($G284,2))),DATE(VALUE(LEFT($G284,4)),VALUE(MID($G284,6,2)),VALUE(RIGHT($G284,2))),"ERR"),"ERR"),"ERR")))</f>
        <v/>
      </c>
      <c r="O284" s="51" t="str">
        <f>IF($H284="","",IF(ISNUMBER($H284),$H284,IFERROR(VALUE($H284),"ERR")))</f>
        <v/>
      </c>
      <c r="P284" s="51" t="str">
        <f>IF(AND(ISNUMBER($O284),OR($C284="Receipt",$C284="Shipment",$C284="Adjustment")),IF($C284="Shipment",-$O284,$O284),"")</f>
        <v/>
      </c>
      <c r="Q284" s="51" t="str">
        <f>IF($D284="","",IFERROR(INDEX(Products!$R$2:$R$101,MATCH($D284,Products!$A$2:$A$101,0)),""))</f>
        <v/>
      </c>
      <c r="R284" s="51" t="str">
        <f>IF(OR($Q284="",$P284=""),"",$Q284+SUMIFS($P$1:$P283,$D$1:$D283,$D284,$U$1:$U283,"Ready"))</f>
        <v/>
      </c>
      <c r="S284" s="51" t="str">
        <f>IF($R284="","",$R284+$P284)</f>
        <v/>
      </c>
      <c r="T284" s="52" t="str">
        <f>IF(COUNTA($A284:$L284)&gt;0,$BP284,"")</f>
        <v/>
      </c>
      <c r="U284" s="49" t="str">
        <f>IF($T284="","",IF($T284=0,"Ready","Rejected"))</f>
        <v/>
      </c>
      <c r="V284" s="49" t="str">
        <f>IF(OR($T284="",$T284=0),"",INDEX(Config!$D$39:$D$61,MATCH(1,$AT284:$BP284,0))&amp;IF($T284&gt;1," (+"&amp;($T284-1)&amp;" more)",""))</f>
        <v/>
      </c>
      <c r="W284" s="52">
        <f>IF(AND(COUNTA($A284:$L284)&gt;0,$A284=""),1,0)</f>
        <v>0</v>
      </c>
      <c r="X284" s="52">
        <f>IF(AND(COUNTA($A284:$L284)&gt;0,$A284&lt;&gt;""),IF(COUNTIF($A$1:$A283,$A284)&gt;0,1,0),0)</f>
        <v>0</v>
      </c>
      <c r="Y284" s="52">
        <f>IF(AND(COUNTA($A284:$L284)&gt;0,$A284&lt;&gt;""),IF(COUNTIF(Inventory_Ledger!$A$2:$A$2001,$A284)&gt;0,1,0),0)</f>
        <v>0</v>
      </c>
      <c r="Z284" s="52">
        <f>IF(AND(COUNTA($A284:$L284)&gt;0,$B284=""),1,0)</f>
        <v>0</v>
      </c>
      <c r="AA284" s="52">
        <f>IF(AND(COUNTA($A284:$L284)&gt;0,$B284&lt;&gt;""),IF($M284="ERR",1,0),0)</f>
        <v>0</v>
      </c>
      <c r="AB284" s="52">
        <f>IF(AND(COUNTA($A284:$L284)&gt;0,ISNUMBER($M284)),IF($M284&gt;Config!$B$4,1,0),0)</f>
        <v>0</v>
      </c>
      <c r="AC284" s="52">
        <f>IF(AND(COUNTA($A284:$L284)&gt;0,$C284=""),1,0)</f>
        <v>0</v>
      </c>
      <c r="AD284" s="52">
        <f>IF(AND(COUNTA($A284:$L284)&gt;0,$C284&lt;&gt;""),IF(COUNTIF(Config!$A$15:$A$34,$C284)=0,1,0),0)</f>
        <v>0</v>
      </c>
      <c r="AE284" s="52">
        <f>IF(AND(COUNTA($A284:$L284)&gt;0,$D284=""),1,0)</f>
        <v>0</v>
      </c>
      <c r="AF284" s="52">
        <f>IF(AND(COUNTA($A284:$L284)&gt;0,$D284&lt;&gt;""),IF(COUNTIF(Products!$A$2:$A$101,$D284)=0,1,0),0)</f>
        <v>0</v>
      </c>
      <c r="AG284" s="52">
        <f>IF(AND(COUNTA($A284:$L284)&gt;0,$C284="Receipt",$E284=""),1,0)</f>
        <v>0</v>
      </c>
      <c r="AH284" s="52">
        <f>IF(AND(COUNTA($A284:$L284)&gt;0,$E284&lt;&gt;""),IF(COUNTIF(Suppliers!$A$2:$A$51,$E284)=0,1,0),0)</f>
        <v>0</v>
      </c>
      <c r="AI284" s="52">
        <f>IF(AND(COUNTA($A284:$L284)&gt;0,$F284=""),1,0)</f>
        <v>0</v>
      </c>
      <c r="AJ284" s="52">
        <f>IF(AND(COUNTA($A284:$L284)&gt;0,$F284&lt;&gt;"",$D284&lt;&gt;"",OR($C284="Shipment",$C284="Adjustment")),IF($AF284=1,0,IF(COUNTIFS(Batches!$A$2:$A$301,$F284,Batches!$B$2:$B$301,$D284)+COUNTIFS($F$1:$F283,$F284,$D$1:$D283,$D284,$C$1:$C283,"Receipt")=0,1,0)),0)</f>
        <v>0</v>
      </c>
      <c r="AK284" s="52">
        <f>IF(AND(COUNTA($A284:$L284)&gt;0,$C284="Receipt",$G284=""),1,0)</f>
        <v>0</v>
      </c>
      <c r="AL284" s="52">
        <f>IF(AND(COUNTA($A284:$L284)&gt;0,$G284&lt;&gt;""),IF($N284="ERR",1,0),0)</f>
        <v>0</v>
      </c>
      <c r="AM284" s="52">
        <f>IF(AND(COUNTA($A284:$L284)&gt;0,$H284=""),1,0)</f>
        <v>0</v>
      </c>
      <c r="AN284" s="52">
        <f>IF(AND(COUNTA($A284:$L284)&gt;0,$H284&lt;&gt;""),IF($O284="ERR",1,IF(INT($O284)&lt;&gt;$O284,1,IF(AND(OR($C284="Receipt",$C284="Shipment"),$O284&lt;=0),1,IF(AND($C284="Adjustment",$O284=0),1,0)))),0)</f>
        <v>0</v>
      </c>
      <c r="AO284" s="52">
        <f>IF(AND(COUNTA($A284:$L284)&gt;0,$C284="Receipt",$I284=""),1,0)</f>
        <v>0</v>
      </c>
      <c r="AP284" s="52">
        <f>IF(AND(COUNTA($A284:$L284)&gt;0,$I284&lt;&gt;""),IF(IFERROR(INDEX(Config!$G$15:$G$34,MATCH($I284,Config!$E$15:$E$34,0)),"No")="Yes",0,1),0)</f>
        <v>0</v>
      </c>
      <c r="AQ284" s="52">
        <f>IF(AND(COUNTA($A284:$L284)&gt;0,$C284="Adjustment",$J284=""),1,0)</f>
        <v>0</v>
      </c>
      <c r="AR284" s="52">
        <f>IF(AND(COUNTA($A284:$L284)&gt;0,$L284=""),1,0)</f>
        <v>0</v>
      </c>
      <c r="AS284" s="52">
        <f>IF(AND(COUNTA($A284:$L284)&gt;0,ISNUMBER($S284)),IF($S284&lt;0,1,0),0)</f>
        <v>0</v>
      </c>
      <c r="AT284" s="52">
        <f>$W284</f>
        <v>0</v>
      </c>
      <c r="AU284" s="52">
        <f>$AT284+$X284</f>
        <v>0</v>
      </c>
      <c r="AV284" s="52">
        <f>$AU284+$Y284</f>
        <v>0</v>
      </c>
      <c r="AW284" s="52">
        <f>$AV284+$Z284</f>
        <v>0</v>
      </c>
      <c r="AX284" s="52">
        <f>$AW284+$AA284</f>
        <v>0</v>
      </c>
      <c r="AY284" s="52">
        <f>$AX284+$AB284</f>
        <v>0</v>
      </c>
      <c r="AZ284" s="52">
        <f>$AY284+$AC284</f>
        <v>0</v>
      </c>
      <c r="BA284" s="52">
        <f>$AZ284+$AD284</f>
        <v>0</v>
      </c>
      <c r="BB284" s="52">
        <f>$BA284+$AE284</f>
        <v>0</v>
      </c>
      <c r="BC284" s="52">
        <f>$BB284+$AF284</f>
        <v>0</v>
      </c>
      <c r="BD284" s="52">
        <f>$BC284+$AG284</f>
        <v>0</v>
      </c>
      <c r="BE284" s="52">
        <f>$BD284+$AH284</f>
        <v>0</v>
      </c>
      <c r="BF284" s="52">
        <f>$BE284+$AI284</f>
        <v>0</v>
      </c>
      <c r="BG284" s="52">
        <f>$BF284+$AJ284</f>
        <v>0</v>
      </c>
      <c r="BH284" s="52">
        <f>$BG284+$AK284</f>
        <v>0</v>
      </c>
      <c r="BI284" s="52">
        <f>$BH284+$AL284</f>
        <v>0</v>
      </c>
      <c r="BJ284" s="52">
        <f>$BI284+$AM284</f>
        <v>0</v>
      </c>
      <c r="BK284" s="52">
        <f>$BJ284+$AN284</f>
        <v>0</v>
      </c>
      <c r="BL284" s="52">
        <f>$BK284+$AO284</f>
        <v>0</v>
      </c>
      <c r="BM284" s="52">
        <f>$BL284+$AP284</f>
        <v>0</v>
      </c>
      <c r="BN284" s="52">
        <f>$BM284+$AQ284</f>
        <v>0</v>
      </c>
      <c r="BO284" s="52">
        <f>$BN284+$AR284</f>
        <v>0</v>
      </c>
      <c r="BP284" s="52">
        <f>$BO284+$AS284</f>
        <v>0</v>
      </c>
      <c r="BQ284" s="52">
        <f>SUM($T$1:$T283)</f>
        <v>11</v>
      </c>
      <c r="BR284" s="52" t="str">
        <f>IF(ISNUMBER($T284),IF($T284&gt;0,COUNTIF($T$2:$T284,"&gt;0"),""),"")</f>
        <v/>
      </c>
      <c r="BS284" s="52" t="str">
        <f>IF($BR284="","",$BQ284+$T284)</f>
        <v/>
      </c>
      <c r="BT284" s="52" t="str">
        <f>IF($U284="Ready",COUNTIF($U$2:$U284,"Ready"),"")</f>
        <v/>
      </c>
      <c r="BU284" s="52">
        <f>IF(AND($U284="Ready",$C284="Receipt"),IF(COUNTIF(Batches!$A$2:$A$301,$F284)+COUNTIFS($F$1:$F283,$F284,$C$1:$C283,"Receipt",$U$1:$U283,"Ready")=0,1,0),0)</f>
        <v>0</v>
      </c>
      <c r="BV284" s="52" t="str">
        <f>IF($BU284=1,SUM($BU$2:$BU284),"")</f>
        <v/>
      </c>
    </row>
    <row r="285">
      <c r="A285" s="46" t="n"/>
      <c r="B285" s="46" t="n"/>
      <c r="C285" s="46" t="n"/>
      <c r="D285" s="46" t="n"/>
      <c r="E285" s="46" t="n"/>
      <c r="F285" s="46" t="n"/>
      <c r="G285" s="46" t="n"/>
      <c r="H285" s="46" t="n"/>
      <c r="I285" s="46" t="n"/>
      <c r="J285" s="46" t="n"/>
      <c r="K285" s="46" t="n"/>
      <c r="L285" s="46" t="n"/>
      <c r="M285" s="62" t="str">
        <f>IF($B285="","",IF(ISNUMBER($B285),$B285,IF(AND(LEN($B285)=10,MID($B285,5,1)="-",MID($B285,8,1)="-"),IFERROR(IF(AND(MONTH(DATE(VALUE(LEFT($B285,4)),VALUE(MID($B285,6,2)),VALUE(RIGHT($B285,2))))=VALUE(MID($B285,6,2)),DAY(DATE(VALUE(LEFT($B285,4)),VALUE(MID($B285,6,2)),VALUE(RIGHT($B285,2))))=VALUE(RIGHT($B285,2))),DATE(VALUE(LEFT($B285,4)),VALUE(MID($B285,6,2)),VALUE(RIGHT($B285,2))),"ERR"),"ERR"),"ERR")))</f>
        <v/>
      </c>
      <c r="N285" s="62" t="str">
        <f>IF($G285="","",IF(ISNUMBER($G285),$G285,IF(AND(LEN($G285)=10,MID($G285,5,1)="-",MID($G285,8,1)="-"),IFERROR(IF(AND(MONTH(DATE(VALUE(LEFT($G285,4)),VALUE(MID($G285,6,2)),VALUE(RIGHT($G285,2))))=VALUE(MID($G285,6,2)),DAY(DATE(VALUE(LEFT($G285,4)),VALUE(MID($G285,6,2)),VALUE(RIGHT($G285,2))))=VALUE(RIGHT($G285,2))),DATE(VALUE(LEFT($G285,4)),VALUE(MID($G285,6,2)),VALUE(RIGHT($G285,2))),"ERR"),"ERR"),"ERR")))</f>
        <v/>
      </c>
      <c r="O285" s="51" t="str">
        <f>IF($H285="","",IF(ISNUMBER($H285),$H285,IFERROR(VALUE($H285),"ERR")))</f>
        <v/>
      </c>
      <c r="P285" s="51" t="str">
        <f>IF(AND(ISNUMBER($O285),OR($C285="Receipt",$C285="Shipment",$C285="Adjustment")),IF($C285="Shipment",-$O285,$O285),"")</f>
        <v/>
      </c>
      <c r="Q285" s="51" t="str">
        <f>IF($D285="","",IFERROR(INDEX(Products!$R$2:$R$101,MATCH($D285,Products!$A$2:$A$101,0)),""))</f>
        <v/>
      </c>
      <c r="R285" s="51" t="str">
        <f>IF(OR($Q285="",$P285=""),"",$Q285+SUMIFS($P$1:$P284,$D$1:$D284,$D285,$U$1:$U284,"Ready"))</f>
        <v/>
      </c>
      <c r="S285" s="51" t="str">
        <f>IF($R285="","",$R285+$P285)</f>
        <v/>
      </c>
      <c r="T285" s="52" t="str">
        <f>IF(COUNTA($A285:$L285)&gt;0,$BP285,"")</f>
        <v/>
      </c>
      <c r="U285" s="49" t="str">
        <f>IF($T285="","",IF($T285=0,"Ready","Rejected"))</f>
        <v/>
      </c>
      <c r="V285" s="49" t="str">
        <f>IF(OR($T285="",$T285=0),"",INDEX(Config!$D$39:$D$61,MATCH(1,$AT285:$BP285,0))&amp;IF($T285&gt;1," (+"&amp;($T285-1)&amp;" more)",""))</f>
        <v/>
      </c>
      <c r="W285" s="52">
        <f>IF(AND(COUNTA($A285:$L285)&gt;0,$A285=""),1,0)</f>
        <v>0</v>
      </c>
      <c r="X285" s="52">
        <f>IF(AND(COUNTA($A285:$L285)&gt;0,$A285&lt;&gt;""),IF(COUNTIF($A$1:$A284,$A285)&gt;0,1,0),0)</f>
        <v>0</v>
      </c>
      <c r="Y285" s="52">
        <f>IF(AND(COUNTA($A285:$L285)&gt;0,$A285&lt;&gt;""),IF(COUNTIF(Inventory_Ledger!$A$2:$A$2001,$A285)&gt;0,1,0),0)</f>
        <v>0</v>
      </c>
      <c r="Z285" s="52">
        <f>IF(AND(COUNTA($A285:$L285)&gt;0,$B285=""),1,0)</f>
        <v>0</v>
      </c>
      <c r="AA285" s="52">
        <f>IF(AND(COUNTA($A285:$L285)&gt;0,$B285&lt;&gt;""),IF($M285="ERR",1,0),0)</f>
        <v>0</v>
      </c>
      <c r="AB285" s="52">
        <f>IF(AND(COUNTA($A285:$L285)&gt;0,ISNUMBER($M285)),IF($M285&gt;Config!$B$4,1,0),0)</f>
        <v>0</v>
      </c>
      <c r="AC285" s="52">
        <f>IF(AND(COUNTA($A285:$L285)&gt;0,$C285=""),1,0)</f>
        <v>0</v>
      </c>
      <c r="AD285" s="52">
        <f>IF(AND(COUNTA($A285:$L285)&gt;0,$C285&lt;&gt;""),IF(COUNTIF(Config!$A$15:$A$34,$C285)=0,1,0),0)</f>
        <v>0</v>
      </c>
      <c r="AE285" s="52">
        <f>IF(AND(COUNTA($A285:$L285)&gt;0,$D285=""),1,0)</f>
        <v>0</v>
      </c>
      <c r="AF285" s="52">
        <f>IF(AND(COUNTA($A285:$L285)&gt;0,$D285&lt;&gt;""),IF(COUNTIF(Products!$A$2:$A$101,$D285)=0,1,0),0)</f>
        <v>0</v>
      </c>
      <c r="AG285" s="52">
        <f>IF(AND(COUNTA($A285:$L285)&gt;0,$C285="Receipt",$E285=""),1,0)</f>
        <v>0</v>
      </c>
      <c r="AH285" s="52">
        <f>IF(AND(COUNTA($A285:$L285)&gt;0,$E285&lt;&gt;""),IF(COUNTIF(Suppliers!$A$2:$A$51,$E285)=0,1,0),0)</f>
        <v>0</v>
      </c>
      <c r="AI285" s="52">
        <f>IF(AND(COUNTA($A285:$L285)&gt;0,$F285=""),1,0)</f>
        <v>0</v>
      </c>
      <c r="AJ285" s="52">
        <f>IF(AND(COUNTA($A285:$L285)&gt;0,$F285&lt;&gt;"",$D285&lt;&gt;"",OR($C285="Shipment",$C285="Adjustment")),IF($AF285=1,0,IF(COUNTIFS(Batches!$A$2:$A$301,$F285,Batches!$B$2:$B$301,$D285)+COUNTIFS($F$1:$F284,$F285,$D$1:$D284,$D285,$C$1:$C284,"Receipt")=0,1,0)),0)</f>
        <v>0</v>
      </c>
      <c r="AK285" s="52">
        <f>IF(AND(COUNTA($A285:$L285)&gt;0,$C285="Receipt",$G285=""),1,0)</f>
        <v>0</v>
      </c>
      <c r="AL285" s="52">
        <f>IF(AND(COUNTA($A285:$L285)&gt;0,$G285&lt;&gt;""),IF($N285="ERR",1,0),0)</f>
        <v>0</v>
      </c>
      <c r="AM285" s="52">
        <f>IF(AND(COUNTA($A285:$L285)&gt;0,$H285=""),1,0)</f>
        <v>0</v>
      </c>
      <c r="AN285" s="52">
        <f>IF(AND(COUNTA($A285:$L285)&gt;0,$H285&lt;&gt;""),IF($O285="ERR",1,IF(INT($O285)&lt;&gt;$O285,1,IF(AND(OR($C285="Receipt",$C285="Shipment"),$O285&lt;=0),1,IF(AND($C285="Adjustment",$O285=0),1,0)))),0)</f>
        <v>0</v>
      </c>
      <c r="AO285" s="52">
        <f>IF(AND(COUNTA($A285:$L285)&gt;0,$C285="Receipt",$I285=""),1,0)</f>
        <v>0</v>
      </c>
      <c r="AP285" s="52">
        <f>IF(AND(COUNTA($A285:$L285)&gt;0,$I285&lt;&gt;""),IF(IFERROR(INDEX(Config!$G$15:$G$34,MATCH($I285,Config!$E$15:$E$34,0)),"No")="Yes",0,1),0)</f>
        <v>0</v>
      </c>
      <c r="AQ285" s="52">
        <f>IF(AND(COUNTA($A285:$L285)&gt;0,$C285="Adjustment",$J285=""),1,0)</f>
        <v>0</v>
      </c>
      <c r="AR285" s="52">
        <f>IF(AND(COUNTA($A285:$L285)&gt;0,$L285=""),1,0)</f>
        <v>0</v>
      </c>
      <c r="AS285" s="52">
        <f>IF(AND(COUNTA($A285:$L285)&gt;0,ISNUMBER($S285)),IF($S285&lt;0,1,0),0)</f>
        <v>0</v>
      </c>
      <c r="AT285" s="52">
        <f>$W285</f>
        <v>0</v>
      </c>
      <c r="AU285" s="52">
        <f>$AT285+$X285</f>
        <v>0</v>
      </c>
      <c r="AV285" s="52">
        <f>$AU285+$Y285</f>
        <v>0</v>
      </c>
      <c r="AW285" s="52">
        <f>$AV285+$Z285</f>
        <v>0</v>
      </c>
      <c r="AX285" s="52">
        <f>$AW285+$AA285</f>
        <v>0</v>
      </c>
      <c r="AY285" s="52">
        <f>$AX285+$AB285</f>
        <v>0</v>
      </c>
      <c r="AZ285" s="52">
        <f>$AY285+$AC285</f>
        <v>0</v>
      </c>
      <c r="BA285" s="52">
        <f>$AZ285+$AD285</f>
        <v>0</v>
      </c>
      <c r="BB285" s="52">
        <f>$BA285+$AE285</f>
        <v>0</v>
      </c>
      <c r="BC285" s="52">
        <f>$BB285+$AF285</f>
        <v>0</v>
      </c>
      <c r="BD285" s="52">
        <f>$BC285+$AG285</f>
        <v>0</v>
      </c>
      <c r="BE285" s="52">
        <f>$BD285+$AH285</f>
        <v>0</v>
      </c>
      <c r="BF285" s="52">
        <f>$BE285+$AI285</f>
        <v>0</v>
      </c>
      <c r="BG285" s="52">
        <f>$BF285+$AJ285</f>
        <v>0</v>
      </c>
      <c r="BH285" s="52">
        <f>$BG285+$AK285</f>
        <v>0</v>
      </c>
      <c r="BI285" s="52">
        <f>$BH285+$AL285</f>
        <v>0</v>
      </c>
      <c r="BJ285" s="52">
        <f>$BI285+$AM285</f>
        <v>0</v>
      </c>
      <c r="BK285" s="52">
        <f>$BJ285+$AN285</f>
        <v>0</v>
      </c>
      <c r="BL285" s="52">
        <f>$BK285+$AO285</f>
        <v>0</v>
      </c>
      <c r="BM285" s="52">
        <f>$BL285+$AP285</f>
        <v>0</v>
      </c>
      <c r="BN285" s="52">
        <f>$BM285+$AQ285</f>
        <v>0</v>
      </c>
      <c r="BO285" s="52">
        <f>$BN285+$AR285</f>
        <v>0</v>
      </c>
      <c r="BP285" s="52">
        <f>$BO285+$AS285</f>
        <v>0</v>
      </c>
      <c r="BQ285" s="52">
        <f>SUM($T$1:$T284)</f>
        <v>11</v>
      </c>
      <c r="BR285" s="52" t="str">
        <f>IF(ISNUMBER($T285),IF($T285&gt;0,COUNTIF($T$2:$T285,"&gt;0"),""),"")</f>
        <v/>
      </c>
      <c r="BS285" s="52" t="str">
        <f>IF($BR285="","",$BQ285+$T285)</f>
        <v/>
      </c>
      <c r="BT285" s="52" t="str">
        <f>IF($U285="Ready",COUNTIF($U$2:$U285,"Ready"),"")</f>
        <v/>
      </c>
      <c r="BU285" s="52">
        <f>IF(AND($U285="Ready",$C285="Receipt"),IF(COUNTIF(Batches!$A$2:$A$301,$F285)+COUNTIFS($F$1:$F284,$F285,$C$1:$C284,"Receipt",$U$1:$U284,"Ready")=0,1,0),0)</f>
        <v>0</v>
      </c>
      <c r="BV285" s="52" t="str">
        <f>IF($BU285=1,SUM($BU$2:$BU285),"")</f>
        <v/>
      </c>
    </row>
    <row r="286">
      <c r="A286" s="46" t="n"/>
      <c r="B286" s="46" t="n"/>
      <c r="C286" s="46" t="n"/>
      <c r="D286" s="46" t="n"/>
      <c r="E286" s="46" t="n"/>
      <c r="F286" s="46" t="n"/>
      <c r="G286" s="46" t="n"/>
      <c r="H286" s="46" t="n"/>
      <c r="I286" s="46" t="n"/>
      <c r="J286" s="46" t="n"/>
      <c r="K286" s="46" t="n"/>
      <c r="L286" s="46" t="n"/>
      <c r="M286" s="62" t="str">
        <f>IF($B286="","",IF(ISNUMBER($B286),$B286,IF(AND(LEN($B286)=10,MID($B286,5,1)="-",MID($B286,8,1)="-"),IFERROR(IF(AND(MONTH(DATE(VALUE(LEFT($B286,4)),VALUE(MID($B286,6,2)),VALUE(RIGHT($B286,2))))=VALUE(MID($B286,6,2)),DAY(DATE(VALUE(LEFT($B286,4)),VALUE(MID($B286,6,2)),VALUE(RIGHT($B286,2))))=VALUE(RIGHT($B286,2))),DATE(VALUE(LEFT($B286,4)),VALUE(MID($B286,6,2)),VALUE(RIGHT($B286,2))),"ERR"),"ERR"),"ERR")))</f>
        <v/>
      </c>
      <c r="N286" s="62" t="str">
        <f>IF($G286="","",IF(ISNUMBER($G286),$G286,IF(AND(LEN($G286)=10,MID($G286,5,1)="-",MID($G286,8,1)="-"),IFERROR(IF(AND(MONTH(DATE(VALUE(LEFT($G286,4)),VALUE(MID($G286,6,2)),VALUE(RIGHT($G286,2))))=VALUE(MID($G286,6,2)),DAY(DATE(VALUE(LEFT($G286,4)),VALUE(MID($G286,6,2)),VALUE(RIGHT($G286,2))))=VALUE(RIGHT($G286,2))),DATE(VALUE(LEFT($G286,4)),VALUE(MID($G286,6,2)),VALUE(RIGHT($G286,2))),"ERR"),"ERR"),"ERR")))</f>
        <v/>
      </c>
      <c r="O286" s="51" t="str">
        <f>IF($H286="","",IF(ISNUMBER($H286),$H286,IFERROR(VALUE($H286),"ERR")))</f>
        <v/>
      </c>
      <c r="P286" s="51" t="str">
        <f>IF(AND(ISNUMBER($O286),OR($C286="Receipt",$C286="Shipment",$C286="Adjustment")),IF($C286="Shipment",-$O286,$O286),"")</f>
        <v/>
      </c>
      <c r="Q286" s="51" t="str">
        <f>IF($D286="","",IFERROR(INDEX(Products!$R$2:$R$101,MATCH($D286,Products!$A$2:$A$101,0)),""))</f>
        <v/>
      </c>
      <c r="R286" s="51" t="str">
        <f>IF(OR($Q286="",$P286=""),"",$Q286+SUMIFS($P$1:$P285,$D$1:$D285,$D286,$U$1:$U285,"Ready"))</f>
        <v/>
      </c>
      <c r="S286" s="51" t="str">
        <f>IF($R286="","",$R286+$P286)</f>
        <v/>
      </c>
      <c r="T286" s="52" t="str">
        <f>IF(COUNTA($A286:$L286)&gt;0,$BP286,"")</f>
        <v/>
      </c>
      <c r="U286" s="49" t="str">
        <f>IF($T286="","",IF($T286=0,"Ready","Rejected"))</f>
        <v/>
      </c>
      <c r="V286" s="49" t="str">
        <f>IF(OR($T286="",$T286=0),"",INDEX(Config!$D$39:$D$61,MATCH(1,$AT286:$BP286,0))&amp;IF($T286&gt;1," (+"&amp;($T286-1)&amp;" more)",""))</f>
        <v/>
      </c>
      <c r="W286" s="52">
        <f>IF(AND(COUNTA($A286:$L286)&gt;0,$A286=""),1,0)</f>
        <v>0</v>
      </c>
      <c r="X286" s="52">
        <f>IF(AND(COUNTA($A286:$L286)&gt;0,$A286&lt;&gt;""),IF(COUNTIF($A$1:$A285,$A286)&gt;0,1,0),0)</f>
        <v>0</v>
      </c>
      <c r="Y286" s="52">
        <f>IF(AND(COUNTA($A286:$L286)&gt;0,$A286&lt;&gt;""),IF(COUNTIF(Inventory_Ledger!$A$2:$A$2001,$A286)&gt;0,1,0),0)</f>
        <v>0</v>
      </c>
      <c r="Z286" s="52">
        <f>IF(AND(COUNTA($A286:$L286)&gt;0,$B286=""),1,0)</f>
        <v>0</v>
      </c>
      <c r="AA286" s="52">
        <f>IF(AND(COUNTA($A286:$L286)&gt;0,$B286&lt;&gt;""),IF($M286="ERR",1,0),0)</f>
        <v>0</v>
      </c>
      <c r="AB286" s="52">
        <f>IF(AND(COUNTA($A286:$L286)&gt;0,ISNUMBER($M286)),IF($M286&gt;Config!$B$4,1,0),0)</f>
        <v>0</v>
      </c>
      <c r="AC286" s="52">
        <f>IF(AND(COUNTA($A286:$L286)&gt;0,$C286=""),1,0)</f>
        <v>0</v>
      </c>
      <c r="AD286" s="52">
        <f>IF(AND(COUNTA($A286:$L286)&gt;0,$C286&lt;&gt;""),IF(COUNTIF(Config!$A$15:$A$34,$C286)=0,1,0),0)</f>
        <v>0</v>
      </c>
      <c r="AE286" s="52">
        <f>IF(AND(COUNTA($A286:$L286)&gt;0,$D286=""),1,0)</f>
        <v>0</v>
      </c>
      <c r="AF286" s="52">
        <f>IF(AND(COUNTA($A286:$L286)&gt;0,$D286&lt;&gt;""),IF(COUNTIF(Products!$A$2:$A$101,$D286)=0,1,0),0)</f>
        <v>0</v>
      </c>
      <c r="AG286" s="52">
        <f>IF(AND(COUNTA($A286:$L286)&gt;0,$C286="Receipt",$E286=""),1,0)</f>
        <v>0</v>
      </c>
      <c r="AH286" s="52">
        <f>IF(AND(COUNTA($A286:$L286)&gt;0,$E286&lt;&gt;""),IF(COUNTIF(Suppliers!$A$2:$A$51,$E286)=0,1,0),0)</f>
        <v>0</v>
      </c>
      <c r="AI286" s="52">
        <f>IF(AND(COUNTA($A286:$L286)&gt;0,$F286=""),1,0)</f>
        <v>0</v>
      </c>
      <c r="AJ286" s="52">
        <f>IF(AND(COUNTA($A286:$L286)&gt;0,$F286&lt;&gt;"",$D286&lt;&gt;"",OR($C286="Shipment",$C286="Adjustment")),IF($AF286=1,0,IF(COUNTIFS(Batches!$A$2:$A$301,$F286,Batches!$B$2:$B$301,$D286)+COUNTIFS($F$1:$F285,$F286,$D$1:$D285,$D286,$C$1:$C285,"Receipt")=0,1,0)),0)</f>
        <v>0</v>
      </c>
      <c r="AK286" s="52">
        <f>IF(AND(COUNTA($A286:$L286)&gt;0,$C286="Receipt",$G286=""),1,0)</f>
        <v>0</v>
      </c>
      <c r="AL286" s="52">
        <f>IF(AND(COUNTA($A286:$L286)&gt;0,$G286&lt;&gt;""),IF($N286="ERR",1,0),0)</f>
        <v>0</v>
      </c>
      <c r="AM286" s="52">
        <f>IF(AND(COUNTA($A286:$L286)&gt;0,$H286=""),1,0)</f>
        <v>0</v>
      </c>
      <c r="AN286" s="52">
        <f>IF(AND(COUNTA($A286:$L286)&gt;0,$H286&lt;&gt;""),IF($O286="ERR",1,IF(INT($O286)&lt;&gt;$O286,1,IF(AND(OR($C286="Receipt",$C286="Shipment"),$O286&lt;=0),1,IF(AND($C286="Adjustment",$O286=0),1,0)))),0)</f>
        <v>0</v>
      </c>
      <c r="AO286" s="52">
        <f>IF(AND(COUNTA($A286:$L286)&gt;0,$C286="Receipt",$I286=""),1,0)</f>
        <v>0</v>
      </c>
      <c r="AP286" s="52">
        <f>IF(AND(COUNTA($A286:$L286)&gt;0,$I286&lt;&gt;""),IF(IFERROR(INDEX(Config!$G$15:$G$34,MATCH($I286,Config!$E$15:$E$34,0)),"No")="Yes",0,1),0)</f>
        <v>0</v>
      </c>
      <c r="AQ286" s="52">
        <f>IF(AND(COUNTA($A286:$L286)&gt;0,$C286="Adjustment",$J286=""),1,0)</f>
        <v>0</v>
      </c>
      <c r="AR286" s="52">
        <f>IF(AND(COUNTA($A286:$L286)&gt;0,$L286=""),1,0)</f>
        <v>0</v>
      </c>
      <c r="AS286" s="52">
        <f>IF(AND(COUNTA($A286:$L286)&gt;0,ISNUMBER($S286)),IF($S286&lt;0,1,0),0)</f>
        <v>0</v>
      </c>
      <c r="AT286" s="52">
        <f>$W286</f>
        <v>0</v>
      </c>
      <c r="AU286" s="52">
        <f>$AT286+$X286</f>
        <v>0</v>
      </c>
      <c r="AV286" s="52">
        <f>$AU286+$Y286</f>
        <v>0</v>
      </c>
      <c r="AW286" s="52">
        <f>$AV286+$Z286</f>
        <v>0</v>
      </c>
      <c r="AX286" s="52">
        <f>$AW286+$AA286</f>
        <v>0</v>
      </c>
      <c r="AY286" s="52">
        <f>$AX286+$AB286</f>
        <v>0</v>
      </c>
      <c r="AZ286" s="52">
        <f>$AY286+$AC286</f>
        <v>0</v>
      </c>
      <c r="BA286" s="52">
        <f>$AZ286+$AD286</f>
        <v>0</v>
      </c>
      <c r="BB286" s="52">
        <f>$BA286+$AE286</f>
        <v>0</v>
      </c>
      <c r="BC286" s="52">
        <f>$BB286+$AF286</f>
        <v>0</v>
      </c>
      <c r="BD286" s="52">
        <f>$BC286+$AG286</f>
        <v>0</v>
      </c>
      <c r="BE286" s="52">
        <f>$BD286+$AH286</f>
        <v>0</v>
      </c>
      <c r="BF286" s="52">
        <f>$BE286+$AI286</f>
        <v>0</v>
      </c>
      <c r="BG286" s="52">
        <f>$BF286+$AJ286</f>
        <v>0</v>
      </c>
      <c r="BH286" s="52">
        <f>$BG286+$AK286</f>
        <v>0</v>
      </c>
      <c r="BI286" s="52">
        <f>$BH286+$AL286</f>
        <v>0</v>
      </c>
      <c r="BJ286" s="52">
        <f>$BI286+$AM286</f>
        <v>0</v>
      </c>
      <c r="BK286" s="52">
        <f>$BJ286+$AN286</f>
        <v>0</v>
      </c>
      <c r="BL286" s="52">
        <f>$BK286+$AO286</f>
        <v>0</v>
      </c>
      <c r="BM286" s="52">
        <f>$BL286+$AP286</f>
        <v>0</v>
      </c>
      <c r="BN286" s="52">
        <f>$BM286+$AQ286</f>
        <v>0</v>
      </c>
      <c r="BO286" s="52">
        <f>$BN286+$AR286</f>
        <v>0</v>
      </c>
      <c r="BP286" s="52">
        <f>$BO286+$AS286</f>
        <v>0</v>
      </c>
      <c r="BQ286" s="52">
        <f>SUM($T$1:$T285)</f>
        <v>11</v>
      </c>
      <c r="BR286" s="52" t="str">
        <f>IF(ISNUMBER($T286),IF($T286&gt;0,COUNTIF($T$2:$T286,"&gt;0"),""),"")</f>
        <v/>
      </c>
      <c r="BS286" s="52" t="str">
        <f>IF($BR286="","",$BQ286+$T286)</f>
        <v/>
      </c>
      <c r="BT286" s="52" t="str">
        <f>IF($U286="Ready",COUNTIF($U$2:$U286,"Ready"),"")</f>
        <v/>
      </c>
      <c r="BU286" s="52">
        <f>IF(AND($U286="Ready",$C286="Receipt"),IF(COUNTIF(Batches!$A$2:$A$301,$F286)+COUNTIFS($F$1:$F285,$F286,$C$1:$C285,"Receipt",$U$1:$U285,"Ready")=0,1,0),0)</f>
        <v>0</v>
      </c>
      <c r="BV286" s="52" t="str">
        <f>IF($BU286=1,SUM($BU$2:$BU286),"")</f>
        <v/>
      </c>
    </row>
    <row r="287">
      <c r="A287" s="46" t="n"/>
      <c r="B287" s="46" t="n"/>
      <c r="C287" s="46" t="n"/>
      <c r="D287" s="46" t="n"/>
      <c r="E287" s="46" t="n"/>
      <c r="F287" s="46" t="n"/>
      <c r="G287" s="46" t="n"/>
      <c r="H287" s="46" t="n"/>
      <c r="I287" s="46" t="n"/>
      <c r="J287" s="46" t="n"/>
      <c r="K287" s="46" t="n"/>
      <c r="L287" s="46" t="n"/>
      <c r="M287" s="62" t="str">
        <f>IF($B287="","",IF(ISNUMBER($B287),$B287,IF(AND(LEN($B287)=10,MID($B287,5,1)="-",MID($B287,8,1)="-"),IFERROR(IF(AND(MONTH(DATE(VALUE(LEFT($B287,4)),VALUE(MID($B287,6,2)),VALUE(RIGHT($B287,2))))=VALUE(MID($B287,6,2)),DAY(DATE(VALUE(LEFT($B287,4)),VALUE(MID($B287,6,2)),VALUE(RIGHT($B287,2))))=VALUE(RIGHT($B287,2))),DATE(VALUE(LEFT($B287,4)),VALUE(MID($B287,6,2)),VALUE(RIGHT($B287,2))),"ERR"),"ERR"),"ERR")))</f>
        <v/>
      </c>
      <c r="N287" s="62" t="str">
        <f>IF($G287="","",IF(ISNUMBER($G287),$G287,IF(AND(LEN($G287)=10,MID($G287,5,1)="-",MID($G287,8,1)="-"),IFERROR(IF(AND(MONTH(DATE(VALUE(LEFT($G287,4)),VALUE(MID($G287,6,2)),VALUE(RIGHT($G287,2))))=VALUE(MID($G287,6,2)),DAY(DATE(VALUE(LEFT($G287,4)),VALUE(MID($G287,6,2)),VALUE(RIGHT($G287,2))))=VALUE(RIGHT($G287,2))),DATE(VALUE(LEFT($G287,4)),VALUE(MID($G287,6,2)),VALUE(RIGHT($G287,2))),"ERR"),"ERR"),"ERR")))</f>
        <v/>
      </c>
      <c r="O287" s="51" t="str">
        <f>IF($H287="","",IF(ISNUMBER($H287),$H287,IFERROR(VALUE($H287),"ERR")))</f>
        <v/>
      </c>
      <c r="P287" s="51" t="str">
        <f>IF(AND(ISNUMBER($O287),OR($C287="Receipt",$C287="Shipment",$C287="Adjustment")),IF($C287="Shipment",-$O287,$O287),"")</f>
        <v/>
      </c>
      <c r="Q287" s="51" t="str">
        <f>IF($D287="","",IFERROR(INDEX(Products!$R$2:$R$101,MATCH($D287,Products!$A$2:$A$101,0)),""))</f>
        <v/>
      </c>
      <c r="R287" s="51" t="str">
        <f>IF(OR($Q287="",$P287=""),"",$Q287+SUMIFS($P$1:$P286,$D$1:$D286,$D287,$U$1:$U286,"Ready"))</f>
        <v/>
      </c>
      <c r="S287" s="51" t="str">
        <f>IF($R287="","",$R287+$P287)</f>
        <v/>
      </c>
      <c r="T287" s="52" t="str">
        <f>IF(COUNTA($A287:$L287)&gt;0,$BP287,"")</f>
        <v/>
      </c>
      <c r="U287" s="49" t="str">
        <f>IF($T287="","",IF($T287=0,"Ready","Rejected"))</f>
        <v/>
      </c>
      <c r="V287" s="49" t="str">
        <f>IF(OR($T287="",$T287=0),"",INDEX(Config!$D$39:$D$61,MATCH(1,$AT287:$BP287,0))&amp;IF($T287&gt;1," (+"&amp;($T287-1)&amp;" more)",""))</f>
        <v/>
      </c>
      <c r="W287" s="52">
        <f>IF(AND(COUNTA($A287:$L287)&gt;0,$A287=""),1,0)</f>
        <v>0</v>
      </c>
      <c r="X287" s="52">
        <f>IF(AND(COUNTA($A287:$L287)&gt;0,$A287&lt;&gt;""),IF(COUNTIF($A$1:$A286,$A287)&gt;0,1,0),0)</f>
        <v>0</v>
      </c>
      <c r="Y287" s="52">
        <f>IF(AND(COUNTA($A287:$L287)&gt;0,$A287&lt;&gt;""),IF(COUNTIF(Inventory_Ledger!$A$2:$A$2001,$A287)&gt;0,1,0),0)</f>
        <v>0</v>
      </c>
      <c r="Z287" s="52">
        <f>IF(AND(COUNTA($A287:$L287)&gt;0,$B287=""),1,0)</f>
        <v>0</v>
      </c>
      <c r="AA287" s="52">
        <f>IF(AND(COUNTA($A287:$L287)&gt;0,$B287&lt;&gt;""),IF($M287="ERR",1,0),0)</f>
        <v>0</v>
      </c>
      <c r="AB287" s="52">
        <f>IF(AND(COUNTA($A287:$L287)&gt;0,ISNUMBER($M287)),IF($M287&gt;Config!$B$4,1,0),0)</f>
        <v>0</v>
      </c>
      <c r="AC287" s="52">
        <f>IF(AND(COUNTA($A287:$L287)&gt;0,$C287=""),1,0)</f>
        <v>0</v>
      </c>
      <c r="AD287" s="52">
        <f>IF(AND(COUNTA($A287:$L287)&gt;0,$C287&lt;&gt;""),IF(COUNTIF(Config!$A$15:$A$34,$C287)=0,1,0),0)</f>
        <v>0</v>
      </c>
      <c r="AE287" s="52">
        <f>IF(AND(COUNTA($A287:$L287)&gt;0,$D287=""),1,0)</f>
        <v>0</v>
      </c>
      <c r="AF287" s="52">
        <f>IF(AND(COUNTA($A287:$L287)&gt;0,$D287&lt;&gt;""),IF(COUNTIF(Products!$A$2:$A$101,$D287)=0,1,0),0)</f>
        <v>0</v>
      </c>
      <c r="AG287" s="52">
        <f>IF(AND(COUNTA($A287:$L287)&gt;0,$C287="Receipt",$E287=""),1,0)</f>
        <v>0</v>
      </c>
      <c r="AH287" s="52">
        <f>IF(AND(COUNTA($A287:$L287)&gt;0,$E287&lt;&gt;""),IF(COUNTIF(Suppliers!$A$2:$A$51,$E287)=0,1,0),0)</f>
        <v>0</v>
      </c>
      <c r="AI287" s="52">
        <f>IF(AND(COUNTA($A287:$L287)&gt;0,$F287=""),1,0)</f>
        <v>0</v>
      </c>
      <c r="AJ287" s="52">
        <f>IF(AND(COUNTA($A287:$L287)&gt;0,$F287&lt;&gt;"",$D287&lt;&gt;"",OR($C287="Shipment",$C287="Adjustment")),IF($AF287=1,0,IF(COUNTIFS(Batches!$A$2:$A$301,$F287,Batches!$B$2:$B$301,$D287)+COUNTIFS($F$1:$F286,$F287,$D$1:$D286,$D287,$C$1:$C286,"Receipt")=0,1,0)),0)</f>
        <v>0</v>
      </c>
      <c r="AK287" s="52">
        <f>IF(AND(COUNTA($A287:$L287)&gt;0,$C287="Receipt",$G287=""),1,0)</f>
        <v>0</v>
      </c>
      <c r="AL287" s="52">
        <f>IF(AND(COUNTA($A287:$L287)&gt;0,$G287&lt;&gt;""),IF($N287="ERR",1,0),0)</f>
        <v>0</v>
      </c>
      <c r="AM287" s="52">
        <f>IF(AND(COUNTA($A287:$L287)&gt;0,$H287=""),1,0)</f>
        <v>0</v>
      </c>
      <c r="AN287" s="52">
        <f>IF(AND(COUNTA($A287:$L287)&gt;0,$H287&lt;&gt;""),IF($O287="ERR",1,IF(INT($O287)&lt;&gt;$O287,1,IF(AND(OR($C287="Receipt",$C287="Shipment"),$O287&lt;=0),1,IF(AND($C287="Adjustment",$O287=0),1,0)))),0)</f>
        <v>0</v>
      </c>
      <c r="AO287" s="52">
        <f>IF(AND(COUNTA($A287:$L287)&gt;0,$C287="Receipt",$I287=""),1,0)</f>
        <v>0</v>
      </c>
      <c r="AP287" s="52">
        <f>IF(AND(COUNTA($A287:$L287)&gt;0,$I287&lt;&gt;""),IF(IFERROR(INDEX(Config!$G$15:$G$34,MATCH($I287,Config!$E$15:$E$34,0)),"No")="Yes",0,1),0)</f>
        <v>0</v>
      </c>
      <c r="AQ287" s="52">
        <f>IF(AND(COUNTA($A287:$L287)&gt;0,$C287="Adjustment",$J287=""),1,0)</f>
        <v>0</v>
      </c>
      <c r="AR287" s="52">
        <f>IF(AND(COUNTA($A287:$L287)&gt;0,$L287=""),1,0)</f>
        <v>0</v>
      </c>
      <c r="AS287" s="52">
        <f>IF(AND(COUNTA($A287:$L287)&gt;0,ISNUMBER($S287)),IF($S287&lt;0,1,0),0)</f>
        <v>0</v>
      </c>
      <c r="AT287" s="52">
        <f>$W287</f>
        <v>0</v>
      </c>
      <c r="AU287" s="52">
        <f>$AT287+$X287</f>
        <v>0</v>
      </c>
      <c r="AV287" s="52">
        <f>$AU287+$Y287</f>
        <v>0</v>
      </c>
      <c r="AW287" s="52">
        <f>$AV287+$Z287</f>
        <v>0</v>
      </c>
      <c r="AX287" s="52">
        <f>$AW287+$AA287</f>
        <v>0</v>
      </c>
      <c r="AY287" s="52">
        <f>$AX287+$AB287</f>
        <v>0</v>
      </c>
      <c r="AZ287" s="52">
        <f>$AY287+$AC287</f>
        <v>0</v>
      </c>
      <c r="BA287" s="52">
        <f>$AZ287+$AD287</f>
        <v>0</v>
      </c>
      <c r="BB287" s="52">
        <f>$BA287+$AE287</f>
        <v>0</v>
      </c>
      <c r="BC287" s="52">
        <f>$BB287+$AF287</f>
        <v>0</v>
      </c>
      <c r="BD287" s="52">
        <f>$BC287+$AG287</f>
        <v>0</v>
      </c>
      <c r="BE287" s="52">
        <f>$BD287+$AH287</f>
        <v>0</v>
      </c>
      <c r="BF287" s="52">
        <f>$BE287+$AI287</f>
        <v>0</v>
      </c>
      <c r="BG287" s="52">
        <f>$BF287+$AJ287</f>
        <v>0</v>
      </c>
      <c r="BH287" s="52">
        <f>$BG287+$AK287</f>
        <v>0</v>
      </c>
      <c r="BI287" s="52">
        <f>$BH287+$AL287</f>
        <v>0</v>
      </c>
      <c r="BJ287" s="52">
        <f>$BI287+$AM287</f>
        <v>0</v>
      </c>
      <c r="BK287" s="52">
        <f>$BJ287+$AN287</f>
        <v>0</v>
      </c>
      <c r="BL287" s="52">
        <f>$BK287+$AO287</f>
        <v>0</v>
      </c>
      <c r="BM287" s="52">
        <f>$BL287+$AP287</f>
        <v>0</v>
      </c>
      <c r="BN287" s="52">
        <f>$BM287+$AQ287</f>
        <v>0</v>
      </c>
      <c r="BO287" s="52">
        <f>$BN287+$AR287</f>
        <v>0</v>
      </c>
      <c r="BP287" s="52">
        <f>$BO287+$AS287</f>
        <v>0</v>
      </c>
      <c r="BQ287" s="52">
        <f>SUM($T$1:$T286)</f>
        <v>11</v>
      </c>
      <c r="BR287" s="52" t="str">
        <f>IF(ISNUMBER($T287),IF($T287&gt;0,COUNTIF($T$2:$T287,"&gt;0"),""),"")</f>
        <v/>
      </c>
      <c r="BS287" s="52" t="str">
        <f>IF($BR287="","",$BQ287+$T287)</f>
        <v/>
      </c>
      <c r="BT287" s="52" t="str">
        <f>IF($U287="Ready",COUNTIF($U$2:$U287,"Ready"),"")</f>
        <v/>
      </c>
      <c r="BU287" s="52">
        <f>IF(AND($U287="Ready",$C287="Receipt"),IF(COUNTIF(Batches!$A$2:$A$301,$F287)+COUNTIFS($F$1:$F286,$F287,$C$1:$C286,"Receipt",$U$1:$U286,"Ready")=0,1,0),0)</f>
        <v>0</v>
      </c>
      <c r="BV287" s="52" t="str">
        <f>IF($BU287=1,SUM($BU$2:$BU287),"")</f>
        <v/>
      </c>
    </row>
    <row r="288">
      <c r="A288" s="46" t="n"/>
      <c r="B288" s="46" t="n"/>
      <c r="C288" s="46" t="n"/>
      <c r="D288" s="46" t="n"/>
      <c r="E288" s="46" t="n"/>
      <c r="F288" s="46" t="n"/>
      <c r="G288" s="46" t="n"/>
      <c r="H288" s="46" t="n"/>
      <c r="I288" s="46" t="n"/>
      <c r="J288" s="46" t="n"/>
      <c r="K288" s="46" t="n"/>
      <c r="L288" s="46" t="n"/>
      <c r="M288" s="62" t="str">
        <f>IF($B288="","",IF(ISNUMBER($B288),$B288,IF(AND(LEN($B288)=10,MID($B288,5,1)="-",MID($B288,8,1)="-"),IFERROR(IF(AND(MONTH(DATE(VALUE(LEFT($B288,4)),VALUE(MID($B288,6,2)),VALUE(RIGHT($B288,2))))=VALUE(MID($B288,6,2)),DAY(DATE(VALUE(LEFT($B288,4)),VALUE(MID($B288,6,2)),VALUE(RIGHT($B288,2))))=VALUE(RIGHT($B288,2))),DATE(VALUE(LEFT($B288,4)),VALUE(MID($B288,6,2)),VALUE(RIGHT($B288,2))),"ERR"),"ERR"),"ERR")))</f>
        <v/>
      </c>
      <c r="N288" s="62" t="str">
        <f>IF($G288="","",IF(ISNUMBER($G288),$G288,IF(AND(LEN($G288)=10,MID($G288,5,1)="-",MID($G288,8,1)="-"),IFERROR(IF(AND(MONTH(DATE(VALUE(LEFT($G288,4)),VALUE(MID($G288,6,2)),VALUE(RIGHT($G288,2))))=VALUE(MID($G288,6,2)),DAY(DATE(VALUE(LEFT($G288,4)),VALUE(MID($G288,6,2)),VALUE(RIGHT($G288,2))))=VALUE(RIGHT($G288,2))),DATE(VALUE(LEFT($G288,4)),VALUE(MID($G288,6,2)),VALUE(RIGHT($G288,2))),"ERR"),"ERR"),"ERR")))</f>
        <v/>
      </c>
      <c r="O288" s="51" t="str">
        <f>IF($H288="","",IF(ISNUMBER($H288),$H288,IFERROR(VALUE($H288),"ERR")))</f>
        <v/>
      </c>
      <c r="P288" s="51" t="str">
        <f>IF(AND(ISNUMBER($O288),OR($C288="Receipt",$C288="Shipment",$C288="Adjustment")),IF($C288="Shipment",-$O288,$O288),"")</f>
        <v/>
      </c>
      <c r="Q288" s="51" t="str">
        <f>IF($D288="","",IFERROR(INDEX(Products!$R$2:$R$101,MATCH($D288,Products!$A$2:$A$101,0)),""))</f>
        <v/>
      </c>
      <c r="R288" s="51" t="str">
        <f>IF(OR($Q288="",$P288=""),"",$Q288+SUMIFS($P$1:$P287,$D$1:$D287,$D288,$U$1:$U287,"Ready"))</f>
        <v/>
      </c>
      <c r="S288" s="51" t="str">
        <f>IF($R288="","",$R288+$P288)</f>
        <v/>
      </c>
      <c r="T288" s="52" t="str">
        <f>IF(COUNTA($A288:$L288)&gt;0,$BP288,"")</f>
        <v/>
      </c>
      <c r="U288" s="49" t="str">
        <f>IF($T288="","",IF($T288=0,"Ready","Rejected"))</f>
        <v/>
      </c>
      <c r="V288" s="49" t="str">
        <f>IF(OR($T288="",$T288=0),"",INDEX(Config!$D$39:$D$61,MATCH(1,$AT288:$BP288,0))&amp;IF($T288&gt;1," (+"&amp;($T288-1)&amp;" more)",""))</f>
        <v/>
      </c>
      <c r="W288" s="52">
        <f>IF(AND(COUNTA($A288:$L288)&gt;0,$A288=""),1,0)</f>
        <v>0</v>
      </c>
      <c r="X288" s="52">
        <f>IF(AND(COUNTA($A288:$L288)&gt;0,$A288&lt;&gt;""),IF(COUNTIF($A$1:$A287,$A288)&gt;0,1,0),0)</f>
        <v>0</v>
      </c>
      <c r="Y288" s="52">
        <f>IF(AND(COUNTA($A288:$L288)&gt;0,$A288&lt;&gt;""),IF(COUNTIF(Inventory_Ledger!$A$2:$A$2001,$A288)&gt;0,1,0),0)</f>
        <v>0</v>
      </c>
      <c r="Z288" s="52">
        <f>IF(AND(COUNTA($A288:$L288)&gt;0,$B288=""),1,0)</f>
        <v>0</v>
      </c>
      <c r="AA288" s="52">
        <f>IF(AND(COUNTA($A288:$L288)&gt;0,$B288&lt;&gt;""),IF($M288="ERR",1,0),0)</f>
        <v>0</v>
      </c>
      <c r="AB288" s="52">
        <f>IF(AND(COUNTA($A288:$L288)&gt;0,ISNUMBER($M288)),IF($M288&gt;Config!$B$4,1,0),0)</f>
        <v>0</v>
      </c>
      <c r="AC288" s="52">
        <f>IF(AND(COUNTA($A288:$L288)&gt;0,$C288=""),1,0)</f>
        <v>0</v>
      </c>
      <c r="AD288" s="52">
        <f>IF(AND(COUNTA($A288:$L288)&gt;0,$C288&lt;&gt;""),IF(COUNTIF(Config!$A$15:$A$34,$C288)=0,1,0),0)</f>
        <v>0</v>
      </c>
      <c r="AE288" s="52">
        <f>IF(AND(COUNTA($A288:$L288)&gt;0,$D288=""),1,0)</f>
        <v>0</v>
      </c>
      <c r="AF288" s="52">
        <f>IF(AND(COUNTA($A288:$L288)&gt;0,$D288&lt;&gt;""),IF(COUNTIF(Products!$A$2:$A$101,$D288)=0,1,0),0)</f>
        <v>0</v>
      </c>
      <c r="AG288" s="52">
        <f>IF(AND(COUNTA($A288:$L288)&gt;0,$C288="Receipt",$E288=""),1,0)</f>
        <v>0</v>
      </c>
      <c r="AH288" s="52">
        <f>IF(AND(COUNTA($A288:$L288)&gt;0,$E288&lt;&gt;""),IF(COUNTIF(Suppliers!$A$2:$A$51,$E288)=0,1,0),0)</f>
        <v>0</v>
      </c>
      <c r="AI288" s="52">
        <f>IF(AND(COUNTA($A288:$L288)&gt;0,$F288=""),1,0)</f>
        <v>0</v>
      </c>
      <c r="AJ288" s="52">
        <f>IF(AND(COUNTA($A288:$L288)&gt;0,$F288&lt;&gt;"",$D288&lt;&gt;"",OR($C288="Shipment",$C288="Adjustment")),IF($AF288=1,0,IF(COUNTIFS(Batches!$A$2:$A$301,$F288,Batches!$B$2:$B$301,$D288)+COUNTIFS($F$1:$F287,$F288,$D$1:$D287,$D288,$C$1:$C287,"Receipt")=0,1,0)),0)</f>
        <v>0</v>
      </c>
      <c r="AK288" s="52">
        <f>IF(AND(COUNTA($A288:$L288)&gt;0,$C288="Receipt",$G288=""),1,0)</f>
        <v>0</v>
      </c>
      <c r="AL288" s="52">
        <f>IF(AND(COUNTA($A288:$L288)&gt;0,$G288&lt;&gt;""),IF($N288="ERR",1,0),0)</f>
        <v>0</v>
      </c>
      <c r="AM288" s="52">
        <f>IF(AND(COUNTA($A288:$L288)&gt;0,$H288=""),1,0)</f>
        <v>0</v>
      </c>
      <c r="AN288" s="52">
        <f>IF(AND(COUNTA($A288:$L288)&gt;0,$H288&lt;&gt;""),IF($O288="ERR",1,IF(INT($O288)&lt;&gt;$O288,1,IF(AND(OR($C288="Receipt",$C288="Shipment"),$O288&lt;=0),1,IF(AND($C288="Adjustment",$O288=0),1,0)))),0)</f>
        <v>0</v>
      </c>
      <c r="AO288" s="52">
        <f>IF(AND(COUNTA($A288:$L288)&gt;0,$C288="Receipt",$I288=""),1,0)</f>
        <v>0</v>
      </c>
      <c r="AP288" s="52">
        <f>IF(AND(COUNTA($A288:$L288)&gt;0,$I288&lt;&gt;""),IF(IFERROR(INDEX(Config!$G$15:$G$34,MATCH($I288,Config!$E$15:$E$34,0)),"No")="Yes",0,1),0)</f>
        <v>0</v>
      </c>
      <c r="AQ288" s="52">
        <f>IF(AND(COUNTA($A288:$L288)&gt;0,$C288="Adjustment",$J288=""),1,0)</f>
        <v>0</v>
      </c>
      <c r="AR288" s="52">
        <f>IF(AND(COUNTA($A288:$L288)&gt;0,$L288=""),1,0)</f>
        <v>0</v>
      </c>
      <c r="AS288" s="52">
        <f>IF(AND(COUNTA($A288:$L288)&gt;0,ISNUMBER($S288)),IF($S288&lt;0,1,0),0)</f>
        <v>0</v>
      </c>
      <c r="AT288" s="52">
        <f>$W288</f>
        <v>0</v>
      </c>
      <c r="AU288" s="52">
        <f>$AT288+$X288</f>
        <v>0</v>
      </c>
      <c r="AV288" s="52">
        <f>$AU288+$Y288</f>
        <v>0</v>
      </c>
      <c r="AW288" s="52">
        <f>$AV288+$Z288</f>
        <v>0</v>
      </c>
      <c r="AX288" s="52">
        <f>$AW288+$AA288</f>
        <v>0</v>
      </c>
      <c r="AY288" s="52">
        <f>$AX288+$AB288</f>
        <v>0</v>
      </c>
      <c r="AZ288" s="52">
        <f>$AY288+$AC288</f>
        <v>0</v>
      </c>
      <c r="BA288" s="52">
        <f>$AZ288+$AD288</f>
        <v>0</v>
      </c>
      <c r="BB288" s="52">
        <f>$BA288+$AE288</f>
        <v>0</v>
      </c>
      <c r="BC288" s="52">
        <f>$BB288+$AF288</f>
        <v>0</v>
      </c>
      <c r="BD288" s="52">
        <f>$BC288+$AG288</f>
        <v>0</v>
      </c>
      <c r="BE288" s="52">
        <f>$BD288+$AH288</f>
        <v>0</v>
      </c>
      <c r="BF288" s="52">
        <f>$BE288+$AI288</f>
        <v>0</v>
      </c>
      <c r="BG288" s="52">
        <f>$BF288+$AJ288</f>
        <v>0</v>
      </c>
      <c r="BH288" s="52">
        <f>$BG288+$AK288</f>
        <v>0</v>
      </c>
      <c r="BI288" s="52">
        <f>$BH288+$AL288</f>
        <v>0</v>
      </c>
      <c r="BJ288" s="52">
        <f>$BI288+$AM288</f>
        <v>0</v>
      </c>
      <c r="BK288" s="52">
        <f>$BJ288+$AN288</f>
        <v>0</v>
      </c>
      <c r="BL288" s="52">
        <f>$BK288+$AO288</f>
        <v>0</v>
      </c>
      <c r="BM288" s="52">
        <f>$BL288+$AP288</f>
        <v>0</v>
      </c>
      <c r="BN288" s="52">
        <f>$BM288+$AQ288</f>
        <v>0</v>
      </c>
      <c r="BO288" s="52">
        <f>$BN288+$AR288</f>
        <v>0</v>
      </c>
      <c r="BP288" s="52">
        <f>$BO288+$AS288</f>
        <v>0</v>
      </c>
      <c r="BQ288" s="52">
        <f>SUM($T$1:$T287)</f>
        <v>11</v>
      </c>
      <c r="BR288" s="52" t="str">
        <f>IF(ISNUMBER($T288),IF($T288&gt;0,COUNTIF($T$2:$T288,"&gt;0"),""),"")</f>
        <v/>
      </c>
      <c r="BS288" s="52" t="str">
        <f>IF($BR288="","",$BQ288+$T288)</f>
        <v/>
      </c>
      <c r="BT288" s="52" t="str">
        <f>IF($U288="Ready",COUNTIF($U$2:$U288,"Ready"),"")</f>
        <v/>
      </c>
      <c r="BU288" s="52">
        <f>IF(AND($U288="Ready",$C288="Receipt"),IF(COUNTIF(Batches!$A$2:$A$301,$F288)+COUNTIFS($F$1:$F287,$F288,$C$1:$C287,"Receipt",$U$1:$U287,"Ready")=0,1,0),0)</f>
        <v>0</v>
      </c>
      <c r="BV288" s="52" t="str">
        <f>IF($BU288=1,SUM($BU$2:$BU288),"")</f>
        <v/>
      </c>
    </row>
    <row r="289">
      <c r="A289" s="46" t="n"/>
      <c r="B289" s="46" t="n"/>
      <c r="C289" s="46" t="n"/>
      <c r="D289" s="46" t="n"/>
      <c r="E289" s="46" t="n"/>
      <c r="F289" s="46" t="n"/>
      <c r="G289" s="46" t="n"/>
      <c r="H289" s="46" t="n"/>
      <c r="I289" s="46" t="n"/>
      <c r="J289" s="46" t="n"/>
      <c r="K289" s="46" t="n"/>
      <c r="L289" s="46" t="n"/>
      <c r="M289" s="62" t="str">
        <f>IF($B289="","",IF(ISNUMBER($B289),$B289,IF(AND(LEN($B289)=10,MID($B289,5,1)="-",MID($B289,8,1)="-"),IFERROR(IF(AND(MONTH(DATE(VALUE(LEFT($B289,4)),VALUE(MID($B289,6,2)),VALUE(RIGHT($B289,2))))=VALUE(MID($B289,6,2)),DAY(DATE(VALUE(LEFT($B289,4)),VALUE(MID($B289,6,2)),VALUE(RIGHT($B289,2))))=VALUE(RIGHT($B289,2))),DATE(VALUE(LEFT($B289,4)),VALUE(MID($B289,6,2)),VALUE(RIGHT($B289,2))),"ERR"),"ERR"),"ERR")))</f>
        <v/>
      </c>
      <c r="N289" s="62" t="str">
        <f>IF($G289="","",IF(ISNUMBER($G289),$G289,IF(AND(LEN($G289)=10,MID($G289,5,1)="-",MID($G289,8,1)="-"),IFERROR(IF(AND(MONTH(DATE(VALUE(LEFT($G289,4)),VALUE(MID($G289,6,2)),VALUE(RIGHT($G289,2))))=VALUE(MID($G289,6,2)),DAY(DATE(VALUE(LEFT($G289,4)),VALUE(MID($G289,6,2)),VALUE(RIGHT($G289,2))))=VALUE(RIGHT($G289,2))),DATE(VALUE(LEFT($G289,4)),VALUE(MID($G289,6,2)),VALUE(RIGHT($G289,2))),"ERR"),"ERR"),"ERR")))</f>
        <v/>
      </c>
      <c r="O289" s="51" t="str">
        <f>IF($H289="","",IF(ISNUMBER($H289),$H289,IFERROR(VALUE($H289),"ERR")))</f>
        <v/>
      </c>
      <c r="P289" s="51" t="str">
        <f>IF(AND(ISNUMBER($O289),OR($C289="Receipt",$C289="Shipment",$C289="Adjustment")),IF($C289="Shipment",-$O289,$O289),"")</f>
        <v/>
      </c>
      <c r="Q289" s="51" t="str">
        <f>IF($D289="","",IFERROR(INDEX(Products!$R$2:$R$101,MATCH($D289,Products!$A$2:$A$101,0)),""))</f>
        <v/>
      </c>
      <c r="R289" s="51" t="str">
        <f>IF(OR($Q289="",$P289=""),"",$Q289+SUMIFS($P$1:$P288,$D$1:$D288,$D289,$U$1:$U288,"Ready"))</f>
        <v/>
      </c>
      <c r="S289" s="51" t="str">
        <f>IF($R289="","",$R289+$P289)</f>
        <v/>
      </c>
      <c r="T289" s="52" t="str">
        <f>IF(COUNTA($A289:$L289)&gt;0,$BP289,"")</f>
        <v/>
      </c>
      <c r="U289" s="49" t="str">
        <f>IF($T289="","",IF($T289=0,"Ready","Rejected"))</f>
        <v/>
      </c>
      <c r="V289" s="49" t="str">
        <f>IF(OR($T289="",$T289=0),"",INDEX(Config!$D$39:$D$61,MATCH(1,$AT289:$BP289,0))&amp;IF($T289&gt;1," (+"&amp;($T289-1)&amp;" more)",""))</f>
        <v/>
      </c>
      <c r="W289" s="52">
        <f>IF(AND(COUNTA($A289:$L289)&gt;0,$A289=""),1,0)</f>
        <v>0</v>
      </c>
      <c r="X289" s="52">
        <f>IF(AND(COUNTA($A289:$L289)&gt;0,$A289&lt;&gt;""),IF(COUNTIF($A$1:$A288,$A289)&gt;0,1,0),0)</f>
        <v>0</v>
      </c>
      <c r="Y289" s="52">
        <f>IF(AND(COUNTA($A289:$L289)&gt;0,$A289&lt;&gt;""),IF(COUNTIF(Inventory_Ledger!$A$2:$A$2001,$A289)&gt;0,1,0),0)</f>
        <v>0</v>
      </c>
      <c r="Z289" s="52">
        <f>IF(AND(COUNTA($A289:$L289)&gt;0,$B289=""),1,0)</f>
        <v>0</v>
      </c>
      <c r="AA289" s="52">
        <f>IF(AND(COUNTA($A289:$L289)&gt;0,$B289&lt;&gt;""),IF($M289="ERR",1,0),0)</f>
        <v>0</v>
      </c>
      <c r="AB289" s="52">
        <f>IF(AND(COUNTA($A289:$L289)&gt;0,ISNUMBER($M289)),IF($M289&gt;Config!$B$4,1,0),0)</f>
        <v>0</v>
      </c>
      <c r="AC289" s="52">
        <f>IF(AND(COUNTA($A289:$L289)&gt;0,$C289=""),1,0)</f>
        <v>0</v>
      </c>
      <c r="AD289" s="52">
        <f>IF(AND(COUNTA($A289:$L289)&gt;0,$C289&lt;&gt;""),IF(COUNTIF(Config!$A$15:$A$34,$C289)=0,1,0),0)</f>
        <v>0</v>
      </c>
      <c r="AE289" s="52">
        <f>IF(AND(COUNTA($A289:$L289)&gt;0,$D289=""),1,0)</f>
        <v>0</v>
      </c>
      <c r="AF289" s="52">
        <f>IF(AND(COUNTA($A289:$L289)&gt;0,$D289&lt;&gt;""),IF(COUNTIF(Products!$A$2:$A$101,$D289)=0,1,0),0)</f>
        <v>0</v>
      </c>
      <c r="AG289" s="52">
        <f>IF(AND(COUNTA($A289:$L289)&gt;0,$C289="Receipt",$E289=""),1,0)</f>
        <v>0</v>
      </c>
      <c r="AH289" s="52">
        <f>IF(AND(COUNTA($A289:$L289)&gt;0,$E289&lt;&gt;""),IF(COUNTIF(Suppliers!$A$2:$A$51,$E289)=0,1,0),0)</f>
        <v>0</v>
      </c>
      <c r="AI289" s="52">
        <f>IF(AND(COUNTA($A289:$L289)&gt;0,$F289=""),1,0)</f>
        <v>0</v>
      </c>
      <c r="AJ289" s="52">
        <f>IF(AND(COUNTA($A289:$L289)&gt;0,$F289&lt;&gt;"",$D289&lt;&gt;"",OR($C289="Shipment",$C289="Adjustment")),IF($AF289=1,0,IF(COUNTIFS(Batches!$A$2:$A$301,$F289,Batches!$B$2:$B$301,$D289)+COUNTIFS($F$1:$F288,$F289,$D$1:$D288,$D289,$C$1:$C288,"Receipt")=0,1,0)),0)</f>
        <v>0</v>
      </c>
      <c r="AK289" s="52">
        <f>IF(AND(COUNTA($A289:$L289)&gt;0,$C289="Receipt",$G289=""),1,0)</f>
        <v>0</v>
      </c>
      <c r="AL289" s="52">
        <f>IF(AND(COUNTA($A289:$L289)&gt;0,$G289&lt;&gt;""),IF($N289="ERR",1,0),0)</f>
        <v>0</v>
      </c>
      <c r="AM289" s="52">
        <f>IF(AND(COUNTA($A289:$L289)&gt;0,$H289=""),1,0)</f>
        <v>0</v>
      </c>
      <c r="AN289" s="52">
        <f>IF(AND(COUNTA($A289:$L289)&gt;0,$H289&lt;&gt;""),IF($O289="ERR",1,IF(INT($O289)&lt;&gt;$O289,1,IF(AND(OR($C289="Receipt",$C289="Shipment"),$O289&lt;=0),1,IF(AND($C289="Adjustment",$O289=0),1,0)))),0)</f>
        <v>0</v>
      </c>
      <c r="AO289" s="52">
        <f>IF(AND(COUNTA($A289:$L289)&gt;0,$C289="Receipt",$I289=""),1,0)</f>
        <v>0</v>
      </c>
      <c r="AP289" s="52">
        <f>IF(AND(COUNTA($A289:$L289)&gt;0,$I289&lt;&gt;""),IF(IFERROR(INDEX(Config!$G$15:$G$34,MATCH($I289,Config!$E$15:$E$34,0)),"No")="Yes",0,1),0)</f>
        <v>0</v>
      </c>
      <c r="AQ289" s="52">
        <f>IF(AND(COUNTA($A289:$L289)&gt;0,$C289="Adjustment",$J289=""),1,0)</f>
        <v>0</v>
      </c>
      <c r="AR289" s="52">
        <f>IF(AND(COUNTA($A289:$L289)&gt;0,$L289=""),1,0)</f>
        <v>0</v>
      </c>
      <c r="AS289" s="52">
        <f>IF(AND(COUNTA($A289:$L289)&gt;0,ISNUMBER($S289)),IF($S289&lt;0,1,0),0)</f>
        <v>0</v>
      </c>
      <c r="AT289" s="52">
        <f>$W289</f>
        <v>0</v>
      </c>
      <c r="AU289" s="52">
        <f>$AT289+$X289</f>
        <v>0</v>
      </c>
      <c r="AV289" s="52">
        <f>$AU289+$Y289</f>
        <v>0</v>
      </c>
      <c r="AW289" s="52">
        <f>$AV289+$Z289</f>
        <v>0</v>
      </c>
      <c r="AX289" s="52">
        <f>$AW289+$AA289</f>
        <v>0</v>
      </c>
      <c r="AY289" s="52">
        <f>$AX289+$AB289</f>
        <v>0</v>
      </c>
      <c r="AZ289" s="52">
        <f>$AY289+$AC289</f>
        <v>0</v>
      </c>
      <c r="BA289" s="52">
        <f>$AZ289+$AD289</f>
        <v>0</v>
      </c>
      <c r="BB289" s="52">
        <f>$BA289+$AE289</f>
        <v>0</v>
      </c>
      <c r="BC289" s="52">
        <f>$BB289+$AF289</f>
        <v>0</v>
      </c>
      <c r="BD289" s="52">
        <f>$BC289+$AG289</f>
        <v>0</v>
      </c>
      <c r="BE289" s="52">
        <f>$BD289+$AH289</f>
        <v>0</v>
      </c>
      <c r="BF289" s="52">
        <f>$BE289+$AI289</f>
        <v>0</v>
      </c>
      <c r="BG289" s="52">
        <f>$BF289+$AJ289</f>
        <v>0</v>
      </c>
      <c r="BH289" s="52">
        <f>$BG289+$AK289</f>
        <v>0</v>
      </c>
      <c r="BI289" s="52">
        <f>$BH289+$AL289</f>
        <v>0</v>
      </c>
      <c r="BJ289" s="52">
        <f>$BI289+$AM289</f>
        <v>0</v>
      </c>
      <c r="BK289" s="52">
        <f>$BJ289+$AN289</f>
        <v>0</v>
      </c>
      <c r="BL289" s="52">
        <f>$BK289+$AO289</f>
        <v>0</v>
      </c>
      <c r="BM289" s="52">
        <f>$BL289+$AP289</f>
        <v>0</v>
      </c>
      <c r="BN289" s="52">
        <f>$BM289+$AQ289</f>
        <v>0</v>
      </c>
      <c r="BO289" s="52">
        <f>$BN289+$AR289</f>
        <v>0</v>
      </c>
      <c r="BP289" s="52">
        <f>$BO289+$AS289</f>
        <v>0</v>
      </c>
      <c r="BQ289" s="52">
        <f>SUM($T$1:$T288)</f>
        <v>11</v>
      </c>
      <c r="BR289" s="52" t="str">
        <f>IF(ISNUMBER($T289),IF($T289&gt;0,COUNTIF($T$2:$T289,"&gt;0"),""),"")</f>
        <v/>
      </c>
      <c r="BS289" s="52" t="str">
        <f>IF($BR289="","",$BQ289+$T289)</f>
        <v/>
      </c>
      <c r="BT289" s="52" t="str">
        <f>IF($U289="Ready",COUNTIF($U$2:$U289,"Ready"),"")</f>
        <v/>
      </c>
      <c r="BU289" s="52">
        <f>IF(AND($U289="Ready",$C289="Receipt"),IF(COUNTIF(Batches!$A$2:$A$301,$F289)+COUNTIFS($F$1:$F288,$F289,$C$1:$C288,"Receipt",$U$1:$U288,"Ready")=0,1,0),0)</f>
        <v>0</v>
      </c>
      <c r="BV289" s="52" t="str">
        <f>IF($BU289=1,SUM($BU$2:$BU289),"")</f>
        <v/>
      </c>
    </row>
    <row r="290">
      <c r="A290" s="46" t="n"/>
      <c r="B290" s="46" t="n"/>
      <c r="C290" s="46" t="n"/>
      <c r="D290" s="46" t="n"/>
      <c r="E290" s="46" t="n"/>
      <c r="F290" s="46" t="n"/>
      <c r="G290" s="46" t="n"/>
      <c r="H290" s="46" t="n"/>
      <c r="I290" s="46" t="n"/>
      <c r="J290" s="46" t="n"/>
      <c r="K290" s="46" t="n"/>
      <c r="L290" s="46" t="n"/>
      <c r="M290" s="62" t="str">
        <f>IF($B290="","",IF(ISNUMBER($B290),$B290,IF(AND(LEN($B290)=10,MID($B290,5,1)="-",MID($B290,8,1)="-"),IFERROR(IF(AND(MONTH(DATE(VALUE(LEFT($B290,4)),VALUE(MID($B290,6,2)),VALUE(RIGHT($B290,2))))=VALUE(MID($B290,6,2)),DAY(DATE(VALUE(LEFT($B290,4)),VALUE(MID($B290,6,2)),VALUE(RIGHT($B290,2))))=VALUE(RIGHT($B290,2))),DATE(VALUE(LEFT($B290,4)),VALUE(MID($B290,6,2)),VALUE(RIGHT($B290,2))),"ERR"),"ERR"),"ERR")))</f>
        <v/>
      </c>
      <c r="N290" s="62" t="str">
        <f>IF($G290="","",IF(ISNUMBER($G290),$G290,IF(AND(LEN($G290)=10,MID($G290,5,1)="-",MID($G290,8,1)="-"),IFERROR(IF(AND(MONTH(DATE(VALUE(LEFT($G290,4)),VALUE(MID($G290,6,2)),VALUE(RIGHT($G290,2))))=VALUE(MID($G290,6,2)),DAY(DATE(VALUE(LEFT($G290,4)),VALUE(MID($G290,6,2)),VALUE(RIGHT($G290,2))))=VALUE(RIGHT($G290,2))),DATE(VALUE(LEFT($G290,4)),VALUE(MID($G290,6,2)),VALUE(RIGHT($G290,2))),"ERR"),"ERR"),"ERR")))</f>
        <v/>
      </c>
      <c r="O290" s="51" t="str">
        <f>IF($H290="","",IF(ISNUMBER($H290),$H290,IFERROR(VALUE($H290),"ERR")))</f>
        <v/>
      </c>
      <c r="P290" s="51" t="str">
        <f>IF(AND(ISNUMBER($O290),OR($C290="Receipt",$C290="Shipment",$C290="Adjustment")),IF($C290="Shipment",-$O290,$O290),"")</f>
        <v/>
      </c>
      <c r="Q290" s="51" t="str">
        <f>IF($D290="","",IFERROR(INDEX(Products!$R$2:$R$101,MATCH($D290,Products!$A$2:$A$101,0)),""))</f>
        <v/>
      </c>
      <c r="R290" s="51" t="str">
        <f>IF(OR($Q290="",$P290=""),"",$Q290+SUMIFS($P$1:$P289,$D$1:$D289,$D290,$U$1:$U289,"Ready"))</f>
        <v/>
      </c>
      <c r="S290" s="51" t="str">
        <f>IF($R290="","",$R290+$P290)</f>
        <v/>
      </c>
      <c r="T290" s="52" t="str">
        <f>IF(COUNTA($A290:$L290)&gt;0,$BP290,"")</f>
        <v/>
      </c>
      <c r="U290" s="49" t="str">
        <f>IF($T290="","",IF($T290=0,"Ready","Rejected"))</f>
        <v/>
      </c>
      <c r="V290" s="49" t="str">
        <f>IF(OR($T290="",$T290=0),"",INDEX(Config!$D$39:$D$61,MATCH(1,$AT290:$BP290,0))&amp;IF($T290&gt;1," (+"&amp;($T290-1)&amp;" more)",""))</f>
        <v/>
      </c>
      <c r="W290" s="52">
        <f>IF(AND(COUNTA($A290:$L290)&gt;0,$A290=""),1,0)</f>
        <v>0</v>
      </c>
      <c r="X290" s="52">
        <f>IF(AND(COUNTA($A290:$L290)&gt;0,$A290&lt;&gt;""),IF(COUNTIF($A$1:$A289,$A290)&gt;0,1,0),0)</f>
        <v>0</v>
      </c>
      <c r="Y290" s="52">
        <f>IF(AND(COUNTA($A290:$L290)&gt;0,$A290&lt;&gt;""),IF(COUNTIF(Inventory_Ledger!$A$2:$A$2001,$A290)&gt;0,1,0),0)</f>
        <v>0</v>
      </c>
      <c r="Z290" s="52">
        <f>IF(AND(COUNTA($A290:$L290)&gt;0,$B290=""),1,0)</f>
        <v>0</v>
      </c>
      <c r="AA290" s="52">
        <f>IF(AND(COUNTA($A290:$L290)&gt;0,$B290&lt;&gt;""),IF($M290="ERR",1,0),0)</f>
        <v>0</v>
      </c>
      <c r="AB290" s="52">
        <f>IF(AND(COUNTA($A290:$L290)&gt;0,ISNUMBER($M290)),IF($M290&gt;Config!$B$4,1,0),0)</f>
        <v>0</v>
      </c>
      <c r="AC290" s="52">
        <f>IF(AND(COUNTA($A290:$L290)&gt;0,$C290=""),1,0)</f>
        <v>0</v>
      </c>
      <c r="AD290" s="52">
        <f>IF(AND(COUNTA($A290:$L290)&gt;0,$C290&lt;&gt;""),IF(COUNTIF(Config!$A$15:$A$34,$C290)=0,1,0),0)</f>
        <v>0</v>
      </c>
      <c r="AE290" s="52">
        <f>IF(AND(COUNTA($A290:$L290)&gt;0,$D290=""),1,0)</f>
        <v>0</v>
      </c>
      <c r="AF290" s="52">
        <f>IF(AND(COUNTA($A290:$L290)&gt;0,$D290&lt;&gt;""),IF(COUNTIF(Products!$A$2:$A$101,$D290)=0,1,0),0)</f>
        <v>0</v>
      </c>
      <c r="AG290" s="52">
        <f>IF(AND(COUNTA($A290:$L290)&gt;0,$C290="Receipt",$E290=""),1,0)</f>
        <v>0</v>
      </c>
      <c r="AH290" s="52">
        <f>IF(AND(COUNTA($A290:$L290)&gt;0,$E290&lt;&gt;""),IF(COUNTIF(Suppliers!$A$2:$A$51,$E290)=0,1,0),0)</f>
        <v>0</v>
      </c>
      <c r="AI290" s="52">
        <f>IF(AND(COUNTA($A290:$L290)&gt;0,$F290=""),1,0)</f>
        <v>0</v>
      </c>
      <c r="AJ290" s="52">
        <f>IF(AND(COUNTA($A290:$L290)&gt;0,$F290&lt;&gt;"",$D290&lt;&gt;"",OR($C290="Shipment",$C290="Adjustment")),IF($AF290=1,0,IF(COUNTIFS(Batches!$A$2:$A$301,$F290,Batches!$B$2:$B$301,$D290)+COUNTIFS($F$1:$F289,$F290,$D$1:$D289,$D290,$C$1:$C289,"Receipt")=0,1,0)),0)</f>
        <v>0</v>
      </c>
      <c r="AK290" s="52">
        <f>IF(AND(COUNTA($A290:$L290)&gt;0,$C290="Receipt",$G290=""),1,0)</f>
        <v>0</v>
      </c>
      <c r="AL290" s="52">
        <f>IF(AND(COUNTA($A290:$L290)&gt;0,$G290&lt;&gt;""),IF($N290="ERR",1,0),0)</f>
        <v>0</v>
      </c>
      <c r="AM290" s="52">
        <f>IF(AND(COUNTA($A290:$L290)&gt;0,$H290=""),1,0)</f>
        <v>0</v>
      </c>
      <c r="AN290" s="52">
        <f>IF(AND(COUNTA($A290:$L290)&gt;0,$H290&lt;&gt;""),IF($O290="ERR",1,IF(INT($O290)&lt;&gt;$O290,1,IF(AND(OR($C290="Receipt",$C290="Shipment"),$O290&lt;=0),1,IF(AND($C290="Adjustment",$O290=0),1,0)))),0)</f>
        <v>0</v>
      </c>
      <c r="AO290" s="52">
        <f>IF(AND(COUNTA($A290:$L290)&gt;0,$C290="Receipt",$I290=""),1,0)</f>
        <v>0</v>
      </c>
      <c r="AP290" s="52">
        <f>IF(AND(COUNTA($A290:$L290)&gt;0,$I290&lt;&gt;""),IF(IFERROR(INDEX(Config!$G$15:$G$34,MATCH($I290,Config!$E$15:$E$34,0)),"No")="Yes",0,1),0)</f>
        <v>0</v>
      </c>
      <c r="AQ290" s="52">
        <f>IF(AND(COUNTA($A290:$L290)&gt;0,$C290="Adjustment",$J290=""),1,0)</f>
        <v>0</v>
      </c>
      <c r="AR290" s="52">
        <f>IF(AND(COUNTA($A290:$L290)&gt;0,$L290=""),1,0)</f>
        <v>0</v>
      </c>
      <c r="AS290" s="52">
        <f>IF(AND(COUNTA($A290:$L290)&gt;0,ISNUMBER($S290)),IF($S290&lt;0,1,0),0)</f>
        <v>0</v>
      </c>
      <c r="AT290" s="52">
        <f>$W290</f>
        <v>0</v>
      </c>
      <c r="AU290" s="52">
        <f>$AT290+$X290</f>
        <v>0</v>
      </c>
      <c r="AV290" s="52">
        <f>$AU290+$Y290</f>
        <v>0</v>
      </c>
      <c r="AW290" s="52">
        <f>$AV290+$Z290</f>
        <v>0</v>
      </c>
      <c r="AX290" s="52">
        <f>$AW290+$AA290</f>
        <v>0</v>
      </c>
      <c r="AY290" s="52">
        <f>$AX290+$AB290</f>
        <v>0</v>
      </c>
      <c r="AZ290" s="52">
        <f>$AY290+$AC290</f>
        <v>0</v>
      </c>
      <c r="BA290" s="52">
        <f>$AZ290+$AD290</f>
        <v>0</v>
      </c>
      <c r="BB290" s="52">
        <f>$BA290+$AE290</f>
        <v>0</v>
      </c>
      <c r="BC290" s="52">
        <f>$BB290+$AF290</f>
        <v>0</v>
      </c>
      <c r="BD290" s="52">
        <f>$BC290+$AG290</f>
        <v>0</v>
      </c>
      <c r="BE290" s="52">
        <f>$BD290+$AH290</f>
        <v>0</v>
      </c>
      <c r="BF290" s="52">
        <f>$BE290+$AI290</f>
        <v>0</v>
      </c>
      <c r="BG290" s="52">
        <f>$BF290+$AJ290</f>
        <v>0</v>
      </c>
      <c r="BH290" s="52">
        <f>$BG290+$AK290</f>
        <v>0</v>
      </c>
      <c r="BI290" s="52">
        <f>$BH290+$AL290</f>
        <v>0</v>
      </c>
      <c r="BJ290" s="52">
        <f>$BI290+$AM290</f>
        <v>0</v>
      </c>
      <c r="BK290" s="52">
        <f>$BJ290+$AN290</f>
        <v>0</v>
      </c>
      <c r="BL290" s="52">
        <f>$BK290+$AO290</f>
        <v>0</v>
      </c>
      <c r="BM290" s="52">
        <f>$BL290+$AP290</f>
        <v>0</v>
      </c>
      <c r="BN290" s="52">
        <f>$BM290+$AQ290</f>
        <v>0</v>
      </c>
      <c r="BO290" s="52">
        <f>$BN290+$AR290</f>
        <v>0</v>
      </c>
      <c r="BP290" s="52">
        <f>$BO290+$AS290</f>
        <v>0</v>
      </c>
      <c r="BQ290" s="52">
        <f>SUM($T$1:$T289)</f>
        <v>11</v>
      </c>
      <c r="BR290" s="52" t="str">
        <f>IF(ISNUMBER($T290),IF($T290&gt;0,COUNTIF($T$2:$T290,"&gt;0"),""),"")</f>
        <v/>
      </c>
      <c r="BS290" s="52" t="str">
        <f>IF($BR290="","",$BQ290+$T290)</f>
        <v/>
      </c>
      <c r="BT290" s="52" t="str">
        <f>IF($U290="Ready",COUNTIF($U$2:$U290,"Ready"),"")</f>
        <v/>
      </c>
      <c r="BU290" s="52">
        <f>IF(AND($U290="Ready",$C290="Receipt"),IF(COUNTIF(Batches!$A$2:$A$301,$F290)+COUNTIFS($F$1:$F289,$F290,$C$1:$C289,"Receipt",$U$1:$U289,"Ready")=0,1,0),0)</f>
        <v>0</v>
      </c>
      <c r="BV290" s="52" t="str">
        <f>IF($BU290=1,SUM($BU$2:$BU290),"")</f>
        <v/>
      </c>
    </row>
    <row r="291">
      <c r="A291" s="46" t="n"/>
      <c r="B291" s="46" t="n"/>
      <c r="C291" s="46" t="n"/>
      <c r="D291" s="46" t="n"/>
      <c r="E291" s="46" t="n"/>
      <c r="F291" s="46" t="n"/>
      <c r="G291" s="46" t="n"/>
      <c r="H291" s="46" t="n"/>
      <c r="I291" s="46" t="n"/>
      <c r="J291" s="46" t="n"/>
      <c r="K291" s="46" t="n"/>
      <c r="L291" s="46" t="n"/>
      <c r="M291" s="62" t="str">
        <f>IF($B291="","",IF(ISNUMBER($B291),$B291,IF(AND(LEN($B291)=10,MID($B291,5,1)="-",MID($B291,8,1)="-"),IFERROR(IF(AND(MONTH(DATE(VALUE(LEFT($B291,4)),VALUE(MID($B291,6,2)),VALUE(RIGHT($B291,2))))=VALUE(MID($B291,6,2)),DAY(DATE(VALUE(LEFT($B291,4)),VALUE(MID($B291,6,2)),VALUE(RIGHT($B291,2))))=VALUE(RIGHT($B291,2))),DATE(VALUE(LEFT($B291,4)),VALUE(MID($B291,6,2)),VALUE(RIGHT($B291,2))),"ERR"),"ERR"),"ERR")))</f>
        <v/>
      </c>
      <c r="N291" s="62" t="str">
        <f>IF($G291="","",IF(ISNUMBER($G291),$G291,IF(AND(LEN($G291)=10,MID($G291,5,1)="-",MID($G291,8,1)="-"),IFERROR(IF(AND(MONTH(DATE(VALUE(LEFT($G291,4)),VALUE(MID($G291,6,2)),VALUE(RIGHT($G291,2))))=VALUE(MID($G291,6,2)),DAY(DATE(VALUE(LEFT($G291,4)),VALUE(MID($G291,6,2)),VALUE(RIGHT($G291,2))))=VALUE(RIGHT($G291,2))),DATE(VALUE(LEFT($G291,4)),VALUE(MID($G291,6,2)),VALUE(RIGHT($G291,2))),"ERR"),"ERR"),"ERR")))</f>
        <v/>
      </c>
      <c r="O291" s="51" t="str">
        <f>IF($H291="","",IF(ISNUMBER($H291),$H291,IFERROR(VALUE($H291),"ERR")))</f>
        <v/>
      </c>
      <c r="P291" s="51" t="str">
        <f>IF(AND(ISNUMBER($O291),OR($C291="Receipt",$C291="Shipment",$C291="Adjustment")),IF($C291="Shipment",-$O291,$O291),"")</f>
        <v/>
      </c>
      <c r="Q291" s="51" t="str">
        <f>IF($D291="","",IFERROR(INDEX(Products!$R$2:$R$101,MATCH($D291,Products!$A$2:$A$101,0)),""))</f>
        <v/>
      </c>
      <c r="R291" s="51" t="str">
        <f>IF(OR($Q291="",$P291=""),"",$Q291+SUMIFS($P$1:$P290,$D$1:$D290,$D291,$U$1:$U290,"Ready"))</f>
        <v/>
      </c>
      <c r="S291" s="51" t="str">
        <f>IF($R291="","",$R291+$P291)</f>
        <v/>
      </c>
      <c r="T291" s="52" t="str">
        <f>IF(COUNTA($A291:$L291)&gt;0,$BP291,"")</f>
        <v/>
      </c>
      <c r="U291" s="49" t="str">
        <f>IF($T291="","",IF($T291=0,"Ready","Rejected"))</f>
        <v/>
      </c>
      <c r="V291" s="49" t="str">
        <f>IF(OR($T291="",$T291=0),"",INDEX(Config!$D$39:$D$61,MATCH(1,$AT291:$BP291,0))&amp;IF($T291&gt;1," (+"&amp;($T291-1)&amp;" more)",""))</f>
        <v/>
      </c>
      <c r="W291" s="52">
        <f>IF(AND(COUNTA($A291:$L291)&gt;0,$A291=""),1,0)</f>
        <v>0</v>
      </c>
      <c r="X291" s="52">
        <f>IF(AND(COUNTA($A291:$L291)&gt;0,$A291&lt;&gt;""),IF(COUNTIF($A$1:$A290,$A291)&gt;0,1,0),0)</f>
        <v>0</v>
      </c>
      <c r="Y291" s="52">
        <f>IF(AND(COUNTA($A291:$L291)&gt;0,$A291&lt;&gt;""),IF(COUNTIF(Inventory_Ledger!$A$2:$A$2001,$A291)&gt;0,1,0),0)</f>
        <v>0</v>
      </c>
      <c r="Z291" s="52">
        <f>IF(AND(COUNTA($A291:$L291)&gt;0,$B291=""),1,0)</f>
        <v>0</v>
      </c>
      <c r="AA291" s="52">
        <f>IF(AND(COUNTA($A291:$L291)&gt;0,$B291&lt;&gt;""),IF($M291="ERR",1,0),0)</f>
        <v>0</v>
      </c>
      <c r="AB291" s="52">
        <f>IF(AND(COUNTA($A291:$L291)&gt;0,ISNUMBER($M291)),IF($M291&gt;Config!$B$4,1,0),0)</f>
        <v>0</v>
      </c>
      <c r="AC291" s="52">
        <f>IF(AND(COUNTA($A291:$L291)&gt;0,$C291=""),1,0)</f>
        <v>0</v>
      </c>
      <c r="AD291" s="52">
        <f>IF(AND(COUNTA($A291:$L291)&gt;0,$C291&lt;&gt;""),IF(COUNTIF(Config!$A$15:$A$34,$C291)=0,1,0),0)</f>
        <v>0</v>
      </c>
      <c r="AE291" s="52">
        <f>IF(AND(COUNTA($A291:$L291)&gt;0,$D291=""),1,0)</f>
        <v>0</v>
      </c>
      <c r="AF291" s="52">
        <f>IF(AND(COUNTA($A291:$L291)&gt;0,$D291&lt;&gt;""),IF(COUNTIF(Products!$A$2:$A$101,$D291)=0,1,0),0)</f>
        <v>0</v>
      </c>
      <c r="AG291" s="52">
        <f>IF(AND(COUNTA($A291:$L291)&gt;0,$C291="Receipt",$E291=""),1,0)</f>
        <v>0</v>
      </c>
      <c r="AH291" s="52">
        <f>IF(AND(COUNTA($A291:$L291)&gt;0,$E291&lt;&gt;""),IF(COUNTIF(Suppliers!$A$2:$A$51,$E291)=0,1,0),0)</f>
        <v>0</v>
      </c>
      <c r="AI291" s="52">
        <f>IF(AND(COUNTA($A291:$L291)&gt;0,$F291=""),1,0)</f>
        <v>0</v>
      </c>
      <c r="AJ291" s="52">
        <f>IF(AND(COUNTA($A291:$L291)&gt;0,$F291&lt;&gt;"",$D291&lt;&gt;"",OR($C291="Shipment",$C291="Adjustment")),IF($AF291=1,0,IF(COUNTIFS(Batches!$A$2:$A$301,$F291,Batches!$B$2:$B$301,$D291)+COUNTIFS($F$1:$F290,$F291,$D$1:$D290,$D291,$C$1:$C290,"Receipt")=0,1,0)),0)</f>
        <v>0</v>
      </c>
      <c r="AK291" s="52">
        <f>IF(AND(COUNTA($A291:$L291)&gt;0,$C291="Receipt",$G291=""),1,0)</f>
        <v>0</v>
      </c>
      <c r="AL291" s="52">
        <f>IF(AND(COUNTA($A291:$L291)&gt;0,$G291&lt;&gt;""),IF($N291="ERR",1,0),0)</f>
        <v>0</v>
      </c>
      <c r="AM291" s="52">
        <f>IF(AND(COUNTA($A291:$L291)&gt;0,$H291=""),1,0)</f>
        <v>0</v>
      </c>
      <c r="AN291" s="52">
        <f>IF(AND(COUNTA($A291:$L291)&gt;0,$H291&lt;&gt;""),IF($O291="ERR",1,IF(INT($O291)&lt;&gt;$O291,1,IF(AND(OR($C291="Receipt",$C291="Shipment"),$O291&lt;=0),1,IF(AND($C291="Adjustment",$O291=0),1,0)))),0)</f>
        <v>0</v>
      </c>
      <c r="AO291" s="52">
        <f>IF(AND(COUNTA($A291:$L291)&gt;0,$C291="Receipt",$I291=""),1,0)</f>
        <v>0</v>
      </c>
      <c r="AP291" s="52">
        <f>IF(AND(COUNTA($A291:$L291)&gt;0,$I291&lt;&gt;""),IF(IFERROR(INDEX(Config!$G$15:$G$34,MATCH($I291,Config!$E$15:$E$34,0)),"No")="Yes",0,1),0)</f>
        <v>0</v>
      </c>
      <c r="AQ291" s="52">
        <f>IF(AND(COUNTA($A291:$L291)&gt;0,$C291="Adjustment",$J291=""),1,0)</f>
        <v>0</v>
      </c>
      <c r="AR291" s="52">
        <f>IF(AND(COUNTA($A291:$L291)&gt;0,$L291=""),1,0)</f>
        <v>0</v>
      </c>
      <c r="AS291" s="52">
        <f>IF(AND(COUNTA($A291:$L291)&gt;0,ISNUMBER($S291)),IF($S291&lt;0,1,0),0)</f>
        <v>0</v>
      </c>
      <c r="AT291" s="52">
        <f>$W291</f>
        <v>0</v>
      </c>
      <c r="AU291" s="52">
        <f>$AT291+$X291</f>
        <v>0</v>
      </c>
      <c r="AV291" s="52">
        <f>$AU291+$Y291</f>
        <v>0</v>
      </c>
      <c r="AW291" s="52">
        <f>$AV291+$Z291</f>
        <v>0</v>
      </c>
      <c r="AX291" s="52">
        <f>$AW291+$AA291</f>
        <v>0</v>
      </c>
      <c r="AY291" s="52">
        <f>$AX291+$AB291</f>
        <v>0</v>
      </c>
      <c r="AZ291" s="52">
        <f>$AY291+$AC291</f>
        <v>0</v>
      </c>
      <c r="BA291" s="52">
        <f>$AZ291+$AD291</f>
        <v>0</v>
      </c>
      <c r="BB291" s="52">
        <f>$BA291+$AE291</f>
        <v>0</v>
      </c>
      <c r="BC291" s="52">
        <f>$BB291+$AF291</f>
        <v>0</v>
      </c>
      <c r="BD291" s="52">
        <f>$BC291+$AG291</f>
        <v>0</v>
      </c>
      <c r="BE291" s="52">
        <f>$BD291+$AH291</f>
        <v>0</v>
      </c>
      <c r="BF291" s="52">
        <f>$BE291+$AI291</f>
        <v>0</v>
      </c>
      <c r="BG291" s="52">
        <f>$BF291+$AJ291</f>
        <v>0</v>
      </c>
      <c r="BH291" s="52">
        <f>$BG291+$AK291</f>
        <v>0</v>
      </c>
      <c r="BI291" s="52">
        <f>$BH291+$AL291</f>
        <v>0</v>
      </c>
      <c r="BJ291" s="52">
        <f>$BI291+$AM291</f>
        <v>0</v>
      </c>
      <c r="BK291" s="52">
        <f>$BJ291+$AN291</f>
        <v>0</v>
      </c>
      <c r="BL291" s="52">
        <f>$BK291+$AO291</f>
        <v>0</v>
      </c>
      <c r="BM291" s="52">
        <f>$BL291+$AP291</f>
        <v>0</v>
      </c>
      <c r="BN291" s="52">
        <f>$BM291+$AQ291</f>
        <v>0</v>
      </c>
      <c r="BO291" s="52">
        <f>$BN291+$AR291</f>
        <v>0</v>
      </c>
      <c r="BP291" s="52">
        <f>$BO291+$AS291</f>
        <v>0</v>
      </c>
      <c r="BQ291" s="52">
        <f>SUM($T$1:$T290)</f>
        <v>11</v>
      </c>
      <c r="BR291" s="52" t="str">
        <f>IF(ISNUMBER($T291),IF($T291&gt;0,COUNTIF($T$2:$T291,"&gt;0"),""),"")</f>
        <v/>
      </c>
      <c r="BS291" s="52" t="str">
        <f>IF($BR291="","",$BQ291+$T291)</f>
        <v/>
      </c>
      <c r="BT291" s="52" t="str">
        <f>IF($U291="Ready",COUNTIF($U$2:$U291,"Ready"),"")</f>
        <v/>
      </c>
      <c r="BU291" s="52">
        <f>IF(AND($U291="Ready",$C291="Receipt"),IF(COUNTIF(Batches!$A$2:$A$301,$F291)+COUNTIFS($F$1:$F290,$F291,$C$1:$C290,"Receipt",$U$1:$U290,"Ready")=0,1,0),0)</f>
        <v>0</v>
      </c>
      <c r="BV291" s="52" t="str">
        <f>IF($BU291=1,SUM($BU$2:$BU291),"")</f>
        <v/>
      </c>
    </row>
    <row r="292">
      <c r="A292" s="46" t="n"/>
      <c r="B292" s="46" t="n"/>
      <c r="C292" s="46" t="n"/>
      <c r="D292" s="46" t="n"/>
      <c r="E292" s="46" t="n"/>
      <c r="F292" s="46" t="n"/>
      <c r="G292" s="46" t="n"/>
      <c r="H292" s="46" t="n"/>
      <c r="I292" s="46" t="n"/>
      <c r="J292" s="46" t="n"/>
      <c r="K292" s="46" t="n"/>
      <c r="L292" s="46" t="n"/>
      <c r="M292" s="62" t="str">
        <f>IF($B292="","",IF(ISNUMBER($B292),$B292,IF(AND(LEN($B292)=10,MID($B292,5,1)="-",MID($B292,8,1)="-"),IFERROR(IF(AND(MONTH(DATE(VALUE(LEFT($B292,4)),VALUE(MID($B292,6,2)),VALUE(RIGHT($B292,2))))=VALUE(MID($B292,6,2)),DAY(DATE(VALUE(LEFT($B292,4)),VALUE(MID($B292,6,2)),VALUE(RIGHT($B292,2))))=VALUE(RIGHT($B292,2))),DATE(VALUE(LEFT($B292,4)),VALUE(MID($B292,6,2)),VALUE(RIGHT($B292,2))),"ERR"),"ERR"),"ERR")))</f>
        <v/>
      </c>
      <c r="N292" s="62" t="str">
        <f>IF($G292="","",IF(ISNUMBER($G292),$G292,IF(AND(LEN($G292)=10,MID($G292,5,1)="-",MID($G292,8,1)="-"),IFERROR(IF(AND(MONTH(DATE(VALUE(LEFT($G292,4)),VALUE(MID($G292,6,2)),VALUE(RIGHT($G292,2))))=VALUE(MID($G292,6,2)),DAY(DATE(VALUE(LEFT($G292,4)),VALUE(MID($G292,6,2)),VALUE(RIGHT($G292,2))))=VALUE(RIGHT($G292,2))),DATE(VALUE(LEFT($G292,4)),VALUE(MID($G292,6,2)),VALUE(RIGHT($G292,2))),"ERR"),"ERR"),"ERR")))</f>
        <v/>
      </c>
      <c r="O292" s="51" t="str">
        <f>IF($H292="","",IF(ISNUMBER($H292),$H292,IFERROR(VALUE($H292),"ERR")))</f>
        <v/>
      </c>
      <c r="P292" s="51" t="str">
        <f>IF(AND(ISNUMBER($O292),OR($C292="Receipt",$C292="Shipment",$C292="Adjustment")),IF($C292="Shipment",-$O292,$O292),"")</f>
        <v/>
      </c>
      <c r="Q292" s="51" t="str">
        <f>IF($D292="","",IFERROR(INDEX(Products!$R$2:$R$101,MATCH($D292,Products!$A$2:$A$101,0)),""))</f>
        <v/>
      </c>
      <c r="R292" s="51" t="str">
        <f>IF(OR($Q292="",$P292=""),"",$Q292+SUMIFS($P$1:$P291,$D$1:$D291,$D292,$U$1:$U291,"Ready"))</f>
        <v/>
      </c>
      <c r="S292" s="51" t="str">
        <f>IF($R292="","",$R292+$P292)</f>
        <v/>
      </c>
      <c r="T292" s="52" t="str">
        <f>IF(COUNTA($A292:$L292)&gt;0,$BP292,"")</f>
        <v/>
      </c>
      <c r="U292" s="49" t="str">
        <f>IF($T292="","",IF($T292=0,"Ready","Rejected"))</f>
        <v/>
      </c>
      <c r="V292" s="49" t="str">
        <f>IF(OR($T292="",$T292=0),"",INDEX(Config!$D$39:$D$61,MATCH(1,$AT292:$BP292,0))&amp;IF($T292&gt;1," (+"&amp;($T292-1)&amp;" more)",""))</f>
        <v/>
      </c>
      <c r="W292" s="52">
        <f>IF(AND(COUNTA($A292:$L292)&gt;0,$A292=""),1,0)</f>
        <v>0</v>
      </c>
      <c r="X292" s="52">
        <f>IF(AND(COUNTA($A292:$L292)&gt;0,$A292&lt;&gt;""),IF(COUNTIF($A$1:$A291,$A292)&gt;0,1,0),0)</f>
        <v>0</v>
      </c>
      <c r="Y292" s="52">
        <f>IF(AND(COUNTA($A292:$L292)&gt;0,$A292&lt;&gt;""),IF(COUNTIF(Inventory_Ledger!$A$2:$A$2001,$A292)&gt;0,1,0),0)</f>
        <v>0</v>
      </c>
      <c r="Z292" s="52">
        <f>IF(AND(COUNTA($A292:$L292)&gt;0,$B292=""),1,0)</f>
        <v>0</v>
      </c>
      <c r="AA292" s="52">
        <f>IF(AND(COUNTA($A292:$L292)&gt;0,$B292&lt;&gt;""),IF($M292="ERR",1,0),0)</f>
        <v>0</v>
      </c>
      <c r="AB292" s="52">
        <f>IF(AND(COUNTA($A292:$L292)&gt;0,ISNUMBER($M292)),IF($M292&gt;Config!$B$4,1,0),0)</f>
        <v>0</v>
      </c>
      <c r="AC292" s="52">
        <f>IF(AND(COUNTA($A292:$L292)&gt;0,$C292=""),1,0)</f>
        <v>0</v>
      </c>
      <c r="AD292" s="52">
        <f>IF(AND(COUNTA($A292:$L292)&gt;0,$C292&lt;&gt;""),IF(COUNTIF(Config!$A$15:$A$34,$C292)=0,1,0),0)</f>
        <v>0</v>
      </c>
      <c r="AE292" s="52">
        <f>IF(AND(COUNTA($A292:$L292)&gt;0,$D292=""),1,0)</f>
        <v>0</v>
      </c>
      <c r="AF292" s="52">
        <f>IF(AND(COUNTA($A292:$L292)&gt;0,$D292&lt;&gt;""),IF(COUNTIF(Products!$A$2:$A$101,$D292)=0,1,0),0)</f>
        <v>0</v>
      </c>
      <c r="AG292" s="52">
        <f>IF(AND(COUNTA($A292:$L292)&gt;0,$C292="Receipt",$E292=""),1,0)</f>
        <v>0</v>
      </c>
      <c r="AH292" s="52">
        <f>IF(AND(COUNTA($A292:$L292)&gt;0,$E292&lt;&gt;""),IF(COUNTIF(Suppliers!$A$2:$A$51,$E292)=0,1,0),0)</f>
        <v>0</v>
      </c>
      <c r="AI292" s="52">
        <f>IF(AND(COUNTA($A292:$L292)&gt;0,$F292=""),1,0)</f>
        <v>0</v>
      </c>
      <c r="AJ292" s="52">
        <f>IF(AND(COUNTA($A292:$L292)&gt;0,$F292&lt;&gt;"",$D292&lt;&gt;"",OR($C292="Shipment",$C292="Adjustment")),IF($AF292=1,0,IF(COUNTIFS(Batches!$A$2:$A$301,$F292,Batches!$B$2:$B$301,$D292)+COUNTIFS($F$1:$F291,$F292,$D$1:$D291,$D292,$C$1:$C291,"Receipt")=0,1,0)),0)</f>
        <v>0</v>
      </c>
      <c r="AK292" s="52">
        <f>IF(AND(COUNTA($A292:$L292)&gt;0,$C292="Receipt",$G292=""),1,0)</f>
        <v>0</v>
      </c>
      <c r="AL292" s="52">
        <f>IF(AND(COUNTA($A292:$L292)&gt;0,$G292&lt;&gt;""),IF($N292="ERR",1,0),0)</f>
        <v>0</v>
      </c>
      <c r="AM292" s="52">
        <f>IF(AND(COUNTA($A292:$L292)&gt;0,$H292=""),1,0)</f>
        <v>0</v>
      </c>
      <c r="AN292" s="52">
        <f>IF(AND(COUNTA($A292:$L292)&gt;0,$H292&lt;&gt;""),IF($O292="ERR",1,IF(INT($O292)&lt;&gt;$O292,1,IF(AND(OR($C292="Receipt",$C292="Shipment"),$O292&lt;=0),1,IF(AND($C292="Adjustment",$O292=0),1,0)))),0)</f>
        <v>0</v>
      </c>
      <c r="AO292" s="52">
        <f>IF(AND(COUNTA($A292:$L292)&gt;0,$C292="Receipt",$I292=""),1,0)</f>
        <v>0</v>
      </c>
      <c r="AP292" s="52">
        <f>IF(AND(COUNTA($A292:$L292)&gt;0,$I292&lt;&gt;""),IF(IFERROR(INDEX(Config!$G$15:$G$34,MATCH($I292,Config!$E$15:$E$34,0)),"No")="Yes",0,1),0)</f>
        <v>0</v>
      </c>
      <c r="AQ292" s="52">
        <f>IF(AND(COUNTA($A292:$L292)&gt;0,$C292="Adjustment",$J292=""),1,0)</f>
        <v>0</v>
      </c>
      <c r="AR292" s="52">
        <f>IF(AND(COUNTA($A292:$L292)&gt;0,$L292=""),1,0)</f>
        <v>0</v>
      </c>
      <c r="AS292" s="52">
        <f>IF(AND(COUNTA($A292:$L292)&gt;0,ISNUMBER($S292)),IF($S292&lt;0,1,0),0)</f>
        <v>0</v>
      </c>
      <c r="AT292" s="52">
        <f>$W292</f>
        <v>0</v>
      </c>
      <c r="AU292" s="52">
        <f>$AT292+$X292</f>
        <v>0</v>
      </c>
      <c r="AV292" s="52">
        <f>$AU292+$Y292</f>
        <v>0</v>
      </c>
      <c r="AW292" s="52">
        <f>$AV292+$Z292</f>
        <v>0</v>
      </c>
      <c r="AX292" s="52">
        <f>$AW292+$AA292</f>
        <v>0</v>
      </c>
      <c r="AY292" s="52">
        <f>$AX292+$AB292</f>
        <v>0</v>
      </c>
      <c r="AZ292" s="52">
        <f>$AY292+$AC292</f>
        <v>0</v>
      </c>
      <c r="BA292" s="52">
        <f>$AZ292+$AD292</f>
        <v>0</v>
      </c>
      <c r="BB292" s="52">
        <f>$BA292+$AE292</f>
        <v>0</v>
      </c>
      <c r="BC292" s="52">
        <f>$BB292+$AF292</f>
        <v>0</v>
      </c>
      <c r="BD292" s="52">
        <f>$BC292+$AG292</f>
        <v>0</v>
      </c>
      <c r="BE292" s="52">
        <f>$BD292+$AH292</f>
        <v>0</v>
      </c>
      <c r="BF292" s="52">
        <f>$BE292+$AI292</f>
        <v>0</v>
      </c>
      <c r="BG292" s="52">
        <f>$BF292+$AJ292</f>
        <v>0</v>
      </c>
      <c r="BH292" s="52">
        <f>$BG292+$AK292</f>
        <v>0</v>
      </c>
      <c r="BI292" s="52">
        <f>$BH292+$AL292</f>
        <v>0</v>
      </c>
      <c r="BJ292" s="52">
        <f>$BI292+$AM292</f>
        <v>0</v>
      </c>
      <c r="BK292" s="52">
        <f>$BJ292+$AN292</f>
        <v>0</v>
      </c>
      <c r="BL292" s="52">
        <f>$BK292+$AO292</f>
        <v>0</v>
      </c>
      <c r="BM292" s="52">
        <f>$BL292+$AP292</f>
        <v>0</v>
      </c>
      <c r="BN292" s="52">
        <f>$BM292+$AQ292</f>
        <v>0</v>
      </c>
      <c r="BO292" s="52">
        <f>$BN292+$AR292</f>
        <v>0</v>
      </c>
      <c r="BP292" s="52">
        <f>$BO292+$AS292</f>
        <v>0</v>
      </c>
      <c r="BQ292" s="52">
        <f>SUM($T$1:$T291)</f>
        <v>11</v>
      </c>
      <c r="BR292" s="52" t="str">
        <f>IF(ISNUMBER($T292),IF($T292&gt;0,COUNTIF($T$2:$T292,"&gt;0"),""),"")</f>
        <v/>
      </c>
      <c r="BS292" s="52" t="str">
        <f>IF($BR292="","",$BQ292+$T292)</f>
        <v/>
      </c>
      <c r="BT292" s="52" t="str">
        <f>IF($U292="Ready",COUNTIF($U$2:$U292,"Ready"),"")</f>
        <v/>
      </c>
      <c r="BU292" s="52">
        <f>IF(AND($U292="Ready",$C292="Receipt"),IF(COUNTIF(Batches!$A$2:$A$301,$F292)+COUNTIFS($F$1:$F291,$F292,$C$1:$C291,"Receipt",$U$1:$U291,"Ready")=0,1,0),0)</f>
        <v>0</v>
      </c>
      <c r="BV292" s="52" t="str">
        <f>IF($BU292=1,SUM($BU$2:$BU292),"")</f>
        <v/>
      </c>
    </row>
    <row r="293">
      <c r="A293" s="46" t="n"/>
      <c r="B293" s="46" t="n"/>
      <c r="C293" s="46" t="n"/>
      <c r="D293" s="46" t="n"/>
      <c r="E293" s="46" t="n"/>
      <c r="F293" s="46" t="n"/>
      <c r="G293" s="46" t="n"/>
      <c r="H293" s="46" t="n"/>
      <c r="I293" s="46" t="n"/>
      <c r="J293" s="46" t="n"/>
      <c r="K293" s="46" t="n"/>
      <c r="L293" s="46" t="n"/>
      <c r="M293" s="62" t="str">
        <f>IF($B293="","",IF(ISNUMBER($B293),$B293,IF(AND(LEN($B293)=10,MID($B293,5,1)="-",MID($B293,8,1)="-"),IFERROR(IF(AND(MONTH(DATE(VALUE(LEFT($B293,4)),VALUE(MID($B293,6,2)),VALUE(RIGHT($B293,2))))=VALUE(MID($B293,6,2)),DAY(DATE(VALUE(LEFT($B293,4)),VALUE(MID($B293,6,2)),VALUE(RIGHT($B293,2))))=VALUE(RIGHT($B293,2))),DATE(VALUE(LEFT($B293,4)),VALUE(MID($B293,6,2)),VALUE(RIGHT($B293,2))),"ERR"),"ERR"),"ERR")))</f>
        <v/>
      </c>
      <c r="N293" s="62" t="str">
        <f>IF($G293="","",IF(ISNUMBER($G293),$G293,IF(AND(LEN($G293)=10,MID($G293,5,1)="-",MID($G293,8,1)="-"),IFERROR(IF(AND(MONTH(DATE(VALUE(LEFT($G293,4)),VALUE(MID($G293,6,2)),VALUE(RIGHT($G293,2))))=VALUE(MID($G293,6,2)),DAY(DATE(VALUE(LEFT($G293,4)),VALUE(MID($G293,6,2)),VALUE(RIGHT($G293,2))))=VALUE(RIGHT($G293,2))),DATE(VALUE(LEFT($G293,4)),VALUE(MID($G293,6,2)),VALUE(RIGHT($G293,2))),"ERR"),"ERR"),"ERR")))</f>
        <v/>
      </c>
      <c r="O293" s="51" t="str">
        <f>IF($H293="","",IF(ISNUMBER($H293),$H293,IFERROR(VALUE($H293),"ERR")))</f>
        <v/>
      </c>
      <c r="P293" s="51" t="str">
        <f>IF(AND(ISNUMBER($O293),OR($C293="Receipt",$C293="Shipment",$C293="Adjustment")),IF($C293="Shipment",-$O293,$O293),"")</f>
        <v/>
      </c>
      <c r="Q293" s="51" t="str">
        <f>IF($D293="","",IFERROR(INDEX(Products!$R$2:$R$101,MATCH($D293,Products!$A$2:$A$101,0)),""))</f>
        <v/>
      </c>
      <c r="R293" s="51" t="str">
        <f>IF(OR($Q293="",$P293=""),"",$Q293+SUMIFS($P$1:$P292,$D$1:$D292,$D293,$U$1:$U292,"Ready"))</f>
        <v/>
      </c>
      <c r="S293" s="51" t="str">
        <f>IF($R293="","",$R293+$P293)</f>
        <v/>
      </c>
      <c r="T293" s="52" t="str">
        <f>IF(COUNTA($A293:$L293)&gt;0,$BP293,"")</f>
        <v/>
      </c>
      <c r="U293" s="49" t="str">
        <f>IF($T293="","",IF($T293=0,"Ready","Rejected"))</f>
        <v/>
      </c>
      <c r="V293" s="49" t="str">
        <f>IF(OR($T293="",$T293=0),"",INDEX(Config!$D$39:$D$61,MATCH(1,$AT293:$BP293,0))&amp;IF($T293&gt;1," (+"&amp;($T293-1)&amp;" more)",""))</f>
        <v/>
      </c>
      <c r="W293" s="52">
        <f>IF(AND(COUNTA($A293:$L293)&gt;0,$A293=""),1,0)</f>
        <v>0</v>
      </c>
      <c r="X293" s="52">
        <f>IF(AND(COUNTA($A293:$L293)&gt;0,$A293&lt;&gt;""),IF(COUNTIF($A$1:$A292,$A293)&gt;0,1,0),0)</f>
        <v>0</v>
      </c>
      <c r="Y293" s="52">
        <f>IF(AND(COUNTA($A293:$L293)&gt;0,$A293&lt;&gt;""),IF(COUNTIF(Inventory_Ledger!$A$2:$A$2001,$A293)&gt;0,1,0),0)</f>
        <v>0</v>
      </c>
      <c r="Z293" s="52">
        <f>IF(AND(COUNTA($A293:$L293)&gt;0,$B293=""),1,0)</f>
        <v>0</v>
      </c>
      <c r="AA293" s="52">
        <f>IF(AND(COUNTA($A293:$L293)&gt;0,$B293&lt;&gt;""),IF($M293="ERR",1,0),0)</f>
        <v>0</v>
      </c>
      <c r="AB293" s="52">
        <f>IF(AND(COUNTA($A293:$L293)&gt;0,ISNUMBER($M293)),IF($M293&gt;Config!$B$4,1,0),0)</f>
        <v>0</v>
      </c>
      <c r="AC293" s="52">
        <f>IF(AND(COUNTA($A293:$L293)&gt;0,$C293=""),1,0)</f>
        <v>0</v>
      </c>
      <c r="AD293" s="52">
        <f>IF(AND(COUNTA($A293:$L293)&gt;0,$C293&lt;&gt;""),IF(COUNTIF(Config!$A$15:$A$34,$C293)=0,1,0),0)</f>
        <v>0</v>
      </c>
      <c r="AE293" s="52">
        <f>IF(AND(COUNTA($A293:$L293)&gt;0,$D293=""),1,0)</f>
        <v>0</v>
      </c>
      <c r="AF293" s="52">
        <f>IF(AND(COUNTA($A293:$L293)&gt;0,$D293&lt;&gt;""),IF(COUNTIF(Products!$A$2:$A$101,$D293)=0,1,0),0)</f>
        <v>0</v>
      </c>
      <c r="AG293" s="52">
        <f>IF(AND(COUNTA($A293:$L293)&gt;0,$C293="Receipt",$E293=""),1,0)</f>
        <v>0</v>
      </c>
      <c r="AH293" s="52">
        <f>IF(AND(COUNTA($A293:$L293)&gt;0,$E293&lt;&gt;""),IF(COUNTIF(Suppliers!$A$2:$A$51,$E293)=0,1,0),0)</f>
        <v>0</v>
      </c>
      <c r="AI293" s="52">
        <f>IF(AND(COUNTA($A293:$L293)&gt;0,$F293=""),1,0)</f>
        <v>0</v>
      </c>
      <c r="AJ293" s="52">
        <f>IF(AND(COUNTA($A293:$L293)&gt;0,$F293&lt;&gt;"",$D293&lt;&gt;"",OR($C293="Shipment",$C293="Adjustment")),IF($AF293=1,0,IF(COUNTIFS(Batches!$A$2:$A$301,$F293,Batches!$B$2:$B$301,$D293)+COUNTIFS($F$1:$F292,$F293,$D$1:$D292,$D293,$C$1:$C292,"Receipt")=0,1,0)),0)</f>
        <v>0</v>
      </c>
      <c r="AK293" s="52">
        <f>IF(AND(COUNTA($A293:$L293)&gt;0,$C293="Receipt",$G293=""),1,0)</f>
        <v>0</v>
      </c>
      <c r="AL293" s="52">
        <f>IF(AND(COUNTA($A293:$L293)&gt;0,$G293&lt;&gt;""),IF($N293="ERR",1,0),0)</f>
        <v>0</v>
      </c>
      <c r="AM293" s="52">
        <f>IF(AND(COUNTA($A293:$L293)&gt;0,$H293=""),1,0)</f>
        <v>0</v>
      </c>
      <c r="AN293" s="52">
        <f>IF(AND(COUNTA($A293:$L293)&gt;0,$H293&lt;&gt;""),IF($O293="ERR",1,IF(INT($O293)&lt;&gt;$O293,1,IF(AND(OR($C293="Receipt",$C293="Shipment"),$O293&lt;=0),1,IF(AND($C293="Adjustment",$O293=0),1,0)))),0)</f>
        <v>0</v>
      </c>
      <c r="AO293" s="52">
        <f>IF(AND(COUNTA($A293:$L293)&gt;0,$C293="Receipt",$I293=""),1,0)</f>
        <v>0</v>
      </c>
      <c r="AP293" s="52">
        <f>IF(AND(COUNTA($A293:$L293)&gt;0,$I293&lt;&gt;""),IF(IFERROR(INDEX(Config!$G$15:$G$34,MATCH($I293,Config!$E$15:$E$34,0)),"No")="Yes",0,1),0)</f>
        <v>0</v>
      </c>
      <c r="AQ293" s="52">
        <f>IF(AND(COUNTA($A293:$L293)&gt;0,$C293="Adjustment",$J293=""),1,0)</f>
        <v>0</v>
      </c>
      <c r="AR293" s="52">
        <f>IF(AND(COUNTA($A293:$L293)&gt;0,$L293=""),1,0)</f>
        <v>0</v>
      </c>
      <c r="AS293" s="52">
        <f>IF(AND(COUNTA($A293:$L293)&gt;0,ISNUMBER($S293)),IF($S293&lt;0,1,0),0)</f>
        <v>0</v>
      </c>
      <c r="AT293" s="52">
        <f>$W293</f>
        <v>0</v>
      </c>
      <c r="AU293" s="52">
        <f>$AT293+$X293</f>
        <v>0</v>
      </c>
      <c r="AV293" s="52">
        <f>$AU293+$Y293</f>
        <v>0</v>
      </c>
      <c r="AW293" s="52">
        <f>$AV293+$Z293</f>
        <v>0</v>
      </c>
      <c r="AX293" s="52">
        <f>$AW293+$AA293</f>
        <v>0</v>
      </c>
      <c r="AY293" s="52">
        <f>$AX293+$AB293</f>
        <v>0</v>
      </c>
      <c r="AZ293" s="52">
        <f>$AY293+$AC293</f>
        <v>0</v>
      </c>
      <c r="BA293" s="52">
        <f>$AZ293+$AD293</f>
        <v>0</v>
      </c>
      <c r="BB293" s="52">
        <f>$BA293+$AE293</f>
        <v>0</v>
      </c>
      <c r="BC293" s="52">
        <f>$BB293+$AF293</f>
        <v>0</v>
      </c>
      <c r="BD293" s="52">
        <f>$BC293+$AG293</f>
        <v>0</v>
      </c>
      <c r="BE293" s="52">
        <f>$BD293+$AH293</f>
        <v>0</v>
      </c>
      <c r="BF293" s="52">
        <f>$BE293+$AI293</f>
        <v>0</v>
      </c>
      <c r="BG293" s="52">
        <f>$BF293+$AJ293</f>
        <v>0</v>
      </c>
      <c r="BH293" s="52">
        <f>$BG293+$AK293</f>
        <v>0</v>
      </c>
      <c r="BI293" s="52">
        <f>$BH293+$AL293</f>
        <v>0</v>
      </c>
      <c r="BJ293" s="52">
        <f>$BI293+$AM293</f>
        <v>0</v>
      </c>
      <c r="BK293" s="52">
        <f>$BJ293+$AN293</f>
        <v>0</v>
      </c>
      <c r="BL293" s="52">
        <f>$BK293+$AO293</f>
        <v>0</v>
      </c>
      <c r="BM293" s="52">
        <f>$BL293+$AP293</f>
        <v>0</v>
      </c>
      <c r="BN293" s="52">
        <f>$BM293+$AQ293</f>
        <v>0</v>
      </c>
      <c r="BO293" s="52">
        <f>$BN293+$AR293</f>
        <v>0</v>
      </c>
      <c r="BP293" s="52">
        <f>$BO293+$AS293</f>
        <v>0</v>
      </c>
      <c r="BQ293" s="52">
        <f>SUM($T$1:$T292)</f>
        <v>11</v>
      </c>
      <c r="BR293" s="52" t="str">
        <f>IF(ISNUMBER($T293),IF($T293&gt;0,COUNTIF($T$2:$T293,"&gt;0"),""),"")</f>
        <v/>
      </c>
      <c r="BS293" s="52" t="str">
        <f>IF($BR293="","",$BQ293+$T293)</f>
        <v/>
      </c>
      <c r="BT293" s="52" t="str">
        <f>IF($U293="Ready",COUNTIF($U$2:$U293,"Ready"),"")</f>
        <v/>
      </c>
      <c r="BU293" s="52">
        <f>IF(AND($U293="Ready",$C293="Receipt"),IF(COUNTIF(Batches!$A$2:$A$301,$F293)+COUNTIFS($F$1:$F292,$F293,$C$1:$C292,"Receipt",$U$1:$U292,"Ready")=0,1,0),0)</f>
        <v>0</v>
      </c>
      <c r="BV293" s="52" t="str">
        <f>IF($BU293=1,SUM($BU$2:$BU293),"")</f>
        <v/>
      </c>
    </row>
    <row r="294">
      <c r="A294" s="46" t="n"/>
      <c r="B294" s="46" t="n"/>
      <c r="C294" s="46" t="n"/>
      <c r="D294" s="46" t="n"/>
      <c r="E294" s="46" t="n"/>
      <c r="F294" s="46" t="n"/>
      <c r="G294" s="46" t="n"/>
      <c r="H294" s="46" t="n"/>
      <c r="I294" s="46" t="n"/>
      <c r="J294" s="46" t="n"/>
      <c r="K294" s="46" t="n"/>
      <c r="L294" s="46" t="n"/>
      <c r="M294" s="62" t="str">
        <f>IF($B294="","",IF(ISNUMBER($B294),$B294,IF(AND(LEN($B294)=10,MID($B294,5,1)="-",MID($B294,8,1)="-"),IFERROR(IF(AND(MONTH(DATE(VALUE(LEFT($B294,4)),VALUE(MID($B294,6,2)),VALUE(RIGHT($B294,2))))=VALUE(MID($B294,6,2)),DAY(DATE(VALUE(LEFT($B294,4)),VALUE(MID($B294,6,2)),VALUE(RIGHT($B294,2))))=VALUE(RIGHT($B294,2))),DATE(VALUE(LEFT($B294,4)),VALUE(MID($B294,6,2)),VALUE(RIGHT($B294,2))),"ERR"),"ERR"),"ERR")))</f>
        <v/>
      </c>
      <c r="N294" s="62" t="str">
        <f>IF($G294="","",IF(ISNUMBER($G294),$G294,IF(AND(LEN($G294)=10,MID($G294,5,1)="-",MID($G294,8,1)="-"),IFERROR(IF(AND(MONTH(DATE(VALUE(LEFT($G294,4)),VALUE(MID($G294,6,2)),VALUE(RIGHT($G294,2))))=VALUE(MID($G294,6,2)),DAY(DATE(VALUE(LEFT($G294,4)),VALUE(MID($G294,6,2)),VALUE(RIGHT($G294,2))))=VALUE(RIGHT($G294,2))),DATE(VALUE(LEFT($G294,4)),VALUE(MID($G294,6,2)),VALUE(RIGHT($G294,2))),"ERR"),"ERR"),"ERR")))</f>
        <v/>
      </c>
      <c r="O294" s="51" t="str">
        <f>IF($H294="","",IF(ISNUMBER($H294),$H294,IFERROR(VALUE($H294),"ERR")))</f>
        <v/>
      </c>
      <c r="P294" s="51" t="str">
        <f>IF(AND(ISNUMBER($O294),OR($C294="Receipt",$C294="Shipment",$C294="Adjustment")),IF($C294="Shipment",-$O294,$O294),"")</f>
        <v/>
      </c>
      <c r="Q294" s="51" t="str">
        <f>IF($D294="","",IFERROR(INDEX(Products!$R$2:$R$101,MATCH($D294,Products!$A$2:$A$101,0)),""))</f>
        <v/>
      </c>
      <c r="R294" s="51" t="str">
        <f>IF(OR($Q294="",$P294=""),"",$Q294+SUMIFS($P$1:$P293,$D$1:$D293,$D294,$U$1:$U293,"Ready"))</f>
        <v/>
      </c>
      <c r="S294" s="51" t="str">
        <f>IF($R294="","",$R294+$P294)</f>
        <v/>
      </c>
      <c r="T294" s="52" t="str">
        <f>IF(COUNTA($A294:$L294)&gt;0,$BP294,"")</f>
        <v/>
      </c>
      <c r="U294" s="49" t="str">
        <f>IF($T294="","",IF($T294=0,"Ready","Rejected"))</f>
        <v/>
      </c>
      <c r="V294" s="49" t="str">
        <f>IF(OR($T294="",$T294=0),"",INDEX(Config!$D$39:$D$61,MATCH(1,$AT294:$BP294,0))&amp;IF($T294&gt;1," (+"&amp;($T294-1)&amp;" more)",""))</f>
        <v/>
      </c>
      <c r="W294" s="52">
        <f>IF(AND(COUNTA($A294:$L294)&gt;0,$A294=""),1,0)</f>
        <v>0</v>
      </c>
      <c r="X294" s="52">
        <f>IF(AND(COUNTA($A294:$L294)&gt;0,$A294&lt;&gt;""),IF(COUNTIF($A$1:$A293,$A294)&gt;0,1,0),0)</f>
        <v>0</v>
      </c>
      <c r="Y294" s="52">
        <f>IF(AND(COUNTA($A294:$L294)&gt;0,$A294&lt;&gt;""),IF(COUNTIF(Inventory_Ledger!$A$2:$A$2001,$A294)&gt;0,1,0),0)</f>
        <v>0</v>
      </c>
      <c r="Z294" s="52">
        <f>IF(AND(COUNTA($A294:$L294)&gt;0,$B294=""),1,0)</f>
        <v>0</v>
      </c>
      <c r="AA294" s="52">
        <f>IF(AND(COUNTA($A294:$L294)&gt;0,$B294&lt;&gt;""),IF($M294="ERR",1,0),0)</f>
        <v>0</v>
      </c>
      <c r="AB294" s="52">
        <f>IF(AND(COUNTA($A294:$L294)&gt;0,ISNUMBER($M294)),IF($M294&gt;Config!$B$4,1,0),0)</f>
        <v>0</v>
      </c>
      <c r="AC294" s="52">
        <f>IF(AND(COUNTA($A294:$L294)&gt;0,$C294=""),1,0)</f>
        <v>0</v>
      </c>
      <c r="AD294" s="52">
        <f>IF(AND(COUNTA($A294:$L294)&gt;0,$C294&lt;&gt;""),IF(COUNTIF(Config!$A$15:$A$34,$C294)=0,1,0),0)</f>
        <v>0</v>
      </c>
      <c r="AE294" s="52">
        <f>IF(AND(COUNTA($A294:$L294)&gt;0,$D294=""),1,0)</f>
        <v>0</v>
      </c>
      <c r="AF294" s="52">
        <f>IF(AND(COUNTA($A294:$L294)&gt;0,$D294&lt;&gt;""),IF(COUNTIF(Products!$A$2:$A$101,$D294)=0,1,0),0)</f>
        <v>0</v>
      </c>
      <c r="AG294" s="52">
        <f>IF(AND(COUNTA($A294:$L294)&gt;0,$C294="Receipt",$E294=""),1,0)</f>
        <v>0</v>
      </c>
      <c r="AH294" s="52">
        <f>IF(AND(COUNTA($A294:$L294)&gt;0,$E294&lt;&gt;""),IF(COUNTIF(Suppliers!$A$2:$A$51,$E294)=0,1,0),0)</f>
        <v>0</v>
      </c>
      <c r="AI294" s="52">
        <f>IF(AND(COUNTA($A294:$L294)&gt;0,$F294=""),1,0)</f>
        <v>0</v>
      </c>
      <c r="AJ294" s="52">
        <f>IF(AND(COUNTA($A294:$L294)&gt;0,$F294&lt;&gt;"",$D294&lt;&gt;"",OR($C294="Shipment",$C294="Adjustment")),IF($AF294=1,0,IF(COUNTIFS(Batches!$A$2:$A$301,$F294,Batches!$B$2:$B$301,$D294)+COUNTIFS($F$1:$F293,$F294,$D$1:$D293,$D294,$C$1:$C293,"Receipt")=0,1,0)),0)</f>
        <v>0</v>
      </c>
      <c r="AK294" s="52">
        <f>IF(AND(COUNTA($A294:$L294)&gt;0,$C294="Receipt",$G294=""),1,0)</f>
        <v>0</v>
      </c>
      <c r="AL294" s="52">
        <f>IF(AND(COUNTA($A294:$L294)&gt;0,$G294&lt;&gt;""),IF($N294="ERR",1,0),0)</f>
        <v>0</v>
      </c>
      <c r="AM294" s="52">
        <f>IF(AND(COUNTA($A294:$L294)&gt;0,$H294=""),1,0)</f>
        <v>0</v>
      </c>
      <c r="AN294" s="52">
        <f>IF(AND(COUNTA($A294:$L294)&gt;0,$H294&lt;&gt;""),IF($O294="ERR",1,IF(INT($O294)&lt;&gt;$O294,1,IF(AND(OR($C294="Receipt",$C294="Shipment"),$O294&lt;=0),1,IF(AND($C294="Adjustment",$O294=0),1,0)))),0)</f>
        <v>0</v>
      </c>
      <c r="AO294" s="52">
        <f>IF(AND(COUNTA($A294:$L294)&gt;0,$C294="Receipt",$I294=""),1,0)</f>
        <v>0</v>
      </c>
      <c r="AP294" s="52">
        <f>IF(AND(COUNTA($A294:$L294)&gt;0,$I294&lt;&gt;""),IF(IFERROR(INDEX(Config!$G$15:$G$34,MATCH($I294,Config!$E$15:$E$34,0)),"No")="Yes",0,1),0)</f>
        <v>0</v>
      </c>
      <c r="AQ294" s="52">
        <f>IF(AND(COUNTA($A294:$L294)&gt;0,$C294="Adjustment",$J294=""),1,0)</f>
        <v>0</v>
      </c>
      <c r="AR294" s="52">
        <f>IF(AND(COUNTA($A294:$L294)&gt;0,$L294=""),1,0)</f>
        <v>0</v>
      </c>
      <c r="AS294" s="52">
        <f>IF(AND(COUNTA($A294:$L294)&gt;0,ISNUMBER($S294)),IF($S294&lt;0,1,0),0)</f>
        <v>0</v>
      </c>
      <c r="AT294" s="52">
        <f>$W294</f>
        <v>0</v>
      </c>
      <c r="AU294" s="52">
        <f>$AT294+$X294</f>
        <v>0</v>
      </c>
      <c r="AV294" s="52">
        <f>$AU294+$Y294</f>
        <v>0</v>
      </c>
      <c r="AW294" s="52">
        <f>$AV294+$Z294</f>
        <v>0</v>
      </c>
      <c r="AX294" s="52">
        <f>$AW294+$AA294</f>
        <v>0</v>
      </c>
      <c r="AY294" s="52">
        <f>$AX294+$AB294</f>
        <v>0</v>
      </c>
      <c r="AZ294" s="52">
        <f>$AY294+$AC294</f>
        <v>0</v>
      </c>
      <c r="BA294" s="52">
        <f>$AZ294+$AD294</f>
        <v>0</v>
      </c>
      <c r="BB294" s="52">
        <f>$BA294+$AE294</f>
        <v>0</v>
      </c>
      <c r="BC294" s="52">
        <f>$BB294+$AF294</f>
        <v>0</v>
      </c>
      <c r="BD294" s="52">
        <f>$BC294+$AG294</f>
        <v>0</v>
      </c>
      <c r="BE294" s="52">
        <f>$BD294+$AH294</f>
        <v>0</v>
      </c>
      <c r="BF294" s="52">
        <f>$BE294+$AI294</f>
        <v>0</v>
      </c>
      <c r="BG294" s="52">
        <f>$BF294+$AJ294</f>
        <v>0</v>
      </c>
      <c r="BH294" s="52">
        <f>$BG294+$AK294</f>
        <v>0</v>
      </c>
      <c r="BI294" s="52">
        <f>$BH294+$AL294</f>
        <v>0</v>
      </c>
      <c r="BJ294" s="52">
        <f>$BI294+$AM294</f>
        <v>0</v>
      </c>
      <c r="BK294" s="52">
        <f>$BJ294+$AN294</f>
        <v>0</v>
      </c>
      <c r="BL294" s="52">
        <f>$BK294+$AO294</f>
        <v>0</v>
      </c>
      <c r="BM294" s="52">
        <f>$BL294+$AP294</f>
        <v>0</v>
      </c>
      <c r="BN294" s="52">
        <f>$BM294+$AQ294</f>
        <v>0</v>
      </c>
      <c r="BO294" s="52">
        <f>$BN294+$AR294</f>
        <v>0</v>
      </c>
      <c r="BP294" s="52">
        <f>$BO294+$AS294</f>
        <v>0</v>
      </c>
      <c r="BQ294" s="52">
        <f>SUM($T$1:$T293)</f>
        <v>11</v>
      </c>
      <c r="BR294" s="52" t="str">
        <f>IF(ISNUMBER($T294),IF($T294&gt;0,COUNTIF($T$2:$T294,"&gt;0"),""),"")</f>
        <v/>
      </c>
      <c r="BS294" s="52" t="str">
        <f>IF($BR294="","",$BQ294+$T294)</f>
        <v/>
      </c>
      <c r="BT294" s="52" t="str">
        <f>IF($U294="Ready",COUNTIF($U$2:$U294,"Ready"),"")</f>
        <v/>
      </c>
      <c r="BU294" s="52">
        <f>IF(AND($U294="Ready",$C294="Receipt"),IF(COUNTIF(Batches!$A$2:$A$301,$F294)+COUNTIFS($F$1:$F293,$F294,$C$1:$C293,"Receipt",$U$1:$U293,"Ready")=0,1,0),0)</f>
        <v>0</v>
      </c>
      <c r="BV294" s="52" t="str">
        <f>IF($BU294=1,SUM($BU$2:$BU294),"")</f>
        <v/>
      </c>
    </row>
    <row r="295">
      <c r="A295" s="46" t="n"/>
      <c r="B295" s="46" t="n"/>
      <c r="C295" s="46" t="n"/>
      <c r="D295" s="46" t="n"/>
      <c r="E295" s="46" t="n"/>
      <c r="F295" s="46" t="n"/>
      <c r="G295" s="46" t="n"/>
      <c r="H295" s="46" t="n"/>
      <c r="I295" s="46" t="n"/>
      <c r="J295" s="46" t="n"/>
      <c r="K295" s="46" t="n"/>
      <c r="L295" s="46" t="n"/>
      <c r="M295" s="62" t="str">
        <f>IF($B295="","",IF(ISNUMBER($B295),$B295,IF(AND(LEN($B295)=10,MID($B295,5,1)="-",MID($B295,8,1)="-"),IFERROR(IF(AND(MONTH(DATE(VALUE(LEFT($B295,4)),VALUE(MID($B295,6,2)),VALUE(RIGHT($B295,2))))=VALUE(MID($B295,6,2)),DAY(DATE(VALUE(LEFT($B295,4)),VALUE(MID($B295,6,2)),VALUE(RIGHT($B295,2))))=VALUE(RIGHT($B295,2))),DATE(VALUE(LEFT($B295,4)),VALUE(MID($B295,6,2)),VALUE(RIGHT($B295,2))),"ERR"),"ERR"),"ERR")))</f>
        <v/>
      </c>
      <c r="N295" s="62" t="str">
        <f>IF($G295="","",IF(ISNUMBER($G295),$G295,IF(AND(LEN($G295)=10,MID($G295,5,1)="-",MID($G295,8,1)="-"),IFERROR(IF(AND(MONTH(DATE(VALUE(LEFT($G295,4)),VALUE(MID($G295,6,2)),VALUE(RIGHT($G295,2))))=VALUE(MID($G295,6,2)),DAY(DATE(VALUE(LEFT($G295,4)),VALUE(MID($G295,6,2)),VALUE(RIGHT($G295,2))))=VALUE(RIGHT($G295,2))),DATE(VALUE(LEFT($G295,4)),VALUE(MID($G295,6,2)),VALUE(RIGHT($G295,2))),"ERR"),"ERR"),"ERR")))</f>
        <v/>
      </c>
      <c r="O295" s="51" t="str">
        <f>IF($H295="","",IF(ISNUMBER($H295),$H295,IFERROR(VALUE($H295),"ERR")))</f>
        <v/>
      </c>
      <c r="P295" s="51" t="str">
        <f>IF(AND(ISNUMBER($O295),OR($C295="Receipt",$C295="Shipment",$C295="Adjustment")),IF($C295="Shipment",-$O295,$O295),"")</f>
        <v/>
      </c>
      <c r="Q295" s="51" t="str">
        <f>IF($D295="","",IFERROR(INDEX(Products!$R$2:$R$101,MATCH($D295,Products!$A$2:$A$101,0)),""))</f>
        <v/>
      </c>
      <c r="R295" s="51" t="str">
        <f>IF(OR($Q295="",$P295=""),"",$Q295+SUMIFS($P$1:$P294,$D$1:$D294,$D295,$U$1:$U294,"Ready"))</f>
        <v/>
      </c>
      <c r="S295" s="51" t="str">
        <f>IF($R295="","",$R295+$P295)</f>
        <v/>
      </c>
      <c r="T295" s="52" t="str">
        <f>IF(COUNTA($A295:$L295)&gt;0,$BP295,"")</f>
        <v/>
      </c>
      <c r="U295" s="49" t="str">
        <f>IF($T295="","",IF($T295=0,"Ready","Rejected"))</f>
        <v/>
      </c>
      <c r="V295" s="49" t="str">
        <f>IF(OR($T295="",$T295=0),"",INDEX(Config!$D$39:$D$61,MATCH(1,$AT295:$BP295,0))&amp;IF($T295&gt;1," (+"&amp;($T295-1)&amp;" more)",""))</f>
        <v/>
      </c>
      <c r="W295" s="52">
        <f>IF(AND(COUNTA($A295:$L295)&gt;0,$A295=""),1,0)</f>
        <v>0</v>
      </c>
      <c r="X295" s="52">
        <f>IF(AND(COUNTA($A295:$L295)&gt;0,$A295&lt;&gt;""),IF(COUNTIF($A$1:$A294,$A295)&gt;0,1,0),0)</f>
        <v>0</v>
      </c>
      <c r="Y295" s="52">
        <f>IF(AND(COUNTA($A295:$L295)&gt;0,$A295&lt;&gt;""),IF(COUNTIF(Inventory_Ledger!$A$2:$A$2001,$A295)&gt;0,1,0),0)</f>
        <v>0</v>
      </c>
      <c r="Z295" s="52">
        <f>IF(AND(COUNTA($A295:$L295)&gt;0,$B295=""),1,0)</f>
        <v>0</v>
      </c>
      <c r="AA295" s="52">
        <f>IF(AND(COUNTA($A295:$L295)&gt;0,$B295&lt;&gt;""),IF($M295="ERR",1,0),0)</f>
        <v>0</v>
      </c>
      <c r="AB295" s="52">
        <f>IF(AND(COUNTA($A295:$L295)&gt;0,ISNUMBER($M295)),IF($M295&gt;Config!$B$4,1,0),0)</f>
        <v>0</v>
      </c>
      <c r="AC295" s="52">
        <f>IF(AND(COUNTA($A295:$L295)&gt;0,$C295=""),1,0)</f>
        <v>0</v>
      </c>
      <c r="AD295" s="52">
        <f>IF(AND(COUNTA($A295:$L295)&gt;0,$C295&lt;&gt;""),IF(COUNTIF(Config!$A$15:$A$34,$C295)=0,1,0),0)</f>
        <v>0</v>
      </c>
      <c r="AE295" s="52">
        <f>IF(AND(COUNTA($A295:$L295)&gt;0,$D295=""),1,0)</f>
        <v>0</v>
      </c>
      <c r="AF295" s="52">
        <f>IF(AND(COUNTA($A295:$L295)&gt;0,$D295&lt;&gt;""),IF(COUNTIF(Products!$A$2:$A$101,$D295)=0,1,0),0)</f>
        <v>0</v>
      </c>
      <c r="AG295" s="52">
        <f>IF(AND(COUNTA($A295:$L295)&gt;0,$C295="Receipt",$E295=""),1,0)</f>
        <v>0</v>
      </c>
      <c r="AH295" s="52">
        <f>IF(AND(COUNTA($A295:$L295)&gt;0,$E295&lt;&gt;""),IF(COUNTIF(Suppliers!$A$2:$A$51,$E295)=0,1,0),0)</f>
        <v>0</v>
      </c>
      <c r="AI295" s="52">
        <f>IF(AND(COUNTA($A295:$L295)&gt;0,$F295=""),1,0)</f>
        <v>0</v>
      </c>
      <c r="AJ295" s="52">
        <f>IF(AND(COUNTA($A295:$L295)&gt;0,$F295&lt;&gt;"",$D295&lt;&gt;"",OR($C295="Shipment",$C295="Adjustment")),IF($AF295=1,0,IF(COUNTIFS(Batches!$A$2:$A$301,$F295,Batches!$B$2:$B$301,$D295)+COUNTIFS($F$1:$F294,$F295,$D$1:$D294,$D295,$C$1:$C294,"Receipt")=0,1,0)),0)</f>
        <v>0</v>
      </c>
      <c r="AK295" s="52">
        <f>IF(AND(COUNTA($A295:$L295)&gt;0,$C295="Receipt",$G295=""),1,0)</f>
        <v>0</v>
      </c>
      <c r="AL295" s="52">
        <f>IF(AND(COUNTA($A295:$L295)&gt;0,$G295&lt;&gt;""),IF($N295="ERR",1,0),0)</f>
        <v>0</v>
      </c>
      <c r="AM295" s="52">
        <f>IF(AND(COUNTA($A295:$L295)&gt;0,$H295=""),1,0)</f>
        <v>0</v>
      </c>
      <c r="AN295" s="52">
        <f>IF(AND(COUNTA($A295:$L295)&gt;0,$H295&lt;&gt;""),IF($O295="ERR",1,IF(INT($O295)&lt;&gt;$O295,1,IF(AND(OR($C295="Receipt",$C295="Shipment"),$O295&lt;=0),1,IF(AND($C295="Adjustment",$O295=0),1,0)))),0)</f>
        <v>0</v>
      </c>
      <c r="AO295" s="52">
        <f>IF(AND(COUNTA($A295:$L295)&gt;0,$C295="Receipt",$I295=""),1,0)</f>
        <v>0</v>
      </c>
      <c r="AP295" s="52">
        <f>IF(AND(COUNTA($A295:$L295)&gt;0,$I295&lt;&gt;""),IF(IFERROR(INDEX(Config!$G$15:$G$34,MATCH($I295,Config!$E$15:$E$34,0)),"No")="Yes",0,1),0)</f>
        <v>0</v>
      </c>
      <c r="AQ295" s="52">
        <f>IF(AND(COUNTA($A295:$L295)&gt;0,$C295="Adjustment",$J295=""),1,0)</f>
        <v>0</v>
      </c>
      <c r="AR295" s="52">
        <f>IF(AND(COUNTA($A295:$L295)&gt;0,$L295=""),1,0)</f>
        <v>0</v>
      </c>
      <c r="AS295" s="52">
        <f>IF(AND(COUNTA($A295:$L295)&gt;0,ISNUMBER($S295)),IF($S295&lt;0,1,0),0)</f>
        <v>0</v>
      </c>
      <c r="AT295" s="52">
        <f>$W295</f>
        <v>0</v>
      </c>
      <c r="AU295" s="52">
        <f>$AT295+$X295</f>
        <v>0</v>
      </c>
      <c r="AV295" s="52">
        <f>$AU295+$Y295</f>
        <v>0</v>
      </c>
      <c r="AW295" s="52">
        <f>$AV295+$Z295</f>
        <v>0</v>
      </c>
      <c r="AX295" s="52">
        <f>$AW295+$AA295</f>
        <v>0</v>
      </c>
      <c r="AY295" s="52">
        <f>$AX295+$AB295</f>
        <v>0</v>
      </c>
      <c r="AZ295" s="52">
        <f>$AY295+$AC295</f>
        <v>0</v>
      </c>
      <c r="BA295" s="52">
        <f>$AZ295+$AD295</f>
        <v>0</v>
      </c>
      <c r="BB295" s="52">
        <f>$BA295+$AE295</f>
        <v>0</v>
      </c>
      <c r="BC295" s="52">
        <f>$BB295+$AF295</f>
        <v>0</v>
      </c>
      <c r="BD295" s="52">
        <f>$BC295+$AG295</f>
        <v>0</v>
      </c>
      <c r="BE295" s="52">
        <f>$BD295+$AH295</f>
        <v>0</v>
      </c>
      <c r="BF295" s="52">
        <f>$BE295+$AI295</f>
        <v>0</v>
      </c>
      <c r="BG295" s="52">
        <f>$BF295+$AJ295</f>
        <v>0</v>
      </c>
      <c r="BH295" s="52">
        <f>$BG295+$AK295</f>
        <v>0</v>
      </c>
      <c r="BI295" s="52">
        <f>$BH295+$AL295</f>
        <v>0</v>
      </c>
      <c r="BJ295" s="52">
        <f>$BI295+$AM295</f>
        <v>0</v>
      </c>
      <c r="BK295" s="52">
        <f>$BJ295+$AN295</f>
        <v>0</v>
      </c>
      <c r="BL295" s="52">
        <f>$BK295+$AO295</f>
        <v>0</v>
      </c>
      <c r="BM295" s="52">
        <f>$BL295+$AP295</f>
        <v>0</v>
      </c>
      <c r="BN295" s="52">
        <f>$BM295+$AQ295</f>
        <v>0</v>
      </c>
      <c r="BO295" s="52">
        <f>$BN295+$AR295</f>
        <v>0</v>
      </c>
      <c r="BP295" s="52">
        <f>$BO295+$AS295</f>
        <v>0</v>
      </c>
      <c r="BQ295" s="52">
        <f>SUM($T$1:$T294)</f>
        <v>11</v>
      </c>
      <c r="BR295" s="52" t="str">
        <f>IF(ISNUMBER($T295),IF($T295&gt;0,COUNTIF($T$2:$T295,"&gt;0"),""),"")</f>
        <v/>
      </c>
      <c r="BS295" s="52" t="str">
        <f>IF($BR295="","",$BQ295+$T295)</f>
        <v/>
      </c>
      <c r="BT295" s="52" t="str">
        <f>IF($U295="Ready",COUNTIF($U$2:$U295,"Ready"),"")</f>
        <v/>
      </c>
      <c r="BU295" s="52">
        <f>IF(AND($U295="Ready",$C295="Receipt"),IF(COUNTIF(Batches!$A$2:$A$301,$F295)+COUNTIFS($F$1:$F294,$F295,$C$1:$C294,"Receipt",$U$1:$U294,"Ready")=0,1,0),0)</f>
        <v>0</v>
      </c>
      <c r="BV295" s="52" t="str">
        <f>IF($BU295=1,SUM($BU$2:$BU295),"")</f>
        <v/>
      </c>
    </row>
    <row r="296">
      <c r="A296" s="46" t="n"/>
      <c r="B296" s="46" t="n"/>
      <c r="C296" s="46" t="n"/>
      <c r="D296" s="46" t="n"/>
      <c r="E296" s="46" t="n"/>
      <c r="F296" s="46" t="n"/>
      <c r="G296" s="46" t="n"/>
      <c r="H296" s="46" t="n"/>
      <c r="I296" s="46" t="n"/>
      <c r="J296" s="46" t="n"/>
      <c r="K296" s="46" t="n"/>
      <c r="L296" s="46" t="n"/>
      <c r="M296" s="62" t="str">
        <f>IF($B296="","",IF(ISNUMBER($B296),$B296,IF(AND(LEN($B296)=10,MID($B296,5,1)="-",MID($B296,8,1)="-"),IFERROR(IF(AND(MONTH(DATE(VALUE(LEFT($B296,4)),VALUE(MID($B296,6,2)),VALUE(RIGHT($B296,2))))=VALUE(MID($B296,6,2)),DAY(DATE(VALUE(LEFT($B296,4)),VALUE(MID($B296,6,2)),VALUE(RIGHT($B296,2))))=VALUE(RIGHT($B296,2))),DATE(VALUE(LEFT($B296,4)),VALUE(MID($B296,6,2)),VALUE(RIGHT($B296,2))),"ERR"),"ERR"),"ERR")))</f>
        <v/>
      </c>
      <c r="N296" s="62" t="str">
        <f>IF($G296="","",IF(ISNUMBER($G296),$G296,IF(AND(LEN($G296)=10,MID($G296,5,1)="-",MID($G296,8,1)="-"),IFERROR(IF(AND(MONTH(DATE(VALUE(LEFT($G296,4)),VALUE(MID($G296,6,2)),VALUE(RIGHT($G296,2))))=VALUE(MID($G296,6,2)),DAY(DATE(VALUE(LEFT($G296,4)),VALUE(MID($G296,6,2)),VALUE(RIGHT($G296,2))))=VALUE(RIGHT($G296,2))),DATE(VALUE(LEFT($G296,4)),VALUE(MID($G296,6,2)),VALUE(RIGHT($G296,2))),"ERR"),"ERR"),"ERR")))</f>
        <v/>
      </c>
      <c r="O296" s="51" t="str">
        <f>IF($H296="","",IF(ISNUMBER($H296),$H296,IFERROR(VALUE($H296),"ERR")))</f>
        <v/>
      </c>
      <c r="P296" s="51" t="str">
        <f>IF(AND(ISNUMBER($O296),OR($C296="Receipt",$C296="Shipment",$C296="Adjustment")),IF($C296="Shipment",-$O296,$O296),"")</f>
        <v/>
      </c>
      <c r="Q296" s="51" t="str">
        <f>IF($D296="","",IFERROR(INDEX(Products!$R$2:$R$101,MATCH($D296,Products!$A$2:$A$101,0)),""))</f>
        <v/>
      </c>
      <c r="R296" s="51" t="str">
        <f>IF(OR($Q296="",$P296=""),"",$Q296+SUMIFS($P$1:$P295,$D$1:$D295,$D296,$U$1:$U295,"Ready"))</f>
        <v/>
      </c>
      <c r="S296" s="51" t="str">
        <f>IF($R296="","",$R296+$P296)</f>
        <v/>
      </c>
      <c r="T296" s="52" t="str">
        <f>IF(COUNTA($A296:$L296)&gt;0,$BP296,"")</f>
        <v/>
      </c>
      <c r="U296" s="49" t="str">
        <f>IF($T296="","",IF($T296=0,"Ready","Rejected"))</f>
        <v/>
      </c>
      <c r="V296" s="49" t="str">
        <f>IF(OR($T296="",$T296=0),"",INDEX(Config!$D$39:$D$61,MATCH(1,$AT296:$BP296,0))&amp;IF($T296&gt;1," (+"&amp;($T296-1)&amp;" more)",""))</f>
        <v/>
      </c>
      <c r="W296" s="52">
        <f>IF(AND(COUNTA($A296:$L296)&gt;0,$A296=""),1,0)</f>
        <v>0</v>
      </c>
      <c r="X296" s="52">
        <f>IF(AND(COUNTA($A296:$L296)&gt;0,$A296&lt;&gt;""),IF(COUNTIF($A$1:$A295,$A296)&gt;0,1,0),0)</f>
        <v>0</v>
      </c>
      <c r="Y296" s="52">
        <f>IF(AND(COUNTA($A296:$L296)&gt;0,$A296&lt;&gt;""),IF(COUNTIF(Inventory_Ledger!$A$2:$A$2001,$A296)&gt;0,1,0),0)</f>
        <v>0</v>
      </c>
      <c r="Z296" s="52">
        <f>IF(AND(COUNTA($A296:$L296)&gt;0,$B296=""),1,0)</f>
        <v>0</v>
      </c>
      <c r="AA296" s="52">
        <f>IF(AND(COUNTA($A296:$L296)&gt;0,$B296&lt;&gt;""),IF($M296="ERR",1,0),0)</f>
        <v>0</v>
      </c>
      <c r="AB296" s="52">
        <f>IF(AND(COUNTA($A296:$L296)&gt;0,ISNUMBER($M296)),IF($M296&gt;Config!$B$4,1,0),0)</f>
        <v>0</v>
      </c>
      <c r="AC296" s="52">
        <f>IF(AND(COUNTA($A296:$L296)&gt;0,$C296=""),1,0)</f>
        <v>0</v>
      </c>
      <c r="AD296" s="52">
        <f>IF(AND(COUNTA($A296:$L296)&gt;0,$C296&lt;&gt;""),IF(COUNTIF(Config!$A$15:$A$34,$C296)=0,1,0),0)</f>
        <v>0</v>
      </c>
      <c r="AE296" s="52">
        <f>IF(AND(COUNTA($A296:$L296)&gt;0,$D296=""),1,0)</f>
        <v>0</v>
      </c>
      <c r="AF296" s="52">
        <f>IF(AND(COUNTA($A296:$L296)&gt;0,$D296&lt;&gt;""),IF(COUNTIF(Products!$A$2:$A$101,$D296)=0,1,0),0)</f>
        <v>0</v>
      </c>
      <c r="AG296" s="52">
        <f>IF(AND(COUNTA($A296:$L296)&gt;0,$C296="Receipt",$E296=""),1,0)</f>
        <v>0</v>
      </c>
      <c r="AH296" s="52">
        <f>IF(AND(COUNTA($A296:$L296)&gt;0,$E296&lt;&gt;""),IF(COUNTIF(Suppliers!$A$2:$A$51,$E296)=0,1,0),0)</f>
        <v>0</v>
      </c>
      <c r="AI296" s="52">
        <f>IF(AND(COUNTA($A296:$L296)&gt;0,$F296=""),1,0)</f>
        <v>0</v>
      </c>
      <c r="AJ296" s="52">
        <f>IF(AND(COUNTA($A296:$L296)&gt;0,$F296&lt;&gt;"",$D296&lt;&gt;"",OR($C296="Shipment",$C296="Adjustment")),IF($AF296=1,0,IF(COUNTIFS(Batches!$A$2:$A$301,$F296,Batches!$B$2:$B$301,$D296)+COUNTIFS($F$1:$F295,$F296,$D$1:$D295,$D296,$C$1:$C295,"Receipt")=0,1,0)),0)</f>
        <v>0</v>
      </c>
      <c r="AK296" s="52">
        <f>IF(AND(COUNTA($A296:$L296)&gt;0,$C296="Receipt",$G296=""),1,0)</f>
        <v>0</v>
      </c>
      <c r="AL296" s="52">
        <f>IF(AND(COUNTA($A296:$L296)&gt;0,$G296&lt;&gt;""),IF($N296="ERR",1,0),0)</f>
        <v>0</v>
      </c>
      <c r="AM296" s="52">
        <f>IF(AND(COUNTA($A296:$L296)&gt;0,$H296=""),1,0)</f>
        <v>0</v>
      </c>
      <c r="AN296" s="52">
        <f>IF(AND(COUNTA($A296:$L296)&gt;0,$H296&lt;&gt;""),IF($O296="ERR",1,IF(INT($O296)&lt;&gt;$O296,1,IF(AND(OR($C296="Receipt",$C296="Shipment"),$O296&lt;=0),1,IF(AND($C296="Adjustment",$O296=0),1,0)))),0)</f>
        <v>0</v>
      </c>
      <c r="AO296" s="52">
        <f>IF(AND(COUNTA($A296:$L296)&gt;0,$C296="Receipt",$I296=""),1,0)</f>
        <v>0</v>
      </c>
      <c r="AP296" s="52">
        <f>IF(AND(COUNTA($A296:$L296)&gt;0,$I296&lt;&gt;""),IF(IFERROR(INDEX(Config!$G$15:$G$34,MATCH($I296,Config!$E$15:$E$34,0)),"No")="Yes",0,1),0)</f>
        <v>0</v>
      </c>
      <c r="AQ296" s="52">
        <f>IF(AND(COUNTA($A296:$L296)&gt;0,$C296="Adjustment",$J296=""),1,0)</f>
        <v>0</v>
      </c>
      <c r="AR296" s="52">
        <f>IF(AND(COUNTA($A296:$L296)&gt;0,$L296=""),1,0)</f>
        <v>0</v>
      </c>
      <c r="AS296" s="52">
        <f>IF(AND(COUNTA($A296:$L296)&gt;0,ISNUMBER($S296)),IF($S296&lt;0,1,0),0)</f>
        <v>0</v>
      </c>
      <c r="AT296" s="52">
        <f>$W296</f>
        <v>0</v>
      </c>
      <c r="AU296" s="52">
        <f>$AT296+$X296</f>
        <v>0</v>
      </c>
      <c r="AV296" s="52">
        <f>$AU296+$Y296</f>
        <v>0</v>
      </c>
      <c r="AW296" s="52">
        <f>$AV296+$Z296</f>
        <v>0</v>
      </c>
      <c r="AX296" s="52">
        <f>$AW296+$AA296</f>
        <v>0</v>
      </c>
      <c r="AY296" s="52">
        <f>$AX296+$AB296</f>
        <v>0</v>
      </c>
      <c r="AZ296" s="52">
        <f>$AY296+$AC296</f>
        <v>0</v>
      </c>
      <c r="BA296" s="52">
        <f>$AZ296+$AD296</f>
        <v>0</v>
      </c>
      <c r="BB296" s="52">
        <f>$BA296+$AE296</f>
        <v>0</v>
      </c>
      <c r="BC296" s="52">
        <f>$BB296+$AF296</f>
        <v>0</v>
      </c>
      <c r="BD296" s="52">
        <f>$BC296+$AG296</f>
        <v>0</v>
      </c>
      <c r="BE296" s="52">
        <f>$BD296+$AH296</f>
        <v>0</v>
      </c>
      <c r="BF296" s="52">
        <f>$BE296+$AI296</f>
        <v>0</v>
      </c>
      <c r="BG296" s="52">
        <f>$BF296+$AJ296</f>
        <v>0</v>
      </c>
      <c r="BH296" s="52">
        <f>$BG296+$AK296</f>
        <v>0</v>
      </c>
      <c r="BI296" s="52">
        <f>$BH296+$AL296</f>
        <v>0</v>
      </c>
      <c r="BJ296" s="52">
        <f>$BI296+$AM296</f>
        <v>0</v>
      </c>
      <c r="BK296" s="52">
        <f>$BJ296+$AN296</f>
        <v>0</v>
      </c>
      <c r="BL296" s="52">
        <f>$BK296+$AO296</f>
        <v>0</v>
      </c>
      <c r="BM296" s="52">
        <f>$BL296+$AP296</f>
        <v>0</v>
      </c>
      <c r="BN296" s="52">
        <f>$BM296+$AQ296</f>
        <v>0</v>
      </c>
      <c r="BO296" s="52">
        <f>$BN296+$AR296</f>
        <v>0</v>
      </c>
      <c r="BP296" s="52">
        <f>$BO296+$AS296</f>
        <v>0</v>
      </c>
      <c r="BQ296" s="52">
        <f>SUM($T$1:$T295)</f>
        <v>11</v>
      </c>
      <c r="BR296" s="52" t="str">
        <f>IF(ISNUMBER($T296),IF($T296&gt;0,COUNTIF($T$2:$T296,"&gt;0"),""),"")</f>
        <v/>
      </c>
      <c r="BS296" s="52" t="str">
        <f>IF($BR296="","",$BQ296+$T296)</f>
        <v/>
      </c>
      <c r="BT296" s="52" t="str">
        <f>IF($U296="Ready",COUNTIF($U$2:$U296,"Ready"),"")</f>
        <v/>
      </c>
      <c r="BU296" s="52">
        <f>IF(AND($U296="Ready",$C296="Receipt"),IF(COUNTIF(Batches!$A$2:$A$301,$F296)+COUNTIFS($F$1:$F295,$F296,$C$1:$C295,"Receipt",$U$1:$U295,"Ready")=0,1,0),0)</f>
        <v>0</v>
      </c>
      <c r="BV296" s="52" t="str">
        <f>IF($BU296=1,SUM($BU$2:$BU296),"")</f>
        <v/>
      </c>
    </row>
    <row r="297">
      <c r="A297" s="46" t="n"/>
      <c r="B297" s="46" t="n"/>
      <c r="C297" s="46" t="n"/>
      <c r="D297" s="46" t="n"/>
      <c r="E297" s="46" t="n"/>
      <c r="F297" s="46" t="n"/>
      <c r="G297" s="46" t="n"/>
      <c r="H297" s="46" t="n"/>
      <c r="I297" s="46" t="n"/>
      <c r="J297" s="46" t="n"/>
      <c r="K297" s="46" t="n"/>
      <c r="L297" s="46" t="n"/>
      <c r="M297" s="62" t="str">
        <f>IF($B297="","",IF(ISNUMBER($B297),$B297,IF(AND(LEN($B297)=10,MID($B297,5,1)="-",MID($B297,8,1)="-"),IFERROR(IF(AND(MONTH(DATE(VALUE(LEFT($B297,4)),VALUE(MID($B297,6,2)),VALUE(RIGHT($B297,2))))=VALUE(MID($B297,6,2)),DAY(DATE(VALUE(LEFT($B297,4)),VALUE(MID($B297,6,2)),VALUE(RIGHT($B297,2))))=VALUE(RIGHT($B297,2))),DATE(VALUE(LEFT($B297,4)),VALUE(MID($B297,6,2)),VALUE(RIGHT($B297,2))),"ERR"),"ERR"),"ERR")))</f>
        <v/>
      </c>
      <c r="N297" s="62" t="str">
        <f>IF($G297="","",IF(ISNUMBER($G297),$G297,IF(AND(LEN($G297)=10,MID($G297,5,1)="-",MID($G297,8,1)="-"),IFERROR(IF(AND(MONTH(DATE(VALUE(LEFT($G297,4)),VALUE(MID($G297,6,2)),VALUE(RIGHT($G297,2))))=VALUE(MID($G297,6,2)),DAY(DATE(VALUE(LEFT($G297,4)),VALUE(MID($G297,6,2)),VALUE(RIGHT($G297,2))))=VALUE(RIGHT($G297,2))),DATE(VALUE(LEFT($G297,4)),VALUE(MID($G297,6,2)),VALUE(RIGHT($G297,2))),"ERR"),"ERR"),"ERR")))</f>
        <v/>
      </c>
      <c r="O297" s="51" t="str">
        <f>IF($H297="","",IF(ISNUMBER($H297),$H297,IFERROR(VALUE($H297),"ERR")))</f>
        <v/>
      </c>
      <c r="P297" s="51" t="str">
        <f>IF(AND(ISNUMBER($O297),OR($C297="Receipt",$C297="Shipment",$C297="Adjustment")),IF($C297="Shipment",-$O297,$O297),"")</f>
        <v/>
      </c>
      <c r="Q297" s="51" t="str">
        <f>IF($D297="","",IFERROR(INDEX(Products!$R$2:$R$101,MATCH($D297,Products!$A$2:$A$101,0)),""))</f>
        <v/>
      </c>
      <c r="R297" s="51" t="str">
        <f>IF(OR($Q297="",$P297=""),"",$Q297+SUMIFS($P$1:$P296,$D$1:$D296,$D297,$U$1:$U296,"Ready"))</f>
        <v/>
      </c>
      <c r="S297" s="51" t="str">
        <f>IF($R297="","",$R297+$P297)</f>
        <v/>
      </c>
      <c r="T297" s="52" t="str">
        <f>IF(COUNTA($A297:$L297)&gt;0,$BP297,"")</f>
        <v/>
      </c>
      <c r="U297" s="49" t="str">
        <f>IF($T297="","",IF($T297=0,"Ready","Rejected"))</f>
        <v/>
      </c>
      <c r="V297" s="49" t="str">
        <f>IF(OR($T297="",$T297=0),"",INDEX(Config!$D$39:$D$61,MATCH(1,$AT297:$BP297,0))&amp;IF($T297&gt;1," (+"&amp;($T297-1)&amp;" more)",""))</f>
        <v/>
      </c>
      <c r="W297" s="52">
        <f>IF(AND(COUNTA($A297:$L297)&gt;0,$A297=""),1,0)</f>
        <v>0</v>
      </c>
      <c r="X297" s="52">
        <f>IF(AND(COUNTA($A297:$L297)&gt;0,$A297&lt;&gt;""),IF(COUNTIF($A$1:$A296,$A297)&gt;0,1,0),0)</f>
        <v>0</v>
      </c>
      <c r="Y297" s="52">
        <f>IF(AND(COUNTA($A297:$L297)&gt;0,$A297&lt;&gt;""),IF(COUNTIF(Inventory_Ledger!$A$2:$A$2001,$A297)&gt;0,1,0),0)</f>
        <v>0</v>
      </c>
      <c r="Z297" s="52">
        <f>IF(AND(COUNTA($A297:$L297)&gt;0,$B297=""),1,0)</f>
        <v>0</v>
      </c>
      <c r="AA297" s="52">
        <f>IF(AND(COUNTA($A297:$L297)&gt;0,$B297&lt;&gt;""),IF($M297="ERR",1,0),0)</f>
        <v>0</v>
      </c>
      <c r="AB297" s="52">
        <f>IF(AND(COUNTA($A297:$L297)&gt;0,ISNUMBER($M297)),IF($M297&gt;Config!$B$4,1,0),0)</f>
        <v>0</v>
      </c>
      <c r="AC297" s="52">
        <f>IF(AND(COUNTA($A297:$L297)&gt;0,$C297=""),1,0)</f>
        <v>0</v>
      </c>
      <c r="AD297" s="52">
        <f>IF(AND(COUNTA($A297:$L297)&gt;0,$C297&lt;&gt;""),IF(COUNTIF(Config!$A$15:$A$34,$C297)=0,1,0),0)</f>
        <v>0</v>
      </c>
      <c r="AE297" s="52">
        <f>IF(AND(COUNTA($A297:$L297)&gt;0,$D297=""),1,0)</f>
        <v>0</v>
      </c>
      <c r="AF297" s="52">
        <f>IF(AND(COUNTA($A297:$L297)&gt;0,$D297&lt;&gt;""),IF(COUNTIF(Products!$A$2:$A$101,$D297)=0,1,0),0)</f>
        <v>0</v>
      </c>
      <c r="AG297" s="52">
        <f>IF(AND(COUNTA($A297:$L297)&gt;0,$C297="Receipt",$E297=""),1,0)</f>
        <v>0</v>
      </c>
      <c r="AH297" s="52">
        <f>IF(AND(COUNTA($A297:$L297)&gt;0,$E297&lt;&gt;""),IF(COUNTIF(Suppliers!$A$2:$A$51,$E297)=0,1,0),0)</f>
        <v>0</v>
      </c>
      <c r="AI297" s="52">
        <f>IF(AND(COUNTA($A297:$L297)&gt;0,$F297=""),1,0)</f>
        <v>0</v>
      </c>
      <c r="AJ297" s="52">
        <f>IF(AND(COUNTA($A297:$L297)&gt;0,$F297&lt;&gt;"",$D297&lt;&gt;"",OR($C297="Shipment",$C297="Adjustment")),IF($AF297=1,0,IF(COUNTIFS(Batches!$A$2:$A$301,$F297,Batches!$B$2:$B$301,$D297)+COUNTIFS($F$1:$F296,$F297,$D$1:$D296,$D297,$C$1:$C296,"Receipt")=0,1,0)),0)</f>
        <v>0</v>
      </c>
      <c r="AK297" s="52">
        <f>IF(AND(COUNTA($A297:$L297)&gt;0,$C297="Receipt",$G297=""),1,0)</f>
        <v>0</v>
      </c>
      <c r="AL297" s="52">
        <f>IF(AND(COUNTA($A297:$L297)&gt;0,$G297&lt;&gt;""),IF($N297="ERR",1,0),0)</f>
        <v>0</v>
      </c>
      <c r="AM297" s="52">
        <f>IF(AND(COUNTA($A297:$L297)&gt;0,$H297=""),1,0)</f>
        <v>0</v>
      </c>
      <c r="AN297" s="52">
        <f>IF(AND(COUNTA($A297:$L297)&gt;0,$H297&lt;&gt;""),IF($O297="ERR",1,IF(INT($O297)&lt;&gt;$O297,1,IF(AND(OR($C297="Receipt",$C297="Shipment"),$O297&lt;=0),1,IF(AND($C297="Adjustment",$O297=0),1,0)))),0)</f>
        <v>0</v>
      </c>
      <c r="AO297" s="52">
        <f>IF(AND(COUNTA($A297:$L297)&gt;0,$C297="Receipt",$I297=""),1,0)</f>
        <v>0</v>
      </c>
      <c r="AP297" s="52">
        <f>IF(AND(COUNTA($A297:$L297)&gt;0,$I297&lt;&gt;""),IF(IFERROR(INDEX(Config!$G$15:$G$34,MATCH($I297,Config!$E$15:$E$34,0)),"No")="Yes",0,1),0)</f>
        <v>0</v>
      </c>
      <c r="AQ297" s="52">
        <f>IF(AND(COUNTA($A297:$L297)&gt;0,$C297="Adjustment",$J297=""),1,0)</f>
        <v>0</v>
      </c>
      <c r="AR297" s="52">
        <f>IF(AND(COUNTA($A297:$L297)&gt;0,$L297=""),1,0)</f>
        <v>0</v>
      </c>
      <c r="AS297" s="52">
        <f>IF(AND(COUNTA($A297:$L297)&gt;0,ISNUMBER($S297)),IF($S297&lt;0,1,0),0)</f>
        <v>0</v>
      </c>
      <c r="AT297" s="52">
        <f>$W297</f>
        <v>0</v>
      </c>
      <c r="AU297" s="52">
        <f>$AT297+$X297</f>
        <v>0</v>
      </c>
      <c r="AV297" s="52">
        <f>$AU297+$Y297</f>
        <v>0</v>
      </c>
      <c r="AW297" s="52">
        <f>$AV297+$Z297</f>
        <v>0</v>
      </c>
      <c r="AX297" s="52">
        <f>$AW297+$AA297</f>
        <v>0</v>
      </c>
      <c r="AY297" s="52">
        <f>$AX297+$AB297</f>
        <v>0</v>
      </c>
      <c r="AZ297" s="52">
        <f>$AY297+$AC297</f>
        <v>0</v>
      </c>
      <c r="BA297" s="52">
        <f>$AZ297+$AD297</f>
        <v>0</v>
      </c>
      <c r="BB297" s="52">
        <f>$BA297+$AE297</f>
        <v>0</v>
      </c>
      <c r="BC297" s="52">
        <f>$BB297+$AF297</f>
        <v>0</v>
      </c>
      <c r="BD297" s="52">
        <f>$BC297+$AG297</f>
        <v>0</v>
      </c>
      <c r="BE297" s="52">
        <f>$BD297+$AH297</f>
        <v>0</v>
      </c>
      <c r="BF297" s="52">
        <f>$BE297+$AI297</f>
        <v>0</v>
      </c>
      <c r="BG297" s="52">
        <f>$BF297+$AJ297</f>
        <v>0</v>
      </c>
      <c r="BH297" s="52">
        <f>$BG297+$AK297</f>
        <v>0</v>
      </c>
      <c r="BI297" s="52">
        <f>$BH297+$AL297</f>
        <v>0</v>
      </c>
      <c r="BJ297" s="52">
        <f>$BI297+$AM297</f>
        <v>0</v>
      </c>
      <c r="BK297" s="52">
        <f>$BJ297+$AN297</f>
        <v>0</v>
      </c>
      <c r="BL297" s="52">
        <f>$BK297+$AO297</f>
        <v>0</v>
      </c>
      <c r="BM297" s="52">
        <f>$BL297+$AP297</f>
        <v>0</v>
      </c>
      <c r="BN297" s="52">
        <f>$BM297+$AQ297</f>
        <v>0</v>
      </c>
      <c r="BO297" s="52">
        <f>$BN297+$AR297</f>
        <v>0</v>
      </c>
      <c r="BP297" s="52">
        <f>$BO297+$AS297</f>
        <v>0</v>
      </c>
      <c r="BQ297" s="52">
        <f>SUM($T$1:$T296)</f>
        <v>11</v>
      </c>
      <c r="BR297" s="52" t="str">
        <f>IF(ISNUMBER($T297),IF($T297&gt;0,COUNTIF($T$2:$T297,"&gt;0"),""),"")</f>
        <v/>
      </c>
      <c r="BS297" s="52" t="str">
        <f>IF($BR297="","",$BQ297+$T297)</f>
        <v/>
      </c>
      <c r="BT297" s="52" t="str">
        <f>IF($U297="Ready",COUNTIF($U$2:$U297,"Ready"),"")</f>
        <v/>
      </c>
      <c r="BU297" s="52">
        <f>IF(AND($U297="Ready",$C297="Receipt"),IF(COUNTIF(Batches!$A$2:$A$301,$F297)+COUNTIFS($F$1:$F296,$F297,$C$1:$C296,"Receipt",$U$1:$U296,"Ready")=0,1,0),0)</f>
        <v>0</v>
      </c>
      <c r="BV297" s="52" t="str">
        <f>IF($BU297=1,SUM($BU$2:$BU297),"")</f>
        <v/>
      </c>
    </row>
    <row r="298">
      <c r="A298" s="46" t="n"/>
      <c r="B298" s="46" t="n"/>
      <c r="C298" s="46" t="n"/>
      <c r="D298" s="46" t="n"/>
      <c r="E298" s="46" t="n"/>
      <c r="F298" s="46" t="n"/>
      <c r="G298" s="46" t="n"/>
      <c r="H298" s="46" t="n"/>
      <c r="I298" s="46" t="n"/>
      <c r="J298" s="46" t="n"/>
      <c r="K298" s="46" t="n"/>
      <c r="L298" s="46" t="n"/>
      <c r="M298" s="62" t="str">
        <f>IF($B298="","",IF(ISNUMBER($B298),$B298,IF(AND(LEN($B298)=10,MID($B298,5,1)="-",MID($B298,8,1)="-"),IFERROR(IF(AND(MONTH(DATE(VALUE(LEFT($B298,4)),VALUE(MID($B298,6,2)),VALUE(RIGHT($B298,2))))=VALUE(MID($B298,6,2)),DAY(DATE(VALUE(LEFT($B298,4)),VALUE(MID($B298,6,2)),VALUE(RIGHT($B298,2))))=VALUE(RIGHT($B298,2))),DATE(VALUE(LEFT($B298,4)),VALUE(MID($B298,6,2)),VALUE(RIGHT($B298,2))),"ERR"),"ERR"),"ERR")))</f>
        <v/>
      </c>
      <c r="N298" s="62" t="str">
        <f>IF($G298="","",IF(ISNUMBER($G298),$G298,IF(AND(LEN($G298)=10,MID($G298,5,1)="-",MID($G298,8,1)="-"),IFERROR(IF(AND(MONTH(DATE(VALUE(LEFT($G298,4)),VALUE(MID($G298,6,2)),VALUE(RIGHT($G298,2))))=VALUE(MID($G298,6,2)),DAY(DATE(VALUE(LEFT($G298,4)),VALUE(MID($G298,6,2)),VALUE(RIGHT($G298,2))))=VALUE(RIGHT($G298,2))),DATE(VALUE(LEFT($G298,4)),VALUE(MID($G298,6,2)),VALUE(RIGHT($G298,2))),"ERR"),"ERR"),"ERR")))</f>
        <v/>
      </c>
      <c r="O298" s="51" t="str">
        <f>IF($H298="","",IF(ISNUMBER($H298),$H298,IFERROR(VALUE($H298),"ERR")))</f>
        <v/>
      </c>
      <c r="P298" s="51" t="str">
        <f>IF(AND(ISNUMBER($O298),OR($C298="Receipt",$C298="Shipment",$C298="Adjustment")),IF($C298="Shipment",-$O298,$O298),"")</f>
        <v/>
      </c>
      <c r="Q298" s="51" t="str">
        <f>IF($D298="","",IFERROR(INDEX(Products!$R$2:$R$101,MATCH($D298,Products!$A$2:$A$101,0)),""))</f>
        <v/>
      </c>
      <c r="R298" s="51" t="str">
        <f>IF(OR($Q298="",$P298=""),"",$Q298+SUMIFS($P$1:$P297,$D$1:$D297,$D298,$U$1:$U297,"Ready"))</f>
        <v/>
      </c>
      <c r="S298" s="51" t="str">
        <f>IF($R298="","",$R298+$P298)</f>
        <v/>
      </c>
      <c r="T298" s="52" t="str">
        <f>IF(COUNTA($A298:$L298)&gt;0,$BP298,"")</f>
        <v/>
      </c>
      <c r="U298" s="49" t="str">
        <f>IF($T298="","",IF($T298=0,"Ready","Rejected"))</f>
        <v/>
      </c>
      <c r="V298" s="49" t="str">
        <f>IF(OR($T298="",$T298=0),"",INDEX(Config!$D$39:$D$61,MATCH(1,$AT298:$BP298,0))&amp;IF($T298&gt;1," (+"&amp;($T298-1)&amp;" more)",""))</f>
        <v/>
      </c>
      <c r="W298" s="52">
        <f>IF(AND(COUNTA($A298:$L298)&gt;0,$A298=""),1,0)</f>
        <v>0</v>
      </c>
      <c r="X298" s="52">
        <f>IF(AND(COUNTA($A298:$L298)&gt;0,$A298&lt;&gt;""),IF(COUNTIF($A$1:$A297,$A298)&gt;0,1,0),0)</f>
        <v>0</v>
      </c>
      <c r="Y298" s="52">
        <f>IF(AND(COUNTA($A298:$L298)&gt;0,$A298&lt;&gt;""),IF(COUNTIF(Inventory_Ledger!$A$2:$A$2001,$A298)&gt;0,1,0),0)</f>
        <v>0</v>
      </c>
      <c r="Z298" s="52">
        <f>IF(AND(COUNTA($A298:$L298)&gt;0,$B298=""),1,0)</f>
        <v>0</v>
      </c>
      <c r="AA298" s="52">
        <f>IF(AND(COUNTA($A298:$L298)&gt;0,$B298&lt;&gt;""),IF($M298="ERR",1,0),0)</f>
        <v>0</v>
      </c>
      <c r="AB298" s="52">
        <f>IF(AND(COUNTA($A298:$L298)&gt;0,ISNUMBER($M298)),IF($M298&gt;Config!$B$4,1,0),0)</f>
        <v>0</v>
      </c>
      <c r="AC298" s="52">
        <f>IF(AND(COUNTA($A298:$L298)&gt;0,$C298=""),1,0)</f>
        <v>0</v>
      </c>
      <c r="AD298" s="52">
        <f>IF(AND(COUNTA($A298:$L298)&gt;0,$C298&lt;&gt;""),IF(COUNTIF(Config!$A$15:$A$34,$C298)=0,1,0),0)</f>
        <v>0</v>
      </c>
      <c r="AE298" s="52">
        <f>IF(AND(COUNTA($A298:$L298)&gt;0,$D298=""),1,0)</f>
        <v>0</v>
      </c>
      <c r="AF298" s="52">
        <f>IF(AND(COUNTA($A298:$L298)&gt;0,$D298&lt;&gt;""),IF(COUNTIF(Products!$A$2:$A$101,$D298)=0,1,0),0)</f>
        <v>0</v>
      </c>
      <c r="AG298" s="52">
        <f>IF(AND(COUNTA($A298:$L298)&gt;0,$C298="Receipt",$E298=""),1,0)</f>
        <v>0</v>
      </c>
      <c r="AH298" s="52">
        <f>IF(AND(COUNTA($A298:$L298)&gt;0,$E298&lt;&gt;""),IF(COUNTIF(Suppliers!$A$2:$A$51,$E298)=0,1,0),0)</f>
        <v>0</v>
      </c>
      <c r="AI298" s="52">
        <f>IF(AND(COUNTA($A298:$L298)&gt;0,$F298=""),1,0)</f>
        <v>0</v>
      </c>
      <c r="AJ298" s="52">
        <f>IF(AND(COUNTA($A298:$L298)&gt;0,$F298&lt;&gt;"",$D298&lt;&gt;"",OR($C298="Shipment",$C298="Adjustment")),IF($AF298=1,0,IF(COUNTIFS(Batches!$A$2:$A$301,$F298,Batches!$B$2:$B$301,$D298)+COUNTIFS($F$1:$F297,$F298,$D$1:$D297,$D298,$C$1:$C297,"Receipt")=0,1,0)),0)</f>
        <v>0</v>
      </c>
      <c r="AK298" s="52">
        <f>IF(AND(COUNTA($A298:$L298)&gt;0,$C298="Receipt",$G298=""),1,0)</f>
        <v>0</v>
      </c>
      <c r="AL298" s="52">
        <f>IF(AND(COUNTA($A298:$L298)&gt;0,$G298&lt;&gt;""),IF($N298="ERR",1,0),0)</f>
        <v>0</v>
      </c>
      <c r="AM298" s="52">
        <f>IF(AND(COUNTA($A298:$L298)&gt;0,$H298=""),1,0)</f>
        <v>0</v>
      </c>
      <c r="AN298" s="52">
        <f>IF(AND(COUNTA($A298:$L298)&gt;0,$H298&lt;&gt;""),IF($O298="ERR",1,IF(INT($O298)&lt;&gt;$O298,1,IF(AND(OR($C298="Receipt",$C298="Shipment"),$O298&lt;=0),1,IF(AND($C298="Adjustment",$O298=0),1,0)))),0)</f>
        <v>0</v>
      </c>
      <c r="AO298" s="52">
        <f>IF(AND(COUNTA($A298:$L298)&gt;0,$C298="Receipt",$I298=""),1,0)</f>
        <v>0</v>
      </c>
      <c r="AP298" s="52">
        <f>IF(AND(COUNTA($A298:$L298)&gt;0,$I298&lt;&gt;""),IF(IFERROR(INDEX(Config!$G$15:$G$34,MATCH($I298,Config!$E$15:$E$34,0)),"No")="Yes",0,1),0)</f>
        <v>0</v>
      </c>
      <c r="AQ298" s="52">
        <f>IF(AND(COUNTA($A298:$L298)&gt;0,$C298="Adjustment",$J298=""),1,0)</f>
        <v>0</v>
      </c>
      <c r="AR298" s="52">
        <f>IF(AND(COUNTA($A298:$L298)&gt;0,$L298=""),1,0)</f>
        <v>0</v>
      </c>
      <c r="AS298" s="52">
        <f>IF(AND(COUNTA($A298:$L298)&gt;0,ISNUMBER($S298)),IF($S298&lt;0,1,0),0)</f>
        <v>0</v>
      </c>
      <c r="AT298" s="52">
        <f>$W298</f>
        <v>0</v>
      </c>
      <c r="AU298" s="52">
        <f>$AT298+$X298</f>
        <v>0</v>
      </c>
      <c r="AV298" s="52">
        <f>$AU298+$Y298</f>
        <v>0</v>
      </c>
      <c r="AW298" s="52">
        <f>$AV298+$Z298</f>
        <v>0</v>
      </c>
      <c r="AX298" s="52">
        <f>$AW298+$AA298</f>
        <v>0</v>
      </c>
      <c r="AY298" s="52">
        <f>$AX298+$AB298</f>
        <v>0</v>
      </c>
      <c r="AZ298" s="52">
        <f>$AY298+$AC298</f>
        <v>0</v>
      </c>
      <c r="BA298" s="52">
        <f>$AZ298+$AD298</f>
        <v>0</v>
      </c>
      <c r="BB298" s="52">
        <f>$BA298+$AE298</f>
        <v>0</v>
      </c>
      <c r="BC298" s="52">
        <f>$BB298+$AF298</f>
        <v>0</v>
      </c>
      <c r="BD298" s="52">
        <f>$BC298+$AG298</f>
        <v>0</v>
      </c>
      <c r="BE298" s="52">
        <f>$BD298+$AH298</f>
        <v>0</v>
      </c>
      <c r="BF298" s="52">
        <f>$BE298+$AI298</f>
        <v>0</v>
      </c>
      <c r="BG298" s="52">
        <f>$BF298+$AJ298</f>
        <v>0</v>
      </c>
      <c r="BH298" s="52">
        <f>$BG298+$AK298</f>
        <v>0</v>
      </c>
      <c r="BI298" s="52">
        <f>$BH298+$AL298</f>
        <v>0</v>
      </c>
      <c r="BJ298" s="52">
        <f>$BI298+$AM298</f>
        <v>0</v>
      </c>
      <c r="BK298" s="52">
        <f>$BJ298+$AN298</f>
        <v>0</v>
      </c>
      <c r="BL298" s="52">
        <f>$BK298+$AO298</f>
        <v>0</v>
      </c>
      <c r="BM298" s="52">
        <f>$BL298+$AP298</f>
        <v>0</v>
      </c>
      <c r="BN298" s="52">
        <f>$BM298+$AQ298</f>
        <v>0</v>
      </c>
      <c r="BO298" s="52">
        <f>$BN298+$AR298</f>
        <v>0</v>
      </c>
      <c r="BP298" s="52">
        <f>$BO298+$AS298</f>
        <v>0</v>
      </c>
      <c r="BQ298" s="52">
        <f>SUM($T$1:$T297)</f>
        <v>11</v>
      </c>
      <c r="BR298" s="52" t="str">
        <f>IF(ISNUMBER($T298),IF($T298&gt;0,COUNTIF($T$2:$T298,"&gt;0"),""),"")</f>
        <v/>
      </c>
      <c r="BS298" s="52" t="str">
        <f>IF($BR298="","",$BQ298+$T298)</f>
        <v/>
      </c>
      <c r="BT298" s="52" t="str">
        <f>IF($U298="Ready",COUNTIF($U$2:$U298,"Ready"),"")</f>
        <v/>
      </c>
      <c r="BU298" s="52">
        <f>IF(AND($U298="Ready",$C298="Receipt"),IF(COUNTIF(Batches!$A$2:$A$301,$F298)+COUNTIFS($F$1:$F297,$F298,$C$1:$C297,"Receipt",$U$1:$U297,"Ready")=0,1,0),0)</f>
        <v>0</v>
      </c>
      <c r="BV298" s="52" t="str">
        <f>IF($BU298=1,SUM($BU$2:$BU298),"")</f>
        <v/>
      </c>
    </row>
    <row r="299">
      <c r="A299" s="46" t="n"/>
      <c r="B299" s="46" t="n"/>
      <c r="C299" s="46" t="n"/>
      <c r="D299" s="46" t="n"/>
      <c r="E299" s="46" t="n"/>
      <c r="F299" s="46" t="n"/>
      <c r="G299" s="46" t="n"/>
      <c r="H299" s="46" t="n"/>
      <c r="I299" s="46" t="n"/>
      <c r="J299" s="46" t="n"/>
      <c r="K299" s="46" t="n"/>
      <c r="L299" s="46" t="n"/>
      <c r="M299" s="62" t="str">
        <f>IF($B299="","",IF(ISNUMBER($B299),$B299,IF(AND(LEN($B299)=10,MID($B299,5,1)="-",MID($B299,8,1)="-"),IFERROR(IF(AND(MONTH(DATE(VALUE(LEFT($B299,4)),VALUE(MID($B299,6,2)),VALUE(RIGHT($B299,2))))=VALUE(MID($B299,6,2)),DAY(DATE(VALUE(LEFT($B299,4)),VALUE(MID($B299,6,2)),VALUE(RIGHT($B299,2))))=VALUE(RIGHT($B299,2))),DATE(VALUE(LEFT($B299,4)),VALUE(MID($B299,6,2)),VALUE(RIGHT($B299,2))),"ERR"),"ERR"),"ERR")))</f>
        <v/>
      </c>
      <c r="N299" s="62" t="str">
        <f>IF($G299="","",IF(ISNUMBER($G299),$G299,IF(AND(LEN($G299)=10,MID($G299,5,1)="-",MID($G299,8,1)="-"),IFERROR(IF(AND(MONTH(DATE(VALUE(LEFT($G299,4)),VALUE(MID($G299,6,2)),VALUE(RIGHT($G299,2))))=VALUE(MID($G299,6,2)),DAY(DATE(VALUE(LEFT($G299,4)),VALUE(MID($G299,6,2)),VALUE(RIGHT($G299,2))))=VALUE(RIGHT($G299,2))),DATE(VALUE(LEFT($G299,4)),VALUE(MID($G299,6,2)),VALUE(RIGHT($G299,2))),"ERR"),"ERR"),"ERR")))</f>
        <v/>
      </c>
      <c r="O299" s="51" t="str">
        <f>IF($H299="","",IF(ISNUMBER($H299),$H299,IFERROR(VALUE($H299),"ERR")))</f>
        <v/>
      </c>
      <c r="P299" s="51" t="str">
        <f>IF(AND(ISNUMBER($O299),OR($C299="Receipt",$C299="Shipment",$C299="Adjustment")),IF($C299="Shipment",-$O299,$O299),"")</f>
        <v/>
      </c>
      <c r="Q299" s="51" t="str">
        <f>IF($D299="","",IFERROR(INDEX(Products!$R$2:$R$101,MATCH($D299,Products!$A$2:$A$101,0)),""))</f>
        <v/>
      </c>
      <c r="R299" s="51" t="str">
        <f>IF(OR($Q299="",$P299=""),"",$Q299+SUMIFS($P$1:$P298,$D$1:$D298,$D299,$U$1:$U298,"Ready"))</f>
        <v/>
      </c>
      <c r="S299" s="51" t="str">
        <f>IF($R299="","",$R299+$P299)</f>
        <v/>
      </c>
      <c r="T299" s="52" t="str">
        <f>IF(COUNTA($A299:$L299)&gt;0,$BP299,"")</f>
        <v/>
      </c>
      <c r="U299" s="49" t="str">
        <f>IF($T299="","",IF($T299=0,"Ready","Rejected"))</f>
        <v/>
      </c>
      <c r="V299" s="49" t="str">
        <f>IF(OR($T299="",$T299=0),"",INDEX(Config!$D$39:$D$61,MATCH(1,$AT299:$BP299,0))&amp;IF($T299&gt;1," (+"&amp;($T299-1)&amp;" more)",""))</f>
        <v/>
      </c>
      <c r="W299" s="52">
        <f>IF(AND(COUNTA($A299:$L299)&gt;0,$A299=""),1,0)</f>
        <v>0</v>
      </c>
      <c r="X299" s="52">
        <f>IF(AND(COUNTA($A299:$L299)&gt;0,$A299&lt;&gt;""),IF(COUNTIF($A$1:$A298,$A299)&gt;0,1,0),0)</f>
        <v>0</v>
      </c>
      <c r="Y299" s="52">
        <f>IF(AND(COUNTA($A299:$L299)&gt;0,$A299&lt;&gt;""),IF(COUNTIF(Inventory_Ledger!$A$2:$A$2001,$A299)&gt;0,1,0),0)</f>
        <v>0</v>
      </c>
      <c r="Z299" s="52">
        <f>IF(AND(COUNTA($A299:$L299)&gt;0,$B299=""),1,0)</f>
        <v>0</v>
      </c>
      <c r="AA299" s="52">
        <f>IF(AND(COUNTA($A299:$L299)&gt;0,$B299&lt;&gt;""),IF($M299="ERR",1,0),0)</f>
        <v>0</v>
      </c>
      <c r="AB299" s="52">
        <f>IF(AND(COUNTA($A299:$L299)&gt;0,ISNUMBER($M299)),IF($M299&gt;Config!$B$4,1,0),0)</f>
        <v>0</v>
      </c>
      <c r="AC299" s="52">
        <f>IF(AND(COUNTA($A299:$L299)&gt;0,$C299=""),1,0)</f>
        <v>0</v>
      </c>
      <c r="AD299" s="52">
        <f>IF(AND(COUNTA($A299:$L299)&gt;0,$C299&lt;&gt;""),IF(COUNTIF(Config!$A$15:$A$34,$C299)=0,1,0),0)</f>
        <v>0</v>
      </c>
      <c r="AE299" s="52">
        <f>IF(AND(COUNTA($A299:$L299)&gt;0,$D299=""),1,0)</f>
        <v>0</v>
      </c>
      <c r="AF299" s="52">
        <f>IF(AND(COUNTA($A299:$L299)&gt;0,$D299&lt;&gt;""),IF(COUNTIF(Products!$A$2:$A$101,$D299)=0,1,0),0)</f>
        <v>0</v>
      </c>
      <c r="AG299" s="52">
        <f>IF(AND(COUNTA($A299:$L299)&gt;0,$C299="Receipt",$E299=""),1,0)</f>
        <v>0</v>
      </c>
      <c r="AH299" s="52">
        <f>IF(AND(COUNTA($A299:$L299)&gt;0,$E299&lt;&gt;""),IF(COUNTIF(Suppliers!$A$2:$A$51,$E299)=0,1,0),0)</f>
        <v>0</v>
      </c>
      <c r="AI299" s="52">
        <f>IF(AND(COUNTA($A299:$L299)&gt;0,$F299=""),1,0)</f>
        <v>0</v>
      </c>
      <c r="AJ299" s="52">
        <f>IF(AND(COUNTA($A299:$L299)&gt;0,$F299&lt;&gt;"",$D299&lt;&gt;"",OR($C299="Shipment",$C299="Adjustment")),IF($AF299=1,0,IF(COUNTIFS(Batches!$A$2:$A$301,$F299,Batches!$B$2:$B$301,$D299)+COUNTIFS($F$1:$F298,$F299,$D$1:$D298,$D299,$C$1:$C298,"Receipt")=0,1,0)),0)</f>
        <v>0</v>
      </c>
      <c r="AK299" s="52">
        <f>IF(AND(COUNTA($A299:$L299)&gt;0,$C299="Receipt",$G299=""),1,0)</f>
        <v>0</v>
      </c>
      <c r="AL299" s="52">
        <f>IF(AND(COUNTA($A299:$L299)&gt;0,$G299&lt;&gt;""),IF($N299="ERR",1,0),0)</f>
        <v>0</v>
      </c>
      <c r="AM299" s="52">
        <f>IF(AND(COUNTA($A299:$L299)&gt;0,$H299=""),1,0)</f>
        <v>0</v>
      </c>
      <c r="AN299" s="52">
        <f>IF(AND(COUNTA($A299:$L299)&gt;0,$H299&lt;&gt;""),IF($O299="ERR",1,IF(INT($O299)&lt;&gt;$O299,1,IF(AND(OR($C299="Receipt",$C299="Shipment"),$O299&lt;=0),1,IF(AND($C299="Adjustment",$O299=0),1,0)))),0)</f>
        <v>0</v>
      </c>
      <c r="AO299" s="52">
        <f>IF(AND(COUNTA($A299:$L299)&gt;0,$C299="Receipt",$I299=""),1,0)</f>
        <v>0</v>
      </c>
      <c r="AP299" s="52">
        <f>IF(AND(COUNTA($A299:$L299)&gt;0,$I299&lt;&gt;""),IF(IFERROR(INDEX(Config!$G$15:$G$34,MATCH($I299,Config!$E$15:$E$34,0)),"No")="Yes",0,1),0)</f>
        <v>0</v>
      </c>
      <c r="AQ299" s="52">
        <f>IF(AND(COUNTA($A299:$L299)&gt;0,$C299="Adjustment",$J299=""),1,0)</f>
        <v>0</v>
      </c>
      <c r="AR299" s="52">
        <f>IF(AND(COUNTA($A299:$L299)&gt;0,$L299=""),1,0)</f>
        <v>0</v>
      </c>
      <c r="AS299" s="52">
        <f>IF(AND(COUNTA($A299:$L299)&gt;0,ISNUMBER($S299)),IF($S299&lt;0,1,0),0)</f>
        <v>0</v>
      </c>
      <c r="AT299" s="52">
        <f>$W299</f>
        <v>0</v>
      </c>
      <c r="AU299" s="52">
        <f>$AT299+$X299</f>
        <v>0</v>
      </c>
      <c r="AV299" s="52">
        <f>$AU299+$Y299</f>
        <v>0</v>
      </c>
      <c r="AW299" s="52">
        <f>$AV299+$Z299</f>
        <v>0</v>
      </c>
      <c r="AX299" s="52">
        <f>$AW299+$AA299</f>
        <v>0</v>
      </c>
      <c r="AY299" s="52">
        <f>$AX299+$AB299</f>
        <v>0</v>
      </c>
      <c r="AZ299" s="52">
        <f>$AY299+$AC299</f>
        <v>0</v>
      </c>
      <c r="BA299" s="52">
        <f>$AZ299+$AD299</f>
        <v>0</v>
      </c>
      <c r="BB299" s="52">
        <f>$BA299+$AE299</f>
        <v>0</v>
      </c>
      <c r="BC299" s="52">
        <f>$BB299+$AF299</f>
        <v>0</v>
      </c>
      <c r="BD299" s="52">
        <f>$BC299+$AG299</f>
        <v>0</v>
      </c>
      <c r="BE299" s="52">
        <f>$BD299+$AH299</f>
        <v>0</v>
      </c>
      <c r="BF299" s="52">
        <f>$BE299+$AI299</f>
        <v>0</v>
      </c>
      <c r="BG299" s="52">
        <f>$BF299+$AJ299</f>
        <v>0</v>
      </c>
      <c r="BH299" s="52">
        <f>$BG299+$AK299</f>
        <v>0</v>
      </c>
      <c r="BI299" s="52">
        <f>$BH299+$AL299</f>
        <v>0</v>
      </c>
      <c r="BJ299" s="52">
        <f>$BI299+$AM299</f>
        <v>0</v>
      </c>
      <c r="BK299" s="52">
        <f>$BJ299+$AN299</f>
        <v>0</v>
      </c>
      <c r="BL299" s="52">
        <f>$BK299+$AO299</f>
        <v>0</v>
      </c>
      <c r="BM299" s="52">
        <f>$BL299+$AP299</f>
        <v>0</v>
      </c>
      <c r="BN299" s="52">
        <f>$BM299+$AQ299</f>
        <v>0</v>
      </c>
      <c r="BO299" s="52">
        <f>$BN299+$AR299</f>
        <v>0</v>
      </c>
      <c r="BP299" s="52">
        <f>$BO299+$AS299</f>
        <v>0</v>
      </c>
      <c r="BQ299" s="52">
        <f>SUM($T$1:$T298)</f>
        <v>11</v>
      </c>
      <c r="BR299" s="52" t="str">
        <f>IF(ISNUMBER($T299),IF($T299&gt;0,COUNTIF($T$2:$T299,"&gt;0"),""),"")</f>
        <v/>
      </c>
      <c r="BS299" s="52" t="str">
        <f>IF($BR299="","",$BQ299+$T299)</f>
        <v/>
      </c>
      <c r="BT299" s="52" t="str">
        <f>IF($U299="Ready",COUNTIF($U$2:$U299,"Ready"),"")</f>
        <v/>
      </c>
      <c r="BU299" s="52">
        <f>IF(AND($U299="Ready",$C299="Receipt"),IF(COUNTIF(Batches!$A$2:$A$301,$F299)+COUNTIFS($F$1:$F298,$F299,$C$1:$C298,"Receipt",$U$1:$U298,"Ready")=0,1,0),0)</f>
        <v>0</v>
      </c>
      <c r="BV299" s="52" t="str">
        <f>IF($BU299=1,SUM($BU$2:$BU299),"")</f>
        <v/>
      </c>
    </row>
    <row r="300">
      <c r="A300" s="46" t="n"/>
      <c r="B300" s="46" t="n"/>
      <c r="C300" s="46" t="n"/>
      <c r="D300" s="46" t="n"/>
      <c r="E300" s="46" t="n"/>
      <c r="F300" s="46" t="n"/>
      <c r="G300" s="46" t="n"/>
      <c r="H300" s="46" t="n"/>
      <c r="I300" s="46" t="n"/>
      <c r="J300" s="46" t="n"/>
      <c r="K300" s="46" t="n"/>
      <c r="L300" s="46" t="n"/>
      <c r="M300" s="62" t="str">
        <f>IF($B300="","",IF(ISNUMBER($B300),$B300,IF(AND(LEN($B300)=10,MID($B300,5,1)="-",MID($B300,8,1)="-"),IFERROR(IF(AND(MONTH(DATE(VALUE(LEFT($B300,4)),VALUE(MID($B300,6,2)),VALUE(RIGHT($B300,2))))=VALUE(MID($B300,6,2)),DAY(DATE(VALUE(LEFT($B300,4)),VALUE(MID($B300,6,2)),VALUE(RIGHT($B300,2))))=VALUE(RIGHT($B300,2))),DATE(VALUE(LEFT($B300,4)),VALUE(MID($B300,6,2)),VALUE(RIGHT($B300,2))),"ERR"),"ERR"),"ERR")))</f>
        <v/>
      </c>
      <c r="N300" s="62" t="str">
        <f>IF($G300="","",IF(ISNUMBER($G300),$G300,IF(AND(LEN($G300)=10,MID($G300,5,1)="-",MID($G300,8,1)="-"),IFERROR(IF(AND(MONTH(DATE(VALUE(LEFT($G300,4)),VALUE(MID($G300,6,2)),VALUE(RIGHT($G300,2))))=VALUE(MID($G300,6,2)),DAY(DATE(VALUE(LEFT($G300,4)),VALUE(MID($G300,6,2)),VALUE(RIGHT($G300,2))))=VALUE(RIGHT($G300,2))),DATE(VALUE(LEFT($G300,4)),VALUE(MID($G300,6,2)),VALUE(RIGHT($G300,2))),"ERR"),"ERR"),"ERR")))</f>
        <v/>
      </c>
      <c r="O300" s="51" t="str">
        <f>IF($H300="","",IF(ISNUMBER($H300),$H300,IFERROR(VALUE($H300),"ERR")))</f>
        <v/>
      </c>
      <c r="P300" s="51" t="str">
        <f>IF(AND(ISNUMBER($O300),OR($C300="Receipt",$C300="Shipment",$C300="Adjustment")),IF($C300="Shipment",-$O300,$O300),"")</f>
        <v/>
      </c>
      <c r="Q300" s="51" t="str">
        <f>IF($D300="","",IFERROR(INDEX(Products!$R$2:$R$101,MATCH($D300,Products!$A$2:$A$101,0)),""))</f>
        <v/>
      </c>
      <c r="R300" s="51" t="str">
        <f>IF(OR($Q300="",$P300=""),"",$Q300+SUMIFS($P$1:$P299,$D$1:$D299,$D300,$U$1:$U299,"Ready"))</f>
        <v/>
      </c>
      <c r="S300" s="51" t="str">
        <f>IF($R300="","",$R300+$P300)</f>
        <v/>
      </c>
      <c r="T300" s="52" t="str">
        <f>IF(COUNTA($A300:$L300)&gt;0,$BP300,"")</f>
        <v/>
      </c>
      <c r="U300" s="49" t="str">
        <f>IF($T300="","",IF($T300=0,"Ready","Rejected"))</f>
        <v/>
      </c>
      <c r="V300" s="49" t="str">
        <f>IF(OR($T300="",$T300=0),"",INDEX(Config!$D$39:$D$61,MATCH(1,$AT300:$BP300,0))&amp;IF($T300&gt;1," (+"&amp;($T300-1)&amp;" more)",""))</f>
        <v/>
      </c>
      <c r="W300" s="52">
        <f>IF(AND(COUNTA($A300:$L300)&gt;0,$A300=""),1,0)</f>
        <v>0</v>
      </c>
      <c r="X300" s="52">
        <f>IF(AND(COUNTA($A300:$L300)&gt;0,$A300&lt;&gt;""),IF(COUNTIF($A$1:$A299,$A300)&gt;0,1,0),0)</f>
        <v>0</v>
      </c>
      <c r="Y300" s="52">
        <f>IF(AND(COUNTA($A300:$L300)&gt;0,$A300&lt;&gt;""),IF(COUNTIF(Inventory_Ledger!$A$2:$A$2001,$A300)&gt;0,1,0),0)</f>
        <v>0</v>
      </c>
      <c r="Z300" s="52">
        <f>IF(AND(COUNTA($A300:$L300)&gt;0,$B300=""),1,0)</f>
        <v>0</v>
      </c>
      <c r="AA300" s="52">
        <f>IF(AND(COUNTA($A300:$L300)&gt;0,$B300&lt;&gt;""),IF($M300="ERR",1,0),0)</f>
        <v>0</v>
      </c>
      <c r="AB300" s="52">
        <f>IF(AND(COUNTA($A300:$L300)&gt;0,ISNUMBER($M300)),IF($M300&gt;Config!$B$4,1,0),0)</f>
        <v>0</v>
      </c>
      <c r="AC300" s="52">
        <f>IF(AND(COUNTA($A300:$L300)&gt;0,$C300=""),1,0)</f>
        <v>0</v>
      </c>
      <c r="AD300" s="52">
        <f>IF(AND(COUNTA($A300:$L300)&gt;0,$C300&lt;&gt;""),IF(COUNTIF(Config!$A$15:$A$34,$C300)=0,1,0),0)</f>
        <v>0</v>
      </c>
      <c r="AE300" s="52">
        <f>IF(AND(COUNTA($A300:$L300)&gt;0,$D300=""),1,0)</f>
        <v>0</v>
      </c>
      <c r="AF300" s="52">
        <f>IF(AND(COUNTA($A300:$L300)&gt;0,$D300&lt;&gt;""),IF(COUNTIF(Products!$A$2:$A$101,$D300)=0,1,0),0)</f>
        <v>0</v>
      </c>
      <c r="AG300" s="52">
        <f>IF(AND(COUNTA($A300:$L300)&gt;0,$C300="Receipt",$E300=""),1,0)</f>
        <v>0</v>
      </c>
      <c r="AH300" s="52">
        <f>IF(AND(COUNTA($A300:$L300)&gt;0,$E300&lt;&gt;""),IF(COUNTIF(Suppliers!$A$2:$A$51,$E300)=0,1,0),0)</f>
        <v>0</v>
      </c>
      <c r="AI300" s="52">
        <f>IF(AND(COUNTA($A300:$L300)&gt;0,$F300=""),1,0)</f>
        <v>0</v>
      </c>
      <c r="AJ300" s="52">
        <f>IF(AND(COUNTA($A300:$L300)&gt;0,$F300&lt;&gt;"",$D300&lt;&gt;"",OR($C300="Shipment",$C300="Adjustment")),IF($AF300=1,0,IF(COUNTIFS(Batches!$A$2:$A$301,$F300,Batches!$B$2:$B$301,$D300)+COUNTIFS($F$1:$F299,$F300,$D$1:$D299,$D300,$C$1:$C299,"Receipt")=0,1,0)),0)</f>
        <v>0</v>
      </c>
      <c r="AK300" s="52">
        <f>IF(AND(COUNTA($A300:$L300)&gt;0,$C300="Receipt",$G300=""),1,0)</f>
        <v>0</v>
      </c>
      <c r="AL300" s="52">
        <f>IF(AND(COUNTA($A300:$L300)&gt;0,$G300&lt;&gt;""),IF($N300="ERR",1,0),0)</f>
        <v>0</v>
      </c>
      <c r="AM300" s="52">
        <f>IF(AND(COUNTA($A300:$L300)&gt;0,$H300=""),1,0)</f>
        <v>0</v>
      </c>
      <c r="AN300" s="52">
        <f>IF(AND(COUNTA($A300:$L300)&gt;0,$H300&lt;&gt;""),IF($O300="ERR",1,IF(INT($O300)&lt;&gt;$O300,1,IF(AND(OR($C300="Receipt",$C300="Shipment"),$O300&lt;=0),1,IF(AND($C300="Adjustment",$O300=0),1,0)))),0)</f>
        <v>0</v>
      </c>
      <c r="AO300" s="52">
        <f>IF(AND(COUNTA($A300:$L300)&gt;0,$C300="Receipt",$I300=""),1,0)</f>
        <v>0</v>
      </c>
      <c r="AP300" s="52">
        <f>IF(AND(COUNTA($A300:$L300)&gt;0,$I300&lt;&gt;""),IF(IFERROR(INDEX(Config!$G$15:$G$34,MATCH($I300,Config!$E$15:$E$34,0)),"No")="Yes",0,1),0)</f>
        <v>0</v>
      </c>
      <c r="AQ300" s="52">
        <f>IF(AND(COUNTA($A300:$L300)&gt;0,$C300="Adjustment",$J300=""),1,0)</f>
        <v>0</v>
      </c>
      <c r="AR300" s="52">
        <f>IF(AND(COUNTA($A300:$L300)&gt;0,$L300=""),1,0)</f>
        <v>0</v>
      </c>
      <c r="AS300" s="52">
        <f>IF(AND(COUNTA($A300:$L300)&gt;0,ISNUMBER($S300)),IF($S300&lt;0,1,0),0)</f>
        <v>0</v>
      </c>
      <c r="AT300" s="52">
        <f>$W300</f>
        <v>0</v>
      </c>
      <c r="AU300" s="52">
        <f>$AT300+$X300</f>
        <v>0</v>
      </c>
      <c r="AV300" s="52">
        <f>$AU300+$Y300</f>
        <v>0</v>
      </c>
      <c r="AW300" s="52">
        <f>$AV300+$Z300</f>
        <v>0</v>
      </c>
      <c r="AX300" s="52">
        <f>$AW300+$AA300</f>
        <v>0</v>
      </c>
      <c r="AY300" s="52">
        <f>$AX300+$AB300</f>
        <v>0</v>
      </c>
      <c r="AZ300" s="52">
        <f>$AY300+$AC300</f>
        <v>0</v>
      </c>
      <c r="BA300" s="52">
        <f>$AZ300+$AD300</f>
        <v>0</v>
      </c>
      <c r="BB300" s="52">
        <f>$BA300+$AE300</f>
        <v>0</v>
      </c>
      <c r="BC300" s="52">
        <f>$BB300+$AF300</f>
        <v>0</v>
      </c>
      <c r="BD300" s="52">
        <f>$BC300+$AG300</f>
        <v>0</v>
      </c>
      <c r="BE300" s="52">
        <f>$BD300+$AH300</f>
        <v>0</v>
      </c>
      <c r="BF300" s="52">
        <f>$BE300+$AI300</f>
        <v>0</v>
      </c>
      <c r="BG300" s="52">
        <f>$BF300+$AJ300</f>
        <v>0</v>
      </c>
      <c r="BH300" s="52">
        <f>$BG300+$AK300</f>
        <v>0</v>
      </c>
      <c r="BI300" s="52">
        <f>$BH300+$AL300</f>
        <v>0</v>
      </c>
      <c r="BJ300" s="52">
        <f>$BI300+$AM300</f>
        <v>0</v>
      </c>
      <c r="BK300" s="52">
        <f>$BJ300+$AN300</f>
        <v>0</v>
      </c>
      <c r="BL300" s="52">
        <f>$BK300+$AO300</f>
        <v>0</v>
      </c>
      <c r="BM300" s="52">
        <f>$BL300+$AP300</f>
        <v>0</v>
      </c>
      <c r="BN300" s="52">
        <f>$BM300+$AQ300</f>
        <v>0</v>
      </c>
      <c r="BO300" s="52">
        <f>$BN300+$AR300</f>
        <v>0</v>
      </c>
      <c r="BP300" s="52">
        <f>$BO300+$AS300</f>
        <v>0</v>
      </c>
      <c r="BQ300" s="52">
        <f>SUM($T$1:$T299)</f>
        <v>11</v>
      </c>
      <c r="BR300" s="52" t="str">
        <f>IF(ISNUMBER($T300),IF($T300&gt;0,COUNTIF($T$2:$T300,"&gt;0"),""),"")</f>
        <v/>
      </c>
      <c r="BS300" s="52" t="str">
        <f>IF($BR300="","",$BQ300+$T300)</f>
        <v/>
      </c>
      <c r="BT300" s="52" t="str">
        <f>IF($U300="Ready",COUNTIF($U$2:$U300,"Ready"),"")</f>
        <v/>
      </c>
      <c r="BU300" s="52">
        <f>IF(AND($U300="Ready",$C300="Receipt"),IF(COUNTIF(Batches!$A$2:$A$301,$F300)+COUNTIFS($F$1:$F299,$F300,$C$1:$C299,"Receipt",$U$1:$U299,"Ready")=0,1,0),0)</f>
        <v>0</v>
      </c>
      <c r="BV300" s="52" t="str">
        <f>IF($BU300=1,SUM($BU$2:$BU300),"")</f>
        <v/>
      </c>
    </row>
    <row r="301">
      <c r="A301" s="46" t="n"/>
      <c r="B301" s="46" t="n"/>
      <c r="C301" s="46" t="n"/>
      <c r="D301" s="46" t="n"/>
      <c r="E301" s="46" t="n"/>
      <c r="F301" s="46" t="n"/>
      <c r="G301" s="46" t="n"/>
      <c r="H301" s="46" t="n"/>
      <c r="I301" s="46" t="n"/>
      <c r="J301" s="46" t="n"/>
      <c r="K301" s="46" t="n"/>
      <c r="L301" s="46" t="n"/>
      <c r="M301" s="62" t="str">
        <f>IF($B301="","",IF(ISNUMBER($B301),$B301,IF(AND(LEN($B301)=10,MID($B301,5,1)="-",MID($B301,8,1)="-"),IFERROR(IF(AND(MONTH(DATE(VALUE(LEFT($B301,4)),VALUE(MID($B301,6,2)),VALUE(RIGHT($B301,2))))=VALUE(MID($B301,6,2)),DAY(DATE(VALUE(LEFT($B301,4)),VALUE(MID($B301,6,2)),VALUE(RIGHT($B301,2))))=VALUE(RIGHT($B301,2))),DATE(VALUE(LEFT($B301,4)),VALUE(MID($B301,6,2)),VALUE(RIGHT($B301,2))),"ERR"),"ERR"),"ERR")))</f>
        <v/>
      </c>
      <c r="N301" s="62" t="str">
        <f>IF($G301="","",IF(ISNUMBER($G301),$G301,IF(AND(LEN($G301)=10,MID($G301,5,1)="-",MID($G301,8,1)="-"),IFERROR(IF(AND(MONTH(DATE(VALUE(LEFT($G301,4)),VALUE(MID($G301,6,2)),VALUE(RIGHT($G301,2))))=VALUE(MID($G301,6,2)),DAY(DATE(VALUE(LEFT($G301,4)),VALUE(MID($G301,6,2)),VALUE(RIGHT($G301,2))))=VALUE(RIGHT($G301,2))),DATE(VALUE(LEFT($G301,4)),VALUE(MID($G301,6,2)),VALUE(RIGHT($G301,2))),"ERR"),"ERR"),"ERR")))</f>
        <v/>
      </c>
      <c r="O301" s="51" t="str">
        <f>IF($H301="","",IF(ISNUMBER($H301),$H301,IFERROR(VALUE($H301),"ERR")))</f>
        <v/>
      </c>
      <c r="P301" s="51" t="str">
        <f>IF(AND(ISNUMBER($O301),OR($C301="Receipt",$C301="Shipment",$C301="Adjustment")),IF($C301="Shipment",-$O301,$O301),"")</f>
        <v/>
      </c>
      <c r="Q301" s="51" t="str">
        <f>IF($D301="","",IFERROR(INDEX(Products!$R$2:$R$101,MATCH($D301,Products!$A$2:$A$101,0)),""))</f>
        <v/>
      </c>
      <c r="R301" s="51" t="str">
        <f>IF(OR($Q301="",$P301=""),"",$Q301+SUMIFS($P$1:$P300,$D$1:$D300,$D301,$U$1:$U300,"Ready"))</f>
        <v/>
      </c>
      <c r="S301" s="51" t="str">
        <f>IF($R301="","",$R301+$P301)</f>
        <v/>
      </c>
      <c r="T301" s="52" t="str">
        <f>IF(COUNTA($A301:$L301)&gt;0,$BP301,"")</f>
        <v/>
      </c>
      <c r="U301" s="49" t="str">
        <f>IF($T301="","",IF($T301=0,"Ready","Rejected"))</f>
        <v/>
      </c>
      <c r="V301" s="49" t="str">
        <f>IF(OR($T301="",$T301=0),"",INDEX(Config!$D$39:$D$61,MATCH(1,$AT301:$BP301,0))&amp;IF($T301&gt;1," (+"&amp;($T301-1)&amp;" more)",""))</f>
        <v/>
      </c>
      <c r="W301" s="52">
        <f>IF(AND(COUNTA($A301:$L301)&gt;0,$A301=""),1,0)</f>
        <v>0</v>
      </c>
      <c r="X301" s="52">
        <f>IF(AND(COUNTA($A301:$L301)&gt;0,$A301&lt;&gt;""),IF(COUNTIF($A$1:$A300,$A301)&gt;0,1,0),0)</f>
        <v>0</v>
      </c>
      <c r="Y301" s="52">
        <f>IF(AND(COUNTA($A301:$L301)&gt;0,$A301&lt;&gt;""),IF(COUNTIF(Inventory_Ledger!$A$2:$A$2001,$A301)&gt;0,1,0),0)</f>
        <v>0</v>
      </c>
      <c r="Z301" s="52">
        <f>IF(AND(COUNTA($A301:$L301)&gt;0,$B301=""),1,0)</f>
        <v>0</v>
      </c>
      <c r="AA301" s="52">
        <f>IF(AND(COUNTA($A301:$L301)&gt;0,$B301&lt;&gt;""),IF($M301="ERR",1,0),0)</f>
        <v>0</v>
      </c>
      <c r="AB301" s="52">
        <f>IF(AND(COUNTA($A301:$L301)&gt;0,ISNUMBER($M301)),IF($M301&gt;Config!$B$4,1,0),0)</f>
        <v>0</v>
      </c>
      <c r="AC301" s="52">
        <f>IF(AND(COUNTA($A301:$L301)&gt;0,$C301=""),1,0)</f>
        <v>0</v>
      </c>
      <c r="AD301" s="52">
        <f>IF(AND(COUNTA($A301:$L301)&gt;0,$C301&lt;&gt;""),IF(COUNTIF(Config!$A$15:$A$34,$C301)=0,1,0),0)</f>
        <v>0</v>
      </c>
      <c r="AE301" s="52">
        <f>IF(AND(COUNTA($A301:$L301)&gt;0,$D301=""),1,0)</f>
        <v>0</v>
      </c>
      <c r="AF301" s="52">
        <f>IF(AND(COUNTA($A301:$L301)&gt;0,$D301&lt;&gt;""),IF(COUNTIF(Products!$A$2:$A$101,$D301)=0,1,0),0)</f>
        <v>0</v>
      </c>
      <c r="AG301" s="52">
        <f>IF(AND(COUNTA($A301:$L301)&gt;0,$C301="Receipt",$E301=""),1,0)</f>
        <v>0</v>
      </c>
      <c r="AH301" s="52">
        <f>IF(AND(COUNTA($A301:$L301)&gt;0,$E301&lt;&gt;""),IF(COUNTIF(Suppliers!$A$2:$A$51,$E301)=0,1,0),0)</f>
        <v>0</v>
      </c>
      <c r="AI301" s="52">
        <f>IF(AND(COUNTA($A301:$L301)&gt;0,$F301=""),1,0)</f>
        <v>0</v>
      </c>
      <c r="AJ301" s="52">
        <f>IF(AND(COUNTA($A301:$L301)&gt;0,$F301&lt;&gt;"",$D301&lt;&gt;"",OR($C301="Shipment",$C301="Adjustment")),IF($AF301=1,0,IF(COUNTIFS(Batches!$A$2:$A$301,$F301,Batches!$B$2:$B$301,$D301)+COUNTIFS($F$1:$F300,$F301,$D$1:$D300,$D301,$C$1:$C300,"Receipt")=0,1,0)),0)</f>
        <v>0</v>
      </c>
      <c r="AK301" s="52">
        <f>IF(AND(COUNTA($A301:$L301)&gt;0,$C301="Receipt",$G301=""),1,0)</f>
        <v>0</v>
      </c>
      <c r="AL301" s="52">
        <f>IF(AND(COUNTA($A301:$L301)&gt;0,$G301&lt;&gt;""),IF($N301="ERR",1,0),0)</f>
        <v>0</v>
      </c>
      <c r="AM301" s="52">
        <f>IF(AND(COUNTA($A301:$L301)&gt;0,$H301=""),1,0)</f>
        <v>0</v>
      </c>
      <c r="AN301" s="52">
        <f>IF(AND(COUNTA($A301:$L301)&gt;0,$H301&lt;&gt;""),IF($O301="ERR",1,IF(INT($O301)&lt;&gt;$O301,1,IF(AND(OR($C301="Receipt",$C301="Shipment"),$O301&lt;=0),1,IF(AND($C301="Adjustment",$O301=0),1,0)))),0)</f>
        <v>0</v>
      </c>
      <c r="AO301" s="52">
        <f>IF(AND(COUNTA($A301:$L301)&gt;0,$C301="Receipt",$I301=""),1,0)</f>
        <v>0</v>
      </c>
      <c r="AP301" s="52">
        <f>IF(AND(COUNTA($A301:$L301)&gt;0,$I301&lt;&gt;""),IF(IFERROR(INDEX(Config!$G$15:$G$34,MATCH($I301,Config!$E$15:$E$34,0)),"No")="Yes",0,1),0)</f>
        <v>0</v>
      </c>
      <c r="AQ301" s="52">
        <f>IF(AND(COUNTA($A301:$L301)&gt;0,$C301="Adjustment",$J301=""),1,0)</f>
        <v>0</v>
      </c>
      <c r="AR301" s="52">
        <f>IF(AND(COUNTA($A301:$L301)&gt;0,$L301=""),1,0)</f>
        <v>0</v>
      </c>
      <c r="AS301" s="52">
        <f>IF(AND(COUNTA($A301:$L301)&gt;0,ISNUMBER($S301)),IF($S301&lt;0,1,0),0)</f>
        <v>0</v>
      </c>
      <c r="AT301" s="52">
        <f>$W301</f>
        <v>0</v>
      </c>
      <c r="AU301" s="52">
        <f>$AT301+$X301</f>
        <v>0</v>
      </c>
      <c r="AV301" s="52">
        <f>$AU301+$Y301</f>
        <v>0</v>
      </c>
      <c r="AW301" s="52">
        <f>$AV301+$Z301</f>
        <v>0</v>
      </c>
      <c r="AX301" s="52">
        <f>$AW301+$AA301</f>
        <v>0</v>
      </c>
      <c r="AY301" s="52">
        <f>$AX301+$AB301</f>
        <v>0</v>
      </c>
      <c r="AZ301" s="52">
        <f>$AY301+$AC301</f>
        <v>0</v>
      </c>
      <c r="BA301" s="52">
        <f>$AZ301+$AD301</f>
        <v>0</v>
      </c>
      <c r="BB301" s="52">
        <f>$BA301+$AE301</f>
        <v>0</v>
      </c>
      <c r="BC301" s="52">
        <f>$BB301+$AF301</f>
        <v>0</v>
      </c>
      <c r="BD301" s="52">
        <f>$BC301+$AG301</f>
        <v>0</v>
      </c>
      <c r="BE301" s="52">
        <f>$BD301+$AH301</f>
        <v>0</v>
      </c>
      <c r="BF301" s="52">
        <f>$BE301+$AI301</f>
        <v>0</v>
      </c>
      <c r="BG301" s="52">
        <f>$BF301+$AJ301</f>
        <v>0</v>
      </c>
      <c r="BH301" s="52">
        <f>$BG301+$AK301</f>
        <v>0</v>
      </c>
      <c r="BI301" s="52">
        <f>$BH301+$AL301</f>
        <v>0</v>
      </c>
      <c r="BJ301" s="52">
        <f>$BI301+$AM301</f>
        <v>0</v>
      </c>
      <c r="BK301" s="52">
        <f>$BJ301+$AN301</f>
        <v>0</v>
      </c>
      <c r="BL301" s="52">
        <f>$BK301+$AO301</f>
        <v>0</v>
      </c>
      <c r="BM301" s="52">
        <f>$BL301+$AP301</f>
        <v>0</v>
      </c>
      <c r="BN301" s="52">
        <f>$BM301+$AQ301</f>
        <v>0</v>
      </c>
      <c r="BO301" s="52">
        <f>$BN301+$AR301</f>
        <v>0</v>
      </c>
      <c r="BP301" s="52">
        <f>$BO301+$AS301</f>
        <v>0</v>
      </c>
      <c r="BQ301" s="52">
        <f>SUM($T$1:$T300)</f>
        <v>11</v>
      </c>
      <c r="BR301" s="52" t="str">
        <f>IF(ISNUMBER($T301),IF($T301&gt;0,COUNTIF($T$2:$T301,"&gt;0"),""),"")</f>
        <v/>
      </c>
      <c r="BS301" s="52" t="str">
        <f>IF($BR301="","",$BQ301+$T301)</f>
        <v/>
      </c>
      <c r="BT301" s="52" t="str">
        <f>IF($U301="Ready",COUNTIF($U$2:$U301,"Ready"),"")</f>
        <v/>
      </c>
      <c r="BU301" s="52">
        <f>IF(AND($U301="Ready",$C301="Receipt"),IF(COUNTIF(Batches!$A$2:$A$301,$F301)+COUNTIFS($F$1:$F300,$F301,$C$1:$C300,"Receipt",$U$1:$U300,"Ready")=0,1,0),0)</f>
        <v>0</v>
      </c>
      <c r="BV301" s="52" t="str">
        <f>IF($BU301=1,SUM($BU$2:$BU301),"")</f>
        <v/>
      </c>
    </row>
  </sheetData>
  <sheetProtection selectLockedCells="0" selectUnlockedCells="0" sheet="1" objects="0" insertRows="1" insertHyperlinks="1" autoFilter="0" scenarios="0" formatColumns="0" deleteColumns="1" insertColumns="1" pivotTables="1" deleteRows="1" formatCells="1" formatRows="0" sort="0"/>
  <autoFilter ref="A1:BV301"/>
  <conditionalFormatting sqref="A2:BV301">
    <cfRule type="expression" priority="1" dxfId="0">
      <formula>$U2="Rejected"</formula>
    </cfRule>
    <cfRule type="expression" priority="2" dxfId="5">
      <formula>$U2="Ready"</formula>
    </cfRule>
  </conditionalFormatting>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B7791F"/>
    <outlinePr summaryBelow="1" summaryRight="1"/>
    <pageSetUpPr/>
  </sheetPr>
  <dimension ref="A1:J305"/>
  <sheetViews>
    <sheetView workbookViewId="0">
      <pane ySplit="5" topLeftCell="A6" activePane="bottomLeft" state="frozen"/>
      <selection pane="bottomLeft" activeCell="A1" sqref="A1"/>
    </sheetView>
  </sheetViews>
  <sheetFormatPr baseColWidth="8" defaultRowHeight="15"/>
  <cols>
    <col width="5" customWidth="1" min="1" max="1"/>
    <col width="8" customWidth="1" min="2" max="2"/>
    <col width="13" customWidth="1" min="3" max="3"/>
    <col width="12" customWidth="1" min="4" max="4"/>
    <col width="22" customWidth="1" min="5" max="5"/>
    <col width="70" customWidth="1" min="6" max="6"/>
    <col width="50" customWidth="1" min="7" max="7"/>
    <col hidden="1" width="6" customWidth="1" min="8" max="8"/>
    <col hidden="1" width="6" customWidth="1" min="9" max="9"/>
    <col hidden="1" width="6" customWidth="1" min="10" max="10"/>
  </cols>
  <sheetData>
    <row r="1">
      <c r="A1" s="1" t="inlineStr">
        <is>
          <t>Import exceptions</t>
        </is>
      </c>
    </row>
    <row r="2">
      <c r="A2" s="16" t="str">
        <f>"File: "&amp;Config!$B$11&amp;"   ·   Rows are the line numbers of the CSV file and of Import_Staging (header = row 1)."</f>
        <v>File: warehouse-movements-2026-10-14.csv   ·   Rows are the line numbers of the CSV file and of Import_Staging (header = row 1).</v>
      </c>
    </row>
    <row r="3" ht="28" customHeight="1">
      <c r="C3" s="63" t="inlineStr">
        <is>
          <t>Rows staged</t>
        </is>
      </c>
      <c r="D3" s="63" t="inlineStr">
        <is>
          <t>Ready to post</t>
        </is>
      </c>
      <c r="E3" s="63" t="inlineStr">
        <is>
          <t>Rejected</t>
        </is>
      </c>
      <c r="F3" s="63" t="inlineStr">
        <is>
          <t>Exceptions</t>
        </is>
      </c>
    </row>
    <row r="4">
      <c r="C4" s="64">
        <f>COUNTIF(Import_Staging!$U$2:$U$301,"Ready")+COUNTIF(Import_Staging!$U$2:$U$301,"Rejected")</f>
        <v>18</v>
      </c>
      <c r="D4" s="64">
        <f>COUNTIF(Import_Staging!$U$2:$U$301,"Ready")</f>
        <v>8</v>
      </c>
      <c r="E4" s="64">
        <f>COUNTIF(Import_Staging!$U$2:$U$301,"Rejected")</f>
        <v>10</v>
      </c>
      <c r="F4" s="64">
        <f>SUM(Import_Staging!$T$2:$T$301)</f>
        <v>11</v>
      </c>
    </row>
    <row r="5">
      <c r="A5" s="23" t="inlineStr">
        <is>
          <t>#</t>
        </is>
      </c>
      <c r="B5" s="23" t="inlineStr">
        <is>
          <t>CSV row</t>
        </is>
      </c>
      <c r="C5" s="23" t="inlineStr">
        <is>
          <t>movement_id</t>
        </is>
      </c>
      <c r="D5" s="23" t="inlineStr">
        <is>
          <t>Field</t>
        </is>
      </c>
      <c r="E5" s="23" t="inlineStr">
        <is>
          <t>Issue</t>
        </is>
      </c>
      <c r="F5" s="23" t="inlineStr">
        <is>
          <t>Message</t>
        </is>
      </c>
      <c r="G5" s="23" t="inlineStr">
        <is>
          <t>What to do</t>
        </is>
      </c>
      <c r="H5" s="45" t="inlineStr">
        <is>
          <t>pos</t>
        </is>
      </c>
      <c r="I5" s="45" t="inlineStr">
        <is>
          <t>n in row</t>
        </is>
      </c>
      <c r="J5" s="45" t="inlineStr">
        <is>
          <t>check no.</t>
        </is>
      </c>
    </row>
    <row r="6">
      <c r="A6" s="65">
        <f>IF(1&lt;=$F$4,1,"")</f>
        <v>1</v>
      </c>
      <c r="B6" s="65">
        <f>IF($A6="","",$H6+1)</f>
        <v>6</v>
      </c>
      <c r="C6" s="66" t="str">
        <f>IF($A6="","",INDEX(Import_Staging!$A$2:$A$301,$H6)&amp;"")</f>
        <v>MV-2610-017</v>
      </c>
      <c r="D6" s="66" t="str">
        <f>IF($A6="","",INDEX(Config!$C$39:$C$61,$J6))</f>
        <v>movement_id</v>
      </c>
      <c r="E6" s="66" t="str">
        <f>IF($A6="","",INDEX(Config!$D$39:$D$61,$J6))</f>
        <v>Duplicate ID</v>
      </c>
      <c r="F6" s="67" t="str">
        <f>IF($A6="","",IFERROR(CHOOSE($J6,"movement_id is empty. Every row needs a unique movement ID.","movement_id "&amp;INDEX(Import_Staging!$A$2:$A$301,$H6)&amp;""&amp;" appears earlier in this file (row "&amp;IFERROR(MATCH(INDEX(Import_Staging!$A$2:$A$301,$H6),Import_Staging!$A$2:$A$301,0)+1,"?")&amp;"). Only the first row can be posted.","movement_id "&amp;INDEX(Import_Staging!$A$2:$A$301,$H6)&amp;""&amp;" is already in Inventory_Ledger. The ledger row was not changed.","date is empty.","date "&amp;""""&amp;INDEX(Import_Staging!$B$2:$B$301,$H6)&amp;""&amp;""""&amp;" is not a real date in yyyy-mm-dd format.","date "&amp;TEXT(INDEX(Import_Staging!$M$2:$M$301,$H6),"yyyy-mm-dd")&amp;" is after the as-of date "&amp;TEXT(Config!$B$4,"yyyy-mm-dd")&amp;".","type is empty.","type "&amp;""""&amp;INDEX(Import_Staging!$C$2:$C$301,$H6)&amp;""&amp;""""&amp;" is not a movement type listed on Config.","sku is empty.","SKU "&amp;INDEX(Import_Staging!$D$2:$D$301,$H6)&amp;""&amp;" is not in Products.","supplier_id is empty; receipts need the supplier.","Supplier "&amp;INDEX(Import_Staging!$E$2:$E$301,$H6)&amp;""&amp;" is not in Suppliers.","lot is empty; every movement needs its lot code.","Lot "&amp;INDEX(Import_Staging!$F$2:$F$301,$H6)&amp;""&amp;" is not recorded for "&amp;INDEX(Import_Staging!$D$2:$D$301,$H6)&amp;""&amp;" in Batches.","expiry is empty; receipts need the company-supplied expiry date.","expiry "&amp;""""&amp;INDEX(Import_Staging!$G$2:$G$301,$H6)&amp;""&amp;""""&amp;" is not a real date in yyyy-mm-dd format.","qty is empty.","qty "&amp;""""&amp;INDEX(Import_Staging!$H$2:$H$301,$H6)&amp;""&amp;""""&amp;" is not a valid quantity"&amp;IF(INDEX(Import_Staging!$C$2:$C$301,$H6)&amp;""="",""," for a "&amp;LOWER(INDEX(Import_Staging!$C$2:$C$301,$H6)&amp;""))&amp;".","lot_status is empty; receipts need a lot status.","lot_status "&amp;""""&amp;INDEX(Import_Staging!$I$2:$I$301,$H6)&amp;""&amp;""""&amp;" is not a lot status allowed on receipt (Config).","reason is empty; adjustments need a reason.","source_link is empty; every movement needs a link to its source document.","This row would take recorded stock of "&amp;INDEX(Import_Staging!$D$2:$D$301,$H6)&amp;""&amp;" from "&amp;INDEX(Import_Staging!$R$2:$R$301,$H6)&amp;" to "&amp;INDEX(Import_Staging!$S$2:$S$301,$H6)&amp;"."),$E6))</f>
        <v>movement_id MV-2610-017 appears earlier in this file (row 5). Only the first row can be posted.</v>
      </c>
      <c r="G6" s="67" t="str">
        <f>IF($A6="","",INDEX(Config!$F$39:$F$61,$J6))</f>
        <v>Give the row its own ID, or delete it if it repeats an earlier row.</v>
      </c>
      <c r="H6" s="66">
        <f>IF($A6="","",MATCH(COUNTIF(Import_Staging!$BS$2:$BS$301,"&lt;"&amp;$A6)+1,Import_Staging!$BR$2:$BR$301,0))</f>
        <v>5</v>
      </c>
      <c r="I6" s="66">
        <f>IF($A6="","",$A6-INDEX(Import_Staging!$BQ$2:$BQ$301,$H6))</f>
        <v>1</v>
      </c>
      <c r="J6" s="66">
        <f>IF($A6="","",MATCH($I6,INDEX(Import_Staging!$AT$2:$BP$301,$H6,0),0))</f>
        <v>2</v>
      </c>
    </row>
    <row r="7">
      <c r="A7" s="65">
        <f>IF(2&lt;=$F$4,2,"")</f>
        <v>2</v>
      </c>
      <c r="B7" s="65">
        <f>IF($A7="","",$H7+1)</f>
        <v>7</v>
      </c>
      <c r="C7" s="66" t="str">
        <f>IF($A7="","",INDEX(Import_Staging!$A$2:$A$301,$H7)&amp;"")</f>
        <v>MV-2610-004</v>
      </c>
      <c r="D7" s="66" t="str">
        <f>IF($A7="","",INDEX(Config!$C$39:$C$61,$J7))</f>
        <v>movement_id</v>
      </c>
      <c r="E7" s="66" t="str">
        <f>IF($A7="","",INDEX(Config!$D$39:$D$61,$J7))</f>
        <v>Duplicate ID</v>
      </c>
      <c r="F7" s="67" t="str">
        <f>IF($A7="","",IFERROR(CHOOSE($J7,"movement_id is empty. Every row needs a unique movement ID.","movement_id "&amp;INDEX(Import_Staging!$A$2:$A$301,$H7)&amp;""&amp;" appears earlier in this file (row "&amp;IFERROR(MATCH(INDEX(Import_Staging!$A$2:$A$301,$H7),Import_Staging!$A$2:$A$301,0)+1,"?")&amp;"). Only the first row can be posted.","movement_id "&amp;INDEX(Import_Staging!$A$2:$A$301,$H7)&amp;""&amp;" is already in Inventory_Ledger. The ledger row was not changed.","date is empty.","date "&amp;""""&amp;INDEX(Import_Staging!$B$2:$B$301,$H7)&amp;""&amp;""""&amp;" is not a real date in yyyy-mm-dd format.","date "&amp;TEXT(INDEX(Import_Staging!$M$2:$M$301,$H7),"yyyy-mm-dd")&amp;" is after the as-of date "&amp;TEXT(Config!$B$4,"yyyy-mm-dd")&amp;".","type is empty.","type "&amp;""""&amp;INDEX(Import_Staging!$C$2:$C$301,$H7)&amp;""&amp;""""&amp;" is not a movement type listed on Config.","sku is empty.","SKU "&amp;INDEX(Import_Staging!$D$2:$D$301,$H7)&amp;""&amp;" is not in Products.","supplier_id is empty; receipts need the supplier.","Supplier "&amp;INDEX(Import_Staging!$E$2:$E$301,$H7)&amp;""&amp;" is not in Suppliers.","lot is empty; every movement needs its lot code.","Lot "&amp;INDEX(Import_Staging!$F$2:$F$301,$H7)&amp;""&amp;" is not recorded for "&amp;INDEX(Import_Staging!$D$2:$D$301,$H7)&amp;""&amp;" in Batches.","expiry is empty; receipts need the company-supplied expiry date.","expiry "&amp;""""&amp;INDEX(Import_Staging!$G$2:$G$301,$H7)&amp;""&amp;""""&amp;" is not a real date in yyyy-mm-dd format.","qty is empty.","qty "&amp;""""&amp;INDEX(Import_Staging!$H$2:$H$301,$H7)&amp;""&amp;""""&amp;" is not a valid quantity"&amp;IF(INDEX(Import_Staging!$C$2:$C$301,$H7)&amp;""="",""," for a "&amp;LOWER(INDEX(Import_Staging!$C$2:$C$301,$H7)&amp;""))&amp;".","lot_status is empty; receipts need a lot status.","lot_status "&amp;""""&amp;INDEX(Import_Staging!$I$2:$I$301,$H7)&amp;""&amp;""""&amp;" is not a lot status allowed on receipt (Config).","reason is empty; adjustments need a reason.","source_link is empty; every movement needs a link to its source document.","This row would take recorded stock of "&amp;INDEX(Import_Staging!$D$2:$D$301,$H7)&amp;""&amp;" from "&amp;INDEX(Import_Staging!$R$2:$R$301,$H7)&amp;" to "&amp;INDEX(Import_Staging!$S$2:$S$301,$H7)&amp;"."),$E7))</f>
        <v>movement_id MV-2610-004 is already in Inventory_Ledger. The ledger row was not changed.</v>
      </c>
      <c r="G7" s="67" t="str">
        <f>IF($A7="","",INDEX(Config!$F$39:$F$61,$J7))</f>
        <v>Delete the row if it was posted before; a new movement needs a new ID.</v>
      </c>
      <c r="H7" s="66">
        <f>IF($A7="","",MATCH(COUNTIF(Import_Staging!$BS$2:$BS$301,"&lt;"&amp;$A7)+1,Import_Staging!$BR$2:$BR$301,0))</f>
        <v>6</v>
      </c>
      <c r="I7" s="66">
        <f>IF($A7="","",$A7-INDEX(Import_Staging!$BQ$2:$BQ$301,$H7))</f>
        <v>1</v>
      </c>
      <c r="J7" s="66">
        <f>IF($A7="","",MATCH($I7,INDEX(Import_Staging!$AT$2:$BP$301,$H7,0),0))</f>
        <v>3</v>
      </c>
    </row>
    <row r="8">
      <c r="A8" s="65">
        <f>IF(3&lt;=$F$4,3,"")</f>
        <v>3</v>
      </c>
      <c r="B8" s="65">
        <f>IF($A8="","",$H8+1)</f>
        <v>8</v>
      </c>
      <c r="C8" s="66" t="str">
        <f>IF($A8="","",INDEX(Import_Staging!$A$2:$A$301,$H8)&amp;"")</f>
        <v>MV-2610-018</v>
      </c>
      <c r="D8" s="66" t="str">
        <f>IF($A8="","",INDEX(Config!$C$39:$C$61,$J8))</f>
        <v>sku</v>
      </c>
      <c r="E8" s="66" t="str">
        <f>IF($A8="","",INDEX(Config!$D$39:$D$61,$J8))</f>
        <v>Unknown product</v>
      </c>
      <c r="F8" s="67" t="str">
        <f>IF($A8="","",IFERROR(CHOOSE($J8,"movement_id is empty. Every row needs a unique movement ID.","movement_id "&amp;INDEX(Import_Staging!$A$2:$A$301,$H8)&amp;""&amp;" appears earlier in this file (row "&amp;IFERROR(MATCH(INDEX(Import_Staging!$A$2:$A$301,$H8),Import_Staging!$A$2:$A$301,0)+1,"?")&amp;"). Only the first row can be posted.","movement_id "&amp;INDEX(Import_Staging!$A$2:$A$301,$H8)&amp;""&amp;" is already in Inventory_Ledger. The ledger row was not changed.","date is empty.","date "&amp;""""&amp;INDEX(Import_Staging!$B$2:$B$301,$H8)&amp;""&amp;""""&amp;" is not a real date in yyyy-mm-dd format.","date "&amp;TEXT(INDEX(Import_Staging!$M$2:$M$301,$H8),"yyyy-mm-dd")&amp;" is after the as-of date "&amp;TEXT(Config!$B$4,"yyyy-mm-dd")&amp;".","type is empty.","type "&amp;""""&amp;INDEX(Import_Staging!$C$2:$C$301,$H8)&amp;""&amp;""""&amp;" is not a movement type listed on Config.","sku is empty.","SKU "&amp;INDEX(Import_Staging!$D$2:$D$301,$H8)&amp;""&amp;" is not in Products.","supplier_id is empty; receipts need the supplier.","Supplier "&amp;INDEX(Import_Staging!$E$2:$E$301,$H8)&amp;""&amp;" is not in Suppliers.","lot is empty; every movement needs its lot code.","Lot "&amp;INDEX(Import_Staging!$F$2:$F$301,$H8)&amp;""&amp;" is not recorded for "&amp;INDEX(Import_Staging!$D$2:$D$301,$H8)&amp;""&amp;" in Batches.","expiry is empty; receipts need the company-supplied expiry date.","expiry "&amp;""""&amp;INDEX(Import_Staging!$G$2:$G$301,$H8)&amp;""&amp;""""&amp;" is not a real date in yyyy-mm-dd format.","qty is empty.","qty "&amp;""""&amp;INDEX(Import_Staging!$H$2:$H$301,$H8)&amp;""&amp;""""&amp;" is not a valid quantity"&amp;IF(INDEX(Import_Staging!$C$2:$C$301,$H8)&amp;""="",""," for a "&amp;LOWER(INDEX(Import_Staging!$C$2:$C$301,$H8)&amp;""))&amp;".","lot_status is empty; receipts need a lot status.","lot_status "&amp;""""&amp;INDEX(Import_Staging!$I$2:$I$301,$H8)&amp;""&amp;""""&amp;" is not a lot status allowed on receipt (Config).","reason is empty; adjustments need a reason.","source_link is empty; every movement needs a link to its source document.","This row would take recorded stock of "&amp;INDEX(Import_Staging!$D$2:$D$301,$H8)&amp;""&amp;" from "&amp;INDEX(Import_Staging!$R$2:$R$301,$H8)&amp;" to "&amp;INDEX(Import_Staging!$S$2:$S$301,$H8)&amp;"."),$E8))</f>
        <v>SKU WPI-STR-2LB is not in Products.</v>
      </c>
      <c r="G8" s="67" t="str">
        <f>IF($A8="","",INDEX(Config!$F$39:$F$61,$J8))</f>
        <v>Add the product in Products first, or correct the SKU.</v>
      </c>
      <c r="H8" s="66">
        <f>IF($A8="","",MATCH(COUNTIF(Import_Staging!$BS$2:$BS$301,"&lt;"&amp;$A8)+1,Import_Staging!$BR$2:$BR$301,0))</f>
        <v>7</v>
      </c>
      <c r="I8" s="66">
        <f>IF($A8="","",$A8-INDEX(Import_Staging!$BQ$2:$BQ$301,$H8))</f>
        <v>1</v>
      </c>
      <c r="J8" s="66">
        <f>IF($A8="","",MATCH($I8,INDEX(Import_Staging!$AT$2:$BP$301,$H8,0),0))</f>
        <v>10</v>
      </c>
    </row>
    <row r="9">
      <c r="A9" s="65">
        <f>IF(4&lt;=$F$4,4,"")</f>
        <v>4</v>
      </c>
      <c r="B9" s="65">
        <f>IF($A9="","",$H9+1)</f>
        <v>9</v>
      </c>
      <c r="C9" s="66" t="str">
        <f>IF($A9="","",INDEX(Import_Staging!$A$2:$A$301,$H9)&amp;"")</f>
        <v>MV-2610-019</v>
      </c>
      <c r="D9" s="66" t="str">
        <f>IF($A9="","",INDEX(Config!$C$39:$C$61,$J9))</f>
        <v>supplier_id</v>
      </c>
      <c r="E9" s="66" t="str">
        <f>IF($A9="","",INDEX(Config!$D$39:$D$61,$J9))</f>
        <v>Unknown supplier</v>
      </c>
      <c r="F9" s="67" t="str">
        <f>IF($A9="","",IFERROR(CHOOSE($J9,"movement_id is empty. Every row needs a unique movement ID.","movement_id "&amp;INDEX(Import_Staging!$A$2:$A$301,$H9)&amp;""&amp;" appears earlier in this file (row "&amp;IFERROR(MATCH(INDEX(Import_Staging!$A$2:$A$301,$H9),Import_Staging!$A$2:$A$301,0)+1,"?")&amp;"). Only the first row can be posted.","movement_id "&amp;INDEX(Import_Staging!$A$2:$A$301,$H9)&amp;""&amp;" is already in Inventory_Ledger. The ledger row was not changed.","date is empty.","date "&amp;""""&amp;INDEX(Import_Staging!$B$2:$B$301,$H9)&amp;""&amp;""""&amp;" is not a real date in yyyy-mm-dd format.","date "&amp;TEXT(INDEX(Import_Staging!$M$2:$M$301,$H9),"yyyy-mm-dd")&amp;" is after the as-of date "&amp;TEXT(Config!$B$4,"yyyy-mm-dd")&amp;".","type is empty.","type "&amp;""""&amp;INDEX(Import_Staging!$C$2:$C$301,$H9)&amp;""&amp;""""&amp;" is not a movement type listed on Config.","sku is empty.","SKU "&amp;INDEX(Import_Staging!$D$2:$D$301,$H9)&amp;""&amp;" is not in Products.","supplier_id is empty; receipts need the supplier.","Supplier "&amp;INDEX(Import_Staging!$E$2:$E$301,$H9)&amp;""&amp;" is not in Suppliers.","lot is empty; every movement needs its lot code.","Lot "&amp;INDEX(Import_Staging!$F$2:$F$301,$H9)&amp;""&amp;" is not recorded for "&amp;INDEX(Import_Staging!$D$2:$D$301,$H9)&amp;""&amp;" in Batches.","expiry is empty; receipts need the company-supplied expiry date.","expiry "&amp;""""&amp;INDEX(Import_Staging!$G$2:$G$301,$H9)&amp;""&amp;""""&amp;" is not a real date in yyyy-mm-dd format.","qty is empty.","qty "&amp;""""&amp;INDEX(Import_Staging!$H$2:$H$301,$H9)&amp;""&amp;""""&amp;" is not a valid quantity"&amp;IF(INDEX(Import_Staging!$C$2:$C$301,$H9)&amp;""="",""," for a "&amp;LOWER(INDEX(Import_Staging!$C$2:$C$301,$H9)&amp;""))&amp;".","lot_status is empty; receipts need a lot status.","lot_status "&amp;""""&amp;INDEX(Import_Staging!$I$2:$I$301,$H9)&amp;""&amp;""""&amp;" is not a lot status allowed on receipt (Config).","reason is empty; adjustments need a reason.","source_link is empty; every movement needs a link to its source document.","This row would take recorded stock of "&amp;INDEX(Import_Staging!$D$2:$D$301,$H9)&amp;""&amp;" from "&amp;INDEX(Import_Staging!$R$2:$R$301,$H9)&amp;" to "&amp;INDEX(Import_Staging!$S$2:$S$301,$H9)&amp;"."),$E9))</f>
        <v>Supplier SUP-09 is not in Suppliers.</v>
      </c>
      <c r="G9" s="67" t="str">
        <f>IF($A9="","",INDEX(Config!$F$39:$F$61,$J9))</f>
        <v>Add the supplier in Suppliers first, or correct the ID.</v>
      </c>
      <c r="H9" s="66">
        <f>IF($A9="","",MATCH(COUNTIF(Import_Staging!$BS$2:$BS$301,"&lt;"&amp;$A9)+1,Import_Staging!$BR$2:$BR$301,0))</f>
        <v>8</v>
      </c>
      <c r="I9" s="66">
        <f>IF($A9="","",$A9-INDEX(Import_Staging!$BQ$2:$BQ$301,$H9))</f>
        <v>1</v>
      </c>
      <c r="J9" s="66">
        <f>IF($A9="","",MATCH($I9,INDEX(Import_Staging!$AT$2:$BP$301,$H9,0),0))</f>
        <v>12</v>
      </c>
    </row>
    <row r="10">
      <c r="A10" s="65">
        <f>IF(5&lt;=$F$4,5,"")</f>
        <v>5</v>
      </c>
      <c r="B10" s="65">
        <f>IF($A10="","",$H10+1)</f>
        <v>9</v>
      </c>
      <c r="C10" s="66" t="str">
        <f>IF($A10="","",INDEX(Import_Staging!$A$2:$A$301,$H10)&amp;"")</f>
        <v>MV-2610-019</v>
      </c>
      <c r="D10" s="66" t="str">
        <f>IF($A10="","",INDEX(Config!$C$39:$C$61,$J10))</f>
        <v>expiry</v>
      </c>
      <c r="E10" s="66" t="str">
        <f>IF($A10="","",INDEX(Config!$D$39:$D$61,$J10))</f>
        <v>Invalid date</v>
      </c>
      <c r="F10" s="67" t="str">
        <f>IF($A10="","",IFERROR(CHOOSE($J10,"movement_id is empty. Every row needs a unique movement ID.","movement_id "&amp;INDEX(Import_Staging!$A$2:$A$301,$H10)&amp;""&amp;" appears earlier in this file (row "&amp;IFERROR(MATCH(INDEX(Import_Staging!$A$2:$A$301,$H10),Import_Staging!$A$2:$A$301,0)+1,"?")&amp;"). Only the first row can be posted.","movement_id "&amp;INDEX(Import_Staging!$A$2:$A$301,$H10)&amp;""&amp;" is already in Inventory_Ledger. The ledger row was not changed.","date is empty.","date "&amp;""""&amp;INDEX(Import_Staging!$B$2:$B$301,$H10)&amp;""&amp;""""&amp;" is not a real date in yyyy-mm-dd format.","date "&amp;TEXT(INDEX(Import_Staging!$M$2:$M$301,$H10),"yyyy-mm-dd")&amp;" is after the as-of date "&amp;TEXT(Config!$B$4,"yyyy-mm-dd")&amp;".","type is empty.","type "&amp;""""&amp;INDEX(Import_Staging!$C$2:$C$301,$H10)&amp;""&amp;""""&amp;" is not a movement type listed on Config.","sku is empty.","SKU "&amp;INDEX(Import_Staging!$D$2:$D$301,$H10)&amp;""&amp;" is not in Products.","supplier_id is empty; receipts need the supplier.","Supplier "&amp;INDEX(Import_Staging!$E$2:$E$301,$H10)&amp;""&amp;" is not in Suppliers.","lot is empty; every movement needs its lot code.","Lot "&amp;INDEX(Import_Staging!$F$2:$F$301,$H10)&amp;""&amp;" is not recorded for "&amp;INDEX(Import_Staging!$D$2:$D$301,$H10)&amp;""&amp;" in Batches.","expiry is empty; receipts need the company-supplied expiry date.","expiry "&amp;""""&amp;INDEX(Import_Staging!$G$2:$G$301,$H10)&amp;""&amp;""""&amp;" is not a real date in yyyy-mm-dd format.","qty is empty.","qty "&amp;""""&amp;INDEX(Import_Staging!$H$2:$H$301,$H10)&amp;""&amp;""""&amp;" is not a valid quantity"&amp;IF(INDEX(Import_Staging!$C$2:$C$301,$H10)&amp;""="",""," for a "&amp;LOWER(INDEX(Import_Staging!$C$2:$C$301,$H10)&amp;""))&amp;".","lot_status is empty; receipts need a lot status.","lot_status "&amp;""""&amp;INDEX(Import_Staging!$I$2:$I$301,$H10)&amp;""&amp;""""&amp;" is not a lot status allowed on receipt (Config).","reason is empty; adjustments need a reason.","source_link is empty; every movement needs a link to its source document.","This row would take recorded stock of "&amp;INDEX(Import_Staging!$D$2:$D$301,$H10)&amp;""&amp;" from "&amp;INDEX(Import_Staging!$R$2:$R$301,$H10)&amp;" to "&amp;INDEX(Import_Staging!$S$2:$S$301,$H10)&amp;"."),$E10))</f>
        <v>expiry "2028-02-30" is not a real date in yyyy-mm-dd format.</v>
      </c>
      <c r="G10" s="67" t="str">
        <f>IF($A10="","",INDEX(Config!$F$39:$F$61,$J10))</f>
        <v>Fix the expiry date (yyyy-mm-dd).</v>
      </c>
      <c r="H10" s="66">
        <f>IF($A10="","",MATCH(COUNTIF(Import_Staging!$BS$2:$BS$301,"&lt;"&amp;$A10)+1,Import_Staging!$BR$2:$BR$301,0))</f>
        <v>8</v>
      </c>
      <c r="I10" s="66">
        <f>IF($A10="","",$A10-INDEX(Import_Staging!$BQ$2:$BQ$301,$H10))</f>
        <v>2</v>
      </c>
      <c r="J10" s="66">
        <f>IF($A10="","",MATCH($I10,INDEX(Import_Staging!$AT$2:$BP$301,$H10,0),0))</f>
        <v>16</v>
      </c>
    </row>
    <row r="11">
      <c r="A11" s="65">
        <f>IF(6&lt;=$F$4,6,"")</f>
        <v>6</v>
      </c>
      <c r="B11" s="65">
        <f>IF($A11="","",$H11+1)</f>
        <v>10</v>
      </c>
      <c r="C11" s="66" t="str">
        <f>IF($A11="","",INDEX(Import_Staging!$A$2:$A$301,$H11)&amp;"")</f>
        <v>MV-2610-020</v>
      </c>
      <c r="D11" s="66" t="str">
        <f>IF($A11="","",INDEX(Config!$C$39:$C$61,$J11))</f>
        <v>date</v>
      </c>
      <c r="E11" s="66" t="str">
        <f>IF($A11="","",INDEX(Config!$D$39:$D$61,$J11))</f>
        <v>Invalid date</v>
      </c>
      <c r="F11" s="67" t="str">
        <f>IF($A11="","",IFERROR(CHOOSE($J11,"movement_id is empty. Every row needs a unique movement ID.","movement_id "&amp;INDEX(Import_Staging!$A$2:$A$301,$H11)&amp;""&amp;" appears earlier in this file (row "&amp;IFERROR(MATCH(INDEX(Import_Staging!$A$2:$A$301,$H11),Import_Staging!$A$2:$A$301,0)+1,"?")&amp;"). Only the first row can be posted.","movement_id "&amp;INDEX(Import_Staging!$A$2:$A$301,$H11)&amp;""&amp;" is already in Inventory_Ledger. The ledger row was not changed.","date is empty.","date "&amp;""""&amp;INDEX(Import_Staging!$B$2:$B$301,$H11)&amp;""&amp;""""&amp;" is not a real date in yyyy-mm-dd format.","date "&amp;TEXT(INDEX(Import_Staging!$M$2:$M$301,$H11),"yyyy-mm-dd")&amp;" is after the as-of date "&amp;TEXT(Config!$B$4,"yyyy-mm-dd")&amp;".","type is empty.","type "&amp;""""&amp;INDEX(Import_Staging!$C$2:$C$301,$H11)&amp;""&amp;""""&amp;" is not a movement type listed on Config.","sku is empty.","SKU "&amp;INDEX(Import_Staging!$D$2:$D$301,$H11)&amp;""&amp;" is not in Products.","supplier_id is empty; receipts need the supplier.","Supplier "&amp;INDEX(Import_Staging!$E$2:$E$301,$H11)&amp;""&amp;" is not in Suppliers.","lot is empty; every movement needs its lot code.","Lot "&amp;INDEX(Import_Staging!$F$2:$F$301,$H11)&amp;""&amp;" is not recorded for "&amp;INDEX(Import_Staging!$D$2:$D$301,$H11)&amp;""&amp;" in Batches.","expiry is empty; receipts need the company-supplied expiry date.","expiry "&amp;""""&amp;INDEX(Import_Staging!$G$2:$G$301,$H11)&amp;""&amp;""""&amp;" is not a real date in yyyy-mm-dd format.","qty is empty.","qty "&amp;""""&amp;INDEX(Import_Staging!$H$2:$H$301,$H11)&amp;""&amp;""""&amp;" is not a valid quantity"&amp;IF(INDEX(Import_Staging!$C$2:$C$301,$H11)&amp;""="",""," for a "&amp;LOWER(INDEX(Import_Staging!$C$2:$C$301,$H11)&amp;""))&amp;".","lot_status is empty; receipts need a lot status.","lot_status "&amp;""""&amp;INDEX(Import_Staging!$I$2:$I$301,$H11)&amp;""&amp;""""&amp;" is not a lot status allowed on receipt (Config).","reason is empty; adjustments need a reason.","source_link is empty; every movement needs a link to its source document.","This row would take recorded stock of "&amp;INDEX(Import_Staging!$D$2:$D$301,$H11)&amp;""&amp;" from "&amp;INDEX(Import_Staging!$R$2:$R$301,$H11)&amp;" to "&amp;INDEX(Import_Staging!$S$2:$S$301,$H11)&amp;"."),$E11))</f>
        <v>date "2026-09-31" is not a real date in yyyy-mm-dd format.</v>
      </c>
      <c r="G11" s="67" t="str">
        <f>IF($A11="","",INDEX(Config!$F$39:$F$61,$J11))</f>
        <v>Fix the date (yyyy-mm-dd).</v>
      </c>
      <c r="H11" s="66">
        <f>IF($A11="","",MATCH(COUNTIF(Import_Staging!$BS$2:$BS$301,"&lt;"&amp;$A11)+1,Import_Staging!$BR$2:$BR$301,0))</f>
        <v>9</v>
      </c>
      <c r="I11" s="66">
        <f>IF($A11="","",$A11-INDEX(Import_Staging!$BQ$2:$BQ$301,$H11))</f>
        <v>1</v>
      </c>
      <c r="J11" s="66">
        <f>IF($A11="","",MATCH($I11,INDEX(Import_Staging!$AT$2:$BP$301,$H11,0),0))</f>
        <v>5</v>
      </c>
    </row>
    <row r="12">
      <c r="A12" s="65">
        <f>IF(7&lt;=$F$4,7,"")</f>
        <v>7</v>
      </c>
      <c r="B12" s="65">
        <f>IF($A12="","",$H12+1)</f>
        <v>11</v>
      </c>
      <c r="C12" s="66" t="str">
        <f>IF($A12="","",INDEX(Import_Staging!$A$2:$A$301,$H12)&amp;"")</f>
        <v>MV-2610-021</v>
      </c>
      <c r="D12" s="66" t="str">
        <f>IF($A12="","",INDEX(Config!$C$39:$C$61,$J12))</f>
        <v>qty</v>
      </c>
      <c r="E12" s="66" t="str">
        <f>IF($A12="","",INDEX(Config!$D$39:$D$61,$J12))</f>
        <v>Negative inventory</v>
      </c>
      <c r="F12" s="67" t="str">
        <f>IF($A12="","",IFERROR(CHOOSE($J12,"movement_id is empty. Every row needs a unique movement ID.","movement_id "&amp;INDEX(Import_Staging!$A$2:$A$301,$H12)&amp;""&amp;" appears earlier in this file (row "&amp;IFERROR(MATCH(INDEX(Import_Staging!$A$2:$A$301,$H12),Import_Staging!$A$2:$A$301,0)+1,"?")&amp;"). Only the first row can be posted.","movement_id "&amp;INDEX(Import_Staging!$A$2:$A$301,$H12)&amp;""&amp;" is already in Inventory_Ledger. The ledger row was not changed.","date is empty.","date "&amp;""""&amp;INDEX(Import_Staging!$B$2:$B$301,$H12)&amp;""&amp;""""&amp;" is not a real date in yyyy-mm-dd format.","date "&amp;TEXT(INDEX(Import_Staging!$M$2:$M$301,$H12),"yyyy-mm-dd")&amp;" is after the as-of date "&amp;TEXT(Config!$B$4,"yyyy-mm-dd")&amp;".","type is empty.","type "&amp;""""&amp;INDEX(Import_Staging!$C$2:$C$301,$H12)&amp;""&amp;""""&amp;" is not a movement type listed on Config.","sku is empty.","SKU "&amp;INDEX(Import_Staging!$D$2:$D$301,$H12)&amp;""&amp;" is not in Products.","supplier_id is empty; receipts need the supplier.","Supplier "&amp;INDEX(Import_Staging!$E$2:$E$301,$H12)&amp;""&amp;" is not in Suppliers.","lot is empty; every movement needs its lot code.","Lot "&amp;INDEX(Import_Staging!$F$2:$F$301,$H12)&amp;""&amp;" is not recorded for "&amp;INDEX(Import_Staging!$D$2:$D$301,$H12)&amp;""&amp;" in Batches.","expiry is empty; receipts need the company-supplied expiry date.","expiry "&amp;""""&amp;INDEX(Import_Staging!$G$2:$G$301,$H12)&amp;""&amp;""""&amp;" is not a real date in yyyy-mm-dd format.","qty is empty.","qty "&amp;""""&amp;INDEX(Import_Staging!$H$2:$H$301,$H12)&amp;""&amp;""""&amp;" is not a valid quantity"&amp;IF(INDEX(Import_Staging!$C$2:$C$301,$H12)&amp;""="",""," for a "&amp;LOWER(INDEX(Import_Staging!$C$2:$C$301,$H12)&amp;""))&amp;".","lot_status is empty; receipts need a lot status.","lot_status "&amp;""""&amp;INDEX(Import_Staging!$I$2:$I$301,$H12)&amp;""&amp;""""&amp;" is not a lot status allowed on receipt (Config).","reason is empty; adjustments need a reason.","source_link is empty; every movement needs a link to its source document.","This row would take recorded stock of "&amp;INDEX(Import_Staging!$D$2:$D$301,$H12)&amp;""&amp;" from "&amp;INDEX(Import_Staging!$R$2:$R$301,$H12)&amp;" to "&amp;INDEX(Import_Staging!$S$2:$S$301,$H12)&amp;"."),$E12))</f>
        <v>This row would take recorded stock of CRE-UNF-500G from 290 to -610.</v>
      </c>
      <c r="G12" s="67" t="str">
        <f>IF($A12="","",INDEX(Config!$F$39:$F$61,$J12))</f>
        <v>Check the quantity and sign against the warehouse count before posting.</v>
      </c>
      <c r="H12" s="66">
        <f>IF($A12="","",MATCH(COUNTIF(Import_Staging!$BS$2:$BS$301,"&lt;"&amp;$A12)+1,Import_Staging!$BR$2:$BR$301,0))</f>
        <v>10</v>
      </c>
      <c r="I12" s="66">
        <f>IF($A12="","",$A12-INDEX(Import_Staging!$BQ$2:$BQ$301,$H12))</f>
        <v>1</v>
      </c>
      <c r="J12" s="66">
        <f>IF($A12="","",MATCH($I12,INDEX(Import_Staging!$AT$2:$BP$301,$H12,0),0))</f>
        <v>23</v>
      </c>
    </row>
    <row r="13">
      <c r="A13" s="65">
        <f>IF(8&lt;=$F$4,8,"")</f>
        <v>8</v>
      </c>
      <c r="B13" s="65">
        <f>IF($A13="","",$H13+1)</f>
        <v>12</v>
      </c>
      <c r="C13" s="66" t="str">
        <f>IF($A13="","",INDEX(Import_Staging!$A$2:$A$301,$H13)&amp;"")</f>
        <v>MV-2610-022</v>
      </c>
      <c r="D13" s="66" t="str">
        <f>IF($A13="","",INDEX(Config!$C$39:$C$61,$J13))</f>
        <v>lot_status</v>
      </c>
      <c r="E13" s="66" t="str">
        <f>IF($A13="","",INDEX(Config!$D$39:$D$61,$J13))</f>
        <v>Unsupported status</v>
      </c>
      <c r="F13" s="67" t="str">
        <f>IF($A13="","",IFERROR(CHOOSE($J13,"movement_id is empty. Every row needs a unique movement ID.","movement_id "&amp;INDEX(Import_Staging!$A$2:$A$301,$H13)&amp;""&amp;" appears earlier in this file (row "&amp;IFERROR(MATCH(INDEX(Import_Staging!$A$2:$A$301,$H13),Import_Staging!$A$2:$A$301,0)+1,"?")&amp;"). Only the first row can be posted.","movement_id "&amp;INDEX(Import_Staging!$A$2:$A$301,$H13)&amp;""&amp;" is already in Inventory_Ledger. The ledger row was not changed.","date is empty.","date "&amp;""""&amp;INDEX(Import_Staging!$B$2:$B$301,$H13)&amp;""&amp;""""&amp;" is not a real date in yyyy-mm-dd format.","date "&amp;TEXT(INDEX(Import_Staging!$M$2:$M$301,$H13),"yyyy-mm-dd")&amp;" is after the as-of date "&amp;TEXT(Config!$B$4,"yyyy-mm-dd")&amp;".","type is empty.","type "&amp;""""&amp;INDEX(Import_Staging!$C$2:$C$301,$H13)&amp;""&amp;""""&amp;" is not a movement type listed on Config.","sku is empty.","SKU "&amp;INDEX(Import_Staging!$D$2:$D$301,$H13)&amp;""&amp;" is not in Products.","supplier_id is empty; receipts need the supplier.","Supplier "&amp;INDEX(Import_Staging!$E$2:$E$301,$H13)&amp;""&amp;" is not in Suppliers.","lot is empty; every movement needs its lot code.","Lot "&amp;INDEX(Import_Staging!$F$2:$F$301,$H13)&amp;""&amp;" is not recorded for "&amp;INDEX(Import_Staging!$D$2:$D$301,$H13)&amp;""&amp;" in Batches.","expiry is empty; receipts need the company-supplied expiry date.","expiry "&amp;""""&amp;INDEX(Import_Staging!$G$2:$G$301,$H13)&amp;""&amp;""""&amp;" is not a real date in yyyy-mm-dd format.","qty is empty.","qty "&amp;""""&amp;INDEX(Import_Staging!$H$2:$H$301,$H13)&amp;""&amp;""""&amp;" is not a valid quantity"&amp;IF(INDEX(Import_Staging!$C$2:$C$301,$H13)&amp;""="",""," for a "&amp;LOWER(INDEX(Import_Staging!$C$2:$C$301,$H13)&amp;""))&amp;".","lot_status is empty; receipts need a lot status.","lot_status "&amp;""""&amp;INDEX(Import_Staging!$I$2:$I$301,$H13)&amp;""&amp;""""&amp;" is not a lot status allowed on receipt (Config).","reason is empty; adjustments need a reason.","source_link is empty; every movement needs a link to its source document.","This row would take recorded stock of "&amp;INDEX(Import_Staging!$D$2:$D$301,$H13)&amp;""&amp;" from "&amp;INDEX(Import_Staging!$R$2:$R$301,$H13)&amp;" to "&amp;INDEX(Import_Staging!$S$2:$S$301,$H13)&amp;"."),$E13))</f>
        <v>lot_status "Approved" is not a lot status allowed on receipt (Config).</v>
      </c>
      <c r="G13" s="67" t="str">
        <f>IF($A13="","",INDEX(Config!$F$39:$F$61,$J13))</f>
        <v>Use a lot status allowed on receipt (Config), or add it there first.</v>
      </c>
      <c r="H13" s="66">
        <f>IF($A13="","",MATCH(COUNTIF(Import_Staging!$BS$2:$BS$301,"&lt;"&amp;$A13)+1,Import_Staging!$BR$2:$BR$301,0))</f>
        <v>11</v>
      </c>
      <c r="I13" s="66">
        <f>IF($A13="","",$A13-INDEX(Import_Staging!$BQ$2:$BQ$301,$H13))</f>
        <v>1</v>
      </c>
      <c r="J13" s="66">
        <f>IF($A13="","",MATCH($I13,INDEX(Import_Staging!$AT$2:$BP$301,$H13,0),0))</f>
        <v>20</v>
      </c>
    </row>
    <row r="14">
      <c r="A14" s="65">
        <f>IF(9&lt;=$F$4,9,"")</f>
        <v>9</v>
      </c>
      <c r="B14" s="65">
        <f>IF($A14="","",$H14+1)</f>
        <v>13</v>
      </c>
      <c r="C14" s="66" t="str">
        <f>IF($A14="","",INDEX(Import_Staging!$A$2:$A$301,$H14)&amp;"")</f>
        <v>MV-2610-023</v>
      </c>
      <c r="D14" s="66" t="str">
        <f>IF($A14="","",INDEX(Config!$C$39:$C$61,$J14))</f>
        <v>source_link</v>
      </c>
      <c r="E14" s="66" t="str">
        <f>IF($A14="","",INDEX(Config!$D$39:$D$61,$J14))</f>
        <v>Missing source link</v>
      </c>
      <c r="F14" s="67" t="str">
        <f>IF($A14="","",IFERROR(CHOOSE($J14,"movement_id is empty. Every row needs a unique movement ID.","movement_id "&amp;INDEX(Import_Staging!$A$2:$A$301,$H14)&amp;""&amp;" appears earlier in this file (row "&amp;IFERROR(MATCH(INDEX(Import_Staging!$A$2:$A$301,$H14),Import_Staging!$A$2:$A$301,0)+1,"?")&amp;"). Only the first row can be posted.","movement_id "&amp;INDEX(Import_Staging!$A$2:$A$301,$H14)&amp;""&amp;" is already in Inventory_Ledger. The ledger row was not changed.","date is empty.","date "&amp;""""&amp;INDEX(Import_Staging!$B$2:$B$301,$H14)&amp;""&amp;""""&amp;" is not a real date in yyyy-mm-dd format.","date "&amp;TEXT(INDEX(Import_Staging!$M$2:$M$301,$H14),"yyyy-mm-dd")&amp;" is after the as-of date "&amp;TEXT(Config!$B$4,"yyyy-mm-dd")&amp;".","type is empty.","type "&amp;""""&amp;INDEX(Import_Staging!$C$2:$C$301,$H14)&amp;""&amp;""""&amp;" is not a movement type listed on Config.","sku is empty.","SKU "&amp;INDEX(Import_Staging!$D$2:$D$301,$H14)&amp;""&amp;" is not in Products.","supplier_id is empty; receipts need the supplier.","Supplier "&amp;INDEX(Import_Staging!$E$2:$E$301,$H14)&amp;""&amp;" is not in Suppliers.","lot is empty; every movement needs its lot code.","Lot "&amp;INDEX(Import_Staging!$F$2:$F$301,$H14)&amp;""&amp;" is not recorded for "&amp;INDEX(Import_Staging!$D$2:$D$301,$H14)&amp;""&amp;" in Batches.","expiry is empty; receipts need the company-supplied expiry date.","expiry "&amp;""""&amp;INDEX(Import_Staging!$G$2:$G$301,$H14)&amp;""&amp;""""&amp;" is not a real date in yyyy-mm-dd format.","qty is empty.","qty "&amp;""""&amp;INDEX(Import_Staging!$H$2:$H$301,$H14)&amp;""&amp;""""&amp;" is not a valid quantity"&amp;IF(INDEX(Import_Staging!$C$2:$C$301,$H14)&amp;""="",""," for a "&amp;LOWER(INDEX(Import_Staging!$C$2:$C$301,$H14)&amp;""))&amp;".","lot_status is empty; receipts need a lot status.","lot_status "&amp;""""&amp;INDEX(Import_Staging!$I$2:$I$301,$H14)&amp;""&amp;""""&amp;" is not a lot status allowed on receipt (Config).","reason is empty; adjustments need a reason.","source_link is empty; every movement needs a link to its source document.","This row would take recorded stock of "&amp;INDEX(Import_Staging!$D$2:$D$301,$H14)&amp;""&amp;" from "&amp;INDEX(Import_Staging!$R$2:$R$301,$H14)&amp;" to "&amp;INDEX(Import_Staging!$S$2:$S$301,$H14)&amp;"."),$E14))</f>
        <v>source_link is empty; every movement needs a link to its source document.</v>
      </c>
      <c r="G14" s="67" t="str">
        <f>IF($A14="","",INDEX(Config!$F$39:$F$61,$J14))</f>
        <v>Add the link to the source document.</v>
      </c>
      <c r="H14" s="66">
        <f>IF($A14="","",MATCH(COUNTIF(Import_Staging!$BS$2:$BS$301,"&lt;"&amp;$A14)+1,Import_Staging!$BR$2:$BR$301,0))</f>
        <v>12</v>
      </c>
      <c r="I14" s="66">
        <f>IF($A14="","",$A14-INDEX(Import_Staging!$BQ$2:$BQ$301,$H14))</f>
        <v>1</v>
      </c>
      <c r="J14" s="66">
        <f>IF($A14="","",MATCH($I14,INDEX(Import_Staging!$AT$2:$BP$301,$H14,0),0))</f>
        <v>22</v>
      </c>
    </row>
    <row r="15">
      <c r="A15" s="65">
        <f>IF(10&lt;=$F$4,10,"")</f>
        <v>10</v>
      </c>
      <c r="B15" s="65">
        <f>IF($A15="","",$H15+1)</f>
        <v>14</v>
      </c>
      <c r="C15" s="66" t="str">
        <f>IF($A15="","",INDEX(Import_Staging!$A$2:$A$301,$H15)&amp;"")</f>
        <v>MV-2610-024</v>
      </c>
      <c r="D15" s="66" t="str">
        <f>IF($A15="","",INDEX(Config!$C$39:$C$61,$J15))</f>
        <v>lot</v>
      </c>
      <c r="E15" s="66" t="str">
        <f>IF($A15="","",INDEX(Config!$D$39:$D$61,$J15))</f>
        <v>Missing required field</v>
      </c>
      <c r="F15" s="67" t="str">
        <f>IF($A15="","",IFERROR(CHOOSE($J15,"movement_id is empty. Every row needs a unique movement ID.","movement_id "&amp;INDEX(Import_Staging!$A$2:$A$301,$H15)&amp;""&amp;" appears earlier in this file (row "&amp;IFERROR(MATCH(INDEX(Import_Staging!$A$2:$A$301,$H15),Import_Staging!$A$2:$A$301,0)+1,"?")&amp;"). Only the first row can be posted.","movement_id "&amp;INDEX(Import_Staging!$A$2:$A$301,$H15)&amp;""&amp;" is already in Inventory_Ledger. The ledger row was not changed.","date is empty.","date "&amp;""""&amp;INDEX(Import_Staging!$B$2:$B$301,$H15)&amp;""&amp;""""&amp;" is not a real date in yyyy-mm-dd format.","date "&amp;TEXT(INDEX(Import_Staging!$M$2:$M$301,$H15),"yyyy-mm-dd")&amp;" is after the as-of date "&amp;TEXT(Config!$B$4,"yyyy-mm-dd")&amp;".","type is empty.","type "&amp;""""&amp;INDEX(Import_Staging!$C$2:$C$301,$H15)&amp;""&amp;""""&amp;" is not a movement type listed on Config.","sku is empty.","SKU "&amp;INDEX(Import_Staging!$D$2:$D$301,$H15)&amp;""&amp;" is not in Products.","supplier_id is empty; receipts need the supplier.","Supplier "&amp;INDEX(Import_Staging!$E$2:$E$301,$H15)&amp;""&amp;" is not in Suppliers.","lot is empty; every movement needs its lot code.","Lot "&amp;INDEX(Import_Staging!$F$2:$F$301,$H15)&amp;""&amp;" is not recorded for "&amp;INDEX(Import_Staging!$D$2:$D$301,$H15)&amp;""&amp;" in Batches.","expiry is empty; receipts need the company-supplied expiry date.","expiry "&amp;""""&amp;INDEX(Import_Staging!$G$2:$G$301,$H15)&amp;""&amp;""""&amp;" is not a real date in yyyy-mm-dd format.","qty is empty.","qty "&amp;""""&amp;INDEX(Import_Staging!$H$2:$H$301,$H15)&amp;""&amp;""""&amp;" is not a valid quantity"&amp;IF(INDEX(Import_Staging!$C$2:$C$301,$H15)&amp;""="",""," for a "&amp;LOWER(INDEX(Import_Staging!$C$2:$C$301,$H15)&amp;""))&amp;".","lot_status is empty; receipts need a lot status.","lot_status "&amp;""""&amp;INDEX(Import_Staging!$I$2:$I$301,$H15)&amp;""&amp;""""&amp;" is not a lot status allowed on receipt (Config).","reason is empty; adjustments need a reason.","source_link is empty; every movement needs a link to its source document.","This row would take recorded stock of "&amp;INDEX(Import_Staging!$D$2:$D$301,$H15)&amp;""&amp;" from "&amp;INDEX(Import_Staging!$R$2:$R$301,$H15)&amp;" to "&amp;INDEX(Import_Staging!$S$2:$S$301,$H15)&amp;"."),$E15))</f>
        <v>lot is empty; every movement needs its lot code.</v>
      </c>
      <c r="G15" s="67" t="str">
        <f>IF($A15="","",INDEX(Config!$F$39:$F$61,$J15))</f>
        <v>Add the lot code.</v>
      </c>
      <c r="H15" s="66">
        <f>IF($A15="","",MATCH(COUNTIF(Import_Staging!$BS$2:$BS$301,"&lt;"&amp;$A15)+1,Import_Staging!$BR$2:$BR$301,0))</f>
        <v>13</v>
      </c>
      <c r="I15" s="66">
        <f>IF($A15="","",$A15-INDEX(Import_Staging!$BQ$2:$BQ$301,$H15))</f>
        <v>1</v>
      </c>
      <c r="J15" s="66">
        <f>IF($A15="","",MATCH($I15,INDEX(Import_Staging!$AT$2:$BP$301,$H15,0),0))</f>
        <v>13</v>
      </c>
    </row>
    <row r="16">
      <c r="A16" s="65">
        <f>IF(11&lt;=$F$4,11,"")</f>
        <v>11</v>
      </c>
      <c r="B16" s="65">
        <f>IF($A16="","",$H16+1)</f>
        <v>18</v>
      </c>
      <c r="C16" s="66" t="str">
        <f>IF($A16="","",INDEX(Import_Staging!$A$2:$A$301,$H16)&amp;"")</f>
        <v>MV-2610-028</v>
      </c>
      <c r="D16" s="66" t="str">
        <f>IF($A16="","",INDEX(Config!$C$39:$C$61,$J16))</f>
        <v>qty</v>
      </c>
      <c r="E16" s="66" t="str">
        <f>IF($A16="","",INDEX(Config!$D$39:$D$61,$J16))</f>
        <v>Invalid quantity</v>
      </c>
      <c r="F16" s="67" t="str">
        <f>IF($A16="","",IFERROR(CHOOSE($J16,"movement_id is empty. Every row needs a unique movement ID.","movement_id "&amp;INDEX(Import_Staging!$A$2:$A$301,$H16)&amp;""&amp;" appears earlier in this file (row "&amp;IFERROR(MATCH(INDEX(Import_Staging!$A$2:$A$301,$H16),Import_Staging!$A$2:$A$301,0)+1,"?")&amp;"). Only the first row can be posted.","movement_id "&amp;INDEX(Import_Staging!$A$2:$A$301,$H16)&amp;""&amp;" is already in Inventory_Ledger. The ledger row was not changed.","date is empty.","date "&amp;""""&amp;INDEX(Import_Staging!$B$2:$B$301,$H16)&amp;""&amp;""""&amp;" is not a real date in yyyy-mm-dd format.","date "&amp;TEXT(INDEX(Import_Staging!$M$2:$M$301,$H16),"yyyy-mm-dd")&amp;" is after the as-of date "&amp;TEXT(Config!$B$4,"yyyy-mm-dd")&amp;".","type is empty.","type "&amp;""""&amp;INDEX(Import_Staging!$C$2:$C$301,$H16)&amp;""&amp;""""&amp;" is not a movement type listed on Config.","sku is empty.","SKU "&amp;INDEX(Import_Staging!$D$2:$D$301,$H16)&amp;""&amp;" is not in Products.","supplier_id is empty; receipts need the supplier.","Supplier "&amp;INDEX(Import_Staging!$E$2:$E$301,$H16)&amp;""&amp;" is not in Suppliers.","lot is empty; every movement needs its lot code.","Lot "&amp;INDEX(Import_Staging!$F$2:$F$301,$H16)&amp;""&amp;" is not recorded for "&amp;INDEX(Import_Staging!$D$2:$D$301,$H16)&amp;""&amp;" in Batches.","expiry is empty; receipts need the company-supplied expiry date.","expiry "&amp;""""&amp;INDEX(Import_Staging!$G$2:$G$301,$H16)&amp;""&amp;""""&amp;" is not a real date in yyyy-mm-dd format.","qty is empty.","qty "&amp;""""&amp;INDEX(Import_Staging!$H$2:$H$301,$H16)&amp;""&amp;""""&amp;" is not a valid quantity"&amp;IF(INDEX(Import_Staging!$C$2:$C$301,$H16)&amp;""="",""," for a "&amp;LOWER(INDEX(Import_Staging!$C$2:$C$301,$H16)&amp;""))&amp;".","lot_status is empty; receipts need a lot status.","lot_status "&amp;""""&amp;INDEX(Import_Staging!$I$2:$I$301,$H16)&amp;""&amp;""""&amp;" is not a lot status allowed on receipt (Config).","reason is empty; adjustments need a reason.","source_link is empty; every movement needs a link to its source document.","This row would take recorded stock of "&amp;INDEX(Import_Staging!$D$2:$D$301,$H16)&amp;""&amp;" from "&amp;INDEX(Import_Staging!$R$2:$R$301,$H16)&amp;" to "&amp;INDEX(Import_Staging!$S$2:$S$301,$H16)&amp;"."),$E16))</f>
        <v>qty "12 cs" is not a valid quantity for a shipment.</v>
      </c>
      <c r="G16" s="67" t="str">
        <f>IF($A16="","",INDEX(Config!$F$39:$F$61,$J16))</f>
        <v>Use a whole number: above 0 for receipts and shipments, not 0 for adjustments.</v>
      </c>
      <c r="H16" s="66">
        <f>IF($A16="","",MATCH(COUNTIF(Import_Staging!$BS$2:$BS$301,"&lt;"&amp;$A16)+1,Import_Staging!$BR$2:$BR$301,0))</f>
        <v>17</v>
      </c>
      <c r="I16" s="66">
        <f>IF($A16="","",$A16-INDEX(Import_Staging!$BQ$2:$BQ$301,$H16))</f>
        <v>1</v>
      </c>
      <c r="J16" s="66">
        <f>IF($A16="","",MATCH($I16,INDEX(Import_Staging!$AT$2:$BP$301,$H16,0),0))</f>
        <v>18</v>
      </c>
    </row>
    <row r="17">
      <c r="A17" s="65" t="str">
        <f>IF(12&lt;=$F$4,12,"")</f>
        <v/>
      </c>
      <c r="B17" s="65" t="str">
        <f>IF($A17="","",$H17+1)</f>
        <v/>
      </c>
      <c r="C17" s="66" t="str">
        <f>IF($A17="","",INDEX(Import_Staging!$A$2:$A$301,$H17)&amp;"")</f>
        <v/>
      </c>
      <c r="D17" s="66" t="str">
        <f>IF($A17="","",INDEX(Config!$C$39:$C$61,$J17))</f>
        <v/>
      </c>
      <c r="E17" s="66" t="str">
        <f>IF($A17="","",INDEX(Config!$D$39:$D$61,$J17))</f>
        <v/>
      </c>
      <c r="F17" s="67" t="str">
        <f>IF($A17="","",IFERROR(CHOOSE($J17,"movement_id is empty. Every row needs a unique movement ID.","movement_id "&amp;INDEX(Import_Staging!$A$2:$A$301,$H17)&amp;""&amp;" appears earlier in this file (row "&amp;IFERROR(MATCH(INDEX(Import_Staging!$A$2:$A$301,$H17),Import_Staging!$A$2:$A$301,0)+1,"?")&amp;"). Only the first row can be posted.","movement_id "&amp;INDEX(Import_Staging!$A$2:$A$301,$H17)&amp;""&amp;" is already in Inventory_Ledger. The ledger row was not changed.","date is empty.","date "&amp;""""&amp;INDEX(Import_Staging!$B$2:$B$301,$H17)&amp;""&amp;""""&amp;" is not a real date in yyyy-mm-dd format.","date "&amp;TEXT(INDEX(Import_Staging!$M$2:$M$301,$H17),"yyyy-mm-dd")&amp;" is after the as-of date "&amp;TEXT(Config!$B$4,"yyyy-mm-dd")&amp;".","type is empty.","type "&amp;""""&amp;INDEX(Import_Staging!$C$2:$C$301,$H17)&amp;""&amp;""""&amp;" is not a movement type listed on Config.","sku is empty.","SKU "&amp;INDEX(Import_Staging!$D$2:$D$301,$H17)&amp;""&amp;" is not in Products.","supplier_id is empty; receipts need the supplier.","Supplier "&amp;INDEX(Import_Staging!$E$2:$E$301,$H17)&amp;""&amp;" is not in Suppliers.","lot is empty; every movement needs its lot code.","Lot "&amp;INDEX(Import_Staging!$F$2:$F$301,$H17)&amp;""&amp;" is not recorded for "&amp;INDEX(Import_Staging!$D$2:$D$301,$H17)&amp;""&amp;" in Batches.","expiry is empty; receipts need the company-supplied expiry date.","expiry "&amp;""""&amp;INDEX(Import_Staging!$G$2:$G$301,$H17)&amp;""&amp;""""&amp;" is not a real date in yyyy-mm-dd format.","qty is empty.","qty "&amp;""""&amp;INDEX(Import_Staging!$H$2:$H$301,$H17)&amp;""&amp;""""&amp;" is not a valid quantity"&amp;IF(INDEX(Import_Staging!$C$2:$C$301,$H17)&amp;""="",""," for a "&amp;LOWER(INDEX(Import_Staging!$C$2:$C$301,$H17)&amp;""))&amp;".","lot_status is empty; receipts need a lot status.","lot_status "&amp;""""&amp;INDEX(Import_Staging!$I$2:$I$301,$H17)&amp;""&amp;""""&amp;" is not a lot status allowed on receipt (Config).","reason is empty; adjustments need a reason.","source_link is empty; every movement needs a link to its source document.","This row would take recorded stock of "&amp;INDEX(Import_Staging!$D$2:$D$301,$H17)&amp;""&amp;" from "&amp;INDEX(Import_Staging!$R$2:$R$301,$H17)&amp;" to "&amp;INDEX(Import_Staging!$S$2:$S$301,$H17)&amp;"."),$E17))</f>
        <v/>
      </c>
      <c r="G17" s="67" t="str">
        <f>IF($A17="","",INDEX(Config!$F$39:$F$61,$J17))</f>
        <v/>
      </c>
      <c r="H17" s="66" t="str">
        <f>IF($A17="","",MATCH(COUNTIF(Import_Staging!$BS$2:$BS$301,"&lt;"&amp;$A17)+1,Import_Staging!$BR$2:$BR$301,0))</f>
        <v/>
      </c>
      <c r="I17" s="66" t="str">
        <f>IF($A17="","",$A17-INDEX(Import_Staging!$BQ$2:$BQ$301,$H17))</f>
        <v/>
      </c>
      <c r="J17" s="66" t="str">
        <f>IF($A17="","",MATCH($I17,INDEX(Import_Staging!$AT$2:$BP$301,$H17,0),0))</f>
        <v/>
      </c>
    </row>
    <row r="18">
      <c r="A18" s="65" t="str">
        <f>IF(13&lt;=$F$4,13,"")</f>
        <v/>
      </c>
      <c r="B18" s="65" t="str">
        <f>IF($A18="","",$H18+1)</f>
        <v/>
      </c>
      <c r="C18" s="66" t="str">
        <f>IF($A18="","",INDEX(Import_Staging!$A$2:$A$301,$H18)&amp;"")</f>
        <v/>
      </c>
      <c r="D18" s="66" t="str">
        <f>IF($A18="","",INDEX(Config!$C$39:$C$61,$J18))</f>
        <v/>
      </c>
      <c r="E18" s="66" t="str">
        <f>IF($A18="","",INDEX(Config!$D$39:$D$61,$J18))</f>
        <v/>
      </c>
      <c r="F18" s="67" t="str">
        <f>IF($A18="","",IFERROR(CHOOSE($J18,"movement_id is empty. Every row needs a unique movement ID.","movement_id "&amp;INDEX(Import_Staging!$A$2:$A$301,$H18)&amp;""&amp;" appears earlier in this file (row "&amp;IFERROR(MATCH(INDEX(Import_Staging!$A$2:$A$301,$H18),Import_Staging!$A$2:$A$301,0)+1,"?")&amp;"). Only the first row can be posted.","movement_id "&amp;INDEX(Import_Staging!$A$2:$A$301,$H18)&amp;""&amp;" is already in Inventory_Ledger. The ledger row was not changed.","date is empty.","date "&amp;""""&amp;INDEX(Import_Staging!$B$2:$B$301,$H18)&amp;""&amp;""""&amp;" is not a real date in yyyy-mm-dd format.","date "&amp;TEXT(INDEX(Import_Staging!$M$2:$M$301,$H18),"yyyy-mm-dd")&amp;" is after the as-of date "&amp;TEXT(Config!$B$4,"yyyy-mm-dd")&amp;".","type is empty.","type "&amp;""""&amp;INDEX(Import_Staging!$C$2:$C$301,$H18)&amp;""&amp;""""&amp;" is not a movement type listed on Config.","sku is empty.","SKU "&amp;INDEX(Import_Staging!$D$2:$D$301,$H18)&amp;""&amp;" is not in Products.","supplier_id is empty; receipts need the supplier.","Supplier "&amp;INDEX(Import_Staging!$E$2:$E$301,$H18)&amp;""&amp;" is not in Suppliers.","lot is empty; every movement needs its lot code.","Lot "&amp;INDEX(Import_Staging!$F$2:$F$301,$H18)&amp;""&amp;" is not recorded for "&amp;INDEX(Import_Staging!$D$2:$D$301,$H18)&amp;""&amp;" in Batches.","expiry is empty; receipts need the company-supplied expiry date.","expiry "&amp;""""&amp;INDEX(Import_Staging!$G$2:$G$301,$H18)&amp;""&amp;""""&amp;" is not a real date in yyyy-mm-dd format.","qty is empty.","qty "&amp;""""&amp;INDEX(Import_Staging!$H$2:$H$301,$H18)&amp;""&amp;""""&amp;" is not a valid quantity"&amp;IF(INDEX(Import_Staging!$C$2:$C$301,$H18)&amp;""="",""," for a "&amp;LOWER(INDEX(Import_Staging!$C$2:$C$301,$H18)&amp;""))&amp;".","lot_status is empty; receipts need a lot status.","lot_status "&amp;""""&amp;INDEX(Import_Staging!$I$2:$I$301,$H18)&amp;""&amp;""""&amp;" is not a lot status allowed on receipt (Config).","reason is empty; adjustments need a reason.","source_link is empty; every movement needs a link to its source document.","This row would take recorded stock of "&amp;INDEX(Import_Staging!$D$2:$D$301,$H18)&amp;""&amp;" from "&amp;INDEX(Import_Staging!$R$2:$R$301,$H18)&amp;" to "&amp;INDEX(Import_Staging!$S$2:$S$301,$H18)&amp;"."),$E18))</f>
        <v/>
      </c>
      <c r="G18" s="67" t="str">
        <f>IF($A18="","",INDEX(Config!$F$39:$F$61,$J18))</f>
        <v/>
      </c>
      <c r="H18" s="66" t="str">
        <f>IF($A18="","",MATCH(COUNTIF(Import_Staging!$BS$2:$BS$301,"&lt;"&amp;$A18)+1,Import_Staging!$BR$2:$BR$301,0))</f>
        <v/>
      </c>
      <c r="I18" s="66" t="str">
        <f>IF($A18="","",$A18-INDEX(Import_Staging!$BQ$2:$BQ$301,$H18))</f>
        <v/>
      </c>
      <c r="J18" s="66" t="str">
        <f>IF($A18="","",MATCH($I18,INDEX(Import_Staging!$AT$2:$BP$301,$H18,0),0))</f>
        <v/>
      </c>
    </row>
    <row r="19">
      <c r="A19" s="65" t="str">
        <f>IF(14&lt;=$F$4,14,"")</f>
        <v/>
      </c>
      <c r="B19" s="65" t="str">
        <f>IF($A19="","",$H19+1)</f>
        <v/>
      </c>
      <c r="C19" s="66" t="str">
        <f>IF($A19="","",INDEX(Import_Staging!$A$2:$A$301,$H19)&amp;"")</f>
        <v/>
      </c>
      <c r="D19" s="66" t="str">
        <f>IF($A19="","",INDEX(Config!$C$39:$C$61,$J19))</f>
        <v/>
      </c>
      <c r="E19" s="66" t="str">
        <f>IF($A19="","",INDEX(Config!$D$39:$D$61,$J19))</f>
        <v/>
      </c>
      <c r="F19" s="67" t="str">
        <f>IF($A19="","",IFERROR(CHOOSE($J19,"movement_id is empty. Every row needs a unique movement ID.","movement_id "&amp;INDEX(Import_Staging!$A$2:$A$301,$H19)&amp;""&amp;" appears earlier in this file (row "&amp;IFERROR(MATCH(INDEX(Import_Staging!$A$2:$A$301,$H19),Import_Staging!$A$2:$A$301,0)+1,"?")&amp;"). Only the first row can be posted.","movement_id "&amp;INDEX(Import_Staging!$A$2:$A$301,$H19)&amp;""&amp;" is already in Inventory_Ledger. The ledger row was not changed.","date is empty.","date "&amp;""""&amp;INDEX(Import_Staging!$B$2:$B$301,$H19)&amp;""&amp;""""&amp;" is not a real date in yyyy-mm-dd format.","date "&amp;TEXT(INDEX(Import_Staging!$M$2:$M$301,$H19),"yyyy-mm-dd")&amp;" is after the as-of date "&amp;TEXT(Config!$B$4,"yyyy-mm-dd")&amp;".","type is empty.","type "&amp;""""&amp;INDEX(Import_Staging!$C$2:$C$301,$H19)&amp;""&amp;""""&amp;" is not a movement type listed on Config.","sku is empty.","SKU "&amp;INDEX(Import_Staging!$D$2:$D$301,$H19)&amp;""&amp;" is not in Products.","supplier_id is empty; receipts need the supplier.","Supplier "&amp;INDEX(Import_Staging!$E$2:$E$301,$H19)&amp;""&amp;" is not in Suppliers.","lot is empty; every movement needs its lot code.","Lot "&amp;INDEX(Import_Staging!$F$2:$F$301,$H19)&amp;""&amp;" is not recorded for "&amp;INDEX(Import_Staging!$D$2:$D$301,$H19)&amp;""&amp;" in Batches.","expiry is empty; receipts need the company-supplied expiry date.","expiry "&amp;""""&amp;INDEX(Import_Staging!$G$2:$G$301,$H19)&amp;""&amp;""""&amp;" is not a real date in yyyy-mm-dd format.","qty is empty.","qty "&amp;""""&amp;INDEX(Import_Staging!$H$2:$H$301,$H19)&amp;""&amp;""""&amp;" is not a valid quantity"&amp;IF(INDEX(Import_Staging!$C$2:$C$301,$H19)&amp;""="",""," for a "&amp;LOWER(INDEX(Import_Staging!$C$2:$C$301,$H19)&amp;""))&amp;".","lot_status is empty; receipts need a lot status.","lot_status "&amp;""""&amp;INDEX(Import_Staging!$I$2:$I$301,$H19)&amp;""&amp;""""&amp;" is not a lot status allowed on receipt (Config).","reason is empty; adjustments need a reason.","source_link is empty; every movement needs a link to its source document.","This row would take recorded stock of "&amp;INDEX(Import_Staging!$D$2:$D$301,$H19)&amp;""&amp;" from "&amp;INDEX(Import_Staging!$R$2:$R$301,$H19)&amp;" to "&amp;INDEX(Import_Staging!$S$2:$S$301,$H19)&amp;"."),$E19))</f>
        <v/>
      </c>
      <c r="G19" s="67" t="str">
        <f>IF($A19="","",INDEX(Config!$F$39:$F$61,$J19))</f>
        <v/>
      </c>
      <c r="H19" s="66" t="str">
        <f>IF($A19="","",MATCH(COUNTIF(Import_Staging!$BS$2:$BS$301,"&lt;"&amp;$A19)+1,Import_Staging!$BR$2:$BR$301,0))</f>
        <v/>
      </c>
      <c r="I19" s="66" t="str">
        <f>IF($A19="","",$A19-INDEX(Import_Staging!$BQ$2:$BQ$301,$H19))</f>
        <v/>
      </c>
      <c r="J19" s="66" t="str">
        <f>IF($A19="","",MATCH($I19,INDEX(Import_Staging!$AT$2:$BP$301,$H19,0),0))</f>
        <v/>
      </c>
    </row>
    <row r="20">
      <c r="A20" s="65" t="str">
        <f>IF(15&lt;=$F$4,15,"")</f>
        <v/>
      </c>
      <c r="B20" s="65" t="str">
        <f>IF($A20="","",$H20+1)</f>
        <v/>
      </c>
      <c r="C20" s="66" t="str">
        <f>IF($A20="","",INDEX(Import_Staging!$A$2:$A$301,$H20)&amp;"")</f>
        <v/>
      </c>
      <c r="D20" s="66" t="str">
        <f>IF($A20="","",INDEX(Config!$C$39:$C$61,$J20))</f>
        <v/>
      </c>
      <c r="E20" s="66" t="str">
        <f>IF($A20="","",INDEX(Config!$D$39:$D$61,$J20))</f>
        <v/>
      </c>
      <c r="F20" s="67" t="str">
        <f>IF($A20="","",IFERROR(CHOOSE($J20,"movement_id is empty. Every row needs a unique movement ID.","movement_id "&amp;INDEX(Import_Staging!$A$2:$A$301,$H20)&amp;""&amp;" appears earlier in this file (row "&amp;IFERROR(MATCH(INDEX(Import_Staging!$A$2:$A$301,$H20),Import_Staging!$A$2:$A$301,0)+1,"?")&amp;"). Only the first row can be posted.","movement_id "&amp;INDEX(Import_Staging!$A$2:$A$301,$H20)&amp;""&amp;" is already in Inventory_Ledger. The ledger row was not changed.","date is empty.","date "&amp;""""&amp;INDEX(Import_Staging!$B$2:$B$301,$H20)&amp;""&amp;""""&amp;" is not a real date in yyyy-mm-dd format.","date "&amp;TEXT(INDEX(Import_Staging!$M$2:$M$301,$H20),"yyyy-mm-dd")&amp;" is after the as-of date "&amp;TEXT(Config!$B$4,"yyyy-mm-dd")&amp;".","type is empty.","type "&amp;""""&amp;INDEX(Import_Staging!$C$2:$C$301,$H20)&amp;""&amp;""""&amp;" is not a movement type listed on Config.","sku is empty.","SKU "&amp;INDEX(Import_Staging!$D$2:$D$301,$H20)&amp;""&amp;" is not in Products.","supplier_id is empty; receipts need the supplier.","Supplier "&amp;INDEX(Import_Staging!$E$2:$E$301,$H20)&amp;""&amp;" is not in Suppliers.","lot is empty; every movement needs its lot code.","Lot "&amp;INDEX(Import_Staging!$F$2:$F$301,$H20)&amp;""&amp;" is not recorded for "&amp;INDEX(Import_Staging!$D$2:$D$301,$H20)&amp;""&amp;" in Batches.","expiry is empty; receipts need the company-supplied expiry date.","expiry "&amp;""""&amp;INDEX(Import_Staging!$G$2:$G$301,$H20)&amp;""&amp;""""&amp;" is not a real date in yyyy-mm-dd format.","qty is empty.","qty "&amp;""""&amp;INDEX(Import_Staging!$H$2:$H$301,$H20)&amp;""&amp;""""&amp;" is not a valid quantity"&amp;IF(INDEX(Import_Staging!$C$2:$C$301,$H20)&amp;""="",""," for a "&amp;LOWER(INDEX(Import_Staging!$C$2:$C$301,$H20)&amp;""))&amp;".","lot_status is empty; receipts need a lot status.","lot_status "&amp;""""&amp;INDEX(Import_Staging!$I$2:$I$301,$H20)&amp;""&amp;""""&amp;" is not a lot status allowed on receipt (Config).","reason is empty; adjustments need a reason.","source_link is empty; every movement needs a link to its source document.","This row would take recorded stock of "&amp;INDEX(Import_Staging!$D$2:$D$301,$H20)&amp;""&amp;" from "&amp;INDEX(Import_Staging!$R$2:$R$301,$H20)&amp;" to "&amp;INDEX(Import_Staging!$S$2:$S$301,$H20)&amp;"."),$E20))</f>
        <v/>
      </c>
      <c r="G20" s="67" t="str">
        <f>IF($A20="","",INDEX(Config!$F$39:$F$61,$J20))</f>
        <v/>
      </c>
      <c r="H20" s="66" t="str">
        <f>IF($A20="","",MATCH(COUNTIF(Import_Staging!$BS$2:$BS$301,"&lt;"&amp;$A20)+1,Import_Staging!$BR$2:$BR$301,0))</f>
        <v/>
      </c>
      <c r="I20" s="66" t="str">
        <f>IF($A20="","",$A20-INDEX(Import_Staging!$BQ$2:$BQ$301,$H20))</f>
        <v/>
      </c>
      <c r="J20" s="66" t="str">
        <f>IF($A20="","",MATCH($I20,INDEX(Import_Staging!$AT$2:$BP$301,$H20,0),0))</f>
        <v/>
      </c>
    </row>
    <row r="21">
      <c r="A21" s="65" t="str">
        <f>IF(16&lt;=$F$4,16,"")</f>
        <v/>
      </c>
      <c r="B21" s="65" t="str">
        <f>IF($A21="","",$H21+1)</f>
        <v/>
      </c>
      <c r="C21" s="66" t="str">
        <f>IF($A21="","",INDEX(Import_Staging!$A$2:$A$301,$H21)&amp;"")</f>
        <v/>
      </c>
      <c r="D21" s="66" t="str">
        <f>IF($A21="","",INDEX(Config!$C$39:$C$61,$J21))</f>
        <v/>
      </c>
      <c r="E21" s="66" t="str">
        <f>IF($A21="","",INDEX(Config!$D$39:$D$61,$J21))</f>
        <v/>
      </c>
      <c r="F21" s="67" t="str">
        <f>IF($A21="","",IFERROR(CHOOSE($J21,"movement_id is empty. Every row needs a unique movement ID.","movement_id "&amp;INDEX(Import_Staging!$A$2:$A$301,$H21)&amp;""&amp;" appears earlier in this file (row "&amp;IFERROR(MATCH(INDEX(Import_Staging!$A$2:$A$301,$H21),Import_Staging!$A$2:$A$301,0)+1,"?")&amp;"). Only the first row can be posted.","movement_id "&amp;INDEX(Import_Staging!$A$2:$A$301,$H21)&amp;""&amp;" is already in Inventory_Ledger. The ledger row was not changed.","date is empty.","date "&amp;""""&amp;INDEX(Import_Staging!$B$2:$B$301,$H21)&amp;""&amp;""""&amp;" is not a real date in yyyy-mm-dd format.","date "&amp;TEXT(INDEX(Import_Staging!$M$2:$M$301,$H21),"yyyy-mm-dd")&amp;" is after the as-of date "&amp;TEXT(Config!$B$4,"yyyy-mm-dd")&amp;".","type is empty.","type "&amp;""""&amp;INDEX(Import_Staging!$C$2:$C$301,$H21)&amp;""&amp;""""&amp;" is not a movement type listed on Config.","sku is empty.","SKU "&amp;INDEX(Import_Staging!$D$2:$D$301,$H21)&amp;""&amp;" is not in Products.","supplier_id is empty; receipts need the supplier.","Supplier "&amp;INDEX(Import_Staging!$E$2:$E$301,$H21)&amp;""&amp;" is not in Suppliers.","lot is empty; every movement needs its lot code.","Lot "&amp;INDEX(Import_Staging!$F$2:$F$301,$H21)&amp;""&amp;" is not recorded for "&amp;INDEX(Import_Staging!$D$2:$D$301,$H21)&amp;""&amp;" in Batches.","expiry is empty; receipts need the company-supplied expiry date.","expiry "&amp;""""&amp;INDEX(Import_Staging!$G$2:$G$301,$H21)&amp;""&amp;""""&amp;" is not a real date in yyyy-mm-dd format.","qty is empty.","qty "&amp;""""&amp;INDEX(Import_Staging!$H$2:$H$301,$H21)&amp;""&amp;""""&amp;" is not a valid quantity"&amp;IF(INDEX(Import_Staging!$C$2:$C$301,$H21)&amp;""="",""," for a "&amp;LOWER(INDEX(Import_Staging!$C$2:$C$301,$H21)&amp;""))&amp;".","lot_status is empty; receipts need a lot status.","lot_status "&amp;""""&amp;INDEX(Import_Staging!$I$2:$I$301,$H21)&amp;""&amp;""""&amp;" is not a lot status allowed on receipt (Config).","reason is empty; adjustments need a reason.","source_link is empty; every movement needs a link to its source document.","This row would take recorded stock of "&amp;INDEX(Import_Staging!$D$2:$D$301,$H21)&amp;""&amp;" from "&amp;INDEX(Import_Staging!$R$2:$R$301,$H21)&amp;" to "&amp;INDEX(Import_Staging!$S$2:$S$301,$H21)&amp;"."),$E21))</f>
        <v/>
      </c>
      <c r="G21" s="67" t="str">
        <f>IF($A21="","",INDEX(Config!$F$39:$F$61,$J21))</f>
        <v/>
      </c>
      <c r="H21" s="66" t="str">
        <f>IF($A21="","",MATCH(COUNTIF(Import_Staging!$BS$2:$BS$301,"&lt;"&amp;$A21)+1,Import_Staging!$BR$2:$BR$301,0))</f>
        <v/>
      </c>
      <c r="I21" s="66" t="str">
        <f>IF($A21="","",$A21-INDEX(Import_Staging!$BQ$2:$BQ$301,$H21))</f>
        <v/>
      </c>
      <c r="J21" s="66" t="str">
        <f>IF($A21="","",MATCH($I21,INDEX(Import_Staging!$AT$2:$BP$301,$H21,0),0))</f>
        <v/>
      </c>
    </row>
    <row r="22">
      <c r="A22" s="65" t="str">
        <f>IF(17&lt;=$F$4,17,"")</f>
        <v/>
      </c>
      <c r="B22" s="65" t="str">
        <f>IF($A22="","",$H22+1)</f>
        <v/>
      </c>
      <c r="C22" s="66" t="str">
        <f>IF($A22="","",INDEX(Import_Staging!$A$2:$A$301,$H22)&amp;"")</f>
        <v/>
      </c>
      <c r="D22" s="66" t="str">
        <f>IF($A22="","",INDEX(Config!$C$39:$C$61,$J22))</f>
        <v/>
      </c>
      <c r="E22" s="66" t="str">
        <f>IF($A22="","",INDEX(Config!$D$39:$D$61,$J22))</f>
        <v/>
      </c>
      <c r="F22" s="67" t="str">
        <f>IF($A22="","",IFERROR(CHOOSE($J22,"movement_id is empty. Every row needs a unique movement ID.","movement_id "&amp;INDEX(Import_Staging!$A$2:$A$301,$H22)&amp;""&amp;" appears earlier in this file (row "&amp;IFERROR(MATCH(INDEX(Import_Staging!$A$2:$A$301,$H22),Import_Staging!$A$2:$A$301,0)+1,"?")&amp;"). Only the first row can be posted.","movement_id "&amp;INDEX(Import_Staging!$A$2:$A$301,$H22)&amp;""&amp;" is already in Inventory_Ledger. The ledger row was not changed.","date is empty.","date "&amp;""""&amp;INDEX(Import_Staging!$B$2:$B$301,$H22)&amp;""&amp;""""&amp;" is not a real date in yyyy-mm-dd format.","date "&amp;TEXT(INDEX(Import_Staging!$M$2:$M$301,$H22),"yyyy-mm-dd")&amp;" is after the as-of date "&amp;TEXT(Config!$B$4,"yyyy-mm-dd")&amp;".","type is empty.","type "&amp;""""&amp;INDEX(Import_Staging!$C$2:$C$301,$H22)&amp;""&amp;""""&amp;" is not a movement type listed on Config.","sku is empty.","SKU "&amp;INDEX(Import_Staging!$D$2:$D$301,$H22)&amp;""&amp;" is not in Products.","supplier_id is empty; receipts need the supplier.","Supplier "&amp;INDEX(Import_Staging!$E$2:$E$301,$H22)&amp;""&amp;" is not in Suppliers.","lot is empty; every movement needs its lot code.","Lot "&amp;INDEX(Import_Staging!$F$2:$F$301,$H22)&amp;""&amp;" is not recorded for "&amp;INDEX(Import_Staging!$D$2:$D$301,$H22)&amp;""&amp;" in Batches.","expiry is empty; receipts need the company-supplied expiry date.","expiry "&amp;""""&amp;INDEX(Import_Staging!$G$2:$G$301,$H22)&amp;""&amp;""""&amp;" is not a real date in yyyy-mm-dd format.","qty is empty.","qty "&amp;""""&amp;INDEX(Import_Staging!$H$2:$H$301,$H22)&amp;""&amp;""""&amp;" is not a valid quantity"&amp;IF(INDEX(Import_Staging!$C$2:$C$301,$H22)&amp;""="",""," for a "&amp;LOWER(INDEX(Import_Staging!$C$2:$C$301,$H22)&amp;""))&amp;".","lot_status is empty; receipts need a lot status.","lot_status "&amp;""""&amp;INDEX(Import_Staging!$I$2:$I$301,$H22)&amp;""&amp;""""&amp;" is not a lot status allowed on receipt (Config).","reason is empty; adjustments need a reason.","source_link is empty; every movement needs a link to its source document.","This row would take recorded stock of "&amp;INDEX(Import_Staging!$D$2:$D$301,$H22)&amp;""&amp;" from "&amp;INDEX(Import_Staging!$R$2:$R$301,$H22)&amp;" to "&amp;INDEX(Import_Staging!$S$2:$S$301,$H22)&amp;"."),$E22))</f>
        <v/>
      </c>
      <c r="G22" s="67" t="str">
        <f>IF($A22="","",INDEX(Config!$F$39:$F$61,$J22))</f>
        <v/>
      </c>
      <c r="H22" s="66" t="str">
        <f>IF($A22="","",MATCH(COUNTIF(Import_Staging!$BS$2:$BS$301,"&lt;"&amp;$A22)+1,Import_Staging!$BR$2:$BR$301,0))</f>
        <v/>
      </c>
      <c r="I22" s="66" t="str">
        <f>IF($A22="","",$A22-INDEX(Import_Staging!$BQ$2:$BQ$301,$H22))</f>
        <v/>
      </c>
      <c r="J22" s="66" t="str">
        <f>IF($A22="","",MATCH($I22,INDEX(Import_Staging!$AT$2:$BP$301,$H22,0),0))</f>
        <v/>
      </c>
    </row>
    <row r="23">
      <c r="A23" s="65" t="str">
        <f>IF(18&lt;=$F$4,18,"")</f>
        <v/>
      </c>
      <c r="B23" s="65" t="str">
        <f>IF($A23="","",$H23+1)</f>
        <v/>
      </c>
      <c r="C23" s="66" t="str">
        <f>IF($A23="","",INDEX(Import_Staging!$A$2:$A$301,$H23)&amp;"")</f>
        <v/>
      </c>
      <c r="D23" s="66" t="str">
        <f>IF($A23="","",INDEX(Config!$C$39:$C$61,$J23))</f>
        <v/>
      </c>
      <c r="E23" s="66" t="str">
        <f>IF($A23="","",INDEX(Config!$D$39:$D$61,$J23))</f>
        <v/>
      </c>
      <c r="F23" s="67" t="str">
        <f>IF($A23="","",IFERROR(CHOOSE($J23,"movement_id is empty. Every row needs a unique movement ID.","movement_id "&amp;INDEX(Import_Staging!$A$2:$A$301,$H23)&amp;""&amp;" appears earlier in this file (row "&amp;IFERROR(MATCH(INDEX(Import_Staging!$A$2:$A$301,$H23),Import_Staging!$A$2:$A$301,0)+1,"?")&amp;"). Only the first row can be posted.","movement_id "&amp;INDEX(Import_Staging!$A$2:$A$301,$H23)&amp;""&amp;" is already in Inventory_Ledger. The ledger row was not changed.","date is empty.","date "&amp;""""&amp;INDEX(Import_Staging!$B$2:$B$301,$H23)&amp;""&amp;""""&amp;" is not a real date in yyyy-mm-dd format.","date "&amp;TEXT(INDEX(Import_Staging!$M$2:$M$301,$H23),"yyyy-mm-dd")&amp;" is after the as-of date "&amp;TEXT(Config!$B$4,"yyyy-mm-dd")&amp;".","type is empty.","type "&amp;""""&amp;INDEX(Import_Staging!$C$2:$C$301,$H23)&amp;""&amp;""""&amp;" is not a movement type listed on Config.","sku is empty.","SKU "&amp;INDEX(Import_Staging!$D$2:$D$301,$H23)&amp;""&amp;" is not in Products.","supplier_id is empty; receipts need the supplier.","Supplier "&amp;INDEX(Import_Staging!$E$2:$E$301,$H23)&amp;""&amp;" is not in Suppliers.","lot is empty; every movement needs its lot code.","Lot "&amp;INDEX(Import_Staging!$F$2:$F$301,$H23)&amp;""&amp;" is not recorded for "&amp;INDEX(Import_Staging!$D$2:$D$301,$H23)&amp;""&amp;" in Batches.","expiry is empty; receipts need the company-supplied expiry date.","expiry "&amp;""""&amp;INDEX(Import_Staging!$G$2:$G$301,$H23)&amp;""&amp;""""&amp;" is not a real date in yyyy-mm-dd format.","qty is empty.","qty "&amp;""""&amp;INDEX(Import_Staging!$H$2:$H$301,$H23)&amp;""&amp;""""&amp;" is not a valid quantity"&amp;IF(INDEX(Import_Staging!$C$2:$C$301,$H23)&amp;""="",""," for a "&amp;LOWER(INDEX(Import_Staging!$C$2:$C$301,$H23)&amp;""))&amp;".","lot_status is empty; receipts need a lot status.","lot_status "&amp;""""&amp;INDEX(Import_Staging!$I$2:$I$301,$H23)&amp;""&amp;""""&amp;" is not a lot status allowed on receipt (Config).","reason is empty; adjustments need a reason.","source_link is empty; every movement needs a link to its source document.","This row would take recorded stock of "&amp;INDEX(Import_Staging!$D$2:$D$301,$H23)&amp;""&amp;" from "&amp;INDEX(Import_Staging!$R$2:$R$301,$H23)&amp;" to "&amp;INDEX(Import_Staging!$S$2:$S$301,$H23)&amp;"."),$E23))</f>
        <v/>
      </c>
      <c r="G23" s="67" t="str">
        <f>IF($A23="","",INDEX(Config!$F$39:$F$61,$J23))</f>
        <v/>
      </c>
      <c r="H23" s="66" t="str">
        <f>IF($A23="","",MATCH(COUNTIF(Import_Staging!$BS$2:$BS$301,"&lt;"&amp;$A23)+1,Import_Staging!$BR$2:$BR$301,0))</f>
        <v/>
      </c>
      <c r="I23" s="66" t="str">
        <f>IF($A23="","",$A23-INDEX(Import_Staging!$BQ$2:$BQ$301,$H23))</f>
        <v/>
      </c>
      <c r="J23" s="66" t="str">
        <f>IF($A23="","",MATCH($I23,INDEX(Import_Staging!$AT$2:$BP$301,$H23,0),0))</f>
        <v/>
      </c>
    </row>
    <row r="24">
      <c r="A24" s="65" t="str">
        <f>IF(19&lt;=$F$4,19,"")</f>
        <v/>
      </c>
      <c r="B24" s="65" t="str">
        <f>IF($A24="","",$H24+1)</f>
        <v/>
      </c>
      <c r="C24" s="66" t="str">
        <f>IF($A24="","",INDEX(Import_Staging!$A$2:$A$301,$H24)&amp;"")</f>
        <v/>
      </c>
      <c r="D24" s="66" t="str">
        <f>IF($A24="","",INDEX(Config!$C$39:$C$61,$J24))</f>
        <v/>
      </c>
      <c r="E24" s="66" t="str">
        <f>IF($A24="","",INDEX(Config!$D$39:$D$61,$J24))</f>
        <v/>
      </c>
      <c r="F24" s="67" t="str">
        <f>IF($A24="","",IFERROR(CHOOSE($J24,"movement_id is empty. Every row needs a unique movement ID.","movement_id "&amp;INDEX(Import_Staging!$A$2:$A$301,$H24)&amp;""&amp;" appears earlier in this file (row "&amp;IFERROR(MATCH(INDEX(Import_Staging!$A$2:$A$301,$H24),Import_Staging!$A$2:$A$301,0)+1,"?")&amp;"). Only the first row can be posted.","movement_id "&amp;INDEX(Import_Staging!$A$2:$A$301,$H24)&amp;""&amp;" is already in Inventory_Ledger. The ledger row was not changed.","date is empty.","date "&amp;""""&amp;INDEX(Import_Staging!$B$2:$B$301,$H24)&amp;""&amp;""""&amp;" is not a real date in yyyy-mm-dd format.","date "&amp;TEXT(INDEX(Import_Staging!$M$2:$M$301,$H24),"yyyy-mm-dd")&amp;" is after the as-of date "&amp;TEXT(Config!$B$4,"yyyy-mm-dd")&amp;".","type is empty.","type "&amp;""""&amp;INDEX(Import_Staging!$C$2:$C$301,$H24)&amp;""&amp;""""&amp;" is not a movement type listed on Config.","sku is empty.","SKU "&amp;INDEX(Import_Staging!$D$2:$D$301,$H24)&amp;""&amp;" is not in Products.","supplier_id is empty; receipts need the supplier.","Supplier "&amp;INDEX(Import_Staging!$E$2:$E$301,$H24)&amp;""&amp;" is not in Suppliers.","lot is empty; every movement needs its lot code.","Lot "&amp;INDEX(Import_Staging!$F$2:$F$301,$H24)&amp;""&amp;" is not recorded for "&amp;INDEX(Import_Staging!$D$2:$D$301,$H24)&amp;""&amp;" in Batches.","expiry is empty; receipts need the company-supplied expiry date.","expiry "&amp;""""&amp;INDEX(Import_Staging!$G$2:$G$301,$H24)&amp;""&amp;""""&amp;" is not a real date in yyyy-mm-dd format.","qty is empty.","qty "&amp;""""&amp;INDEX(Import_Staging!$H$2:$H$301,$H24)&amp;""&amp;""""&amp;" is not a valid quantity"&amp;IF(INDEX(Import_Staging!$C$2:$C$301,$H24)&amp;""="",""," for a "&amp;LOWER(INDEX(Import_Staging!$C$2:$C$301,$H24)&amp;""))&amp;".","lot_status is empty; receipts need a lot status.","lot_status "&amp;""""&amp;INDEX(Import_Staging!$I$2:$I$301,$H24)&amp;""&amp;""""&amp;" is not a lot status allowed on receipt (Config).","reason is empty; adjustments need a reason.","source_link is empty; every movement needs a link to its source document.","This row would take recorded stock of "&amp;INDEX(Import_Staging!$D$2:$D$301,$H24)&amp;""&amp;" from "&amp;INDEX(Import_Staging!$R$2:$R$301,$H24)&amp;" to "&amp;INDEX(Import_Staging!$S$2:$S$301,$H24)&amp;"."),$E24))</f>
        <v/>
      </c>
      <c r="G24" s="67" t="str">
        <f>IF($A24="","",INDEX(Config!$F$39:$F$61,$J24))</f>
        <v/>
      </c>
      <c r="H24" s="66" t="str">
        <f>IF($A24="","",MATCH(COUNTIF(Import_Staging!$BS$2:$BS$301,"&lt;"&amp;$A24)+1,Import_Staging!$BR$2:$BR$301,0))</f>
        <v/>
      </c>
      <c r="I24" s="66" t="str">
        <f>IF($A24="","",$A24-INDEX(Import_Staging!$BQ$2:$BQ$301,$H24))</f>
        <v/>
      </c>
      <c r="J24" s="66" t="str">
        <f>IF($A24="","",MATCH($I24,INDEX(Import_Staging!$AT$2:$BP$301,$H24,0),0))</f>
        <v/>
      </c>
    </row>
    <row r="25">
      <c r="A25" s="65" t="str">
        <f>IF(20&lt;=$F$4,20,"")</f>
        <v/>
      </c>
      <c r="B25" s="65" t="str">
        <f>IF($A25="","",$H25+1)</f>
        <v/>
      </c>
      <c r="C25" s="66" t="str">
        <f>IF($A25="","",INDEX(Import_Staging!$A$2:$A$301,$H25)&amp;"")</f>
        <v/>
      </c>
      <c r="D25" s="66" t="str">
        <f>IF($A25="","",INDEX(Config!$C$39:$C$61,$J25))</f>
        <v/>
      </c>
      <c r="E25" s="66" t="str">
        <f>IF($A25="","",INDEX(Config!$D$39:$D$61,$J25))</f>
        <v/>
      </c>
      <c r="F25" s="67" t="str">
        <f>IF($A25="","",IFERROR(CHOOSE($J25,"movement_id is empty. Every row needs a unique movement ID.","movement_id "&amp;INDEX(Import_Staging!$A$2:$A$301,$H25)&amp;""&amp;" appears earlier in this file (row "&amp;IFERROR(MATCH(INDEX(Import_Staging!$A$2:$A$301,$H25),Import_Staging!$A$2:$A$301,0)+1,"?")&amp;"). Only the first row can be posted.","movement_id "&amp;INDEX(Import_Staging!$A$2:$A$301,$H25)&amp;""&amp;" is already in Inventory_Ledger. The ledger row was not changed.","date is empty.","date "&amp;""""&amp;INDEX(Import_Staging!$B$2:$B$301,$H25)&amp;""&amp;""""&amp;" is not a real date in yyyy-mm-dd format.","date "&amp;TEXT(INDEX(Import_Staging!$M$2:$M$301,$H25),"yyyy-mm-dd")&amp;" is after the as-of date "&amp;TEXT(Config!$B$4,"yyyy-mm-dd")&amp;".","type is empty.","type "&amp;""""&amp;INDEX(Import_Staging!$C$2:$C$301,$H25)&amp;""&amp;""""&amp;" is not a movement type listed on Config.","sku is empty.","SKU "&amp;INDEX(Import_Staging!$D$2:$D$301,$H25)&amp;""&amp;" is not in Products.","supplier_id is empty; receipts need the supplier.","Supplier "&amp;INDEX(Import_Staging!$E$2:$E$301,$H25)&amp;""&amp;" is not in Suppliers.","lot is empty; every movement needs its lot code.","Lot "&amp;INDEX(Import_Staging!$F$2:$F$301,$H25)&amp;""&amp;" is not recorded for "&amp;INDEX(Import_Staging!$D$2:$D$301,$H25)&amp;""&amp;" in Batches.","expiry is empty; receipts need the company-supplied expiry date.","expiry "&amp;""""&amp;INDEX(Import_Staging!$G$2:$G$301,$H25)&amp;""&amp;""""&amp;" is not a real date in yyyy-mm-dd format.","qty is empty.","qty "&amp;""""&amp;INDEX(Import_Staging!$H$2:$H$301,$H25)&amp;""&amp;""""&amp;" is not a valid quantity"&amp;IF(INDEX(Import_Staging!$C$2:$C$301,$H25)&amp;""="",""," for a "&amp;LOWER(INDEX(Import_Staging!$C$2:$C$301,$H25)&amp;""))&amp;".","lot_status is empty; receipts need a lot status.","lot_status "&amp;""""&amp;INDEX(Import_Staging!$I$2:$I$301,$H25)&amp;""&amp;""""&amp;" is not a lot status allowed on receipt (Config).","reason is empty; adjustments need a reason.","source_link is empty; every movement needs a link to its source document.","This row would take recorded stock of "&amp;INDEX(Import_Staging!$D$2:$D$301,$H25)&amp;""&amp;" from "&amp;INDEX(Import_Staging!$R$2:$R$301,$H25)&amp;" to "&amp;INDEX(Import_Staging!$S$2:$S$301,$H25)&amp;"."),$E25))</f>
        <v/>
      </c>
      <c r="G25" s="67" t="str">
        <f>IF($A25="","",INDEX(Config!$F$39:$F$61,$J25))</f>
        <v/>
      </c>
      <c r="H25" s="66" t="str">
        <f>IF($A25="","",MATCH(COUNTIF(Import_Staging!$BS$2:$BS$301,"&lt;"&amp;$A25)+1,Import_Staging!$BR$2:$BR$301,0))</f>
        <v/>
      </c>
      <c r="I25" s="66" t="str">
        <f>IF($A25="","",$A25-INDEX(Import_Staging!$BQ$2:$BQ$301,$H25))</f>
        <v/>
      </c>
      <c r="J25" s="66" t="str">
        <f>IF($A25="","",MATCH($I25,INDEX(Import_Staging!$AT$2:$BP$301,$H25,0),0))</f>
        <v/>
      </c>
    </row>
    <row r="26">
      <c r="A26" s="65" t="str">
        <f>IF(21&lt;=$F$4,21,"")</f>
        <v/>
      </c>
      <c r="B26" s="65" t="str">
        <f>IF($A26="","",$H26+1)</f>
        <v/>
      </c>
      <c r="C26" s="66" t="str">
        <f>IF($A26="","",INDEX(Import_Staging!$A$2:$A$301,$H26)&amp;"")</f>
        <v/>
      </c>
      <c r="D26" s="66" t="str">
        <f>IF($A26="","",INDEX(Config!$C$39:$C$61,$J26))</f>
        <v/>
      </c>
      <c r="E26" s="66" t="str">
        <f>IF($A26="","",INDEX(Config!$D$39:$D$61,$J26))</f>
        <v/>
      </c>
      <c r="F26" s="67" t="str">
        <f>IF($A26="","",IFERROR(CHOOSE($J26,"movement_id is empty. Every row needs a unique movement ID.","movement_id "&amp;INDEX(Import_Staging!$A$2:$A$301,$H26)&amp;""&amp;" appears earlier in this file (row "&amp;IFERROR(MATCH(INDEX(Import_Staging!$A$2:$A$301,$H26),Import_Staging!$A$2:$A$301,0)+1,"?")&amp;"). Only the first row can be posted.","movement_id "&amp;INDEX(Import_Staging!$A$2:$A$301,$H26)&amp;""&amp;" is already in Inventory_Ledger. The ledger row was not changed.","date is empty.","date "&amp;""""&amp;INDEX(Import_Staging!$B$2:$B$301,$H26)&amp;""&amp;""""&amp;" is not a real date in yyyy-mm-dd format.","date "&amp;TEXT(INDEX(Import_Staging!$M$2:$M$301,$H26),"yyyy-mm-dd")&amp;" is after the as-of date "&amp;TEXT(Config!$B$4,"yyyy-mm-dd")&amp;".","type is empty.","type "&amp;""""&amp;INDEX(Import_Staging!$C$2:$C$301,$H26)&amp;""&amp;""""&amp;" is not a movement type listed on Config.","sku is empty.","SKU "&amp;INDEX(Import_Staging!$D$2:$D$301,$H26)&amp;""&amp;" is not in Products.","supplier_id is empty; receipts need the supplier.","Supplier "&amp;INDEX(Import_Staging!$E$2:$E$301,$H26)&amp;""&amp;" is not in Suppliers.","lot is empty; every movement needs its lot code.","Lot "&amp;INDEX(Import_Staging!$F$2:$F$301,$H26)&amp;""&amp;" is not recorded for "&amp;INDEX(Import_Staging!$D$2:$D$301,$H26)&amp;""&amp;" in Batches.","expiry is empty; receipts need the company-supplied expiry date.","expiry "&amp;""""&amp;INDEX(Import_Staging!$G$2:$G$301,$H26)&amp;""&amp;""""&amp;" is not a real date in yyyy-mm-dd format.","qty is empty.","qty "&amp;""""&amp;INDEX(Import_Staging!$H$2:$H$301,$H26)&amp;""&amp;""""&amp;" is not a valid quantity"&amp;IF(INDEX(Import_Staging!$C$2:$C$301,$H26)&amp;""="",""," for a "&amp;LOWER(INDEX(Import_Staging!$C$2:$C$301,$H26)&amp;""))&amp;".","lot_status is empty; receipts need a lot status.","lot_status "&amp;""""&amp;INDEX(Import_Staging!$I$2:$I$301,$H26)&amp;""&amp;""""&amp;" is not a lot status allowed on receipt (Config).","reason is empty; adjustments need a reason.","source_link is empty; every movement needs a link to its source document.","This row would take recorded stock of "&amp;INDEX(Import_Staging!$D$2:$D$301,$H26)&amp;""&amp;" from "&amp;INDEX(Import_Staging!$R$2:$R$301,$H26)&amp;" to "&amp;INDEX(Import_Staging!$S$2:$S$301,$H26)&amp;"."),$E26))</f>
        <v/>
      </c>
      <c r="G26" s="67" t="str">
        <f>IF($A26="","",INDEX(Config!$F$39:$F$61,$J26))</f>
        <v/>
      </c>
      <c r="H26" s="66" t="str">
        <f>IF($A26="","",MATCH(COUNTIF(Import_Staging!$BS$2:$BS$301,"&lt;"&amp;$A26)+1,Import_Staging!$BR$2:$BR$301,0))</f>
        <v/>
      </c>
      <c r="I26" s="66" t="str">
        <f>IF($A26="","",$A26-INDEX(Import_Staging!$BQ$2:$BQ$301,$H26))</f>
        <v/>
      </c>
      <c r="J26" s="66" t="str">
        <f>IF($A26="","",MATCH($I26,INDEX(Import_Staging!$AT$2:$BP$301,$H26,0),0))</f>
        <v/>
      </c>
    </row>
    <row r="27">
      <c r="A27" s="65" t="str">
        <f>IF(22&lt;=$F$4,22,"")</f>
        <v/>
      </c>
      <c r="B27" s="65" t="str">
        <f>IF($A27="","",$H27+1)</f>
        <v/>
      </c>
      <c r="C27" s="66" t="str">
        <f>IF($A27="","",INDEX(Import_Staging!$A$2:$A$301,$H27)&amp;"")</f>
        <v/>
      </c>
      <c r="D27" s="66" t="str">
        <f>IF($A27="","",INDEX(Config!$C$39:$C$61,$J27))</f>
        <v/>
      </c>
      <c r="E27" s="66" t="str">
        <f>IF($A27="","",INDEX(Config!$D$39:$D$61,$J27))</f>
        <v/>
      </c>
      <c r="F27" s="67" t="str">
        <f>IF($A27="","",IFERROR(CHOOSE($J27,"movement_id is empty. Every row needs a unique movement ID.","movement_id "&amp;INDEX(Import_Staging!$A$2:$A$301,$H27)&amp;""&amp;" appears earlier in this file (row "&amp;IFERROR(MATCH(INDEX(Import_Staging!$A$2:$A$301,$H27),Import_Staging!$A$2:$A$301,0)+1,"?")&amp;"). Only the first row can be posted.","movement_id "&amp;INDEX(Import_Staging!$A$2:$A$301,$H27)&amp;""&amp;" is already in Inventory_Ledger. The ledger row was not changed.","date is empty.","date "&amp;""""&amp;INDEX(Import_Staging!$B$2:$B$301,$H27)&amp;""&amp;""""&amp;" is not a real date in yyyy-mm-dd format.","date "&amp;TEXT(INDEX(Import_Staging!$M$2:$M$301,$H27),"yyyy-mm-dd")&amp;" is after the as-of date "&amp;TEXT(Config!$B$4,"yyyy-mm-dd")&amp;".","type is empty.","type "&amp;""""&amp;INDEX(Import_Staging!$C$2:$C$301,$H27)&amp;""&amp;""""&amp;" is not a movement type listed on Config.","sku is empty.","SKU "&amp;INDEX(Import_Staging!$D$2:$D$301,$H27)&amp;""&amp;" is not in Products.","supplier_id is empty; receipts need the supplier.","Supplier "&amp;INDEX(Import_Staging!$E$2:$E$301,$H27)&amp;""&amp;" is not in Suppliers.","lot is empty; every movement needs its lot code.","Lot "&amp;INDEX(Import_Staging!$F$2:$F$301,$H27)&amp;""&amp;" is not recorded for "&amp;INDEX(Import_Staging!$D$2:$D$301,$H27)&amp;""&amp;" in Batches.","expiry is empty; receipts need the company-supplied expiry date.","expiry "&amp;""""&amp;INDEX(Import_Staging!$G$2:$G$301,$H27)&amp;""&amp;""""&amp;" is not a real date in yyyy-mm-dd format.","qty is empty.","qty "&amp;""""&amp;INDEX(Import_Staging!$H$2:$H$301,$H27)&amp;""&amp;""""&amp;" is not a valid quantity"&amp;IF(INDEX(Import_Staging!$C$2:$C$301,$H27)&amp;""="",""," for a "&amp;LOWER(INDEX(Import_Staging!$C$2:$C$301,$H27)&amp;""))&amp;".","lot_status is empty; receipts need a lot status.","lot_status "&amp;""""&amp;INDEX(Import_Staging!$I$2:$I$301,$H27)&amp;""&amp;""""&amp;" is not a lot status allowed on receipt (Config).","reason is empty; adjustments need a reason.","source_link is empty; every movement needs a link to its source document.","This row would take recorded stock of "&amp;INDEX(Import_Staging!$D$2:$D$301,$H27)&amp;""&amp;" from "&amp;INDEX(Import_Staging!$R$2:$R$301,$H27)&amp;" to "&amp;INDEX(Import_Staging!$S$2:$S$301,$H27)&amp;"."),$E27))</f>
        <v/>
      </c>
      <c r="G27" s="67" t="str">
        <f>IF($A27="","",INDEX(Config!$F$39:$F$61,$J27))</f>
        <v/>
      </c>
      <c r="H27" s="66" t="str">
        <f>IF($A27="","",MATCH(COUNTIF(Import_Staging!$BS$2:$BS$301,"&lt;"&amp;$A27)+1,Import_Staging!$BR$2:$BR$301,0))</f>
        <v/>
      </c>
      <c r="I27" s="66" t="str">
        <f>IF($A27="","",$A27-INDEX(Import_Staging!$BQ$2:$BQ$301,$H27))</f>
        <v/>
      </c>
      <c r="J27" s="66" t="str">
        <f>IF($A27="","",MATCH($I27,INDEX(Import_Staging!$AT$2:$BP$301,$H27,0),0))</f>
        <v/>
      </c>
    </row>
    <row r="28">
      <c r="A28" s="65" t="str">
        <f>IF(23&lt;=$F$4,23,"")</f>
        <v/>
      </c>
      <c r="B28" s="65" t="str">
        <f>IF($A28="","",$H28+1)</f>
        <v/>
      </c>
      <c r="C28" s="66" t="str">
        <f>IF($A28="","",INDEX(Import_Staging!$A$2:$A$301,$H28)&amp;"")</f>
        <v/>
      </c>
      <c r="D28" s="66" t="str">
        <f>IF($A28="","",INDEX(Config!$C$39:$C$61,$J28))</f>
        <v/>
      </c>
      <c r="E28" s="66" t="str">
        <f>IF($A28="","",INDEX(Config!$D$39:$D$61,$J28))</f>
        <v/>
      </c>
      <c r="F28" s="67" t="str">
        <f>IF($A28="","",IFERROR(CHOOSE($J28,"movement_id is empty. Every row needs a unique movement ID.","movement_id "&amp;INDEX(Import_Staging!$A$2:$A$301,$H28)&amp;""&amp;" appears earlier in this file (row "&amp;IFERROR(MATCH(INDEX(Import_Staging!$A$2:$A$301,$H28),Import_Staging!$A$2:$A$301,0)+1,"?")&amp;"). Only the first row can be posted.","movement_id "&amp;INDEX(Import_Staging!$A$2:$A$301,$H28)&amp;""&amp;" is already in Inventory_Ledger. The ledger row was not changed.","date is empty.","date "&amp;""""&amp;INDEX(Import_Staging!$B$2:$B$301,$H28)&amp;""&amp;""""&amp;" is not a real date in yyyy-mm-dd format.","date "&amp;TEXT(INDEX(Import_Staging!$M$2:$M$301,$H28),"yyyy-mm-dd")&amp;" is after the as-of date "&amp;TEXT(Config!$B$4,"yyyy-mm-dd")&amp;".","type is empty.","type "&amp;""""&amp;INDEX(Import_Staging!$C$2:$C$301,$H28)&amp;""&amp;""""&amp;" is not a movement type listed on Config.","sku is empty.","SKU "&amp;INDEX(Import_Staging!$D$2:$D$301,$H28)&amp;""&amp;" is not in Products.","supplier_id is empty; receipts need the supplier.","Supplier "&amp;INDEX(Import_Staging!$E$2:$E$301,$H28)&amp;""&amp;" is not in Suppliers.","lot is empty; every movement needs its lot code.","Lot "&amp;INDEX(Import_Staging!$F$2:$F$301,$H28)&amp;""&amp;" is not recorded for "&amp;INDEX(Import_Staging!$D$2:$D$301,$H28)&amp;""&amp;" in Batches.","expiry is empty; receipts need the company-supplied expiry date.","expiry "&amp;""""&amp;INDEX(Import_Staging!$G$2:$G$301,$H28)&amp;""&amp;""""&amp;" is not a real date in yyyy-mm-dd format.","qty is empty.","qty "&amp;""""&amp;INDEX(Import_Staging!$H$2:$H$301,$H28)&amp;""&amp;""""&amp;" is not a valid quantity"&amp;IF(INDEX(Import_Staging!$C$2:$C$301,$H28)&amp;""="",""," for a "&amp;LOWER(INDEX(Import_Staging!$C$2:$C$301,$H28)&amp;""))&amp;".","lot_status is empty; receipts need a lot status.","lot_status "&amp;""""&amp;INDEX(Import_Staging!$I$2:$I$301,$H28)&amp;""&amp;""""&amp;" is not a lot status allowed on receipt (Config).","reason is empty; adjustments need a reason.","source_link is empty; every movement needs a link to its source document.","This row would take recorded stock of "&amp;INDEX(Import_Staging!$D$2:$D$301,$H28)&amp;""&amp;" from "&amp;INDEX(Import_Staging!$R$2:$R$301,$H28)&amp;" to "&amp;INDEX(Import_Staging!$S$2:$S$301,$H28)&amp;"."),$E28))</f>
        <v/>
      </c>
      <c r="G28" s="67" t="str">
        <f>IF($A28="","",INDEX(Config!$F$39:$F$61,$J28))</f>
        <v/>
      </c>
      <c r="H28" s="66" t="str">
        <f>IF($A28="","",MATCH(COUNTIF(Import_Staging!$BS$2:$BS$301,"&lt;"&amp;$A28)+1,Import_Staging!$BR$2:$BR$301,0))</f>
        <v/>
      </c>
      <c r="I28" s="66" t="str">
        <f>IF($A28="","",$A28-INDEX(Import_Staging!$BQ$2:$BQ$301,$H28))</f>
        <v/>
      </c>
      <c r="J28" s="66" t="str">
        <f>IF($A28="","",MATCH($I28,INDEX(Import_Staging!$AT$2:$BP$301,$H28,0),0))</f>
        <v/>
      </c>
    </row>
    <row r="29">
      <c r="A29" s="65" t="str">
        <f>IF(24&lt;=$F$4,24,"")</f>
        <v/>
      </c>
      <c r="B29" s="65" t="str">
        <f>IF($A29="","",$H29+1)</f>
        <v/>
      </c>
      <c r="C29" s="66" t="str">
        <f>IF($A29="","",INDEX(Import_Staging!$A$2:$A$301,$H29)&amp;"")</f>
        <v/>
      </c>
      <c r="D29" s="66" t="str">
        <f>IF($A29="","",INDEX(Config!$C$39:$C$61,$J29))</f>
        <v/>
      </c>
      <c r="E29" s="66" t="str">
        <f>IF($A29="","",INDEX(Config!$D$39:$D$61,$J29))</f>
        <v/>
      </c>
      <c r="F29" s="67" t="str">
        <f>IF($A29="","",IFERROR(CHOOSE($J29,"movement_id is empty. Every row needs a unique movement ID.","movement_id "&amp;INDEX(Import_Staging!$A$2:$A$301,$H29)&amp;""&amp;" appears earlier in this file (row "&amp;IFERROR(MATCH(INDEX(Import_Staging!$A$2:$A$301,$H29),Import_Staging!$A$2:$A$301,0)+1,"?")&amp;"). Only the first row can be posted.","movement_id "&amp;INDEX(Import_Staging!$A$2:$A$301,$H29)&amp;""&amp;" is already in Inventory_Ledger. The ledger row was not changed.","date is empty.","date "&amp;""""&amp;INDEX(Import_Staging!$B$2:$B$301,$H29)&amp;""&amp;""""&amp;" is not a real date in yyyy-mm-dd format.","date "&amp;TEXT(INDEX(Import_Staging!$M$2:$M$301,$H29),"yyyy-mm-dd")&amp;" is after the as-of date "&amp;TEXT(Config!$B$4,"yyyy-mm-dd")&amp;".","type is empty.","type "&amp;""""&amp;INDEX(Import_Staging!$C$2:$C$301,$H29)&amp;""&amp;""""&amp;" is not a movement type listed on Config.","sku is empty.","SKU "&amp;INDEX(Import_Staging!$D$2:$D$301,$H29)&amp;""&amp;" is not in Products.","supplier_id is empty; receipts need the supplier.","Supplier "&amp;INDEX(Import_Staging!$E$2:$E$301,$H29)&amp;""&amp;" is not in Suppliers.","lot is empty; every movement needs its lot code.","Lot "&amp;INDEX(Import_Staging!$F$2:$F$301,$H29)&amp;""&amp;" is not recorded for "&amp;INDEX(Import_Staging!$D$2:$D$301,$H29)&amp;""&amp;" in Batches.","expiry is empty; receipts need the company-supplied expiry date.","expiry "&amp;""""&amp;INDEX(Import_Staging!$G$2:$G$301,$H29)&amp;""&amp;""""&amp;" is not a real date in yyyy-mm-dd format.","qty is empty.","qty "&amp;""""&amp;INDEX(Import_Staging!$H$2:$H$301,$H29)&amp;""&amp;""""&amp;" is not a valid quantity"&amp;IF(INDEX(Import_Staging!$C$2:$C$301,$H29)&amp;""="",""," for a "&amp;LOWER(INDEX(Import_Staging!$C$2:$C$301,$H29)&amp;""))&amp;".","lot_status is empty; receipts need a lot status.","lot_status "&amp;""""&amp;INDEX(Import_Staging!$I$2:$I$301,$H29)&amp;""&amp;""""&amp;" is not a lot status allowed on receipt (Config).","reason is empty; adjustments need a reason.","source_link is empty; every movement needs a link to its source document.","This row would take recorded stock of "&amp;INDEX(Import_Staging!$D$2:$D$301,$H29)&amp;""&amp;" from "&amp;INDEX(Import_Staging!$R$2:$R$301,$H29)&amp;" to "&amp;INDEX(Import_Staging!$S$2:$S$301,$H29)&amp;"."),$E29))</f>
        <v/>
      </c>
      <c r="G29" s="67" t="str">
        <f>IF($A29="","",INDEX(Config!$F$39:$F$61,$J29))</f>
        <v/>
      </c>
      <c r="H29" s="66" t="str">
        <f>IF($A29="","",MATCH(COUNTIF(Import_Staging!$BS$2:$BS$301,"&lt;"&amp;$A29)+1,Import_Staging!$BR$2:$BR$301,0))</f>
        <v/>
      </c>
      <c r="I29" s="66" t="str">
        <f>IF($A29="","",$A29-INDEX(Import_Staging!$BQ$2:$BQ$301,$H29))</f>
        <v/>
      </c>
      <c r="J29" s="66" t="str">
        <f>IF($A29="","",MATCH($I29,INDEX(Import_Staging!$AT$2:$BP$301,$H29,0),0))</f>
        <v/>
      </c>
    </row>
    <row r="30">
      <c r="A30" s="65" t="str">
        <f>IF(25&lt;=$F$4,25,"")</f>
        <v/>
      </c>
      <c r="B30" s="65" t="str">
        <f>IF($A30="","",$H30+1)</f>
        <v/>
      </c>
      <c r="C30" s="66" t="str">
        <f>IF($A30="","",INDEX(Import_Staging!$A$2:$A$301,$H30)&amp;"")</f>
        <v/>
      </c>
      <c r="D30" s="66" t="str">
        <f>IF($A30="","",INDEX(Config!$C$39:$C$61,$J30))</f>
        <v/>
      </c>
      <c r="E30" s="66" t="str">
        <f>IF($A30="","",INDEX(Config!$D$39:$D$61,$J30))</f>
        <v/>
      </c>
      <c r="F30" s="67" t="str">
        <f>IF($A30="","",IFERROR(CHOOSE($J30,"movement_id is empty. Every row needs a unique movement ID.","movement_id "&amp;INDEX(Import_Staging!$A$2:$A$301,$H30)&amp;""&amp;" appears earlier in this file (row "&amp;IFERROR(MATCH(INDEX(Import_Staging!$A$2:$A$301,$H30),Import_Staging!$A$2:$A$301,0)+1,"?")&amp;"). Only the first row can be posted.","movement_id "&amp;INDEX(Import_Staging!$A$2:$A$301,$H30)&amp;""&amp;" is already in Inventory_Ledger. The ledger row was not changed.","date is empty.","date "&amp;""""&amp;INDEX(Import_Staging!$B$2:$B$301,$H30)&amp;""&amp;""""&amp;" is not a real date in yyyy-mm-dd format.","date "&amp;TEXT(INDEX(Import_Staging!$M$2:$M$301,$H30),"yyyy-mm-dd")&amp;" is after the as-of date "&amp;TEXT(Config!$B$4,"yyyy-mm-dd")&amp;".","type is empty.","type "&amp;""""&amp;INDEX(Import_Staging!$C$2:$C$301,$H30)&amp;""&amp;""""&amp;" is not a movement type listed on Config.","sku is empty.","SKU "&amp;INDEX(Import_Staging!$D$2:$D$301,$H30)&amp;""&amp;" is not in Products.","supplier_id is empty; receipts need the supplier.","Supplier "&amp;INDEX(Import_Staging!$E$2:$E$301,$H30)&amp;""&amp;" is not in Suppliers.","lot is empty; every movement needs its lot code.","Lot "&amp;INDEX(Import_Staging!$F$2:$F$301,$H30)&amp;""&amp;" is not recorded for "&amp;INDEX(Import_Staging!$D$2:$D$301,$H30)&amp;""&amp;" in Batches.","expiry is empty; receipts need the company-supplied expiry date.","expiry "&amp;""""&amp;INDEX(Import_Staging!$G$2:$G$301,$H30)&amp;""&amp;""""&amp;" is not a real date in yyyy-mm-dd format.","qty is empty.","qty "&amp;""""&amp;INDEX(Import_Staging!$H$2:$H$301,$H30)&amp;""&amp;""""&amp;" is not a valid quantity"&amp;IF(INDEX(Import_Staging!$C$2:$C$301,$H30)&amp;""="",""," for a "&amp;LOWER(INDEX(Import_Staging!$C$2:$C$301,$H30)&amp;""))&amp;".","lot_status is empty; receipts need a lot status.","lot_status "&amp;""""&amp;INDEX(Import_Staging!$I$2:$I$301,$H30)&amp;""&amp;""""&amp;" is not a lot status allowed on receipt (Config).","reason is empty; adjustments need a reason.","source_link is empty; every movement needs a link to its source document.","This row would take recorded stock of "&amp;INDEX(Import_Staging!$D$2:$D$301,$H30)&amp;""&amp;" from "&amp;INDEX(Import_Staging!$R$2:$R$301,$H30)&amp;" to "&amp;INDEX(Import_Staging!$S$2:$S$301,$H30)&amp;"."),$E30))</f>
        <v/>
      </c>
      <c r="G30" s="67" t="str">
        <f>IF($A30="","",INDEX(Config!$F$39:$F$61,$J30))</f>
        <v/>
      </c>
      <c r="H30" s="66" t="str">
        <f>IF($A30="","",MATCH(COUNTIF(Import_Staging!$BS$2:$BS$301,"&lt;"&amp;$A30)+1,Import_Staging!$BR$2:$BR$301,0))</f>
        <v/>
      </c>
      <c r="I30" s="66" t="str">
        <f>IF($A30="","",$A30-INDEX(Import_Staging!$BQ$2:$BQ$301,$H30))</f>
        <v/>
      </c>
      <c r="J30" s="66" t="str">
        <f>IF($A30="","",MATCH($I30,INDEX(Import_Staging!$AT$2:$BP$301,$H30,0),0))</f>
        <v/>
      </c>
    </row>
    <row r="31">
      <c r="A31" s="65" t="str">
        <f>IF(26&lt;=$F$4,26,"")</f>
        <v/>
      </c>
      <c r="B31" s="65" t="str">
        <f>IF($A31="","",$H31+1)</f>
        <v/>
      </c>
      <c r="C31" s="66" t="str">
        <f>IF($A31="","",INDEX(Import_Staging!$A$2:$A$301,$H31)&amp;"")</f>
        <v/>
      </c>
      <c r="D31" s="66" t="str">
        <f>IF($A31="","",INDEX(Config!$C$39:$C$61,$J31))</f>
        <v/>
      </c>
      <c r="E31" s="66" t="str">
        <f>IF($A31="","",INDEX(Config!$D$39:$D$61,$J31))</f>
        <v/>
      </c>
      <c r="F31" s="67" t="str">
        <f>IF($A31="","",IFERROR(CHOOSE($J31,"movement_id is empty. Every row needs a unique movement ID.","movement_id "&amp;INDEX(Import_Staging!$A$2:$A$301,$H31)&amp;""&amp;" appears earlier in this file (row "&amp;IFERROR(MATCH(INDEX(Import_Staging!$A$2:$A$301,$H31),Import_Staging!$A$2:$A$301,0)+1,"?")&amp;"). Only the first row can be posted.","movement_id "&amp;INDEX(Import_Staging!$A$2:$A$301,$H31)&amp;""&amp;" is already in Inventory_Ledger. The ledger row was not changed.","date is empty.","date "&amp;""""&amp;INDEX(Import_Staging!$B$2:$B$301,$H31)&amp;""&amp;""""&amp;" is not a real date in yyyy-mm-dd format.","date "&amp;TEXT(INDEX(Import_Staging!$M$2:$M$301,$H31),"yyyy-mm-dd")&amp;" is after the as-of date "&amp;TEXT(Config!$B$4,"yyyy-mm-dd")&amp;".","type is empty.","type "&amp;""""&amp;INDEX(Import_Staging!$C$2:$C$301,$H31)&amp;""&amp;""""&amp;" is not a movement type listed on Config.","sku is empty.","SKU "&amp;INDEX(Import_Staging!$D$2:$D$301,$H31)&amp;""&amp;" is not in Products.","supplier_id is empty; receipts need the supplier.","Supplier "&amp;INDEX(Import_Staging!$E$2:$E$301,$H31)&amp;""&amp;" is not in Suppliers.","lot is empty; every movement needs its lot code.","Lot "&amp;INDEX(Import_Staging!$F$2:$F$301,$H31)&amp;""&amp;" is not recorded for "&amp;INDEX(Import_Staging!$D$2:$D$301,$H31)&amp;""&amp;" in Batches.","expiry is empty; receipts need the company-supplied expiry date.","expiry "&amp;""""&amp;INDEX(Import_Staging!$G$2:$G$301,$H31)&amp;""&amp;""""&amp;" is not a real date in yyyy-mm-dd format.","qty is empty.","qty "&amp;""""&amp;INDEX(Import_Staging!$H$2:$H$301,$H31)&amp;""&amp;""""&amp;" is not a valid quantity"&amp;IF(INDEX(Import_Staging!$C$2:$C$301,$H31)&amp;""="",""," for a "&amp;LOWER(INDEX(Import_Staging!$C$2:$C$301,$H31)&amp;""))&amp;".","lot_status is empty; receipts need a lot status.","lot_status "&amp;""""&amp;INDEX(Import_Staging!$I$2:$I$301,$H31)&amp;""&amp;""""&amp;" is not a lot status allowed on receipt (Config).","reason is empty; adjustments need a reason.","source_link is empty; every movement needs a link to its source document.","This row would take recorded stock of "&amp;INDEX(Import_Staging!$D$2:$D$301,$H31)&amp;""&amp;" from "&amp;INDEX(Import_Staging!$R$2:$R$301,$H31)&amp;" to "&amp;INDEX(Import_Staging!$S$2:$S$301,$H31)&amp;"."),$E31))</f>
        <v/>
      </c>
      <c r="G31" s="67" t="str">
        <f>IF($A31="","",INDEX(Config!$F$39:$F$61,$J31))</f>
        <v/>
      </c>
      <c r="H31" s="66" t="str">
        <f>IF($A31="","",MATCH(COUNTIF(Import_Staging!$BS$2:$BS$301,"&lt;"&amp;$A31)+1,Import_Staging!$BR$2:$BR$301,0))</f>
        <v/>
      </c>
      <c r="I31" s="66" t="str">
        <f>IF($A31="","",$A31-INDEX(Import_Staging!$BQ$2:$BQ$301,$H31))</f>
        <v/>
      </c>
      <c r="J31" s="66" t="str">
        <f>IF($A31="","",MATCH($I31,INDEX(Import_Staging!$AT$2:$BP$301,$H31,0),0))</f>
        <v/>
      </c>
    </row>
    <row r="32">
      <c r="A32" s="65" t="str">
        <f>IF(27&lt;=$F$4,27,"")</f>
        <v/>
      </c>
      <c r="B32" s="65" t="str">
        <f>IF($A32="","",$H32+1)</f>
        <v/>
      </c>
      <c r="C32" s="66" t="str">
        <f>IF($A32="","",INDEX(Import_Staging!$A$2:$A$301,$H32)&amp;"")</f>
        <v/>
      </c>
      <c r="D32" s="66" t="str">
        <f>IF($A32="","",INDEX(Config!$C$39:$C$61,$J32))</f>
        <v/>
      </c>
      <c r="E32" s="66" t="str">
        <f>IF($A32="","",INDEX(Config!$D$39:$D$61,$J32))</f>
        <v/>
      </c>
      <c r="F32" s="67" t="str">
        <f>IF($A32="","",IFERROR(CHOOSE($J32,"movement_id is empty. Every row needs a unique movement ID.","movement_id "&amp;INDEX(Import_Staging!$A$2:$A$301,$H32)&amp;""&amp;" appears earlier in this file (row "&amp;IFERROR(MATCH(INDEX(Import_Staging!$A$2:$A$301,$H32),Import_Staging!$A$2:$A$301,0)+1,"?")&amp;"). Only the first row can be posted.","movement_id "&amp;INDEX(Import_Staging!$A$2:$A$301,$H32)&amp;""&amp;" is already in Inventory_Ledger. The ledger row was not changed.","date is empty.","date "&amp;""""&amp;INDEX(Import_Staging!$B$2:$B$301,$H32)&amp;""&amp;""""&amp;" is not a real date in yyyy-mm-dd format.","date "&amp;TEXT(INDEX(Import_Staging!$M$2:$M$301,$H32),"yyyy-mm-dd")&amp;" is after the as-of date "&amp;TEXT(Config!$B$4,"yyyy-mm-dd")&amp;".","type is empty.","type "&amp;""""&amp;INDEX(Import_Staging!$C$2:$C$301,$H32)&amp;""&amp;""""&amp;" is not a movement type listed on Config.","sku is empty.","SKU "&amp;INDEX(Import_Staging!$D$2:$D$301,$H32)&amp;""&amp;" is not in Products.","supplier_id is empty; receipts need the supplier.","Supplier "&amp;INDEX(Import_Staging!$E$2:$E$301,$H32)&amp;""&amp;" is not in Suppliers.","lot is empty; every movement needs its lot code.","Lot "&amp;INDEX(Import_Staging!$F$2:$F$301,$H32)&amp;""&amp;" is not recorded for "&amp;INDEX(Import_Staging!$D$2:$D$301,$H32)&amp;""&amp;" in Batches.","expiry is empty; receipts need the company-supplied expiry date.","expiry "&amp;""""&amp;INDEX(Import_Staging!$G$2:$G$301,$H32)&amp;""&amp;""""&amp;" is not a real date in yyyy-mm-dd format.","qty is empty.","qty "&amp;""""&amp;INDEX(Import_Staging!$H$2:$H$301,$H32)&amp;""&amp;""""&amp;" is not a valid quantity"&amp;IF(INDEX(Import_Staging!$C$2:$C$301,$H32)&amp;""="",""," for a "&amp;LOWER(INDEX(Import_Staging!$C$2:$C$301,$H32)&amp;""))&amp;".","lot_status is empty; receipts need a lot status.","lot_status "&amp;""""&amp;INDEX(Import_Staging!$I$2:$I$301,$H32)&amp;""&amp;""""&amp;" is not a lot status allowed on receipt (Config).","reason is empty; adjustments need a reason.","source_link is empty; every movement needs a link to its source document.","This row would take recorded stock of "&amp;INDEX(Import_Staging!$D$2:$D$301,$H32)&amp;""&amp;" from "&amp;INDEX(Import_Staging!$R$2:$R$301,$H32)&amp;" to "&amp;INDEX(Import_Staging!$S$2:$S$301,$H32)&amp;"."),$E32))</f>
        <v/>
      </c>
      <c r="G32" s="67" t="str">
        <f>IF($A32="","",INDEX(Config!$F$39:$F$61,$J32))</f>
        <v/>
      </c>
      <c r="H32" s="66" t="str">
        <f>IF($A32="","",MATCH(COUNTIF(Import_Staging!$BS$2:$BS$301,"&lt;"&amp;$A32)+1,Import_Staging!$BR$2:$BR$301,0))</f>
        <v/>
      </c>
      <c r="I32" s="66" t="str">
        <f>IF($A32="","",$A32-INDEX(Import_Staging!$BQ$2:$BQ$301,$H32))</f>
        <v/>
      </c>
      <c r="J32" s="66" t="str">
        <f>IF($A32="","",MATCH($I32,INDEX(Import_Staging!$AT$2:$BP$301,$H32,0),0))</f>
        <v/>
      </c>
    </row>
    <row r="33">
      <c r="A33" s="65" t="str">
        <f>IF(28&lt;=$F$4,28,"")</f>
        <v/>
      </c>
      <c r="B33" s="65" t="str">
        <f>IF($A33="","",$H33+1)</f>
        <v/>
      </c>
      <c r="C33" s="66" t="str">
        <f>IF($A33="","",INDEX(Import_Staging!$A$2:$A$301,$H33)&amp;"")</f>
        <v/>
      </c>
      <c r="D33" s="66" t="str">
        <f>IF($A33="","",INDEX(Config!$C$39:$C$61,$J33))</f>
        <v/>
      </c>
      <c r="E33" s="66" t="str">
        <f>IF($A33="","",INDEX(Config!$D$39:$D$61,$J33))</f>
        <v/>
      </c>
      <c r="F33" s="67" t="str">
        <f>IF($A33="","",IFERROR(CHOOSE($J33,"movement_id is empty. Every row needs a unique movement ID.","movement_id "&amp;INDEX(Import_Staging!$A$2:$A$301,$H33)&amp;""&amp;" appears earlier in this file (row "&amp;IFERROR(MATCH(INDEX(Import_Staging!$A$2:$A$301,$H33),Import_Staging!$A$2:$A$301,0)+1,"?")&amp;"). Only the first row can be posted.","movement_id "&amp;INDEX(Import_Staging!$A$2:$A$301,$H33)&amp;""&amp;" is already in Inventory_Ledger. The ledger row was not changed.","date is empty.","date "&amp;""""&amp;INDEX(Import_Staging!$B$2:$B$301,$H33)&amp;""&amp;""""&amp;" is not a real date in yyyy-mm-dd format.","date "&amp;TEXT(INDEX(Import_Staging!$M$2:$M$301,$H33),"yyyy-mm-dd")&amp;" is after the as-of date "&amp;TEXT(Config!$B$4,"yyyy-mm-dd")&amp;".","type is empty.","type "&amp;""""&amp;INDEX(Import_Staging!$C$2:$C$301,$H33)&amp;""&amp;""""&amp;" is not a movement type listed on Config.","sku is empty.","SKU "&amp;INDEX(Import_Staging!$D$2:$D$301,$H33)&amp;""&amp;" is not in Products.","supplier_id is empty; receipts need the supplier.","Supplier "&amp;INDEX(Import_Staging!$E$2:$E$301,$H33)&amp;""&amp;" is not in Suppliers.","lot is empty; every movement needs its lot code.","Lot "&amp;INDEX(Import_Staging!$F$2:$F$301,$H33)&amp;""&amp;" is not recorded for "&amp;INDEX(Import_Staging!$D$2:$D$301,$H33)&amp;""&amp;" in Batches.","expiry is empty; receipts need the company-supplied expiry date.","expiry "&amp;""""&amp;INDEX(Import_Staging!$G$2:$G$301,$H33)&amp;""&amp;""""&amp;" is not a real date in yyyy-mm-dd format.","qty is empty.","qty "&amp;""""&amp;INDEX(Import_Staging!$H$2:$H$301,$H33)&amp;""&amp;""""&amp;" is not a valid quantity"&amp;IF(INDEX(Import_Staging!$C$2:$C$301,$H33)&amp;""="",""," for a "&amp;LOWER(INDEX(Import_Staging!$C$2:$C$301,$H33)&amp;""))&amp;".","lot_status is empty; receipts need a lot status.","lot_status "&amp;""""&amp;INDEX(Import_Staging!$I$2:$I$301,$H33)&amp;""&amp;""""&amp;" is not a lot status allowed on receipt (Config).","reason is empty; adjustments need a reason.","source_link is empty; every movement needs a link to its source document.","This row would take recorded stock of "&amp;INDEX(Import_Staging!$D$2:$D$301,$H33)&amp;""&amp;" from "&amp;INDEX(Import_Staging!$R$2:$R$301,$H33)&amp;" to "&amp;INDEX(Import_Staging!$S$2:$S$301,$H33)&amp;"."),$E33))</f>
        <v/>
      </c>
      <c r="G33" s="67" t="str">
        <f>IF($A33="","",INDEX(Config!$F$39:$F$61,$J33))</f>
        <v/>
      </c>
      <c r="H33" s="66" t="str">
        <f>IF($A33="","",MATCH(COUNTIF(Import_Staging!$BS$2:$BS$301,"&lt;"&amp;$A33)+1,Import_Staging!$BR$2:$BR$301,0))</f>
        <v/>
      </c>
      <c r="I33" s="66" t="str">
        <f>IF($A33="","",$A33-INDEX(Import_Staging!$BQ$2:$BQ$301,$H33))</f>
        <v/>
      </c>
      <c r="J33" s="66" t="str">
        <f>IF($A33="","",MATCH($I33,INDEX(Import_Staging!$AT$2:$BP$301,$H33,0),0))</f>
        <v/>
      </c>
    </row>
    <row r="34">
      <c r="A34" s="65" t="str">
        <f>IF(29&lt;=$F$4,29,"")</f>
        <v/>
      </c>
      <c r="B34" s="65" t="str">
        <f>IF($A34="","",$H34+1)</f>
        <v/>
      </c>
      <c r="C34" s="66" t="str">
        <f>IF($A34="","",INDEX(Import_Staging!$A$2:$A$301,$H34)&amp;"")</f>
        <v/>
      </c>
      <c r="D34" s="66" t="str">
        <f>IF($A34="","",INDEX(Config!$C$39:$C$61,$J34))</f>
        <v/>
      </c>
      <c r="E34" s="66" t="str">
        <f>IF($A34="","",INDEX(Config!$D$39:$D$61,$J34))</f>
        <v/>
      </c>
      <c r="F34" s="67" t="str">
        <f>IF($A34="","",IFERROR(CHOOSE($J34,"movement_id is empty. Every row needs a unique movement ID.","movement_id "&amp;INDEX(Import_Staging!$A$2:$A$301,$H34)&amp;""&amp;" appears earlier in this file (row "&amp;IFERROR(MATCH(INDEX(Import_Staging!$A$2:$A$301,$H34),Import_Staging!$A$2:$A$301,0)+1,"?")&amp;"). Only the first row can be posted.","movement_id "&amp;INDEX(Import_Staging!$A$2:$A$301,$H34)&amp;""&amp;" is already in Inventory_Ledger. The ledger row was not changed.","date is empty.","date "&amp;""""&amp;INDEX(Import_Staging!$B$2:$B$301,$H34)&amp;""&amp;""""&amp;" is not a real date in yyyy-mm-dd format.","date "&amp;TEXT(INDEX(Import_Staging!$M$2:$M$301,$H34),"yyyy-mm-dd")&amp;" is after the as-of date "&amp;TEXT(Config!$B$4,"yyyy-mm-dd")&amp;".","type is empty.","type "&amp;""""&amp;INDEX(Import_Staging!$C$2:$C$301,$H34)&amp;""&amp;""""&amp;" is not a movement type listed on Config.","sku is empty.","SKU "&amp;INDEX(Import_Staging!$D$2:$D$301,$H34)&amp;""&amp;" is not in Products.","supplier_id is empty; receipts need the supplier.","Supplier "&amp;INDEX(Import_Staging!$E$2:$E$301,$H34)&amp;""&amp;" is not in Suppliers.","lot is empty; every movement needs its lot code.","Lot "&amp;INDEX(Import_Staging!$F$2:$F$301,$H34)&amp;""&amp;" is not recorded for "&amp;INDEX(Import_Staging!$D$2:$D$301,$H34)&amp;""&amp;" in Batches.","expiry is empty; receipts need the company-supplied expiry date.","expiry "&amp;""""&amp;INDEX(Import_Staging!$G$2:$G$301,$H34)&amp;""&amp;""""&amp;" is not a real date in yyyy-mm-dd format.","qty is empty.","qty "&amp;""""&amp;INDEX(Import_Staging!$H$2:$H$301,$H34)&amp;""&amp;""""&amp;" is not a valid quantity"&amp;IF(INDEX(Import_Staging!$C$2:$C$301,$H34)&amp;""="",""," for a "&amp;LOWER(INDEX(Import_Staging!$C$2:$C$301,$H34)&amp;""))&amp;".","lot_status is empty; receipts need a lot status.","lot_status "&amp;""""&amp;INDEX(Import_Staging!$I$2:$I$301,$H34)&amp;""&amp;""""&amp;" is not a lot status allowed on receipt (Config).","reason is empty; adjustments need a reason.","source_link is empty; every movement needs a link to its source document.","This row would take recorded stock of "&amp;INDEX(Import_Staging!$D$2:$D$301,$H34)&amp;""&amp;" from "&amp;INDEX(Import_Staging!$R$2:$R$301,$H34)&amp;" to "&amp;INDEX(Import_Staging!$S$2:$S$301,$H34)&amp;"."),$E34))</f>
        <v/>
      </c>
      <c r="G34" s="67" t="str">
        <f>IF($A34="","",INDEX(Config!$F$39:$F$61,$J34))</f>
        <v/>
      </c>
      <c r="H34" s="66" t="str">
        <f>IF($A34="","",MATCH(COUNTIF(Import_Staging!$BS$2:$BS$301,"&lt;"&amp;$A34)+1,Import_Staging!$BR$2:$BR$301,0))</f>
        <v/>
      </c>
      <c r="I34" s="66" t="str">
        <f>IF($A34="","",$A34-INDEX(Import_Staging!$BQ$2:$BQ$301,$H34))</f>
        <v/>
      </c>
      <c r="J34" s="66" t="str">
        <f>IF($A34="","",MATCH($I34,INDEX(Import_Staging!$AT$2:$BP$301,$H34,0),0))</f>
        <v/>
      </c>
    </row>
    <row r="35">
      <c r="A35" s="65" t="str">
        <f>IF(30&lt;=$F$4,30,"")</f>
        <v/>
      </c>
      <c r="B35" s="65" t="str">
        <f>IF($A35="","",$H35+1)</f>
        <v/>
      </c>
      <c r="C35" s="66" t="str">
        <f>IF($A35="","",INDEX(Import_Staging!$A$2:$A$301,$H35)&amp;"")</f>
        <v/>
      </c>
      <c r="D35" s="66" t="str">
        <f>IF($A35="","",INDEX(Config!$C$39:$C$61,$J35))</f>
        <v/>
      </c>
      <c r="E35" s="66" t="str">
        <f>IF($A35="","",INDEX(Config!$D$39:$D$61,$J35))</f>
        <v/>
      </c>
      <c r="F35" s="67" t="str">
        <f>IF($A35="","",IFERROR(CHOOSE($J35,"movement_id is empty. Every row needs a unique movement ID.","movement_id "&amp;INDEX(Import_Staging!$A$2:$A$301,$H35)&amp;""&amp;" appears earlier in this file (row "&amp;IFERROR(MATCH(INDEX(Import_Staging!$A$2:$A$301,$H35),Import_Staging!$A$2:$A$301,0)+1,"?")&amp;"). Only the first row can be posted.","movement_id "&amp;INDEX(Import_Staging!$A$2:$A$301,$H35)&amp;""&amp;" is already in Inventory_Ledger. The ledger row was not changed.","date is empty.","date "&amp;""""&amp;INDEX(Import_Staging!$B$2:$B$301,$H35)&amp;""&amp;""""&amp;" is not a real date in yyyy-mm-dd format.","date "&amp;TEXT(INDEX(Import_Staging!$M$2:$M$301,$H35),"yyyy-mm-dd")&amp;" is after the as-of date "&amp;TEXT(Config!$B$4,"yyyy-mm-dd")&amp;".","type is empty.","type "&amp;""""&amp;INDEX(Import_Staging!$C$2:$C$301,$H35)&amp;""&amp;""""&amp;" is not a movement type listed on Config.","sku is empty.","SKU "&amp;INDEX(Import_Staging!$D$2:$D$301,$H35)&amp;""&amp;" is not in Products.","supplier_id is empty; receipts need the supplier.","Supplier "&amp;INDEX(Import_Staging!$E$2:$E$301,$H35)&amp;""&amp;" is not in Suppliers.","lot is empty; every movement needs its lot code.","Lot "&amp;INDEX(Import_Staging!$F$2:$F$301,$H35)&amp;""&amp;" is not recorded for "&amp;INDEX(Import_Staging!$D$2:$D$301,$H35)&amp;""&amp;" in Batches.","expiry is empty; receipts need the company-supplied expiry date.","expiry "&amp;""""&amp;INDEX(Import_Staging!$G$2:$G$301,$H35)&amp;""&amp;""""&amp;" is not a real date in yyyy-mm-dd format.","qty is empty.","qty "&amp;""""&amp;INDEX(Import_Staging!$H$2:$H$301,$H35)&amp;""&amp;""""&amp;" is not a valid quantity"&amp;IF(INDEX(Import_Staging!$C$2:$C$301,$H35)&amp;""="",""," for a "&amp;LOWER(INDEX(Import_Staging!$C$2:$C$301,$H35)&amp;""))&amp;".","lot_status is empty; receipts need a lot status.","lot_status "&amp;""""&amp;INDEX(Import_Staging!$I$2:$I$301,$H35)&amp;""&amp;""""&amp;" is not a lot status allowed on receipt (Config).","reason is empty; adjustments need a reason.","source_link is empty; every movement needs a link to its source document.","This row would take recorded stock of "&amp;INDEX(Import_Staging!$D$2:$D$301,$H35)&amp;""&amp;" from "&amp;INDEX(Import_Staging!$R$2:$R$301,$H35)&amp;" to "&amp;INDEX(Import_Staging!$S$2:$S$301,$H35)&amp;"."),$E35))</f>
        <v/>
      </c>
      <c r="G35" s="67" t="str">
        <f>IF($A35="","",INDEX(Config!$F$39:$F$61,$J35))</f>
        <v/>
      </c>
      <c r="H35" s="66" t="str">
        <f>IF($A35="","",MATCH(COUNTIF(Import_Staging!$BS$2:$BS$301,"&lt;"&amp;$A35)+1,Import_Staging!$BR$2:$BR$301,0))</f>
        <v/>
      </c>
      <c r="I35" s="66" t="str">
        <f>IF($A35="","",$A35-INDEX(Import_Staging!$BQ$2:$BQ$301,$H35))</f>
        <v/>
      </c>
      <c r="J35" s="66" t="str">
        <f>IF($A35="","",MATCH($I35,INDEX(Import_Staging!$AT$2:$BP$301,$H35,0),0))</f>
        <v/>
      </c>
    </row>
    <row r="36">
      <c r="A36" s="65" t="str">
        <f>IF(31&lt;=$F$4,31,"")</f>
        <v/>
      </c>
      <c r="B36" s="65" t="str">
        <f>IF($A36="","",$H36+1)</f>
        <v/>
      </c>
      <c r="C36" s="66" t="str">
        <f>IF($A36="","",INDEX(Import_Staging!$A$2:$A$301,$H36)&amp;"")</f>
        <v/>
      </c>
      <c r="D36" s="66" t="str">
        <f>IF($A36="","",INDEX(Config!$C$39:$C$61,$J36))</f>
        <v/>
      </c>
      <c r="E36" s="66" t="str">
        <f>IF($A36="","",INDEX(Config!$D$39:$D$61,$J36))</f>
        <v/>
      </c>
      <c r="F36" s="67" t="str">
        <f>IF($A36="","",IFERROR(CHOOSE($J36,"movement_id is empty. Every row needs a unique movement ID.","movement_id "&amp;INDEX(Import_Staging!$A$2:$A$301,$H36)&amp;""&amp;" appears earlier in this file (row "&amp;IFERROR(MATCH(INDEX(Import_Staging!$A$2:$A$301,$H36),Import_Staging!$A$2:$A$301,0)+1,"?")&amp;"). Only the first row can be posted.","movement_id "&amp;INDEX(Import_Staging!$A$2:$A$301,$H36)&amp;""&amp;" is already in Inventory_Ledger. The ledger row was not changed.","date is empty.","date "&amp;""""&amp;INDEX(Import_Staging!$B$2:$B$301,$H36)&amp;""&amp;""""&amp;" is not a real date in yyyy-mm-dd format.","date "&amp;TEXT(INDEX(Import_Staging!$M$2:$M$301,$H36),"yyyy-mm-dd")&amp;" is after the as-of date "&amp;TEXT(Config!$B$4,"yyyy-mm-dd")&amp;".","type is empty.","type "&amp;""""&amp;INDEX(Import_Staging!$C$2:$C$301,$H36)&amp;""&amp;""""&amp;" is not a movement type listed on Config.","sku is empty.","SKU "&amp;INDEX(Import_Staging!$D$2:$D$301,$H36)&amp;""&amp;" is not in Products.","supplier_id is empty; receipts need the supplier.","Supplier "&amp;INDEX(Import_Staging!$E$2:$E$301,$H36)&amp;""&amp;" is not in Suppliers.","lot is empty; every movement needs its lot code.","Lot "&amp;INDEX(Import_Staging!$F$2:$F$301,$H36)&amp;""&amp;" is not recorded for "&amp;INDEX(Import_Staging!$D$2:$D$301,$H36)&amp;""&amp;" in Batches.","expiry is empty; receipts need the company-supplied expiry date.","expiry "&amp;""""&amp;INDEX(Import_Staging!$G$2:$G$301,$H36)&amp;""&amp;""""&amp;" is not a real date in yyyy-mm-dd format.","qty is empty.","qty "&amp;""""&amp;INDEX(Import_Staging!$H$2:$H$301,$H36)&amp;""&amp;""""&amp;" is not a valid quantity"&amp;IF(INDEX(Import_Staging!$C$2:$C$301,$H36)&amp;""="",""," for a "&amp;LOWER(INDEX(Import_Staging!$C$2:$C$301,$H36)&amp;""))&amp;".","lot_status is empty; receipts need a lot status.","lot_status "&amp;""""&amp;INDEX(Import_Staging!$I$2:$I$301,$H36)&amp;""&amp;""""&amp;" is not a lot status allowed on receipt (Config).","reason is empty; adjustments need a reason.","source_link is empty; every movement needs a link to its source document.","This row would take recorded stock of "&amp;INDEX(Import_Staging!$D$2:$D$301,$H36)&amp;""&amp;" from "&amp;INDEX(Import_Staging!$R$2:$R$301,$H36)&amp;" to "&amp;INDEX(Import_Staging!$S$2:$S$301,$H36)&amp;"."),$E36))</f>
        <v/>
      </c>
      <c r="G36" s="67" t="str">
        <f>IF($A36="","",INDEX(Config!$F$39:$F$61,$J36))</f>
        <v/>
      </c>
      <c r="H36" s="66" t="str">
        <f>IF($A36="","",MATCH(COUNTIF(Import_Staging!$BS$2:$BS$301,"&lt;"&amp;$A36)+1,Import_Staging!$BR$2:$BR$301,0))</f>
        <v/>
      </c>
      <c r="I36" s="66" t="str">
        <f>IF($A36="","",$A36-INDEX(Import_Staging!$BQ$2:$BQ$301,$H36))</f>
        <v/>
      </c>
      <c r="J36" s="66" t="str">
        <f>IF($A36="","",MATCH($I36,INDEX(Import_Staging!$AT$2:$BP$301,$H36,0),0))</f>
        <v/>
      </c>
    </row>
    <row r="37">
      <c r="A37" s="65" t="str">
        <f>IF(32&lt;=$F$4,32,"")</f>
        <v/>
      </c>
      <c r="B37" s="65" t="str">
        <f>IF($A37="","",$H37+1)</f>
        <v/>
      </c>
      <c r="C37" s="66" t="str">
        <f>IF($A37="","",INDEX(Import_Staging!$A$2:$A$301,$H37)&amp;"")</f>
        <v/>
      </c>
      <c r="D37" s="66" t="str">
        <f>IF($A37="","",INDEX(Config!$C$39:$C$61,$J37))</f>
        <v/>
      </c>
      <c r="E37" s="66" t="str">
        <f>IF($A37="","",INDEX(Config!$D$39:$D$61,$J37))</f>
        <v/>
      </c>
      <c r="F37" s="67" t="str">
        <f>IF($A37="","",IFERROR(CHOOSE($J37,"movement_id is empty. Every row needs a unique movement ID.","movement_id "&amp;INDEX(Import_Staging!$A$2:$A$301,$H37)&amp;""&amp;" appears earlier in this file (row "&amp;IFERROR(MATCH(INDEX(Import_Staging!$A$2:$A$301,$H37),Import_Staging!$A$2:$A$301,0)+1,"?")&amp;"). Only the first row can be posted.","movement_id "&amp;INDEX(Import_Staging!$A$2:$A$301,$H37)&amp;""&amp;" is already in Inventory_Ledger. The ledger row was not changed.","date is empty.","date "&amp;""""&amp;INDEX(Import_Staging!$B$2:$B$301,$H37)&amp;""&amp;""""&amp;" is not a real date in yyyy-mm-dd format.","date "&amp;TEXT(INDEX(Import_Staging!$M$2:$M$301,$H37),"yyyy-mm-dd")&amp;" is after the as-of date "&amp;TEXT(Config!$B$4,"yyyy-mm-dd")&amp;".","type is empty.","type "&amp;""""&amp;INDEX(Import_Staging!$C$2:$C$301,$H37)&amp;""&amp;""""&amp;" is not a movement type listed on Config.","sku is empty.","SKU "&amp;INDEX(Import_Staging!$D$2:$D$301,$H37)&amp;""&amp;" is not in Products.","supplier_id is empty; receipts need the supplier.","Supplier "&amp;INDEX(Import_Staging!$E$2:$E$301,$H37)&amp;""&amp;" is not in Suppliers.","lot is empty; every movement needs its lot code.","Lot "&amp;INDEX(Import_Staging!$F$2:$F$301,$H37)&amp;""&amp;" is not recorded for "&amp;INDEX(Import_Staging!$D$2:$D$301,$H37)&amp;""&amp;" in Batches.","expiry is empty; receipts need the company-supplied expiry date.","expiry "&amp;""""&amp;INDEX(Import_Staging!$G$2:$G$301,$H37)&amp;""&amp;""""&amp;" is not a real date in yyyy-mm-dd format.","qty is empty.","qty "&amp;""""&amp;INDEX(Import_Staging!$H$2:$H$301,$H37)&amp;""&amp;""""&amp;" is not a valid quantity"&amp;IF(INDEX(Import_Staging!$C$2:$C$301,$H37)&amp;""="",""," for a "&amp;LOWER(INDEX(Import_Staging!$C$2:$C$301,$H37)&amp;""))&amp;".","lot_status is empty; receipts need a lot status.","lot_status "&amp;""""&amp;INDEX(Import_Staging!$I$2:$I$301,$H37)&amp;""&amp;""""&amp;" is not a lot status allowed on receipt (Config).","reason is empty; adjustments need a reason.","source_link is empty; every movement needs a link to its source document.","This row would take recorded stock of "&amp;INDEX(Import_Staging!$D$2:$D$301,$H37)&amp;""&amp;" from "&amp;INDEX(Import_Staging!$R$2:$R$301,$H37)&amp;" to "&amp;INDEX(Import_Staging!$S$2:$S$301,$H37)&amp;"."),$E37))</f>
        <v/>
      </c>
      <c r="G37" s="67" t="str">
        <f>IF($A37="","",INDEX(Config!$F$39:$F$61,$J37))</f>
        <v/>
      </c>
      <c r="H37" s="66" t="str">
        <f>IF($A37="","",MATCH(COUNTIF(Import_Staging!$BS$2:$BS$301,"&lt;"&amp;$A37)+1,Import_Staging!$BR$2:$BR$301,0))</f>
        <v/>
      </c>
      <c r="I37" s="66" t="str">
        <f>IF($A37="","",$A37-INDEX(Import_Staging!$BQ$2:$BQ$301,$H37))</f>
        <v/>
      </c>
      <c r="J37" s="66" t="str">
        <f>IF($A37="","",MATCH($I37,INDEX(Import_Staging!$AT$2:$BP$301,$H37,0),0))</f>
        <v/>
      </c>
    </row>
    <row r="38">
      <c r="A38" s="65" t="str">
        <f>IF(33&lt;=$F$4,33,"")</f>
        <v/>
      </c>
      <c r="B38" s="65" t="str">
        <f>IF($A38="","",$H38+1)</f>
        <v/>
      </c>
      <c r="C38" s="66" t="str">
        <f>IF($A38="","",INDEX(Import_Staging!$A$2:$A$301,$H38)&amp;"")</f>
        <v/>
      </c>
      <c r="D38" s="66" t="str">
        <f>IF($A38="","",INDEX(Config!$C$39:$C$61,$J38))</f>
        <v/>
      </c>
      <c r="E38" s="66" t="str">
        <f>IF($A38="","",INDEX(Config!$D$39:$D$61,$J38))</f>
        <v/>
      </c>
      <c r="F38" s="67" t="str">
        <f>IF($A38="","",IFERROR(CHOOSE($J38,"movement_id is empty. Every row needs a unique movement ID.","movement_id "&amp;INDEX(Import_Staging!$A$2:$A$301,$H38)&amp;""&amp;" appears earlier in this file (row "&amp;IFERROR(MATCH(INDEX(Import_Staging!$A$2:$A$301,$H38),Import_Staging!$A$2:$A$301,0)+1,"?")&amp;"). Only the first row can be posted.","movement_id "&amp;INDEX(Import_Staging!$A$2:$A$301,$H38)&amp;""&amp;" is already in Inventory_Ledger. The ledger row was not changed.","date is empty.","date "&amp;""""&amp;INDEX(Import_Staging!$B$2:$B$301,$H38)&amp;""&amp;""""&amp;" is not a real date in yyyy-mm-dd format.","date "&amp;TEXT(INDEX(Import_Staging!$M$2:$M$301,$H38),"yyyy-mm-dd")&amp;" is after the as-of date "&amp;TEXT(Config!$B$4,"yyyy-mm-dd")&amp;".","type is empty.","type "&amp;""""&amp;INDEX(Import_Staging!$C$2:$C$301,$H38)&amp;""&amp;""""&amp;" is not a movement type listed on Config.","sku is empty.","SKU "&amp;INDEX(Import_Staging!$D$2:$D$301,$H38)&amp;""&amp;" is not in Products.","supplier_id is empty; receipts need the supplier.","Supplier "&amp;INDEX(Import_Staging!$E$2:$E$301,$H38)&amp;""&amp;" is not in Suppliers.","lot is empty; every movement needs its lot code.","Lot "&amp;INDEX(Import_Staging!$F$2:$F$301,$H38)&amp;""&amp;" is not recorded for "&amp;INDEX(Import_Staging!$D$2:$D$301,$H38)&amp;""&amp;" in Batches.","expiry is empty; receipts need the company-supplied expiry date.","expiry "&amp;""""&amp;INDEX(Import_Staging!$G$2:$G$301,$H38)&amp;""&amp;""""&amp;" is not a real date in yyyy-mm-dd format.","qty is empty.","qty "&amp;""""&amp;INDEX(Import_Staging!$H$2:$H$301,$H38)&amp;""&amp;""""&amp;" is not a valid quantity"&amp;IF(INDEX(Import_Staging!$C$2:$C$301,$H38)&amp;""="",""," for a "&amp;LOWER(INDEX(Import_Staging!$C$2:$C$301,$H38)&amp;""))&amp;".","lot_status is empty; receipts need a lot status.","lot_status "&amp;""""&amp;INDEX(Import_Staging!$I$2:$I$301,$H38)&amp;""&amp;""""&amp;" is not a lot status allowed on receipt (Config).","reason is empty; adjustments need a reason.","source_link is empty; every movement needs a link to its source document.","This row would take recorded stock of "&amp;INDEX(Import_Staging!$D$2:$D$301,$H38)&amp;""&amp;" from "&amp;INDEX(Import_Staging!$R$2:$R$301,$H38)&amp;" to "&amp;INDEX(Import_Staging!$S$2:$S$301,$H38)&amp;"."),$E38))</f>
        <v/>
      </c>
      <c r="G38" s="67" t="str">
        <f>IF($A38="","",INDEX(Config!$F$39:$F$61,$J38))</f>
        <v/>
      </c>
      <c r="H38" s="66" t="str">
        <f>IF($A38="","",MATCH(COUNTIF(Import_Staging!$BS$2:$BS$301,"&lt;"&amp;$A38)+1,Import_Staging!$BR$2:$BR$301,0))</f>
        <v/>
      </c>
      <c r="I38" s="66" t="str">
        <f>IF($A38="","",$A38-INDEX(Import_Staging!$BQ$2:$BQ$301,$H38))</f>
        <v/>
      </c>
      <c r="J38" s="66" t="str">
        <f>IF($A38="","",MATCH($I38,INDEX(Import_Staging!$AT$2:$BP$301,$H38,0),0))</f>
        <v/>
      </c>
    </row>
    <row r="39">
      <c r="A39" s="65" t="str">
        <f>IF(34&lt;=$F$4,34,"")</f>
        <v/>
      </c>
      <c r="B39" s="65" t="str">
        <f>IF($A39="","",$H39+1)</f>
        <v/>
      </c>
      <c r="C39" s="66" t="str">
        <f>IF($A39="","",INDEX(Import_Staging!$A$2:$A$301,$H39)&amp;"")</f>
        <v/>
      </c>
      <c r="D39" s="66" t="str">
        <f>IF($A39="","",INDEX(Config!$C$39:$C$61,$J39))</f>
        <v/>
      </c>
      <c r="E39" s="66" t="str">
        <f>IF($A39="","",INDEX(Config!$D$39:$D$61,$J39))</f>
        <v/>
      </c>
      <c r="F39" s="67" t="str">
        <f>IF($A39="","",IFERROR(CHOOSE($J39,"movement_id is empty. Every row needs a unique movement ID.","movement_id "&amp;INDEX(Import_Staging!$A$2:$A$301,$H39)&amp;""&amp;" appears earlier in this file (row "&amp;IFERROR(MATCH(INDEX(Import_Staging!$A$2:$A$301,$H39),Import_Staging!$A$2:$A$301,0)+1,"?")&amp;"). Only the first row can be posted.","movement_id "&amp;INDEX(Import_Staging!$A$2:$A$301,$H39)&amp;""&amp;" is already in Inventory_Ledger. The ledger row was not changed.","date is empty.","date "&amp;""""&amp;INDEX(Import_Staging!$B$2:$B$301,$H39)&amp;""&amp;""""&amp;" is not a real date in yyyy-mm-dd format.","date "&amp;TEXT(INDEX(Import_Staging!$M$2:$M$301,$H39),"yyyy-mm-dd")&amp;" is after the as-of date "&amp;TEXT(Config!$B$4,"yyyy-mm-dd")&amp;".","type is empty.","type "&amp;""""&amp;INDEX(Import_Staging!$C$2:$C$301,$H39)&amp;""&amp;""""&amp;" is not a movement type listed on Config.","sku is empty.","SKU "&amp;INDEX(Import_Staging!$D$2:$D$301,$H39)&amp;""&amp;" is not in Products.","supplier_id is empty; receipts need the supplier.","Supplier "&amp;INDEX(Import_Staging!$E$2:$E$301,$H39)&amp;""&amp;" is not in Suppliers.","lot is empty; every movement needs its lot code.","Lot "&amp;INDEX(Import_Staging!$F$2:$F$301,$H39)&amp;""&amp;" is not recorded for "&amp;INDEX(Import_Staging!$D$2:$D$301,$H39)&amp;""&amp;" in Batches.","expiry is empty; receipts need the company-supplied expiry date.","expiry "&amp;""""&amp;INDEX(Import_Staging!$G$2:$G$301,$H39)&amp;""&amp;""""&amp;" is not a real date in yyyy-mm-dd format.","qty is empty.","qty "&amp;""""&amp;INDEX(Import_Staging!$H$2:$H$301,$H39)&amp;""&amp;""""&amp;" is not a valid quantity"&amp;IF(INDEX(Import_Staging!$C$2:$C$301,$H39)&amp;""="",""," for a "&amp;LOWER(INDEX(Import_Staging!$C$2:$C$301,$H39)&amp;""))&amp;".","lot_status is empty; receipts need a lot status.","lot_status "&amp;""""&amp;INDEX(Import_Staging!$I$2:$I$301,$H39)&amp;""&amp;""""&amp;" is not a lot status allowed on receipt (Config).","reason is empty; adjustments need a reason.","source_link is empty; every movement needs a link to its source document.","This row would take recorded stock of "&amp;INDEX(Import_Staging!$D$2:$D$301,$H39)&amp;""&amp;" from "&amp;INDEX(Import_Staging!$R$2:$R$301,$H39)&amp;" to "&amp;INDEX(Import_Staging!$S$2:$S$301,$H39)&amp;"."),$E39))</f>
        <v/>
      </c>
      <c r="G39" s="67" t="str">
        <f>IF($A39="","",INDEX(Config!$F$39:$F$61,$J39))</f>
        <v/>
      </c>
      <c r="H39" s="66" t="str">
        <f>IF($A39="","",MATCH(COUNTIF(Import_Staging!$BS$2:$BS$301,"&lt;"&amp;$A39)+1,Import_Staging!$BR$2:$BR$301,0))</f>
        <v/>
      </c>
      <c r="I39" s="66" t="str">
        <f>IF($A39="","",$A39-INDEX(Import_Staging!$BQ$2:$BQ$301,$H39))</f>
        <v/>
      </c>
      <c r="J39" s="66" t="str">
        <f>IF($A39="","",MATCH($I39,INDEX(Import_Staging!$AT$2:$BP$301,$H39,0),0))</f>
        <v/>
      </c>
    </row>
    <row r="40">
      <c r="A40" s="65" t="str">
        <f>IF(35&lt;=$F$4,35,"")</f>
        <v/>
      </c>
      <c r="B40" s="65" t="str">
        <f>IF($A40="","",$H40+1)</f>
        <v/>
      </c>
      <c r="C40" s="66" t="str">
        <f>IF($A40="","",INDEX(Import_Staging!$A$2:$A$301,$H40)&amp;"")</f>
        <v/>
      </c>
      <c r="D40" s="66" t="str">
        <f>IF($A40="","",INDEX(Config!$C$39:$C$61,$J40))</f>
        <v/>
      </c>
      <c r="E40" s="66" t="str">
        <f>IF($A40="","",INDEX(Config!$D$39:$D$61,$J40))</f>
        <v/>
      </c>
      <c r="F40" s="67" t="str">
        <f>IF($A40="","",IFERROR(CHOOSE($J40,"movement_id is empty. Every row needs a unique movement ID.","movement_id "&amp;INDEX(Import_Staging!$A$2:$A$301,$H40)&amp;""&amp;" appears earlier in this file (row "&amp;IFERROR(MATCH(INDEX(Import_Staging!$A$2:$A$301,$H40),Import_Staging!$A$2:$A$301,0)+1,"?")&amp;"). Only the first row can be posted.","movement_id "&amp;INDEX(Import_Staging!$A$2:$A$301,$H40)&amp;""&amp;" is already in Inventory_Ledger. The ledger row was not changed.","date is empty.","date "&amp;""""&amp;INDEX(Import_Staging!$B$2:$B$301,$H40)&amp;""&amp;""""&amp;" is not a real date in yyyy-mm-dd format.","date "&amp;TEXT(INDEX(Import_Staging!$M$2:$M$301,$H40),"yyyy-mm-dd")&amp;" is after the as-of date "&amp;TEXT(Config!$B$4,"yyyy-mm-dd")&amp;".","type is empty.","type "&amp;""""&amp;INDEX(Import_Staging!$C$2:$C$301,$H40)&amp;""&amp;""""&amp;" is not a movement type listed on Config.","sku is empty.","SKU "&amp;INDEX(Import_Staging!$D$2:$D$301,$H40)&amp;""&amp;" is not in Products.","supplier_id is empty; receipts need the supplier.","Supplier "&amp;INDEX(Import_Staging!$E$2:$E$301,$H40)&amp;""&amp;" is not in Suppliers.","lot is empty; every movement needs its lot code.","Lot "&amp;INDEX(Import_Staging!$F$2:$F$301,$H40)&amp;""&amp;" is not recorded for "&amp;INDEX(Import_Staging!$D$2:$D$301,$H40)&amp;""&amp;" in Batches.","expiry is empty; receipts need the company-supplied expiry date.","expiry "&amp;""""&amp;INDEX(Import_Staging!$G$2:$G$301,$H40)&amp;""&amp;""""&amp;" is not a real date in yyyy-mm-dd format.","qty is empty.","qty "&amp;""""&amp;INDEX(Import_Staging!$H$2:$H$301,$H40)&amp;""&amp;""""&amp;" is not a valid quantity"&amp;IF(INDEX(Import_Staging!$C$2:$C$301,$H40)&amp;""="",""," for a "&amp;LOWER(INDEX(Import_Staging!$C$2:$C$301,$H40)&amp;""))&amp;".","lot_status is empty; receipts need a lot status.","lot_status "&amp;""""&amp;INDEX(Import_Staging!$I$2:$I$301,$H40)&amp;""&amp;""""&amp;" is not a lot status allowed on receipt (Config).","reason is empty; adjustments need a reason.","source_link is empty; every movement needs a link to its source document.","This row would take recorded stock of "&amp;INDEX(Import_Staging!$D$2:$D$301,$H40)&amp;""&amp;" from "&amp;INDEX(Import_Staging!$R$2:$R$301,$H40)&amp;" to "&amp;INDEX(Import_Staging!$S$2:$S$301,$H40)&amp;"."),$E40))</f>
        <v/>
      </c>
      <c r="G40" s="67" t="str">
        <f>IF($A40="","",INDEX(Config!$F$39:$F$61,$J40))</f>
        <v/>
      </c>
      <c r="H40" s="66" t="str">
        <f>IF($A40="","",MATCH(COUNTIF(Import_Staging!$BS$2:$BS$301,"&lt;"&amp;$A40)+1,Import_Staging!$BR$2:$BR$301,0))</f>
        <v/>
      </c>
      <c r="I40" s="66" t="str">
        <f>IF($A40="","",$A40-INDEX(Import_Staging!$BQ$2:$BQ$301,$H40))</f>
        <v/>
      </c>
      <c r="J40" s="66" t="str">
        <f>IF($A40="","",MATCH($I40,INDEX(Import_Staging!$AT$2:$BP$301,$H40,0),0))</f>
        <v/>
      </c>
    </row>
    <row r="41">
      <c r="A41" s="65" t="str">
        <f>IF(36&lt;=$F$4,36,"")</f>
        <v/>
      </c>
      <c r="B41" s="65" t="str">
        <f>IF($A41="","",$H41+1)</f>
        <v/>
      </c>
      <c r="C41" s="66" t="str">
        <f>IF($A41="","",INDEX(Import_Staging!$A$2:$A$301,$H41)&amp;"")</f>
        <v/>
      </c>
      <c r="D41" s="66" t="str">
        <f>IF($A41="","",INDEX(Config!$C$39:$C$61,$J41))</f>
        <v/>
      </c>
      <c r="E41" s="66" t="str">
        <f>IF($A41="","",INDEX(Config!$D$39:$D$61,$J41))</f>
        <v/>
      </c>
      <c r="F41" s="67" t="str">
        <f>IF($A41="","",IFERROR(CHOOSE($J41,"movement_id is empty. Every row needs a unique movement ID.","movement_id "&amp;INDEX(Import_Staging!$A$2:$A$301,$H41)&amp;""&amp;" appears earlier in this file (row "&amp;IFERROR(MATCH(INDEX(Import_Staging!$A$2:$A$301,$H41),Import_Staging!$A$2:$A$301,0)+1,"?")&amp;"). Only the first row can be posted.","movement_id "&amp;INDEX(Import_Staging!$A$2:$A$301,$H41)&amp;""&amp;" is already in Inventory_Ledger. The ledger row was not changed.","date is empty.","date "&amp;""""&amp;INDEX(Import_Staging!$B$2:$B$301,$H41)&amp;""&amp;""""&amp;" is not a real date in yyyy-mm-dd format.","date "&amp;TEXT(INDEX(Import_Staging!$M$2:$M$301,$H41),"yyyy-mm-dd")&amp;" is after the as-of date "&amp;TEXT(Config!$B$4,"yyyy-mm-dd")&amp;".","type is empty.","type "&amp;""""&amp;INDEX(Import_Staging!$C$2:$C$301,$H41)&amp;""&amp;""""&amp;" is not a movement type listed on Config.","sku is empty.","SKU "&amp;INDEX(Import_Staging!$D$2:$D$301,$H41)&amp;""&amp;" is not in Products.","supplier_id is empty; receipts need the supplier.","Supplier "&amp;INDEX(Import_Staging!$E$2:$E$301,$H41)&amp;""&amp;" is not in Suppliers.","lot is empty; every movement needs its lot code.","Lot "&amp;INDEX(Import_Staging!$F$2:$F$301,$H41)&amp;""&amp;" is not recorded for "&amp;INDEX(Import_Staging!$D$2:$D$301,$H41)&amp;""&amp;" in Batches.","expiry is empty; receipts need the company-supplied expiry date.","expiry "&amp;""""&amp;INDEX(Import_Staging!$G$2:$G$301,$H41)&amp;""&amp;""""&amp;" is not a real date in yyyy-mm-dd format.","qty is empty.","qty "&amp;""""&amp;INDEX(Import_Staging!$H$2:$H$301,$H41)&amp;""&amp;""""&amp;" is not a valid quantity"&amp;IF(INDEX(Import_Staging!$C$2:$C$301,$H41)&amp;""="",""," for a "&amp;LOWER(INDEX(Import_Staging!$C$2:$C$301,$H41)&amp;""))&amp;".","lot_status is empty; receipts need a lot status.","lot_status "&amp;""""&amp;INDEX(Import_Staging!$I$2:$I$301,$H41)&amp;""&amp;""""&amp;" is not a lot status allowed on receipt (Config).","reason is empty; adjustments need a reason.","source_link is empty; every movement needs a link to its source document.","This row would take recorded stock of "&amp;INDEX(Import_Staging!$D$2:$D$301,$H41)&amp;""&amp;" from "&amp;INDEX(Import_Staging!$R$2:$R$301,$H41)&amp;" to "&amp;INDEX(Import_Staging!$S$2:$S$301,$H41)&amp;"."),$E41))</f>
        <v/>
      </c>
      <c r="G41" s="67" t="str">
        <f>IF($A41="","",INDEX(Config!$F$39:$F$61,$J41))</f>
        <v/>
      </c>
      <c r="H41" s="66" t="str">
        <f>IF($A41="","",MATCH(COUNTIF(Import_Staging!$BS$2:$BS$301,"&lt;"&amp;$A41)+1,Import_Staging!$BR$2:$BR$301,0))</f>
        <v/>
      </c>
      <c r="I41" s="66" t="str">
        <f>IF($A41="","",$A41-INDEX(Import_Staging!$BQ$2:$BQ$301,$H41))</f>
        <v/>
      </c>
      <c r="J41" s="66" t="str">
        <f>IF($A41="","",MATCH($I41,INDEX(Import_Staging!$AT$2:$BP$301,$H41,0),0))</f>
        <v/>
      </c>
    </row>
    <row r="42">
      <c r="A42" s="65" t="str">
        <f>IF(37&lt;=$F$4,37,"")</f>
        <v/>
      </c>
      <c r="B42" s="65" t="str">
        <f>IF($A42="","",$H42+1)</f>
        <v/>
      </c>
      <c r="C42" s="66" t="str">
        <f>IF($A42="","",INDEX(Import_Staging!$A$2:$A$301,$H42)&amp;"")</f>
        <v/>
      </c>
      <c r="D42" s="66" t="str">
        <f>IF($A42="","",INDEX(Config!$C$39:$C$61,$J42))</f>
        <v/>
      </c>
      <c r="E42" s="66" t="str">
        <f>IF($A42="","",INDEX(Config!$D$39:$D$61,$J42))</f>
        <v/>
      </c>
      <c r="F42" s="67" t="str">
        <f>IF($A42="","",IFERROR(CHOOSE($J42,"movement_id is empty. Every row needs a unique movement ID.","movement_id "&amp;INDEX(Import_Staging!$A$2:$A$301,$H42)&amp;""&amp;" appears earlier in this file (row "&amp;IFERROR(MATCH(INDEX(Import_Staging!$A$2:$A$301,$H42),Import_Staging!$A$2:$A$301,0)+1,"?")&amp;"). Only the first row can be posted.","movement_id "&amp;INDEX(Import_Staging!$A$2:$A$301,$H42)&amp;""&amp;" is already in Inventory_Ledger. The ledger row was not changed.","date is empty.","date "&amp;""""&amp;INDEX(Import_Staging!$B$2:$B$301,$H42)&amp;""&amp;""""&amp;" is not a real date in yyyy-mm-dd format.","date "&amp;TEXT(INDEX(Import_Staging!$M$2:$M$301,$H42),"yyyy-mm-dd")&amp;" is after the as-of date "&amp;TEXT(Config!$B$4,"yyyy-mm-dd")&amp;".","type is empty.","type "&amp;""""&amp;INDEX(Import_Staging!$C$2:$C$301,$H42)&amp;""&amp;""""&amp;" is not a movement type listed on Config.","sku is empty.","SKU "&amp;INDEX(Import_Staging!$D$2:$D$301,$H42)&amp;""&amp;" is not in Products.","supplier_id is empty; receipts need the supplier.","Supplier "&amp;INDEX(Import_Staging!$E$2:$E$301,$H42)&amp;""&amp;" is not in Suppliers.","lot is empty; every movement needs its lot code.","Lot "&amp;INDEX(Import_Staging!$F$2:$F$301,$H42)&amp;""&amp;" is not recorded for "&amp;INDEX(Import_Staging!$D$2:$D$301,$H42)&amp;""&amp;" in Batches.","expiry is empty; receipts need the company-supplied expiry date.","expiry "&amp;""""&amp;INDEX(Import_Staging!$G$2:$G$301,$H42)&amp;""&amp;""""&amp;" is not a real date in yyyy-mm-dd format.","qty is empty.","qty "&amp;""""&amp;INDEX(Import_Staging!$H$2:$H$301,$H42)&amp;""&amp;""""&amp;" is not a valid quantity"&amp;IF(INDEX(Import_Staging!$C$2:$C$301,$H42)&amp;""="",""," for a "&amp;LOWER(INDEX(Import_Staging!$C$2:$C$301,$H42)&amp;""))&amp;".","lot_status is empty; receipts need a lot status.","lot_status "&amp;""""&amp;INDEX(Import_Staging!$I$2:$I$301,$H42)&amp;""&amp;""""&amp;" is not a lot status allowed on receipt (Config).","reason is empty; adjustments need a reason.","source_link is empty; every movement needs a link to its source document.","This row would take recorded stock of "&amp;INDEX(Import_Staging!$D$2:$D$301,$H42)&amp;""&amp;" from "&amp;INDEX(Import_Staging!$R$2:$R$301,$H42)&amp;" to "&amp;INDEX(Import_Staging!$S$2:$S$301,$H42)&amp;"."),$E42))</f>
        <v/>
      </c>
      <c r="G42" s="67" t="str">
        <f>IF($A42="","",INDEX(Config!$F$39:$F$61,$J42))</f>
        <v/>
      </c>
      <c r="H42" s="66" t="str">
        <f>IF($A42="","",MATCH(COUNTIF(Import_Staging!$BS$2:$BS$301,"&lt;"&amp;$A42)+1,Import_Staging!$BR$2:$BR$301,0))</f>
        <v/>
      </c>
      <c r="I42" s="66" t="str">
        <f>IF($A42="","",$A42-INDEX(Import_Staging!$BQ$2:$BQ$301,$H42))</f>
        <v/>
      </c>
      <c r="J42" s="66" t="str">
        <f>IF($A42="","",MATCH($I42,INDEX(Import_Staging!$AT$2:$BP$301,$H42,0),0))</f>
        <v/>
      </c>
    </row>
    <row r="43">
      <c r="A43" s="65" t="str">
        <f>IF(38&lt;=$F$4,38,"")</f>
        <v/>
      </c>
      <c r="B43" s="65" t="str">
        <f>IF($A43="","",$H43+1)</f>
        <v/>
      </c>
      <c r="C43" s="66" t="str">
        <f>IF($A43="","",INDEX(Import_Staging!$A$2:$A$301,$H43)&amp;"")</f>
        <v/>
      </c>
      <c r="D43" s="66" t="str">
        <f>IF($A43="","",INDEX(Config!$C$39:$C$61,$J43))</f>
        <v/>
      </c>
      <c r="E43" s="66" t="str">
        <f>IF($A43="","",INDEX(Config!$D$39:$D$61,$J43))</f>
        <v/>
      </c>
      <c r="F43" s="67" t="str">
        <f>IF($A43="","",IFERROR(CHOOSE($J43,"movement_id is empty. Every row needs a unique movement ID.","movement_id "&amp;INDEX(Import_Staging!$A$2:$A$301,$H43)&amp;""&amp;" appears earlier in this file (row "&amp;IFERROR(MATCH(INDEX(Import_Staging!$A$2:$A$301,$H43),Import_Staging!$A$2:$A$301,0)+1,"?")&amp;"). Only the first row can be posted.","movement_id "&amp;INDEX(Import_Staging!$A$2:$A$301,$H43)&amp;""&amp;" is already in Inventory_Ledger. The ledger row was not changed.","date is empty.","date "&amp;""""&amp;INDEX(Import_Staging!$B$2:$B$301,$H43)&amp;""&amp;""""&amp;" is not a real date in yyyy-mm-dd format.","date "&amp;TEXT(INDEX(Import_Staging!$M$2:$M$301,$H43),"yyyy-mm-dd")&amp;" is after the as-of date "&amp;TEXT(Config!$B$4,"yyyy-mm-dd")&amp;".","type is empty.","type "&amp;""""&amp;INDEX(Import_Staging!$C$2:$C$301,$H43)&amp;""&amp;""""&amp;" is not a movement type listed on Config.","sku is empty.","SKU "&amp;INDEX(Import_Staging!$D$2:$D$301,$H43)&amp;""&amp;" is not in Products.","supplier_id is empty; receipts need the supplier.","Supplier "&amp;INDEX(Import_Staging!$E$2:$E$301,$H43)&amp;""&amp;" is not in Suppliers.","lot is empty; every movement needs its lot code.","Lot "&amp;INDEX(Import_Staging!$F$2:$F$301,$H43)&amp;""&amp;" is not recorded for "&amp;INDEX(Import_Staging!$D$2:$D$301,$H43)&amp;""&amp;" in Batches.","expiry is empty; receipts need the company-supplied expiry date.","expiry "&amp;""""&amp;INDEX(Import_Staging!$G$2:$G$301,$H43)&amp;""&amp;""""&amp;" is not a real date in yyyy-mm-dd format.","qty is empty.","qty "&amp;""""&amp;INDEX(Import_Staging!$H$2:$H$301,$H43)&amp;""&amp;""""&amp;" is not a valid quantity"&amp;IF(INDEX(Import_Staging!$C$2:$C$301,$H43)&amp;""="",""," for a "&amp;LOWER(INDEX(Import_Staging!$C$2:$C$301,$H43)&amp;""))&amp;".","lot_status is empty; receipts need a lot status.","lot_status "&amp;""""&amp;INDEX(Import_Staging!$I$2:$I$301,$H43)&amp;""&amp;""""&amp;" is not a lot status allowed on receipt (Config).","reason is empty; adjustments need a reason.","source_link is empty; every movement needs a link to its source document.","This row would take recorded stock of "&amp;INDEX(Import_Staging!$D$2:$D$301,$H43)&amp;""&amp;" from "&amp;INDEX(Import_Staging!$R$2:$R$301,$H43)&amp;" to "&amp;INDEX(Import_Staging!$S$2:$S$301,$H43)&amp;"."),$E43))</f>
        <v/>
      </c>
      <c r="G43" s="67" t="str">
        <f>IF($A43="","",INDEX(Config!$F$39:$F$61,$J43))</f>
        <v/>
      </c>
      <c r="H43" s="66" t="str">
        <f>IF($A43="","",MATCH(COUNTIF(Import_Staging!$BS$2:$BS$301,"&lt;"&amp;$A43)+1,Import_Staging!$BR$2:$BR$301,0))</f>
        <v/>
      </c>
      <c r="I43" s="66" t="str">
        <f>IF($A43="","",$A43-INDEX(Import_Staging!$BQ$2:$BQ$301,$H43))</f>
        <v/>
      </c>
      <c r="J43" s="66" t="str">
        <f>IF($A43="","",MATCH($I43,INDEX(Import_Staging!$AT$2:$BP$301,$H43,0),0))</f>
        <v/>
      </c>
    </row>
    <row r="44">
      <c r="A44" s="65" t="str">
        <f>IF(39&lt;=$F$4,39,"")</f>
        <v/>
      </c>
      <c r="B44" s="65" t="str">
        <f>IF($A44="","",$H44+1)</f>
        <v/>
      </c>
      <c r="C44" s="66" t="str">
        <f>IF($A44="","",INDEX(Import_Staging!$A$2:$A$301,$H44)&amp;"")</f>
        <v/>
      </c>
      <c r="D44" s="66" t="str">
        <f>IF($A44="","",INDEX(Config!$C$39:$C$61,$J44))</f>
        <v/>
      </c>
      <c r="E44" s="66" t="str">
        <f>IF($A44="","",INDEX(Config!$D$39:$D$61,$J44))</f>
        <v/>
      </c>
      <c r="F44" s="67" t="str">
        <f>IF($A44="","",IFERROR(CHOOSE($J44,"movement_id is empty. Every row needs a unique movement ID.","movement_id "&amp;INDEX(Import_Staging!$A$2:$A$301,$H44)&amp;""&amp;" appears earlier in this file (row "&amp;IFERROR(MATCH(INDEX(Import_Staging!$A$2:$A$301,$H44),Import_Staging!$A$2:$A$301,0)+1,"?")&amp;"). Only the first row can be posted.","movement_id "&amp;INDEX(Import_Staging!$A$2:$A$301,$H44)&amp;""&amp;" is already in Inventory_Ledger. The ledger row was not changed.","date is empty.","date "&amp;""""&amp;INDEX(Import_Staging!$B$2:$B$301,$H44)&amp;""&amp;""""&amp;" is not a real date in yyyy-mm-dd format.","date "&amp;TEXT(INDEX(Import_Staging!$M$2:$M$301,$H44),"yyyy-mm-dd")&amp;" is after the as-of date "&amp;TEXT(Config!$B$4,"yyyy-mm-dd")&amp;".","type is empty.","type "&amp;""""&amp;INDEX(Import_Staging!$C$2:$C$301,$H44)&amp;""&amp;""""&amp;" is not a movement type listed on Config.","sku is empty.","SKU "&amp;INDEX(Import_Staging!$D$2:$D$301,$H44)&amp;""&amp;" is not in Products.","supplier_id is empty; receipts need the supplier.","Supplier "&amp;INDEX(Import_Staging!$E$2:$E$301,$H44)&amp;""&amp;" is not in Suppliers.","lot is empty; every movement needs its lot code.","Lot "&amp;INDEX(Import_Staging!$F$2:$F$301,$H44)&amp;""&amp;" is not recorded for "&amp;INDEX(Import_Staging!$D$2:$D$301,$H44)&amp;""&amp;" in Batches.","expiry is empty; receipts need the company-supplied expiry date.","expiry "&amp;""""&amp;INDEX(Import_Staging!$G$2:$G$301,$H44)&amp;""&amp;""""&amp;" is not a real date in yyyy-mm-dd format.","qty is empty.","qty "&amp;""""&amp;INDEX(Import_Staging!$H$2:$H$301,$H44)&amp;""&amp;""""&amp;" is not a valid quantity"&amp;IF(INDEX(Import_Staging!$C$2:$C$301,$H44)&amp;""="",""," for a "&amp;LOWER(INDEX(Import_Staging!$C$2:$C$301,$H44)&amp;""))&amp;".","lot_status is empty; receipts need a lot status.","lot_status "&amp;""""&amp;INDEX(Import_Staging!$I$2:$I$301,$H44)&amp;""&amp;""""&amp;" is not a lot status allowed on receipt (Config).","reason is empty; adjustments need a reason.","source_link is empty; every movement needs a link to its source document.","This row would take recorded stock of "&amp;INDEX(Import_Staging!$D$2:$D$301,$H44)&amp;""&amp;" from "&amp;INDEX(Import_Staging!$R$2:$R$301,$H44)&amp;" to "&amp;INDEX(Import_Staging!$S$2:$S$301,$H44)&amp;"."),$E44))</f>
        <v/>
      </c>
      <c r="G44" s="67" t="str">
        <f>IF($A44="","",INDEX(Config!$F$39:$F$61,$J44))</f>
        <v/>
      </c>
      <c r="H44" s="66" t="str">
        <f>IF($A44="","",MATCH(COUNTIF(Import_Staging!$BS$2:$BS$301,"&lt;"&amp;$A44)+1,Import_Staging!$BR$2:$BR$301,0))</f>
        <v/>
      </c>
      <c r="I44" s="66" t="str">
        <f>IF($A44="","",$A44-INDEX(Import_Staging!$BQ$2:$BQ$301,$H44))</f>
        <v/>
      </c>
      <c r="J44" s="66" t="str">
        <f>IF($A44="","",MATCH($I44,INDEX(Import_Staging!$AT$2:$BP$301,$H44,0),0))</f>
        <v/>
      </c>
    </row>
    <row r="45">
      <c r="A45" s="65" t="str">
        <f>IF(40&lt;=$F$4,40,"")</f>
        <v/>
      </c>
      <c r="B45" s="65" t="str">
        <f>IF($A45="","",$H45+1)</f>
        <v/>
      </c>
      <c r="C45" s="66" t="str">
        <f>IF($A45="","",INDEX(Import_Staging!$A$2:$A$301,$H45)&amp;"")</f>
        <v/>
      </c>
      <c r="D45" s="66" t="str">
        <f>IF($A45="","",INDEX(Config!$C$39:$C$61,$J45))</f>
        <v/>
      </c>
      <c r="E45" s="66" t="str">
        <f>IF($A45="","",INDEX(Config!$D$39:$D$61,$J45))</f>
        <v/>
      </c>
      <c r="F45" s="67" t="str">
        <f>IF($A45="","",IFERROR(CHOOSE($J45,"movement_id is empty. Every row needs a unique movement ID.","movement_id "&amp;INDEX(Import_Staging!$A$2:$A$301,$H45)&amp;""&amp;" appears earlier in this file (row "&amp;IFERROR(MATCH(INDEX(Import_Staging!$A$2:$A$301,$H45),Import_Staging!$A$2:$A$301,0)+1,"?")&amp;"). Only the first row can be posted.","movement_id "&amp;INDEX(Import_Staging!$A$2:$A$301,$H45)&amp;""&amp;" is already in Inventory_Ledger. The ledger row was not changed.","date is empty.","date "&amp;""""&amp;INDEX(Import_Staging!$B$2:$B$301,$H45)&amp;""&amp;""""&amp;" is not a real date in yyyy-mm-dd format.","date "&amp;TEXT(INDEX(Import_Staging!$M$2:$M$301,$H45),"yyyy-mm-dd")&amp;" is after the as-of date "&amp;TEXT(Config!$B$4,"yyyy-mm-dd")&amp;".","type is empty.","type "&amp;""""&amp;INDEX(Import_Staging!$C$2:$C$301,$H45)&amp;""&amp;""""&amp;" is not a movement type listed on Config.","sku is empty.","SKU "&amp;INDEX(Import_Staging!$D$2:$D$301,$H45)&amp;""&amp;" is not in Products.","supplier_id is empty; receipts need the supplier.","Supplier "&amp;INDEX(Import_Staging!$E$2:$E$301,$H45)&amp;""&amp;" is not in Suppliers.","lot is empty; every movement needs its lot code.","Lot "&amp;INDEX(Import_Staging!$F$2:$F$301,$H45)&amp;""&amp;" is not recorded for "&amp;INDEX(Import_Staging!$D$2:$D$301,$H45)&amp;""&amp;" in Batches.","expiry is empty; receipts need the company-supplied expiry date.","expiry "&amp;""""&amp;INDEX(Import_Staging!$G$2:$G$301,$H45)&amp;""&amp;""""&amp;" is not a real date in yyyy-mm-dd format.","qty is empty.","qty "&amp;""""&amp;INDEX(Import_Staging!$H$2:$H$301,$H45)&amp;""&amp;""""&amp;" is not a valid quantity"&amp;IF(INDEX(Import_Staging!$C$2:$C$301,$H45)&amp;""="",""," for a "&amp;LOWER(INDEX(Import_Staging!$C$2:$C$301,$H45)&amp;""))&amp;".","lot_status is empty; receipts need a lot status.","lot_status "&amp;""""&amp;INDEX(Import_Staging!$I$2:$I$301,$H45)&amp;""&amp;""""&amp;" is not a lot status allowed on receipt (Config).","reason is empty; adjustments need a reason.","source_link is empty; every movement needs a link to its source document.","This row would take recorded stock of "&amp;INDEX(Import_Staging!$D$2:$D$301,$H45)&amp;""&amp;" from "&amp;INDEX(Import_Staging!$R$2:$R$301,$H45)&amp;" to "&amp;INDEX(Import_Staging!$S$2:$S$301,$H45)&amp;"."),$E45))</f>
        <v/>
      </c>
      <c r="G45" s="67" t="str">
        <f>IF($A45="","",INDEX(Config!$F$39:$F$61,$J45))</f>
        <v/>
      </c>
      <c r="H45" s="66" t="str">
        <f>IF($A45="","",MATCH(COUNTIF(Import_Staging!$BS$2:$BS$301,"&lt;"&amp;$A45)+1,Import_Staging!$BR$2:$BR$301,0))</f>
        <v/>
      </c>
      <c r="I45" s="66" t="str">
        <f>IF($A45="","",$A45-INDEX(Import_Staging!$BQ$2:$BQ$301,$H45))</f>
        <v/>
      </c>
      <c r="J45" s="66" t="str">
        <f>IF($A45="","",MATCH($I45,INDEX(Import_Staging!$AT$2:$BP$301,$H45,0),0))</f>
        <v/>
      </c>
    </row>
    <row r="46">
      <c r="A46" s="65" t="str">
        <f>IF(41&lt;=$F$4,41,"")</f>
        <v/>
      </c>
      <c r="B46" s="65" t="str">
        <f>IF($A46="","",$H46+1)</f>
        <v/>
      </c>
      <c r="C46" s="66" t="str">
        <f>IF($A46="","",INDEX(Import_Staging!$A$2:$A$301,$H46)&amp;"")</f>
        <v/>
      </c>
      <c r="D46" s="66" t="str">
        <f>IF($A46="","",INDEX(Config!$C$39:$C$61,$J46))</f>
        <v/>
      </c>
      <c r="E46" s="66" t="str">
        <f>IF($A46="","",INDEX(Config!$D$39:$D$61,$J46))</f>
        <v/>
      </c>
      <c r="F46" s="67" t="str">
        <f>IF($A46="","",IFERROR(CHOOSE($J46,"movement_id is empty. Every row needs a unique movement ID.","movement_id "&amp;INDEX(Import_Staging!$A$2:$A$301,$H46)&amp;""&amp;" appears earlier in this file (row "&amp;IFERROR(MATCH(INDEX(Import_Staging!$A$2:$A$301,$H46),Import_Staging!$A$2:$A$301,0)+1,"?")&amp;"). Only the first row can be posted.","movement_id "&amp;INDEX(Import_Staging!$A$2:$A$301,$H46)&amp;""&amp;" is already in Inventory_Ledger. The ledger row was not changed.","date is empty.","date "&amp;""""&amp;INDEX(Import_Staging!$B$2:$B$301,$H46)&amp;""&amp;""""&amp;" is not a real date in yyyy-mm-dd format.","date "&amp;TEXT(INDEX(Import_Staging!$M$2:$M$301,$H46),"yyyy-mm-dd")&amp;" is after the as-of date "&amp;TEXT(Config!$B$4,"yyyy-mm-dd")&amp;".","type is empty.","type "&amp;""""&amp;INDEX(Import_Staging!$C$2:$C$301,$H46)&amp;""&amp;""""&amp;" is not a movement type listed on Config.","sku is empty.","SKU "&amp;INDEX(Import_Staging!$D$2:$D$301,$H46)&amp;""&amp;" is not in Products.","supplier_id is empty; receipts need the supplier.","Supplier "&amp;INDEX(Import_Staging!$E$2:$E$301,$H46)&amp;""&amp;" is not in Suppliers.","lot is empty; every movement needs its lot code.","Lot "&amp;INDEX(Import_Staging!$F$2:$F$301,$H46)&amp;""&amp;" is not recorded for "&amp;INDEX(Import_Staging!$D$2:$D$301,$H46)&amp;""&amp;" in Batches.","expiry is empty; receipts need the company-supplied expiry date.","expiry "&amp;""""&amp;INDEX(Import_Staging!$G$2:$G$301,$H46)&amp;""&amp;""""&amp;" is not a real date in yyyy-mm-dd format.","qty is empty.","qty "&amp;""""&amp;INDEX(Import_Staging!$H$2:$H$301,$H46)&amp;""&amp;""""&amp;" is not a valid quantity"&amp;IF(INDEX(Import_Staging!$C$2:$C$301,$H46)&amp;""="",""," for a "&amp;LOWER(INDEX(Import_Staging!$C$2:$C$301,$H46)&amp;""))&amp;".","lot_status is empty; receipts need a lot status.","lot_status "&amp;""""&amp;INDEX(Import_Staging!$I$2:$I$301,$H46)&amp;""&amp;""""&amp;" is not a lot status allowed on receipt (Config).","reason is empty; adjustments need a reason.","source_link is empty; every movement needs a link to its source document.","This row would take recorded stock of "&amp;INDEX(Import_Staging!$D$2:$D$301,$H46)&amp;""&amp;" from "&amp;INDEX(Import_Staging!$R$2:$R$301,$H46)&amp;" to "&amp;INDEX(Import_Staging!$S$2:$S$301,$H46)&amp;"."),$E46))</f>
        <v/>
      </c>
      <c r="G46" s="67" t="str">
        <f>IF($A46="","",INDEX(Config!$F$39:$F$61,$J46))</f>
        <v/>
      </c>
      <c r="H46" s="66" t="str">
        <f>IF($A46="","",MATCH(COUNTIF(Import_Staging!$BS$2:$BS$301,"&lt;"&amp;$A46)+1,Import_Staging!$BR$2:$BR$301,0))</f>
        <v/>
      </c>
      <c r="I46" s="66" t="str">
        <f>IF($A46="","",$A46-INDEX(Import_Staging!$BQ$2:$BQ$301,$H46))</f>
        <v/>
      </c>
      <c r="J46" s="66" t="str">
        <f>IF($A46="","",MATCH($I46,INDEX(Import_Staging!$AT$2:$BP$301,$H46,0),0))</f>
        <v/>
      </c>
    </row>
    <row r="47">
      <c r="A47" s="65" t="str">
        <f>IF(42&lt;=$F$4,42,"")</f>
        <v/>
      </c>
      <c r="B47" s="65" t="str">
        <f>IF($A47="","",$H47+1)</f>
        <v/>
      </c>
      <c r="C47" s="66" t="str">
        <f>IF($A47="","",INDEX(Import_Staging!$A$2:$A$301,$H47)&amp;"")</f>
        <v/>
      </c>
      <c r="D47" s="66" t="str">
        <f>IF($A47="","",INDEX(Config!$C$39:$C$61,$J47))</f>
        <v/>
      </c>
      <c r="E47" s="66" t="str">
        <f>IF($A47="","",INDEX(Config!$D$39:$D$61,$J47))</f>
        <v/>
      </c>
      <c r="F47" s="67" t="str">
        <f>IF($A47="","",IFERROR(CHOOSE($J47,"movement_id is empty. Every row needs a unique movement ID.","movement_id "&amp;INDEX(Import_Staging!$A$2:$A$301,$H47)&amp;""&amp;" appears earlier in this file (row "&amp;IFERROR(MATCH(INDEX(Import_Staging!$A$2:$A$301,$H47),Import_Staging!$A$2:$A$301,0)+1,"?")&amp;"). Only the first row can be posted.","movement_id "&amp;INDEX(Import_Staging!$A$2:$A$301,$H47)&amp;""&amp;" is already in Inventory_Ledger. The ledger row was not changed.","date is empty.","date "&amp;""""&amp;INDEX(Import_Staging!$B$2:$B$301,$H47)&amp;""&amp;""""&amp;" is not a real date in yyyy-mm-dd format.","date "&amp;TEXT(INDEX(Import_Staging!$M$2:$M$301,$H47),"yyyy-mm-dd")&amp;" is after the as-of date "&amp;TEXT(Config!$B$4,"yyyy-mm-dd")&amp;".","type is empty.","type "&amp;""""&amp;INDEX(Import_Staging!$C$2:$C$301,$H47)&amp;""&amp;""""&amp;" is not a movement type listed on Config.","sku is empty.","SKU "&amp;INDEX(Import_Staging!$D$2:$D$301,$H47)&amp;""&amp;" is not in Products.","supplier_id is empty; receipts need the supplier.","Supplier "&amp;INDEX(Import_Staging!$E$2:$E$301,$H47)&amp;""&amp;" is not in Suppliers.","lot is empty; every movement needs its lot code.","Lot "&amp;INDEX(Import_Staging!$F$2:$F$301,$H47)&amp;""&amp;" is not recorded for "&amp;INDEX(Import_Staging!$D$2:$D$301,$H47)&amp;""&amp;" in Batches.","expiry is empty; receipts need the company-supplied expiry date.","expiry "&amp;""""&amp;INDEX(Import_Staging!$G$2:$G$301,$H47)&amp;""&amp;""""&amp;" is not a real date in yyyy-mm-dd format.","qty is empty.","qty "&amp;""""&amp;INDEX(Import_Staging!$H$2:$H$301,$H47)&amp;""&amp;""""&amp;" is not a valid quantity"&amp;IF(INDEX(Import_Staging!$C$2:$C$301,$H47)&amp;""="",""," for a "&amp;LOWER(INDEX(Import_Staging!$C$2:$C$301,$H47)&amp;""))&amp;".","lot_status is empty; receipts need a lot status.","lot_status "&amp;""""&amp;INDEX(Import_Staging!$I$2:$I$301,$H47)&amp;""&amp;""""&amp;" is not a lot status allowed on receipt (Config).","reason is empty; adjustments need a reason.","source_link is empty; every movement needs a link to its source document.","This row would take recorded stock of "&amp;INDEX(Import_Staging!$D$2:$D$301,$H47)&amp;""&amp;" from "&amp;INDEX(Import_Staging!$R$2:$R$301,$H47)&amp;" to "&amp;INDEX(Import_Staging!$S$2:$S$301,$H47)&amp;"."),$E47))</f>
        <v/>
      </c>
      <c r="G47" s="67" t="str">
        <f>IF($A47="","",INDEX(Config!$F$39:$F$61,$J47))</f>
        <v/>
      </c>
      <c r="H47" s="66" t="str">
        <f>IF($A47="","",MATCH(COUNTIF(Import_Staging!$BS$2:$BS$301,"&lt;"&amp;$A47)+1,Import_Staging!$BR$2:$BR$301,0))</f>
        <v/>
      </c>
      <c r="I47" s="66" t="str">
        <f>IF($A47="","",$A47-INDEX(Import_Staging!$BQ$2:$BQ$301,$H47))</f>
        <v/>
      </c>
      <c r="J47" s="66" t="str">
        <f>IF($A47="","",MATCH($I47,INDEX(Import_Staging!$AT$2:$BP$301,$H47,0),0))</f>
        <v/>
      </c>
    </row>
    <row r="48">
      <c r="A48" s="65" t="str">
        <f>IF(43&lt;=$F$4,43,"")</f>
        <v/>
      </c>
      <c r="B48" s="65" t="str">
        <f>IF($A48="","",$H48+1)</f>
        <v/>
      </c>
      <c r="C48" s="66" t="str">
        <f>IF($A48="","",INDEX(Import_Staging!$A$2:$A$301,$H48)&amp;"")</f>
        <v/>
      </c>
      <c r="D48" s="66" t="str">
        <f>IF($A48="","",INDEX(Config!$C$39:$C$61,$J48))</f>
        <v/>
      </c>
      <c r="E48" s="66" t="str">
        <f>IF($A48="","",INDEX(Config!$D$39:$D$61,$J48))</f>
        <v/>
      </c>
      <c r="F48" s="67" t="str">
        <f>IF($A48="","",IFERROR(CHOOSE($J48,"movement_id is empty. Every row needs a unique movement ID.","movement_id "&amp;INDEX(Import_Staging!$A$2:$A$301,$H48)&amp;""&amp;" appears earlier in this file (row "&amp;IFERROR(MATCH(INDEX(Import_Staging!$A$2:$A$301,$H48),Import_Staging!$A$2:$A$301,0)+1,"?")&amp;"). Only the first row can be posted.","movement_id "&amp;INDEX(Import_Staging!$A$2:$A$301,$H48)&amp;""&amp;" is already in Inventory_Ledger. The ledger row was not changed.","date is empty.","date "&amp;""""&amp;INDEX(Import_Staging!$B$2:$B$301,$H48)&amp;""&amp;""""&amp;" is not a real date in yyyy-mm-dd format.","date "&amp;TEXT(INDEX(Import_Staging!$M$2:$M$301,$H48),"yyyy-mm-dd")&amp;" is after the as-of date "&amp;TEXT(Config!$B$4,"yyyy-mm-dd")&amp;".","type is empty.","type "&amp;""""&amp;INDEX(Import_Staging!$C$2:$C$301,$H48)&amp;""&amp;""""&amp;" is not a movement type listed on Config.","sku is empty.","SKU "&amp;INDEX(Import_Staging!$D$2:$D$301,$H48)&amp;""&amp;" is not in Products.","supplier_id is empty; receipts need the supplier.","Supplier "&amp;INDEX(Import_Staging!$E$2:$E$301,$H48)&amp;""&amp;" is not in Suppliers.","lot is empty; every movement needs its lot code.","Lot "&amp;INDEX(Import_Staging!$F$2:$F$301,$H48)&amp;""&amp;" is not recorded for "&amp;INDEX(Import_Staging!$D$2:$D$301,$H48)&amp;""&amp;" in Batches.","expiry is empty; receipts need the company-supplied expiry date.","expiry "&amp;""""&amp;INDEX(Import_Staging!$G$2:$G$301,$H48)&amp;""&amp;""""&amp;" is not a real date in yyyy-mm-dd format.","qty is empty.","qty "&amp;""""&amp;INDEX(Import_Staging!$H$2:$H$301,$H48)&amp;""&amp;""""&amp;" is not a valid quantity"&amp;IF(INDEX(Import_Staging!$C$2:$C$301,$H48)&amp;""="",""," for a "&amp;LOWER(INDEX(Import_Staging!$C$2:$C$301,$H48)&amp;""))&amp;".","lot_status is empty; receipts need a lot status.","lot_status "&amp;""""&amp;INDEX(Import_Staging!$I$2:$I$301,$H48)&amp;""&amp;""""&amp;" is not a lot status allowed on receipt (Config).","reason is empty; adjustments need a reason.","source_link is empty; every movement needs a link to its source document.","This row would take recorded stock of "&amp;INDEX(Import_Staging!$D$2:$D$301,$H48)&amp;""&amp;" from "&amp;INDEX(Import_Staging!$R$2:$R$301,$H48)&amp;" to "&amp;INDEX(Import_Staging!$S$2:$S$301,$H48)&amp;"."),$E48))</f>
        <v/>
      </c>
      <c r="G48" s="67" t="str">
        <f>IF($A48="","",INDEX(Config!$F$39:$F$61,$J48))</f>
        <v/>
      </c>
      <c r="H48" s="66" t="str">
        <f>IF($A48="","",MATCH(COUNTIF(Import_Staging!$BS$2:$BS$301,"&lt;"&amp;$A48)+1,Import_Staging!$BR$2:$BR$301,0))</f>
        <v/>
      </c>
      <c r="I48" s="66" t="str">
        <f>IF($A48="","",$A48-INDEX(Import_Staging!$BQ$2:$BQ$301,$H48))</f>
        <v/>
      </c>
      <c r="J48" s="66" t="str">
        <f>IF($A48="","",MATCH($I48,INDEX(Import_Staging!$AT$2:$BP$301,$H48,0),0))</f>
        <v/>
      </c>
    </row>
    <row r="49">
      <c r="A49" s="65" t="str">
        <f>IF(44&lt;=$F$4,44,"")</f>
        <v/>
      </c>
      <c r="B49" s="65" t="str">
        <f>IF($A49="","",$H49+1)</f>
        <v/>
      </c>
      <c r="C49" s="66" t="str">
        <f>IF($A49="","",INDEX(Import_Staging!$A$2:$A$301,$H49)&amp;"")</f>
        <v/>
      </c>
      <c r="D49" s="66" t="str">
        <f>IF($A49="","",INDEX(Config!$C$39:$C$61,$J49))</f>
        <v/>
      </c>
      <c r="E49" s="66" t="str">
        <f>IF($A49="","",INDEX(Config!$D$39:$D$61,$J49))</f>
        <v/>
      </c>
      <c r="F49" s="67" t="str">
        <f>IF($A49="","",IFERROR(CHOOSE($J49,"movement_id is empty. Every row needs a unique movement ID.","movement_id "&amp;INDEX(Import_Staging!$A$2:$A$301,$H49)&amp;""&amp;" appears earlier in this file (row "&amp;IFERROR(MATCH(INDEX(Import_Staging!$A$2:$A$301,$H49),Import_Staging!$A$2:$A$301,0)+1,"?")&amp;"). Only the first row can be posted.","movement_id "&amp;INDEX(Import_Staging!$A$2:$A$301,$H49)&amp;""&amp;" is already in Inventory_Ledger. The ledger row was not changed.","date is empty.","date "&amp;""""&amp;INDEX(Import_Staging!$B$2:$B$301,$H49)&amp;""&amp;""""&amp;" is not a real date in yyyy-mm-dd format.","date "&amp;TEXT(INDEX(Import_Staging!$M$2:$M$301,$H49),"yyyy-mm-dd")&amp;" is after the as-of date "&amp;TEXT(Config!$B$4,"yyyy-mm-dd")&amp;".","type is empty.","type "&amp;""""&amp;INDEX(Import_Staging!$C$2:$C$301,$H49)&amp;""&amp;""""&amp;" is not a movement type listed on Config.","sku is empty.","SKU "&amp;INDEX(Import_Staging!$D$2:$D$301,$H49)&amp;""&amp;" is not in Products.","supplier_id is empty; receipts need the supplier.","Supplier "&amp;INDEX(Import_Staging!$E$2:$E$301,$H49)&amp;""&amp;" is not in Suppliers.","lot is empty; every movement needs its lot code.","Lot "&amp;INDEX(Import_Staging!$F$2:$F$301,$H49)&amp;""&amp;" is not recorded for "&amp;INDEX(Import_Staging!$D$2:$D$301,$H49)&amp;""&amp;" in Batches.","expiry is empty; receipts need the company-supplied expiry date.","expiry "&amp;""""&amp;INDEX(Import_Staging!$G$2:$G$301,$H49)&amp;""&amp;""""&amp;" is not a real date in yyyy-mm-dd format.","qty is empty.","qty "&amp;""""&amp;INDEX(Import_Staging!$H$2:$H$301,$H49)&amp;""&amp;""""&amp;" is not a valid quantity"&amp;IF(INDEX(Import_Staging!$C$2:$C$301,$H49)&amp;""="",""," for a "&amp;LOWER(INDEX(Import_Staging!$C$2:$C$301,$H49)&amp;""))&amp;".","lot_status is empty; receipts need a lot status.","lot_status "&amp;""""&amp;INDEX(Import_Staging!$I$2:$I$301,$H49)&amp;""&amp;""""&amp;" is not a lot status allowed on receipt (Config).","reason is empty; adjustments need a reason.","source_link is empty; every movement needs a link to its source document.","This row would take recorded stock of "&amp;INDEX(Import_Staging!$D$2:$D$301,$H49)&amp;""&amp;" from "&amp;INDEX(Import_Staging!$R$2:$R$301,$H49)&amp;" to "&amp;INDEX(Import_Staging!$S$2:$S$301,$H49)&amp;"."),$E49))</f>
        <v/>
      </c>
      <c r="G49" s="67" t="str">
        <f>IF($A49="","",INDEX(Config!$F$39:$F$61,$J49))</f>
        <v/>
      </c>
      <c r="H49" s="66" t="str">
        <f>IF($A49="","",MATCH(COUNTIF(Import_Staging!$BS$2:$BS$301,"&lt;"&amp;$A49)+1,Import_Staging!$BR$2:$BR$301,0))</f>
        <v/>
      </c>
      <c r="I49" s="66" t="str">
        <f>IF($A49="","",$A49-INDEX(Import_Staging!$BQ$2:$BQ$301,$H49))</f>
        <v/>
      </c>
      <c r="J49" s="66" t="str">
        <f>IF($A49="","",MATCH($I49,INDEX(Import_Staging!$AT$2:$BP$301,$H49,0),0))</f>
        <v/>
      </c>
    </row>
    <row r="50">
      <c r="A50" s="65" t="str">
        <f>IF(45&lt;=$F$4,45,"")</f>
        <v/>
      </c>
      <c r="B50" s="65" t="str">
        <f>IF($A50="","",$H50+1)</f>
        <v/>
      </c>
      <c r="C50" s="66" t="str">
        <f>IF($A50="","",INDEX(Import_Staging!$A$2:$A$301,$H50)&amp;"")</f>
        <v/>
      </c>
      <c r="D50" s="66" t="str">
        <f>IF($A50="","",INDEX(Config!$C$39:$C$61,$J50))</f>
        <v/>
      </c>
      <c r="E50" s="66" t="str">
        <f>IF($A50="","",INDEX(Config!$D$39:$D$61,$J50))</f>
        <v/>
      </c>
      <c r="F50" s="67" t="str">
        <f>IF($A50="","",IFERROR(CHOOSE($J50,"movement_id is empty. Every row needs a unique movement ID.","movement_id "&amp;INDEX(Import_Staging!$A$2:$A$301,$H50)&amp;""&amp;" appears earlier in this file (row "&amp;IFERROR(MATCH(INDEX(Import_Staging!$A$2:$A$301,$H50),Import_Staging!$A$2:$A$301,0)+1,"?")&amp;"). Only the first row can be posted.","movement_id "&amp;INDEX(Import_Staging!$A$2:$A$301,$H50)&amp;""&amp;" is already in Inventory_Ledger. The ledger row was not changed.","date is empty.","date "&amp;""""&amp;INDEX(Import_Staging!$B$2:$B$301,$H50)&amp;""&amp;""""&amp;" is not a real date in yyyy-mm-dd format.","date "&amp;TEXT(INDEX(Import_Staging!$M$2:$M$301,$H50),"yyyy-mm-dd")&amp;" is after the as-of date "&amp;TEXT(Config!$B$4,"yyyy-mm-dd")&amp;".","type is empty.","type "&amp;""""&amp;INDEX(Import_Staging!$C$2:$C$301,$H50)&amp;""&amp;""""&amp;" is not a movement type listed on Config.","sku is empty.","SKU "&amp;INDEX(Import_Staging!$D$2:$D$301,$H50)&amp;""&amp;" is not in Products.","supplier_id is empty; receipts need the supplier.","Supplier "&amp;INDEX(Import_Staging!$E$2:$E$301,$H50)&amp;""&amp;" is not in Suppliers.","lot is empty; every movement needs its lot code.","Lot "&amp;INDEX(Import_Staging!$F$2:$F$301,$H50)&amp;""&amp;" is not recorded for "&amp;INDEX(Import_Staging!$D$2:$D$301,$H50)&amp;""&amp;" in Batches.","expiry is empty; receipts need the company-supplied expiry date.","expiry "&amp;""""&amp;INDEX(Import_Staging!$G$2:$G$301,$H50)&amp;""&amp;""""&amp;" is not a real date in yyyy-mm-dd format.","qty is empty.","qty "&amp;""""&amp;INDEX(Import_Staging!$H$2:$H$301,$H50)&amp;""&amp;""""&amp;" is not a valid quantity"&amp;IF(INDEX(Import_Staging!$C$2:$C$301,$H50)&amp;""="",""," for a "&amp;LOWER(INDEX(Import_Staging!$C$2:$C$301,$H50)&amp;""))&amp;".","lot_status is empty; receipts need a lot status.","lot_status "&amp;""""&amp;INDEX(Import_Staging!$I$2:$I$301,$H50)&amp;""&amp;""""&amp;" is not a lot status allowed on receipt (Config).","reason is empty; adjustments need a reason.","source_link is empty; every movement needs a link to its source document.","This row would take recorded stock of "&amp;INDEX(Import_Staging!$D$2:$D$301,$H50)&amp;""&amp;" from "&amp;INDEX(Import_Staging!$R$2:$R$301,$H50)&amp;" to "&amp;INDEX(Import_Staging!$S$2:$S$301,$H50)&amp;"."),$E50))</f>
        <v/>
      </c>
      <c r="G50" s="67" t="str">
        <f>IF($A50="","",INDEX(Config!$F$39:$F$61,$J50))</f>
        <v/>
      </c>
      <c r="H50" s="66" t="str">
        <f>IF($A50="","",MATCH(COUNTIF(Import_Staging!$BS$2:$BS$301,"&lt;"&amp;$A50)+1,Import_Staging!$BR$2:$BR$301,0))</f>
        <v/>
      </c>
      <c r="I50" s="66" t="str">
        <f>IF($A50="","",$A50-INDEX(Import_Staging!$BQ$2:$BQ$301,$H50))</f>
        <v/>
      </c>
      <c r="J50" s="66" t="str">
        <f>IF($A50="","",MATCH($I50,INDEX(Import_Staging!$AT$2:$BP$301,$H50,0),0))</f>
        <v/>
      </c>
    </row>
    <row r="51">
      <c r="A51" s="65" t="str">
        <f>IF(46&lt;=$F$4,46,"")</f>
        <v/>
      </c>
      <c r="B51" s="65" t="str">
        <f>IF($A51="","",$H51+1)</f>
        <v/>
      </c>
      <c r="C51" s="66" t="str">
        <f>IF($A51="","",INDEX(Import_Staging!$A$2:$A$301,$H51)&amp;"")</f>
        <v/>
      </c>
      <c r="D51" s="66" t="str">
        <f>IF($A51="","",INDEX(Config!$C$39:$C$61,$J51))</f>
        <v/>
      </c>
      <c r="E51" s="66" t="str">
        <f>IF($A51="","",INDEX(Config!$D$39:$D$61,$J51))</f>
        <v/>
      </c>
      <c r="F51" s="67" t="str">
        <f>IF($A51="","",IFERROR(CHOOSE($J51,"movement_id is empty. Every row needs a unique movement ID.","movement_id "&amp;INDEX(Import_Staging!$A$2:$A$301,$H51)&amp;""&amp;" appears earlier in this file (row "&amp;IFERROR(MATCH(INDEX(Import_Staging!$A$2:$A$301,$H51),Import_Staging!$A$2:$A$301,0)+1,"?")&amp;"). Only the first row can be posted.","movement_id "&amp;INDEX(Import_Staging!$A$2:$A$301,$H51)&amp;""&amp;" is already in Inventory_Ledger. The ledger row was not changed.","date is empty.","date "&amp;""""&amp;INDEX(Import_Staging!$B$2:$B$301,$H51)&amp;""&amp;""""&amp;" is not a real date in yyyy-mm-dd format.","date "&amp;TEXT(INDEX(Import_Staging!$M$2:$M$301,$H51),"yyyy-mm-dd")&amp;" is after the as-of date "&amp;TEXT(Config!$B$4,"yyyy-mm-dd")&amp;".","type is empty.","type "&amp;""""&amp;INDEX(Import_Staging!$C$2:$C$301,$H51)&amp;""&amp;""""&amp;" is not a movement type listed on Config.","sku is empty.","SKU "&amp;INDEX(Import_Staging!$D$2:$D$301,$H51)&amp;""&amp;" is not in Products.","supplier_id is empty; receipts need the supplier.","Supplier "&amp;INDEX(Import_Staging!$E$2:$E$301,$H51)&amp;""&amp;" is not in Suppliers.","lot is empty; every movement needs its lot code.","Lot "&amp;INDEX(Import_Staging!$F$2:$F$301,$H51)&amp;""&amp;" is not recorded for "&amp;INDEX(Import_Staging!$D$2:$D$301,$H51)&amp;""&amp;" in Batches.","expiry is empty; receipts need the company-supplied expiry date.","expiry "&amp;""""&amp;INDEX(Import_Staging!$G$2:$G$301,$H51)&amp;""&amp;""""&amp;" is not a real date in yyyy-mm-dd format.","qty is empty.","qty "&amp;""""&amp;INDEX(Import_Staging!$H$2:$H$301,$H51)&amp;""&amp;""""&amp;" is not a valid quantity"&amp;IF(INDEX(Import_Staging!$C$2:$C$301,$H51)&amp;""="",""," for a "&amp;LOWER(INDEX(Import_Staging!$C$2:$C$301,$H51)&amp;""))&amp;".","lot_status is empty; receipts need a lot status.","lot_status "&amp;""""&amp;INDEX(Import_Staging!$I$2:$I$301,$H51)&amp;""&amp;""""&amp;" is not a lot status allowed on receipt (Config).","reason is empty; adjustments need a reason.","source_link is empty; every movement needs a link to its source document.","This row would take recorded stock of "&amp;INDEX(Import_Staging!$D$2:$D$301,$H51)&amp;""&amp;" from "&amp;INDEX(Import_Staging!$R$2:$R$301,$H51)&amp;" to "&amp;INDEX(Import_Staging!$S$2:$S$301,$H51)&amp;"."),$E51))</f>
        <v/>
      </c>
      <c r="G51" s="67" t="str">
        <f>IF($A51="","",INDEX(Config!$F$39:$F$61,$J51))</f>
        <v/>
      </c>
      <c r="H51" s="66" t="str">
        <f>IF($A51="","",MATCH(COUNTIF(Import_Staging!$BS$2:$BS$301,"&lt;"&amp;$A51)+1,Import_Staging!$BR$2:$BR$301,0))</f>
        <v/>
      </c>
      <c r="I51" s="66" t="str">
        <f>IF($A51="","",$A51-INDEX(Import_Staging!$BQ$2:$BQ$301,$H51))</f>
        <v/>
      </c>
      <c r="J51" s="66" t="str">
        <f>IF($A51="","",MATCH($I51,INDEX(Import_Staging!$AT$2:$BP$301,$H51,0),0))</f>
        <v/>
      </c>
    </row>
    <row r="52">
      <c r="A52" s="65" t="str">
        <f>IF(47&lt;=$F$4,47,"")</f>
        <v/>
      </c>
      <c r="B52" s="65" t="str">
        <f>IF($A52="","",$H52+1)</f>
        <v/>
      </c>
      <c r="C52" s="66" t="str">
        <f>IF($A52="","",INDEX(Import_Staging!$A$2:$A$301,$H52)&amp;"")</f>
        <v/>
      </c>
      <c r="D52" s="66" t="str">
        <f>IF($A52="","",INDEX(Config!$C$39:$C$61,$J52))</f>
        <v/>
      </c>
      <c r="E52" s="66" t="str">
        <f>IF($A52="","",INDEX(Config!$D$39:$D$61,$J52))</f>
        <v/>
      </c>
      <c r="F52" s="67" t="str">
        <f>IF($A52="","",IFERROR(CHOOSE($J52,"movement_id is empty. Every row needs a unique movement ID.","movement_id "&amp;INDEX(Import_Staging!$A$2:$A$301,$H52)&amp;""&amp;" appears earlier in this file (row "&amp;IFERROR(MATCH(INDEX(Import_Staging!$A$2:$A$301,$H52),Import_Staging!$A$2:$A$301,0)+1,"?")&amp;"). Only the first row can be posted.","movement_id "&amp;INDEX(Import_Staging!$A$2:$A$301,$H52)&amp;""&amp;" is already in Inventory_Ledger. The ledger row was not changed.","date is empty.","date "&amp;""""&amp;INDEX(Import_Staging!$B$2:$B$301,$H52)&amp;""&amp;""""&amp;" is not a real date in yyyy-mm-dd format.","date "&amp;TEXT(INDEX(Import_Staging!$M$2:$M$301,$H52),"yyyy-mm-dd")&amp;" is after the as-of date "&amp;TEXT(Config!$B$4,"yyyy-mm-dd")&amp;".","type is empty.","type "&amp;""""&amp;INDEX(Import_Staging!$C$2:$C$301,$H52)&amp;""&amp;""""&amp;" is not a movement type listed on Config.","sku is empty.","SKU "&amp;INDEX(Import_Staging!$D$2:$D$301,$H52)&amp;""&amp;" is not in Products.","supplier_id is empty; receipts need the supplier.","Supplier "&amp;INDEX(Import_Staging!$E$2:$E$301,$H52)&amp;""&amp;" is not in Suppliers.","lot is empty; every movement needs its lot code.","Lot "&amp;INDEX(Import_Staging!$F$2:$F$301,$H52)&amp;""&amp;" is not recorded for "&amp;INDEX(Import_Staging!$D$2:$D$301,$H52)&amp;""&amp;" in Batches.","expiry is empty; receipts need the company-supplied expiry date.","expiry "&amp;""""&amp;INDEX(Import_Staging!$G$2:$G$301,$H52)&amp;""&amp;""""&amp;" is not a real date in yyyy-mm-dd format.","qty is empty.","qty "&amp;""""&amp;INDEX(Import_Staging!$H$2:$H$301,$H52)&amp;""&amp;""""&amp;" is not a valid quantity"&amp;IF(INDEX(Import_Staging!$C$2:$C$301,$H52)&amp;""="",""," for a "&amp;LOWER(INDEX(Import_Staging!$C$2:$C$301,$H52)&amp;""))&amp;".","lot_status is empty; receipts need a lot status.","lot_status "&amp;""""&amp;INDEX(Import_Staging!$I$2:$I$301,$H52)&amp;""&amp;""""&amp;" is not a lot status allowed on receipt (Config).","reason is empty; adjustments need a reason.","source_link is empty; every movement needs a link to its source document.","This row would take recorded stock of "&amp;INDEX(Import_Staging!$D$2:$D$301,$H52)&amp;""&amp;" from "&amp;INDEX(Import_Staging!$R$2:$R$301,$H52)&amp;" to "&amp;INDEX(Import_Staging!$S$2:$S$301,$H52)&amp;"."),$E52))</f>
        <v/>
      </c>
      <c r="G52" s="67" t="str">
        <f>IF($A52="","",INDEX(Config!$F$39:$F$61,$J52))</f>
        <v/>
      </c>
      <c r="H52" s="66" t="str">
        <f>IF($A52="","",MATCH(COUNTIF(Import_Staging!$BS$2:$BS$301,"&lt;"&amp;$A52)+1,Import_Staging!$BR$2:$BR$301,0))</f>
        <v/>
      </c>
      <c r="I52" s="66" t="str">
        <f>IF($A52="","",$A52-INDEX(Import_Staging!$BQ$2:$BQ$301,$H52))</f>
        <v/>
      </c>
      <c r="J52" s="66" t="str">
        <f>IF($A52="","",MATCH($I52,INDEX(Import_Staging!$AT$2:$BP$301,$H52,0),0))</f>
        <v/>
      </c>
    </row>
    <row r="53">
      <c r="A53" s="65" t="str">
        <f>IF(48&lt;=$F$4,48,"")</f>
        <v/>
      </c>
      <c r="B53" s="65" t="str">
        <f>IF($A53="","",$H53+1)</f>
        <v/>
      </c>
      <c r="C53" s="66" t="str">
        <f>IF($A53="","",INDEX(Import_Staging!$A$2:$A$301,$H53)&amp;"")</f>
        <v/>
      </c>
      <c r="D53" s="66" t="str">
        <f>IF($A53="","",INDEX(Config!$C$39:$C$61,$J53))</f>
        <v/>
      </c>
      <c r="E53" s="66" t="str">
        <f>IF($A53="","",INDEX(Config!$D$39:$D$61,$J53))</f>
        <v/>
      </c>
      <c r="F53" s="67" t="str">
        <f>IF($A53="","",IFERROR(CHOOSE($J53,"movement_id is empty. Every row needs a unique movement ID.","movement_id "&amp;INDEX(Import_Staging!$A$2:$A$301,$H53)&amp;""&amp;" appears earlier in this file (row "&amp;IFERROR(MATCH(INDEX(Import_Staging!$A$2:$A$301,$H53),Import_Staging!$A$2:$A$301,0)+1,"?")&amp;"). Only the first row can be posted.","movement_id "&amp;INDEX(Import_Staging!$A$2:$A$301,$H53)&amp;""&amp;" is already in Inventory_Ledger. The ledger row was not changed.","date is empty.","date "&amp;""""&amp;INDEX(Import_Staging!$B$2:$B$301,$H53)&amp;""&amp;""""&amp;" is not a real date in yyyy-mm-dd format.","date "&amp;TEXT(INDEX(Import_Staging!$M$2:$M$301,$H53),"yyyy-mm-dd")&amp;" is after the as-of date "&amp;TEXT(Config!$B$4,"yyyy-mm-dd")&amp;".","type is empty.","type "&amp;""""&amp;INDEX(Import_Staging!$C$2:$C$301,$H53)&amp;""&amp;""""&amp;" is not a movement type listed on Config.","sku is empty.","SKU "&amp;INDEX(Import_Staging!$D$2:$D$301,$H53)&amp;""&amp;" is not in Products.","supplier_id is empty; receipts need the supplier.","Supplier "&amp;INDEX(Import_Staging!$E$2:$E$301,$H53)&amp;""&amp;" is not in Suppliers.","lot is empty; every movement needs its lot code.","Lot "&amp;INDEX(Import_Staging!$F$2:$F$301,$H53)&amp;""&amp;" is not recorded for "&amp;INDEX(Import_Staging!$D$2:$D$301,$H53)&amp;""&amp;" in Batches.","expiry is empty; receipts need the company-supplied expiry date.","expiry "&amp;""""&amp;INDEX(Import_Staging!$G$2:$G$301,$H53)&amp;""&amp;""""&amp;" is not a real date in yyyy-mm-dd format.","qty is empty.","qty "&amp;""""&amp;INDEX(Import_Staging!$H$2:$H$301,$H53)&amp;""&amp;""""&amp;" is not a valid quantity"&amp;IF(INDEX(Import_Staging!$C$2:$C$301,$H53)&amp;""="",""," for a "&amp;LOWER(INDEX(Import_Staging!$C$2:$C$301,$H53)&amp;""))&amp;".","lot_status is empty; receipts need a lot status.","lot_status "&amp;""""&amp;INDEX(Import_Staging!$I$2:$I$301,$H53)&amp;""&amp;""""&amp;" is not a lot status allowed on receipt (Config).","reason is empty; adjustments need a reason.","source_link is empty; every movement needs a link to its source document.","This row would take recorded stock of "&amp;INDEX(Import_Staging!$D$2:$D$301,$H53)&amp;""&amp;" from "&amp;INDEX(Import_Staging!$R$2:$R$301,$H53)&amp;" to "&amp;INDEX(Import_Staging!$S$2:$S$301,$H53)&amp;"."),$E53))</f>
        <v/>
      </c>
      <c r="G53" s="67" t="str">
        <f>IF($A53="","",INDEX(Config!$F$39:$F$61,$J53))</f>
        <v/>
      </c>
      <c r="H53" s="66" t="str">
        <f>IF($A53="","",MATCH(COUNTIF(Import_Staging!$BS$2:$BS$301,"&lt;"&amp;$A53)+1,Import_Staging!$BR$2:$BR$301,0))</f>
        <v/>
      </c>
      <c r="I53" s="66" t="str">
        <f>IF($A53="","",$A53-INDEX(Import_Staging!$BQ$2:$BQ$301,$H53))</f>
        <v/>
      </c>
      <c r="J53" s="66" t="str">
        <f>IF($A53="","",MATCH($I53,INDEX(Import_Staging!$AT$2:$BP$301,$H53,0),0))</f>
        <v/>
      </c>
    </row>
    <row r="54">
      <c r="A54" s="65" t="str">
        <f>IF(49&lt;=$F$4,49,"")</f>
        <v/>
      </c>
      <c r="B54" s="65" t="str">
        <f>IF($A54="","",$H54+1)</f>
        <v/>
      </c>
      <c r="C54" s="66" t="str">
        <f>IF($A54="","",INDEX(Import_Staging!$A$2:$A$301,$H54)&amp;"")</f>
        <v/>
      </c>
      <c r="D54" s="66" t="str">
        <f>IF($A54="","",INDEX(Config!$C$39:$C$61,$J54))</f>
        <v/>
      </c>
      <c r="E54" s="66" t="str">
        <f>IF($A54="","",INDEX(Config!$D$39:$D$61,$J54))</f>
        <v/>
      </c>
      <c r="F54" s="67" t="str">
        <f>IF($A54="","",IFERROR(CHOOSE($J54,"movement_id is empty. Every row needs a unique movement ID.","movement_id "&amp;INDEX(Import_Staging!$A$2:$A$301,$H54)&amp;""&amp;" appears earlier in this file (row "&amp;IFERROR(MATCH(INDEX(Import_Staging!$A$2:$A$301,$H54),Import_Staging!$A$2:$A$301,0)+1,"?")&amp;"). Only the first row can be posted.","movement_id "&amp;INDEX(Import_Staging!$A$2:$A$301,$H54)&amp;""&amp;" is already in Inventory_Ledger. The ledger row was not changed.","date is empty.","date "&amp;""""&amp;INDEX(Import_Staging!$B$2:$B$301,$H54)&amp;""&amp;""""&amp;" is not a real date in yyyy-mm-dd format.","date "&amp;TEXT(INDEX(Import_Staging!$M$2:$M$301,$H54),"yyyy-mm-dd")&amp;" is after the as-of date "&amp;TEXT(Config!$B$4,"yyyy-mm-dd")&amp;".","type is empty.","type "&amp;""""&amp;INDEX(Import_Staging!$C$2:$C$301,$H54)&amp;""&amp;""""&amp;" is not a movement type listed on Config.","sku is empty.","SKU "&amp;INDEX(Import_Staging!$D$2:$D$301,$H54)&amp;""&amp;" is not in Products.","supplier_id is empty; receipts need the supplier.","Supplier "&amp;INDEX(Import_Staging!$E$2:$E$301,$H54)&amp;""&amp;" is not in Suppliers.","lot is empty; every movement needs its lot code.","Lot "&amp;INDEX(Import_Staging!$F$2:$F$301,$H54)&amp;""&amp;" is not recorded for "&amp;INDEX(Import_Staging!$D$2:$D$301,$H54)&amp;""&amp;" in Batches.","expiry is empty; receipts need the company-supplied expiry date.","expiry "&amp;""""&amp;INDEX(Import_Staging!$G$2:$G$301,$H54)&amp;""&amp;""""&amp;" is not a real date in yyyy-mm-dd format.","qty is empty.","qty "&amp;""""&amp;INDEX(Import_Staging!$H$2:$H$301,$H54)&amp;""&amp;""""&amp;" is not a valid quantity"&amp;IF(INDEX(Import_Staging!$C$2:$C$301,$H54)&amp;""="",""," for a "&amp;LOWER(INDEX(Import_Staging!$C$2:$C$301,$H54)&amp;""))&amp;".","lot_status is empty; receipts need a lot status.","lot_status "&amp;""""&amp;INDEX(Import_Staging!$I$2:$I$301,$H54)&amp;""&amp;""""&amp;" is not a lot status allowed on receipt (Config).","reason is empty; adjustments need a reason.","source_link is empty; every movement needs a link to its source document.","This row would take recorded stock of "&amp;INDEX(Import_Staging!$D$2:$D$301,$H54)&amp;""&amp;" from "&amp;INDEX(Import_Staging!$R$2:$R$301,$H54)&amp;" to "&amp;INDEX(Import_Staging!$S$2:$S$301,$H54)&amp;"."),$E54))</f>
        <v/>
      </c>
      <c r="G54" s="67" t="str">
        <f>IF($A54="","",INDEX(Config!$F$39:$F$61,$J54))</f>
        <v/>
      </c>
      <c r="H54" s="66" t="str">
        <f>IF($A54="","",MATCH(COUNTIF(Import_Staging!$BS$2:$BS$301,"&lt;"&amp;$A54)+1,Import_Staging!$BR$2:$BR$301,0))</f>
        <v/>
      </c>
      <c r="I54" s="66" t="str">
        <f>IF($A54="","",$A54-INDEX(Import_Staging!$BQ$2:$BQ$301,$H54))</f>
        <v/>
      </c>
      <c r="J54" s="66" t="str">
        <f>IF($A54="","",MATCH($I54,INDEX(Import_Staging!$AT$2:$BP$301,$H54,0),0))</f>
        <v/>
      </c>
    </row>
    <row r="55">
      <c r="A55" s="65" t="str">
        <f>IF(50&lt;=$F$4,50,"")</f>
        <v/>
      </c>
      <c r="B55" s="65" t="str">
        <f>IF($A55="","",$H55+1)</f>
        <v/>
      </c>
      <c r="C55" s="66" t="str">
        <f>IF($A55="","",INDEX(Import_Staging!$A$2:$A$301,$H55)&amp;"")</f>
        <v/>
      </c>
      <c r="D55" s="66" t="str">
        <f>IF($A55="","",INDEX(Config!$C$39:$C$61,$J55))</f>
        <v/>
      </c>
      <c r="E55" s="66" t="str">
        <f>IF($A55="","",INDEX(Config!$D$39:$D$61,$J55))</f>
        <v/>
      </c>
      <c r="F55" s="67" t="str">
        <f>IF($A55="","",IFERROR(CHOOSE($J55,"movement_id is empty. Every row needs a unique movement ID.","movement_id "&amp;INDEX(Import_Staging!$A$2:$A$301,$H55)&amp;""&amp;" appears earlier in this file (row "&amp;IFERROR(MATCH(INDEX(Import_Staging!$A$2:$A$301,$H55),Import_Staging!$A$2:$A$301,0)+1,"?")&amp;"). Only the first row can be posted.","movement_id "&amp;INDEX(Import_Staging!$A$2:$A$301,$H55)&amp;""&amp;" is already in Inventory_Ledger. The ledger row was not changed.","date is empty.","date "&amp;""""&amp;INDEX(Import_Staging!$B$2:$B$301,$H55)&amp;""&amp;""""&amp;" is not a real date in yyyy-mm-dd format.","date "&amp;TEXT(INDEX(Import_Staging!$M$2:$M$301,$H55),"yyyy-mm-dd")&amp;" is after the as-of date "&amp;TEXT(Config!$B$4,"yyyy-mm-dd")&amp;".","type is empty.","type "&amp;""""&amp;INDEX(Import_Staging!$C$2:$C$301,$H55)&amp;""&amp;""""&amp;" is not a movement type listed on Config.","sku is empty.","SKU "&amp;INDEX(Import_Staging!$D$2:$D$301,$H55)&amp;""&amp;" is not in Products.","supplier_id is empty; receipts need the supplier.","Supplier "&amp;INDEX(Import_Staging!$E$2:$E$301,$H55)&amp;""&amp;" is not in Suppliers.","lot is empty; every movement needs its lot code.","Lot "&amp;INDEX(Import_Staging!$F$2:$F$301,$H55)&amp;""&amp;" is not recorded for "&amp;INDEX(Import_Staging!$D$2:$D$301,$H55)&amp;""&amp;" in Batches.","expiry is empty; receipts need the company-supplied expiry date.","expiry "&amp;""""&amp;INDEX(Import_Staging!$G$2:$G$301,$H55)&amp;""&amp;""""&amp;" is not a real date in yyyy-mm-dd format.","qty is empty.","qty "&amp;""""&amp;INDEX(Import_Staging!$H$2:$H$301,$H55)&amp;""&amp;""""&amp;" is not a valid quantity"&amp;IF(INDEX(Import_Staging!$C$2:$C$301,$H55)&amp;""="",""," for a "&amp;LOWER(INDEX(Import_Staging!$C$2:$C$301,$H55)&amp;""))&amp;".","lot_status is empty; receipts need a lot status.","lot_status "&amp;""""&amp;INDEX(Import_Staging!$I$2:$I$301,$H55)&amp;""&amp;""""&amp;" is not a lot status allowed on receipt (Config).","reason is empty; adjustments need a reason.","source_link is empty; every movement needs a link to its source document.","This row would take recorded stock of "&amp;INDEX(Import_Staging!$D$2:$D$301,$H55)&amp;""&amp;" from "&amp;INDEX(Import_Staging!$R$2:$R$301,$H55)&amp;" to "&amp;INDEX(Import_Staging!$S$2:$S$301,$H55)&amp;"."),$E55))</f>
        <v/>
      </c>
      <c r="G55" s="67" t="str">
        <f>IF($A55="","",INDEX(Config!$F$39:$F$61,$J55))</f>
        <v/>
      </c>
      <c r="H55" s="66" t="str">
        <f>IF($A55="","",MATCH(COUNTIF(Import_Staging!$BS$2:$BS$301,"&lt;"&amp;$A55)+1,Import_Staging!$BR$2:$BR$301,0))</f>
        <v/>
      </c>
      <c r="I55" s="66" t="str">
        <f>IF($A55="","",$A55-INDEX(Import_Staging!$BQ$2:$BQ$301,$H55))</f>
        <v/>
      </c>
      <c r="J55" s="66" t="str">
        <f>IF($A55="","",MATCH($I55,INDEX(Import_Staging!$AT$2:$BP$301,$H55,0),0))</f>
        <v/>
      </c>
    </row>
    <row r="56">
      <c r="A56" s="65" t="str">
        <f>IF(51&lt;=$F$4,51,"")</f>
        <v/>
      </c>
      <c r="B56" s="65" t="str">
        <f>IF($A56="","",$H56+1)</f>
        <v/>
      </c>
      <c r="C56" s="66" t="str">
        <f>IF($A56="","",INDEX(Import_Staging!$A$2:$A$301,$H56)&amp;"")</f>
        <v/>
      </c>
      <c r="D56" s="66" t="str">
        <f>IF($A56="","",INDEX(Config!$C$39:$C$61,$J56))</f>
        <v/>
      </c>
      <c r="E56" s="66" t="str">
        <f>IF($A56="","",INDEX(Config!$D$39:$D$61,$J56))</f>
        <v/>
      </c>
      <c r="F56" s="67" t="str">
        <f>IF($A56="","",IFERROR(CHOOSE($J56,"movement_id is empty. Every row needs a unique movement ID.","movement_id "&amp;INDEX(Import_Staging!$A$2:$A$301,$H56)&amp;""&amp;" appears earlier in this file (row "&amp;IFERROR(MATCH(INDEX(Import_Staging!$A$2:$A$301,$H56),Import_Staging!$A$2:$A$301,0)+1,"?")&amp;"). Only the first row can be posted.","movement_id "&amp;INDEX(Import_Staging!$A$2:$A$301,$H56)&amp;""&amp;" is already in Inventory_Ledger. The ledger row was not changed.","date is empty.","date "&amp;""""&amp;INDEX(Import_Staging!$B$2:$B$301,$H56)&amp;""&amp;""""&amp;" is not a real date in yyyy-mm-dd format.","date "&amp;TEXT(INDEX(Import_Staging!$M$2:$M$301,$H56),"yyyy-mm-dd")&amp;" is after the as-of date "&amp;TEXT(Config!$B$4,"yyyy-mm-dd")&amp;".","type is empty.","type "&amp;""""&amp;INDEX(Import_Staging!$C$2:$C$301,$H56)&amp;""&amp;""""&amp;" is not a movement type listed on Config.","sku is empty.","SKU "&amp;INDEX(Import_Staging!$D$2:$D$301,$H56)&amp;""&amp;" is not in Products.","supplier_id is empty; receipts need the supplier.","Supplier "&amp;INDEX(Import_Staging!$E$2:$E$301,$H56)&amp;""&amp;" is not in Suppliers.","lot is empty; every movement needs its lot code.","Lot "&amp;INDEX(Import_Staging!$F$2:$F$301,$H56)&amp;""&amp;" is not recorded for "&amp;INDEX(Import_Staging!$D$2:$D$301,$H56)&amp;""&amp;" in Batches.","expiry is empty; receipts need the company-supplied expiry date.","expiry "&amp;""""&amp;INDEX(Import_Staging!$G$2:$G$301,$H56)&amp;""&amp;""""&amp;" is not a real date in yyyy-mm-dd format.","qty is empty.","qty "&amp;""""&amp;INDEX(Import_Staging!$H$2:$H$301,$H56)&amp;""&amp;""""&amp;" is not a valid quantity"&amp;IF(INDEX(Import_Staging!$C$2:$C$301,$H56)&amp;""="",""," for a "&amp;LOWER(INDEX(Import_Staging!$C$2:$C$301,$H56)&amp;""))&amp;".","lot_status is empty; receipts need a lot status.","lot_status "&amp;""""&amp;INDEX(Import_Staging!$I$2:$I$301,$H56)&amp;""&amp;""""&amp;" is not a lot status allowed on receipt (Config).","reason is empty; adjustments need a reason.","source_link is empty; every movement needs a link to its source document.","This row would take recorded stock of "&amp;INDEX(Import_Staging!$D$2:$D$301,$H56)&amp;""&amp;" from "&amp;INDEX(Import_Staging!$R$2:$R$301,$H56)&amp;" to "&amp;INDEX(Import_Staging!$S$2:$S$301,$H56)&amp;"."),$E56))</f>
        <v/>
      </c>
      <c r="G56" s="67" t="str">
        <f>IF($A56="","",INDEX(Config!$F$39:$F$61,$J56))</f>
        <v/>
      </c>
      <c r="H56" s="66" t="str">
        <f>IF($A56="","",MATCH(COUNTIF(Import_Staging!$BS$2:$BS$301,"&lt;"&amp;$A56)+1,Import_Staging!$BR$2:$BR$301,0))</f>
        <v/>
      </c>
      <c r="I56" s="66" t="str">
        <f>IF($A56="","",$A56-INDEX(Import_Staging!$BQ$2:$BQ$301,$H56))</f>
        <v/>
      </c>
      <c r="J56" s="66" t="str">
        <f>IF($A56="","",MATCH($I56,INDEX(Import_Staging!$AT$2:$BP$301,$H56,0),0))</f>
        <v/>
      </c>
    </row>
    <row r="57">
      <c r="A57" s="65" t="str">
        <f>IF(52&lt;=$F$4,52,"")</f>
        <v/>
      </c>
      <c r="B57" s="65" t="str">
        <f>IF($A57="","",$H57+1)</f>
        <v/>
      </c>
      <c r="C57" s="66" t="str">
        <f>IF($A57="","",INDEX(Import_Staging!$A$2:$A$301,$H57)&amp;"")</f>
        <v/>
      </c>
      <c r="D57" s="66" t="str">
        <f>IF($A57="","",INDEX(Config!$C$39:$C$61,$J57))</f>
        <v/>
      </c>
      <c r="E57" s="66" t="str">
        <f>IF($A57="","",INDEX(Config!$D$39:$D$61,$J57))</f>
        <v/>
      </c>
      <c r="F57" s="67" t="str">
        <f>IF($A57="","",IFERROR(CHOOSE($J57,"movement_id is empty. Every row needs a unique movement ID.","movement_id "&amp;INDEX(Import_Staging!$A$2:$A$301,$H57)&amp;""&amp;" appears earlier in this file (row "&amp;IFERROR(MATCH(INDEX(Import_Staging!$A$2:$A$301,$H57),Import_Staging!$A$2:$A$301,0)+1,"?")&amp;"). Only the first row can be posted.","movement_id "&amp;INDEX(Import_Staging!$A$2:$A$301,$H57)&amp;""&amp;" is already in Inventory_Ledger. The ledger row was not changed.","date is empty.","date "&amp;""""&amp;INDEX(Import_Staging!$B$2:$B$301,$H57)&amp;""&amp;""""&amp;" is not a real date in yyyy-mm-dd format.","date "&amp;TEXT(INDEX(Import_Staging!$M$2:$M$301,$H57),"yyyy-mm-dd")&amp;" is after the as-of date "&amp;TEXT(Config!$B$4,"yyyy-mm-dd")&amp;".","type is empty.","type "&amp;""""&amp;INDEX(Import_Staging!$C$2:$C$301,$H57)&amp;""&amp;""""&amp;" is not a movement type listed on Config.","sku is empty.","SKU "&amp;INDEX(Import_Staging!$D$2:$D$301,$H57)&amp;""&amp;" is not in Products.","supplier_id is empty; receipts need the supplier.","Supplier "&amp;INDEX(Import_Staging!$E$2:$E$301,$H57)&amp;""&amp;" is not in Suppliers.","lot is empty; every movement needs its lot code.","Lot "&amp;INDEX(Import_Staging!$F$2:$F$301,$H57)&amp;""&amp;" is not recorded for "&amp;INDEX(Import_Staging!$D$2:$D$301,$H57)&amp;""&amp;" in Batches.","expiry is empty; receipts need the company-supplied expiry date.","expiry "&amp;""""&amp;INDEX(Import_Staging!$G$2:$G$301,$H57)&amp;""&amp;""""&amp;" is not a real date in yyyy-mm-dd format.","qty is empty.","qty "&amp;""""&amp;INDEX(Import_Staging!$H$2:$H$301,$H57)&amp;""&amp;""""&amp;" is not a valid quantity"&amp;IF(INDEX(Import_Staging!$C$2:$C$301,$H57)&amp;""="",""," for a "&amp;LOWER(INDEX(Import_Staging!$C$2:$C$301,$H57)&amp;""))&amp;".","lot_status is empty; receipts need a lot status.","lot_status "&amp;""""&amp;INDEX(Import_Staging!$I$2:$I$301,$H57)&amp;""&amp;""""&amp;" is not a lot status allowed on receipt (Config).","reason is empty; adjustments need a reason.","source_link is empty; every movement needs a link to its source document.","This row would take recorded stock of "&amp;INDEX(Import_Staging!$D$2:$D$301,$H57)&amp;""&amp;" from "&amp;INDEX(Import_Staging!$R$2:$R$301,$H57)&amp;" to "&amp;INDEX(Import_Staging!$S$2:$S$301,$H57)&amp;"."),$E57))</f>
        <v/>
      </c>
      <c r="G57" s="67" t="str">
        <f>IF($A57="","",INDEX(Config!$F$39:$F$61,$J57))</f>
        <v/>
      </c>
      <c r="H57" s="66" t="str">
        <f>IF($A57="","",MATCH(COUNTIF(Import_Staging!$BS$2:$BS$301,"&lt;"&amp;$A57)+1,Import_Staging!$BR$2:$BR$301,0))</f>
        <v/>
      </c>
      <c r="I57" s="66" t="str">
        <f>IF($A57="","",$A57-INDEX(Import_Staging!$BQ$2:$BQ$301,$H57))</f>
        <v/>
      </c>
      <c r="J57" s="66" t="str">
        <f>IF($A57="","",MATCH($I57,INDEX(Import_Staging!$AT$2:$BP$301,$H57,0),0))</f>
        <v/>
      </c>
    </row>
    <row r="58">
      <c r="A58" s="65" t="str">
        <f>IF(53&lt;=$F$4,53,"")</f>
        <v/>
      </c>
      <c r="B58" s="65" t="str">
        <f>IF($A58="","",$H58+1)</f>
        <v/>
      </c>
      <c r="C58" s="66" t="str">
        <f>IF($A58="","",INDEX(Import_Staging!$A$2:$A$301,$H58)&amp;"")</f>
        <v/>
      </c>
      <c r="D58" s="66" t="str">
        <f>IF($A58="","",INDEX(Config!$C$39:$C$61,$J58))</f>
        <v/>
      </c>
      <c r="E58" s="66" t="str">
        <f>IF($A58="","",INDEX(Config!$D$39:$D$61,$J58))</f>
        <v/>
      </c>
      <c r="F58" s="67" t="str">
        <f>IF($A58="","",IFERROR(CHOOSE($J58,"movement_id is empty. Every row needs a unique movement ID.","movement_id "&amp;INDEX(Import_Staging!$A$2:$A$301,$H58)&amp;""&amp;" appears earlier in this file (row "&amp;IFERROR(MATCH(INDEX(Import_Staging!$A$2:$A$301,$H58),Import_Staging!$A$2:$A$301,0)+1,"?")&amp;"). Only the first row can be posted.","movement_id "&amp;INDEX(Import_Staging!$A$2:$A$301,$H58)&amp;""&amp;" is already in Inventory_Ledger. The ledger row was not changed.","date is empty.","date "&amp;""""&amp;INDEX(Import_Staging!$B$2:$B$301,$H58)&amp;""&amp;""""&amp;" is not a real date in yyyy-mm-dd format.","date "&amp;TEXT(INDEX(Import_Staging!$M$2:$M$301,$H58),"yyyy-mm-dd")&amp;" is after the as-of date "&amp;TEXT(Config!$B$4,"yyyy-mm-dd")&amp;".","type is empty.","type "&amp;""""&amp;INDEX(Import_Staging!$C$2:$C$301,$H58)&amp;""&amp;""""&amp;" is not a movement type listed on Config.","sku is empty.","SKU "&amp;INDEX(Import_Staging!$D$2:$D$301,$H58)&amp;""&amp;" is not in Products.","supplier_id is empty; receipts need the supplier.","Supplier "&amp;INDEX(Import_Staging!$E$2:$E$301,$H58)&amp;""&amp;" is not in Suppliers.","lot is empty; every movement needs its lot code.","Lot "&amp;INDEX(Import_Staging!$F$2:$F$301,$H58)&amp;""&amp;" is not recorded for "&amp;INDEX(Import_Staging!$D$2:$D$301,$H58)&amp;""&amp;" in Batches.","expiry is empty; receipts need the company-supplied expiry date.","expiry "&amp;""""&amp;INDEX(Import_Staging!$G$2:$G$301,$H58)&amp;""&amp;""""&amp;" is not a real date in yyyy-mm-dd format.","qty is empty.","qty "&amp;""""&amp;INDEX(Import_Staging!$H$2:$H$301,$H58)&amp;""&amp;""""&amp;" is not a valid quantity"&amp;IF(INDEX(Import_Staging!$C$2:$C$301,$H58)&amp;""="",""," for a "&amp;LOWER(INDEX(Import_Staging!$C$2:$C$301,$H58)&amp;""))&amp;".","lot_status is empty; receipts need a lot status.","lot_status "&amp;""""&amp;INDEX(Import_Staging!$I$2:$I$301,$H58)&amp;""&amp;""""&amp;" is not a lot status allowed on receipt (Config).","reason is empty; adjustments need a reason.","source_link is empty; every movement needs a link to its source document.","This row would take recorded stock of "&amp;INDEX(Import_Staging!$D$2:$D$301,$H58)&amp;""&amp;" from "&amp;INDEX(Import_Staging!$R$2:$R$301,$H58)&amp;" to "&amp;INDEX(Import_Staging!$S$2:$S$301,$H58)&amp;"."),$E58))</f>
        <v/>
      </c>
      <c r="G58" s="67" t="str">
        <f>IF($A58="","",INDEX(Config!$F$39:$F$61,$J58))</f>
        <v/>
      </c>
      <c r="H58" s="66" t="str">
        <f>IF($A58="","",MATCH(COUNTIF(Import_Staging!$BS$2:$BS$301,"&lt;"&amp;$A58)+1,Import_Staging!$BR$2:$BR$301,0))</f>
        <v/>
      </c>
      <c r="I58" s="66" t="str">
        <f>IF($A58="","",$A58-INDEX(Import_Staging!$BQ$2:$BQ$301,$H58))</f>
        <v/>
      </c>
      <c r="J58" s="66" t="str">
        <f>IF($A58="","",MATCH($I58,INDEX(Import_Staging!$AT$2:$BP$301,$H58,0),0))</f>
        <v/>
      </c>
    </row>
    <row r="59">
      <c r="A59" s="65" t="str">
        <f>IF(54&lt;=$F$4,54,"")</f>
        <v/>
      </c>
      <c r="B59" s="65" t="str">
        <f>IF($A59="","",$H59+1)</f>
        <v/>
      </c>
      <c r="C59" s="66" t="str">
        <f>IF($A59="","",INDEX(Import_Staging!$A$2:$A$301,$H59)&amp;"")</f>
        <v/>
      </c>
      <c r="D59" s="66" t="str">
        <f>IF($A59="","",INDEX(Config!$C$39:$C$61,$J59))</f>
        <v/>
      </c>
      <c r="E59" s="66" t="str">
        <f>IF($A59="","",INDEX(Config!$D$39:$D$61,$J59))</f>
        <v/>
      </c>
      <c r="F59" s="67" t="str">
        <f>IF($A59="","",IFERROR(CHOOSE($J59,"movement_id is empty. Every row needs a unique movement ID.","movement_id "&amp;INDEX(Import_Staging!$A$2:$A$301,$H59)&amp;""&amp;" appears earlier in this file (row "&amp;IFERROR(MATCH(INDEX(Import_Staging!$A$2:$A$301,$H59),Import_Staging!$A$2:$A$301,0)+1,"?")&amp;"). Only the first row can be posted.","movement_id "&amp;INDEX(Import_Staging!$A$2:$A$301,$H59)&amp;""&amp;" is already in Inventory_Ledger. The ledger row was not changed.","date is empty.","date "&amp;""""&amp;INDEX(Import_Staging!$B$2:$B$301,$H59)&amp;""&amp;""""&amp;" is not a real date in yyyy-mm-dd format.","date "&amp;TEXT(INDEX(Import_Staging!$M$2:$M$301,$H59),"yyyy-mm-dd")&amp;" is after the as-of date "&amp;TEXT(Config!$B$4,"yyyy-mm-dd")&amp;".","type is empty.","type "&amp;""""&amp;INDEX(Import_Staging!$C$2:$C$301,$H59)&amp;""&amp;""""&amp;" is not a movement type listed on Config.","sku is empty.","SKU "&amp;INDEX(Import_Staging!$D$2:$D$301,$H59)&amp;""&amp;" is not in Products.","supplier_id is empty; receipts need the supplier.","Supplier "&amp;INDEX(Import_Staging!$E$2:$E$301,$H59)&amp;""&amp;" is not in Suppliers.","lot is empty; every movement needs its lot code.","Lot "&amp;INDEX(Import_Staging!$F$2:$F$301,$H59)&amp;""&amp;" is not recorded for "&amp;INDEX(Import_Staging!$D$2:$D$301,$H59)&amp;""&amp;" in Batches.","expiry is empty; receipts need the company-supplied expiry date.","expiry "&amp;""""&amp;INDEX(Import_Staging!$G$2:$G$301,$H59)&amp;""&amp;""""&amp;" is not a real date in yyyy-mm-dd format.","qty is empty.","qty "&amp;""""&amp;INDEX(Import_Staging!$H$2:$H$301,$H59)&amp;""&amp;""""&amp;" is not a valid quantity"&amp;IF(INDEX(Import_Staging!$C$2:$C$301,$H59)&amp;""="",""," for a "&amp;LOWER(INDEX(Import_Staging!$C$2:$C$301,$H59)&amp;""))&amp;".","lot_status is empty; receipts need a lot status.","lot_status "&amp;""""&amp;INDEX(Import_Staging!$I$2:$I$301,$H59)&amp;""&amp;""""&amp;" is not a lot status allowed on receipt (Config).","reason is empty; adjustments need a reason.","source_link is empty; every movement needs a link to its source document.","This row would take recorded stock of "&amp;INDEX(Import_Staging!$D$2:$D$301,$H59)&amp;""&amp;" from "&amp;INDEX(Import_Staging!$R$2:$R$301,$H59)&amp;" to "&amp;INDEX(Import_Staging!$S$2:$S$301,$H59)&amp;"."),$E59))</f>
        <v/>
      </c>
      <c r="G59" s="67" t="str">
        <f>IF($A59="","",INDEX(Config!$F$39:$F$61,$J59))</f>
        <v/>
      </c>
      <c r="H59" s="66" t="str">
        <f>IF($A59="","",MATCH(COUNTIF(Import_Staging!$BS$2:$BS$301,"&lt;"&amp;$A59)+1,Import_Staging!$BR$2:$BR$301,0))</f>
        <v/>
      </c>
      <c r="I59" s="66" t="str">
        <f>IF($A59="","",$A59-INDEX(Import_Staging!$BQ$2:$BQ$301,$H59))</f>
        <v/>
      </c>
      <c r="J59" s="66" t="str">
        <f>IF($A59="","",MATCH($I59,INDEX(Import_Staging!$AT$2:$BP$301,$H59,0),0))</f>
        <v/>
      </c>
    </row>
    <row r="60">
      <c r="A60" s="65" t="str">
        <f>IF(55&lt;=$F$4,55,"")</f>
        <v/>
      </c>
      <c r="B60" s="65" t="str">
        <f>IF($A60="","",$H60+1)</f>
        <v/>
      </c>
      <c r="C60" s="66" t="str">
        <f>IF($A60="","",INDEX(Import_Staging!$A$2:$A$301,$H60)&amp;"")</f>
        <v/>
      </c>
      <c r="D60" s="66" t="str">
        <f>IF($A60="","",INDEX(Config!$C$39:$C$61,$J60))</f>
        <v/>
      </c>
      <c r="E60" s="66" t="str">
        <f>IF($A60="","",INDEX(Config!$D$39:$D$61,$J60))</f>
        <v/>
      </c>
      <c r="F60" s="67" t="str">
        <f>IF($A60="","",IFERROR(CHOOSE($J60,"movement_id is empty. Every row needs a unique movement ID.","movement_id "&amp;INDEX(Import_Staging!$A$2:$A$301,$H60)&amp;""&amp;" appears earlier in this file (row "&amp;IFERROR(MATCH(INDEX(Import_Staging!$A$2:$A$301,$H60),Import_Staging!$A$2:$A$301,0)+1,"?")&amp;"). Only the first row can be posted.","movement_id "&amp;INDEX(Import_Staging!$A$2:$A$301,$H60)&amp;""&amp;" is already in Inventory_Ledger. The ledger row was not changed.","date is empty.","date "&amp;""""&amp;INDEX(Import_Staging!$B$2:$B$301,$H60)&amp;""&amp;""""&amp;" is not a real date in yyyy-mm-dd format.","date "&amp;TEXT(INDEX(Import_Staging!$M$2:$M$301,$H60),"yyyy-mm-dd")&amp;" is after the as-of date "&amp;TEXT(Config!$B$4,"yyyy-mm-dd")&amp;".","type is empty.","type "&amp;""""&amp;INDEX(Import_Staging!$C$2:$C$301,$H60)&amp;""&amp;""""&amp;" is not a movement type listed on Config.","sku is empty.","SKU "&amp;INDEX(Import_Staging!$D$2:$D$301,$H60)&amp;""&amp;" is not in Products.","supplier_id is empty; receipts need the supplier.","Supplier "&amp;INDEX(Import_Staging!$E$2:$E$301,$H60)&amp;""&amp;" is not in Suppliers.","lot is empty; every movement needs its lot code.","Lot "&amp;INDEX(Import_Staging!$F$2:$F$301,$H60)&amp;""&amp;" is not recorded for "&amp;INDEX(Import_Staging!$D$2:$D$301,$H60)&amp;""&amp;" in Batches.","expiry is empty; receipts need the company-supplied expiry date.","expiry "&amp;""""&amp;INDEX(Import_Staging!$G$2:$G$301,$H60)&amp;""&amp;""""&amp;" is not a real date in yyyy-mm-dd format.","qty is empty.","qty "&amp;""""&amp;INDEX(Import_Staging!$H$2:$H$301,$H60)&amp;""&amp;""""&amp;" is not a valid quantity"&amp;IF(INDEX(Import_Staging!$C$2:$C$301,$H60)&amp;""="",""," for a "&amp;LOWER(INDEX(Import_Staging!$C$2:$C$301,$H60)&amp;""))&amp;".","lot_status is empty; receipts need a lot status.","lot_status "&amp;""""&amp;INDEX(Import_Staging!$I$2:$I$301,$H60)&amp;""&amp;""""&amp;" is not a lot status allowed on receipt (Config).","reason is empty; adjustments need a reason.","source_link is empty; every movement needs a link to its source document.","This row would take recorded stock of "&amp;INDEX(Import_Staging!$D$2:$D$301,$H60)&amp;""&amp;" from "&amp;INDEX(Import_Staging!$R$2:$R$301,$H60)&amp;" to "&amp;INDEX(Import_Staging!$S$2:$S$301,$H60)&amp;"."),$E60))</f>
        <v/>
      </c>
      <c r="G60" s="67" t="str">
        <f>IF($A60="","",INDEX(Config!$F$39:$F$61,$J60))</f>
        <v/>
      </c>
      <c r="H60" s="66" t="str">
        <f>IF($A60="","",MATCH(COUNTIF(Import_Staging!$BS$2:$BS$301,"&lt;"&amp;$A60)+1,Import_Staging!$BR$2:$BR$301,0))</f>
        <v/>
      </c>
      <c r="I60" s="66" t="str">
        <f>IF($A60="","",$A60-INDEX(Import_Staging!$BQ$2:$BQ$301,$H60))</f>
        <v/>
      </c>
      <c r="J60" s="66" t="str">
        <f>IF($A60="","",MATCH($I60,INDEX(Import_Staging!$AT$2:$BP$301,$H60,0),0))</f>
        <v/>
      </c>
    </row>
    <row r="61">
      <c r="A61" s="65" t="str">
        <f>IF(56&lt;=$F$4,56,"")</f>
        <v/>
      </c>
      <c r="B61" s="65" t="str">
        <f>IF($A61="","",$H61+1)</f>
        <v/>
      </c>
      <c r="C61" s="66" t="str">
        <f>IF($A61="","",INDEX(Import_Staging!$A$2:$A$301,$H61)&amp;"")</f>
        <v/>
      </c>
      <c r="D61" s="66" t="str">
        <f>IF($A61="","",INDEX(Config!$C$39:$C$61,$J61))</f>
        <v/>
      </c>
      <c r="E61" s="66" t="str">
        <f>IF($A61="","",INDEX(Config!$D$39:$D$61,$J61))</f>
        <v/>
      </c>
      <c r="F61" s="67" t="str">
        <f>IF($A61="","",IFERROR(CHOOSE($J61,"movement_id is empty. Every row needs a unique movement ID.","movement_id "&amp;INDEX(Import_Staging!$A$2:$A$301,$H61)&amp;""&amp;" appears earlier in this file (row "&amp;IFERROR(MATCH(INDEX(Import_Staging!$A$2:$A$301,$H61),Import_Staging!$A$2:$A$301,0)+1,"?")&amp;"). Only the first row can be posted.","movement_id "&amp;INDEX(Import_Staging!$A$2:$A$301,$H61)&amp;""&amp;" is already in Inventory_Ledger. The ledger row was not changed.","date is empty.","date "&amp;""""&amp;INDEX(Import_Staging!$B$2:$B$301,$H61)&amp;""&amp;""""&amp;" is not a real date in yyyy-mm-dd format.","date "&amp;TEXT(INDEX(Import_Staging!$M$2:$M$301,$H61),"yyyy-mm-dd")&amp;" is after the as-of date "&amp;TEXT(Config!$B$4,"yyyy-mm-dd")&amp;".","type is empty.","type "&amp;""""&amp;INDEX(Import_Staging!$C$2:$C$301,$H61)&amp;""&amp;""""&amp;" is not a movement type listed on Config.","sku is empty.","SKU "&amp;INDEX(Import_Staging!$D$2:$D$301,$H61)&amp;""&amp;" is not in Products.","supplier_id is empty; receipts need the supplier.","Supplier "&amp;INDEX(Import_Staging!$E$2:$E$301,$H61)&amp;""&amp;" is not in Suppliers.","lot is empty; every movement needs its lot code.","Lot "&amp;INDEX(Import_Staging!$F$2:$F$301,$H61)&amp;""&amp;" is not recorded for "&amp;INDEX(Import_Staging!$D$2:$D$301,$H61)&amp;""&amp;" in Batches.","expiry is empty; receipts need the company-supplied expiry date.","expiry "&amp;""""&amp;INDEX(Import_Staging!$G$2:$G$301,$H61)&amp;""&amp;""""&amp;" is not a real date in yyyy-mm-dd format.","qty is empty.","qty "&amp;""""&amp;INDEX(Import_Staging!$H$2:$H$301,$H61)&amp;""&amp;""""&amp;" is not a valid quantity"&amp;IF(INDEX(Import_Staging!$C$2:$C$301,$H61)&amp;""="",""," for a "&amp;LOWER(INDEX(Import_Staging!$C$2:$C$301,$H61)&amp;""))&amp;".","lot_status is empty; receipts need a lot status.","lot_status "&amp;""""&amp;INDEX(Import_Staging!$I$2:$I$301,$H61)&amp;""&amp;""""&amp;" is not a lot status allowed on receipt (Config).","reason is empty; adjustments need a reason.","source_link is empty; every movement needs a link to its source document.","This row would take recorded stock of "&amp;INDEX(Import_Staging!$D$2:$D$301,$H61)&amp;""&amp;" from "&amp;INDEX(Import_Staging!$R$2:$R$301,$H61)&amp;" to "&amp;INDEX(Import_Staging!$S$2:$S$301,$H61)&amp;"."),$E61))</f>
        <v/>
      </c>
      <c r="G61" s="67" t="str">
        <f>IF($A61="","",INDEX(Config!$F$39:$F$61,$J61))</f>
        <v/>
      </c>
      <c r="H61" s="66" t="str">
        <f>IF($A61="","",MATCH(COUNTIF(Import_Staging!$BS$2:$BS$301,"&lt;"&amp;$A61)+1,Import_Staging!$BR$2:$BR$301,0))</f>
        <v/>
      </c>
      <c r="I61" s="66" t="str">
        <f>IF($A61="","",$A61-INDEX(Import_Staging!$BQ$2:$BQ$301,$H61))</f>
        <v/>
      </c>
      <c r="J61" s="66" t="str">
        <f>IF($A61="","",MATCH($I61,INDEX(Import_Staging!$AT$2:$BP$301,$H61,0),0))</f>
        <v/>
      </c>
    </row>
    <row r="62">
      <c r="A62" s="65" t="str">
        <f>IF(57&lt;=$F$4,57,"")</f>
        <v/>
      </c>
      <c r="B62" s="65" t="str">
        <f>IF($A62="","",$H62+1)</f>
        <v/>
      </c>
      <c r="C62" s="66" t="str">
        <f>IF($A62="","",INDEX(Import_Staging!$A$2:$A$301,$H62)&amp;"")</f>
        <v/>
      </c>
      <c r="D62" s="66" t="str">
        <f>IF($A62="","",INDEX(Config!$C$39:$C$61,$J62))</f>
        <v/>
      </c>
      <c r="E62" s="66" t="str">
        <f>IF($A62="","",INDEX(Config!$D$39:$D$61,$J62))</f>
        <v/>
      </c>
      <c r="F62" s="67" t="str">
        <f>IF($A62="","",IFERROR(CHOOSE($J62,"movement_id is empty. Every row needs a unique movement ID.","movement_id "&amp;INDEX(Import_Staging!$A$2:$A$301,$H62)&amp;""&amp;" appears earlier in this file (row "&amp;IFERROR(MATCH(INDEX(Import_Staging!$A$2:$A$301,$H62),Import_Staging!$A$2:$A$301,0)+1,"?")&amp;"). Only the first row can be posted.","movement_id "&amp;INDEX(Import_Staging!$A$2:$A$301,$H62)&amp;""&amp;" is already in Inventory_Ledger. The ledger row was not changed.","date is empty.","date "&amp;""""&amp;INDEX(Import_Staging!$B$2:$B$301,$H62)&amp;""&amp;""""&amp;" is not a real date in yyyy-mm-dd format.","date "&amp;TEXT(INDEX(Import_Staging!$M$2:$M$301,$H62),"yyyy-mm-dd")&amp;" is after the as-of date "&amp;TEXT(Config!$B$4,"yyyy-mm-dd")&amp;".","type is empty.","type "&amp;""""&amp;INDEX(Import_Staging!$C$2:$C$301,$H62)&amp;""&amp;""""&amp;" is not a movement type listed on Config.","sku is empty.","SKU "&amp;INDEX(Import_Staging!$D$2:$D$301,$H62)&amp;""&amp;" is not in Products.","supplier_id is empty; receipts need the supplier.","Supplier "&amp;INDEX(Import_Staging!$E$2:$E$301,$H62)&amp;""&amp;" is not in Suppliers.","lot is empty; every movement needs its lot code.","Lot "&amp;INDEX(Import_Staging!$F$2:$F$301,$H62)&amp;""&amp;" is not recorded for "&amp;INDEX(Import_Staging!$D$2:$D$301,$H62)&amp;""&amp;" in Batches.","expiry is empty; receipts need the company-supplied expiry date.","expiry "&amp;""""&amp;INDEX(Import_Staging!$G$2:$G$301,$H62)&amp;""&amp;""""&amp;" is not a real date in yyyy-mm-dd format.","qty is empty.","qty "&amp;""""&amp;INDEX(Import_Staging!$H$2:$H$301,$H62)&amp;""&amp;""""&amp;" is not a valid quantity"&amp;IF(INDEX(Import_Staging!$C$2:$C$301,$H62)&amp;""="",""," for a "&amp;LOWER(INDEX(Import_Staging!$C$2:$C$301,$H62)&amp;""))&amp;".","lot_status is empty; receipts need a lot status.","lot_status "&amp;""""&amp;INDEX(Import_Staging!$I$2:$I$301,$H62)&amp;""&amp;""""&amp;" is not a lot status allowed on receipt (Config).","reason is empty; adjustments need a reason.","source_link is empty; every movement needs a link to its source document.","This row would take recorded stock of "&amp;INDEX(Import_Staging!$D$2:$D$301,$H62)&amp;""&amp;" from "&amp;INDEX(Import_Staging!$R$2:$R$301,$H62)&amp;" to "&amp;INDEX(Import_Staging!$S$2:$S$301,$H62)&amp;"."),$E62))</f>
        <v/>
      </c>
      <c r="G62" s="67" t="str">
        <f>IF($A62="","",INDEX(Config!$F$39:$F$61,$J62))</f>
        <v/>
      </c>
      <c r="H62" s="66" t="str">
        <f>IF($A62="","",MATCH(COUNTIF(Import_Staging!$BS$2:$BS$301,"&lt;"&amp;$A62)+1,Import_Staging!$BR$2:$BR$301,0))</f>
        <v/>
      </c>
      <c r="I62" s="66" t="str">
        <f>IF($A62="","",$A62-INDEX(Import_Staging!$BQ$2:$BQ$301,$H62))</f>
        <v/>
      </c>
      <c r="J62" s="66" t="str">
        <f>IF($A62="","",MATCH($I62,INDEX(Import_Staging!$AT$2:$BP$301,$H62,0),0))</f>
        <v/>
      </c>
    </row>
    <row r="63">
      <c r="A63" s="65" t="str">
        <f>IF(58&lt;=$F$4,58,"")</f>
        <v/>
      </c>
      <c r="B63" s="65" t="str">
        <f>IF($A63="","",$H63+1)</f>
        <v/>
      </c>
      <c r="C63" s="66" t="str">
        <f>IF($A63="","",INDEX(Import_Staging!$A$2:$A$301,$H63)&amp;"")</f>
        <v/>
      </c>
      <c r="D63" s="66" t="str">
        <f>IF($A63="","",INDEX(Config!$C$39:$C$61,$J63))</f>
        <v/>
      </c>
      <c r="E63" s="66" t="str">
        <f>IF($A63="","",INDEX(Config!$D$39:$D$61,$J63))</f>
        <v/>
      </c>
      <c r="F63" s="67" t="str">
        <f>IF($A63="","",IFERROR(CHOOSE($J63,"movement_id is empty. Every row needs a unique movement ID.","movement_id "&amp;INDEX(Import_Staging!$A$2:$A$301,$H63)&amp;""&amp;" appears earlier in this file (row "&amp;IFERROR(MATCH(INDEX(Import_Staging!$A$2:$A$301,$H63),Import_Staging!$A$2:$A$301,0)+1,"?")&amp;"). Only the first row can be posted.","movement_id "&amp;INDEX(Import_Staging!$A$2:$A$301,$H63)&amp;""&amp;" is already in Inventory_Ledger. The ledger row was not changed.","date is empty.","date "&amp;""""&amp;INDEX(Import_Staging!$B$2:$B$301,$H63)&amp;""&amp;""""&amp;" is not a real date in yyyy-mm-dd format.","date "&amp;TEXT(INDEX(Import_Staging!$M$2:$M$301,$H63),"yyyy-mm-dd")&amp;" is after the as-of date "&amp;TEXT(Config!$B$4,"yyyy-mm-dd")&amp;".","type is empty.","type "&amp;""""&amp;INDEX(Import_Staging!$C$2:$C$301,$H63)&amp;""&amp;""""&amp;" is not a movement type listed on Config.","sku is empty.","SKU "&amp;INDEX(Import_Staging!$D$2:$D$301,$H63)&amp;""&amp;" is not in Products.","supplier_id is empty; receipts need the supplier.","Supplier "&amp;INDEX(Import_Staging!$E$2:$E$301,$H63)&amp;""&amp;" is not in Suppliers.","lot is empty; every movement needs its lot code.","Lot "&amp;INDEX(Import_Staging!$F$2:$F$301,$H63)&amp;""&amp;" is not recorded for "&amp;INDEX(Import_Staging!$D$2:$D$301,$H63)&amp;""&amp;" in Batches.","expiry is empty; receipts need the company-supplied expiry date.","expiry "&amp;""""&amp;INDEX(Import_Staging!$G$2:$G$301,$H63)&amp;""&amp;""""&amp;" is not a real date in yyyy-mm-dd format.","qty is empty.","qty "&amp;""""&amp;INDEX(Import_Staging!$H$2:$H$301,$H63)&amp;""&amp;""""&amp;" is not a valid quantity"&amp;IF(INDEX(Import_Staging!$C$2:$C$301,$H63)&amp;""="",""," for a "&amp;LOWER(INDEX(Import_Staging!$C$2:$C$301,$H63)&amp;""))&amp;".","lot_status is empty; receipts need a lot status.","lot_status "&amp;""""&amp;INDEX(Import_Staging!$I$2:$I$301,$H63)&amp;""&amp;""""&amp;" is not a lot status allowed on receipt (Config).","reason is empty; adjustments need a reason.","source_link is empty; every movement needs a link to its source document.","This row would take recorded stock of "&amp;INDEX(Import_Staging!$D$2:$D$301,$H63)&amp;""&amp;" from "&amp;INDEX(Import_Staging!$R$2:$R$301,$H63)&amp;" to "&amp;INDEX(Import_Staging!$S$2:$S$301,$H63)&amp;"."),$E63))</f>
        <v/>
      </c>
      <c r="G63" s="67" t="str">
        <f>IF($A63="","",INDEX(Config!$F$39:$F$61,$J63))</f>
        <v/>
      </c>
      <c r="H63" s="66" t="str">
        <f>IF($A63="","",MATCH(COUNTIF(Import_Staging!$BS$2:$BS$301,"&lt;"&amp;$A63)+1,Import_Staging!$BR$2:$BR$301,0))</f>
        <v/>
      </c>
      <c r="I63" s="66" t="str">
        <f>IF($A63="","",$A63-INDEX(Import_Staging!$BQ$2:$BQ$301,$H63))</f>
        <v/>
      </c>
      <c r="J63" s="66" t="str">
        <f>IF($A63="","",MATCH($I63,INDEX(Import_Staging!$AT$2:$BP$301,$H63,0),0))</f>
        <v/>
      </c>
    </row>
    <row r="64">
      <c r="A64" s="65" t="str">
        <f>IF(59&lt;=$F$4,59,"")</f>
        <v/>
      </c>
      <c r="B64" s="65" t="str">
        <f>IF($A64="","",$H64+1)</f>
        <v/>
      </c>
      <c r="C64" s="66" t="str">
        <f>IF($A64="","",INDEX(Import_Staging!$A$2:$A$301,$H64)&amp;"")</f>
        <v/>
      </c>
      <c r="D64" s="66" t="str">
        <f>IF($A64="","",INDEX(Config!$C$39:$C$61,$J64))</f>
        <v/>
      </c>
      <c r="E64" s="66" t="str">
        <f>IF($A64="","",INDEX(Config!$D$39:$D$61,$J64))</f>
        <v/>
      </c>
      <c r="F64" s="67" t="str">
        <f>IF($A64="","",IFERROR(CHOOSE($J64,"movement_id is empty. Every row needs a unique movement ID.","movement_id "&amp;INDEX(Import_Staging!$A$2:$A$301,$H64)&amp;""&amp;" appears earlier in this file (row "&amp;IFERROR(MATCH(INDEX(Import_Staging!$A$2:$A$301,$H64),Import_Staging!$A$2:$A$301,0)+1,"?")&amp;"). Only the first row can be posted.","movement_id "&amp;INDEX(Import_Staging!$A$2:$A$301,$H64)&amp;""&amp;" is already in Inventory_Ledger. The ledger row was not changed.","date is empty.","date "&amp;""""&amp;INDEX(Import_Staging!$B$2:$B$301,$H64)&amp;""&amp;""""&amp;" is not a real date in yyyy-mm-dd format.","date "&amp;TEXT(INDEX(Import_Staging!$M$2:$M$301,$H64),"yyyy-mm-dd")&amp;" is after the as-of date "&amp;TEXT(Config!$B$4,"yyyy-mm-dd")&amp;".","type is empty.","type "&amp;""""&amp;INDEX(Import_Staging!$C$2:$C$301,$H64)&amp;""&amp;""""&amp;" is not a movement type listed on Config.","sku is empty.","SKU "&amp;INDEX(Import_Staging!$D$2:$D$301,$H64)&amp;""&amp;" is not in Products.","supplier_id is empty; receipts need the supplier.","Supplier "&amp;INDEX(Import_Staging!$E$2:$E$301,$H64)&amp;""&amp;" is not in Suppliers.","lot is empty; every movement needs its lot code.","Lot "&amp;INDEX(Import_Staging!$F$2:$F$301,$H64)&amp;""&amp;" is not recorded for "&amp;INDEX(Import_Staging!$D$2:$D$301,$H64)&amp;""&amp;" in Batches.","expiry is empty; receipts need the company-supplied expiry date.","expiry "&amp;""""&amp;INDEX(Import_Staging!$G$2:$G$301,$H64)&amp;""&amp;""""&amp;" is not a real date in yyyy-mm-dd format.","qty is empty.","qty "&amp;""""&amp;INDEX(Import_Staging!$H$2:$H$301,$H64)&amp;""&amp;""""&amp;" is not a valid quantity"&amp;IF(INDEX(Import_Staging!$C$2:$C$301,$H64)&amp;""="",""," for a "&amp;LOWER(INDEX(Import_Staging!$C$2:$C$301,$H64)&amp;""))&amp;".","lot_status is empty; receipts need a lot status.","lot_status "&amp;""""&amp;INDEX(Import_Staging!$I$2:$I$301,$H64)&amp;""&amp;""""&amp;" is not a lot status allowed on receipt (Config).","reason is empty; adjustments need a reason.","source_link is empty; every movement needs a link to its source document.","This row would take recorded stock of "&amp;INDEX(Import_Staging!$D$2:$D$301,$H64)&amp;""&amp;" from "&amp;INDEX(Import_Staging!$R$2:$R$301,$H64)&amp;" to "&amp;INDEX(Import_Staging!$S$2:$S$301,$H64)&amp;"."),$E64))</f>
        <v/>
      </c>
      <c r="G64" s="67" t="str">
        <f>IF($A64="","",INDEX(Config!$F$39:$F$61,$J64))</f>
        <v/>
      </c>
      <c r="H64" s="66" t="str">
        <f>IF($A64="","",MATCH(COUNTIF(Import_Staging!$BS$2:$BS$301,"&lt;"&amp;$A64)+1,Import_Staging!$BR$2:$BR$301,0))</f>
        <v/>
      </c>
      <c r="I64" s="66" t="str">
        <f>IF($A64="","",$A64-INDEX(Import_Staging!$BQ$2:$BQ$301,$H64))</f>
        <v/>
      </c>
      <c r="J64" s="66" t="str">
        <f>IF($A64="","",MATCH($I64,INDEX(Import_Staging!$AT$2:$BP$301,$H64,0),0))</f>
        <v/>
      </c>
    </row>
    <row r="65">
      <c r="A65" s="65" t="str">
        <f>IF(60&lt;=$F$4,60,"")</f>
        <v/>
      </c>
      <c r="B65" s="65" t="str">
        <f>IF($A65="","",$H65+1)</f>
        <v/>
      </c>
      <c r="C65" s="66" t="str">
        <f>IF($A65="","",INDEX(Import_Staging!$A$2:$A$301,$H65)&amp;"")</f>
        <v/>
      </c>
      <c r="D65" s="66" t="str">
        <f>IF($A65="","",INDEX(Config!$C$39:$C$61,$J65))</f>
        <v/>
      </c>
      <c r="E65" s="66" t="str">
        <f>IF($A65="","",INDEX(Config!$D$39:$D$61,$J65))</f>
        <v/>
      </c>
      <c r="F65" s="67" t="str">
        <f>IF($A65="","",IFERROR(CHOOSE($J65,"movement_id is empty. Every row needs a unique movement ID.","movement_id "&amp;INDEX(Import_Staging!$A$2:$A$301,$H65)&amp;""&amp;" appears earlier in this file (row "&amp;IFERROR(MATCH(INDEX(Import_Staging!$A$2:$A$301,$H65),Import_Staging!$A$2:$A$301,0)+1,"?")&amp;"). Only the first row can be posted.","movement_id "&amp;INDEX(Import_Staging!$A$2:$A$301,$H65)&amp;""&amp;" is already in Inventory_Ledger. The ledger row was not changed.","date is empty.","date "&amp;""""&amp;INDEX(Import_Staging!$B$2:$B$301,$H65)&amp;""&amp;""""&amp;" is not a real date in yyyy-mm-dd format.","date "&amp;TEXT(INDEX(Import_Staging!$M$2:$M$301,$H65),"yyyy-mm-dd")&amp;" is after the as-of date "&amp;TEXT(Config!$B$4,"yyyy-mm-dd")&amp;".","type is empty.","type "&amp;""""&amp;INDEX(Import_Staging!$C$2:$C$301,$H65)&amp;""&amp;""""&amp;" is not a movement type listed on Config.","sku is empty.","SKU "&amp;INDEX(Import_Staging!$D$2:$D$301,$H65)&amp;""&amp;" is not in Products.","supplier_id is empty; receipts need the supplier.","Supplier "&amp;INDEX(Import_Staging!$E$2:$E$301,$H65)&amp;""&amp;" is not in Suppliers.","lot is empty; every movement needs its lot code.","Lot "&amp;INDEX(Import_Staging!$F$2:$F$301,$H65)&amp;""&amp;" is not recorded for "&amp;INDEX(Import_Staging!$D$2:$D$301,$H65)&amp;""&amp;" in Batches.","expiry is empty; receipts need the company-supplied expiry date.","expiry "&amp;""""&amp;INDEX(Import_Staging!$G$2:$G$301,$H65)&amp;""&amp;""""&amp;" is not a real date in yyyy-mm-dd format.","qty is empty.","qty "&amp;""""&amp;INDEX(Import_Staging!$H$2:$H$301,$H65)&amp;""&amp;""""&amp;" is not a valid quantity"&amp;IF(INDEX(Import_Staging!$C$2:$C$301,$H65)&amp;""="",""," for a "&amp;LOWER(INDEX(Import_Staging!$C$2:$C$301,$H65)&amp;""))&amp;".","lot_status is empty; receipts need a lot status.","lot_status "&amp;""""&amp;INDEX(Import_Staging!$I$2:$I$301,$H65)&amp;""&amp;""""&amp;" is not a lot status allowed on receipt (Config).","reason is empty; adjustments need a reason.","source_link is empty; every movement needs a link to its source document.","This row would take recorded stock of "&amp;INDEX(Import_Staging!$D$2:$D$301,$H65)&amp;""&amp;" from "&amp;INDEX(Import_Staging!$R$2:$R$301,$H65)&amp;" to "&amp;INDEX(Import_Staging!$S$2:$S$301,$H65)&amp;"."),$E65))</f>
        <v/>
      </c>
      <c r="G65" s="67" t="str">
        <f>IF($A65="","",INDEX(Config!$F$39:$F$61,$J65))</f>
        <v/>
      </c>
      <c r="H65" s="66" t="str">
        <f>IF($A65="","",MATCH(COUNTIF(Import_Staging!$BS$2:$BS$301,"&lt;"&amp;$A65)+1,Import_Staging!$BR$2:$BR$301,0))</f>
        <v/>
      </c>
      <c r="I65" s="66" t="str">
        <f>IF($A65="","",$A65-INDEX(Import_Staging!$BQ$2:$BQ$301,$H65))</f>
        <v/>
      </c>
      <c r="J65" s="66" t="str">
        <f>IF($A65="","",MATCH($I65,INDEX(Import_Staging!$AT$2:$BP$301,$H65,0),0))</f>
        <v/>
      </c>
    </row>
    <row r="66">
      <c r="A66" s="65" t="str">
        <f>IF(61&lt;=$F$4,61,"")</f>
        <v/>
      </c>
      <c r="B66" s="65" t="str">
        <f>IF($A66="","",$H66+1)</f>
        <v/>
      </c>
      <c r="C66" s="66" t="str">
        <f>IF($A66="","",INDEX(Import_Staging!$A$2:$A$301,$H66)&amp;"")</f>
        <v/>
      </c>
      <c r="D66" s="66" t="str">
        <f>IF($A66="","",INDEX(Config!$C$39:$C$61,$J66))</f>
        <v/>
      </c>
      <c r="E66" s="66" t="str">
        <f>IF($A66="","",INDEX(Config!$D$39:$D$61,$J66))</f>
        <v/>
      </c>
      <c r="F66" s="67" t="str">
        <f>IF($A66="","",IFERROR(CHOOSE($J66,"movement_id is empty. Every row needs a unique movement ID.","movement_id "&amp;INDEX(Import_Staging!$A$2:$A$301,$H66)&amp;""&amp;" appears earlier in this file (row "&amp;IFERROR(MATCH(INDEX(Import_Staging!$A$2:$A$301,$H66),Import_Staging!$A$2:$A$301,0)+1,"?")&amp;"). Only the first row can be posted.","movement_id "&amp;INDEX(Import_Staging!$A$2:$A$301,$H66)&amp;""&amp;" is already in Inventory_Ledger. The ledger row was not changed.","date is empty.","date "&amp;""""&amp;INDEX(Import_Staging!$B$2:$B$301,$H66)&amp;""&amp;""""&amp;" is not a real date in yyyy-mm-dd format.","date "&amp;TEXT(INDEX(Import_Staging!$M$2:$M$301,$H66),"yyyy-mm-dd")&amp;" is after the as-of date "&amp;TEXT(Config!$B$4,"yyyy-mm-dd")&amp;".","type is empty.","type "&amp;""""&amp;INDEX(Import_Staging!$C$2:$C$301,$H66)&amp;""&amp;""""&amp;" is not a movement type listed on Config.","sku is empty.","SKU "&amp;INDEX(Import_Staging!$D$2:$D$301,$H66)&amp;""&amp;" is not in Products.","supplier_id is empty; receipts need the supplier.","Supplier "&amp;INDEX(Import_Staging!$E$2:$E$301,$H66)&amp;""&amp;" is not in Suppliers.","lot is empty; every movement needs its lot code.","Lot "&amp;INDEX(Import_Staging!$F$2:$F$301,$H66)&amp;""&amp;" is not recorded for "&amp;INDEX(Import_Staging!$D$2:$D$301,$H66)&amp;""&amp;" in Batches.","expiry is empty; receipts need the company-supplied expiry date.","expiry "&amp;""""&amp;INDEX(Import_Staging!$G$2:$G$301,$H66)&amp;""&amp;""""&amp;" is not a real date in yyyy-mm-dd format.","qty is empty.","qty "&amp;""""&amp;INDEX(Import_Staging!$H$2:$H$301,$H66)&amp;""&amp;""""&amp;" is not a valid quantity"&amp;IF(INDEX(Import_Staging!$C$2:$C$301,$H66)&amp;""="",""," for a "&amp;LOWER(INDEX(Import_Staging!$C$2:$C$301,$H66)&amp;""))&amp;".","lot_status is empty; receipts need a lot status.","lot_status "&amp;""""&amp;INDEX(Import_Staging!$I$2:$I$301,$H66)&amp;""&amp;""""&amp;" is not a lot status allowed on receipt (Config).","reason is empty; adjustments need a reason.","source_link is empty; every movement needs a link to its source document.","This row would take recorded stock of "&amp;INDEX(Import_Staging!$D$2:$D$301,$H66)&amp;""&amp;" from "&amp;INDEX(Import_Staging!$R$2:$R$301,$H66)&amp;" to "&amp;INDEX(Import_Staging!$S$2:$S$301,$H66)&amp;"."),$E66))</f>
        <v/>
      </c>
      <c r="G66" s="67" t="str">
        <f>IF($A66="","",INDEX(Config!$F$39:$F$61,$J66))</f>
        <v/>
      </c>
      <c r="H66" s="66" t="str">
        <f>IF($A66="","",MATCH(COUNTIF(Import_Staging!$BS$2:$BS$301,"&lt;"&amp;$A66)+1,Import_Staging!$BR$2:$BR$301,0))</f>
        <v/>
      </c>
      <c r="I66" s="66" t="str">
        <f>IF($A66="","",$A66-INDEX(Import_Staging!$BQ$2:$BQ$301,$H66))</f>
        <v/>
      </c>
      <c r="J66" s="66" t="str">
        <f>IF($A66="","",MATCH($I66,INDEX(Import_Staging!$AT$2:$BP$301,$H66,0),0))</f>
        <v/>
      </c>
    </row>
    <row r="67">
      <c r="A67" s="65" t="str">
        <f>IF(62&lt;=$F$4,62,"")</f>
        <v/>
      </c>
      <c r="B67" s="65" t="str">
        <f>IF($A67="","",$H67+1)</f>
        <v/>
      </c>
      <c r="C67" s="66" t="str">
        <f>IF($A67="","",INDEX(Import_Staging!$A$2:$A$301,$H67)&amp;"")</f>
        <v/>
      </c>
      <c r="D67" s="66" t="str">
        <f>IF($A67="","",INDEX(Config!$C$39:$C$61,$J67))</f>
        <v/>
      </c>
      <c r="E67" s="66" t="str">
        <f>IF($A67="","",INDEX(Config!$D$39:$D$61,$J67))</f>
        <v/>
      </c>
      <c r="F67" s="67" t="str">
        <f>IF($A67="","",IFERROR(CHOOSE($J67,"movement_id is empty. Every row needs a unique movement ID.","movement_id "&amp;INDEX(Import_Staging!$A$2:$A$301,$H67)&amp;""&amp;" appears earlier in this file (row "&amp;IFERROR(MATCH(INDEX(Import_Staging!$A$2:$A$301,$H67),Import_Staging!$A$2:$A$301,0)+1,"?")&amp;"). Only the first row can be posted.","movement_id "&amp;INDEX(Import_Staging!$A$2:$A$301,$H67)&amp;""&amp;" is already in Inventory_Ledger. The ledger row was not changed.","date is empty.","date "&amp;""""&amp;INDEX(Import_Staging!$B$2:$B$301,$H67)&amp;""&amp;""""&amp;" is not a real date in yyyy-mm-dd format.","date "&amp;TEXT(INDEX(Import_Staging!$M$2:$M$301,$H67),"yyyy-mm-dd")&amp;" is after the as-of date "&amp;TEXT(Config!$B$4,"yyyy-mm-dd")&amp;".","type is empty.","type "&amp;""""&amp;INDEX(Import_Staging!$C$2:$C$301,$H67)&amp;""&amp;""""&amp;" is not a movement type listed on Config.","sku is empty.","SKU "&amp;INDEX(Import_Staging!$D$2:$D$301,$H67)&amp;""&amp;" is not in Products.","supplier_id is empty; receipts need the supplier.","Supplier "&amp;INDEX(Import_Staging!$E$2:$E$301,$H67)&amp;""&amp;" is not in Suppliers.","lot is empty; every movement needs its lot code.","Lot "&amp;INDEX(Import_Staging!$F$2:$F$301,$H67)&amp;""&amp;" is not recorded for "&amp;INDEX(Import_Staging!$D$2:$D$301,$H67)&amp;""&amp;" in Batches.","expiry is empty; receipts need the company-supplied expiry date.","expiry "&amp;""""&amp;INDEX(Import_Staging!$G$2:$G$301,$H67)&amp;""&amp;""""&amp;" is not a real date in yyyy-mm-dd format.","qty is empty.","qty "&amp;""""&amp;INDEX(Import_Staging!$H$2:$H$301,$H67)&amp;""&amp;""""&amp;" is not a valid quantity"&amp;IF(INDEX(Import_Staging!$C$2:$C$301,$H67)&amp;""="",""," for a "&amp;LOWER(INDEX(Import_Staging!$C$2:$C$301,$H67)&amp;""))&amp;".","lot_status is empty; receipts need a lot status.","lot_status "&amp;""""&amp;INDEX(Import_Staging!$I$2:$I$301,$H67)&amp;""&amp;""""&amp;" is not a lot status allowed on receipt (Config).","reason is empty; adjustments need a reason.","source_link is empty; every movement needs a link to its source document.","This row would take recorded stock of "&amp;INDEX(Import_Staging!$D$2:$D$301,$H67)&amp;""&amp;" from "&amp;INDEX(Import_Staging!$R$2:$R$301,$H67)&amp;" to "&amp;INDEX(Import_Staging!$S$2:$S$301,$H67)&amp;"."),$E67))</f>
        <v/>
      </c>
      <c r="G67" s="67" t="str">
        <f>IF($A67="","",INDEX(Config!$F$39:$F$61,$J67))</f>
        <v/>
      </c>
      <c r="H67" s="66" t="str">
        <f>IF($A67="","",MATCH(COUNTIF(Import_Staging!$BS$2:$BS$301,"&lt;"&amp;$A67)+1,Import_Staging!$BR$2:$BR$301,0))</f>
        <v/>
      </c>
      <c r="I67" s="66" t="str">
        <f>IF($A67="","",$A67-INDEX(Import_Staging!$BQ$2:$BQ$301,$H67))</f>
        <v/>
      </c>
      <c r="J67" s="66" t="str">
        <f>IF($A67="","",MATCH($I67,INDEX(Import_Staging!$AT$2:$BP$301,$H67,0),0))</f>
        <v/>
      </c>
    </row>
    <row r="68">
      <c r="A68" s="65" t="str">
        <f>IF(63&lt;=$F$4,63,"")</f>
        <v/>
      </c>
      <c r="B68" s="65" t="str">
        <f>IF($A68="","",$H68+1)</f>
        <v/>
      </c>
      <c r="C68" s="66" t="str">
        <f>IF($A68="","",INDEX(Import_Staging!$A$2:$A$301,$H68)&amp;"")</f>
        <v/>
      </c>
      <c r="D68" s="66" t="str">
        <f>IF($A68="","",INDEX(Config!$C$39:$C$61,$J68))</f>
        <v/>
      </c>
      <c r="E68" s="66" t="str">
        <f>IF($A68="","",INDEX(Config!$D$39:$D$61,$J68))</f>
        <v/>
      </c>
      <c r="F68" s="67" t="str">
        <f>IF($A68="","",IFERROR(CHOOSE($J68,"movement_id is empty. Every row needs a unique movement ID.","movement_id "&amp;INDEX(Import_Staging!$A$2:$A$301,$H68)&amp;""&amp;" appears earlier in this file (row "&amp;IFERROR(MATCH(INDEX(Import_Staging!$A$2:$A$301,$H68),Import_Staging!$A$2:$A$301,0)+1,"?")&amp;"). Only the first row can be posted.","movement_id "&amp;INDEX(Import_Staging!$A$2:$A$301,$H68)&amp;""&amp;" is already in Inventory_Ledger. The ledger row was not changed.","date is empty.","date "&amp;""""&amp;INDEX(Import_Staging!$B$2:$B$301,$H68)&amp;""&amp;""""&amp;" is not a real date in yyyy-mm-dd format.","date "&amp;TEXT(INDEX(Import_Staging!$M$2:$M$301,$H68),"yyyy-mm-dd")&amp;" is after the as-of date "&amp;TEXT(Config!$B$4,"yyyy-mm-dd")&amp;".","type is empty.","type "&amp;""""&amp;INDEX(Import_Staging!$C$2:$C$301,$H68)&amp;""&amp;""""&amp;" is not a movement type listed on Config.","sku is empty.","SKU "&amp;INDEX(Import_Staging!$D$2:$D$301,$H68)&amp;""&amp;" is not in Products.","supplier_id is empty; receipts need the supplier.","Supplier "&amp;INDEX(Import_Staging!$E$2:$E$301,$H68)&amp;""&amp;" is not in Suppliers.","lot is empty; every movement needs its lot code.","Lot "&amp;INDEX(Import_Staging!$F$2:$F$301,$H68)&amp;""&amp;" is not recorded for "&amp;INDEX(Import_Staging!$D$2:$D$301,$H68)&amp;""&amp;" in Batches.","expiry is empty; receipts need the company-supplied expiry date.","expiry "&amp;""""&amp;INDEX(Import_Staging!$G$2:$G$301,$H68)&amp;""&amp;""""&amp;" is not a real date in yyyy-mm-dd format.","qty is empty.","qty "&amp;""""&amp;INDEX(Import_Staging!$H$2:$H$301,$H68)&amp;""&amp;""""&amp;" is not a valid quantity"&amp;IF(INDEX(Import_Staging!$C$2:$C$301,$H68)&amp;""="",""," for a "&amp;LOWER(INDEX(Import_Staging!$C$2:$C$301,$H68)&amp;""))&amp;".","lot_status is empty; receipts need a lot status.","lot_status "&amp;""""&amp;INDEX(Import_Staging!$I$2:$I$301,$H68)&amp;""&amp;""""&amp;" is not a lot status allowed on receipt (Config).","reason is empty; adjustments need a reason.","source_link is empty; every movement needs a link to its source document.","This row would take recorded stock of "&amp;INDEX(Import_Staging!$D$2:$D$301,$H68)&amp;""&amp;" from "&amp;INDEX(Import_Staging!$R$2:$R$301,$H68)&amp;" to "&amp;INDEX(Import_Staging!$S$2:$S$301,$H68)&amp;"."),$E68))</f>
        <v/>
      </c>
      <c r="G68" s="67" t="str">
        <f>IF($A68="","",INDEX(Config!$F$39:$F$61,$J68))</f>
        <v/>
      </c>
      <c r="H68" s="66" t="str">
        <f>IF($A68="","",MATCH(COUNTIF(Import_Staging!$BS$2:$BS$301,"&lt;"&amp;$A68)+1,Import_Staging!$BR$2:$BR$301,0))</f>
        <v/>
      </c>
      <c r="I68" s="66" t="str">
        <f>IF($A68="","",$A68-INDEX(Import_Staging!$BQ$2:$BQ$301,$H68))</f>
        <v/>
      </c>
      <c r="J68" s="66" t="str">
        <f>IF($A68="","",MATCH($I68,INDEX(Import_Staging!$AT$2:$BP$301,$H68,0),0))</f>
        <v/>
      </c>
    </row>
    <row r="69">
      <c r="A69" s="65" t="str">
        <f>IF(64&lt;=$F$4,64,"")</f>
        <v/>
      </c>
      <c r="B69" s="65" t="str">
        <f>IF($A69="","",$H69+1)</f>
        <v/>
      </c>
      <c r="C69" s="66" t="str">
        <f>IF($A69="","",INDEX(Import_Staging!$A$2:$A$301,$H69)&amp;"")</f>
        <v/>
      </c>
      <c r="D69" s="66" t="str">
        <f>IF($A69="","",INDEX(Config!$C$39:$C$61,$J69))</f>
        <v/>
      </c>
      <c r="E69" s="66" t="str">
        <f>IF($A69="","",INDEX(Config!$D$39:$D$61,$J69))</f>
        <v/>
      </c>
      <c r="F69" s="67" t="str">
        <f>IF($A69="","",IFERROR(CHOOSE($J69,"movement_id is empty. Every row needs a unique movement ID.","movement_id "&amp;INDEX(Import_Staging!$A$2:$A$301,$H69)&amp;""&amp;" appears earlier in this file (row "&amp;IFERROR(MATCH(INDEX(Import_Staging!$A$2:$A$301,$H69),Import_Staging!$A$2:$A$301,0)+1,"?")&amp;"). Only the first row can be posted.","movement_id "&amp;INDEX(Import_Staging!$A$2:$A$301,$H69)&amp;""&amp;" is already in Inventory_Ledger. The ledger row was not changed.","date is empty.","date "&amp;""""&amp;INDEX(Import_Staging!$B$2:$B$301,$H69)&amp;""&amp;""""&amp;" is not a real date in yyyy-mm-dd format.","date "&amp;TEXT(INDEX(Import_Staging!$M$2:$M$301,$H69),"yyyy-mm-dd")&amp;" is after the as-of date "&amp;TEXT(Config!$B$4,"yyyy-mm-dd")&amp;".","type is empty.","type "&amp;""""&amp;INDEX(Import_Staging!$C$2:$C$301,$H69)&amp;""&amp;""""&amp;" is not a movement type listed on Config.","sku is empty.","SKU "&amp;INDEX(Import_Staging!$D$2:$D$301,$H69)&amp;""&amp;" is not in Products.","supplier_id is empty; receipts need the supplier.","Supplier "&amp;INDEX(Import_Staging!$E$2:$E$301,$H69)&amp;""&amp;" is not in Suppliers.","lot is empty; every movement needs its lot code.","Lot "&amp;INDEX(Import_Staging!$F$2:$F$301,$H69)&amp;""&amp;" is not recorded for "&amp;INDEX(Import_Staging!$D$2:$D$301,$H69)&amp;""&amp;" in Batches.","expiry is empty; receipts need the company-supplied expiry date.","expiry "&amp;""""&amp;INDEX(Import_Staging!$G$2:$G$301,$H69)&amp;""&amp;""""&amp;" is not a real date in yyyy-mm-dd format.","qty is empty.","qty "&amp;""""&amp;INDEX(Import_Staging!$H$2:$H$301,$H69)&amp;""&amp;""""&amp;" is not a valid quantity"&amp;IF(INDEX(Import_Staging!$C$2:$C$301,$H69)&amp;""="",""," for a "&amp;LOWER(INDEX(Import_Staging!$C$2:$C$301,$H69)&amp;""))&amp;".","lot_status is empty; receipts need a lot status.","lot_status "&amp;""""&amp;INDEX(Import_Staging!$I$2:$I$301,$H69)&amp;""&amp;""""&amp;" is not a lot status allowed on receipt (Config).","reason is empty; adjustments need a reason.","source_link is empty; every movement needs a link to its source document.","This row would take recorded stock of "&amp;INDEX(Import_Staging!$D$2:$D$301,$H69)&amp;""&amp;" from "&amp;INDEX(Import_Staging!$R$2:$R$301,$H69)&amp;" to "&amp;INDEX(Import_Staging!$S$2:$S$301,$H69)&amp;"."),$E69))</f>
        <v/>
      </c>
      <c r="G69" s="67" t="str">
        <f>IF($A69="","",INDEX(Config!$F$39:$F$61,$J69))</f>
        <v/>
      </c>
      <c r="H69" s="66" t="str">
        <f>IF($A69="","",MATCH(COUNTIF(Import_Staging!$BS$2:$BS$301,"&lt;"&amp;$A69)+1,Import_Staging!$BR$2:$BR$301,0))</f>
        <v/>
      </c>
      <c r="I69" s="66" t="str">
        <f>IF($A69="","",$A69-INDEX(Import_Staging!$BQ$2:$BQ$301,$H69))</f>
        <v/>
      </c>
      <c r="J69" s="66" t="str">
        <f>IF($A69="","",MATCH($I69,INDEX(Import_Staging!$AT$2:$BP$301,$H69,0),0))</f>
        <v/>
      </c>
    </row>
    <row r="70">
      <c r="A70" s="65" t="str">
        <f>IF(65&lt;=$F$4,65,"")</f>
        <v/>
      </c>
      <c r="B70" s="65" t="str">
        <f>IF($A70="","",$H70+1)</f>
        <v/>
      </c>
      <c r="C70" s="66" t="str">
        <f>IF($A70="","",INDEX(Import_Staging!$A$2:$A$301,$H70)&amp;"")</f>
        <v/>
      </c>
      <c r="D70" s="66" t="str">
        <f>IF($A70="","",INDEX(Config!$C$39:$C$61,$J70))</f>
        <v/>
      </c>
      <c r="E70" s="66" t="str">
        <f>IF($A70="","",INDEX(Config!$D$39:$D$61,$J70))</f>
        <v/>
      </c>
      <c r="F70" s="67" t="str">
        <f>IF($A70="","",IFERROR(CHOOSE($J70,"movement_id is empty. Every row needs a unique movement ID.","movement_id "&amp;INDEX(Import_Staging!$A$2:$A$301,$H70)&amp;""&amp;" appears earlier in this file (row "&amp;IFERROR(MATCH(INDEX(Import_Staging!$A$2:$A$301,$H70),Import_Staging!$A$2:$A$301,0)+1,"?")&amp;"). Only the first row can be posted.","movement_id "&amp;INDEX(Import_Staging!$A$2:$A$301,$H70)&amp;""&amp;" is already in Inventory_Ledger. The ledger row was not changed.","date is empty.","date "&amp;""""&amp;INDEX(Import_Staging!$B$2:$B$301,$H70)&amp;""&amp;""""&amp;" is not a real date in yyyy-mm-dd format.","date "&amp;TEXT(INDEX(Import_Staging!$M$2:$M$301,$H70),"yyyy-mm-dd")&amp;" is after the as-of date "&amp;TEXT(Config!$B$4,"yyyy-mm-dd")&amp;".","type is empty.","type "&amp;""""&amp;INDEX(Import_Staging!$C$2:$C$301,$H70)&amp;""&amp;""""&amp;" is not a movement type listed on Config.","sku is empty.","SKU "&amp;INDEX(Import_Staging!$D$2:$D$301,$H70)&amp;""&amp;" is not in Products.","supplier_id is empty; receipts need the supplier.","Supplier "&amp;INDEX(Import_Staging!$E$2:$E$301,$H70)&amp;""&amp;" is not in Suppliers.","lot is empty; every movement needs its lot code.","Lot "&amp;INDEX(Import_Staging!$F$2:$F$301,$H70)&amp;""&amp;" is not recorded for "&amp;INDEX(Import_Staging!$D$2:$D$301,$H70)&amp;""&amp;" in Batches.","expiry is empty; receipts need the company-supplied expiry date.","expiry "&amp;""""&amp;INDEX(Import_Staging!$G$2:$G$301,$H70)&amp;""&amp;""""&amp;" is not a real date in yyyy-mm-dd format.","qty is empty.","qty "&amp;""""&amp;INDEX(Import_Staging!$H$2:$H$301,$H70)&amp;""&amp;""""&amp;" is not a valid quantity"&amp;IF(INDEX(Import_Staging!$C$2:$C$301,$H70)&amp;""="",""," for a "&amp;LOWER(INDEX(Import_Staging!$C$2:$C$301,$H70)&amp;""))&amp;".","lot_status is empty; receipts need a lot status.","lot_status "&amp;""""&amp;INDEX(Import_Staging!$I$2:$I$301,$H70)&amp;""&amp;""""&amp;" is not a lot status allowed on receipt (Config).","reason is empty; adjustments need a reason.","source_link is empty; every movement needs a link to its source document.","This row would take recorded stock of "&amp;INDEX(Import_Staging!$D$2:$D$301,$H70)&amp;""&amp;" from "&amp;INDEX(Import_Staging!$R$2:$R$301,$H70)&amp;" to "&amp;INDEX(Import_Staging!$S$2:$S$301,$H70)&amp;"."),$E70))</f>
        <v/>
      </c>
      <c r="G70" s="67" t="str">
        <f>IF($A70="","",INDEX(Config!$F$39:$F$61,$J70))</f>
        <v/>
      </c>
      <c r="H70" s="66" t="str">
        <f>IF($A70="","",MATCH(COUNTIF(Import_Staging!$BS$2:$BS$301,"&lt;"&amp;$A70)+1,Import_Staging!$BR$2:$BR$301,0))</f>
        <v/>
      </c>
      <c r="I70" s="66" t="str">
        <f>IF($A70="","",$A70-INDEX(Import_Staging!$BQ$2:$BQ$301,$H70))</f>
        <v/>
      </c>
      <c r="J70" s="66" t="str">
        <f>IF($A70="","",MATCH($I70,INDEX(Import_Staging!$AT$2:$BP$301,$H70,0),0))</f>
        <v/>
      </c>
    </row>
    <row r="71">
      <c r="A71" s="65" t="str">
        <f>IF(66&lt;=$F$4,66,"")</f>
        <v/>
      </c>
      <c r="B71" s="65" t="str">
        <f>IF($A71="","",$H71+1)</f>
        <v/>
      </c>
      <c r="C71" s="66" t="str">
        <f>IF($A71="","",INDEX(Import_Staging!$A$2:$A$301,$H71)&amp;"")</f>
        <v/>
      </c>
      <c r="D71" s="66" t="str">
        <f>IF($A71="","",INDEX(Config!$C$39:$C$61,$J71))</f>
        <v/>
      </c>
      <c r="E71" s="66" t="str">
        <f>IF($A71="","",INDEX(Config!$D$39:$D$61,$J71))</f>
        <v/>
      </c>
      <c r="F71" s="67" t="str">
        <f>IF($A71="","",IFERROR(CHOOSE($J71,"movement_id is empty. Every row needs a unique movement ID.","movement_id "&amp;INDEX(Import_Staging!$A$2:$A$301,$H71)&amp;""&amp;" appears earlier in this file (row "&amp;IFERROR(MATCH(INDEX(Import_Staging!$A$2:$A$301,$H71),Import_Staging!$A$2:$A$301,0)+1,"?")&amp;"). Only the first row can be posted.","movement_id "&amp;INDEX(Import_Staging!$A$2:$A$301,$H71)&amp;""&amp;" is already in Inventory_Ledger. The ledger row was not changed.","date is empty.","date "&amp;""""&amp;INDEX(Import_Staging!$B$2:$B$301,$H71)&amp;""&amp;""""&amp;" is not a real date in yyyy-mm-dd format.","date "&amp;TEXT(INDEX(Import_Staging!$M$2:$M$301,$H71),"yyyy-mm-dd")&amp;" is after the as-of date "&amp;TEXT(Config!$B$4,"yyyy-mm-dd")&amp;".","type is empty.","type "&amp;""""&amp;INDEX(Import_Staging!$C$2:$C$301,$H71)&amp;""&amp;""""&amp;" is not a movement type listed on Config.","sku is empty.","SKU "&amp;INDEX(Import_Staging!$D$2:$D$301,$H71)&amp;""&amp;" is not in Products.","supplier_id is empty; receipts need the supplier.","Supplier "&amp;INDEX(Import_Staging!$E$2:$E$301,$H71)&amp;""&amp;" is not in Suppliers.","lot is empty; every movement needs its lot code.","Lot "&amp;INDEX(Import_Staging!$F$2:$F$301,$H71)&amp;""&amp;" is not recorded for "&amp;INDEX(Import_Staging!$D$2:$D$301,$H71)&amp;""&amp;" in Batches.","expiry is empty; receipts need the company-supplied expiry date.","expiry "&amp;""""&amp;INDEX(Import_Staging!$G$2:$G$301,$H71)&amp;""&amp;""""&amp;" is not a real date in yyyy-mm-dd format.","qty is empty.","qty "&amp;""""&amp;INDEX(Import_Staging!$H$2:$H$301,$H71)&amp;""&amp;""""&amp;" is not a valid quantity"&amp;IF(INDEX(Import_Staging!$C$2:$C$301,$H71)&amp;""="",""," for a "&amp;LOWER(INDEX(Import_Staging!$C$2:$C$301,$H71)&amp;""))&amp;".","lot_status is empty; receipts need a lot status.","lot_status "&amp;""""&amp;INDEX(Import_Staging!$I$2:$I$301,$H71)&amp;""&amp;""""&amp;" is not a lot status allowed on receipt (Config).","reason is empty; adjustments need a reason.","source_link is empty; every movement needs a link to its source document.","This row would take recorded stock of "&amp;INDEX(Import_Staging!$D$2:$D$301,$H71)&amp;""&amp;" from "&amp;INDEX(Import_Staging!$R$2:$R$301,$H71)&amp;" to "&amp;INDEX(Import_Staging!$S$2:$S$301,$H71)&amp;"."),$E71))</f>
        <v/>
      </c>
      <c r="G71" s="67" t="str">
        <f>IF($A71="","",INDEX(Config!$F$39:$F$61,$J71))</f>
        <v/>
      </c>
      <c r="H71" s="66" t="str">
        <f>IF($A71="","",MATCH(COUNTIF(Import_Staging!$BS$2:$BS$301,"&lt;"&amp;$A71)+1,Import_Staging!$BR$2:$BR$301,0))</f>
        <v/>
      </c>
      <c r="I71" s="66" t="str">
        <f>IF($A71="","",$A71-INDEX(Import_Staging!$BQ$2:$BQ$301,$H71))</f>
        <v/>
      </c>
      <c r="J71" s="66" t="str">
        <f>IF($A71="","",MATCH($I71,INDEX(Import_Staging!$AT$2:$BP$301,$H71,0),0))</f>
        <v/>
      </c>
    </row>
    <row r="72">
      <c r="A72" s="65" t="str">
        <f>IF(67&lt;=$F$4,67,"")</f>
        <v/>
      </c>
      <c r="B72" s="65" t="str">
        <f>IF($A72="","",$H72+1)</f>
        <v/>
      </c>
      <c r="C72" s="66" t="str">
        <f>IF($A72="","",INDEX(Import_Staging!$A$2:$A$301,$H72)&amp;"")</f>
        <v/>
      </c>
      <c r="D72" s="66" t="str">
        <f>IF($A72="","",INDEX(Config!$C$39:$C$61,$J72))</f>
        <v/>
      </c>
      <c r="E72" s="66" t="str">
        <f>IF($A72="","",INDEX(Config!$D$39:$D$61,$J72))</f>
        <v/>
      </c>
      <c r="F72" s="67" t="str">
        <f>IF($A72="","",IFERROR(CHOOSE($J72,"movement_id is empty. Every row needs a unique movement ID.","movement_id "&amp;INDEX(Import_Staging!$A$2:$A$301,$H72)&amp;""&amp;" appears earlier in this file (row "&amp;IFERROR(MATCH(INDEX(Import_Staging!$A$2:$A$301,$H72),Import_Staging!$A$2:$A$301,0)+1,"?")&amp;"). Only the first row can be posted.","movement_id "&amp;INDEX(Import_Staging!$A$2:$A$301,$H72)&amp;""&amp;" is already in Inventory_Ledger. The ledger row was not changed.","date is empty.","date "&amp;""""&amp;INDEX(Import_Staging!$B$2:$B$301,$H72)&amp;""&amp;""""&amp;" is not a real date in yyyy-mm-dd format.","date "&amp;TEXT(INDEX(Import_Staging!$M$2:$M$301,$H72),"yyyy-mm-dd")&amp;" is after the as-of date "&amp;TEXT(Config!$B$4,"yyyy-mm-dd")&amp;".","type is empty.","type "&amp;""""&amp;INDEX(Import_Staging!$C$2:$C$301,$H72)&amp;""&amp;""""&amp;" is not a movement type listed on Config.","sku is empty.","SKU "&amp;INDEX(Import_Staging!$D$2:$D$301,$H72)&amp;""&amp;" is not in Products.","supplier_id is empty; receipts need the supplier.","Supplier "&amp;INDEX(Import_Staging!$E$2:$E$301,$H72)&amp;""&amp;" is not in Suppliers.","lot is empty; every movement needs its lot code.","Lot "&amp;INDEX(Import_Staging!$F$2:$F$301,$H72)&amp;""&amp;" is not recorded for "&amp;INDEX(Import_Staging!$D$2:$D$301,$H72)&amp;""&amp;" in Batches.","expiry is empty; receipts need the company-supplied expiry date.","expiry "&amp;""""&amp;INDEX(Import_Staging!$G$2:$G$301,$H72)&amp;""&amp;""""&amp;" is not a real date in yyyy-mm-dd format.","qty is empty.","qty "&amp;""""&amp;INDEX(Import_Staging!$H$2:$H$301,$H72)&amp;""&amp;""""&amp;" is not a valid quantity"&amp;IF(INDEX(Import_Staging!$C$2:$C$301,$H72)&amp;""="",""," for a "&amp;LOWER(INDEX(Import_Staging!$C$2:$C$301,$H72)&amp;""))&amp;".","lot_status is empty; receipts need a lot status.","lot_status "&amp;""""&amp;INDEX(Import_Staging!$I$2:$I$301,$H72)&amp;""&amp;""""&amp;" is not a lot status allowed on receipt (Config).","reason is empty; adjustments need a reason.","source_link is empty; every movement needs a link to its source document.","This row would take recorded stock of "&amp;INDEX(Import_Staging!$D$2:$D$301,$H72)&amp;""&amp;" from "&amp;INDEX(Import_Staging!$R$2:$R$301,$H72)&amp;" to "&amp;INDEX(Import_Staging!$S$2:$S$301,$H72)&amp;"."),$E72))</f>
        <v/>
      </c>
      <c r="G72" s="67" t="str">
        <f>IF($A72="","",INDEX(Config!$F$39:$F$61,$J72))</f>
        <v/>
      </c>
      <c r="H72" s="66" t="str">
        <f>IF($A72="","",MATCH(COUNTIF(Import_Staging!$BS$2:$BS$301,"&lt;"&amp;$A72)+1,Import_Staging!$BR$2:$BR$301,0))</f>
        <v/>
      </c>
      <c r="I72" s="66" t="str">
        <f>IF($A72="","",$A72-INDEX(Import_Staging!$BQ$2:$BQ$301,$H72))</f>
        <v/>
      </c>
      <c r="J72" s="66" t="str">
        <f>IF($A72="","",MATCH($I72,INDEX(Import_Staging!$AT$2:$BP$301,$H72,0),0))</f>
        <v/>
      </c>
    </row>
    <row r="73">
      <c r="A73" s="65" t="str">
        <f>IF(68&lt;=$F$4,68,"")</f>
        <v/>
      </c>
      <c r="B73" s="65" t="str">
        <f>IF($A73="","",$H73+1)</f>
        <v/>
      </c>
      <c r="C73" s="66" t="str">
        <f>IF($A73="","",INDEX(Import_Staging!$A$2:$A$301,$H73)&amp;"")</f>
        <v/>
      </c>
      <c r="D73" s="66" t="str">
        <f>IF($A73="","",INDEX(Config!$C$39:$C$61,$J73))</f>
        <v/>
      </c>
      <c r="E73" s="66" t="str">
        <f>IF($A73="","",INDEX(Config!$D$39:$D$61,$J73))</f>
        <v/>
      </c>
      <c r="F73" s="67" t="str">
        <f>IF($A73="","",IFERROR(CHOOSE($J73,"movement_id is empty. Every row needs a unique movement ID.","movement_id "&amp;INDEX(Import_Staging!$A$2:$A$301,$H73)&amp;""&amp;" appears earlier in this file (row "&amp;IFERROR(MATCH(INDEX(Import_Staging!$A$2:$A$301,$H73),Import_Staging!$A$2:$A$301,0)+1,"?")&amp;"). Only the first row can be posted.","movement_id "&amp;INDEX(Import_Staging!$A$2:$A$301,$H73)&amp;""&amp;" is already in Inventory_Ledger. The ledger row was not changed.","date is empty.","date "&amp;""""&amp;INDEX(Import_Staging!$B$2:$B$301,$H73)&amp;""&amp;""""&amp;" is not a real date in yyyy-mm-dd format.","date "&amp;TEXT(INDEX(Import_Staging!$M$2:$M$301,$H73),"yyyy-mm-dd")&amp;" is after the as-of date "&amp;TEXT(Config!$B$4,"yyyy-mm-dd")&amp;".","type is empty.","type "&amp;""""&amp;INDEX(Import_Staging!$C$2:$C$301,$H73)&amp;""&amp;""""&amp;" is not a movement type listed on Config.","sku is empty.","SKU "&amp;INDEX(Import_Staging!$D$2:$D$301,$H73)&amp;""&amp;" is not in Products.","supplier_id is empty; receipts need the supplier.","Supplier "&amp;INDEX(Import_Staging!$E$2:$E$301,$H73)&amp;""&amp;" is not in Suppliers.","lot is empty; every movement needs its lot code.","Lot "&amp;INDEX(Import_Staging!$F$2:$F$301,$H73)&amp;""&amp;" is not recorded for "&amp;INDEX(Import_Staging!$D$2:$D$301,$H73)&amp;""&amp;" in Batches.","expiry is empty; receipts need the company-supplied expiry date.","expiry "&amp;""""&amp;INDEX(Import_Staging!$G$2:$G$301,$H73)&amp;""&amp;""""&amp;" is not a real date in yyyy-mm-dd format.","qty is empty.","qty "&amp;""""&amp;INDEX(Import_Staging!$H$2:$H$301,$H73)&amp;""&amp;""""&amp;" is not a valid quantity"&amp;IF(INDEX(Import_Staging!$C$2:$C$301,$H73)&amp;""="",""," for a "&amp;LOWER(INDEX(Import_Staging!$C$2:$C$301,$H73)&amp;""))&amp;".","lot_status is empty; receipts need a lot status.","lot_status "&amp;""""&amp;INDEX(Import_Staging!$I$2:$I$301,$H73)&amp;""&amp;""""&amp;" is not a lot status allowed on receipt (Config).","reason is empty; adjustments need a reason.","source_link is empty; every movement needs a link to its source document.","This row would take recorded stock of "&amp;INDEX(Import_Staging!$D$2:$D$301,$H73)&amp;""&amp;" from "&amp;INDEX(Import_Staging!$R$2:$R$301,$H73)&amp;" to "&amp;INDEX(Import_Staging!$S$2:$S$301,$H73)&amp;"."),$E73))</f>
        <v/>
      </c>
      <c r="G73" s="67" t="str">
        <f>IF($A73="","",INDEX(Config!$F$39:$F$61,$J73))</f>
        <v/>
      </c>
      <c r="H73" s="66" t="str">
        <f>IF($A73="","",MATCH(COUNTIF(Import_Staging!$BS$2:$BS$301,"&lt;"&amp;$A73)+1,Import_Staging!$BR$2:$BR$301,0))</f>
        <v/>
      </c>
      <c r="I73" s="66" t="str">
        <f>IF($A73="","",$A73-INDEX(Import_Staging!$BQ$2:$BQ$301,$H73))</f>
        <v/>
      </c>
      <c r="J73" s="66" t="str">
        <f>IF($A73="","",MATCH($I73,INDEX(Import_Staging!$AT$2:$BP$301,$H73,0),0))</f>
        <v/>
      </c>
    </row>
    <row r="74">
      <c r="A74" s="65" t="str">
        <f>IF(69&lt;=$F$4,69,"")</f>
        <v/>
      </c>
      <c r="B74" s="65" t="str">
        <f>IF($A74="","",$H74+1)</f>
        <v/>
      </c>
      <c r="C74" s="66" t="str">
        <f>IF($A74="","",INDEX(Import_Staging!$A$2:$A$301,$H74)&amp;"")</f>
        <v/>
      </c>
      <c r="D74" s="66" t="str">
        <f>IF($A74="","",INDEX(Config!$C$39:$C$61,$J74))</f>
        <v/>
      </c>
      <c r="E74" s="66" t="str">
        <f>IF($A74="","",INDEX(Config!$D$39:$D$61,$J74))</f>
        <v/>
      </c>
      <c r="F74" s="67" t="str">
        <f>IF($A74="","",IFERROR(CHOOSE($J74,"movement_id is empty. Every row needs a unique movement ID.","movement_id "&amp;INDEX(Import_Staging!$A$2:$A$301,$H74)&amp;""&amp;" appears earlier in this file (row "&amp;IFERROR(MATCH(INDEX(Import_Staging!$A$2:$A$301,$H74),Import_Staging!$A$2:$A$301,0)+1,"?")&amp;"). Only the first row can be posted.","movement_id "&amp;INDEX(Import_Staging!$A$2:$A$301,$H74)&amp;""&amp;" is already in Inventory_Ledger. The ledger row was not changed.","date is empty.","date "&amp;""""&amp;INDEX(Import_Staging!$B$2:$B$301,$H74)&amp;""&amp;""""&amp;" is not a real date in yyyy-mm-dd format.","date "&amp;TEXT(INDEX(Import_Staging!$M$2:$M$301,$H74),"yyyy-mm-dd")&amp;" is after the as-of date "&amp;TEXT(Config!$B$4,"yyyy-mm-dd")&amp;".","type is empty.","type "&amp;""""&amp;INDEX(Import_Staging!$C$2:$C$301,$H74)&amp;""&amp;""""&amp;" is not a movement type listed on Config.","sku is empty.","SKU "&amp;INDEX(Import_Staging!$D$2:$D$301,$H74)&amp;""&amp;" is not in Products.","supplier_id is empty; receipts need the supplier.","Supplier "&amp;INDEX(Import_Staging!$E$2:$E$301,$H74)&amp;""&amp;" is not in Suppliers.","lot is empty; every movement needs its lot code.","Lot "&amp;INDEX(Import_Staging!$F$2:$F$301,$H74)&amp;""&amp;" is not recorded for "&amp;INDEX(Import_Staging!$D$2:$D$301,$H74)&amp;""&amp;" in Batches.","expiry is empty; receipts need the company-supplied expiry date.","expiry "&amp;""""&amp;INDEX(Import_Staging!$G$2:$G$301,$H74)&amp;""&amp;""""&amp;" is not a real date in yyyy-mm-dd format.","qty is empty.","qty "&amp;""""&amp;INDEX(Import_Staging!$H$2:$H$301,$H74)&amp;""&amp;""""&amp;" is not a valid quantity"&amp;IF(INDEX(Import_Staging!$C$2:$C$301,$H74)&amp;""="",""," for a "&amp;LOWER(INDEX(Import_Staging!$C$2:$C$301,$H74)&amp;""))&amp;".","lot_status is empty; receipts need a lot status.","lot_status "&amp;""""&amp;INDEX(Import_Staging!$I$2:$I$301,$H74)&amp;""&amp;""""&amp;" is not a lot status allowed on receipt (Config).","reason is empty; adjustments need a reason.","source_link is empty; every movement needs a link to its source document.","This row would take recorded stock of "&amp;INDEX(Import_Staging!$D$2:$D$301,$H74)&amp;""&amp;" from "&amp;INDEX(Import_Staging!$R$2:$R$301,$H74)&amp;" to "&amp;INDEX(Import_Staging!$S$2:$S$301,$H74)&amp;"."),$E74))</f>
        <v/>
      </c>
      <c r="G74" s="67" t="str">
        <f>IF($A74="","",INDEX(Config!$F$39:$F$61,$J74))</f>
        <v/>
      </c>
      <c r="H74" s="66" t="str">
        <f>IF($A74="","",MATCH(COUNTIF(Import_Staging!$BS$2:$BS$301,"&lt;"&amp;$A74)+1,Import_Staging!$BR$2:$BR$301,0))</f>
        <v/>
      </c>
      <c r="I74" s="66" t="str">
        <f>IF($A74="","",$A74-INDEX(Import_Staging!$BQ$2:$BQ$301,$H74))</f>
        <v/>
      </c>
      <c r="J74" s="66" t="str">
        <f>IF($A74="","",MATCH($I74,INDEX(Import_Staging!$AT$2:$BP$301,$H74,0),0))</f>
        <v/>
      </c>
    </row>
    <row r="75">
      <c r="A75" s="65" t="str">
        <f>IF(70&lt;=$F$4,70,"")</f>
        <v/>
      </c>
      <c r="B75" s="65" t="str">
        <f>IF($A75="","",$H75+1)</f>
        <v/>
      </c>
      <c r="C75" s="66" t="str">
        <f>IF($A75="","",INDEX(Import_Staging!$A$2:$A$301,$H75)&amp;"")</f>
        <v/>
      </c>
      <c r="D75" s="66" t="str">
        <f>IF($A75="","",INDEX(Config!$C$39:$C$61,$J75))</f>
        <v/>
      </c>
      <c r="E75" s="66" t="str">
        <f>IF($A75="","",INDEX(Config!$D$39:$D$61,$J75))</f>
        <v/>
      </c>
      <c r="F75" s="67" t="str">
        <f>IF($A75="","",IFERROR(CHOOSE($J75,"movement_id is empty. Every row needs a unique movement ID.","movement_id "&amp;INDEX(Import_Staging!$A$2:$A$301,$H75)&amp;""&amp;" appears earlier in this file (row "&amp;IFERROR(MATCH(INDEX(Import_Staging!$A$2:$A$301,$H75),Import_Staging!$A$2:$A$301,0)+1,"?")&amp;"). Only the first row can be posted.","movement_id "&amp;INDEX(Import_Staging!$A$2:$A$301,$H75)&amp;""&amp;" is already in Inventory_Ledger. The ledger row was not changed.","date is empty.","date "&amp;""""&amp;INDEX(Import_Staging!$B$2:$B$301,$H75)&amp;""&amp;""""&amp;" is not a real date in yyyy-mm-dd format.","date "&amp;TEXT(INDEX(Import_Staging!$M$2:$M$301,$H75),"yyyy-mm-dd")&amp;" is after the as-of date "&amp;TEXT(Config!$B$4,"yyyy-mm-dd")&amp;".","type is empty.","type "&amp;""""&amp;INDEX(Import_Staging!$C$2:$C$301,$H75)&amp;""&amp;""""&amp;" is not a movement type listed on Config.","sku is empty.","SKU "&amp;INDEX(Import_Staging!$D$2:$D$301,$H75)&amp;""&amp;" is not in Products.","supplier_id is empty; receipts need the supplier.","Supplier "&amp;INDEX(Import_Staging!$E$2:$E$301,$H75)&amp;""&amp;" is not in Suppliers.","lot is empty; every movement needs its lot code.","Lot "&amp;INDEX(Import_Staging!$F$2:$F$301,$H75)&amp;""&amp;" is not recorded for "&amp;INDEX(Import_Staging!$D$2:$D$301,$H75)&amp;""&amp;" in Batches.","expiry is empty; receipts need the company-supplied expiry date.","expiry "&amp;""""&amp;INDEX(Import_Staging!$G$2:$G$301,$H75)&amp;""&amp;""""&amp;" is not a real date in yyyy-mm-dd format.","qty is empty.","qty "&amp;""""&amp;INDEX(Import_Staging!$H$2:$H$301,$H75)&amp;""&amp;""""&amp;" is not a valid quantity"&amp;IF(INDEX(Import_Staging!$C$2:$C$301,$H75)&amp;""="",""," for a "&amp;LOWER(INDEX(Import_Staging!$C$2:$C$301,$H75)&amp;""))&amp;".","lot_status is empty; receipts need a lot status.","lot_status "&amp;""""&amp;INDEX(Import_Staging!$I$2:$I$301,$H75)&amp;""&amp;""""&amp;" is not a lot status allowed on receipt (Config).","reason is empty; adjustments need a reason.","source_link is empty; every movement needs a link to its source document.","This row would take recorded stock of "&amp;INDEX(Import_Staging!$D$2:$D$301,$H75)&amp;""&amp;" from "&amp;INDEX(Import_Staging!$R$2:$R$301,$H75)&amp;" to "&amp;INDEX(Import_Staging!$S$2:$S$301,$H75)&amp;"."),$E75))</f>
        <v/>
      </c>
      <c r="G75" s="67" t="str">
        <f>IF($A75="","",INDEX(Config!$F$39:$F$61,$J75))</f>
        <v/>
      </c>
      <c r="H75" s="66" t="str">
        <f>IF($A75="","",MATCH(COUNTIF(Import_Staging!$BS$2:$BS$301,"&lt;"&amp;$A75)+1,Import_Staging!$BR$2:$BR$301,0))</f>
        <v/>
      </c>
      <c r="I75" s="66" t="str">
        <f>IF($A75="","",$A75-INDEX(Import_Staging!$BQ$2:$BQ$301,$H75))</f>
        <v/>
      </c>
      <c r="J75" s="66" t="str">
        <f>IF($A75="","",MATCH($I75,INDEX(Import_Staging!$AT$2:$BP$301,$H75,0),0))</f>
        <v/>
      </c>
    </row>
    <row r="76">
      <c r="A76" s="65" t="str">
        <f>IF(71&lt;=$F$4,71,"")</f>
        <v/>
      </c>
      <c r="B76" s="65" t="str">
        <f>IF($A76="","",$H76+1)</f>
        <v/>
      </c>
      <c r="C76" s="66" t="str">
        <f>IF($A76="","",INDEX(Import_Staging!$A$2:$A$301,$H76)&amp;"")</f>
        <v/>
      </c>
      <c r="D76" s="66" t="str">
        <f>IF($A76="","",INDEX(Config!$C$39:$C$61,$J76))</f>
        <v/>
      </c>
      <c r="E76" s="66" t="str">
        <f>IF($A76="","",INDEX(Config!$D$39:$D$61,$J76))</f>
        <v/>
      </c>
      <c r="F76" s="67" t="str">
        <f>IF($A76="","",IFERROR(CHOOSE($J76,"movement_id is empty. Every row needs a unique movement ID.","movement_id "&amp;INDEX(Import_Staging!$A$2:$A$301,$H76)&amp;""&amp;" appears earlier in this file (row "&amp;IFERROR(MATCH(INDEX(Import_Staging!$A$2:$A$301,$H76),Import_Staging!$A$2:$A$301,0)+1,"?")&amp;"). Only the first row can be posted.","movement_id "&amp;INDEX(Import_Staging!$A$2:$A$301,$H76)&amp;""&amp;" is already in Inventory_Ledger. The ledger row was not changed.","date is empty.","date "&amp;""""&amp;INDEX(Import_Staging!$B$2:$B$301,$H76)&amp;""&amp;""""&amp;" is not a real date in yyyy-mm-dd format.","date "&amp;TEXT(INDEX(Import_Staging!$M$2:$M$301,$H76),"yyyy-mm-dd")&amp;" is after the as-of date "&amp;TEXT(Config!$B$4,"yyyy-mm-dd")&amp;".","type is empty.","type "&amp;""""&amp;INDEX(Import_Staging!$C$2:$C$301,$H76)&amp;""&amp;""""&amp;" is not a movement type listed on Config.","sku is empty.","SKU "&amp;INDEX(Import_Staging!$D$2:$D$301,$H76)&amp;""&amp;" is not in Products.","supplier_id is empty; receipts need the supplier.","Supplier "&amp;INDEX(Import_Staging!$E$2:$E$301,$H76)&amp;""&amp;" is not in Suppliers.","lot is empty; every movement needs its lot code.","Lot "&amp;INDEX(Import_Staging!$F$2:$F$301,$H76)&amp;""&amp;" is not recorded for "&amp;INDEX(Import_Staging!$D$2:$D$301,$H76)&amp;""&amp;" in Batches.","expiry is empty; receipts need the company-supplied expiry date.","expiry "&amp;""""&amp;INDEX(Import_Staging!$G$2:$G$301,$H76)&amp;""&amp;""""&amp;" is not a real date in yyyy-mm-dd format.","qty is empty.","qty "&amp;""""&amp;INDEX(Import_Staging!$H$2:$H$301,$H76)&amp;""&amp;""""&amp;" is not a valid quantity"&amp;IF(INDEX(Import_Staging!$C$2:$C$301,$H76)&amp;""="",""," for a "&amp;LOWER(INDEX(Import_Staging!$C$2:$C$301,$H76)&amp;""))&amp;".","lot_status is empty; receipts need a lot status.","lot_status "&amp;""""&amp;INDEX(Import_Staging!$I$2:$I$301,$H76)&amp;""&amp;""""&amp;" is not a lot status allowed on receipt (Config).","reason is empty; adjustments need a reason.","source_link is empty; every movement needs a link to its source document.","This row would take recorded stock of "&amp;INDEX(Import_Staging!$D$2:$D$301,$H76)&amp;""&amp;" from "&amp;INDEX(Import_Staging!$R$2:$R$301,$H76)&amp;" to "&amp;INDEX(Import_Staging!$S$2:$S$301,$H76)&amp;"."),$E76))</f>
        <v/>
      </c>
      <c r="G76" s="67" t="str">
        <f>IF($A76="","",INDEX(Config!$F$39:$F$61,$J76))</f>
        <v/>
      </c>
      <c r="H76" s="66" t="str">
        <f>IF($A76="","",MATCH(COUNTIF(Import_Staging!$BS$2:$BS$301,"&lt;"&amp;$A76)+1,Import_Staging!$BR$2:$BR$301,0))</f>
        <v/>
      </c>
      <c r="I76" s="66" t="str">
        <f>IF($A76="","",$A76-INDEX(Import_Staging!$BQ$2:$BQ$301,$H76))</f>
        <v/>
      </c>
      <c r="J76" s="66" t="str">
        <f>IF($A76="","",MATCH($I76,INDEX(Import_Staging!$AT$2:$BP$301,$H76,0),0))</f>
        <v/>
      </c>
    </row>
    <row r="77">
      <c r="A77" s="65" t="str">
        <f>IF(72&lt;=$F$4,72,"")</f>
        <v/>
      </c>
      <c r="B77" s="65" t="str">
        <f>IF($A77="","",$H77+1)</f>
        <v/>
      </c>
      <c r="C77" s="66" t="str">
        <f>IF($A77="","",INDEX(Import_Staging!$A$2:$A$301,$H77)&amp;"")</f>
        <v/>
      </c>
      <c r="D77" s="66" t="str">
        <f>IF($A77="","",INDEX(Config!$C$39:$C$61,$J77))</f>
        <v/>
      </c>
      <c r="E77" s="66" t="str">
        <f>IF($A77="","",INDEX(Config!$D$39:$D$61,$J77))</f>
        <v/>
      </c>
      <c r="F77" s="67" t="str">
        <f>IF($A77="","",IFERROR(CHOOSE($J77,"movement_id is empty. Every row needs a unique movement ID.","movement_id "&amp;INDEX(Import_Staging!$A$2:$A$301,$H77)&amp;""&amp;" appears earlier in this file (row "&amp;IFERROR(MATCH(INDEX(Import_Staging!$A$2:$A$301,$H77),Import_Staging!$A$2:$A$301,0)+1,"?")&amp;"). Only the first row can be posted.","movement_id "&amp;INDEX(Import_Staging!$A$2:$A$301,$H77)&amp;""&amp;" is already in Inventory_Ledger. The ledger row was not changed.","date is empty.","date "&amp;""""&amp;INDEX(Import_Staging!$B$2:$B$301,$H77)&amp;""&amp;""""&amp;" is not a real date in yyyy-mm-dd format.","date "&amp;TEXT(INDEX(Import_Staging!$M$2:$M$301,$H77),"yyyy-mm-dd")&amp;" is after the as-of date "&amp;TEXT(Config!$B$4,"yyyy-mm-dd")&amp;".","type is empty.","type "&amp;""""&amp;INDEX(Import_Staging!$C$2:$C$301,$H77)&amp;""&amp;""""&amp;" is not a movement type listed on Config.","sku is empty.","SKU "&amp;INDEX(Import_Staging!$D$2:$D$301,$H77)&amp;""&amp;" is not in Products.","supplier_id is empty; receipts need the supplier.","Supplier "&amp;INDEX(Import_Staging!$E$2:$E$301,$H77)&amp;""&amp;" is not in Suppliers.","lot is empty; every movement needs its lot code.","Lot "&amp;INDEX(Import_Staging!$F$2:$F$301,$H77)&amp;""&amp;" is not recorded for "&amp;INDEX(Import_Staging!$D$2:$D$301,$H77)&amp;""&amp;" in Batches.","expiry is empty; receipts need the company-supplied expiry date.","expiry "&amp;""""&amp;INDEX(Import_Staging!$G$2:$G$301,$H77)&amp;""&amp;""""&amp;" is not a real date in yyyy-mm-dd format.","qty is empty.","qty "&amp;""""&amp;INDEX(Import_Staging!$H$2:$H$301,$H77)&amp;""&amp;""""&amp;" is not a valid quantity"&amp;IF(INDEX(Import_Staging!$C$2:$C$301,$H77)&amp;""="",""," for a "&amp;LOWER(INDEX(Import_Staging!$C$2:$C$301,$H77)&amp;""))&amp;".","lot_status is empty; receipts need a lot status.","lot_status "&amp;""""&amp;INDEX(Import_Staging!$I$2:$I$301,$H77)&amp;""&amp;""""&amp;" is not a lot status allowed on receipt (Config).","reason is empty; adjustments need a reason.","source_link is empty; every movement needs a link to its source document.","This row would take recorded stock of "&amp;INDEX(Import_Staging!$D$2:$D$301,$H77)&amp;""&amp;" from "&amp;INDEX(Import_Staging!$R$2:$R$301,$H77)&amp;" to "&amp;INDEX(Import_Staging!$S$2:$S$301,$H77)&amp;"."),$E77))</f>
        <v/>
      </c>
      <c r="G77" s="67" t="str">
        <f>IF($A77="","",INDEX(Config!$F$39:$F$61,$J77))</f>
        <v/>
      </c>
      <c r="H77" s="66" t="str">
        <f>IF($A77="","",MATCH(COUNTIF(Import_Staging!$BS$2:$BS$301,"&lt;"&amp;$A77)+1,Import_Staging!$BR$2:$BR$301,0))</f>
        <v/>
      </c>
      <c r="I77" s="66" t="str">
        <f>IF($A77="","",$A77-INDEX(Import_Staging!$BQ$2:$BQ$301,$H77))</f>
        <v/>
      </c>
      <c r="J77" s="66" t="str">
        <f>IF($A77="","",MATCH($I77,INDEX(Import_Staging!$AT$2:$BP$301,$H77,0),0))</f>
        <v/>
      </c>
    </row>
    <row r="78">
      <c r="A78" s="65" t="str">
        <f>IF(73&lt;=$F$4,73,"")</f>
        <v/>
      </c>
      <c r="B78" s="65" t="str">
        <f>IF($A78="","",$H78+1)</f>
        <v/>
      </c>
      <c r="C78" s="66" t="str">
        <f>IF($A78="","",INDEX(Import_Staging!$A$2:$A$301,$H78)&amp;"")</f>
        <v/>
      </c>
      <c r="D78" s="66" t="str">
        <f>IF($A78="","",INDEX(Config!$C$39:$C$61,$J78))</f>
        <v/>
      </c>
      <c r="E78" s="66" t="str">
        <f>IF($A78="","",INDEX(Config!$D$39:$D$61,$J78))</f>
        <v/>
      </c>
      <c r="F78" s="67" t="str">
        <f>IF($A78="","",IFERROR(CHOOSE($J78,"movement_id is empty. Every row needs a unique movement ID.","movement_id "&amp;INDEX(Import_Staging!$A$2:$A$301,$H78)&amp;""&amp;" appears earlier in this file (row "&amp;IFERROR(MATCH(INDEX(Import_Staging!$A$2:$A$301,$H78),Import_Staging!$A$2:$A$301,0)+1,"?")&amp;"). Only the first row can be posted.","movement_id "&amp;INDEX(Import_Staging!$A$2:$A$301,$H78)&amp;""&amp;" is already in Inventory_Ledger. The ledger row was not changed.","date is empty.","date "&amp;""""&amp;INDEX(Import_Staging!$B$2:$B$301,$H78)&amp;""&amp;""""&amp;" is not a real date in yyyy-mm-dd format.","date "&amp;TEXT(INDEX(Import_Staging!$M$2:$M$301,$H78),"yyyy-mm-dd")&amp;" is after the as-of date "&amp;TEXT(Config!$B$4,"yyyy-mm-dd")&amp;".","type is empty.","type "&amp;""""&amp;INDEX(Import_Staging!$C$2:$C$301,$H78)&amp;""&amp;""""&amp;" is not a movement type listed on Config.","sku is empty.","SKU "&amp;INDEX(Import_Staging!$D$2:$D$301,$H78)&amp;""&amp;" is not in Products.","supplier_id is empty; receipts need the supplier.","Supplier "&amp;INDEX(Import_Staging!$E$2:$E$301,$H78)&amp;""&amp;" is not in Suppliers.","lot is empty; every movement needs its lot code.","Lot "&amp;INDEX(Import_Staging!$F$2:$F$301,$H78)&amp;""&amp;" is not recorded for "&amp;INDEX(Import_Staging!$D$2:$D$301,$H78)&amp;""&amp;" in Batches.","expiry is empty; receipts need the company-supplied expiry date.","expiry "&amp;""""&amp;INDEX(Import_Staging!$G$2:$G$301,$H78)&amp;""&amp;""""&amp;" is not a real date in yyyy-mm-dd format.","qty is empty.","qty "&amp;""""&amp;INDEX(Import_Staging!$H$2:$H$301,$H78)&amp;""&amp;""""&amp;" is not a valid quantity"&amp;IF(INDEX(Import_Staging!$C$2:$C$301,$H78)&amp;""="",""," for a "&amp;LOWER(INDEX(Import_Staging!$C$2:$C$301,$H78)&amp;""))&amp;".","lot_status is empty; receipts need a lot status.","lot_status "&amp;""""&amp;INDEX(Import_Staging!$I$2:$I$301,$H78)&amp;""&amp;""""&amp;" is not a lot status allowed on receipt (Config).","reason is empty; adjustments need a reason.","source_link is empty; every movement needs a link to its source document.","This row would take recorded stock of "&amp;INDEX(Import_Staging!$D$2:$D$301,$H78)&amp;""&amp;" from "&amp;INDEX(Import_Staging!$R$2:$R$301,$H78)&amp;" to "&amp;INDEX(Import_Staging!$S$2:$S$301,$H78)&amp;"."),$E78))</f>
        <v/>
      </c>
      <c r="G78" s="67" t="str">
        <f>IF($A78="","",INDEX(Config!$F$39:$F$61,$J78))</f>
        <v/>
      </c>
      <c r="H78" s="66" t="str">
        <f>IF($A78="","",MATCH(COUNTIF(Import_Staging!$BS$2:$BS$301,"&lt;"&amp;$A78)+1,Import_Staging!$BR$2:$BR$301,0))</f>
        <v/>
      </c>
      <c r="I78" s="66" t="str">
        <f>IF($A78="","",$A78-INDEX(Import_Staging!$BQ$2:$BQ$301,$H78))</f>
        <v/>
      </c>
      <c r="J78" s="66" t="str">
        <f>IF($A78="","",MATCH($I78,INDEX(Import_Staging!$AT$2:$BP$301,$H78,0),0))</f>
        <v/>
      </c>
    </row>
    <row r="79">
      <c r="A79" s="65" t="str">
        <f>IF(74&lt;=$F$4,74,"")</f>
        <v/>
      </c>
      <c r="B79" s="65" t="str">
        <f>IF($A79="","",$H79+1)</f>
        <v/>
      </c>
      <c r="C79" s="66" t="str">
        <f>IF($A79="","",INDEX(Import_Staging!$A$2:$A$301,$H79)&amp;"")</f>
        <v/>
      </c>
      <c r="D79" s="66" t="str">
        <f>IF($A79="","",INDEX(Config!$C$39:$C$61,$J79))</f>
        <v/>
      </c>
      <c r="E79" s="66" t="str">
        <f>IF($A79="","",INDEX(Config!$D$39:$D$61,$J79))</f>
        <v/>
      </c>
      <c r="F79" s="67" t="str">
        <f>IF($A79="","",IFERROR(CHOOSE($J79,"movement_id is empty. Every row needs a unique movement ID.","movement_id "&amp;INDEX(Import_Staging!$A$2:$A$301,$H79)&amp;""&amp;" appears earlier in this file (row "&amp;IFERROR(MATCH(INDEX(Import_Staging!$A$2:$A$301,$H79),Import_Staging!$A$2:$A$301,0)+1,"?")&amp;"). Only the first row can be posted.","movement_id "&amp;INDEX(Import_Staging!$A$2:$A$301,$H79)&amp;""&amp;" is already in Inventory_Ledger. The ledger row was not changed.","date is empty.","date "&amp;""""&amp;INDEX(Import_Staging!$B$2:$B$301,$H79)&amp;""&amp;""""&amp;" is not a real date in yyyy-mm-dd format.","date "&amp;TEXT(INDEX(Import_Staging!$M$2:$M$301,$H79),"yyyy-mm-dd")&amp;" is after the as-of date "&amp;TEXT(Config!$B$4,"yyyy-mm-dd")&amp;".","type is empty.","type "&amp;""""&amp;INDEX(Import_Staging!$C$2:$C$301,$H79)&amp;""&amp;""""&amp;" is not a movement type listed on Config.","sku is empty.","SKU "&amp;INDEX(Import_Staging!$D$2:$D$301,$H79)&amp;""&amp;" is not in Products.","supplier_id is empty; receipts need the supplier.","Supplier "&amp;INDEX(Import_Staging!$E$2:$E$301,$H79)&amp;""&amp;" is not in Suppliers.","lot is empty; every movement needs its lot code.","Lot "&amp;INDEX(Import_Staging!$F$2:$F$301,$H79)&amp;""&amp;" is not recorded for "&amp;INDEX(Import_Staging!$D$2:$D$301,$H79)&amp;""&amp;" in Batches.","expiry is empty; receipts need the company-supplied expiry date.","expiry "&amp;""""&amp;INDEX(Import_Staging!$G$2:$G$301,$H79)&amp;""&amp;""""&amp;" is not a real date in yyyy-mm-dd format.","qty is empty.","qty "&amp;""""&amp;INDEX(Import_Staging!$H$2:$H$301,$H79)&amp;""&amp;""""&amp;" is not a valid quantity"&amp;IF(INDEX(Import_Staging!$C$2:$C$301,$H79)&amp;""="",""," for a "&amp;LOWER(INDEX(Import_Staging!$C$2:$C$301,$H79)&amp;""))&amp;".","lot_status is empty; receipts need a lot status.","lot_status "&amp;""""&amp;INDEX(Import_Staging!$I$2:$I$301,$H79)&amp;""&amp;""""&amp;" is not a lot status allowed on receipt (Config).","reason is empty; adjustments need a reason.","source_link is empty; every movement needs a link to its source document.","This row would take recorded stock of "&amp;INDEX(Import_Staging!$D$2:$D$301,$H79)&amp;""&amp;" from "&amp;INDEX(Import_Staging!$R$2:$R$301,$H79)&amp;" to "&amp;INDEX(Import_Staging!$S$2:$S$301,$H79)&amp;"."),$E79))</f>
        <v/>
      </c>
      <c r="G79" s="67" t="str">
        <f>IF($A79="","",INDEX(Config!$F$39:$F$61,$J79))</f>
        <v/>
      </c>
      <c r="H79" s="66" t="str">
        <f>IF($A79="","",MATCH(COUNTIF(Import_Staging!$BS$2:$BS$301,"&lt;"&amp;$A79)+1,Import_Staging!$BR$2:$BR$301,0))</f>
        <v/>
      </c>
      <c r="I79" s="66" t="str">
        <f>IF($A79="","",$A79-INDEX(Import_Staging!$BQ$2:$BQ$301,$H79))</f>
        <v/>
      </c>
      <c r="J79" s="66" t="str">
        <f>IF($A79="","",MATCH($I79,INDEX(Import_Staging!$AT$2:$BP$301,$H79,0),0))</f>
        <v/>
      </c>
    </row>
    <row r="80">
      <c r="A80" s="65" t="str">
        <f>IF(75&lt;=$F$4,75,"")</f>
        <v/>
      </c>
      <c r="B80" s="65" t="str">
        <f>IF($A80="","",$H80+1)</f>
        <v/>
      </c>
      <c r="C80" s="66" t="str">
        <f>IF($A80="","",INDEX(Import_Staging!$A$2:$A$301,$H80)&amp;"")</f>
        <v/>
      </c>
      <c r="D80" s="66" t="str">
        <f>IF($A80="","",INDEX(Config!$C$39:$C$61,$J80))</f>
        <v/>
      </c>
      <c r="E80" s="66" t="str">
        <f>IF($A80="","",INDEX(Config!$D$39:$D$61,$J80))</f>
        <v/>
      </c>
      <c r="F80" s="67" t="str">
        <f>IF($A80="","",IFERROR(CHOOSE($J80,"movement_id is empty. Every row needs a unique movement ID.","movement_id "&amp;INDEX(Import_Staging!$A$2:$A$301,$H80)&amp;""&amp;" appears earlier in this file (row "&amp;IFERROR(MATCH(INDEX(Import_Staging!$A$2:$A$301,$H80),Import_Staging!$A$2:$A$301,0)+1,"?")&amp;"). Only the first row can be posted.","movement_id "&amp;INDEX(Import_Staging!$A$2:$A$301,$H80)&amp;""&amp;" is already in Inventory_Ledger. The ledger row was not changed.","date is empty.","date "&amp;""""&amp;INDEX(Import_Staging!$B$2:$B$301,$H80)&amp;""&amp;""""&amp;" is not a real date in yyyy-mm-dd format.","date "&amp;TEXT(INDEX(Import_Staging!$M$2:$M$301,$H80),"yyyy-mm-dd")&amp;" is after the as-of date "&amp;TEXT(Config!$B$4,"yyyy-mm-dd")&amp;".","type is empty.","type "&amp;""""&amp;INDEX(Import_Staging!$C$2:$C$301,$H80)&amp;""&amp;""""&amp;" is not a movement type listed on Config.","sku is empty.","SKU "&amp;INDEX(Import_Staging!$D$2:$D$301,$H80)&amp;""&amp;" is not in Products.","supplier_id is empty; receipts need the supplier.","Supplier "&amp;INDEX(Import_Staging!$E$2:$E$301,$H80)&amp;""&amp;" is not in Suppliers.","lot is empty; every movement needs its lot code.","Lot "&amp;INDEX(Import_Staging!$F$2:$F$301,$H80)&amp;""&amp;" is not recorded for "&amp;INDEX(Import_Staging!$D$2:$D$301,$H80)&amp;""&amp;" in Batches.","expiry is empty; receipts need the company-supplied expiry date.","expiry "&amp;""""&amp;INDEX(Import_Staging!$G$2:$G$301,$H80)&amp;""&amp;""""&amp;" is not a real date in yyyy-mm-dd format.","qty is empty.","qty "&amp;""""&amp;INDEX(Import_Staging!$H$2:$H$301,$H80)&amp;""&amp;""""&amp;" is not a valid quantity"&amp;IF(INDEX(Import_Staging!$C$2:$C$301,$H80)&amp;""="",""," for a "&amp;LOWER(INDEX(Import_Staging!$C$2:$C$301,$H80)&amp;""))&amp;".","lot_status is empty; receipts need a lot status.","lot_status "&amp;""""&amp;INDEX(Import_Staging!$I$2:$I$301,$H80)&amp;""&amp;""""&amp;" is not a lot status allowed on receipt (Config).","reason is empty; adjustments need a reason.","source_link is empty; every movement needs a link to its source document.","This row would take recorded stock of "&amp;INDEX(Import_Staging!$D$2:$D$301,$H80)&amp;""&amp;" from "&amp;INDEX(Import_Staging!$R$2:$R$301,$H80)&amp;" to "&amp;INDEX(Import_Staging!$S$2:$S$301,$H80)&amp;"."),$E80))</f>
        <v/>
      </c>
      <c r="G80" s="67" t="str">
        <f>IF($A80="","",INDEX(Config!$F$39:$F$61,$J80))</f>
        <v/>
      </c>
      <c r="H80" s="66" t="str">
        <f>IF($A80="","",MATCH(COUNTIF(Import_Staging!$BS$2:$BS$301,"&lt;"&amp;$A80)+1,Import_Staging!$BR$2:$BR$301,0))</f>
        <v/>
      </c>
      <c r="I80" s="66" t="str">
        <f>IF($A80="","",$A80-INDEX(Import_Staging!$BQ$2:$BQ$301,$H80))</f>
        <v/>
      </c>
      <c r="J80" s="66" t="str">
        <f>IF($A80="","",MATCH($I80,INDEX(Import_Staging!$AT$2:$BP$301,$H80,0),0))</f>
        <v/>
      </c>
    </row>
    <row r="81">
      <c r="A81" s="65" t="str">
        <f>IF(76&lt;=$F$4,76,"")</f>
        <v/>
      </c>
      <c r="B81" s="65" t="str">
        <f>IF($A81="","",$H81+1)</f>
        <v/>
      </c>
      <c r="C81" s="66" t="str">
        <f>IF($A81="","",INDEX(Import_Staging!$A$2:$A$301,$H81)&amp;"")</f>
        <v/>
      </c>
      <c r="D81" s="66" t="str">
        <f>IF($A81="","",INDEX(Config!$C$39:$C$61,$J81))</f>
        <v/>
      </c>
      <c r="E81" s="66" t="str">
        <f>IF($A81="","",INDEX(Config!$D$39:$D$61,$J81))</f>
        <v/>
      </c>
      <c r="F81" s="67" t="str">
        <f>IF($A81="","",IFERROR(CHOOSE($J81,"movement_id is empty. Every row needs a unique movement ID.","movement_id "&amp;INDEX(Import_Staging!$A$2:$A$301,$H81)&amp;""&amp;" appears earlier in this file (row "&amp;IFERROR(MATCH(INDEX(Import_Staging!$A$2:$A$301,$H81),Import_Staging!$A$2:$A$301,0)+1,"?")&amp;"). Only the first row can be posted.","movement_id "&amp;INDEX(Import_Staging!$A$2:$A$301,$H81)&amp;""&amp;" is already in Inventory_Ledger. The ledger row was not changed.","date is empty.","date "&amp;""""&amp;INDEX(Import_Staging!$B$2:$B$301,$H81)&amp;""&amp;""""&amp;" is not a real date in yyyy-mm-dd format.","date "&amp;TEXT(INDEX(Import_Staging!$M$2:$M$301,$H81),"yyyy-mm-dd")&amp;" is after the as-of date "&amp;TEXT(Config!$B$4,"yyyy-mm-dd")&amp;".","type is empty.","type "&amp;""""&amp;INDEX(Import_Staging!$C$2:$C$301,$H81)&amp;""&amp;""""&amp;" is not a movement type listed on Config.","sku is empty.","SKU "&amp;INDEX(Import_Staging!$D$2:$D$301,$H81)&amp;""&amp;" is not in Products.","supplier_id is empty; receipts need the supplier.","Supplier "&amp;INDEX(Import_Staging!$E$2:$E$301,$H81)&amp;""&amp;" is not in Suppliers.","lot is empty; every movement needs its lot code.","Lot "&amp;INDEX(Import_Staging!$F$2:$F$301,$H81)&amp;""&amp;" is not recorded for "&amp;INDEX(Import_Staging!$D$2:$D$301,$H81)&amp;""&amp;" in Batches.","expiry is empty; receipts need the company-supplied expiry date.","expiry "&amp;""""&amp;INDEX(Import_Staging!$G$2:$G$301,$H81)&amp;""&amp;""""&amp;" is not a real date in yyyy-mm-dd format.","qty is empty.","qty "&amp;""""&amp;INDEX(Import_Staging!$H$2:$H$301,$H81)&amp;""&amp;""""&amp;" is not a valid quantity"&amp;IF(INDEX(Import_Staging!$C$2:$C$301,$H81)&amp;""="",""," for a "&amp;LOWER(INDEX(Import_Staging!$C$2:$C$301,$H81)&amp;""))&amp;".","lot_status is empty; receipts need a lot status.","lot_status "&amp;""""&amp;INDEX(Import_Staging!$I$2:$I$301,$H81)&amp;""&amp;""""&amp;" is not a lot status allowed on receipt (Config).","reason is empty; adjustments need a reason.","source_link is empty; every movement needs a link to its source document.","This row would take recorded stock of "&amp;INDEX(Import_Staging!$D$2:$D$301,$H81)&amp;""&amp;" from "&amp;INDEX(Import_Staging!$R$2:$R$301,$H81)&amp;" to "&amp;INDEX(Import_Staging!$S$2:$S$301,$H81)&amp;"."),$E81))</f>
        <v/>
      </c>
      <c r="G81" s="67" t="str">
        <f>IF($A81="","",INDEX(Config!$F$39:$F$61,$J81))</f>
        <v/>
      </c>
      <c r="H81" s="66" t="str">
        <f>IF($A81="","",MATCH(COUNTIF(Import_Staging!$BS$2:$BS$301,"&lt;"&amp;$A81)+1,Import_Staging!$BR$2:$BR$301,0))</f>
        <v/>
      </c>
      <c r="I81" s="66" t="str">
        <f>IF($A81="","",$A81-INDEX(Import_Staging!$BQ$2:$BQ$301,$H81))</f>
        <v/>
      </c>
      <c r="J81" s="66" t="str">
        <f>IF($A81="","",MATCH($I81,INDEX(Import_Staging!$AT$2:$BP$301,$H81,0),0))</f>
        <v/>
      </c>
    </row>
    <row r="82">
      <c r="A82" s="65" t="str">
        <f>IF(77&lt;=$F$4,77,"")</f>
        <v/>
      </c>
      <c r="B82" s="65" t="str">
        <f>IF($A82="","",$H82+1)</f>
        <v/>
      </c>
      <c r="C82" s="66" t="str">
        <f>IF($A82="","",INDEX(Import_Staging!$A$2:$A$301,$H82)&amp;"")</f>
        <v/>
      </c>
      <c r="D82" s="66" t="str">
        <f>IF($A82="","",INDEX(Config!$C$39:$C$61,$J82))</f>
        <v/>
      </c>
      <c r="E82" s="66" t="str">
        <f>IF($A82="","",INDEX(Config!$D$39:$D$61,$J82))</f>
        <v/>
      </c>
      <c r="F82" s="67" t="str">
        <f>IF($A82="","",IFERROR(CHOOSE($J82,"movement_id is empty. Every row needs a unique movement ID.","movement_id "&amp;INDEX(Import_Staging!$A$2:$A$301,$H82)&amp;""&amp;" appears earlier in this file (row "&amp;IFERROR(MATCH(INDEX(Import_Staging!$A$2:$A$301,$H82),Import_Staging!$A$2:$A$301,0)+1,"?")&amp;"). Only the first row can be posted.","movement_id "&amp;INDEX(Import_Staging!$A$2:$A$301,$H82)&amp;""&amp;" is already in Inventory_Ledger. The ledger row was not changed.","date is empty.","date "&amp;""""&amp;INDEX(Import_Staging!$B$2:$B$301,$H82)&amp;""&amp;""""&amp;" is not a real date in yyyy-mm-dd format.","date "&amp;TEXT(INDEX(Import_Staging!$M$2:$M$301,$H82),"yyyy-mm-dd")&amp;" is after the as-of date "&amp;TEXT(Config!$B$4,"yyyy-mm-dd")&amp;".","type is empty.","type "&amp;""""&amp;INDEX(Import_Staging!$C$2:$C$301,$H82)&amp;""&amp;""""&amp;" is not a movement type listed on Config.","sku is empty.","SKU "&amp;INDEX(Import_Staging!$D$2:$D$301,$H82)&amp;""&amp;" is not in Products.","supplier_id is empty; receipts need the supplier.","Supplier "&amp;INDEX(Import_Staging!$E$2:$E$301,$H82)&amp;""&amp;" is not in Suppliers.","lot is empty; every movement needs its lot code.","Lot "&amp;INDEX(Import_Staging!$F$2:$F$301,$H82)&amp;""&amp;" is not recorded for "&amp;INDEX(Import_Staging!$D$2:$D$301,$H82)&amp;""&amp;" in Batches.","expiry is empty; receipts need the company-supplied expiry date.","expiry "&amp;""""&amp;INDEX(Import_Staging!$G$2:$G$301,$H82)&amp;""&amp;""""&amp;" is not a real date in yyyy-mm-dd format.","qty is empty.","qty "&amp;""""&amp;INDEX(Import_Staging!$H$2:$H$301,$H82)&amp;""&amp;""""&amp;" is not a valid quantity"&amp;IF(INDEX(Import_Staging!$C$2:$C$301,$H82)&amp;""="",""," for a "&amp;LOWER(INDEX(Import_Staging!$C$2:$C$301,$H82)&amp;""))&amp;".","lot_status is empty; receipts need a lot status.","lot_status "&amp;""""&amp;INDEX(Import_Staging!$I$2:$I$301,$H82)&amp;""&amp;""""&amp;" is not a lot status allowed on receipt (Config).","reason is empty; adjustments need a reason.","source_link is empty; every movement needs a link to its source document.","This row would take recorded stock of "&amp;INDEX(Import_Staging!$D$2:$D$301,$H82)&amp;""&amp;" from "&amp;INDEX(Import_Staging!$R$2:$R$301,$H82)&amp;" to "&amp;INDEX(Import_Staging!$S$2:$S$301,$H82)&amp;"."),$E82))</f>
        <v/>
      </c>
      <c r="G82" s="67" t="str">
        <f>IF($A82="","",INDEX(Config!$F$39:$F$61,$J82))</f>
        <v/>
      </c>
      <c r="H82" s="66" t="str">
        <f>IF($A82="","",MATCH(COUNTIF(Import_Staging!$BS$2:$BS$301,"&lt;"&amp;$A82)+1,Import_Staging!$BR$2:$BR$301,0))</f>
        <v/>
      </c>
      <c r="I82" s="66" t="str">
        <f>IF($A82="","",$A82-INDEX(Import_Staging!$BQ$2:$BQ$301,$H82))</f>
        <v/>
      </c>
      <c r="J82" s="66" t="str">
        <f>IF($A82="","",MATCH($I82,INDEX(Import_Staging!$AT$2:$BP$301,$H82,0),0))</f>
        <v/>
      </c>
    </row>
    <row r="83">
      <c r="A83" s="65" t="str">
        <f>IF(78&lt;=$F$4,78,"")</f>
        <v/>
      </c>
      <c r="B83" s="65" t="str">
        <f>IF($A83="","",$H83+1)</f>
        <v/>
      </c>
      <c r="C83" s="66" t="str">
        <f>IF($A83="","",INDEX(Import_Staging!$A$2:$A$301,$H83)&amp;"")</f>
        <v/>
      </c>
      <c r="D83" s="66" t="str">
        <f>IF($A83="","",INDEX(Config!$C$39:$C$61,$J83))</f>
        <v/>
      </c>
      <c r="E83" s="66" t="str">
        <f>IF($A83="","",INDEX(Config!$D$39:$D$61,$J83))</f>
        <v/>
      </c>
      <c r="F83" s="67" t="str">
        <f>IF($A83="","",IFERROR(CHOOSE($J83,"movement_id is empty. Every row needs a unique movement ID.","movement_id "&amp;INDEX(Import_Staging!$A$2:$A$301,$H83)&amp;""&amp;" appears earlier in this file (row "&amp;IFERROR(MATCH(INDEX(Import_Staging!$A$2:$A$301,$H83),Import_Staging!$A$2:$A$301,0)+1,"?")&amp;"). Only the first row can be posted.","movement_id "&amp;INDEX(Import_Staging!$A$2:$A$301,$H83)&amp;""&amp;" is already in Inventory_Ledger. The ledger row was not changed.","date is empty.","date "&amp;""""&amp;INDEX(Import_Staging!$B$2:$B$301,$H83)&amp;""&amp;""""&amp;" is not a real date in yyyy-mm-dd format.","date "&amp;TEXT(INDEX(Import_Staging!$M$2:$M$301,$H83),"yyyy-mm-dd")&amp;" is after the as-of date "&amp;TEXT(Config!$B$4,"yyyy-mm-dd")&amp;".","type is empty.","type "&amp;""""&amp;INDEX(Import_Staging!$C$2:$C$301,$H83)&amp;""&amp;""""&amp;" is not a movement type listed on Config.","sku is empty.","SKU "&amp;INDEX(Import_Staging!$D$2:$D$301,$H83)&amp;""&amp;" is not in Products.","supplier_id is empty; receipts need the supplier.","Supplier "&amp;INDEX(Import_Staging!$E$2:$E$301,$H83)&amp;""&amp;" is not in Suppliers.","lot is empty; every movement needs its lot code.","Lot "&amp;INDEX(Import_Staging!$F$2:$F$301,$H83)&amp;""&amp;" is not recorded for "&amp;INDEX(Import_Staging!$D$2:$D$301,$H83)&amp;""&amp;" in Batches.","expiry is empty; receipts need the company-supplied expiry date.","expiry "&amp;""""&amp;INDEX(Import_Staging!$G$2:$G$301,$H83)&amp;""&amp;""""&amp;" is not a real date in yyyy-mm-dd format.","qty is empty.","qty "&amp;""""&amp;INDEX(Import_Staging!$H$2:$H$301,$H83)&amp;""&amp;""""&amp;" is not a valid quantity"&amp;IF(INDEX(Import_Staging!$C$2:$C$301,$H83)&amp;""="",""," for a "&amp;LOWER(INDEX(Import_Staging!$C$2:$C$301,$H83)&amp;""))&amp;".","lot_status is empty; receipts need a lot status.","lot_status "&amp;""""&amp;INDEX(Import_Staging!$I$2:$I$301,$H83)&amp;""&amp;""""&amp;" is not a lot status allowed on receipt (Config).","reason is empty; adjustments need a reason.","source_link is empty; every movement needs a link to its source document.","This row would take recorded stock of "&amp;INDEX(Import_Staging!$D$2:$D$301,$H83)&amp;""&amp;" from "&amp;INDEX(Import_Staging!$R$2:$R$301,$H83)&amp;" to "&amp;INDEX(Import_Staging!$S$2:$S$301,$H83)&amp;"."),$E83))</f>
        <v/>
      </c>
      <c r="G83" s="67" t="str">
        <f>IF($A83="","",INDEX(Config!$F$39:$F$61,$J83))</f>
        <v/>
      </c>
      <c r="H83" s="66" t="str">
        <f>IF($A83="","",MATCH(COUNTIF(Import_Staging!$BS$2:$BS$301,"&lt;"&amp;$A83)+1,Import_Staging!$BR$2:$BR$301,0))</f>
        <v/>
      </c>
      <c r="I83" s="66" t="str">
        <f>IF($A83="","",$A83-INDEX(Import_Staging!$BQ$2:$BQ$301,$H83))</f>
        <v/>
      </c>
      <c r="J83" s="66" t="str">
        <f>IF($A83="","",MATCH($I83,INDEX(Import_Staging!$AT$2:$BP$301,$H83,0),0))</f>
        <v/>
      </c>
    </row>
    <row r="84">
      <c r="A84" s="65" t="str">
        <f>IF(79&lt;=$F$4,79,"")</f>
        <v/>
      </c>
      <c r="B84" s="65" t="str">
        <f>IF($A84="","",$H84+1)</f>
        <v/>
      </c>
      <c r="C84" s="66" t="str">
        <f>IF($A84="","",INDEX(Import_Staging!$A$2:$A$301,$H84)&amp;"")</f>
        <v/>
      </c>
      <c r="D84" s="66" t="str">
        <f>IF($A84="","",INDEX(Config!$C$39:$C$61,$J84))</f>
        <v/>
      </c>
      <c r="E84" s="66" t="str">
        <f>IF($A84="","",INDEX(Config!$D$39:$D$61,$J84))</f>
        <v/>
      </c>
      <c r="F84" s="67" t="str">
        <f>IF($A84="","",IFERROR(CHOOSE($J84,"movement_id is empty. Every row needs a unique movement ID.","movement_id "&amp;INDEX(Import_Staging!$A$2:$A$301,$H84)&amp;""&amp;" appears earlier in this file (row "&amp;IFERROR(MATCH(INDEX(Import_Staging!$A$2:$A$301,$H84),Import_Staging!$A$2:$A$301,0)+1,"?")&amp;"). Only the first row can be posted.","movement_id "&amp;INDEX(Import_Staging!$A$2:$A$301,$H84)&amp;""&amp;" is already in Inventory_Ledger. The ledger row was not changed.","date is empty.","date "&amp;""""&amp;INDEX(Import_Staging!$B$2:$B$301,$H84)&amp;""&amp;""""&amp;" is not a real date in yyyy-mm-dd format.","date "&amp;TEXT(INDEX(Import_Staging!$M$2:$M$301,$H84),"yyyy-mm-dd")&amp;" is after the as-of date "&amp;TEXT(Config!$B$4,"yyyy-mm-dd")&amp;".","type is empty.","type "&amp;""""&amp;INDEX(Import_Staging!$C$2:$C$301,$H84)&amp;""&amp;""""&amp;" is not a movement type listed on Config.","sku is empty.","SKU "&amp;INDEX(Import_Staging!$D$2:$D$301,$H84)&amp;""&amp;" is not in Products.","supplier_id is empty; receipts need the supplier.","Supplier "&amp;INDEX(Import_Staging!$E$2:$E$301,$H84)&amp;""&amp;" is not in Suppliers.","lot is empty; every movement needs its lot code.","Lot "&amp;INDEX(Import_Staging!$F$2:$F$301,$H84)&amp;""&amp;" is not recorded for "&amp;INDEX(Import_Staging!$D$2:$D$301,$H84)&amp;""&amp;" in Batches.","expiry is empty; receipts need the company-supplied expiry date.","expiry "&amp;""""&amp;INDEX(Import_Staging!$G$2:$G$301,$H84)&amp;""&amp;""""&amp;" is not a real date in yyyy-mm-dd format.","qty is empty.","qty "&amp;""""&amp;INDEX(Import_Staging!$H$2:$H$301,$H84)&amp;""&amp;""""&amp;" is not a valid quantity"&amp;IF(INDEX(Import_Staging!$C$2:$C$301,$H84)&amp;""="",""," for a "&amp;LOWER(INDEX(Import_Staging!$C$2:$C$301,$H84)&amp;""))&amp;".","lot_status is empty; receipts need a lot status.","lot_status "&amp;""""&amp;INDEX(Import_Staging!$I$2:$I$301,$H84)&amp;""&amp;""""&amp;" is not a lot status allowed on receipt (Config).","reason is empty; adjustments need a reason.","source_link is empty; every movement needs a link to its source document.","This row would take recorded stock of "&amp;INDEX(Import_Staging!$D$2:$D$301,$H84)&amp;""&amp;" from "&amp;INDEX(Import_Staging!$R$2:$R$301,$H84)&amp;" to "&amp;INDEX(Import_Staging!$S$2:$S$301,$H84)&amp;"."),$E84))</f>
        <v/>
      </c>
      <c r="G84" s="67" t="str">
        <f>IF($A84="","",INDEX(Config!$F$39:$F$61,$J84))</f>
        <v/>
      </c>
      <c r="H84" s="66" t="str">
        <f>IF($A84="","",MATCH(COUNTIF(Import_Staging!$BS$2:$BS$301,"&lt;"&amp;$A84)+1,Import_Staging!$BR$2:$BR$301,0))</f>
        <v/>
      </c>
      <c r="I84" s="66" t="str">
        <f>IF($A84="","",$A84-INDEX(Import_Staging!$BQ$2:$BQ$301,$H84))</f>
        <v/>
      </c>
      <c r="J84" s="66" t="str">
        <f>IF($A84="","",MATCH($I84,INDEX(Import_Staging!$AT$2:$BP$301,$H84,0),0))</f>
        <v/>
      </c>
    </row>
    <row r="85">
      <c r="A85" s="65" t="str">
        <f>IF(80&lt;=$F$4,80,"")</f>
        <v/>
      </c>
      <c r="B85" s="65" t="str">
        <f>IF($A85="","",$H85+1)</f>
        <v/>
      </c>
      <c r="C85" s="66" t="str">
        <f>IF($A85="","",INDEX(Import_Staging!$A$2:$A$301,$H85)&amp;"")</f>
        <v/>
      </c>
      <c r="D85" s="66" t="str">
        <f>IF($A85="","",INDEX(Config!$C$39:$C$61,$J85))</f>
        <v/>
      </c>
      <c r="E85" s="66" t="str">
        <f>IF($A85="","",INDEX(Config!$D$39:$D$61,$J85))</f>
        <v/>
      </c>
      <c r="F85" s="67" t="str">
        <f>IF($A85="","",IFERROR(CHOOSE($J85,"movement_id is empty. Every row needs a unique movement ID.","movement_id "&amp;INDEX(Import_Staging!$A$2:$A$301,$H85)&amp;""&amp;" appears earlier in this file (row "&amp;IFERROR(MATCH(INDEX(Import_Staging!$A$2:$A$301,$H85),Import_Staging!$A$2:$A$301,0)+1,"?")&amp;"). Only the first row can be posted.","movement_id "&amp;INDEX(Import_Staging!$A$2:$A$301,$H85)&amp;""&amp;" is already in Inventory_Ledger. The ledger row was not changed.","date is empty.","date "&amp;""""&amp;INDEX(Import_Staging!$B$2:$B$301,$H85)&amp;""&amp;""""&amp;" is not a real date in yyyy-mm-dd format.","date "&amp;TEXT(INDEX(Import_Staging!$M$2:$M$301,$H85),"yyyy-mm-dd")&amp;" is after the as-of date "&amp;TEXT(Config!$B$4,"yyyy-mm-dd")&amp;".","type is empty.","type "&amp;""""&amp;INDEX(Import_Staging!$C$2:$C$301,$H85)&amp;""&amp;""""&amp;" is not a movement type listed on Config.","sku is empty.","SKU "&amp;INDEX(Import_Staging!$D$2:$D$301,$H85)&amp;""&amp;" is not in Products.","supplier_id is empty; receipts need the supplier.","Supplier "&amp;INDEX(Import_Staging!$E$2:$E$301,$H85)&amp;""&amp;" is not in Suppliers.","lot is empty; every movement needs its lot code.","Lot "&amp;INDEX(Import_Staging!$F$2:$F$301,$H85)&amp;""&amp;" is not recorded for "&amp;INDEX(Import_Staging!$D$2:$D$301,$H85)&amp;""&amp;" in Batches.","expiry is empty; receipts need the company-supplied expiry date.","expiry "&amp;""""&amp;INDEX(Import_Staging!$G$2:$G$301,$H85)&amp;""&amp;""""&amp;" is not a real date in yyyy-mm-dd format.","qty is empty.","qty "&amp;""""&amp;INDEX(Import_Staging!$H$2:$H$301,$H85)&amp;""&amp;""""&amp;" is not a valid quantity"&amp;IF(INDEX(Import_Staging!$C$2:$C$301,$H85)&amp;""="",""," for a "&amp;LOWER(INDEX(Import_Staging!$C$2:$C$301,$H85)&amp;""))&amp;".","lot_status is empty; receipts need a lot status.","lot_status "&amp;""""&amp;INDEX(Import_Staging!$I$2:$I$301,$H85)&amp;""&amp;""""&amp;" is not a lot status allowed on receipt (Config).","reason is empty; adjustments need a reason.","source_link is empty; every movement needs a link to its source document.","This row would take recorded stock of "&amp;INDEX(Import_Staging!$D$2:$D$301,$H85)&amp;""&amp;" from "&amp;INDEX(Import_Staging!$R$2:$R$301,$H85)&amp;" to "&amp;INDEX(Import_Staging!$S$2:$S$301,$H85)&amp;"."),$E85))</f>
        <v/>
      </c>
      <c r="G85" s="67" t="str">
        <f>IF($A85="","",INDEX(Config!$F$39:$F$61,$J85))</f>
        <v/>
      </c>
      <c r="H85" s="66" t="str">
        <f>IF($A85="","",MATCH(COUNTIF(Import_Staging!$BS$2:$BS$301,"&lt;"&amp;$A85)+1,Import_Staging!$BR$2:$BR$301,0))</f>
        <v/>
      </c>
      <c r="I85" s="66" t="str">
        <f>IF($A85="","",$A85-INDEX(Import_Staging!$BQ$2:$BQ$301,$H85))</f>
        <v/>
      </c>
      <c r="J85" s="66" t="str">
        <f>IF($A85="","",MATCH($I85,INDEX(Import_Staging!$AT$2:$BP$301,$H85,0),0))</f>
        <v/>
      </c>
    </row>
    <row r="86">
      <c r="A86" s="65" t="str">
        <f>IF(81&lt;=$F$4,81,"")</f>
        <v/>
      </c>
      <c r="B86" s="65" t="str">
        <f>IF($A86="","",$H86+1)</f>
        <v/>
      </c>
      <c r="C86" s="66" t="str">
        <f>IF($A86="","",INDEX(Import_Staging!$A$2:$A$301,$H86)&amp;"")</f>
        <v/>
      </c>
      <c r="D86" s="66" t="str">
        <f>IF($A86="","",INDEX(Config!$C$39:$C$61,$J86))</f>
        <v/>
      </c>
      <c r="E86" s="66" t="str">
        <f>IF($A86="","",INDEX(Config!$D$39:$D$61,$J86))</f>
        <v/>
      </c>
      <c r="F86" s="67" t="str">
        <f>IF($A86="","",IFERROR(CHOOSE($J86,"movement_id is empty. Every row needs a unique movement ID.","movement_id "&amp;INDEX(Import_Staging!$A$2:$A$301,$H86)&amp;""&amp;" appears earlier in this file (row "&amp;IFERROR(MATCH(INDEX(Import_Staging!$A$2:$A$301,$H86),Import_Staging!$A$2:$A$301,0)+1,"?")&amp;"). Only the first row can be posted.","movement_id "&amp;INDEX(Import_Staging!$A$2:$A$301,$H86)&amp;""&amp;" is already in Inventory_Ledger. The ledger row was not changed.","date is empty.","date "&amp;""""&amp;INDEX(Import_Staging!$B$2:$B$301,$H86)&amp;""&amp;""""&amp;" is not a real date in yyyy-mm-dd format.","date "&amp;TEXT(INDEX(Import_Staging!$M$2:$M$301,$H86),"yyyy-mm-dd")&amp;" is after the as-of date "&amp;TEXT(Config!$B$4,"yyyy-mm-dd")&amp;".","type is empty.","type "&amp;""""&amp;INDEX(Import_Staging!$C$2:$C$301,$H86)&amp;""&amp;""""&amp;" is not a movement type listed on Config.","sku is empty.","SKU "&amp;INDEX(Import_Staging!$D$2:$D$301,$H86)&amp;""&amp;" is not in Products.","supplier_id is empty; receipts need the supplier.","Supplier "&amp;INDEX(Import_Staging!$E$2:$E$301,$H86)&amp;""&amp;" is not in Suppliers.","lot is empty; every movement needs its lot code.","Lot "&amp;INDEX(Import_Staging!$F$2:$F$301,$H86)&amp;""&amp;" is not recorded for "&amp;INDEX(Import_Staging!$D$2:$D$301,$H86)&amp;""&amp;" in Batches.","expiry is empty; receipts need the company-supplied expiry date.","expiry "&amp;""""&amp;INDEX(Import_Staging!$G$2:$G$301,$H86)&amp;""&amp;""""&amp;" is not a real date in yyyy-mm-dd format.","qty is empty.","qty "&amp;""""&amp;INDEX(Import_Staging!$H$2:$H$301,$H86)&amp;""&amp;""""&amp;" is not a valid quantity"&amp;IF(INDEX(Import_Staging!$C$2:$C$301,$H86)&amp;""="",""," for a "&amp;LOWER(INDEX(Import_Staging!$C$2:$C$301,$H86)&amp;""))&amp;".","lot_status is empty; receipts need a lot status.","lot_status "&amp;""""&amp;INDEX(Import_Staging!$I$2:$I$301,$H86)&amp;""&amp;""""&amp;" is not a lot status allowed on receipt (Config).","reason is empty; adjustments need a reason.","source_link is empty; every movement needs a link to its source document.","This row would take recorded stock of "&amp;INDEX(Import_Staging!$D$2:$D$301,$H86)&amp;""&amp;" from "&amp;INDEX(Import_Staging!$R$2:$R$301,$H86)&amp;" to "&amp;INDEX(Import_Staging!$S$2:$S$301,$H86)&amp;"."),$E86))</f>
        <v/>
      </c>
      <c r="G86" s="67" t="str">
        <f>IF($A86="","",INDEX(Config!$F$39:$F$61,$J86))</f>
        <v/>
      </c>
      <c r="H86" s="66" t="str">
        <f>IF($A86="","",MATCH(COUNTIF(Import_Staging!$BS$2:$BS$301,"&lt;"&amp;$A86)+1,Import_Staging!$BR$2:$BR$301,0))</f>
        <v/>
      </c>
      <c r="I86" s="66" t="str">
        <f>IF($A86="","",$A86-INDEX(Import_Staging!$BQ$2:$BQ$301,$H86))</f>
        <v/>
      </c>
      <c r="J86" s="66" t="str">
        <f>IF($A86="","",MATCH($I86,INDEX(Import_Staging!$AT$2:$BP$301,$H86,0),0))</f>
        <v/>
      </c>
    </row>
    <row r="87">
      <c r="A87" s="65" t="str">
        <f>IF(82&lt;=$F$4,82,"")</f>
        <v/>
      </c>
      <c r="B87" s="65" t="str">
        <f>IF($A87="","",$H87+1)</f>
        <v/>
      </c>
      <c r="C87" s="66" t="str">
        <f>IF($A87="","",INDEX(Import_Staging!$A$2:$A$301,$H87)&amp;"")</f>
        <v/>
      </c>
      <c r="D87" s="66" t="str">
        <f>IF($A87="","",INDEX(Config!$C$39:$C$61,$J87))</f>
        <v/>
      </c>
      <c r="E87" s="66" t="str">
        <f>IF($A87="","",INDEX(Config!$D$39:$D$61,$J87))</f>
        <v/>
      </c>
      <c r="F87" s="67" t="str">
        <f>IF($A87="","",IFERROR(CHOOSE($J87,"movement_id is empty. Every row needs a unique movement ID.","movement_id "&amp;INDEX(Import_Staging!$A$2:$A$301,$H87)&amp;""&amp;" appears earlier in this file (row "&amp;IFERROR(MATCH(INDEX(Import_Staging!$A$2:$A$301,$H87),Import_Staging!$A$2:$A$301,0)+1,"?")&amp;"). Only the first row can be posted.","movement_id "&amp;INDEX(Import_Staging!$A$2:$A$301,$H87)&amp;""&amp;" is already in Inventory_Ledger. The ledger row was not changed.","date is empty.","date "&amp;""""&amp;INDEX(Import_Staging!$B$2:$B$301,$H87)&amp;""&amp;""""&amp;" is not a real date in yyyy-mm-dd format.","date "&amp;TEXT(INDEX(Import_Staging!$M$2:$M$301,$H87),"yyyy-mm-dd")&amp;" is after the as-of date "&amp;TEXT(Config!$B$4,"yyyy-mm-dd")&amp;".","type is empty.","type "&amp;""""&amp;INDEX(Import_Staging!$C$2:$C$301,$H87)&amp;""&amp;""""&amp;" is not a movement type listed on Config.","sku is empty.","SKU "&amp;INDEX(Import_Staging!$D$2:$D$301,$H87)&amp;""&amp;" is not in Products.","supplier_id is empty; receipts need the supplier.","Supplier "&amp;INDEX(Import_Staging!$E$2:$E$301,$H87)&amp;""&amp;" is not in Suppliers.","lot is empty; every movement needs its lot code.","Lot "&amp;INDEX(Import_Staging!$F$2:$F$301,$H87)&amp;""&amp;" is not recorded for "&amp;INDEX(Import_Staging!$D$2:$D$301,$H87)&amp;""&amp;" in Batches.","expiry is empty; receipts need the company-supplied expiry date.","expiry "&amp;""""&amp;INDEX(Import_Staging!$G$2:$G$301,$H87)&amp;""&amp;""""&amp;" is not a real date in yyyy-mm-dd format.","qty is empty.","qty "&amp;""""&amp;INDEX(Import_Staging!$H$2:$H$301,$H87)&amp;""&amp;""""&amp;" is not a valid quantity"&amp;IF(INDEX(Import_Staging!$C$2:$C$301,$H87)&amp;""="",""," for a "&amp;LOWER(INDEX(Import_Staging!$C$2:$C$301,$H87)&amp;""))&amp;".","lot_status is empty; receipts need a lot status.","lot_status "&amp;""""&amp;INDEX(Import_Staging!$I$2:$I$301,$H87)&amp;""&amp;""""&amp;" is not a lot status allowed on receipt (Config).","reason is empty; adjustments need a reason.","source_link is empty; every movement needs a link to its source document.","This row would take recorded stock of "&amp;INDEX(Import_Staging!$D$2:$D$301,$H87)&amp;""&amp;" from "&amp;INDEX(Import_Staging!$R$2:$R$301,$H87)&amp;" to "&amp;INDEX(Import_Staging!$S$2:$S$301,$H87)&amp;"."),$E87))</f>
        <v/>
      </c>
      <c r="G87" s="67" t="str">
        <f>IF($A87="","",INDEX(Config!$F$39:$F$61,$J87))</f>
        <v/>
      </c>
      <c r="H87" s="66" t="str">
        <f>IF($A87="","",MATCH(COUNTIF(Import_Staging!$BS$2:$BS$301,"&lt;"&amp;$A87)+1,Import_Staging!$BR$2:$BR$301,0))</f>
        <v/>
      </c>
      <c r="I87" s="66" t="str">
        <f>IF($A87="","",$A87-INDEX(Import_Staging!$BQ$2:$BQ$301,$H87))</f>
        <v/>
      </c>
      <c r="J87" s="66" t="str">
        <f>IF($A87="","",MATCH($I87,INDEX(Import_Staging!$AT$2:$BP$301,$H87,0),0))</f>
        <v/>
      </c>
    </row>
    <row r="88">
      <c r="A88" s="65" t="str">
        <f>IF(83&lt;=$F$4,83,"")</f>
        <v/>
      </c>
      <c r="B88" s="65" t="str">
        <f>IF($A88="","",$H88+1)</f>
        <v/>
      </c>
      <c r="C88" s="66" t="str">
        <f>IF($A88="","",INDEX(Import_Staging!$A$2:$A$301,$H88)&amp;"")</f>
        <v/>
      </c>
      <c r="D88" s="66" t="str">
        <f>IF($A88="","",INDEX(Config!$C$39:$C$61,$J88))</f>
        <v/>
      </c>
      <c r="E88" s="66" t="str">
        <f>IF($A88="","",INDEX(Config!$D$39:$D$61,$J88))</f>
        <v/>
      </c>
      <c r="F88" s="67" t="str">
        <f>IF($A88="","",IFERROR(CHOOSE($J88,"movement_id is empty. Every row needs a unique movement ID.","movement_id "&amp;INDEX(Import_Staging!$A$2:$A$301,$H88)&amp;""&amp;" appears earlier in this file (row "&amp;IFERROR(MATCH(INDEX(Import_Staging!$A$2:$A$301,$H88),Import_Staging!$A$2:$A$301,0)+1,"?")&amp;"). Only the first row can be posted.","movement_id "&amp;INDEX(Import_Staging!$A$2:$A$301,$H88)&amp;""&amp;" is already in Inventory_Ledger. The ledger row was not changed.","date is empty.","date "&amp;""""&amp;INDEX(Import_Staging!$B$2:$B$301,$H88)&amp;""&amp;""""&amp;" is not a real date in yyyy-mm-dd format.","date "&amp;TEXT(INDEX(Import_Staging!$M$2:$M$301,$H88),"yyyy-mm-dd")&amp;" is after the as-of date "&amp;TEXT(Config!$B$4,"yyyy-mm-dd")&amp;".","type is empty.","type "&amp;""""&amp;INDEX(Import_Staging!$C$2:$C$301,$H88)&amp;""&amp;""""&amp;" is not a movement type listed on Config.","sku is empty.","SKU "&amp;INDEX(Import_Staging!$D$2:$D$301,$H88)&amp;""&amp;" is not in Products.","supplier_id is empty; receipts need the supplier.","Supplier "&amp;INDEX(Import_Staging!$E$2:$E$301,$H88)&amp;""&amp;" is not in Suppliers.","lot is empty; every movement needs its lot code.","Lot "&amp;INDEX(Import_Staging!$F$2:$F$301,$H88)&amp;""&amp;" is not recorded for "&amp;INDEX(Import_Staging!$D$2:$D$301,$H88)&amp;""&amp;" in Batches.","expiry is empty; receipts need the company-supplied expiry date.","expiry "&amp;""""&amp;INDEX(Import_Staging!$G$2:$G$301,$H88)&amp;""&amp;""""&amp;" is not a real date in yyyy-mm-dd format.","qty is empty.","qty "&amp;""""&amp;INDEX(Import_Staging!$H$2:$H$301,$H88)&amp;""&amp;""""&amp;" is not a valid quantity"&amp;IF(INDEX(Import_Staging!$C$2:$C$301,$H88)&amp;""="",""," for a "&amp;LOWER(INDEX(Import_Staging!$C$2:$C$301,$H88)&amp;""))&amp;".","lot_status is empty; receipts need a lot status.","lot_status "&amp;""""&amp;INDEX(Import_Staging!$I$2:$I$301,$H88)&amp;""&amp;""""&amp;" is not a lot status allowed on receipt (Config).","reason is empty; adjustments need a reason.","source_link is empty; every movement needs a link to its source document.","This row would take recorded stock of "&amp;INDEX(Import_Staging!$D$2:$D$301,$H88)&amp;""&amp;" from "&amp;INDEX(Import_Staging!$R$2:$R$301,$H88)&amp;" to "&amp;INDEX(Import_Staging!$S$2:$S$301,$H88)&amp;"."),$E88))</f>
        <v/>
      </c>
      <c r="G88" s="67" t="str">
        <f>IF($A88="","",INDEX(Config!$F$39:$F$61,$J88))</f>
        <v/>
      </c>
      <c r="H88" s="66" t="str">
        <f>IF($A88="","",MATCH(COUNTIF(Import_Staging!$BS$2:$BS$301,"&lt;"&amp;$A88)+1,Import_Staging!$BR$2:$BR$301,0))</f>
        <v/>
      </c>
      <c r="I88" s="66" t="str">
        <f>IF($A88="","",$A88-INDEX(Import_Staging!$BQ$2:$BQ$301,$H88))</f>
        <v/>
      </c>
      <c r="J88" s="66" t="str">
        <f>IF($A88="","",MATCH($I88,INDEX(Import_Staging!$AT$2:$BP$301,$H88,0),0))</f>
        <v/>
      </c>
    </row>
    <row r="89">
      <c r="A89" s="65" t="str">
        <f>IF(84&lt;=$F$4,84,"")</f>
        <v/>
      </c>
      <c r="B89" s="65" t="str">
        <f>IF($A89="","",$H89+1)</f>
        <v/>
      </c>
      <c r="C89" s="66" t="str">
        <f>IF($A89="","",INDEX(Import_Staging!$A$2:$A$301,$H89)&amp;"")</f>
        <v/>
      </c>
      <c r="D89" s="66" t="str">
        <f>IF($A89="","",INDEX(Config!$C$39:$C$61,$J89))</f>
        <v/>
      </c>
      <c r="E89" s="66" t="str">
        <f>IF($A89="","",INDEX(Config!$D$39:$D$61,$J89))</f>
        <v/>
      </c>
      <c r="F89" s="67" t="str">
        <f>IF($A89="","",IFERROR(CHOOSE($J89,"movement_id is empty. Every row needs a unique movement ID.","movement_id "&amp;INDEX(Import_Staging!$A$2:$A$301,$H89)&amp;""&amp;" appears earlier in this file (row "&amp;IFERROR(MATCH(INDEX(Import_Staging!$A$2:$A$301,$H89),Import_Staging!$A$2:$A$301,0)+1,"?")&amp;"). Only the first row can be posted.","movement_id "&amp;INDEX(Import_Staging!$A$2:$A$301,$H89)&amp;""&amp;" is already in Inventory_Ledger. The ledger row was not changed.","date is empty.","date "&amp;""""&amp;INDEX(Import_Staging!$B$2:$B$301,$H89)&amp;""&amp;""""&amp;" is not a real date in yyyy-mm-dd format.","date "&amp;TEXT(INDEX(Import_Staging!$M$2:$M$301,$H89),"yyyy-mm-dd")&amp;" is after the as-of date "&amp;TEXT(Config!$B$4,"yyyy-mm-dd")&amp;".","type is empty.","type "&amp;""""&amp;INDEX(Import_Staging!$C$2:$C$301,$H89)&amp;""&amp;""""&amp;" is not a movement type listed on Config.","sku is empty.","SKU "&amp;INDEX(Import_Staging!$D$2:$D$301,$H89)&amp;""&amp;" is not in Products.","supplier_id is empty; receipts need the supplier.","Supplier "&amp;INDEX(Import_Staging!$E$2:$E$301,$H89)&amp;""&amp;" is not in Suppliers.","lot is empty; every movement needs its lot code.","Lot "&amp;INDEX(Import_Staging!$F$2:$F$301,$H89)&amp;""&amp;" is not recorded for "&amp;INDEX(Import_Staging!$D$2:$D$301,$H89)&amp;""&amp;" in Batches.","expiry is empty; receipts need the company-supplied expiry date.","expiry "&amp;""""&amp;INDEX(Import_Staging!$G$2:$G$301,$H89)&amp;""&amp;""""&amp;" is not a real date in yyyy-mm-dd format.","qty is empty.","qty "&amp;""""&amp;INDEX(Import_Staging!$H$2:$H$301,$H89)&amp;""&amp;""""&amp;" is not a valid quantity"&amp;IF(INDEX(Import_Staging!$C$2:$C$301,$H89)&amp;""="",""," for a "&amp;LOWER(INDEX(Import_Staging!$C$2:$C$301,$H89)&amp;""))&amp;".","lot_status is empty; receipts need a lot status.","lot_status "&amp;""""&amp;INDEX(Import_Staging!$I$2:$I$301,$H89)&amp;""&amp;""""&amp;" is not a lot status allowed on receipt (Config).","reason is empty; adjustments need a reason.","source_link is empty; every movement needs a link to its source document.","This row would take recorded stock of "&amp;INDEX(Import_Staging!$D$2:$D$301,$H89)&amp;""&amp;" from "&amp;INDEX(Import_Staging!$R$2:$R$301,$H89)&amp;" to "&amp;INDEX(Import_Staging!$S$2:$S$301,$H89)&amp;"."),$E89))</f>
        <v/>
      </c>
      <c r="G89" s="67" t="str">
        <f>IF($A89="","",INDEX(Config!$F$39:$F$61,$J89))</f>
        <v/>
      </c>
      <c r="H89" s="66" t="str">
        <f>IF($A89="","",MATCH(COUNTIF(Import_Staging!$BS$2:$BS$301,"&lt;"&amp;$A89)+1,Import_Staging!$BR$2:$BR$301,0))</f>
        <v/>
      </c>
      <c r="I89" s="66" t="str">
        <f>IF($A89="","",$A89-INDEX(Import_Staging!$BQ$2:$BQ$301,$H89))</f>
        <v/>
      </c>
      <c r="J89" s="66" t="str">
        <f>IF($A89="","",MATCH($I89,INDEX(Import_Staging!$AT$2:$BP$301,$H89,0),0))</f>
        <v/>
      </c>
    </row>
    <row r="90">
      <c r="A90" s="65" t="str">
        <f>IF(85&lt;=$F$4,85,"")</f>
        <v/>
      </c>
      <c r="B90" s="65" t="str">
        <f>IF($A90="","",$H90+1)</f>
        <v/>
      </c>
      <c r="C90" s="66" t="str">
        <f>IF($A90="","",INDEX(Import_Staging!$A$2:$A$301,$H90)&amp;"")</f>
        <v/>
      </c>
      <c r="D90" s="66" t="str">
        <f>IF($A90="","",INDEX(Config!$C$39:$C$61,$J90))</f>
        <v/>
      </c>
      <c r="E90" s="66" t="str">
        <f>IF($A90="","",INDEX(Config!$D$39:$D$61,$J90))</f>
        <v/>
      </c>
      <c r="F90" s="67" t="str">
        <f>IF($A90="","",IFERROR(CHOOSE($J90,"movement_id is empty. Every row needs a unique movement ID.","movement_id "&amp;INDEX(Import_Staging!$A$2:$A$301,$H90)&amp;""&amp;" appears earlier in this file (row "&amp;IFERROR(MATCH(INDEX(Import_Staging!$A$2:$A$301,$H90),Import_Staging!$A$2:$A$301,0)+1,"?")&amp;"). Only the first row can be posted.","movement_id "&amp;INDEX(Import_Staging!$A$2:$A$301,$H90)&amp;""&amp;" is already in Inventory_Ledger. The ledger row was not changed.","date is empty.","date "&amp;""""&amp;INDEX(Import_Staging!$B$2:$B$301,$H90)&amp;""&amp;""""&amp;" is not a real date in yyyy-mm-dd format.","date "&amp;TEXT(INDEX(Import_Staging!$M$2:$M$301,$H90),"yyyy-mm-dd")&amp;" is after the as-of date "&amp;TEXT(Config!$B$4,"yyyy-mm-dd")&amp;".","type is empty.","type "&amp;""""&amp;INDEX(Import_Staging!$C$2:$C$301,$H90)&amp;""&amp;""""&amp;" is not a movement type listed on Config.","sku is empty.","SKU "&amp;INDEX(Import_Staging!$D$2:$D$301,$H90)&amp;""&amp;" is not in Products.","supplier_id is empty; receipts need the supplier.","Supplier "&amp;INDEX(Import_Staging!$E$2:$E$301,$H90)&amp;""&amp;" is not in Suppliers.","lot is empty; every movement needs its lot code.","Lot "&amp;INDEX(Import_Staging!$F$2:$F$301,$H90)&amp;""&amp;" is not recorded for "&amp;INDEX(Import_Staging!$D$2:$D$301,$H90)&amp;""&amp;" in Batches.","expiry is empty; receipts need the company-supplied expiry date.","expiry "&amp;""""&amp;INDEX(Import_Staging!$G$2:$G$301,$H90)&amp;""&amp;""""&amp;" is not a real date in yyyy-mm-dd format.","qty is empty.","qty "&amp;""""&amp;INDEX(Import_Staging!$H$2:$H$301,$H90)&amp;""&amp;""""&amp;" is not a valid quantity"&amp;IF(INDEX(Import_Staging!$C$2:$C$301,$H90)&amp;""="",""," for a "&amp;LOWER(INDEX(Import_Staging!$C$2:$C$301,$H90)&amp;""))&amp;".","lot_status is empty; receipts need a lot status.","lot_status "&amp;""""&amp;INDEX(Import_Staging!$I$2:$I$301,$H90)&amp;""&amp;""""&amp;" is not a lot status allowed on receipt (Config).","reason is empty; adjustments need a reason.","source_link is empty; every movement needs a link to its source document.","This row would take recorded stock of "&amp;INDEX(Import_Staging!$D$2:$D$301,$H90)&amp;""&amp;" from "&amp;INDEX(Import_Staging!$R$2:$R$301,$H90)&amp;" to "&amp;INDEX(Import_Staging!$S$2:$S$301,$H90)&amp;"."),$E90))</f>
        <v/>
      </c>
      <c r="G90" s="67" t="str">
        <f>IF($A90="","",INDEX(Config!$F$39:$F$61,$J90))</f>
        <v/>
      </c>
      <c r="H90" s="66" t="str">
        <f>IF($A90="","",MATCH(COUNTIF(Import_Staging!$BS$2:$BS$301,"&lt;"&amp;$A90)+1,Import_Staging!$BR$2:$BR$301,0))</f>
        <v/>
      </c>
      <c r="I90" s="66" t="str">
        <f>IF($A90="","",$A90-INDEX(Import_Staging!$BQ$2:$BQ$301,$H90))</f>
        <v/>
      </c>
      <c r="J90" s="66" t="str">
        <f>IF($A90="","",MATCH($I90,INDEX(Import_Staging!$AT$2:$BP$301,$H90,0),0))</f>
        <v/>
      </c>
    </row>
    <row r="91">
      <c r="A91" s="65" t="str">
        <f>IF(86&lt;=$F$4,86,"")</f>
        <v/>
      </c>
      <c r="B91" s="65" t="str">
        <f>IF($A91="","",$H91+1)</f>
        <v/>
      </c>
      <c r="C91" s="66" t="str">
        <f>IF($A91="","",INDEX(Import_Staging!$A$2:$A$301,$H91)&amp;"")</f>
        <v/>
      </c>
      <c r="D91" s="66" t="str">
        <f>IF($A91="","",INDEX(Config!$C$39:$C$61,$J91))</f>
        <v/>
      </c>
      <c r="E91" s="66" t="str">
        <f>IF($A91="","",INDEX(Config!$D$39:$D$61,$J91))</f>
        <v/>
      </c>
      <c r="F91" s="67" t="str">
        <f>IF($A91="","",IFERROR(CHOOSE($J91,"movement_id is empty. Every row needs a unique movement ID.","movement_id "&amp;INDEX(Import_Staging!$A$2:$A$301,$H91)&amp;""&amp;" appears earlier in this file (row "&amp;IFERROR(MATCH(INDEX(Import_Staging!$A$2:$A$301,$H91),Import_Staging!$A$2:$A$301,0)+1,"?")&amp;"). Only the first row can be posted.","movement_id "&amp;INDEX(Import_Staging!$A$2:$A$301,$H91)&amp;""&amp;" is already in Inventory_Ledger. The ledger row was not changed.","date is empty.","date "&amp;""""&amp;INDEX(Import_Staging!$B$2:$B$301,$H91)&amp;""&amp;""""&amp;" is not a real date in yyyy-mm-dd format.","date "&amp;TEXT(INDEX(Import_Staging!$M$2:$M$301,$H91),"yyyy-mm-dd")&amp;" is after the as-of date "&amp;TEXT(Config!$B$4,"yyyy-mm-dd")&amp;".","type is empty.","type "&amp;""""&amp;INDEX(Import_Staging!$C$2:$C$301,$H91)&amp;""&amp;""""&amp;" is not a movement type listed on Config.","sku is empty.","SKU "&amp;INDEX(Import_Staging!$D$2:$D$301,$H91)&amp;""&amp;" is not in Products.","supplier_id is empty; receipts need the supplier.","Supplier "&amp;INDEX(Import_Staging!$E$2:$E$301,$H91)&amp;""&amp;" is not in Suppliers.","lot is empty; every movement needs its lot code.","Lot "&amp;INDEX(Import_Staging!$F$2:$F$301,$H91)&amp;""&amp;" is not recorded for "&amp;INDEX(Import_Staging!$D$2:$D$301,$H91)&amp;""&amp;" in Batches.","expiry is empty; receipts need the company-supplied expiry date.","expiry "&amp;""""&amp;INDEX(Import_Staging!$G$2:$G$301,$H91)&amp;""&amp;""""&amp;" is not a real date in yyyy-mm-dd format.","qty is empty.","qty "&amp;""""&amp;INDEX(Import_Staging!$H$2:$H$301,$H91)&amp;""&amp;""""&amp;" is not a valid quantity"&amp;IF(INDEX(Import_Staging!$C$2:$C$301,$H91)&amp;""="",""," for a "&amp;LOWER(INDEX(Import_Staging!$C$2:$C$301,$H91)&amp;""))&amp;".","lot_status is empty; receipts need a lot status.","lot_status "&amp;""""&amp;INDEX(Import_Staging!$I$2:$I$301,$H91)&amp;""&amp;""""&amp;" is not a lot status allowed on receipt (Config).","reason is empty; adjustments need a reason.","source_link is empty; every movement needs a link to its source document.","This row would take recorded stock of "&amp;INDEX(Import_Staging!$D$2:$D$301,$H91)&amp;""&amp;" from "&amp;INDEX(Import_Staging!$R$2:$R$301,$H91)&amp;" to "&amp;INDEX(Import_Staging!$S$2:$S$301,$H91)&amp;"."),$E91))</f>
        <v/>
      </c>
      <c r="G91" s="67" t="str">
        <f>IF($A91="","",INDEX(Config!$F$39:$F$61,$J91))</f>
        <v/>
      </c>
      <c r="H91" s="66" t="str">
        <f>IF($A91="","",MATCH(COUNTIF(Import_Staging!$BS$2:$BS$301,"&lt;"&amp;$A91)+1,Import_Staging!$BR$2:$BR$301,0))</f>
        <v/>
      </c>
      <c r="I91" s="66" t="str">
        <f>IF($A91="","",$A91-INDEX(Import_Staging!$BQ$2:$BQ$301,$H91))</f>
        <v/>
      </c>
      <c r="J91" s="66" t="str">
        <f>IF($A91="","",MATCH($I91,INDEX(Import_Staging!$AT$2:$BP$301,$H91,0),0))</f>
        <v/>
      </c>
    </row>
    <row r="92">
      <c r="A92" s="65" t="str">
        <f>IF(87&lt;=$F$4,87,"")</f>
        <v/>
      </c>
      <c r="B92" s="65" t="str">
        <f>IF($A92="","",$H92+1)</f>
        <v/>
      </c>
      <c r="C92" s="66" t="str">
        <f>IF($A92="","",INDEX(Import_Staging!$A$2:$A$301,$H92)&amp;"")</f>
        <v/>
      </c>
      <c r="D92" s="66" t="str">
        <f>IF($A92="","",INDEX(Config!$C$39:$C$61,$J92))</f>
        <v/>
      </c>
      <c r="E92" s="66" t="str">
        <f>IF($A92="","",INDEX(Config!$D$39:$D$61,$J92))</f>
        <v/>
      </c>
      <c r="F92" s="67" t="str">
        <f>IF($A92="","",IFERROR(CHOOSE($J92,"movement_id is empty. Every row needs a unique movement ID.","movement_id "&amp;INDEX(Import_Staging!$A$2:$A$301,$H92)&amp;""&amp;" appears earlier in this file (row "&amp;IFERROR(MATCH(INDEX(Import_Staging!$A$2:$A$301,$H92),Import_Staging!$A$2:$A$301,0)+1,"?")&amp;"). Only the first row can be posted.","movement_id "&amp;INDEX(Import_Staging!$A$2:$A$301,$H92)&amp;""&amp;" is already in Inventory_Ledger. The ledger row was not changed.","date is empty.","date "&amp;""""&amp;INDEX(Import_Staging!$B$2:$B$301,$H92)&amp;""&amp;""""&amp;" is not a real date in yyyy-mm-dd format.","date "&amp;TEXT(INDEX(Import_Staging!$M$2:$M$301,$H92),"yyyy-mm-dd")&amp;" is after the as-of date "&amp;TEXT(Config!$B$4,"yyyy-mm-dd")&amp;".","type is empty.","type "&amp;""""&amp;INDEX(Import_Staging!$C$2:$C$301,$H92)&amp;""&amp;""""&amp;" is not a movement type listed on Config.","sku is empty.","SKU "&amp;INDEX(Import_Staging!$D$2:$D$301,$H92)&amp;""&amp;" is not in Products.","supplier_id is empty; receipts need the supplier.","Supplier "&amp;INDEX(Import_Staging!$E$2:$E$301,$H92)&amp;""&amp;" is not in Suppliers.","lot is empty; every movement needs its lot code.","Lot "&amp;INDEX(Import_Staging!$F$2:$F$301,$H92)&amp;""&amp;" is not recorded for "&amp;INDEX(Import_Staging!$D$2:$D$301,$H92)&amp;""&amp;" in Batches.","expiry is empty; receipts need the company-supplied expiry date.","expiry "&amp;""""&amp;INDEX(Import_Staging!$G$2:$G$301,$H92)&amp;""&amp;""""&amp;" is not a real date in yyyy-mm-dd format.","qty is empty.","qty "&amp;""""&amp;INDEX(Import_Staging!$H$2:$H$301,$H92)&amp;""&amp;""""&amp;" is not a valid quantity"&amp;IF(INDEX(Import_Staging!$C$2:$C$301,$H92)&amp;""="",""," for a "&amp;LOWER(INDEX(Import_Staging!$C$2:$C$301,$H92)&amp;""))&amp;".","lot_status is empty; receipts need a lot status.","lot_status "&amp;""""&amp;INDEX(Import_Staging!$I$2:$I$301,$H92)&amp;""&amp;""""&amp;" is not a lot status allowed on receipt (Config).","reason is empty; adjustments need a reason.","source_link is empty; every movement needs a link to its source document.","This row would take recorded stock of "&amp;INDEX(Import_Staging!$D$2:$D$301,$H92)&amp;""&amp;" from "&amp;INDEX(Import_Staging!$R$2:$R$301,$H92)&amp;" to "&amp;INDEX(Import_Staging!$S$2:$S$301,$H92)&amp;"."),$E92))</f>
        <v/>
      </c>
      <c r="G92" s="67" t="str">
        <f>IF($A92="","",INDEX(Config!$F$39:$F$61,$J92))</f>
        <v/>
      </c>
      <c r="H92" s="66" t="str">
        <f>IF($A92="","",MATCH(COUNTIF(Import_Staging!$BS$2:$BS$301,"&lt;"&amp;$A92)+1,Import_Staging!$BR$2:$BR$301,0))</f>
        <v/>
      </c>
      <c r="I92" s="66" t="str">
        <f>IF($A92="","",$A92-INDEX(Import_Staging!$BQ$2:$BQ$301,$H92))</f>
        <v/>
      </c>
      <c r="J92" s="66" t="str">
        <f>IF($A92="","",MATCH($I92,INDEX(Import_Staging!$AT$2:$BP$301,$H92,0),0))</f>
        <v/>
      </c>
    </row>
    <row r="93">
      <c r="A93" s="65" t="str">
        <f>IF(88&lt;=$F$4,88,"")</f>
        <v/>
      </c>
      <c r="B93" s="65" t="str">
        <f>IF($A93="","",$H93+1)</f>
        <v/>
      </c>
      <c r="C93" s="66" t="str">
        <f>IF($A93="","",INDEX(Import_Staging!$A$2:$A$301,$H93)&amp;"")</f>
        <v/>
      </c>
      <c r="D93" s="66" t="str">
        <f>IF($A93="","",INDEX(Config!$C$39:$C$61,$J93))</f>
        <v/>
      </c>
      <c r="E93" s="66" t="str">
        <f>IF($A93="","",INDEX(Config!$D$39:$D$61,$J93))</f>
        <v/>
      </c>
      <c r="F93" s="67" t="str">
        <f>IF($A93="","",IFERROR(CHOOSE($J93,"movement_id is empty. Every row needs a unique movement ID.","movement_id "&amp;INDEX(Import_Staging!$A$2:$A$301,$H93)&amp;""&amp;" appears earlier in this file (row "&amp;IFERROR(MATCH(INDEX(Import_Staging!$A$2:$A$301,$H93),Import_Staging!$A$2:$A$301,0)+1,"?")&amp;"). Only the first row can be posted.","movement_id "&amp;INDEX(Import_Staging!$A$2:$A$301,$H93)&amp;""&amp;" is already in Inventory_Ledger. The ledger row was not changed.","date is empty.","date "&amp;""""&amp;INDEX(Import_Staging!$B$2:$B$301,$H93)&amp;""&amp;""""&amp;" is not a real date in yyyy-mm-dd format.","date "&amp;TEXT(INDEX(Import_Staging!$M$2:$M$301,$H93),"yyyy-mm-dd")&amp;" is after the as-of date "&amp;TEXT(Config!$B$4,"yyyy-mm-dd")&amp;".","type is empty.","type "&amp;""""&amp;INDEX(Import_Staging!$C$2:$C$301,$H93)&amp;""&amp;""""&amp;" is not a movement type listed on Config.","sku is empty.","SKU "&amp;INDEX(Import_Staging!$D$2:$D$301,$H93)&amp;""&amp;" is not in Products.","supplier_id is empty; receipts need the supplier.","Supplier "&amp;INDEX(Import_Staging!$E$2:$E$301,$H93)&amp;""&amp;" is not in Suppliers.","lot is empty; every movement needs its lot code.","Lot "&amp;INDEX(Import_Staging!$F$2:$F$301,$H93)&amp;""&amp;" is not recorded for "&amp;INDEX(Import_Staging!$D$2:$D$301,$H93)&amp;""&amp;" in Batches.","expiry is empty; receipts need the company-supplied expiry date.","expiry "&amp;""""&amp;INDEX(Import_Staging!$G$2:$G$301,$H93)&amp;""&amp;""""&amp;" is not a real date in yyyy-mm-dd format.","qty is empty.","qty "&amp;""""&amp;INDEX(Import_Staging!$H$2:$H$301,$H93)&amp;""&amp;""""&amp;" is not a valid quantity"&amp;IF(INDEX(Import_Staging!$C$2:$C$301,$H93)&amp;""="",""," for a "&amp;LOWER(INDEX(Import_Staging!$C$2:$C$301,$H93)&amp;""))&amp;".","lot_status is empty; receipts need a lot status.","lot_status "&amp;""""&amp;INDEX(Import_Staging!$I$2:$I$301,$H93)&amp;""&amp;""""&amp;" is not a lot status allowed on receipt (Config).","reason is empty; adjustments need a reason.","source_link is empty; every movement needs a link to its source document.","This row would take recorded stock of "&amp;INDEX(Import_Staging!$D$2:$D$301,$H93)&amp;""&amp;" from "&amp;INDEX(Import_Staging!$R$2:$R$301,$H93)&amp;" to "&amp;INDEX(Import_Staging!$S$2:$S$301,$H93)&amp;"."),$E93))</f>
        <v/>
      </c>
      <c r="G93" s="67" t="str">
        <f>IF($A93="","",INDEX(Config!$F$39:$F$61,$J93))</f>
        <v/>
      </c>
      <c r="H93" s="66" t="str">
        <f>IF($A93="","",MATCH(COUNTIF(Import_Staging!$BS$2:$BS$301,"&lt;"&amp;$A93)+1,Import_Staging!$BR$2:$BR$301,0))</f>
        <v/>
      </c>
      <c r="I93" s="66" t="str">
        <f>IF($A93="","",$A93-INDEX(Import_Staging!$BQ$2:$BQ$301,$H93))</f>
        <v/>
      </c>
      <c r="J93" s="66" t="str">
        <f>IF($A93="","",MATCH($I93,INDEX(Import_Staging!$AT$2:$BP$301,$H93,0),0))</f>
        <v/>
      </c>
    </row>
    <row r="94">
      <c r="A94" s="65" t="str">
        <f>IF(89&lt;=$F$4,89,"")</f>
        <v/>
      </c>
      <c r="B94" s="65" t="str">
        <f>IF($A94="","",$H94+1)</f>
        <v/>
      </c>
      <c r="C94" s="66" t="str">
        <f>IF($A94="","",INDEX(Import_Staging!$A$2:$A$301,$H94)&amp;"")</f>
        <v/>
      </c>
      <c r="D94" s="66" t="str">
        <f>IF($A94="","",INDEX(Config!$C$39:$C$61,$J94))</f>
        <v/>
      </c>
      <c r="E94" s="66" t="str">
        <f>IF($A94="","",INDEX(Config!$D$39:$D$61,$J94))</f>
        <v/>
      </c>
      <c r="F94" s="67" t="str">
        <f>IF($A94="","",IFERROR(CHOOSE($J94,"movement_id is empty. Every row needs a unique movement ID.","movement_id "&amp;INDEX(Import_Staging!$A$2:$A$301,$H94)&amp;""&amp;" appears earlier in this file (row "&amp;IFERROR(MATCH(INDEX(Import_Staging!$A$2:$A$301,$H94),Import_Staging!$A$2:$A$301,0)+1,"?")&amp;"). Only the first row can be posted.","movement_id "&amp;INDEX(Import_Staging!$A$2:$A$301,$H94)&amp;""&amp;" is already in Inventory_Ledger. The ledger row was not changed.","date is empty.","date "&amp;""""&amp;INDEX(Import_Staging!$B$2:$B$301,$H94)&amp;""&amp;""""&amp;" is not a real date in yyyy-mm-dd format.","date "&amp;TEXT(INDEX(Import_Staging!$M$2:$M$301,$H94),"yyyy-mm-dd")&amp;" is after the as-of date "&amp;TEXT(Config!$B$4,"yyyy-mm-dd")&amp;".","type is empty.","type "&amp;""""&amp;INDEX(Import_Staging!$C$2:$C$301,$H94)&amp;""&amp;""""&amp;" is not a movement type listed on Config.","sku is empty.","SKU "&amp;INDEX(Import_Staging!$D$2:$D$301,$H94)&amp;""&amp;" is not in Products.","supplier_id is empty; receipts need the supplier.","Supplier "&amp;INDEX(Import_Staging!$E$2:$E$301,$H94)&amp;""&amp;" is not in Suppliers.","lot is empty; every movement needs its lot code.","Lot "&amp;INDEX(Import_Staging!$F$2:$F$301,$H94)&amp;""&amp;" is not recorded for "&amp;INDEX(Import_Staging!$D$2:$D$301,$H94)&amp;""&amp;" in Batches.","expiry is empty; receipts need the company-supplied expiry date.","expiry "&amp;""""&amp;INDEX(Import_Staging!$G$2:$G$301,$H94)&amp;""&amp;""""&amp;" is not a real date in yyyy-mm-dd format.","qty is empty.","qty "&amp;""""&amp;INDEX(Import_Staging!$H$2:$H$301,$H94)&amp;""&amp;""""&amp;" is not a valid quantity"&amp;IF(INDEX(Import_Staging!$C$2:$C$301,$H94)&amp;""="",""," for a "&amp;LOWER(INDEX(Import_Staging!$C$2:$C$301,$H94)&amp;""))&amp;".","lot_status is empty; receipts need a lot status.","lot_status "&amp;""""&amp;INDEX(Import_Staging!$I$2:$I$301,$H94)&amp;""&amp;""""&amp;" is not a lot status allowed on receipt (Config).","reason is empty; adjustments need a reason.","source_link is empty; every movement needs a link to its source document.","This row would take recorded stock of "&amp;INDEX(Import_Staging!$D$2:$D$301,$H94)&amp;""&amp;" from "&amp;INDEX(Import_Staging!$R$2:$R$301,$H94)&amp;" to "&amp;INDEX(Import_Staging!$S$2:$S$301,$H94)&amp;"."),$E94))</f>
        <v/>
      </c>
      <c r="G94" s="67" t="str">
        <f>IF($A94="","",INDEX(Config!$F$39:$F$61,$J94))</f>
        <v/>
      </c>
      <c r="H94" s="66" t="str">
        <f>IF($A94="","",MATCH(COUNTIF(Import_Staging!$BS$2:$BS$301,"&lt;"&amp;$A94)+1,Import_Staging!$BR$2:$BR$301,0))</f>
        <v/>
      </c>
      <c r="I94" s="66" t="str">
        <f>IF($A94="","",$A94-INDEX(Import_Staging!$BQ$2:$BQ$301,$H94))</f>
        <v/>
      </c>
      <c r="J94" s="66" t="str">
        <f>IF($A94="","",MATCH($I94,INDEX(Import_Staging!$AT$2:$BP$301,$H94,0),0))</f>
        <v/>
      </c>
    </row>
    <row r="95">
      <c r="A95" s="65" t="str">
        <f>IF(90&lt;=$F$4,90,"")</f>
        <v/>
      </c>
      <c r="B95" s="65" t="str">
        <f>IF($A95="","",$H95+1)</f>
        <v/>
      </c>
      <c r="C95" s="66" t="str">
        <f>IF($A95="","",INDEX(Import_Staging!$A$2:$A$301,$H95)&amp;"")</f>
        <v/>
      </c>
      <c r="D95" s="66" t="str">
        <f>IF($A95="","",INDEX(Config!$C$39:$C$61,$J95))</f>
        <v/>
      </c>
      <c r="E95" s="66" t="str">
        <f>IF($A95="","",INDEX(Config!$D$39:$D$61,$J95))</f>
        <v/>
      </c>
      <c r="F95" s="67" t="str">
        <f>IF($A95="","",IFERROR(CHOOSE($J95,"movement_id is empty. Every row needs a unique movement ID.","movement_id "&amp;INDEX(Import_Staging!$A$2:$A$301,$H95)&amp;""&amp;" appears earlier in this file (row "&amp;IFERROR(MATCH(INDEX(Import_Staging!$A$2:$A$301,$H95),Import_Staging!$A$2:$A$301,0)+1,"?")&amp;"). Only the first row can be posted.","movement_id "&amp;INDEX(Import_Staging!$A$2:$A$301,$H95)&amp;""&amp;" is already in Inventory_Ledger. The ledger row was not changed.","date is empty.","date "&amp;""""&amp;INDEX(Import_Staging!$B$2:$B$301,$H95)&amp;""&amp;""""&amp;" is not a real date in yyyy-mm-dd format.","date "&amp;TEXT(INDEX(Import_Staging!$M$2:$M$301,$H95),"yyyy-mm-dd")&amp;" is after the as-of date "&amp;TEXT(Config!$B$4,"yyyy-mm-dd")&amp;".","type is empty.","type "&amp;""""&amp;INDEX(Import_Staging!$C$2:$C$301,$H95)&amp;""&amp;""""&amp;" is not a movement type listed on Config.","sku is empty.","SKU "&amp;INDEX(Import_Staging!$D$2:$D$301,$H95)&amp;""&amp;" is not in Products.","supplier_id is empty; receipts need the supplier.","Supplier "&amp;INDEX(Import_Staging!$E$2:$E$301,$H95)&amp;""&amp;" is not in Suppliers.","lot is empty; every movement needs its lot code.","Lot "&amp;INDEX(Import_Staging!$F$2:$F$301,$H95)&amp;""&amp;" is not recorded for "&amp;INDEX(Import_Staging!$D$2:$D$301,$H95)&amp;""&amp;" in Batches.","expiry is empty; receipts need the company-supplied expiry date.","expiry "&amp;""""&amp;INDEX(Import_Staging!$G$2:$G$301,$H95)&amp;""&amp;""""&amp;" is not a real date in yyyy-mm-dd format.","qty is empty.","qty "&amp;""""&amp;INDEX(Import_Staging!$H$2:$H$301,$H95)&amp;""&amp;""""&amp;" is not a valid quantity"&amp;IF(INDEX(Import_Staging!$C$2:$C$301,$H95)&amp;""="",""," for a "&amp;LOWER(INDEX(Import_Staging!$C$2:$C$301,$H95)&amp;""))&amp;".","lot_status is empty; receipts need a lot status.","lot_status "&amp;""""&amp;INDEX(Import_Staging!$I$2:$I$301,$H95)&amp;""&amp;""""&amp;" is not a lot status allowed on receipt (Config).","reason is empty; adjustments need a reason.","source_link is empty; every movement needs a link to its source document.","This row would take recorded stock of "&amp;INDEX(Import_Staging!$D$2:$D$301,$H95)&amp;""&amp;" from "&amp;INDEX(Import_Staging!$R$2:$R$301,$H95)&amp;" to "&amp;INDEX(Import_Staging!$S$2:$S$301,$H95)&amp;"."),$E95))</f>
        <v/>
      </c>
      <c r="G95" s="67" t="str">
        <f>IF($A95="","",INDEX(Config!$F$39:$F$61,$J95))</f>
        <v/>
      </c>
      <c r="H95" s="66" t="str">
        <f>IF($A95="","",MATCH(COUNTIF(Import_Staging!$BS$2:$BS$301,"&lt;"&amp;$A95)+1,Import_Staging!$BR$2:$BR$301,0))</f>
        <v/>
      </c>
      <c r="I95" s="66" t="str">
        <f>IF($A95="","",$A95-INDEX(Import_Staging!$BQ$2:$BQ$301,$H95))</f>
        <v/>
      </c>
      <c r="J95" s="66" t="str">
        <f>IF($A95="","",MATCH($I95,INDEX(Import_Staging!$AT$2:$BP$301,$H95,0),0))</f>
        <v/>
      </c>
    </row>
    <row r="96">
      <c r="A96" s="65" t="str">
        <f>IF(91&lt;=$F$4,91,"")</f>
        <v/>
      </c>
      <c r="B96" s="65" t="str">
        <f>IF($A96="","",$H96+1)</f>
        <v/>
      </c>
      <c r="C96" s="66" t="str">
        <f>IF($A96="","",INDEX(Import_Staging!$A$2:$A$301,$H96)&amp;"")</f>
        <v/>
      </c>
      <c r="D96" s="66" t="str">
        <f>IF($A96="","",INDEX(Config!$C$39:$C$61,$J96))</f>
        <v/>
      </c>
      <c r="E96" s="66" t="str">
        <f>IF($A96="","",INDEX(Config!$D$39:$D$61,$J96))</f>
        <v/>
      </c>
      <c r="F96" s="67" t="str">
        <f>IF($A96="","",IFERROR(CHOOSE($J96,"movement_id is empty. Every row needs a unique movement ID.","movement_id "&amp;INDEX(Import_Staging!$A$2:$A$301,$H96)&amp;""&amp;" appears earlier in this file (row "&amp;IFERROR(MATCH(INDEX(Import_Staging!$A$2:$A$301,$H96),Import_Staging!$A$2:$A$301,0)+1,"?")&amp;"). Only the first row can be posted.","movement_id "&amp;INDEX(Import_Staging!$A$2:$A$301,$H96)&amp;""&amp;" is already in Inventory_Ledger. The ledger row was not changed.","date is empty.","date "&amp;""""&amp;INDEX(Import_Staging!$B$2:$B$301,$H96)&amp;""&amp;""""&amp;" is not a real date in yyyy-mm-dd format.","date "&amp;TEXT(INDEX(Import_Staging!$M$2:$M$301,$H96),"yyyy-mm-dd")&amp;" is after the as-of date "&amp;TEXT(Config!$B$4,"yyyy-mm-dd")&amp;".","type is empty.","type "&amp;""""&amp;INDEX(Import_Staging!$C$2:$C$301,$H96)&amp;""&amp;""""&amp;" is not a movement type listed on Config.","sku is empty.","SKU "&amp;INDEX(Import_Staging!$D$2:$D$301,$H96)&amp;""&amp;" is not in Products.","supplier_id is empty; receipts need the supplier.","Supplier "&amp;INDEX(Import_Staging!$E$2:$E$301,$H96)&amp;""&amp;" is not in Suppliers.","lot is empty; every movement needs its lot code.","Lot "&amp;INDEX(Import_Staging!$F$2:$F$301,$H96)&amp;""&amp;" is not recorded for "&amp;INDEX(Import_Staging!$D$2:$D$301,$H96)&amp;""&amp;" in Batches.","expiry is empty; receipts need the company-supplied expiry date.","expiry "&amp;""""&amp;INDEX(Import_Staging!$G$2:$G$301,$H96)&amp;""&amp;""""&amp;" is not a real date in yyyy-mm-dd format.","qty is empty.","qty "&amp;""""&amp;INDEX(Import_Staging!$H$2:$H$301,$H96)&amp;""&amp;""""&amp;" is not a valid quantity"&amp;IF(INDEX(Import_Staging!$C$2:$C$301,$H96)&amp;""="",""," for a "&amp;LOWER(INDEX(Import_Staging!$C$2:$C$301,$H96)&amp;""))&amp;".","lot_status is empty; receipts need a lot status.","lot_status "&amp;""""&amp;INDEX(Import_Staging!$I$2:$I$301,$H96)&amp;""&amp;""""&amp;" is not a lot status allowed on receipt (Config).","reason is empty; adjustments need a reason.","source_link is empty; every movement needs a link to its source document.","This row would take recorded stock of "&amp;INDEX(Import_Staging!$D$2:$D$301,$H96)&amp;""&amp;" from "&amp;INDEX(Import_Staging!$R$2:$R$301,$H96)&amp;" to "&amp;INDEX(Import_Staging!$S$2:$S$301,$H96)&amp;"."),$E96))</f>
        <v/>
      </c>
      <c r="G96" s="67" t="str">
        <f>IF($A96="","",INDEX(Config!$F$39:$F$61,$J96))</f>
        <v/>
      </c>
      <c r="H96" s="66" t="str">
        <f>IF($A96="","",MATCH(COUNTIF(Import_Staging!$BS$2:$BS$301,"&lt;"&amp;$A96)+1,Import_Staging!$BR$2:$BR$301,0))</f>
        <v/>
      </c>
      <c r="I96" s="66" t="str">
        <f>IF($A96="","",$A96-INDEX(Import_Staging!$BQ$2:$BQ$301,$H96))</f>
        <v/>
      </c>
      <c r="J96" s="66" t="str">
        <f>IF($A96="","",MATCH($I96,INDEX(Import_Staging!$AT$2:$BP$301,$H96,0),0))</f>
        <v/>
      </c>
    </row>
    <row r="97">
      <c r="A97" s="65" t="str">
        <f>IF(92&lt;=$F$4,92,"")</f>
        <v/>
      </c>
      <c r="B97" s="65" t="str">
        <f>IF($A97="","",$H97+1)</f>
        <v/>
      </c>
      <c r="C97" s="66" t="str">
        <f>IF($A97="","",INDEX(Import_Staging!$A$2:$A$301,$H97)&amp;"")</f>
        <v/>
      </c>
      <c r="D97" s="66" t="str">
        <f>IF($A97="","",INDEX(Config!$C$39:$C$61,$J97))</f>
        <v/>
      </c>
      <c r="E97" s="66" t="str">
        <f>IF($A97="","",INDEX(Config!$D$39:$D$61,$J97))</f>
        <v/>
      </c>
      <c r="F97" s="67" t="str">
        <f>IF($A97="","",IFERROR(CHOOSE($J97,"movement_id is empty. Every row needs a unique movement ID.","movement_id "&amp;INDEX(Import_Staging!$A$2:$A$301,$H97)&amp;""&amp;" appears earlier in this file (row "&amp;IFERROR(MATCH(INDEX(Import_Staging!$A$2:$A$301,$H97),Import_Staging!$A$2:$A$301,0)+1,"?")&amp;"). Only the first row can be posted.","movement_id "&amp;INDEX(Import_Staging!$A$2:$A$301,$H97)&amp;""&amp;" is already in Inventory_Ledger. The ledger row was not changed.","date is empty.","date "&amp;""""&amp;INDEX(Import_Staging!$B$2:$B$301,$H97)&amp;""&amp;""""&amp;" is not a real date in yyyy-mm-dd format.","date "&amp;TEXT(INDEX(Import_Staging!$M$2:$M$301,$H97),"yyyy-mm-dd")&amp;" is after the as-of date "&amp;TEXT(Config!$B$4,"yyyy-mm-dd")&amp;".","type is empty.","type "&amp;""""&amp;INDEX(Import_Staging!$C$2:$C$301,$H97)&amp;""&amp;""""&amp;" is not a movement type listed on Config.","sku is empty.","SKU "&amp;INDEX(Import_Staging!$D$2:$D$301,$H97)&amp;""&amp;" is not in Products.","supplier_id is empty; receipts need the supplier.","Supplier "&amp;INDEX(Import_Staging!$E$2:$E$301,$H97)&amp;""&amp;" is not in Suppliers.","lot is empty; every movement needs its lot code.","Lot "&amp;INDEX(Import_Staging!$F$2:$F$301,$H97)&amp;""&amp;" is not recorded for "&amp;INDEX(Import_Staging!$D$2:$D$301,$H97)&amp;""&amp;" in Batches.","expiry is empty; receipts need the company-supplied expiry date.","expiry "&amp;""""&amp;INDEX(Import_Staging!$G$2:$G$301,$H97)&amp;""&amp;""""&amp;" is not a real date in yyyy-mm-dd format.","qty is empty.","qty "&amp;""""&amp;INDEX(Import_Staging!$H$2:$H$301,$H97)&amp;""&amp;""""&amp;" is not a valid quantity"&amp;IF(INDEX(Import_Staging!$C$2:$C$301,$H97)&amp;""="",""," for a "&amp;LOWER(INDEX(Import_Staging!$C$2:$C$301,$H97)&amp;""))&amp;".","lot_status is empty; receipts need a lot status.","lot_status "&amp;""""&amp;INDEX(Import_Staging!$I$2:$I$301,$H97)&amp;""&amp;""""&amp;" is not a lot status allowed on receipt (Config).","reason is empty; adjustments need a reason.","source_link is empty; every movement needs a link to its source document.","This row would take recorded stock of "&amp;INDEX(Import_Staging!$D$2:$D$301,$H97)&amp;""&amp;" from "&amp;INDEX(Import_Staging!$R$2:$R$301,$H97)&amp;" to "&amp;INDEX(Import_Staging!$S$2:$S$301,$H97)&amp;"."),$E97))</f>
        <v/>
      </c>
      <c r="G97" s="67" t="str">
        <f>IF($A97="","",INDEX(Config!$F$39:$F$61,$J97))</f>
        <v/>
      </c>
      <c r="H97" s="66" t="str">
        <f>IF($A97="","",MATCH(COUNTIF(Import_Staging!$BS$2:$BS$301,"&lt;"&amp;$A97)+1,Import_Staging!$BR$2:$BR$301,0))</f>
        <v/>
      </c>
      <c r="I97" s="66" t="str">
        <f>IF($A97="","",$A97-INDEX(Import_Staging!$BQ$2:$BQ$301,$H97))</f>
        <v/>
      </c>
      <c r="J97" s="66" t="str">
        <f>IF($A97="","",MATCH($I97,INDEX(Import_Staging!$AT$2:$BP$301,$H97,0),0))</f>
        <v/>
      </c>
    </row>
    <row r="98">
      <c r="A98" s="65" t="str">
        <f>IF(93&lt;=$F$4,93,"")</f>
        <v/>
      </c>
      <c r="B98" s="65" t="str">
        <f>IF($A98="","",$H98+1)</f>
        <v/>
      </c>
      <c r="C98" s="66" t="str">
        <f>IF($A98="","",INDEX(Import_Staging!$A$2:$A$301,$H98)&amp;"")</f>
        <v/>
      </c>
      <c r="D98" s="66" t="str">
        <f>IF($A98="","",INDEX(Config!$C$39:$C$61,$J98))</f>
        <v/>
      </c>
      <c r="E98" s="66" t="str">
        <f>IF($A98="","",INDEX(Config!$D$39:$D$61,$J98))</f>
        <v/>
      </c>
      <c r="F98" s="67" t="str">
        <f>IF($A98="","",IFERROR(CHOOSE($J98,"movement_id is empty. Every row needs a unique movement ID.","movement_id "&amp;INDEX(Import_Staging!$A$2:$A$301,$H98)&amp;""&amp;" appears earlier in this file (row "&amp;IFERROR(MATCH(INDEX(Import_Staging!$A$2:$A$301,$H98),Import_Staging!$A$2:$A$301,0)+1,"?")&amp;"). Only the first row can be posted.","movement_id "&amp;INDEX(Import_Staging!$A$2:$A$301,$H98)&amp;""&amp;" is already in Inventory_Ledger. The ledger row was not changed.","date is empty.","date "&amp;""""&amp;INDEX(Import_Staging!$B$2:$B$301,$H98)&amp;""&amp;""""&amp;" is not a real date in yyyy-mm-dd format.","date "&amp;TEXT(INDEX(Import_Staging!$M$2:$M$301,$H98),"yyyy-mm-dd")&amp;" is after the as-of date "&amp;TEXT(Config!$B$4,"yyyy-mm-dd")&amp;".","type is empty.","type "&amp;""""&amp;INDEX(Import_Staging!$C$2:$C$301,$H98)&amp;""&amp;""""&amp;" is not a movement type listed on Config.","sku is empty.","SKU "&amp;INDEX(Import_Staging!$D$2:$D$301,$H98)&amp;""&amp;" is not in Products.","supplier_id is empty; receipts need the supplier.","Supplier "&amp;INDEX(Import_Staging!$E$2:$E$301,$H98)&amp;""&amp;" is not in Suppliers.","lot is empty; every movement needs its lot code.","Lot "&amp;INDEX(Import_Staging!$F$2:$F$301,$H98)&amp;""&amp;" is not recorded for "&amp;INDEX(Import_Staging!$D$2:$D$301,$H98)&amp;""&amp;" in Batches.","expiry is empty; receipts need the company-supplied expiry date.","expiry "&amp;""""&amp;INDEX(Import_Staging!$G$2:$G$301,$H98)&amp;""&amp;""""&amp;" is not a real date in yyyy-mm-dd format.","qty is empty.","qty "&amp;""""&amp;INDEX(Import_Staging!$H$2:$H$301,$H98)&amp;""&amp;""""&amp;" is not a valid quantity"&amp;IF(INDEX(Import_Staging!$C$2:$C$301,$H98)&amp;""="",""," for a "&amp;LOWER(INDEX(Import_Staging!$C$2:$C$301,$H98)&amp;""))&amp;".","lot_status is empty; receipts need a lot status.","lot_status "&amp;""""&amp;INDEX(Import_Staging!$I$2:$I$301,$H98)&amp;""&amp;""""&amp;" is not a lot status allowed on receipt (Config).","reason is empty; adjustments need a reason.","source_link is empty; every movement needs a link to its source document.","This row would take recorded stock of "&amp;INDEX(Import_Staging!$D$2:$D$301,$H98)&amp;""&amp;" from "&amp;INDEX(Import_Staging!$R$2:$R$301,$H98)&amp;" to "&amp;INDEX(Import_Staging!$S$2:$S$301,$H98)&amp;"."),$E98))</f>
        <v/>
      </c>
      <c r="G98" s="67" t="str">
        <f>IF($A98="","",INDEX(Config!$F$39:$F$61,$J98))</f>
        <v/>
      </c>
      <c r="H98" s="66" t="str">
        <f>IF($A98="","",MATCH(COUNTIF(Import_Staging!$BS$2:$BS$301,"&lt;"&amp;$A98)+1,Import_Staging!$BR$2:$BR$301,0))</f>
        <v/>
      </c>
      <c r="I98" s="66" t="str">
        <f>IF($A98="","",$A98-INDEX(Import_Staging!$BQ$2:$BQ$301,$H98))</f>
        <v/>
      </c>
      <c r="J98" s="66" t="str">
        <f>IF($A98="","",MATCH($I98,INDEX(Import_Staging!$AT$2:$BP$301,$H98,0),0))</f>
        <v/>
      </c>
    </row>
    <row r="99">
      <c r="A99" s="65" t="str">
        <f>IF(94&lt;=$F$4,94,"")</f>
        <v/>
      </c>
      <c r="B99" s="65" t="str">
        <f>IF($A99="","",$H99+1)</f>
        <v/>
      </c>
      <c r="C99" s="66" t="str">
        <f>IF($A99="","",INDEX(Import_Staging!$A$2:$A$301,$H99)&amp;"")</f>
        <v/>
      </c>
      <c r="D99" s="66" t="str">
        <f>IF($A99="","",INDEX(Config!$C$39:$C$61,$J99))</f>
        <v/>
      </c>
      <c r="E99" s="66" t="str">
        <f>IF($A99="","",INDEX(Config!$D$39:$D$61,$J99))</f>
        <v/>
      </c>
      <c r="F99" s="67" t="str">
        <f>IF($A99="","",IFERROR(CHOOSE($J99,"movement_id is empty. Every row needs a unique movement ID.","movement_id "&amp;INDEX(Import_Staging!$A$2:$A$301,$H99)&amp;""&amp;" appears earlier in this file (row "&amp;IFERROR(MATCH(INDEX(Import_Staging!$A$2:$A$301,$H99),Import_Staging!$A$2:$A$301,0)+1,"?")&amp;"). Only the first row can be posted.","movement_id "&amp;INDEX(Import_Staging!$A$2:$A$301,$H99)&amp;""&amp;" is already in Inventory_Ledger. The ledger row was not changed.","date is empty.","date "&amp;""""&amp;INDEX(Import_Staging!$B$2:$B$301,$H99)&amp;""&amp;""""&amp;" is not a real date in yyyy-mm-dd format.","date "&amp;TEXT(INDEX(Import_Staging!$M$2:$M$301,$H99),"yyyy-mm-dd")&amp;" is after the as-of date "&amp;TEXT(Config!$B$4,"yyyy-mm-dd")&amp;".","type is empty.","type "&amp;""""&amp;INDEX(Import_Staging!$C$2:$C$301,$H99)&amp;""&amp;""""&amp;" is not a movement type listed on Config.","sku is empty.","SKU "&amp;INDEX(Import_Staging!$D$2:$D$301,$H99)&amp;""&amp;" is not in Products.","supplier_id is empty; receipts need the supplier.","Supplier "&amp;INDEX(Import_Staging!$E$2:$E$301,$H99)&amp;""&amp;" is not in Suppliers.","lot is empty; every movement needs its lot code.","Lot "&amp;INDEX(Import_Staging!$F$2:$F$301,$H99)&amp;""&amp;" is not recorded for "&amp;INDEX(Import_Staging!$D$2:$D$301,$H99)&amp;""&amp;" in Batches.","expiry is empty; receipts need the company-supplied expiry date.","expiry "&amp;""""&amp;INDEX(Import_Staging!$G$2:$G$301,$H99)&amp;""&amp;""""&amp;" is not a real date in yyyy-mm-dd format.","qty is empty.","qty "&amp;""""&amp;INDEX(Import_Staging!$H$2:$H$301,$H99)&amp;""&amp;""""&amp;" is not a valid quantity"&amp;IF(INDEX(Import_Staging!$C$2:$C$301,$H99)&amp;""="",""," for a "&amp;LOWER(INDEX(Import_Staging!$C$2:$C$301,$H99)&amp;""))&amp;".","lot_status is empty; receipts need a lot status.","lot_status "&amp;""""&amp;INDEX(Import_Staging!$I$2:$I$301,$H99)&amp;""&amp;""""&amp;" is not a lot status allowed on receipt (Config).","reason is empty; adjustments need a reason.","source_link is empty; every movement needs a link to its source document.","This row would take recorded stock of "&amp;INDEX(Import_Staging!$D$2:$D$301,$H99)&amp;""&amp;" from "&amp;INDEX(Import_Staging!$R$2:$R$301,$H99)&amp;" to "&amp;INDEX(Import_Staging!$S$2:$S$301,$H99)&amp;"."),$E99))</f>
        <v/>
      </c>
      <c r="G99" s="67" t="str">
        <f>IF($A99="","",INDEX(Config!$F$39:$F$61,$J99))</f>
        <v/>
      </c>
      <c r="H99" s="66" t="str">
        <f>IF($A99="","",MATCH(COUNTIF(Import_Staging!$BS$2:$BS$301,"&lt;"&amp;$A99)+1,Import_Staging!$BR$2:$BR$301,0))</f>
        <v/>
      </c>
      <c r="I99" s="66" t="str">
        <f>IF($A99="","",$A99-INDEX(Import_Staging!$BQ$2:$BQ$301,$H99))</f>
        <v/>
      </c>
      <c r="J99" s="66" t="str">
        <f>IF($A99="","",MATCH($I99,INDEX(Import_Staging!$AT$2:$BP$301,$H99,0),0))</f>
        <v/>
      </c>
    </row>
    <row r="100">
      <c r="A100" s="65" t="str">
        <f>IF(95&lt;=$F$4,95,"")</f>
        <v/>
      </c>
      <c r="B100" s="65" t="str">
        <f>IF($A100="","",$H100+1)</f>
        <v/>
      </c>
      <c r="C100" s="66" t="str">
        <f>IF($A100="","",INDEX(Import_Staging!$A$2:$A$301,$H100)&amp;"")</f>
        <v/>
      </c>
      <c r="D100" s="66" t="str">
        <f>IF($A100="","",INDEX(Config!$C$39:$C$61,$J100))</f>
        <v/>
      </c>
      <c r="E100" s="66" t="str">
        <f>IF($A100="","",INDEX(Config!$D$39:$D$61,$J100))</f>
        <v/>
      </c>
      <c r="F100" s="67" t="str">
        <f>IF($A100="","",IFERROR(CHOOSE($J100,"movement_id is empty. Every row needs a unique movement ID.","movement_id "&amp;INDEX(Import_Staging!$A$2:$A$301,$H100)&amp;""&amp;" appears earlier in this file (row "&amp;IFERROR(MATCH(INDEX(Import_Staging!$A$2:$A$301,$H100),Import_Staging!$A$2:$A$301,0)+1,"?")&amp;"). Only the first row can be posted.","movement_id "&amp;INDEX(Import_Staging!$A$2:$A$301,$H100)&amp;""&amp;" is already in Inventory_Ledger. The ledger row was not changed.","date is empty.","date "&amp;""""&amp;INDEX(Import_Staging!$B$2:$B$301,$H100)&amp;""&amp;""""&amp;" is not a real date in yyyy-mm-dd format.","date "&amp;TEXT(INDEX(Import_Staging!$M$2:$M$301,$H100),"yyyy-mm-dd")&amp;" is after the as-of date "&amp;TEXT(Config!$B$4,"yyyy-mm-dd")&amp;".","type is empty.","type "&amp;""""&amp;INDEX(Import_Staging!$C$2:$C$301,$H100)&amp;""&amp;""""&amp;" is not a movement type listed on Config.","sku is empty.","SKU "&amp;INDEX(Import_Staging!$D$2:$D$301,$H100)&amp;""&amp;" is not in Products.","supplier_id is empty; receipts need the supplier.","Supplier "&amp;INDEX(Import_Staging!$E$2:$E$301,$H100)&amp;""&amp;" is not in Suppliers.","lot is empty; every movement needs its lot code.","Lot "&amp;INDEX(Import_Staging!$F$2:$F$301,$H100)&amp;""&amp;" is not recorded for "&amp;INDEX(Import_Staging!$D$2:$D$301,$H100)&amp;""&amp;" in Batches.","expiry is empty; receipts need the company-supplied expiry date.","expiry "&amp;""""&amp;INDEX(Import_Staging!$G$2:$G$301,$H100)&amp;""&amp;""""&amp;" is not a real date in yyyy-mm-dd format.","qty is empty.","qty "&amp;""""&amp;INDEX(Import_Staging!$H$2:$H$301,$H100)&amp;""&amp;""""&amp;" is not a valid quantity"&amp;IF(INDEX(Import_Staging!$C$2:$C$301,$H100)&amp;""="",""," for a "&amp;LOWER(INDEX(Import_Staging!$C$2:$C$301,$H100)&amp;""))&amp;".","lot_status is empty; receipts need a lot status.","lot_status "&amp;""""&amp;INDEX(Import_Staging!$I$2:$I$301,$H100)&amp;""&amp;""""&amp;" is not a lot status allowed on receipt (Config).","reason is empty; adjustments need a reason.","source_link is empty; every movement needs a link to its source document.","This row would take recorded stock of "&amp;INDEX(Import_Staging!$D$2:$D$301,$H100)&amp;""&amp;" from "&amp;INDEX(Import_Staging!$R$2:$R$301,$H100)&amp;" to "&amp;INDEX(Import_Staging!$S$2:$S$301,$H100)&amp;"."),$E100))</f>
        <v/>
      </c>
      <c r="G100" s="67" t="str">
        <f>IF($A100="","",INDEX(Config!$F$39:$F$61,$J100))</f>
        <v/>
      </c>
      <c r="H100" s="66" t="str">
        <f>IF($A100="","",MATCH(COUNTIF(Import_Staging!$BS$2:$BS$301,"&lt;"&amp;$A100)+1,Import_Staging!$BR$2:$BR$301,0))</f>
        <v/>
      </c>
      <c r="I100" s="66" t="str">
        <f>IF($A100="","",$A100-INDEX(Import_Staging!$BQ$2:$BQ$301,$H100))</f>
        <v/>
      </c>
      <c r="J100" s="66" t="str">
        <f>IF($A100="","",MATCH($I100,INDEX(Import_Staging!$AT$2:$BP$301,$H100,0),0))</f>
        <v/>
      </c>
    </row>
    <row r="101">
      <c r="A101" s="65" t="str">
        <f>IF(96&lt;=$F$4,96,"")</f>
        <v/>
      </c>
      <c r="B101" s="65" t="str">
        <f>IF($A101="","",$H101+1)</f>
        <v/>
      </c>
      <c r="C101" s="66" t="str">
        <f>IF($A101="","",INDEX(Import_Staging!$A$2:$A$301,$H101)&amp;"")</f>
        <v/>
      </c>
      <c r="D101" s="66" t="str">
        <f>IF($A101="","",INDEX(Config!$C$39:$C$61,$J101))</f>
        <v/>
      </c>
      <c r="E101" s="66" t="str">
        <f>IF($A101="","",INDEX(Config!$D$39:$D$61,$J101))</f>
        <v/>
      </c>
      <c r="F101" s="67" t="str">
        <f>IF($A101="","",IFERROR(CHOOSE($J101,"movement_id is empty. Every row needs a unique movement ID.","movement_id "&amp;INDEX(Import_Staging!$A$2:$A$301,$H101)&amp;""&amp;" appears earlier in this file (row "&amp;IFERROR(MATCH(INDEX(Import_Staging!$A$2:$A$301,$H101),Import_Staging!$A$2:$A$301,0)+1,"?")&amp;"). Only the first row can be posted.","movement_id "&amp;INDEX(Import_Staging!$A$2:$A$301,$H101)&amp;""&amp;" is already in Inventory_Ledger. The ledger row was not changed.","date is empty.","date "&amp;""""&amp;INDEX(Import_Staging!$B$2:$B$301,$H101)&amp;""&amp;""""&amp;" is not a real date in yyyy-mm-dd format.","date "&amp;TEXT(INDEX(Import_Staging!$M$2:$M$301,$H101),"yyyy-mm-dd")&amp;" is after the as-of date "&amp;TEXT(Config!$B$4,"yyyy-mm-dd")&amp;".","type is empty.","type "&amp;""""&amp;INDEX(Import_Staging!$C$2:$C$301,$H101)&amp;""&amp;""""&amp;" is not a movement type listed on Config.","sku is empty.","SKU "&amp;INDEX(Import_Staging!$D$2:$D$301,$H101)&amp;""&amp;" is not in Products.","supplier_id is empty; receipts need the supplier.","Supplier "&amp;INDEX(Import_Staging!$E$2:$E$301,$H101)&amp;""&amp;" is not in Suppliers.","lot is empty; every movement needs its lot code.","Lot "&amp;INDEX(Import_Staging!$F$2:$F$301,$H101)&amp;""&amp;" is not recorded for "&amp;INDEX(Import_Staging!$D$2:$D$301,$H101)&amp;""&amp;" in Batches.","expiry is empty; receipts need the company-supplied expiry date.","expiry "&amp;""""&amp;INDEX(Import_Staging!$G$2:$G$301,$H101)&amp;""&amp;""""&amp;" is not a real date in yyyy-mm-dd format.","qty is empty.","qty "&amp;""""&amp;INDEX(Import_Staging!$H$2:$H$301,$H101)&amp;""&amp;""""&amp;" is not a valid quantity"&amp;IF(INDEX(Import_Staging!$C$2:$C$301,$H101)&amp;""="",""," for a "&amp;LOWER(INDEX(Import_Staging!$C$2:$C$301,$H101)&amp;""))&amp;".","lot_status is empty; receipts need a lot status.","lot_status "&amp;""""&amp;INDEX(Import_Staging!$I$2:$I$301,$H101)&amp;""&amp;""""&amp;" is not a lot status allowed on receipt (Config).","reason is empty; adjustments need a reason.","source_link is empty; every movement needs a link to its source document.","This row would take recorded stock of "&amp;INDEX(Import_Staging!$D$2:$D$301,$H101)&amp;""&amp;" from "&amp;INDEX(Import_Staging!$R$2:$R$301,$H101)&amp;" to "&amp;INDEX(Import_Staging!$S$2:$S$301,$H101)&amp;"."),$E101))</f>
        <v/>
      </c>
      <c r="G101" s="67" t="str">
        <f>IF($A101="","",INDEX(Config!$F$39:$F$61,$J101))</f>
        <v/>
      </c>
      <c r="H101" s="66" t="str">
        <f>IF($A101="","",MATCH(COUNTIF(Import_Staging!$BS$2:$BS$301,"&lt;"&amp;$A101)+1,Import_Staging!$BR$2:$BR$301,0))</f>
        <v/>
      </c>
      <c r="I101" s="66" t="str">
        <f>IF($A101="","",$A101-INDEX(Import_Staging!$BQ$2:$BQ$301,$H101))</f>
        <v/>
      </c>
      <c r="J101" s="66" t="str">
        <f>IF($A101="","",MATCH($I101,INDEX(Import_Staging!$AT$2:$BP$301,$H101,0),0))</f>
        <v/>
      </c>
    </row>
    <row r="102">
      <c r="A102" s="65" t="str">
        <f>IF(97&lt;=$F$4,97,"")</f>
        <v/>
      </c>
      <c r="B102" s="65" t="str">
        <f>IF($A102="","",$H102+1)</f>
        <v/>
      </c>
      <c r="C102" s="66" t="str">
        <f>IF($A102="","",INDEX(Import_Staging!$A$2:$A$301,$H102)&amp;"")</f>
        <v/>
      </c>
      <c r="D102" s="66" t="str">
        <f>IF($A102="","",INDEX(Config!$C$39:$C$61,$J102))</f>
        <v/>
      </c>
      <c r="E102" s="66" t="str">
        <f>IF($A102="","",INDEX(Config!$D$39:$D$61,$J102))</f>
        <v/>
      </c>
      <c r="F102" s="67" t="str">
        <f>IF($A102="","",IFERROR(CHOOSE($J102,"movement_id is empty. Every row needs a unique movement ID.","movement_id "&amp;INDEX(Import_Staging!$A$2:$A$301,$H102)&amp;""&amp;" appears earlier in this file (row "&amp;IFERROR(MATCH(INDEX(Import_Staging!$A$2:$A$301,$H102),Import_Staging!$A$2:$A$301,0)+1,"?")&amp;"). Only the first row can be posted.","movement_id "&amp;INDEX(Import_Staging!$A$2:$A$301,$H102)&amp;""&amp;" is already in Inventory_Ledger. The ledger row was not changed.","date is empty.","date "&amp;""""&amp;INDEX(Import_Staging!$B$2:$B$301,$H102)&amp;""&amp;""""&amp;" is not a real date in yyyy-mm-dd format.","date "&amp;TEXT(INDEX(Import_Staging!$M$2:$M$301,$H102),"yyyy-mm-dd")&amp;" is after the as-of date "&amp;TEXT(Config!$B$4,"yyyy-mm-dd")&amp;".","type is empty.","type "&amp;""""&amp;INDEX(Import_Staging!$C$2:$C$301,$H102)&amp;""&amp;""""&amp;" is not a movement type listed on Config.","sku is empty.","SKU "&amp;INDEX(Import_Staging!$D$2:$D$301,$H102)&amp;""&amp;" is not in Products.","supplier_id is empty; receipts need the supplier.","Supplier "&amp;INDEX(Import_Staging!$E$2:$E$301,$H102)&amp;""&amp;" is not in Suppliers.","lot is empty; every movement needs its lot code.","Lot "&amp;INDEX(Import_Staging!$F$2:$F$301,$H102)&amp;""&amp;" is not recorded for "&amp;INDEX(Import_Staging!$D$2:$D$301,$H102)&amp;""&amp;" in Batches.","expiry is empty; receipts need the company-supplied expiry date.","expiry "&amp;""""&amp;INDEX(Import_Staging!$G$2:$G$301,$H102)&amp;""&amp;""""&amp;" is not a real date in yyyy-mm-dd format.","qty is empty.","qty "&amp;""""&amp;INDEX(Import_Staging!$H$2:$H$301,$H102)&amp;""&amp;""""&amp;" is not a valid quantity"&amp;IF(INDEX(Import_Staging!$C$2:$C$301,$H102)&amp;""="",""," for a "&amp;LOWER(INDEX(Import_Staging!$C$2:$C$301,$H102)&amp;""))&amp;".","lot_status is empty; receipts need a lot status.","lot_status "&amp;""""&amp;INDEX(Import_Staging!$I$2:$I$301,$H102)&amp;""&amp;""""&amp;" is not a lot status allowed on receipt (Config).","reason is empty; adjustments need a reason.","source_link is empty; every movement needs a link to its source document.","This row would take recorded stock of "&amp;INDEX(Import_Staging!$D$2:$D$301,$H102)&amp;""&amp;" from "&amp;INDEX(Import_Staging!$R$2:$R$301,$H102)&amp;" to "&amp;INDEX(Import_Staging!$S$2:$S$301,$H102)&amp;"."),$E102))</f>
        <v/>
      </c>
      <c r="G102" s="67" t="str">
        <f>IF($A102="","",INDEX(Config!$F$39:$F$61,$J102))</f>
        <v/>
      </c>
      <c r="H102" s="66" t="str">
        <f>IF($A102="","",MATCH(COUNTIF(Import_Staging!$BS$2:$BS$301,"&lt;"&amp;$A102)+1,Import_Staging!$BR$2:$BR$301,0))</f>
        <v/>
      </c>
      <c r="I102" s="66" t="str">
        <f>IF($A102="","",$A102-INDEX(Import_Staging!$BQ$2:$BQ$301,$H102))</f>
        <v/>
      </c>
      <c r="J102" s="66" t="str">
        <f>IF($A102="","",MATCH($I102,INDEX(Import_Staging!$AT$2:$BP$301,$H102,0),0))</f>
        <v/>
      </c>
    </row>
    <row r="103">
      <c r="A103" s="65" t="str">
        <f>IF(98&lt;=$F$4,98,"")</f>
        <v/>
      </c>
      <c r="B103" s="65" t="str">
        <f>IF($A103="","",$H103+1)</f>
        <v/>
      </c>
      <c r="C103" s="66" t="str">
        <f>IF($A103="","",INDEX(Import_Staging!$A$2:$A$301,$H103)&amp;"")</f>
        <v/>
      </c>
      <c r="D103" s="66" t="str">
        <f>IF($A103="","",INDEX(Config!$C$39:$C$61,$J103))</f>
        <v/>
      </c>
      <c r="E103" s="66" t="str">
        <f>IF($A103="","",INDEX(Config!$D$39:$D$61,$J103))</f>
        <v/>
      </c>
      <c r="F103" s="67" t="str">
        <f>IF($A103="","",IFERROR(CHOOSE($J103,"movement_id is empty. Every row needs a unique movement ID.","movement_id "&amp;INDEX(Import_Staging!$A$2:$A$301,$H103)&amp;""&amp;" appears earlier in this file (row "&amp;IFERROR(MATCH(INDEX(Import_Staging!$A$2:$A$301,$H103),Import_Staging!$A$2:$A$301,0)+1,"?")&amp;"). Only the first row can be posted.","movement_id "&amp;INDEX(Import_Staging!$A$2:$A$301,$H103)&amp;""&amp;" is already in Inventory_Ledger. The ledger row was not changed.","date is empty.","date "&amp;""""&amp;INDEX(Import_Staging!$B$2:$B$301,$H103)&amp;""&amp;""""&amp;" is not a real date in yyyy-mm-dd format.","date "&amp;TEXT(INDEX(Import_Staging!$M$2:$M$301,$H103),"yyyy-mm-dd")&amp;" is after the as-of date "&amp;TEXT(Config!$B$4,"yyyy-mm-dd")&amp;".","type is empty.","type "&amp;""""&amp;INDEX(Import_Staging!$C$2:$C$301,$H103)&amp;""&amp;""""&amp;" is not a movement type listed on Config.","sku is empty.","SKU "&amp;INDEX(Import_Staging!$D$2:$D$301,$H103)&amp;""&amp;" is not in Products.","supplier_id is empty; receipts need the supplier.","Supplier "&amp;INDEX(Import_Staging!$E$2:$E$301,$H103)&amp;""&amp;" is not in Suppliers.","lot is empty; every movement needs its lot code.","Lot "&amp;INDEX(Import_Staging!$F$2:$F$301,$H103)&amp;""&amp;" is not recorded for "&amp;INDEX(Import_Staging!$D$2:$D$301,$H103)&amp;""&amp;" in Batches.","expiry is empty; receipts need the company-supplied expiry date.","expiry "&amp;""""&amp;INDEX(Import_Staging!$G$2:$G$301,$H103)&amp;""&amp;""""&amp;" is not a real date in yyyy-mm-dd format.","qty is empty.","qty "&amp;""""&amp;INDEX(Import_Staging!$H$2:$H$301,$H103)&amp;""&amp;""""&amp;" is not a valid quantity"&amp;IF(INDEX(Import_Staging!$C$2:$C$301,$H103)&amp;""="",""," for a "&amp;LOWER(INDEX(Import_Staging!$C$2:$C$301,$H103)&amp;""))&amp;".","lot_status is empty; receipts need a lot status.","lot_status "&amp;""""&amp;INDEX(Import_Staging!$I$2:$I$301,$H103)&amp;""&amp;""""&amp;" is not a lot status allowed on receipt (Config).","reason is empty; adjustments need a reason.","source_link is empty; every movement needs a link to its source document.","This row would take recorded stock of "&amp;INDEX(Import_Staging!$D$2:$D$301,$H103)&amp;""&amp;" from "&amp;INDEX(Import_Staging!$R$2:$R$301,$H103)&amp;" to "&amp;INDEX(Import_Staging!$S$2:$S$301,$H103)&amp;"."),$E103))</f>
        <v/>
      </c>
      <c r="G103" s="67" t="str">
        <f>IF($A103="","",INDEX(Config!$F$39:$F$61,$J103))</f>
        <v/>
      </c>
      <c r="H103" s="66" t="str">
        <f>IF($A103="","",MATCH(COUNTIF(Import_Staging!$BS$2:$BS$301,"&lt;"&amp;$A103)+1,Import_Staging!$BR$2:$BR$301,0))</f>
        <v/>
      </c>
      <c r="I103" s="66" t="str">
        <f>IF($A103="","",$A103-INDEX(Import_Staging!$BQ$2:$BQ$301,$H103))</f>
        <v/>
      </c>
      <c r="J103" s="66" t="str">
        <f>IF($A103="","",MATCH($I103,INDEX(Import_Staging!$AT$2:$BP$301,$H103,0),0))</f>
        <v/>
      </c>
    </row>
    <row r="104">
      <c r="A104" s="65" t="str">
        <f>IF(99&lt;=$F$4,99,"")</f>
        <v/>
      </c>
      <c r="B104" s="65" t="str">
        <f>IF($A104="","",$H104+1)</f>
        <v/>
      </c>
      <c r="C104" s="66" t="str">
        <f>IF($A104="","",INDEX(Import_Staging!$A$2:$A$301,$H104)&amp;"")</f>
        <v/>
      </c>
      <c r="D104" s="66" t="str">
        <f>IF($A104="","",INDEX(Config!$C$39:$C$61,$J104))</f>
        <v/>
      </c>
      <c r="E104" s="66" t="str">
        <f>IF($A104="","",INDEX(Config!$D$39:$D$61,$J104))</f>
        <v/>
      </c>
      <c r="F104" s="67" t="str">
        <f>IF($A104="","",IFERROR(CHOOSE($J104,"movement_id is empty. Every row needs a unique movement ID.","movement_id "&amp;INDEX(Import_Staging!$A$2:$A$301,$H104)&amp;""&amp;" appears earlier in this file (row "&amp;IFERROR(MATCH(INDEX(Import_Staging!$A$2:$A$301,$H104),Import_Staging!$A$2:$A$301,0)+1,"?")&amp;"). Only the first row can be posted.","movement_id "&amp;INDEX(Import_Staging!$A$2:$A$301,$H104)&amp;""&amp;" is already in Inventory_Ledger. The ledger row was not changed.","date is empty.","date "&amp;""""&amp;INDEX(Import_Staging!$B$2:$B$301,$H104)&amp;""&amp;""""&amp;" is not a real date in yyyy-mm-dd format.","date "&amp;TEXT(INDEX(Import_Staging!$M$2:$M$301,$H104),"yyyy-mm-dd")&amp;" is after the as-of date "&amp;TEXT(Config!$B$4,"yyyy-mm-dd")&amp;".","type is empty.","type "&amp;""""&amp;INDEX(Import_Staging!$C$2:$C$301,$H104)&amp;""&amp;""""&amp;" is not a movement type listed on Config.","sku is empty.","SKU "&amp;INDEX(Import_Staging!$D$2:$D$301,$H104)&amp;""&amp;" is not in Products.","supplier_id is empty; receipts need the supplier.","Supplier "&amp;INDEX(Import_Staging!$E$2:$E$301,$H104)&amp;""&amp;" is not in Suppliers.","lot is empty; every movement needs its lot code.","Lot "&amp;INDEX(Import_Staging!$F$2:$F$301,$H104)&amp;""&amp;" is not recorded for "&amp;INDEX(Import_Staging!$D$2:$D$301,$H104)&amp;""&amp;" in Batches.","expiry is empty; receipts need the company-supplied expiry date.","expiry "&amp;""""&amp;INDEX(Import_Staging!$G$2:$G$301,$H104)&amp;""&amp;""""&amp;" is not a real date in yyyy-mm-dd format.","qty is empty.","qty "&amp;""""&amp;INDEX(Import_Staging!$H$2:$H$301,$H104)&amp;""&amp;""""&amp;" is not a valid quantity"&amp;IF(INDEX(Import_Staging!$C$2:$C$301,$H104)&amp;""="",""," for a "&amp;LOWER(INDEX(Import_Staging!$C$2:$C$301,$H104)&amp;""))&amp;".","lot_status is empty; receipts need a lot status.","lot_status "&amp;""""&amp;INDEX(Import_Staging!$I$2:$I$301,$H104)&amp;""&amp;""""&amp;" is not a lot status allowed on receipt (Config).","reason is empty; adjustments need a reason.","source_link is empty; every movement needs a link to its source document.","This row would take recorded stock of "&amp;INDEX(Import_Staging!$D$2:$D$301,$H104)&amp;""&amp;" from "&amp;INDEX(Import_Staging!$R$2:$R$301,$H104)&amp;" to "&amp;INDEX(Import_Staging!$S$2:$S$301,$H104)&amp;"."),$E104))</f>
        <v/>
      </c>
      <c r="G104" s="67" t="str">
        <f>IF($A104="","",INDEX(Config!$F$39:$F$61,$J104))</f>
        <v/>
      </c>
      <c r="H104" s="66" t="str">
        <f>IF($A104="","",MATCH(COUNTIF(Import_Staging!$BS$2:$BS$301,"&lt;"&amp;$A104)+1,Import_Staging!$BR$2:$BR$301,0))</f>
        <v/>
      </c>
      <c r="I104" s="66" t="str">
        <f>IF($A104="","",$A104-INDEX(Import_Staging!$BQ$2:$BQ$301,$H104))</f>
        <v/>
      </c>
      <c r="J104" s="66" t="str">
        <f>IF($A104="","",MATCH($I104,INDEX(Import_Staging!$AT$2:$BP$301,$H104,0),0))</f>
        <v/>
      </c>
    </row>
    <row r="105">
      <c r="A105" s="65" t="str">
        <f>IF(100&lt;=$F$4,100,"")</f>
        <v/>
      </c>
      <c r="B105" s="65" t="str">
        <f>IF($A105="","",$H105+1)</f>
        <v/>
      </c>
      <c r="C105" s="66" t="str">
        <f>IF($A105="","",INDEX(Import_Staging!$A$2:$A$301,$H105)&amp;"")</f>
        <v/>
      </c>
      <c r="D105" s="66" t="str">
        <f>IF($A105="","",INDEX(Config!$C$39:$C$61,$J105))</f>
        <v/>
      </c>
      <c r="E105" s="66" t="str">
        <f>IF($A105="","",INDEX(Config!$D$39:$D$61,$J105))</f>
        <v/>
      </c>
      <c r="F105" s="67" t="str">
        <f>IF($A105="","",IFERROR(CHOOSE($J105,"movement_id is empty. Every row needs a unique movement ID.","movement_id "&amp;INDEX(Import_Staging!$A$2:$A$301,$H105)&amp;""&amp;" appears earlier in this file (row "&amp;IFERROR(MATCH(INDEX(Import_Staging!$A$2:$A$301,$H105),Import_Staging!$A$2:$A$301,0)+1,"?")&amp;"). Only the first row can be posted.","movement_id "&amp;INDEX(Import_Staging!$A$2:$A$301,$H105)&amp;""&amp;" is already in Inventory_Ledger. The ledger row was not changed.","date is empty.","date "&amp;""""&amp;INDEX(Import_Staging!$B$2:$B$301,$H105)&amp;""&amp;""""&amp;" is not a real date in yyyy-mm-dd format.","date "&amp;TEXT(INDEX(Import_Staging!$M$2:$M$301,$H105),"yyyy-mm-dd")&amp;" is after the as-of date "&amp;TEXT(Config!$B$4,"yyyy-mm-dd")&amp;".","type is empty.","type "&amp;""""&amp;INDEX(Import_Staging!$C$2:$C$301,$H105)&amp;""&amp;""""&amp;" is not a movement type listed on Config.","sku is empty.","SKU "&amp;INDEX(Import_Staging!$D$2:$D$301,$H105)&amp;""&amp;" is not in Products.","supplier_id is empty; receipts need the supplier.","Supplier "&amp;INDEX(Import_Staging!$E$2:$E$301,$H105)&amp;""&amp;" is not in Suppliers.","lot is empty; every movement needs its lot code.","Lot "&amp;INDEX(Import_Staging!$F$2:$F$301,$H105)&amp;""&amp;" is not recorded for "&amp;INDEX(Import_Staging!$D$2:$D$301,$H105)&amp;""&amp;" in Batches.","expiry is empty; receipts need the company-supplied expiry date.","expiry "&amp;""""&amp;INDEX(Import_Staging!$G$2:$G$301,$H105)&amp;""&amp;""""&amp;" is not a real date in yyyy-mm-dd format.","qty is empty.","qty "&amp;""""&amp;INDEX(Import_Staging!$H$2:$H$301,$H105)&amp;""&amp;""""&amp;" is not a valid quantity"&amp;IF(INDEX(Import_Staging!$C$2:$C$301,$H105)&amp;""="",""," for a "&amp;LOWER(INDEX(Import_Staging!$C$2:$C$301,$H105)&amp;""))&amp;".","lot_status is empty; receipts need a lot status.","lot_status "&amp;""""&amp;INDEX(Import_Staging!$I$2:$I$301,$H105)&amp;""&amp;""""&amp;" is not a lot status allowed on receipt (Config).","reason is empty; adjustments need a reason.","source_link is empty; every movement needs a link to its source document.","This row would take recorded stock of "&amp;INDEX(Import_Staging!$D$2:$D$301,$H105)&amp;""&amp;" from "&amp;INDEX(Import_Staging!$R$2:$R$301,$H105)&amp;" to "&amp;INDEX(Import_Staging!$S$2:$S$301,$H105)&amp;"."),$E105))</f>
        <v/>
      </c>
      <c r="G105" s="67" t="str">
        <f>IF($A105="","",INDEX(Config!$F$39:$F$61,$J105))</f>
        <v/>
      </c>
      <c r="H105" s="66" t="str">
        <f>IF($A105="","",MATCH(COUNTIF(Import_Staging!$BS$2:$BS$301,"&lt;"&amp;$A105)+1,Import_Staging!$BR$2:$BR$301,0))</f>
        <v/>
      </c>
      <c r="I105" s="66" t="str">
        <f>IF($A105="","",$A105-INDEX(Import_Staging!$BQ$2:$BQ$301,$H105))</f>
        <v/>
      </c>
      <c r="J105" s="66" t="str">
        <f>IF($A105="","",MATCH($I105,INDEX(Import_Staging!$AT$2:$BP$301,$H105,0),0))</f>
        <v/>
      </c>
    </row>
    <row r="106">
      <c r="A106" s="65" t="str">
        <f>IF(101&lt;=$F$4,101,"")</f>
        <v/>
      </c>
      <c r="B106" s="65" t="str">
        <f>IF($A106="","",$H106+1)</f>
        <v/>
      </c>
      <c r="C106" s="66" t="str">
        <f>IF($A106="","",INDEX(Import_Staging!$A$2:$A$301,$H106)&amp;"")</f>
        <v/>
      </c>
      <c r="D106" s="66" t="str">
        <f>IF($A106="","",INDEX(Config!$C$39:$C$61,$J106))</f>
        <v/>
      </c>
      <c r="E106" s="66" t="str">
        <f>IF($A106="","",INDEX(Config!$D$39:$D$61,$J106))</f>
        <v/>
      </c>
      <c r="F106" s="67" t="str">
        <f>IF($A106="","",IFERROR(CHOOSE($J106,"movement_id is empty. Every row needs a unique movement ID.","movement_id "&amp;INDEX(Import_Staging!$A$2:$A$301,$H106)&amp;""&amp;" appears earlier in this file (row "&amp;IFERROR(MATCH(INDEX(Import_Staging!$A$2:$A$301,$H106),Import_Staging!$A$2:$A$301,0)+1,"?")&amp;"). Only the first row can be posted.","movement_id "&amp;INDEX(Import_Staging!$A$2:$A$301,$H106)&amp;""&amp;" is already in Inventory_Ledger. The ledger row was not changed.","date is empty.","date "&amp;""""&amp;INDEX(Import_Staging!$B$2:$B$301,$H106)&amp;""&amp;""""&amp;" is not a real date in yyyy-mm-dd format.","date "&amp;TEXT(INDEX(Import_Staging!$M$2:$M$301,$H106),"yyyy-mm-dd")&amp;" is after the as-of date "&amp;TEXT(Config!$B$4,"yyyy-mm-dd")&amp;".","type is empty.","type "&amp;""""&amp;INDEX(Import_Staging!$C$2:$C$301,$H106)&amp;""&amp;""""&amp;" is not a movement type listed on Config.","sku is empty.","SKU "&amp;INDEX(Import_Staging!$D$2:$D$301,$H106)&amp;""&amp;" is not in Products.","supplier_id is empty; receipts need the supplier.","Supplier "&amp;INDEX(Import_Staging!$E$2:$E$301,$H106)&amp;""&amp;" is not in Suppliers.","lot is empty; every movement needs its lot code.","Lot "&amp;INDEX(Import_Staging!$F$2:$F$301,$H106)&amp;""&amp;" is not recorded for "&amp;INDEX(Import_Staging!$D$2:$D$301,$H106)&amp;""&amp;" in Batches.","expiry is empty; receipts need the company-supplied expiry date.","expiry "&amp;""""&amp;INDEX(Import_Staging!$G$2:$G$301,$H106)&amp;""&amp;""""&amp;" is not a real date in yyyy-mm-dd format.","qty is empty.","qty "&amp;""""&amp;INDEX(Import_Staging!$H$2:$H$301,$H106)&amp;""&amp;""""&amp;" is not a valid quantity"&amp;IF(INDEX(Import_Staging!$C$2:$C$301,$H106)&amp;""="",""," for a "&amp;LOWER(INDEX(Import_Staging!$C$2:$C$301,$H106)&amp;""))&amp;".","lot_status is empty; receipts need a lot status.","lot_status "&amp;""""&amp;INDEX(Import_Staging!$I$2:$I$301,$H106)&amp;""&amp;""""&amp;" is not a lot status allowed on receipt (Config).","reason is empty; adjustments need a reason.","source_link is empty; every movement needs a link to its source document.","This row would take recorded stock of "&amp;INDEX(Import_Staging!$D$2:$D$301,$H106)&amp;""&amp;" from "&amp;INDEX(Import_Staging!$R$2:$R$301,$H106)&amp;" to "&amp;INDEX(Import_Staging!$S$2:$S$301,$H106)&amp;"."),$E106))</f>
        <v/>
      </c>
      <c r="G106" s="67" t="str">
        <f>IF($A106="","",INDEX(Config!$F$39:$F$61,$J106))</f>
        <v/>
      </c>
      <c r="H106" s="66" t="str">
        <f>IF($A106="","",MATCH(COUNTIF(Import_Staging!$BS$2:$BS$301,"&lt;"&amp;$A106)+1,Import_Staging!$BR$2:$BR$301,0))</f>
        <v/>
      </c>
      <c r="I106" s="66" t="str">
        <f>IF($A106="","",$A106-INDEX(Import_Staging!$BQ$2:$BQ$301,$H106))</f>
        <v/>
      </c>
      <c r="J106" s="66" t="str">
        <f>IF($A106="","",MATCH($I106,INDEX(Import_Staging!$AT$2:$BP$301,$H106,0),0))</f>
        <v/>
      </c>
    </row>
    <row r="107">
      <c r="A107" s="65" t="str">
        <f>IF(102&lt;=$F$4,102,"")</f>
        <v/>
      </c>
      <c r="B107" s="65" t="str">
        <f>IF($A107="","",$H107+1)</f>
        <v/>
      </c>
      <c r="C107" s="66" t="str">
        <f>IF($A107="","",INDEX(Import_Staging!$A$2:$A$301,$H107)&amp;"")</f>
        <v/>
      </c>
      <c r="D107" s="66" t="str">
        <f>IF($A107="","",INDEX(Config!$C$39:$C$61,$J107))</f>
        <v/>
      </c>
      <c r="E107" s="66" t="str">
        <f>IF($A107="","",INDEX(Config!$D$39:$D$61,$J107))</f>
        <v/>
      </c>
      <c r="F107" s="67" t="str">
        <f>IF($A107="","",IFERROR(CHOOSE($J107,"movement_id is empty. Every row needs a unique movement ID.","movement_id "&amp;INDEX(Import_Staging!$A$2:$A$301,$H107)&amp;""&amp;" appears earlier in this file (row "&amp;IFERROR(MATCH(INDEX(Import_Staging!$A$2:$A$301,$H107),Import_Staging!$A$2:$A$301,0)+1,"?")&amp;"). Only the first row can be posted.","movement_id "&amp;INDEX(Import_Staging!$A$2:$A$301,$H107)&amp;""&amp;" is already in Inventory_Ledger. The ledger row was not changed.","date is empty.","date "&amp;""""&amp;INDEX(Import_Staging!$B$2:$B$301,$H107)&amp;""&amp;""""&amp;" is not a real date in yyyy-mm-dd format.","date "&amp;TEXT(INDEX(Import_Staging!$M$2:$M$301,$H107),"yyyy-mm-dd")&amp;" is after the as-of date "&amp;TEXT(Config!$B$4,"yyyy-mm-dd")&amp;".","type is empty.","type "&amp;""""&amp;INDEX(Import_Staging!$C$2:$C$301,$H107)&amp;""&amp;""""&amp;" is not a movement type listed on Config.","sku is empty.","SKU "&amp;INDEX(Import_Staging!$D$2:$D$301,$H107)&amp;""&amp;" is not in Products.","supplier_id is empty; receipts need the supplier.","Supplier "&amp;INDEX(Import_Staging!$E$2:$E$301,$H107)&amp;""&amp;" is not in Suppliers.","lot is empty; every movement needs its lot code.","Lot "&amp;INDEX(Import_Staging!$F$2:$F$301,$H107)&amp;""&amp;" is not recorded for "&amp;INDEX(Import_Staging!$D$2:$D$301,$H107)&amp;""&amp;" in Batches.","expiry is empty; receipts need the company-supplied expiry date.","expiry "&amp;""""&amp;INDEX(Import_Staging!$G$2:$G$301,$H107)&amp;""&amp;""""&amp;" is not a real date in yyyy-mm-dd format.","qty is empty.","qty "&amp;""""&amp;INDEX(Import_Staging!$H$2:$H$301,$H107)&amp;""&amp;""""&amp;" is not a valid quantity"&amp;IF(INDEX(Import_Staging!$C$2:$C$301,$H107)&amp;""="",""," for a "&amp;LOWER(INDEX(Import_Staging!$C$2:$C$301,$H107)&amp;""))&amp;".","lot_status is empty; receipts need a lot status.","lot_status "&amp;""""&amp;INDEX(Import_Staging!$I$2:$I$301,$H107)&amp;""&amp;""""&amp;" is not a lot status allowed on receipt (Config).","reason is empty; adjustments need a reason.","source_link is empty; every movement needs a link to its source document.","This row would take recorded stock of "&amp;INDEX(Import_Staging!$D$2:$D$301,$H107)&amp;""&amp;" from "&amp;INDEX(Import_Staging!$R$2:$R$301,$H107)&amp;" to "&amp;INDEX(Import_Staging!$S$2:$S$301,$H107)&amp;"."),$E107))</f>
        <v/>
      </c>
      <c r="G107" s="67" t="str">
        <f>IF($A107="","",INDEX(Config!$F$39:$F$61,$J107))</f>
        <v/>
      </c>
      <c r="H107" s="66" t="str">
        <f>IF($A107="","",MATCH(COUNTIF(Import_Staging!$BS$2:$BS$301,"&lt;"&amp;$A107)+1,Import_Staging!$BR$2:$BR$301,0))</f>
        <v/>
      </c>
      <c r="I107" s="66" t="str">
        <f>IF($A107="","",$A107-INDEX(Import_Staging!$BQ$2:$BQ$301,$H107))</f>
        <v/>
      </c>
      <c r="J107" s="66" t="str">
        <f>IF($A107="","",MATCH($I107,INDEX(Import_Staging!$AT$2:$BP$301,$H107,0),0))</f>
        <v/>
      </c>
    </row>
    <row r="108">
      <c r="A108" s="65" t="str">
        <f>IF(103&lt;=$F$4,103,"")</f>
        <v/>
      </c>
      <c r="B108" s="65" t="str">
        <f>IF($A108="","",$H108+1)</f>
        <v/>
      </c>
      <c r="C108" s="66" t="str">
        <f>IF($A108="","",INDEX(Import_Staging!$A$2:$A$301,$H108)&amp;"")</f>
        <v/>
      </c>
      <c r="D108" s="66" t="str">
        <f>IF($A108="","",INDEX(Config!$C$39:$C$61,$J108))</f>
        <v/>
      </c>
      <c r="E108" s="66" t="str">
        <f>IF($A108="","",INDEX(Config!$D$39:$D$61,$J108))</f>
        <v/>
      </c>
      <c r="F108" s="67" t="str">
        <f>IF($A108="","",IFERROR(CHOOSE($J108,"movement_id is empty. Every row needs a unique movement ID.","movement_id "&amp;INDEX(Import_Staging!$A$2:$A$301,$H108)&amp;""&amp;" appears earlier in this file (row "&amp;IFERROR(MATCH(INDEX(Import_Staging!$A$2:$A$301,$H108),Import_Staging!$A$2:$A$301,0)+1,"?")&amp;"). Only the first row can be posted.","movement_id "&amp;INDEX(Import_Staging!$A$2:$A$301,$H108)&amp;""&amp;" is already in Inventory_Ledger. The ledger row was not changed.","date is empty.","date "&amp;""""&amp;INDEX(Import_Staging!$B$2:$B$301,$H108)&amp;""&amp;""""&amp;" is not a real date in yyyy-mm-dd format.","date "&amp;TEXT(INDEX(Import_Staging!$M$2:$M$301,$H108),"yyyy-mm-dd")&amp;" is after the as-of date "&amp;TEXT(Config!$B$4,"yyyy-mm-dd")&amp;".","type is empty.","type "&amp;""""&amp;INDEX(Import_Staging!$C$2:$C$301,$H108)&amp;""&amp;""""&amp;" is not a movement type listed on Config.","sku is empty.","SKU "&amp;INDEX(Import_Staging!$D$2:$D$301,$H108)&amp;""&amp;" is not in Products.","supplier_id is empty; receipts need the supplier.","Supplier "&amp;INDEX(Import_Staging!$E$2:$E$301,$H108)&amp;""&amp;" is not in Suppliers.","lot is empty; every movement needs its lot code.","Lot "&amp;INDEX(Import_Staging!$F$2:$F$301,$H108)&amp;""&amp;" is not recorded for "&amp;INDEX(Import_Staging!$D$2:$D$301,$H108)&amp;""&amp;" in Batches.","expiry is empty; receipts need the company-supplied expiry date.","expiry "&amp;""""&amp;INDEX(Import_Staging!$G$2:$G$301,$H108)&amp;""&amp;""""&amp;" is not a real date in yyyy-mm-dd format.","qty is empty.","qty "&amp;""""&amp;INDEX(Import_Staging!$H$2:$H$301,$H108)&amp;""&amp;""""&amp;" is not a valid quantity"&amp;IF(INDEX(Import_Staging!$C$2:$C$301,$H108)&amp;""="",""," for a "&amp;LOWER(INDEX(Import_Staging!$C$2:$C$301,$H108)&amp;""))&amp;".","lot_status is empty; receipts need a lot status.","lot_status "&amp;""""&amp;INDEX(Import_Staging!$I$2:$I$301,$H108)&amp;""&amp;""""&amp;" is not a lot status allowed on receipt (Config).","reason is empty; adjustments need a reason.","source_link is empty; every movement needs a link to its source document.","This row would take recorded stock of "&amp;INDEX(Import_Staging!$D$2:$D$301,$H108)&amp;""&amp;" from "&amp;INDEX(Import_Staging!$R$2:$R$301,$H108)&amp;" to "&amp;INDEX(Import_Staging!$S$2:$S$301,$H108)&amp;"."),$E108))</f>
        <v/>
      </c>
      <c r="G108" s="67" t="str">
        <f>IF($A108="","",INDEX(Config!$F$39:$F$61,$J108))</f>
        <v/>
      </c>
      <c r="H108" s="66" t="str">
        <f>IF($A108="","",MATCH(COUNTIF(Import_Staging!$BS$2:$BS$301,"&lt;"&amp;$A108)+1,Import_Staging!$BR$2:$BR$301,0))</f>
        <v/>
      </c>
      <c r="I108" s="66" t="str">
        <f>IF($A108="","",$A108-INDEX(Import_Staging!$BQ$2:$BQ$301,$H108))</f>
        <v/>
      </c>
      <c r="J108" s="66" t="str">
        <f>IF($A108="","",MATCH($I108,INDEX(Import_Staging!$AT$2:$BP$301,$H108,0),0))</f>
        <v/>
      </c>
    </row>
    <row r="109">
      <c r="A109" s="65" t="str">
        <f>IF(104&lt;=$F$4,104,"")</f>
        <v/>
      </c>
      <c r="B109" s="65" t="str">
        <f>IF($A109="","",$H109+1)</f>
        <v/>
      </c>
      <c r="C109" s="66" t="str">
        <f>IF($A109="","",INDEX(Import_Staging!$A$2:$A$301,$H109)&amp;"")</f>
        <v/>
      </c>
      <c r="D109" s="66" t="str">
        <f>IF($A109="","",INDEX(Config!$C$39:$C$61,$J109))</f>
        <v/>
      </c>
      <c r="E109" s="66" t="str">
        <f>IF($A109="","",INDEX(Config!$D$39:$D$61,$J109))</f>
        <v/>
      </c>
      <c r="F109" s="67" t="str">
        <f>IF($A109="","",IFERROR(CHOOSE($J109,"movement_id is empty. Every row needs a unique movement ID.","movement_id "&amp;INDEX(Import_Staging!$A$2:$A$301,$H109)&amp;""&amp;" appears earlier in this file (row "&amp;IFERROR(MATCH(INDEX(Import_Staging!$A$2:$A$301,$H109),Import_Staging!$A$2:$A$301,0)+1,"?")&amp;"). Only the first row can be posted.","movement_id "&amp;INDEX(Import_Staging!$A$2:$A$301,$H109)&amp;""&amp;" is already in Inventory_Ledger. The ledger row was not changed.","date is empty.","date "&amp;""""&amp;INDEX(Import_Staging!$B$2:$B$301,$H109)&amp;""&amp;""""&amp;" is not a real date in yyyy-mm-dd format.","date "&amp;TEXT(INDEX(Import_Staging!$M$2:$M$301,$H109),"yyyy-mm-dd")&amp;" is after the as-of date "&amp;TEXT(Config!$B$4,"yyyy-mm-dd")&amp;".","type is empty.","type "&amp;""""&amp;INDEX(Import_Staging!$C$2:$C$301,$H109)&amp;""&amp;""""&amp;" is not a movement type listed on Config.","sku is empty.","SKU "&amp;INDEX(Import_Staging!$D$2:$D$301,$H109)&amp;""&amp;" is not in Products.","supplier_id is empty; receipts need the supplier.","Supplier "&amp;INDEX(Import_Staging!$E$2:$E$301,$H109)&amp;""&amp;" is not in Suppliers.","lot is empty; every movement needs its lot code.","Lot "&amp;INDEX(Import_Staging!$F$2:$F$301,$H109)&amp;""&amp;" is not recorded for "&amp;INDEX(Import_Staging!$D$2:$D$301,$H109)&amp;""&amp;" in Batches.","expiry is empty; receipts need the company-supplied expiry date.","expiry "&amp;""""&amp;INDEX(Import_Staging!$G$2:$G$301,$H109)&amp;""&amp;""""&amp;" is not a real date in yyyy-mm-dd format.","qty is empty.","qty "&amp;""""&amp;INDEX(Import_Staging!$H$2:$H$301,$H109)&amp;""&amp;""""&amp;" is not a valid quantity"&amp;IF(INDEX(Import_Staging!$C$2:$C$301,$H109)&amp;""="",""," for a "&amp;LOWER(INDEX(Import_Staging!$C$2:$C$301,$H109)&amp;""))&amp;".","lot_status is empty; receipts need a lot status.","lot_status "&amp;""""&amp;INDEX(Import_Staging!$I$2:$I$301,$H109)&amp;""&amp;""""&amp;" is not a lot status allowed on receipt (Config).","reason is empty; adjustments need a reason.","source_link is empty; every movement needs a link to its source document.","This row would take recorded stock of "&amp;INDEX(Import_Staging!$D$2:$D$301,$H109)&amp;""&amp;" from "&amp;INDEX(Import_Staging!$R$2:$R$301,$H109)&amp;" to "&amp;INDEX(Import_Staging!$S$2:$S$301,$H109)&amp;"."),$E109))</f>
        <v/>
      </c>
      <c r="G109" s="67" t="str">
        <f>IF($A109="","",INDEX(Config!$F$39:$F$61,$J109))</f>
        <v/>
      </c>
      <c r="H109" s="66" t="str">
        <f>IF($A109="","",MATCH(COUNTIF(Import_Staging!$BS$2:$BS$301,"&lt;"&amp;$A109)+1,Import_Staging!$BR$2:$BR$301,0))</f>
        <v/>
      </c>
      <c r="I109" s="66" t="str">
        <f>IF($A109="","",$A109-INDEX(Import_Staging!$BQ$2:$BQ$301,$H109))</f>
        <v/>
      </c>
      <c r="J109" s="66" t="str">
        <f>IF($A109="","",MATCH($I109,INDEX(Import_Staging!$AT$2:$BP$301,$H109,0),0))</f>
        <v/>
      </c>
    </row>
    <row r="110">
      <c r="A110" s="65" t="str">
        <f>IF(105&lt;=$F$4,105,"")</f>
        <v/>
      </c>
      <c r="B110" s="65" t="str">
        <f>IF($A110="","",$H110+1)</f>
        <v/>
      </c>
      <c r="C110" s="66" t="str">
        <f>IF($A110="","",INDEX(Import_Staging!$A$2:$A$301,$H110)&amp;"")</f>
        <v/>
      </c>
      <c r="D110" s="66" t="str">
        <f>IF($A110="","",INDEX(Config!$C$39:$C$61,$J110))</f>
        <v/>
      </c>
      <c r="E110" s="66" t="str">
        <f>IF($A110="","",INDEX(Config!$D$39:$D$61,$J110))</f>
        <v/>
      </c>
      <c r="F110" s="67" t="str">
        <f>IF($A110="","",IFERROR(CHOOSE($J110,"movement_id is empty. Every row needs a unique movement ID.","movement_id "&amp;INDEX(Import_Staging!$A$2:$A$301,$H110)&amp;""&amp;" appears earlier in this file (row "&amp;IFERROR(MATCH(INDEX(Import_Staging!$A$2:$A$301,$H110),Import_Staging!$A$2:$A$301,0)+1,"?")&amp;"). Only the first row can be posted.","movement_id "&amp;INDEX(Import_Staging!$A$2:$A$301,$H110)&amp;""&amp;" is already in Inventory_Ledger. The ledger row was not changed.","date is empty.","date "&amp;""""&amp;INDEX(Import_Staging!$B$2:$B$301,$H110)&amp;""&amp;""""&amp;" is not a real date in yyyy-mm-dd format.","date "&amp;TEXT(INDEX(Import_Staging!$M$2:$M$301,$H110),"yyyy-mm-dd")&amp;" is after the as-of date "&amp;TEXT(Config!$B$4,"yyyy-mm-dd")&amp;".","type is empty.","type "&amp;""""&amp;INDEX(Import_Staging!$C$2:$C$301,$H110)&amp;""&amp;""""&amp;" is not a movement type listed on Config.","sku is empty.","SKU "&amp;INDEX(Import_Staging!$D$2:$D$301,$H110)&amp;""&amp;" is not in Products.","supplier_id is empty; receipts need the supplier.","Supplier "&amp;INDEX(Import_Staging!$E$2:$E$301,$H110)&amp;""&amp;" is not in Suppliers.","lot is empty; every movement needs its lot code.","Lot "&amp;INDEX(Import_Staging!$F$2:$F$301,$H110)&amp;""&amp;" is not recorded for "&amp;INDEX(Import_Staging!$D$2:$D$301,$H110)&amp;""&amp;" in Batches.","expiry is empty; receipts need the company-supplied expiry date.","expiry "&amp;""""&amp;INDEX(Import_Staging!$G$2:$G$301,$H110)&amp;""&amp;""""&amp;" is not a real date in yyyy-mm-dd format.","qty is empty.","qty "&amp;""""&amp;INDEX(Import_Staging!$H$2:$H$301,$H110)&amp;""&amp;""""&amp;" is not a valid quantity"&amp;IF(INDEX(Import_Staging!$C$2:$C$301,$H110)&amp;""="",""," for a "&amp;LOWER(INDEX(Import_Staging!$C$2:$C$301,$H110)&amp;""))&amp;".","lot_status is empty; receipts need a lot status.","lot_status "&amp;""""&amp;INDEX(Import_Staging!$I$2:$I$301,$H110)&amp;""&amp;""""&amp;" is not a lot status allowed on receipt (Config).","reason is empty; adjustments need a reason.","source_link is empty; every movement needs a link to its source document.","This row would take recorded stock of "&amp;INDEX(Import_Staging!$D$2:$D$301,$H110)&amp;""&amp;" from "&amp;INDEX(Import_Staging!$R$2:$R$301,$H110)&amp;" to "&amp;INDEX(Import_Staging!$S$2:$S$301,$H110)&amp;"."),$E110))</f>
        <v/>
      </c>
      <c r="G110" s="67" t="str">
        <f>IF($A110="","",INDEX(Config!$F$39:$F$61,$J110))</f>
        <v/>
      </c>
      <c r="H110" s="66" t="str">
        <f>IF($A110="","",MATCH(COUNTIF(Import_Staging!$BS$2:$BS$301,"&lt;"&amp;$A110)+1,Import_Staging!$BR$2:$BR$301,0))</f>
        <v/>
      </c>
      <c r="I110" s="66" t="str">
        <f>IF($A110="","",$A110-INDEX(Import_Staging!$BQ$2:$BQ$301,$H110))</f>
        <v/>
      </c>
      <c r="J110" s="66" t="str">
        <f>IF($A110="","",MATCH($I110,INDEX(Import_Staging!$AT$2:$BP$301,$H110,0),0))</f>
        <v/>
      </c>
    </row>
    <row r="111">
      <c r="A111" s="65" t="str">
        <f>IF(106&lt;=$F$4,106,"")</f>
        <v/>
      </c>
      <c r="B111" s="65" t="str">
        <f>IF($A111="","",$H111+1)</f>
        <v/>
      </c>
      <c r="C111" s="66" t="str">
        <f>IF($A111="","",INDEX(Import_Staging!$A$2:$A$301,$H111)&amp;"")</f>
        <v/>
      </c>
      <c r="D111" s="66" t="str">
        <f>IF($A111="","",INDEX(Config!$C$39:$C$61,$J111))</f>
        <v/>
      </c>
      <c r="E111" s="66" t="str">
        <f>IF($A111="","",INDEX(Config!$D$39:$D$61,$J111))</f>
        <v/>
      </c>
      <c r="F111" s="67" t="str">
        <f>IF($A111="","",IFERROR(CHOOSE($J111,"movement_id is empty. Every row needs a unique movement ID.","movement_id "&amp;INDEX(Import_Staging!$A$2:$A$301,$H111)&amp;""&amp;" appears earlier in this file (row "&amp;IFERROR(MATCH(INDEX(Import_Staging!$A$2:$A$301,$H111),Import_Staging!$A$2:$A$301,0)+1,"?")&amp;"). Only the first row can be posted.","movement_id "&amp;INDEX(Import_Staging!$A$2:$A$301,$H111)&amp;""&amp;" is already in Inventory_Ledger. The ledger row was not changed.","date is empty.","date "&amp;""""&amp;INDEX(Import_Staging!$B$2:$B$301,$H111)&amp;""&amp;""""&amp;" is not a real date in yyyy-mm-dd format.","date "&amp;TEXT(INDEX(Import_Staging!$M$2:$M$301,$H111),"yyyy-mm-dd")&amp;" is after the as-of date "&amp;TEXT(Config!$B$4,"yyyy-mm-dd")&amp;".","type is empty.","type "&amp;""""&amp;INDEX(Import_Staging!$C$2:$C$301,$H111)&amp;""&amp;""""&amp;" is not a movement type listed on Config.","sku is empty.","SKU "&amp;INDEX(Import_Staging!$D$2:$D$301,$H111)&amp;""&amp;" is not in Products.","supplier_id is empty; receipts need the supplier.","Supplier "&amp;INDEX(Import_Staging!$E$2:$E$301,$H111)&amp;""&amp;" is not in Suppliers.","lot is empty; every movement needs its lot code.","Lot "&amp;INDEX(Import_Staging!$F$2:$F$301,$H111)&amp;""&amp;" is not recorded for "&amp;INDEX(Import_Staging!$D$2:$D$301,$H111)&amp;""&amp;" in Batches.","expiry is empty; receipts need the company-supplied expiry date.","expiry "&amp;""""&amp;INDEX(Import_Staging!$G$2:$G$301,$H111)&amp;""&amp;""""&amp;" is not a real date in yyyy-mm-dd format.","qty is empty.","qty "&amp;""""&amp;INDEX(Import_Staging!$H$2:$H$301,$H111)&amp;""&amp;""""&amp;" is not a valid quantity"&amp;IF(INDEX(Import_Staging!$C$2:$C$301,$H111)&amp;""="",""," for a "&amp;LOWER(INDEX(Import_Staging!$C$2:$C$301,$H111)&amp;""))&amp;".","lot_status is empty; receipts need a lot status.","lot_status "&amp;""""&amp;INDEX(Import_Staging!$I$2:$I$301,$H111)&amp;""&amp;""""&amp;" is not a lot status allowed on receipt (Config).","reason is empty; adjustments need a reason.","source_link is empty; every movement needs a link to its source document.","This row would take recorded stock of "&amp;INDEX(Import_Staging!$D$2:$D$301,$H111)&amp;""&amp;" from "&amp;INDEX(Import_Staging!$R$2:$R$301,$H111)&amp;" to "&amp;INDEX(Import_Staging!$S$2:$S$301,$H111)&amp;"."),$E111))</f>
        <v/>
      </c>
      <c r="G111" s="67" t="str">
        <f>IF($A111="","",INDEX(Config!$F$39:$F$61,$J111))</f>
        <v/>
      </c>
      <c r="H111" s="66" t="str">
        <f>IF($A111="","",MATCH(COUNTIF(Import_Staging!$BS$2:$BS$301,"&lt;"&amp;$A111)+1,Import_Staging!$BR$2:$BR$301,0))</f>
        <v/>
      </c>
      <c r="I111" s="66" t="str">
        <f>IF($A111="","",$A111-INDEX(Import_Staging!$BQ$2:$BQ$301,$H111))</f>
        <v/>
      </c>
      <c r="J111" s="66" t="str">
        <f>IF($A111="","",MATCH($I111,INDEX(Import_Staging!$AT$2:$BP$301,$H111,0),0))</f>
        <v/>
      </c>
    </row>
    <row r="112">
      <c r="A112" s="65" t="str">
        <f>IF(107&lt;=$F$4,107,"")</f>
        <v/>
      </c>
      <c r="B112" s="65" t="str">
        <f>IF($A112="","",$H112+1)</f>
        <v/>
      </c>
      <c r="C112" s="66" t="str">
        <f>IF($A112="","",INDEX(Import_Staging!$A$2:$A$301,$H112)&amp;"")</f>
        <v/>
      </c>
      <c r="D112" s="66" t="str">
        <f>IF($A112="","",INDEX(Config!$C$39:$C$61,$J112))</f>
        <v/>
      </c>
      <c r="E112" s="66" t="str">
        <f>IF($A112="","",INDEX(Config!$D$39:$D$61,$J112))</f>
        <v/>
      </c>
      <c r="F112" s="67" t="str">
        <f>IF($A112="","",IFERROR(CHOOSE($J112,"movement_id is empty. Every row needs a unique movement ID.","movement_id "&amp;INDEX(Import_Staging!$A$2:$A$301,$H112)&amp;""&amp;" appears earlier in this file (row "&amp;IFERROR(MATCH(INDEX(Import_Staging!$A$2:$A$301,$H112),Import_Staging!$A$2:$A$301,0)+1,"?")&amp;"). Only the first row can be posted.","movement_id "&amp;INDEX(Import_Staging!$A$2:$A$301,$H112)&amp;""&amp;" is already in Inventory_Ledger. The ledger row was not changed.","date is empty.","date "&amp;""""&amp;INDEX(Import_Staging!$B$2:$B$301,$H112)&amp;""&amp;""""&amp;" is not a real date in yyyy-mm-dd format.","date "&amp;TEXT(INDEX(Import_Staging!$M$2:$M$301,$H112),"yyyy-mm-dd")&amp;" is after the as-of date "&amp;TEXT(Config!$B$4,"yyyy-mm-dd")&amp;".","type is empty.","type "&amp;""""&amp;INDEX(Import_Staging!$C$2:$C$301,$H112)&amp;""&amp;""""&amp;" is not a movement type listed on Config.","sku is empty.","SKU "&amp;INDEX(Import_Staging!$D$2:$D$301,$H112)&amp;""&amp;" is not in Products.","supplier_id is empty; receipts need the supplier.","Supplier "&amp;INDEX(Import_Staging!$E$2:$E$301,$H112)&amp;""&amp;" is not in Suppliers.","lot is empty; every movement needs its lot code.","Lot "&amp;INDEX(Import_Staging!$F$2:$F$301,$H112)&amp;""&amp;" is not recorded for "&amp;INDEX(Import_Staging!$D$2:$D$301,$H112)&amp;""&amp;" in Batches.","expiry is empty; receipts need the company-supplied expiry date.","expiry "&amp;""""&amp;INDEX(Import_Staging!$G$2:$G$301,$H112)&amp;""&amp;""""&amp;" is not a real date in yyyy-mm-dd format.","qty is empty.","qty "&amp;""""&amp;INDEX(Import_Staging!$H$2:$H$301,$H112)&amp;""&amp;""""&amp;" is not a valid quantity"&amp;IF(INDEX(Import_Staging!$C$2:$C$301,$H112)&amp;""="",""," for a "&amp;LOWER(INDEX(Import_Staging!$C$2:$C$301,$H112)&amp;""))&amp;".","lot_status is empty; receipts need a lot status.","lot_status "&amp;""""&amp;INDEX(Import_Staging!$I$2:$I$301,$H112)&amp;""&amp;""""&amp;" is not a lot status allowed on receipt (Config).","reason is empty; adjustments need a reason.","source_link is empty; every movement needs a link to its source document.","This row would take recorded stock of "&amp;INDEX(Import_Staging!$D$2:$D$301,$H112)&amp;""&amp;" from "&amp;INDEX(Import_Staging!$R$2:$R$301,$H112)&amp;" to "&amp;INDEX(Import_Staging!$S$2:$S$301,$H112)&amp;"."),$E112))</f>
        <v/>
      </c>
      <c r="G112" s="67" t="str">
        <f>IF($A112="","",INDEX(Config!$F$39:$F$61,$J112))</f>
        <v/>
      </c>
      <c r="H112" s="66" t="str">
        <f>IF($A112="","",MATCH(COUNTIF(Import_Staging!$BS$2:$BS$301,"&lt;"&amp;$A112)+1,Import_Staging!$BR$2:$BR$301,0))</f>
        <v/>
      </c>
      <c r="I112" s="66" t="str">
        <f>IF($A112="","",$A112-INDEX(Import_Staging!$BQ$2:$BQ$301,$H112))</f>
        <v/>
      </c>
      <c r="J112" s="66" t="str">
        <f>IF($A112="","",MATCH($I112,INDEX(Import_Staging!$AT$2:$BP$301,$H112,0),0))</f>
        <v/>
      </c>
    </row>
    <row r="113">
      <c r="A113" s="65" t="str">
        <f>IF(108&lt;=$F$4,108,"")</f>
        <v/>
      </c>
      <c r="B113" s="65" t="str">
        <f>IF($A113="","",$H113+1)</f>
        <v/>
      </c>
      <c r="C113" s="66" t="str">
        <f>IF($A113="","",INDEX(Import_Staging!$A$2:$A$301,$H113)&amp;"")</f>
        <v/>
      </c>
      <c r="D113" s="66" t="str">
        <f>IF($A113="","",INDEX(Config!$C$39:$C$61,$J113))</f>
        <v/>
      </c>
      <c r="E113" s="66" t="str">
        <f>IF($A113="","",INDEX(Config!$D$39:$D$61,$J113))</f>
        <v/>
      </c>
      <c r="F113" s="67" t="str">
        <f>IF($A113="","",IFERROR(CHOOSE($J113,"movement_id is empty. Every row needs a unique movement ID.","movement_id "&amp;INDEX(Import_Staging!$A$2:$A$301,$H113)&amp;""&amp;" appears earlier in this file (row "&amp;IFERROR(MATCH(INDEX(Import_Staging!$A$2:$A$301,$H113),Import_Staging!$A$2:$A$301,0)+1,"?")&amp;"). Only the first row can be posted.","movement_id "&amp;INDEX(Import_Staging!$A$2:$A$301,$H113)&amp;""&amp;" is already in Inventory_Ledger. The ledger row was not changed.","date is empty.","date "&amp;""""&amp;INDEX(Import_Staging!$B$2:$B$301,$H113)&amp;""&amp;""""&amp;" is not a real date in yyyy-mm-dd format.","date "&amp;TEXT(INDEX(Import_Staging!$M$2:$M$301,$H113),"yyyy-mm-dd")&amp;" is after the as-of date "&amp;TEXT(Config!$B$4,"yyyy-mm-dd")&amp;".","type is empty.","type "&amp;""""&amp;INDEX(Import_Staging!$C$2:$C$301,$H113)&amp;""&amp;""""&amp;" is not a movement type listed on Config.","sku is empty.","SKU "&amp;INDEX(Import_Staging!$D$2:$D$301,$H113)&amp;""&amp;" is not in Products.","supplier_id is empty; receipts need the supplier.","Supplier "&amp;INDEX(Import_Staging!$E$2:$E$301,$H113)&amp;""&amp;" is not in Suppliers.","lot is empty; every movement needs its lot code.","Lot "&amp;INDEX(Import_Staging!$F$2:$F$301,$H113)&amp;""&amp;" is not recorded for "&amp;INDEX(Import_Staging!$D$2:$D$301,$H113)&amp;""&amp;" in Batches.","expiry is empty; receipts need the company-supplied expiry date.","expiry "&amp;""""&amp;INDEX(Import_Staging!$G$2:$G$301,$H113)&amp;""&amp;""""&amp;" is not a real date in yyyy-mm-dd format.","qty is empty.","qty "&amp;""""&amp;INDEX(Import_Staging!$H$2:$H$301,$H113)&amp;""&amp;""""&amp;" is not a valid quantity"&amp;IF(INDEX(Import_Staging!$C$2:$C$301,$H113)&amp;""="",""," for a "&amp;LOWER(INDEX(Import_Staging!$C$2:$C$301,$H113)&amp;""))&amp;".","lot_status is empty; receipts need a lot status.","lot_status "&amp;""""&amp;INDEX(Import_Staging!$I$2:$I$301,$H113)&amp;""&amp;""""&amp;" is not a lot status allowed on receipt (Config).","reason is empty; adjustments need a reason.","source_link is empty; every movement needs a link to its source document.","This row would take recorded stock of "&amp;INDEX(Import_Staging!$D$2:$D$301,$H113)&amp;""&amp;" from "&amp;INDEX(Import_Staging!$R$2:$R$301,$H113)&amp;" to "&amp;INDEX(Import_Staging!$S$2:$S$301,$H113)&amp;"."),$E113))</f>
        <v/>
      </c>
      <c r="G113" s="67" t="str">
        <f>IF($A113="","",INDEX(Config!$F$39:$F$61,$J113))</f>
        <v/>
      </c>
      <c r="H113" s="66" t="str">
        <f>IF($A113="","",MATCH(COUNTIF(Import_Staging!$BS$2:$BS$301,"&lt;"&amp;$A113)+1,Import_Staging!$BR$2:$BR$301,0))</f>
        <v/>
      </c>
      <c r="I113" s="66" t="str">
        <f>IF($A113="","",$A113-INDEX(Import_Staging!$BQ$2:$BQ$301,$H113))</f>
        <v/>
      </c>
      <c r="J113" s="66" t="str">
        <f>IF($A113="","",MATCH($I113,INDEX(Import_Staging!$AT$2:$BP$301,$H113,0),0))</f>
        <v/>
      </c>
    </row>
    <row r="114">
      <c r="A114" s="65" t="str">
        <f>IF(109&lt;=$F$4,109,"")</f>
        <v/>
      </c>
      <c r="B114" s="65" t="str">
        <f>IF($A114="","",$H114+1)</f>
        <v/>
      </c>
      <c r="C114" s="66" t="str">
        <f>IF($A114="","",INDEX(Import_Staging!$A$2:$A$301,$H114)&amp;"")</f>
        <v/>
      </c>
      <c r="D114" s="66" t="str">
        <f>IF($A114="","",INDEX(Config!$C$39:$C$61,$J114))</f>
        <v/>
      </c>
      <c r="E114" s="66" t="str">
        <f>IF($A114="","",INDEX(Config!$D$39:$D$61,$J114))</f>
        <v/>
      </c>
      <c r="F114" s="67" t="str">
        <f>IF($A114="","",IFERROR(CHOOSE($J114,"movement_id is empty. Every row needs a unique movement ID.","movement_id "&amp;INDEX(Import_Staging!$A$2:$A$301,$H114)&amp;""&amp;" appears earlier in this file (row "&amp;IFERROR(MATCH(INDEX(Import_Staging!$A$2:$A$301,$H114),Import_Staging!$A$2:$A$301,0)+1,"?")&amp;"). Only the first row can be posted.","movement_id "&amp;INDEX(Import_Staging!$A$2:$A$301,$H114)&amp;""&amp;" is already in Inventory_Ledger. The ledger row was not changed.","date is empty.","date "&amp;""""&amp;INDEX(Import_Staging!$B$2:$B$301,$H114)&amp;""&amp;""""&amp;" is not a real date in yyyy-mm-dd format.","date "&amp;TEXT(INDEX(Import_Staging!$M$2:$M$301,$H114),"yyyy-mm-dd")&amp;" is after the as-of date "&amp;TEXT(Config!$B$4,"yyyy-mm-dd")&amp;".","type is empty.","type "&amp;""""&amp;INDEX(Import_Staging!$C$2:$C$301,$H114)&amp;""&amp;""""&amp;" is not a movement type listed on Config.","sku is empty.","SKU "&amp;INDEX(Import_Staging!$D$2:$D$301,$H114)&amp;""&amp;" is not in Products.","supplier_id is empty; receipts need the supplier.","Supplier "&amp;INDEX(Import_Staging!$E$2:$E$301,$H114)&amp;""&amp;" is not in Suppliers.","lot is empty; every movement needs its lot code.","Lot "&amp;INDEX(Import_Staging!$F$2:$F$301,$H114)&amp;""&amp;" is not recorded for "&amp;INDEX(Import_Staging!$D$2:$D$301,$H114)&amp;""&amp;" in Batches.","expiry is empty; receipts need the company-supplied expiry date.","expiry "&amp;""""&amp;INDEX(Import_Staging!$G$2:$G$301,$H114)&amp;""&amp;""""&amp;" is not a real date in yyyy-mm-dd format.","qty is empty.","qty "&amp;""""&amp;INDEX(Import_Staging!$H$2:$H$301,$H114)&amp;""&amp;""""&amp;" is not a valid quantity"&amp;IF(INDEX(Import_Staging!$C$2:$C$301,$H114)&amp;""="",""," for a "&amp;LOWER(INDEX(Import_Staging!$C$2:$C$301,$H114)&amp;""))&amp;".","lot_status is empty; receipts need a lot status.","lot_status "&amp;""""&amp;INDEX(Import_Staging!$I$2:$I$301,$H114)&amp;""&amp;""""&amp;" is not a lot status allowed on receipt (Config).","reason is empty; adjustments need a reason.","source_link is empty; every movement needs a link to its source document.","This row would take recorded stock of "&amp;INDEX(Import_Staging!$D$2:$D$301,$H114)&amp;""&amp;" from "&amp;INDEX(Import_Staging!$R$2:$R$301,$H114)&amp;" to "&amp;INDEX(Import_Staging!$S$2:$S$301,$H114)&amp;"."),$E114))</f>
        <v/>
      </c>
      <c r="G114" s="67" t="str">
        <f>IF($A114="","",INDEX(Config!$F$39:$F$61,$J114))</f>
        <v/>
      </c>
      <c r="H114" s="66" t="str">
        <f>IF($A114="","",MATCH(COUNTIF(Import_Staging!$BS$2:$BS$301,"&lt;"&amp;$A114)+1,Import_Staging!$BR$2:$BR$301,0))</f>
        <v/>
      </c>
      <c r="I114" s="66" t="str">
        <f>IF($A114="","",$A114-INDEX(Import_Staging!$BQ$2:$BQ$301,$H114))</f>
        <v/>
      </c>
      <c r="J114" s="66" t="str">
        <f>IF($A114="","",MATCH($I114,INDEX(Import_Staging!$AT$2:$BP$301,$H114,0),0))</f>
        <v/>
      </c>
    </row>
    <row r="115">
      <c r="A115" s="65" t="str">
        <f>IF(110&lt;=$F$4,110,"")</f>
        <v/>
      </c>
      <c r="B115" s="65" t="str">
        <f>IF($A115="","",$H115+1)</f>
        <v/>
      </c>
      <c r="C115" s="66" t="str">
        <f>IF($A115="","",INDEX(Import_Staging!$A$2:$A$301,$H115)&amp;"")</f>
        <v/>
      </c>
      <c r="D115" s="66" t="str">
        <f>IF($A115="","",INDEX(Config!$C$39:$C$61,$J115))</f>
        <v/>
      </c>
      <c r="E115" s="66" t="str">
        <f>IF($A115="","",INDEX(Config!$D$39:$D$61,$J115))</f>
        <v/>
      </c>
      <c r="F115" s="67" t="str">
        <f>IF($A115="","",IFERROR(CHOOSE($J115,"movement_id is empty. Every row needs a unique movement ID.","movement_id "&amp;INDEX(Import_Staging!$A$2:$A$301,$H115)&amp;""&amp;" appears earlier in this file (row "&amp;IFERROR(MATCH(INDEX(Import_Staging!$A$2:$A$301,$H115),Import_Staging!$A$2:$A$301,0)+1,"?")&amp;"). Only the first row can be posted.","movement_id "&amp;INDEX(Import_Staging!$A$2:$A$301,$H115)&amp;""&amp;" is already in Inventory_Ledger. The ledger row was not changed.","date is empty.","date "&amp;""""&amp;INDEX(Import_Staging!$B$2:$B$301,$H115)&amp;""&amp;""""&amp;" is not a real date in yyyy-mm-dd format.","date "&amp;TEXT(INDEX(Import_Staging!$M$2:$M$301,$H115),"yyyy-mm-dd")&amp;" is after the as-of date "&amp;TEXT(Config!$B$4,"yyyy-mm-dd")&amp;".","type is empty.","type "&amp;""""&amp;INDEX(Import_Staging!$C$2:$C$301,$H115)&amp;""&amp;""""&amp;" is not a movement type listed on Config.","sku is empty.","SKU "&amp;INDEX(Import_Staging!$D$2:$D$301,$H115)&amp;""&amp;" is not in Products.","supplier_id is empty; receipts need the supplier.","Supplier "&amp;INDEX(Import_Staging!$E$2:$E$301,$H115)&amp;""&amp;" is not in Suppliers.","lot is empty; every movement needs its lot code.","Lot "&amp;INDEX(Import_Staging!$F$2:$F$301,$H115)&amp;""&amp;" is not recorded for "&amp;INDEX(Import_Staging!$D$2:$D$301,$H115)&amp;""&amp;" in Batches.","expiry is empty; receipts need the company-supplied expiry date.","expiry "&amp;""""&amp;INDEX(Import_Staging!$G$2:$G$301,$H115)&amp;""&amp;""""&amp;" is not a real date in yyyy-mm-dd format.","qty is empty.","qty "&amp;""""&amp;INDEX(Import_Staging!$H$2:$H$301,$H115)&amp;""&amp;""""&amp;" is not a valid quantity"&amp;IF(INDEX(Import_Staging!$C$2:$C$301,$H115)&amp;""="",""," for a "&amp;LOWER(INDEX(Import_Staging!$C$2:$C$301,$H115)&amp;""))&amp;".","lot_status is empty; receipts need a lot status.","lot_status "&amp;""""&amp;INDEX(Import_Staging!$I$2:$I$301,$H115)&amp;""&amp;""""&amp;" is not a lot status allowed on receipt (Config).","reason is empty; adjustments need a reason.","source_link is empty; every movement needs a link to its source document.","This row would take recorded stock of "&amp;INDEX(Import_Staging!$D$2:$D$301,$H115)&amp;""&amp;" from "&amp;INDEX(Import_Staging!$R$2:$R$301,$H115)&amp;" to "&amp;INDEX(Import_Staging!$S$2:$S$301,$H115)&amp;"."),$E115))</f>
        <v/>
      </c>
      <c r="G115" s="67" t="str">
        <f>IF($A115="","",INDEX(Config!$F$39:$F$61,$J115))</f>
        <v/>
      </c>
      <c r="H115" s="66" t="str">
        <f>IF($A115="","",MATCH(COUNTIF(Import_Staging!$BS$2:$BS$301,"&lt;"&amp;$A115)+1,Import_Staging!$BR$2:$BR$301,0))</f>
        <v/>
      </c>
      <c r="I115" s="66" t="str">
        <f>IF($A115="","",$A115-INDEX(Import_Staging!$BQ$2:$BQ$301,$H115))</f>
        <v/>
      </c>
      <c r="J115" s="66" t="str">
        <f>IF($A115="","",MATCH($I115,INDEX(Import_Staging!$AT$2:$BP$301,$H115,0),0))</f>
        <v/>
      </c>
    </row>
    <row r="116">
      <c r="A116" s="65" t="str">
        <f>IF(111&lt;=$F$4,111,"")</f>
        <v/>
      </c>
      <c r="B116" s="65" t="str">
        <f>IF($A116="","",$H116+1)</f>
        <v/>
      </c>
      <c r="C116" s="66" t="str">
        <f>IF($A116="","",INDEX(Import_Staging!$A$2:$A$301,$H116)&amp;"")</f>
        <v/>
      </c>
      <c r="D116" s="66" t="str">
        <f>IF($A116="","",INDEX(Config!$C$39:$C$61,$J116))</f>
        <v/>
      </c>
      <c r="E116" s="66" t="str">
        <f>IF($A116="","",INDEX(Config!$D$39:$D$61,$J116))</f>
        <v/>
      </c>
      <c r="F116" s="67" t="str">
        <f>IF($A116="","",IFERROR(CHOOSE($J116,"movement_id is empty. Every row needs a unique movement ID.","movement_id "&amp;INDEX(Import_Staging!$A$2:$A$301,$H116)&amp;""&amp;" appears earlier in this file (row "&amp;IFERROR(MATCH(INDEX(Import_Staging!$A$2:$A$301,$H116),Import_Staging!$A$2:$A$301,0)+1,"?")&amp;"). Only the first row can be posted.","movement_id "&amp;INDEX(Import_Staging!$A$2:$A$301,$H116)&amp;""&amp;" is already in Inventory_Ledger. The ledger row was not changed.","date is empty.","date "&amp;""""&amp;INDEX(Import_Staging!$B$2:$B$301,$H116)&amp;""&amp;""""&amp;" is not a real date in yyyy-mm-dd format.","date "&amp;TEXT(INDEX(Import_Staging!$M$2:$M$301,$H116),"yyyy-mm-dd")&amp;" is after the as-of date "&amp;TEXT(Config!$B$4,"yyyy-mm-dd")&amp;".","type is empty.","type "&amp;""""&amp;INDEX(Import_Staging!$C$2:$C$301,$H116)&amp;""&amp;""""&amp;" is not a movement type listed on Config.","sku is empty.","SKU "&amp;INDEX(Import_Staging!$D$2:$D$301,$H116)&amp;""&amp;" is not in Products.","supplier_id is empty; receipts need the supplier.","Supplier "&amp;INDEX(Import_Staging!$E$2:$E$301,$H116)&amp;""&amp;" is not in Suppliers.","lot is empty; every movement needs its lot code.","Lot "&amp;INDEX(Import_Staging!$F$2:$F$301,$H116)&amp;""&amp;" is not recorded for "&amp;INDEX(Import_Staging!$D$2:$D$301,$H116)&amp;""&amp;" in Batches.","expiry is empty; receipts need the company-supplied expiry date.","expiry "&amp;""""&amp;INDEX(Import_Staging!$G$2:$G$301,$H116)&amp;""&amp;""""&amp;" is not a real date in yyyy-mm-dd format.","qty is empty.","qty "&amp;""""&amp;INDEX(Import_Staging!$H$2:$H$301,$H116)&amp;""&amp;""""&amp;" is not a valid quantity"&amp;IF(INDEX(Import_Staging!$C$2:$C$301,$H116)&amp;""="",""," for a "&amp;LOWER(INDEX(Import_Staging!$C$2:$C$301,$H116)&amp;""))&amp;".","lot_status is empty; receipts need a lot status.","lot_status "&amp;""""&amp;INDEX(Import_Staging!$I$2:$I$301,$H116)&amp;""&amp;""""&amp;" is not a lot status allowed on receipt (Config).","reason is empty; adjustments need a reason.","source_link is empty; every movement needs a link to its source document.","This row would take recorded stock of "&amp;INDEX(Import_Staging!$D$2:$D$301,$H116)&amp;""&amp;" from "&amp;INDEX(Import_Staging!$R$2:$R$301,$H116)&amp;" to "&amp;INDEX(Import_Staging!$S$2:$S$301,$H116)&amp;"."),$E116))</f>
        <v/>
      </c>
      <c r="G116" s="67" t="str">
        <f>IF($A116="","",INDEX(Config!$F$39:$F$61,$J116))</f>
        <v/>
      </c>
      <c r="H116" s="66" t="str">
        <f>IF($A116="","",MATCH(COUNTIF(Import_Staging!$BS$2:$BS$301,"&lt;"&amp;$A116)+1,Import_Staging!$BR$2:$BR$301,0))</f>
        <v/>
      </c>
      <c r="I116" s="66" t="str">
        <f>IF($A116="","",$A116-INDEX(Import_Staging!$BQ$2:$BQ$301,$H116))</f>
        <v/>
      </c>
      <c r="J116" s="66" t="str">
        <f>IF($A116="","",MATCH($I116,INDEX(Import_Staging!$AT$2:$BP$301,$H116,0),0))</f>
        <v/>
      </c>
    </row>
    <row r="117">
      <c r="A117" s="65" t="str">
        <f>IF(112&lt;=$F$4,112,"")</f>
        <v/>
      </c>
      <c r="B117" s="65" t="str">
        <f>IF($A117="","",$H117+1)</f>
        <v/>
      </c>
      <c r="C117" s="66" t="str">
        <f>IF($A117="","",INDEX(Import_Staging!$A$2:$A$301,$H117)&amp;"")</f>
        <v/>
      </c>
      <c r="D117" s="66" t="str">
        <f>IF($A117="","",INDEX(Config!$C$39:$C$61,$J117))</f>
        <v/>
      </c>
      <c r="E117" s="66" t="str">
        <f>IF($A117="","",INDEX(Config!$D$39:$D$61,$J117))</f>
        <v/>
      </c>
      <c r="F117" s="67" t="str">
        <f>IF($A117="","",IFERROR(CHOOSE($J117,"movement_id is empty. Every row needs a unique movement ID.","movement_id "&amp;INDEX(Import_Staging!$A$2:$A$301,$H117)&amp;""&amp;" appears earlier in this file (row "&amp;IFERROR(MATCH(INDEX(Import_Staging!$A$2:$A$301,$H117),Import_Staging!$A$2:$A$301,0)+1,"?")&amp;"). Only the first row can be posted.","movement_id "&amp;INDEX(Import_Staging!$A$2:$A$301,$H117)&amp;""&amp;" is already in Inventory_Ledger. The ledger row was not changed.","date is empty.","date "&amp;""""&amp;INDEX(Import_Staging!$B$2:$B$301,$H117)&amp;""&amp;""""&amp;" is not a real date in yyyy-mm-dd format.","date "&amp;TEXT(INDEX(Import_Staging!$M$2:$M$301,$H117),"yyyy-mm-dd")&amp;" is after the as-of date "&amp;TEXT(Config!$B$4,"yyyy-mm-dd")&amp;".","type is empty.","type "&amp;""""&amp;INDEX(Import_Staging!$C$2:$C$301,$H117)&amp;""&amp;""""&amp;" is not a movement type listed on Config.","sku is empty.","SKU "&amp;INDEX(Import_Staging!$D$2:$D$301,$H117)&amp;""&amp;" is not in Products.","supplier_id is empty; receipts need the supplier.","Supplier "&amp;INDEX(Import_Staging!$E$2:$E$301,$H117)&amp;""&amp;" is not in Suppliers.","lot is empty; every movement needs its lot code.","Lot "&amp;INDEX(Import_Staging!$F$2:$F$301,$H117)&amp;""&amp;" is not recorded for "&amp;INDEX(Import_Staging!$D$2:$D$301,$H117)&amp;""&amp;" in Batches.","expiry is empty; receipts need the company-supplied expiry date.","expiry "&amp;""""&amp;INDEX(Import_Staging!$G$2:$G$301,$H117)&amp;""&amp;""""&amp;" is not a real date in yyyy-mm-dd format.","qty is empty.","qty "&amp;""""&amp;INDEX(Import_Staging!$H$2:$H$301,$H117)&amp;""&amp;""""&amp;" is not a valid quantity"&amp;IF(INDEX(Import_Staging!$C$2:$C$301,$H117)&amp;""="",""," for a "&amp;LOWER(INDEX(Import_Staging!$C$2:$C$301,$H117)&amp;""))&amp;".","lot_status is empty; receipts need a lot status.","lot_status "&amp;""""&amp;INDEX(Import_Staging!$I$2:$I$301,$H117)&amp;""&amp;""""&amp;" is not a lot status allowed on receipt (Config).","reason is empty; adjustments need a reason.","source_link is empty; every movement needs a link to its source document.","This row would take recorded stock of "&amp;INDEX(Import_Staging!$D$2:$D$301,$H117)&amp;""&amp;" from "&amp;INDEX(Import_Staging!$R$2:$R$301,$H117)&amp;" to "&amp;INDEX(Import_Staging!$S$2:$S$301,$H117)&amp;"."),$E117))</f>
        <v/>
      </c>
      <c r="G117" s="67" t="str">
        <f>IF($A117="","",INDEX(Config!$F$39:$F$61,$J117))</f>
        <v/>
      </c>
      <c r="H117" s="66" t="str">
        <f>IF($A117="","",MATCH(COUNTIF(Import_Staging!$BS$2:$BS$301,"&lt;"&amp;$A117)+1,Import_Staging!$BR$2:$BR$301,0))</f>
        <v/>
      </c>
      <c r="I117" s="66" t="str">
        <f>IF($A117="","",$A117-INDEX(Import_Staging!$BQ$2:$BQ$301,$H117))</f>
        <v/>
      </c>
      <c r="J117" s="66" t="str">
        <f>IF($A117="","",MATCH($I117,INDEX(Import_Staging!$AT$2:$BP$301,$H117,0),0))</f>
        <v/>
      </c>
    </row>
    <row r="118">
      <c r="A118" s="65" t="str">
        <f>IF(113&lt;=$F$4,113,"")</f>
        <v/>
      </c>
      <c r="B118" s="65" t="str">
        <f>IF($A118="","",$H118+1)</f>
        <v/>
      </c>
      <c r="C118" s="66" t="str">
        <f>IF($A118="","",INDEX(Import_Staging!$A$2:$A$301,$H118)&amp;"")</f>
        <v/>
      </c>
      <c r="D118" s="66" t="str">
        <f>IF($A118="","",INDEX(Config!$C$39:$C$61,$J118))</f>
        <v/>
      </c>
      <c r="E118" s="66" t="str">
        <f>IF($A118="","",INDEX(Config!$D$39:$D$61,$J118))</f>
        <v/>
      </c>
      <c r="F118" s="67" t="str">
        <f>IF($A118="","",IFERROR(CHOOSE($J118,"movement_id is empty. Every row needs a unique movement ID.","movement_id "&amp;INDEX(Import_Staging!$A$2:$A$301,$H118)&amp;""&amp;" appears earlier in this file (row "&amp;IFERROR(MATCH(INDEX(Import_Staging!$A$2:$A$301,$H118),Import_Staging!$A$2:$A$301,0)+1,"?")&amp;"). Only the first row can be posted.","movement_id "&amp;INDEX(Import_Staging!$A$2:$A$301,$H118)&amp;""&amp;" is already in Inventory_Ledger. The ledger row was not changed.","date is empty.","date "&amp;""""&amp;INDEX(Import_Staging!$B$2:$B$301,$H118)&amp;""&amp;""""&amp;" is not a real date in yyyy-mm-dd format.","date "&amp;TEXT(INDEX(Import_Staging!$M$2:$M$301,$H118),"yyyy-mm-dd")&amp;" is after the as-of date "&amp;TEXT(Config!$B$4,"yyyy-mm-dd")&amp;".","type is empty.","type "&amp;""""&amp;INDEX(Import_Staging!$C$2:$C$301,$H118)&amp;""&amp;""""&amp;" is not a movement type listed on Config.","sku is empty.","SKU "&amp;INDEX(Import_Staging!$D$2:$D$301,$H118)&amp;""&amp;" is not in Products.","supplier_id is empty; receipts need the supplier.","Supplier "&amp;INDEX(Import_Staging!$E$2:$E$301,$H118)&amp;""&amp;" is not in Suppliers.","lot is empty; every movement needs its lot code.","Lot "&amp;INDEX(Import_Staging!$F$2:$F$301,$H118)&amp;""&amp;" is not recorded for "&amp;INDEX(Import_Staging!$D$2:$D$301,$H118)&amp;""&amp;" in Batches.","expiry is empty; receipts need the company-supplied expiry date.","expiry "&amp;""""&amp;INDEX(Import_Staging!$G$2:$G$301,$H118)&amp;""&amp;""""&amp;" is not a real date in yyyy-mm-dd format.","qty is empty.","qty "&amp;""""&amp;INDEX(Import_Staging!$H$2:$H$301,$H118)&amp;""&amp;""""&amp;" is not a valid quantity"&amp;IF(INDEX(Import_Staging!$C$2:$C$301,$H118)&amp;""="",""," for a "&amp;LOWER(INDEX(Import_Staging!$C$2:$C$301,$H118)&amp;""))&amp;".","lot_status is empty; receipts need a lot status.","lot_status "&amp;""""&amp;INDEX(Import_Staging!$I$2:$I$301,$H118)&amp;""&amp;""""&amp;" is not a lot status allowed on receipt (Config).","reason is empty; adjustments need a reason.","source_link is empty; every movement needs a link to its source document.","This row would take recorded stock of "&amp;INDEX(Import_Staging!$D$2:$D$301,$H118)&amp;""&amp;" from "&amp;INDEX(Import_Staging!$R$2:$R$301,$H118)&amp;" to "&amp;INDEX(Import_Staging!$S$2:$S$301,$H118)&amp;"."),$E118))</f>
        <v/>
      </c>
      <c r="G118" s="67" t="str">
        <f>IF($A118="","",INDEX(Config!$F$39:$F$61,$J118))</f>
        <v/>
      </c>
      <c r="H118" s="66" t="str">
        <f>IF($A118="","",MATCH(COUNTIF(Import_Staging!$BS$2:$BS$301,"&lt;"&amp;$A118)+1,Import_Staging!$BR$2:$BR$301,0))</f>
        <v/>
      </c>
      <c r="I118" s="66" t="str">
        <f>IF($A118="","",$A118-INDEX(Import_Staging!$BQ$2:$BQ$301,$H118))</f>
        <v/>
      </c>
      <c r="J118" s="66" t="str">
        <f>IF($A118="","",MATCH($I118,INDEX(Import_Staging!$AT$2:$BP$301,$H118,0),0))</f>
        <v/>
      </c>
    </row>
    <row r="119">
      <c r="A119" s="65" t="str">
        <f>IF(114&lt;=$F$4,114,"")</f>
        <v/>
      </c>
      <c r="B119" s="65" t="str">
        <f>IF($A119="","",$H119+1)</f>
        <v/>
      </c>
      <c r="C119" s="66" t="str">
        <f>IF($A119="","",INDEX(Import_Staging!$A$2:$A$301,$H119)&amp;"")</f>
        <v/>
      </c>
      <c r="D119" s="66" t="str">
        <f>IF($A119="","",INDEX(Config!$C$39:$C$61,$J119))</f>
        <v/>
      </c>
      <c r="E119" s="66" t="str">
        <f>IF($A119="","",INDEX(Config!$D$39:$D$61,$J119))</f>
        <v/>
      </c>
      <c r="F119" s="67" t="str">
        <f>IF($A119="","",IFERROR(CHOOSE($J119,"movement_id is empty. Every row needs a unique movement ID.","movement_id "&amp;INDEX(Import_Staging!$A$2:$A$301,$H119)&amp;""&amp;" appears earlier in this file (row "&amp;IFERROR(MATCH(INDEX(Import_Staging!$A$2:$A$301,$H119),Import_Staging!$A$2:$A$301,0)+1,"?")&amp;"). Only the first row can be posted.","movement_id "&amp;INDEX(Import_Staging!$A$2:$A$301,$H119)&amp;""&amp;" is already in Inventory_Ledger. The ledger row was not changed.","date is empty.","date "&amp;""""&amp;INDEX(Import_Staging!$B$2:$B$301,$H119)&amp;""&amp;""""&amp;" is not a real date in yyyy-mm-dd format.","date "&amp;TEXT(INDEX(Import_Staging!$M$2:$M$301,$H119),"yyyy-mm-dd")&amp;" is after the as-of date "&amp;TEXT(Config!$B$4,"yyyy-mm-dd")&amp;".","type is empty.","type "&amp;""""&amp;INDEX(Import_Staging!$C$2:$C$301,$H119)&amp;""&amp;""""&amp;" is not a movement type listed on Config.","sku is empty.","SKU "&amp;INDEX(Import_Staging!$D$2:$D$301,$H119)&amp;""&amp;" is not in Products.","supplier_id is empty; receipts need the supplier.","Supplier "&amp;INDEX(Import_Staging!$E$2:$E$301,$H119)&amp;""&amp;" is not in Suppliers.","lot is empty; every movement needs its lot code.","Lot "&amp;INDEX(Import_Staging!$F$2:$F$301,$H119)&amp;""&amp;" is not recorded for "&amp;INDEX(Import_Staging!$D$2:$D$301,$H119)&amp;""&amp;" in Batches.","expiry is empty; receipts need the company-supplied expiry date.","expiry "&amp;""""&amp;INDEX(Import_Staging!$G$2:$G$301,$H119)&amp;""&amp;""""&amp;" is not a real date in yyyy-mm-dd format.","qty is empty.","qty "&amp;""""&amp;INDEX(Import_Staging!$H$2:$H$301,$H119)&amp;""&amp;""""&amp;" is not a valid quantity"&amp;IF(INDEX(Import_Staging!$C$2:$C$301,$H119)&amp;""="",""," for a "&amp;LOWER(INDEX(Import_Staging!$C$2:$C$301,$H119)&amp;""))&amp;".","lot_status is empty; receipts need a lot status.","lot_status "&amp;""""&amp;INDEX(Import_Staging!$I$2:$I$301,$H119)&amp;""&amp;""""&amp;" is not a lot status allowed on receipt (Config).","reason is empty; adjustments need a reason.","source_link is empty; every movement needs a link to its source document.","This row would take recorded stock of "&amp;INDEX(Import_Staging!$D$2:$D$301,$H119)&amp;""&amp;" from "&amp;INDEX(Import_Staging!$R$2:$R$301,$H119)&amp;" to "&amp;INDEX(Import_Staging!$S$2:$S$301,$H119)&amp;"."),$E119))</f>
        <v/>
      </c>
      <c r="G119" s="67" t="str">
        <f>IF($A119="","",INDEX(Config!$F$39:$F$61,$J119))</f>
        <v/>
      </c>
      <c r="H119" s="66" t="str">
        <f>IF($A119="","",MATCH(COUNTIF(Import_Staging!$BS$2:$BS$301,"&lt;"&amp;$A119)+1,Import_Staging!$BR$2:$BR$301,0))</f>
        <v/>
      </c>
      <c r="I119" s="66" t="str">
        <f>IF($A119="","",$A119-INDEX(Import_Staging!$BQ$2:$BQ$301,$H119))</f>
        <v/>
      </c>
      <c r="J119" s="66" t="str">
        <f>IF($A119="","",MATCH($I119,INDEX(Import_Staging!$AT$2:$BP$301,$H119,0),0))</f>
        <v/>
      </c>
    </row>
    <row r="120">
      <c r="A120" s="65" t="str">
        <f>IF(115&lt;=$F$4,115,"")</f>
        <v/>
      </c>
      <c r="B120" s="65" t="str">
        <f>IF($A120="","",$H120+1)</f>
        <v/>
      </c>
      <c r="C120" s="66" t="str">
        <f>IF($A120="","",INDEX(Import_Staging!$A$2:$A$301,$H120)&amp;"")</f>
        <v/>
      </c>
      <c r="D120" s="66" t="str">
        <f>IF($A120="","",INDEX(Config!$C$39:$C$61,$J120))</f>
        <v/>
      </c>
      <c r="E120" s="66" t="str">
        <f>IF($A120="","",INDEX(Config!$D$39:$D$61,$J120))</f>
        <v/>
      </c>
      <c r="F120" s="67" t="str">
        <f>IF($A120="","",IFERROR(CHOOSE($J120,"movement_id is empty. Every row needs a unique movement ID.","movement_id "&amp;INDEX(Import_Staging!$A$2:$A$301,$H120)&amp;""&amp;" appears earlier in this file (row "&amp;IFERROR(MATCH(INDEX(Import_Staging!$A$2:$A$301,$H120),Import_Staging!$A$2:$A$301,0)+1,"?")&amp;"). Only the first row can be posted.","movement_id "&amp;INDEX(Import_Staging!$A$2:$A$301,$H120)&amp;""&amp;" is already in Inventory_Ledger. The ledger row was not changed.","date is empty.","date "&amp;""""&amp;INDEX(Import_Staging!$B$2:$B$301,$H120)&amp;""&amp;""""&amp;" is not a real date in yyyy-mm-dd format.","date "&amp;TEXT(INDEX(Import_Staging!$M$2:$M$301,$H120),"yyyy-mm-dd")&amp;" is after the as-of date "&amp;TEXT(Config!$B$4,"yyyy-mm-dd")&amp;".","type is empty.","type "&amp;""""&amp;INDEX(Import_Staging!$C$2:$C$301,$H120)&amp;""&amp;""""&amp;" is not a movement type listed on Config.","sku is empty.","SKU "&amp;INDEX(Import_Staging!$D$2:$D$301,$H120)&amp;""&amp;" is not in Products.","supplier_id is empty; receipts need the supplier.","Supplier "&amp;INDEX(Import_Staging!$E$2:$E$301,$H120)&amp;""&amp;" is not in Suppliers.","lot is empty; every movement needs its lot code.","Lot "&amp;INDEX(Import_Staging!$F$2:$F$301,$H120)&amp;""&amp;" is not recorded for "&amp;INDEX(Import_Staging!$D$2:$D$301,$H120)&amp;""&amp;" in Batches.","expiry is empty; receipts need the company-supplied expiry date.","expiry "&amp;""""&amp;INDEX(Import_Staging!$G$2:$G$301,$H120)&amp;""&amp;""""&amp;" is not a real date in yyyy-mm-dd format.","qty is empty.","qty "&amp;""""&amp;INDEX(Import_Staging!$H$2:$H$301,$H120)&amp;""&amp;""""&amp;" is not a valid quantity"&amp;IF(INDEX(Import_Staging!$C$2:$C$301,$H120)&amp;""="",""," for a "&amp;LOWER(INDEX(Import_Staging!$C$2:$C$301,$H120)&amp;""))&amp;".","lot_status is empty; receipts need a lot status.","lot_status "&amp;""""&amp;INDEX(Import_Staging!$I$2:$I$301,$H120)&amp;""&amp;""""&amp;" is not a lot status allowed on receipt (Config).","reason is empty; adjustments need a reason.","source_link is empty; every movement needs a link to its source document.","This row would take recorded stock of "&amp;INDEX(Import_Staging!$D$2:$D$301,$H120)&amp;""&amp;" from "&amp;INDEX(Import_Staging!$R$2:$R$301,$H120)&amp;" to "&amp;INDEX(Import_Staging!$S$2:$S$301,$H120)&amp;"."),$E120))</f>
        <v/>
      </c>
      <c r="G120" s="67" t="str">
        <f>IF($A120="","",INDEX(Config!$F$39:$F$61,$J120))</f>
        <v/>
      </c>
      <c r="H120" s="66" t="str">
        <f>IF($A120="","",MATCH(COUNTIF(Import_Staging!$BS$2:$BS$301,"&lt;"&amp;$A120)+1,Import_Staging!$BR$2:$BR$301,0))</f>
        <v/>
      </c>
      <c r="I120" s="66" t="str">
        <f>IF($A120="","",$A120-INDEX(Import_Staging!$BQ$2:$BQ$301,$H120))</f>
        <v/>
      </c>
      <c r="J120" s="66" t="str">
        <f>IF($A120="","",MATCH($I120,INDEX(Import_Staging!$AT$2:$BP$301,$H120,0),0))</f>
        <v/>
      </c>
    </row>
    <row r="121">
      <c r="A121" s="65" t="str">
        <f>IF(116&lt;=$F$4,116,"")</f>
        <v/>
      </c>
      <c r="B121" s="65" t="str">
        <f>IF($A121="","",$H121+1)</f>
        <v/>
      </c>
      <c r="C121" s="66" t="str">
        <f>IF($A121="","",INDEX(Import_Staging!$A$2:$A$301,$H121)&amp;"")</f>
        <v/>
      </c>
      <c r="D121" s="66" t="str">
        <f>IF($A121="","",INDEX(Config!$C$39:$C$61,$J121))</f>
        <v/>
      </c>
      <c r="E121" s="66" t="str">
        <f>IF($A121="","",INDEX(Config!$D$39:$D$61,$J121))</f>
        <v/>
      </c>
      <c r="F121" s="67" t="str">
        <f>IF($A121="","",IFERROR(CHOOSE($J121,"movement_id is empty. Every row needs a unique movement ID.","movement_id "&amp;INDEX(Import_Staging!$A$2:$A$301,$H121)&amp;""&amp;" appears earlier in this file (row "&amp;IFERROR(MATCH(INDEX(Import_Staging!$A$2:$A$301,$H121),Import_Staging!$A$2:$A$301,0)+1,"?")&amp;"). Only the first row can be posted.","movement_id "&amp;INDEX(Import_Staging!$A$2:$A$301,$H121)&amp;""&amp;" is already in Inventory_Ledger. The ledger row was not changed.","date is empty.","date "&amp;""""&amp;INDEX(Import_Staging!$B$2:$B$301,$H121)&amp;""&amp;""""&amp;" is not a real date in yyyy-mm-dd format.","date "&amp;TEXT(INDEX(Import_Staging!$M$2:$M$301,$H121),"yyyy-mm-dd")&amp;" is after the as-of date "&amp;TEXT(Config!$B$4,"yyyy-mm-dd")&amp;".","type is empty.","type "&amp;""""&amp;INDEX(Import_Staging!$C$2:$C$301,$H121)&amp;""&amp;""""&amp;" is not a movement type listed on Config.","sku is empty.","SKU "&amp;INDEX(Import_Staging!$D$2:$D$301,$H121)&amp;""&amp;" is not in Products.","supplier_id is empty; receipts need the supplier.","Supplier "&amp;INDEX(Import_Staging!$E$2:$E$301,$H121)&amp;""&amp;" is not in Suppliers.","lot is empty; every movement needs its lot code.","Lot "&amp;INDEX(Import_Staging!$F$2:$F$301,$H121)&amp;""&amp;" is not recorded for "&amp;INDEX(Import_Staging!$D$2:$D$301,$H121)&amp;""&amp;" in Batches.","expiry is empty; receipts need the company-supplied expiry date.","expiry "&amp;""""&amp;INDEX(Import_Staging!$G$2:$G$301,$H121)&amp;""&amp;""""&amp;" is not a real date in yyyy-mm-dd format.","qty is empty.","qty "&amp;""""&amp;INDEX(Import_Staging!$H$2:$H$301,$H121)&amp;""&amp;""""&amp;" is not a valid quantity"&amp;IF(INDEX(Import_Staging!$C$2:$C$301,$H121)&amp;""="",""," for a "&amp;LOWER(INDEX(Import_Staging!$C$2:$C$301,$H121)&amp;""))&amp;".","lot_status is empty; receipts need a lot status.","lot_status "&amp;""""&amp;INDEX(Import_Staging!$I$2:$I$301,$H121)&amp;""&amp;""""&amp;" is not a lot status allowed on receipt (Config).","reason is empty; adjustments need a reason.","source_link is empty; every movement needs a link to its source document.","This row would take recorded stock of "&amp;INDEX(Import_Staging!$D$2:$D$301,$H121)&amp;""&amp;" from "&amp;INDEX(Import_Staging!$R$2:$R$301,$H121)&amp;" to "&amp;INDEX(Import_Staging!$S$2:$S$301,$H121)&amp;"."),$E121))</f>
        <v/>
      </c>
      <c r="G121" s="67" t="str">
        <f>IF($A121="","",INDEX(Config!$F$39:$F$61,$J121))</f>
        <v/>
      </c>
      <c r="H121" s="66" t="str">
        <f>IF($A121="","",MATCH(COUNTIF(Import_Staging!$BS$2:$BS$301,"&lt;"&amp;$A121)+1,Import_Staging!$BR$2:$BR$301,0))</f>
        <v/>
      </c>
      <c r="I121" s="66" t="str">
        <f>IF($A121="","",$A121-INDEX(Import_Staging!$BQ$2:$BQ$301,$H121))</f>
        <v/>
      </c>
      <c r="J121" s="66" t="str">
        <f>IF($A121="","",MATCH($I121,INDEX(Import_Staging!$AT$2:$BP$301,$H121,0),0))</f>
        <v/>
      </c>
    </row>
    <row r="122">
      <c r="A122" s="65" t="str">
        <f>IF(117&lt;=$F$4,117,"")</f>
        <v/>
      </c>
      <c r="B122" s="65" t="str">
        <f>IF($A122="","",$H122+1)</f>
        <v/>
      </c>
      <c r="C122" s="66" t="str">
        <f>IF($A122="","",INDEX(Import_Staging!$A$2:$A$301,$H122)&amp;"")</f>
        <v/>
      </c>
      <c r="D122" s="66" t="str">
        <f>IF($A122="","",INDEX(Config!$C$39:$C$61,$J122))</f>
        <v/>
      </c>
      <c r="E122" s="66" t="str">
        <f>IF($A122="","",INDEX(Config!$D$39:$D$61,$J122))</f>
        <v/>
      </c>
      <c r="F122" s="67" t="str">
        <f>IF($A122="","",IFERROR(CHOOSE($J122,"movement_id is empty. Every row needs a unique movement ID.","movement_id "&amp;INDEX(Import_Staging!$A$2:$A$301,$H122)&amp;""&amp;" appears earlier in this file (row "&amp;IFERROR(MATCH(INDEX(Import_Staging!$A$2:$A$301,$H122),Import_Staging!$A$2:$A$301,0)+1,"?")&amp;"). Only the first row can be posted.","movement_id "&amp;INDEX(Import_Staging!$A$2:$A$301,$H122)&amp;""&amp;" is already in Inventory_Ledger. The ledger row was not changed.","date is empty.","date "&amp;""""&amp;INDEX(Import_Staging!$B$2:$B$301,$H122)&amp;""&amp;""""&amp;" is not a real date in yyyy-mm-dd format.","date "&amp;TEXT(INDEX(Import_Staging!$M$2:$M$301,$H122),"yyyy-mm-dd")&amp;" is after the as-of date "&amp;TEXT(Config!$B$4,"yyyy-mm-dd")&amp;".","type is empty.","type "&amp;""""&amp;INDEX(Import_Staging!$C$2:$C$301,$H122)&amp;""&amp;""""&amp;" is not a movement type listed on Config.","sku is empty.","SKU "&amp;INDEX(Import_Staging!$D$2:$D$301,$H122)&amp;""&amp;" is not in Products.","supplier_id is empty; receipts need the supplier.","Supplier "&amp;INDEX(Import_Staging!$E$2:$E$301,$H122)&amp;""&amp;" is not in Suppliers.","lot is empty; every movement needs its lot code.","Lot "&amp;INDEX(Import_Staging!$F$2:$F$301,$H122)&amp;""&amp;" is not recorded for "&amp;INDEX(Import_Staging!$D$2:$D$301,$H122)&amp;""&amp;" in Batches.","expiry is empty; receipts need the company-supplied expiry date.","expiry "&amp;""""&amp;INDEX(Import_Staging!$G$2:$G$301,$H122)&amp;""&amp;""""&amp;" is not a real date in yyyy-mm-dd format.","qty is empty.","qty "&amp;""""&amp;INDEX(Import_Staging!$H$2:$H$301,$H122)&amp;""&amp;""""&amp;" is not a valid quantity"&amp;IF(INDEX(Import_Staging!$C$2:$C$301,$H122)&amp;""="",""," for a "&amp;LOWER(INDEX(Import_Staging!$C$2:$C$301,$H122)&amp;""))&amp;".","lot_status is empty; receipts need a lot status.","lot_status "&amp;""""&amp;INDEX(Import_Staging!$I$2:$I$301,$H122)&amp;""&amp;""""&amp;" is not a lot status allowed on receipt (Config).","reason is empty; adjustments need a reason.","source_link is empty; every movement needs a link to its source document.","This row would take recorded stock of "&amp;INDEX(Import_Staging!$D$2:$D$301,$H122)&amp;""&amp;" from "&amp;INDEX(Import_Staging!$R$2:$R$301,$H122)&amp;" to "&amp;INDEX(Import_Staging!$S$2:$S$301,$H122)&amp;"."),$E122))</f>
        <v/>
      </c>
      <c r="G122" s="67" t="str">
        <f>IF($A122="","",INDEX(Config!$F$39:$F$61,$J122))</f>
        <v/>
      </c>
      <c r="H122" s="66" t="str">
        <f>IF($A122="","",MATCH(COUNTIF(Import_Staging!$BS$2:$BS$301,"&lt;"&amp;$A122)+1,Import_Staging!$BR$2:$BR$301,0))</f>
        <v/>
      </c>
      <c r="I122" s="66" t="str">
        <f>IF($A122="","",$A122-INDEX(Import_Staging!$BQ$2:$BQ$301,$H122))</f>
        <v/>
      </c>
      <c r="J122" s="66" t="str">
        <f>IF($A122="","",MATCH($I122,INDEX(Import_Staging!$AT$2:$BP$301,$H122,0),0))</f>
        <v/>
      </c>
    </row>
    <row r="123">
      <c r="A123" s="65" t="str">
        <f>IF(118&lt;=$F$4,118,"")</f>
        <v/>
      </c>
      <c r="B123" s="65" t="str">
        <f>IF($A123="","",$H123+1)</f>
        <v/>
      </c>
      <c r="C123" s="66" t="str">
        <f>IF($A123="","",INDEX(Import_Staging!$A$2:$A$301,$H123)&amp;"")</f>
        <v/>
      </c>
      <c r="D123" s="66" t="str">
        <f>IF($A123="","",INDEX(Config!$C$39:$C$61,$J123))</f>
        <v/>
      </c>
      <c r="E123" s="66" t="str">
        <f>IF($A123="","",INDEX(Config!$D$39:$D$61,$J123))</f>
        <v/>
      </c>
      <c r="F123" s="67" t="str">
        <f>IF($A123="","",IFERROR(CHOOSE($J123,"movement_id is empty. Every row needs a unique movement ID.","movement_id "&amp;INDEX(Import_Staging!$A$2:$A$301,$H123)&amp;""&amp;" appears earlier in this file (row "&amp;IFERROR(MATCH(INDEX(Import_Staging!$A$2:$A$301,$H123),Import_Staging!$A$2:$A$301,0)+1,"?")&amp;"). Only the first row can be posted.","movement_id "&amp;INDEX(Import_Staging!$A$2:$A$301,$H123)&amp;""&amp;" is already in Inventory_Ledger. The ledger row was not changed.","date is empty.","date "&amp;""""&amp;INDEX(Import_Staging!$B$2:$B$301,$H123)&amp;""&amp;""""&amp;" is not a real date in yyyy-mm-dd format.","date "&amp;TEXT(INDEX(Import_Staging!$M$2:$M$301,$H123),"yyyy-mm-dd")&amp;" is after the as-of date "&amp;TEXT(Config!$B$4,"yyyy-mm-dd")&amp;".","type is empty.","type "&amp;""""&amp;INDEX(Import_Staging!$C$2:$C$301,$H123)&amp;""&amp;""""&amp;" is not a movement type listed on Config.","sku is empty.","SKU "&amp;INDEX(Import_Staging!$D$2:$D$301,$H123)&amp;""&amp;" is not in Products.","supplier_id is empty; receipts need the supplier.","Supplier "&amp;INDEX(Import_Staging!$E$2:$E$301,$H123)&amp;""&amp;" is not in Suppliers.","lot is empty; every movement needs its lot code.","Lot "&amp;INDEX(Import_Staging!$F$2:$F$301,$H123)&amp;""&amp;" is not recorded for "&amp;INDEX(Import_Staging!$D$2:$D$301,$H123)&amp;""&amp;" in Batches.","expiry is empty; receipts need the company-supplied expiry date.","expiry "&amp;""""&amp;INDEX(Import_Staging!$G$2:$G$301,$H123)&amp;""&amp;""""&amp;" is not a real date in yyyy-mm-dd format.","qty is empty.","qty "&amp;""""&amp;INDEX(Import_Staging!$H$2:$H$301,$H123)&amp;""&amp;""""&amp;" is not a valid quantity"&amp;IF(INDEX(Import_Staging!$C$2:$C$301,$H123)&amp;""="",""," for a "&amp;LOWER(INDEX(Import_Staging!$C$2:$C$301,$H123)&amp;""))&amp;".","lot_status is empty; receipts need a lot status.","lot_status "&amp;""""&amp;INDEX(Import_Staging!$I$2:$I$301,$H123)&amp;""&amp;""""&amp;" is not a lot status allowed on receipt (Config).","reason is empty; adjustments need a reason.","source_link is empty; every movement needs a link to its source document.","This row would take recorded stock of "&amp;INDEX(Import_Staging!$D$2:$D$301,$H123)&amp;""&amp;" from "&amp;INDEX(Import_Staging!$R$2:$R$301,$H123)&amp;" to "&amp;INDEX(Import_Staging!$S$2:$S$301,$H123)&amp;"."),$E123))</f>
        <v/>
      </c>
      <c r="G123" s="67" t="str">
        <f>IF($A123="","",INDEX(Config!$F$39:$F$61,$J123))</f>
        <v/>
      </c>
      <c r="H123" s="66" t="str">
        <f>IF($A123="","",MATCH(COUNTIF(Import_Staging!$BS$2:$BS$301,"&lt;"&amp;$A123)+1,Import_Staging!$BR$2:$BR$301,0))</f>
        <v/>
      </c>
      <c r="I123" s="66" t="str">
        <f>IF($A123="","",$A123-INDEX(Import_Staging!$BQ$2:$BQ$301,$H123))</f>
        <v/>
      </c>
      <c r="J123" s="66" t="str">
        <f>IF($A123="","",MATCH($I123,INDEX(Import_Staging!$AT$2:$BP$301,$H123,0),0))</f>
        <v/>
      </c>
    </row>
    <row r="124">
      <c r="A124" s="65" t="str">
        <f>IF(119&lt;=$F$4,119,"")</f>
        <v/>
      </c>
      <c r="B124" s="65" t="str">
        <f>IF($A124="","",$H124+1)</f>
        <v/>
      </c>
      <c r="C124" s="66" t="str">
        <f>IF($A124="","",INDEX(Import_Staging!$A$2:$A$301,$H124)&amp;"")</f>
        <v/>
      </c>
      <c r="D124" s="66" t="str">
        <f>IF($A124="","",INDEX(Config!$C$39:$C$61,$J124))</f>
        <v/>
      </c>
      <c r="E124" s="66" t="str">
        <f>IF($A124="","",INDEX(Config!$D$39:$D$61,$J124))</f>
        <v/>
      </c>
      <c r="F124" s="67" t="str">
        <f>IF($A124="","",IFERROR(CHOOSE($J124,"movement_id is empty. Every row needs a unique movement ID.","movement_id "&amp;INDEX(Import_Staging!$A$2:$A$301,$H124)&amp;""&amp;" appears earlier in this file (row "&amp;IFERROR(MATCH(INDEX(Import_Staging!$A$2:$A$301,$H124),Import_Staging!$A$2:$A$301,0)+1,"?")&amp;"). Only the first row can be posted.","movement_id "&amp;INDEX(Import_Staging!$A$2:$A$301,$H124)&amp;""&amp;" is already in Inventory_Ledger. The ledger row was not changed.","date is empty.","date "&amp;""""&amp;INDEX(Import_Staging!$B$2:$B$301,$H124)&amp;""&amp;""""&amp;" is not a real date in yyyy-mm-dd format.","date "&amp;TEXT(INDEX(Import_Staging!$M$2:$M$301,$H124),"yyyy-mm-dd")&amp;" is after the as-of date "&amp;TEXT(Config!$B$4,"yyyy-mm-dd")&amp;".","type is empty.","type "&amp;""""&amp;INDEX(Import_Staging!$C$2:$C$301,$H124)&amp;""&amp;""""&amp;" is not a movement type listed on Config.","sku is empty.","SKU "&amp;INDEX(Import_Staging!$D$2:$D$301,$H124)&amp;""&amp;" is not in Products.","supplier_id is empty; receipts need the supplier.","Supplier "&amp;INDEX(Import_Staging!$E$2:$E$301,$H124)&amp;""&amp;" is not in Suppliers.","lot is empty; every movement needs its lot code.","Lot "&amp;INDEX(Import_Staging!$F$2:$F$301,$H124)&amp;""&amp;" is not recorded for "&amp;INDEX(Import_Staging!$D$2:$D$301,$H124)&amp;""&amp;" in Batches.","expiry is empty; receipts need the company-supplied expiry date.","expiry "&amp;""""&amp;INDEX(Import_Staging!$G$2:$G$301,$H124)&amp;""&amp;""""&amp;" is not a real date in yyyy-mm-dd format.","qty is empty.","qty "&amp;""""&amp;INDEX(Import_Staging!$H$2:$H$301,$H124)&amp;""&amp;""""&amp;" is not a valid quantity"&amp;IF(INDEX(Import_Staging!$C$2:$C$301,$H124)&amp;""="",""," for a "&amp;LOWER(INDEX(Import_Staging!$C$2:$C$301,$H124)&amp;""))&amp;".","lot_status is empty; receipts need a lot status.","lot_status "&amp;""""&amp;INDEX(Import_Staging!$I$2:$I$301,$H124)&amp;""&amp;""""&amp;" is not a lot status allowed on receipt (Config).","reason is empty; adjustments need a reason.","source_link is empty; every movement needs a link to its source document.","This row would take recorded stock of "&amp;INDEX(Import_Staging!$D$2:$D$301,$H124)&amp;""&amp;" from "&amp;INDEX(Import_Staging!$R$2:$R$301,$H124)&amp;" to "&amp;INDEX(Import_Staging!$S$2:$S$301,$H124)&amp;"."),$E124))</f>
        <v/>
      </c>
      <c r="G124" s="67" t="str">
        <f>IF($A124="","",INDEX(Config!$F$39:$F$61,$J124))</f>
        <v/>
      </c>
      <c r="H124" s="66" t="str">
        <f>IF($A124="","",MATCH(COUNTIF(Import_Staging!$BS$2:$BS$301,"&lt;"&amp;$A124)+1,Import_Staging!$BR$2:$BR$301,0))</f>
        <v/>
      </c>
      <c r="I124" s="66" t="str">
        <f>IF($A124="","",$A124-INDEX(Import_Staging!$BQ$2:$BQ$301,$H124))</f>
        <v/>
      </c>
      <c r="J124" s="66" t="str">
        <f>IF($A124="","",MATCH($I124,INDEX(Import_Staging!$AT$2:$BP$301,$H124,0),0))</f>
        <v/>
      </c>
    </row>
    <row r="125">
      <c r="A125" s="65" t="str">
        <f>IF(120&lt;=$F$4,120,"")</f>
        <v/>
      </c>
      <c r="B125" s="65" t="str">
        <f>IF($A125="","",$H125+1)</f>
        <v/>
      </c>
      <c r="C125" s="66" t="str">
        <f>IF($A125="","",INDEX(Import_Staging!$A$2:$A$301,$H125)&amp;"")</f>
        <v/>
      </c>
      <c r="D125" s="66" t="str">
        <f>IF($A125="","",INDEX(Config!$C$39:$C$61,$J125))</f>
        <v/>
      </c>
      <c r="E125" s="66" t="str">
        <f>IF($A125="","",INDEX(Config!$D$39:$D$61,$J125))</f>
        <v/>
      </c>
      <c r="F125" s="67" t="str">
        <f>IF($A125="","",IFERROR(CHOOSE($J125,"movement_id is empty. Every row needs a unique movement ID.","movement_id "&amp;INDEX(Import_Staging!$A$2:$A$301,$H125)&amp;""&amp;" appears earlier in this file (row "&amp;IFERROR(MATCH(INDEX(Import_Staging!$A$2:$A$301,$H125),Import_Staging!$A$2:$A$301,0)+1,"?")&amp;"). Only the first row can be posted.","movement_id "&amp;INDEX(Import_Staging!$A$2:$A$301,$H125)&amp;""&amp;" is already in Inventory_Ledger. The ledger row was not changed.","date is empty.","date "&amp;""""&amp;INDEX(Import_Staging!$B$2:$B$301,$H125)&amp;""&amp;""""&amp;" is not a real date in yyyy-mm-dd format.","date "&amp;TEXT(INDEX(Import_Staging!$M$2:$M$301,$H125),"yyyy-mm-dd")&amp;" is after the as-of date "&amp;TEXT(Config!$B$4,"yyyy-mm-dd")&amp;".","type is empty.","type "&amp;""""&amp;INDEX(Import_Staging!$C$2:$C$301,$H125)&amp;""&amp;""""&amp;" is not a movement type listed on Config.","sku is empty.","SKU "&amp;INDEX(Import_Staging!$D$2:$D$301,$H125)&amp;""&amp;" is not in Products.","supplier_id is empty; receipts need the supplier.","Supplier "&amp;INDEX(Import_Staging!$E$2:$E$301,$H125)&amp;""&amp;" is not in Suppliers.","lot is empty; every movement needs its lot code.","Lot "&amp;INDEX(Import_Staging!$F$2:$F$301,$H125)&amp;""&amp;" is not recorded for "&amp;INDEX(Import_Staging!$D$2:$D$301,$H125)&amp;""&amp;" in Batches.","expiry is empty; receipts need the company-supplied expiry date.","expiry "&amp;""""&amp;INDEX(Import_Staging!$G$2:$G$301,$H125)&amp;""&amp;""""&amp;" is not a real date in yyyy-mm-dd format.","qty is empty.","qty "&amp;""""&amp;INDEX(Import_Staging!$H$2:$H$301,$H125)&amp;""&amp;""""&amp;" is not a valid quantity"&amp;IF(INDEX(Import_Staging!$C$2:$C$301,$H125)&amp;""="",""," for a "&amp;LOWER(INDEX(Import_Staging!$C$2:$C$301,$H125)&amp;""))&amp;".","lot_status is empty; receipts need a lot status.","lot_status "&amp;""""&amp;INDEX(Import_Staging!$I$2:$I$301,$H125)&amp;""&amp;""""&amp;" is not a lot status allowed on receipt (Config).","reason is empty; adjustments need a reason.","source_link is empty; every movement needs a link to its source document.","This row would take recorded stock of "&amp;INDEX(Import_Staging!$D$2:$D$301,$H125)&amp;""&amp;" from "&amp;INDEX(Import_Staging!$R$2:$R$301,$H125)&amp;" to "&amp;INDEX(Import_Staging!$S$2:$S$301,$H125)&amp;"."),$E125))</f>
        <v/>
      </c>
      <c r="G125" s="67" t="str">
        <f>IF($A125="","",INDEX(Config!$F$39:$F$61,$J125))</f>
        <v/>
      </c>
      <c r="H125" s="66" t="str">
        <f>IF($A125="","",MATCH(COUNTIF(Import_Staging!$BS$2:$BS$301,"&lt;"&amp;$A125)+1,Import_Staging!$BR$2:$BR$301,0))</f>
        <v/>
      </c>
      <c r="I125" s="66" t="str">
        <f>IF($A125="","",$A125-INDEX(Import_Staging!$BQ$2:$BQ$301,$H125))</f>
        <v/>
      </c>
      <c r="J125" s="66" t="str">
        <f>IF($A125="","",MATCH($I125,INDEX(Import_Staging!$AT$2:$BP$301,$H125,0),0))</f>
        <v/>
      </c>
    </row>
    <row r="126">
      <c r="A126" s="65" t="str">
        <f>IF(121&lt;=$F$4,121,"")</f>
        <v/>
      </c>
      <c r="B126" s="65" t="str">
        <f>IF($A126="","",$H126+1)</f>
        <v/>
      </c>
      <c r="C126" s="66" t="str">
        <f>IF($A126="","",INDEX(Import_Staging!$A$2:$A$301,$H126)&amp;"")</f>
        <v/>
      </c>
      <c r="D126" s="66" t="str">
        <f>IF($A126="","",INDEX(Config!$C$39:$C$61,$J126))</f>
        <v/>
      </c>
      <c r="E126" s="66" t="str">
        <f>IF($A126="","",INDEX(Config!$D$39:$D$61,$J126))</f>
        <v/>
      </c>
      <c r="F126" s="67" t="str">
        <f>IF($A126="","",IFERROR(CHOOSE($J126,"movement_id is empty. Every row needs a unique movement ID.","movement_id "&amp;INDEX(Import_Staging!$A$2:$A$301,$H126)&amp;""&amp;" appears earlier in this file (row "&amp;IFERROR(MATCH(INDEX(Import_Staging!$A$2:$A$301,$H126),Import_Staging!$A$2:$A$301,0)+1,"?")&amp;"). Only the first row can be posted.","movement_id "&amp;INDEX(Import_Staging!$A$2:$A$301,$H126)&amp;""&amp;" is already in Inventory_Ledger. The ledger row was not changed.","date is empty.","date "&amp;""""&amp;INDEX(Import_Staging!$B$2:$B$301,$H126)&amp;""&amp;""""&amp;" is not a real date in yyyy-mm-dd format.","date "&amp;TEXT(INDEX(Import_Staging!$M$2:$M$301,$H126),"yyyy-mm-dd")&amp;" is after the as-of date "&amp;TEXT(Config!$B$4,"yyyy-mm-dd")&amp;".","type is empty.","type "&amp;""""&amp;INDEX(Import_Staging!$C$2:$C$301,$H126)&amp;""&amp;""""&amp;" is not a movement type listed on Config.","sku is empty.","SKU "&amp;INDEX(Import_Staging!$D$2:$D$301,$H126)&amp;""&amp;" is not in Products.","supplier_id is empty; receipts need the supplier.","Supplier "&amp;INDEX(Import_Staging!$E$2:$E$301,$H126)&amp;""&amp;" is not in Suppliers.","lot is empty; every movement needs its lot code.","Lot "&amp;INDEX(Import_Staging!$F$2:$F$301,$H126)&amp;""&amp;" is not recorded for "&amp;INDEX(Import_Staging!$D$2:$D$301,$H126)&amp;""&amp;" in Batches.","expiry is empty; receipts need the company-supplied expiry date.","expiry "&amp;""""&amp;INDEX(Import_Staging!$G$2:$G$301,$H126)&amp;""&amp;""""&amp;" is not a real date in yyyy-mm-dd format.","qty is empty.","qty "&amp;""""&amp;INDEX(Import_Staging!$H$2:$H$301,$H126)&amp;""&amp;""""&amp;" is not a valid quantity"&amp;IF(INDEX(Import_Staging!$C$2:$C$301,$H126)&amp;""="",""," for a "&amp;LOWER(INDEX(Import_Staging!$C$2:$C$301,$H126)&amp;""))&amp;".","lot_status is empty; receipts need a lot status.","lot_status "&amp;""""&amp;INDEX(Import_Staging!$I$2:$I$301,$H126)&amp;""&amp;""""&amp;" is not a lot status allowed on receipt (Config).","reason is empty; adjustments need a reason.","source_link is empty; every movement needs a link to its source document.","This row would take recorded stock of "&amp;INDEX(Import_Staging!$D$2:$D$301,$H126)&amp;""&amp;" from "&amp;INDEX(Import_Staging!$R$2:$R$301,$H126)&amp;" to "&amp;INDEX(Import_Staging!$S$2:$S$301,$H126)&amp;"."),$E126))</f>
        <v/>
      </c>
      <c r="G126" s="67" t="str">
        <f>IF($A126="","",INDEX(Config!$F$39:$F$61,$J126))</f>
        <v/>
      </c>
      <c r="H126" s="66" t="str">
        <f>IF($A126="","",MATCH(COUNTIF(Import_Staging!$BS$2:$BS$301,"&lt;"&amp;$A126)+1,Import_Staging!$BR$2:$BR$301,0))</f>
        <v/>
      </c>
      <c r="I126" s="66" t="str">
        <f>IF($A126="","",$A126-INDEX(Import_Staging!$BQ$2:$BQ$301,$H126))</f>
        <v/>
      </c>
      <c r="J126" s="66" t="str">
        <f>IF($A126="","",MATCH($I126,INDEX(Import_Staging!$AT$2:$BP$301,$H126,0),0))</f>
        <v/>
      </c>
    </row>
    <row r="127">
      <c r="A127" s="65" t="str">
        <f>IF(122&lt;=$F$4,122,"")</f>
        <v/>
      </c>
      <c r="B127" s="65" t="str">
        <f>IF($A127="","",$H127+1)</f>
        <v/>
      </c>
      <c r="C127" s="66" t="str">
        <f>IF($A127="","",INDEX(Import_Staging!$A$2:$A$301,$H127)&amp;"")</f>
        <v/>
      </c>
      <c r="D127" s="66" t="str">
        <f>IF($A127="","",INDEX(Config!$C$39:$C$61,$J127))</f>
        <v/>
      </c>
      <c r="E127" s="66" t="str">
        <f>IF($A127="","",INDEX(Config!$D$39:$D$61,$J127))</f>
        <v/>
      </c>
      <c r="F127" s="67" t="str">
        <f>IF($A127="","",IFERROR(CHOOSE($J127,"movement_id is empty. Every row needs a unique movement ID.","movement_id "&amp;INDEX(Import_Staging!$A$2:$A$301,$H127)&amp;""&amp;" appears earlier in this file (row "&amp;IFERROR(MATCH(INDEX(Import_Staging!$A$2:$A$301,$H127),Import_Staging!$A$2:$A$301,0)+1,"?")&amp;"). Only the first row can be posted.","movement_id "&amp;INDEX(Import_Staging!$A$2:$A$301,$H127)&amp;""&amp;" is already in Inventory_Ledger. The ledger row was not changed.","date is empty.","date "&amp;""""&amp;INDEX(Import_Staging!$B$2:$B$301,$H127)&amp;""&amp;""""&amp;" is not a real date in yyyy-mm-dd format.","date "&amp;TEXT(INDEX(Import_Staging!$M$2:$M$301,$H127),"yyyy-mm-dd")&amp;" is after the as-of date "&amp;TEXT(Config!$B$4,"yyyy-mm-dd")&amp;".","type is empty.","type "&amp;""""&amp;INDEX(Import_Staging!$C$2:$C$301,$H127)&amp;""&amp;""""&amp;" is not a movement type listed on Config.","sku is empty.","SKU "&amp;INDEX(Import_Staging!$D$2:$D$301,$H127)&amp;""&amp;" is not in Products.","supplier_id is empty; receipts need the supplier.","Supplier "&amp;INDEX(Import_Staging!$E$2:$E$301,$H127)&amp;""&amp;" is not in Suppliers.","lot is empty; every movement needs its lot code.","Lot "&amp;INDEX(Import_Staging!$F$2:$F$301,$H127)&amp;""&amp;" is not recorded for "&amp;INDEX(Import_Staging!$D$2:$D$301,$H127)&amp;""&amp;" in Batches.","expiry is empty; receipts need the company-supplied expiry date.","expiry "&amp;""""&amp;INDEX(Import_Staging!$G$2:$G$301,$H127)&amp;""&amp;""""&amp;" is not a real date in yyyy-mm-dd format.","qty is empty.","qty "&amp;""""&amp;INDEX(Import_Staging!$H$2:$H$301,$H127)&amp;""&amp;""""&amp;" is not a valid quantity"&amp;IF(INDEX(Import_Staging!$C$2:$C$301,$H127)&amp;""="",""," for a "&amp;LOWER(INDEX(Import_Staging!$C$2:$C$301,$H127)&amp;""))&amp;".","lot_status is empty; receipts need a lot status.","lot_status "&amp;""""&amp;INDEX(Import_Staging!$I$2:$I$301,$H127)&amp;""&amp;""""&amp;" is not a lot status allowed on receipt (Config).","reason is empty; adjustments need a reason.","source_link is empty; every movement needs a link to its source document.","This row would take recorded stock of "&amp;INDEX(Import_Staging!$D$2:$D$301,$H127)&amp;""&amp;" from "&amp;INDEX(Import_Staging!$R$2:$R$301,$H127)&amp;" to "&amp;INDEX(Import_Staging!$S$2:$S$301,$H127)&amp;"."),$E127))</f>
        <v/>
      </c>
      <c r="G127" s="67" t="str">
        <f>IF($A127="","",INDEX(Config!$F$39:$F$61,$J127))</f>
        <v/>
      </c>
      <c r="H127" s="66" t="str">
        <f>IF($A127="","",MATCH(COUNTIF(Import_Staging!$BS$2:$BS$301,"&lt;"&amp;$A127)+1,Import_Staging!$BR$2:$BR$301,0))</f>
        <v/>
      </c>
      <c r="I127" s="66" t="str">
        <f>IF($A127="","",$A127-INDEX(Import_Staging!$BQ$2:$BQ$301,$H127))</f>
        <v/>
      </c>
      <c r="J127" s="66" t="str">
        <f>IF($A127="","",MATCH($I127,INDEX(Import_Staging!$AT$2:$BP$301,$H127,0),0))</f>
        <v/>
      </c>
    </row>
    <row r="128">
      <c r="A128" s="65" t="str">
        <f>IF(123&lt;=$F$4,123,"")</f>
        <v/>
      </c>
      <c r="B128" s="65" t="str">
        <f>IF($A128="","",$H128+1)</f>
        <v/>
      </c>
      <c r="C128" s="66" t="str">
        <f>IF($A128="","",INDEX(Import_Staging!$A$2:$A$301,$H128)&amp;"")</f>
        <v/>
      </c>
      <c r="D128" s="66" t="str">
        <f>IF($A128="","",INDEX(Config!$C$39:$C$61,$J128))</f>
        <v/>
      </c>
      <c r="E128" s="66" t="str">
        <f>IF($A128="","",INDEX(Config!$D$39:$D$61,$J128))</f>
        <v/>
      </c>
      <c r="F128" s="67" t="str">
        <f>IF($A128="","",IFERROR(CHOOSE($J128,"movement_id is empty. Every row needs a unique movement ID.","movement_id "&amp;INDEX(Import_Staging!$A$2:$A$301,$H128)&amp;""&amp;" appears earlier in this file (row "&amp;IFERROR(MATCH(INDEX(Import_Staging!$A$2:$A$301,$H128),Import_Staging!$A$2:$A$301,0)+1,"?")&amp;"). Only the first row can be posted.","movement_id "&amp;INDEX(Import_Staging!$A$2:$A$301,$H128)&amp;""&amp;" is already in Inventory_Ledger. The ledger row was not changed.","date is empty.","date "&amp;""""&amp;INDEX(Import_Staging!$B$2:$B$301,$H128)&amp;""&amp;""""&amp;" is not a real date in yyyy-mm-dd format.","date "&amp;TEXT(INDEX(Import_Staging!$M$2:$M$301,$H128),"yyyy-mm-dd")&amp;" is after the as-of date "&amp;TEXT(Config!$B$4,"yyyy-mm-dd")&amp;".","type is empty.","type "&amp;""""&amp;INDEX(Import_Staging!$C$2:$C$301,$H128)&amp;""&amp;""""&amp;" is not a movement type listed on Config.","sku is empty.","SKU "&amp;INDEX(Import_Staging!$D$2:$D$301,$H128)&amp;""&amp;" is not in Products.","supplier_id is empty; receipts need the supplier.","Supplier "&amp;INDEX(Import_Staging!$E$2:$E$301,$H128)&amp;""&amp;" is not in Suppliers.","lot is empty; every movement needs its lot code.","Lot "&amp;INDEX(Import_Staging!$F$2:$F$301,$H128)&amp;""&amp;" is not recorded for "&amp;INDEX(Import_Staging!$D$2:$D$301,$H128)&amp;""&amp;" in Batches.","expiry is empty; receipts need the company-supplied expiry date.","expiry "&amp;""""&amp;INDEX(Import_Staging!$G$2:$G$301,$H128)&amp;""&amp;""""&amp;" is not a real date in yyyy-mm-dd format.","qty is empty.","qty "&amp;""""&amp;INDEX(Import_Staging!$H$2:$H$301,$H128)&amp;""&amp;""""&amp;" is not a valid quantity"&amp;IF(INDEX(Import_Staging!$C$2:$C$301,$H128)&amp;""="",""," for a "&amp;LOWER(INDEX(Import_Staging!$C$2:$C$301,$H128)&amp;""))&amp;".","lot_status is empty; receipts need a lot status.","lot_status "&amp;""""&amp;INDEX(Import_Staging!$I$2:$I$301,$H128)&amp;""&amp;""""&amp;" is not a lot status allowed on receipt (Config).","reason is empty; adjustments need a reason.","source_link is empty; every movement needs a link to its source document.","This row would take recorded stock of "&amp;INDEX(Import_Staging!$D$2:$D$301,$H128)&amp;""&amp;" from "&amp;INDEX(Import_Staging!$R$2:$R$301,$H128)&amp;" to "&amp;INDEX(Import_Staging!$S$2:$S$301,$H128)&amp;"."),$E128))</f>
        <v/>
      </c>
      <c r="G128" s="67" t="str">
        <f>IF($A128="","",INDEX(Config!$F$39:$F$61,$J128))</f>
        <v/>
      </c>
      <c r="H128" s="66" t="str">
        <f>IF($A128="","",MATCH(COUNTIF(Import_Staging!$BS$2:$BS$301,"&lt;"&amp;$A128)+1,Import_Staging!$BR$2:$BR$301,0))</f>
        <v/>
      </c>
      <c r="I128" s="66" t="str">
        <f>IF($A128="","",$A128-INDEX(Import_Staging!$BQ$2:$BQ$301,$H128))</f>
        <v/>
      </c>
      <c r="J128" s="66" t="str">
        <f>IF($A128="","",MATCH($I128,INDEX(Import_Staging!$AT$2:$BP$301,$H128,0),0))</f>
        <v/>
      </c>
    </row>
    <row r="129">
      <c r="A129" s="65" t="str">
        <f>IF(124&lt;=$F$4,124,"")</f>
        <v/>
      </c>
      <c r="B129" s="65" t="str">
        <f>IF($A129="","",$H129+1)</f>
        <v/>
      </c>
      <c r="C129" s="66" t="str">
        <f>IF($A129="","",INDEX(Import_Staging!$A$2:$A$301,$H129)&amp;"")</f>
        <v/>
      </c>
      <c r="D129" s="66" t="str">
        <f>IF($A129="","",INDEX(Config!$C$39:$C$61,$J129))</f>
        <v/>
      </c>
      <c r="E129" s="66" t="str">
        <f>IF($A129="","",INDEX(Config!$D$39:$D$61,$J129))</f>
        <v/>
      </c>
      <c r="F129" s="67" t="str">
        <f>IF($A129="","",IFERROR(CHOOSE($J129,"movement_id is empty. Every row needs a unique movement ID.","movement_id "&amp;INDEX(Import_Staging!$A$2:$A$301,$H129)&amp;""&amp;" appears earlier in this file (row "&amp;IFERROR(MATCH(INDEX(Import_Staging!$A$2:$A$301,$H129),Import_Staging!$A$2:$A$301,0)+1,"?")&amp;"). Only the first row can be posted.","movement_id "&amp;INDEX(Import_Staging!$A$2:$A$301,$H129)&amp;""&amp;" is already in Inventory_Ledger. The ledger row was not changed.","date is empty.","date "&amp;""""&amp;INDEX(Import_Staging!$B$2:$B$301,$H129)&amp;""&amp;""""&amp;" is not a real date in yyyy-mm-dd format.","date "&amp;TEXT(INDEX(Import_Staging!$M$2:$M$301,$H129),"yyyy-mm-dd")&amp;" is after the as-of date "&amp;TEXT(Config!$B$4,"yyyy-mm-dd")&amp;".","type is empty.","type "&amp;""""&amp;INDEX(Import_Staging!$C$2:$C$301,$H129)&amp;""&amp;""""&amp;" is not a movement type listed on Config.","sku is empty.","SKU "&amp;INDEX(Import_Staging!$D$2:$D$301,$H129)&amp;""&amp;" is not in Products.","supplier_id is empty; receipts need the supplier.","Supplier "&amp;INDEX(Import_Staging!$E$2:$E$301,$H129)&amp;""&amp;" is not in Suppliers.","lot is empty; every movement needs its lot code.","Lot "&amp;INDEX(Import_Staging!$F$2:$F$301,$H129)&amp;""&amp;" is not recorded for "&amp;INDEX(Import_Staging!$D$2:$D$301,$H129)&amp;""&amp;" in Batches.","expiry is empty; receipts need the company-supplied expiry date.","expiry "&amp;""""&amp;INDEX(Import_Staging!$G$2:$G$301,$H129)&amp;""&amp;""""&amp;" is not a real date in yyyy-mm-dd format.","qty is empty.","qty "&amp;""""&amp;INDEX(Import_Staging!$H$2:$H$301,$H129)&amp;""&amp;""""&amp;" is not a valid quantity"&amp;IF(INDEX(Import_Staging!$C$2:$C$301,$H129)&amp;""="",""," for a "&amp;LOWER(INDEX(Import_Staging!$C$2:$C$301,$H129)&amp;""))&amp;".","lot_status is empty; receipts need a lot status.","lot_status "&amp;""""&amp;INDEX(Import_Staging!$I$2:$I$301,$H129)&amp;""&amp;""""&amp;" is not a lot status allowed on receipt (Config).","reason is empty; adjustments need a reason.","source_link is empty; every movement needs a link to its source document.","This row would take recorded stock of "&amp;INDEX(Import_Staging!$D$2:$D$301,$H129)&amp;""&amp;" from "&amp;INDEX(Import_Staging!$R$2:$R$301,$H129)&amp;" to "&amp;INDEX(Import_Staging!$S$2:$S$301,$H129)&amp;"."),$E129))</f>
        <v/>
      </c>
      <c r="G129" s="67" t="str">
        <f>IF($A129="","",INDEX(Config!$F$39:$F$61,$J129))</f>
        <v/>
      </c>
      <c r="H129" s="66" t="str">
        <f>IF($A129="","",MATCH(COUNTIF(Import_Staging!$BS$2:$BS$301,"&lt;"&amp;$A129)+1,Import_Staging!$BR$2:$BR$301,0))</f>
        <v/>
      </c>
      <c r="I129" s="66" t="str">
        <f>IF($A129="","",$A129-INDEX(Import_Staging!$BQ$2:$BQ$301,$H129))</f>
        <v/>
      </c>
      <c r="J129" s="66" t="str">
        <f>IF($A129="","",MATCH($I129,INDEX(Import_Staging!$AT$2:$BP$301,$H129,0),0))</f>
        <v/>
      </c>
    </row>
    <row r="130">
      <c r="A130" s="65" t="str">
        <f>IF(125&lt;=$F$4,125,"")</f>
        <v/>
      </c>
      <c r="B130" s="65" t="str">
        <f>IF($A130="","",$H130+1)</f>
        <v/>
      </c>
      <c r="C130" s="66" t="str">
        <f>IF($A130="","",INDEX(Import_Staging!$A$2:$A$301,$H130)&amp;"")</f>
        <v/>
      </c>
      <c r="D130" s="66" t="str">
        <f>IF($A130="","",INDEX(Config!$C$39:$C$61,$J130))</f>
        <v/>
      </c>
      <c r="E130" s="66" t="str">
        <f>IF($A130="","",INDEX(Config!$D$39:$D$61,$J130))</f>
        <v/>
      </c>
      <c r="F130" s="67" t="str">
        <f>IF($A130="","",IFERROR(CHOOSE($J130,"movement_id is empty. Every row needs a unique movement ID.","movement_id "&amp;INDEX(Import_Staging!$A$2:$A$301,$H130)&amp;""&amp;" appears earlier in this file (row "&amp;IFERROR(MATCH(INDEX(Import_Staging!$A$2:$A$301,$H130),Import_Staging!$A$2:$A$301,0)+1,"?")&amp;"). Only the first row can be posted.","movement_id "&amp;INDEX(Import_Staging!$A$2:$A$301,$H130)&amp;""&amp;" is already in Inventory_Ledger. The ledger row was not changed.","date is empty.","date "&amp;""""&amp;INDEX(Import_Staging!$B$2:$B$301,$H130)&amp;""&amp;""""&amp;" is not a real date in yyyy-mm-dd format.","date "&amp;TEXT(INDEX(Import_Staging!$M$2:$M$301,$H130),"yyyy-mm-dd")&amp;" is after the as-of date "&amp;TEXT(Config!$B$4,"yyyy-mm-dd")&amp;".","type is empty.","type "&amp;""""&amp;INDEX(Import_Staging!$C$2:$C$301,$H130)&amp;""&amp;""""&amp;" is not a movement type listed on Config.","sku is empty.","SKU "&amp;INDEX(Import_Staging!$D$2:$D$301,$H130)&amp;""&amp;" is not in Products.","supplier_id is empty; receipts need the supplier.","Supplier "&amp;INDEX(Import_Staging!$E$2:$E$301,$H130)&amp;""&amp;" is not in Suppliers.","lot is empty; every movement needs its lot code.","Lot "&amp;INDEX(Import_Staging!$F$2:$F$301,$H130)&amp;""&amp;" is not recorded for "&amp;INDEX(Import_Staging!$D$2:$D$301,$H130)&amp;""&amp;" in Batches.","expiry is empty; receipts need the company-supplied expiry date.","expiry "&amp;""""&amp;INDEX(Import_Staging!$G$2:$G$301,$H130)&amp;""&amp;""""&amp;" is not a real date in yyyy-mm-dd format.","qty is empty.","qty "&amp;""""&amp;INDEX(Import_Staging!$H$2:$H$301,$H130)&amp;""&amp;""""&amp;" is not a valid quantity"&amp;IF(INDEX(Import_Staging!$C$2:$C$301,$H130)&amp;""="",""," for a "&amp;LOWER(INDEX(Import_Staging!$C$2:$C$301,$H130)&amp;""))&amp;".","lot_status is empty; receipts need a lot status.","lot_status "&amp;""""&amp;INDEX(Import_Staging!$I$2:$I$301,$H130)&amp;""&amp;""""&amp;" is not a lot status allowed on receipt (Config).","reason is empty; adjustments need a reason.","source_link is empty; every movement needs a link to its source document.","This row would take recorded stock of "&amp;INDEX(Import_Staging!$D$2:$D$301,$H130)&amp;""&amp;" from "&amp;INDEX(Import_Staging!$R$2:$R$301,$H130)&amp;" to "&amp;INDEX(Import_Staging!$S$2:$S$301,$H130)&amp;"."),$E130))</f>
        <v/>
      </c>
      <c r="G130" s="67" t="str">
        <f>IF($A130="","",INDEX(Config!$F$39:$F$61,$J130))</f>
        <v/>
      </c>
      <c r="H130" s="66" t="str">
        <f>IF($A130="","",MATCH(COUNTIF(Import_Staging!$BS$2:$BS$301,"&lt;"&amp;$A130)+1,Import_Staging!$BR$2:$BR$301,0))</f>
        <v/>
      </c>
      <c r="I130" s="66" t="str">
        <f>IF($A130="","",$A130-INDEX(Import_Staging!$BQ$2:$BQ$301,$H130))</f>
        <v/>
      </c>
      <c r="J130" s="66" t="str">
        <f>IF($A130="","",MATCH($I130,INDEX(Import_Staging!$AT$2:$BP$301,$H130,0),0))</f>
        <v/>
      </c>
    </row>
    <row r="131">
      <c r="A131" s="65" t="str">
        <f>IF(126&lt;=$F$4,126,"")</f>
        <v/>
      </c>
      <c r="B131" s="65" t="str">
        <f>IF($A131="","",$H131+1)</f>
        <v/>
      </c>
      <c r="C131" s="66" t="str">
        <f>IF($A131="","",INDEX(Import_Staging!$A$2:$A$301,$H131)&amp;"")</f>
        <v/>
      </c>
      <c r="D131" s="66" t="str">
        <f>IF($A131="","",INDEX(Config!$C$39:$C$61,$J131))</f>
        <v/>
      </c>
      <c r="E131" s="66" t="str">
        <f>IF($A131="","",INDEX(Config!$D$39:$D$61,$J131))</f>
        <v/>
      </c>
      <c r="F131" s="67" t="str">
        <f>IF($A131="","",IFERROR(CHOOSE($J131,"movement_id is empty. Every row needs a unique movement ID.","movement_id "&amp;INDEX(Import_Staging!$A$2:$A$301,$H131)&amp;""&amp;" appears earlier in this file (row "&amp;IFERROR(MATCH(INDEX(Import_Staging!$A$2:$A$301,$H131),Import_Staging!$A$2:$A$301,0)+1,"?")&amp;"). Only the first row can be posted.","movement_id "&amp;INDEX(Import_Staging!$A$2:$A$301,$H131)&amp;""&amp;" is already in Inventory_Ledger. The ledger row was not changed.","date is empty.","date "&amp;""""&amp;INDEX(Import_Staging!$B$2:$B$301,$H131)&amp;""&amp;""""&amp;" is not a real date in yyyy-mm-dd format.","date "&amp;TEXT(INDEX(Import_Staging!$M$2:$M$301,$H131),"yyyy-mm-dd")&amp;" is after the as-of date "&amp;TEXT(Config!$B$4,"yyyy-mm-dd")&amp;".","type is empty.","type "&amp;""""&amp;INDEX(Import_Staging!$C$2:$C$301,$H131)&amp;""&amp;""""&amp;" is not a movement type listed on Config.","sku is empty.","SKU "&amp;INDEX(Import_Staging!$D$2:$D$301,$H131)&amp;""&amp;" is not in Products.","supplier_id is empty; receipts need the supplier.","Supplier "&amp;INDEX(Import_Staging!$E$2:$E$301,$H131)&amp;""&amp;" is not in Suppliers.","lot is empty; every movement needs its lot code.","Lot "&amp;INDEX(Import_Staging!$F$2:$F$301,$H131)&amp;""&amp;" is not recorded for "&amp;INDEX(Import_Staging!$D$2:$D$301,$H131)&amp;""&amp;" in Batches.","expiry is empty; receipts need the company-supplied expiry date.","expiry "&amp;""""&amp;INDEX(Import_Staging!$G$2:$G$301,$H131)&amp;""&amp;""""&amp;" is not a real date in yyyy-mm-dd format.","qty is empty.","qty "&amp;""""&amp;INDEX(Import_Staging!$H$2:$H$301,$H131)&amp;""&amp;""""&amp;" is not a valid quantity"&amp;IF(INDEX(Import_Staging!$C$2:$C$301,$H131)&amp;""="",""," for a "&amp;LOWER(INDEX(Import_Staging!$C$2:$C$301,$H131)&amp;""))&amp;".","lot_status is empty; receipts need a lot status.","lot_status "&amp;""""&amp;INDEX(Import_Staging!$I$2:$I$301,$H131)&amp;""&amp;""""&amp;" is not a lot status allowed on receipt (Config).","reason is empty; adjustments need a reason.","source_link is empty; every movement needs a link to its source document.","This row would take recorded stock of "&amp;INDEX(Import_Staging!$D$2:$D$301,$H131)&amp;""&amp;" from "&amp;INDEX(Import_Staging!$R$2:$R$301,$H131)&amp;" to "&amp;INDEX(Import_Staging!$S$2:$S$301,$H131)&amp;"."),$E131))</f>
        <v/>
      </c>
      <c r="G131" s="67" t="str">
        <f>IF($A131="","",INDEX(Config!$F$39:$F$61,$J131))</f>
        <v/>
      </c>
      <c r="H131" s="66" t="str">
        <f>IF($A131="","",MATCH(COUNTIF(Import_Staging!$BS$2:$BS$301,"&lt;"&amp;$A131)+1,Import_Staging!$BR$2:$BR$301,0))</f>
        <v/>
      </c>
      <c r="I131" s="66" t="str">
        <f>IF($A131="","",$A131-INDEX(Import_Staging!$BQ$2:$BQ$301,$H131))</f>
        <v/>
      </c>
      <c r="J131" s="66" t="str">
        <f>IF($A131="","",MATCH($I131,INDEX(Import_Staging!$AT$2:$BP$301,$H131,0),0))</f>
        <v/>
      </c>
    </row>
    <row r="132">
      <c r="A132" s="65" t="str">
        <f>IF(127&lt;=$F$4,127,"")</f>
        <v/>
      </c>
      <c r="B132" s="65" t="str">
        <f>IF($A132="","",$H132+1)</f>
        <v/>
      </c>
      <c r="C132" s="66" t="str">
        <f>IF($A132="","",INDEX(Import_Staging!$A$2:$A$301,$H132)&amp;"")</f>
        <v/>
      </c>
      <c r="D132" s="66" t="str">
        <f>IF($A132="","",INDEX(Config!$C$39:$C$61,$J132))</f>
        <v/>
      </c>
      <c r="E132" s="66" t="str">
        <f>IF($A132="","",INDEX(Config!$D$39:$D$61,$J132))</f>
        <v/>
      </c>
      <c r="F132" s="67" t="str">
        <f>IF($A132="","",IFERROR(CHOOSE($J132,"movement_id is empty. Every row needs a unique movement ID.","movement_id "&amp;INDEX(Import_Staging!$A$2:$A$301,$H132)&amp;""&amp;" appears earlier in this file (row "&amp;IFERROR(MATCH(INDEX(Import_Staging!$A$2:$A$301,$H132),Import_Staging!$A$2:$A$301,0)+1,"?")&amp;"). Only the first row can be posted.","movement_id "&amp;INDEX(Import_Staging!$A$2:$A$301,$H132)&amp;""&amp;" is already in Inventory_Ledger. The ledger row was not changed.","date is empty.","date "&amp;""""&amp;INDEX(Import_Staging!$B$2:$B$301,$H132)&amp;""&amp;""""&amp;" is not a real date in yyyy-mm-dd format.","date "&amp;TEXT(INDEX(Import_Staging!$M$2:$M$301,$H132),"yyyy-mm-dd")&amp;" is after the as-of date "&amp;TEXT(Config!$B$4,"yyyy-mm-dd")&amp;".","type is empty.","type "&amp;""""&amp;INDEX(Import_Staging!$C$2:$C$301,$H132)&amp;""&amp;""""&amp;" is not a movement type listed on Config.","sku is empty.","SKU "&amp;INDEX(Import_Staging!$D$2:$D$301,$H132)&amp;""&amp;" is not in Products.","supplier_id is empty; receipts need the supplier.","Supplier "&amp;INDEX(Import_Staging!$E$2:$E$301,$H132)&amp;""&amp;" is not in Suppliers.","lot is empty; every movement needs its lot code.","Lot "&amp;INDEX(Import_Staging!$F$2:$F$301,$H132)&amp;""&amp;" is not recorded for "&amp;INDEX(Import_Staging!$D$2:$D$301,$H132)&amp;""&amp;" in Batches.","expiry is empty; receipts need the company-supplied expiry date.","expiry "&amp;""""&amp;INDEX(Import_Staging!$G$2:$G$301,$H132)&amp;""&amp;""""&amp;" is not a real date in yyyy-mm-dd format.","qty is empty.","qty "&amp;""""&amp;INDEX(Import_Staging!$H$2:$H$301,$H132)&amp;""&amp;""""&amp;" is not a valid quantity"&amp;IF(INDEX(Import_Staging!$C$2:$C$301,$H132)&amp;""="",""," for a "&amp;LOWER(INDEX(Import_Staging!$C$2:$C$301,$H132)&amp;""))&amp;".","lot_status is empty; receipts need a lot status.","lot_status "&amp;""""&amp;INDEX(Import_Staging!$I$2:$I$301,$H132)&amp;""&amp;""""&amp;" is not a lot status allowed on receipt (Config).","reason is empty; adjustments need a reason.","source_link is empty; every movement needs a link to its source document.","This row would take recorded stock of "&amp;INDEX(Import_Staging!$D$2:$D$301,$H132)&amp;""&amp;" from "&amp;INDEX(Import_Staging!$R$2:$R$301,$H132)&amp;" to "&amp;INDEX(Import_Staging!$S$2:$S$301,$H132)&amp;"."),$E132))</f>
        <v/>
      </c>
      <c r="G132" s="67" t="str">
        <f>IF($A132="","",INDEX(Config!$F$39:$F$61,$J132))</f>
        <v/>
      </c>
      <c r="H132" s="66" t="str">
        <f>IF($A132="","",MATCH(COUNTIF(Import_Staging!$BS$2:$BS$301,"&lt;"&amp;$A132)+1,Import_Staging!$BR$2:$BR$301,0))</f>
        <v/>
      </c>
      <c r="I132" s="66" t="str">
        <f>IF($A132="","",$A132-INDEX(Import_Staging!$BQ$2:$BQ$301,$H132))</f>
        <v/>
      </c>
      <c r="J132" s="66" t="str">
        <f>IF($A132="","",MATCH($I132,INDEX(Import_Staging!$AT$2:$BP$301,$H132,0),0))</f>
        <v/>
      </c>
    </row>
    <row r="133">
      <c r="A133" s="65" t="str">
        <f>IF(128&lt;=$F$4,128,"")</f>
        <v/>
      </c>
      <c r="B133" s="65" t="str">
        <f>IF($A133="","",$H133+1)</f>
        <v/>
      </c>
      <c r="C133" s="66" t="str">
        <f>IF($A133="","",INDEX(Import_Staging!$A$2:$A$301,$H133)&amp;"")</f>
        <v/>
      </c>
      <c r="D133" s="66" t="str">
        <f>IF($A133="","",INDEX(Config!$C$39:$C$61,$J133))</f>
        <v/>
      </c>
      <c r="E133" s="66" t="str">
        <f>IF($A133="","",INDEX(Config!$D$39:$D$61,$J133))</f>
        <v/>
      </c>
      <c r="F133" s="67" t="str">
        <f>IF($A133="","",IFERROR(CHOOSE($J133,"movement_id is empty. Every row needs a unique movement ID.","movement_id "&amp;INDEX(Import_Staging!$A$2:$A$301,$H133)&amp;""&amp;" appears earlier in this file (row "&amp;IFERROR(MATCH(INDEX(Import_Staging!$A$2:$A$301,$H133),Import_Staging!$A$2:$A$301,0)+1,"?")&amp;"). Only the first row can be posted.","movement_id "&amp;INDEX(Import_Staging!$A$2:$A$301,$H133)&amp;""&amp;" is already in Inventory_Ledger. The ledger row was not changed.","date is empty.","date "&amp;""""&amp;INDEX(Import_Staging!$B$2:$B$301,$H133)&amp;""&amp;""""&amp;" is not a real date in yyyy-mm-dd format.","date "&amp;TEXT(INDEX(Import_Staging!$M$2:$M$301,$H133),"yyyy-mm-dd")&amp;" is after the as-of date "&amp;TEXT(Config!$B$4,"yyyy-mm-dd")&amp;".","type is empty.","type "&amp;""""&amp;INDEX(Import_Staging!$C$2:$C$301,$H133)&amp;""&amp;""""&amp;" is not a movement type listed on Config.","sku is empty.","SKU "&amp;INDEX(Import_Staging!$D$2:$D$301,$H133)&amp;""&amp;" is not in Products.","supplier_id is empty; receipts need the supplier.","Supplier "&amp;INDEX(Import_Staging!$E$2:$E$301,$H133)&amp;""&amp;" is not in Suppliers.","lot is empty; every movement needs its lot code.","Lot "&amp;INDEX(Import_Staging!$F$2:$F$301,$H133)&amp;""&amp;" is not recorded for "&amp;INDEX(Import_Staging!$D$2:$D$301,$H133)&amp;""&amp;" in Batches.","expiry is empty; receipts need the company-supplied expiry date.","expiry "&amp;""""&amp;INDEX(Import_Staging!$G$2:$G$301,$H133)&amp;""&amp;""""&amp;" is not a real date in yyyy-mm-dd format.","qty is empty.","qty "&amp;""""&amp;INDEX(Import_Staging!$H$2:$H$301,$H133)&amp;""&amp;""""&amp;" is not a valid quantity"&amp;IF(INDEX(Import_Staging!$C$2:$C$301,$H133)&amp;""="",""," for a "&amp;LOWER(INDEX(Import_Staging!$C$2:$C$301,$H133)&amp;""))&amp;".","lot_status is empty; receipts need a lot status.","lot_status "&amp;""""&amp;INDEX(Import_Staging!$I$2:$I$301,$H133)&amp;""&amp;""""&amp;" is not a lot status allowed on receipt (Config).","reason is empty; adjustments need a reason.","source_link is empty; every movement needs a link to its source document.","This row would take recorded stock of "&amp;INDEX(Import_Staging!$D$2:$D$301,$H133)&amp;""&amp;" from "&amp;INDEX(Import_Staging!$R$2:$R$301,$H133)&amp;" to "&amp;INDEX(Import_Staging!$S$2:$S$301,$H133)&amp;"."),$E133))</f>
        <v/>
      </c>
      <c r="G133" s="67" t="str">
        <f>IF($A133="","",INDEX(Config!$F$39:$F$61,$J133))</f>
        <v/>
      </c>
      <c r="H133" s="66" t="str">
        <f>IF($A133="","",MATCH(COUNTIF(Import_Staging!$BS$2:$BS$301,"&lt;"&amp;$A133)+1,Import_Staging!$BR$2:$BR$301,0))</f>
        <v/>
      </c>
      <c r="I133" s="66" t="str">
        <f>IF($A133="","",$A133-INDEX(Import_Staging!$BQ$2:$BQ$301,$H133))</f>
        <v/>
      </c>
      <c r="J133" s="66" t="str">
        <f>IF($A133="","",MATCH($I133,INDEX(Import_Staging!$AT$2:$BP$301,$H133,0),0))</f>
        <v/>
      </c>
    </row>
    <row r="134">
      <c r="A134" s="65" t="str">
        <f>IF(129&lt;=$F$4,129,"")</f>
        <v/>
      </c>
      <c r="B134" s="65" t="str">
        <f>IF($A134="","",$H134+1)</f>
        <v/>
      </c>
      <c r="C134" s="66" t="str">
        <f>IF($A134="","",INDEX(Import_Staging!$A$2:$A$301,$H134)&amp;"")</f>
        <v/>
      </c>
      <c r="D134" s="66" t="str">
        <f>IF($A134="","",INDEX(Config!$C$39:$C$61,$J134))</f>
        <v/>
      </c>
      <c r="E134" s="66" t="str">
        <f>IF($A134="","",INDEX(Config!$D$39:$D$61,$J134))</f>
        <v/>
      </c>
      <c r="F134" s="67" t="str">
        <f>IF($A134="","",IFERROR(CHOOSE($J134,"movement_id is empty. Every row needs a unique movement ID.","movement_id "&amp;INDEX(Import_Staging!$A$2:$A$301,$H134)&amp;""&amp;" appears earlier in this file (row "&amp;IFERROR(MATCH(INDEX(Import_Staging!$A$2:$A$301,$H134),Import_Staging!$A$2:$A$301,0)+1,"?")&amp;"). Only the first row can be posted.","movement_id "&amp;INDEX(Import_Staging!$A$2:$A$301,$H134)&amp;""&amp;" is already in Inventory_Ledger. The ledger row was not changed.","date is empty.","date "&amp;""""&amp;INDEX(Import_Staging!$B$2:$B$301,$H134)&amp;""&amp;""""&amp;" is not a real date in yyyy-mm-dd format.","date "&amp;TEXT(INDEX(Import_Staging!$M$2:$M$301,$H134),"yyyy-mm-dd")&amp;" is after the as-of date "&amp;TEXT(Config!$B$4,"yyyy-mm-dd")&amp;".","type is empty.","type "&amp;""""&amp;INDEX(Import_Staging!$C$2:$C$301,$H134)&amp;""&amp;""""&amp;" is not a movement type listed on Config.","sku is empty.","SKU "&amp;INDEX(Import_Staging!$D$2:$D$301,$H134)&amp;""&amp;" is not in Products.","supplier_id is empty; receipts need the supplier.","Supplier "&amp;INDEX(Import_Staging!$E$2:$E$301,$H134)&amp;""&amp;" is not in Suppliers.","lot is empty; every movement needs its lot code.","Lot "&amp;INDEX(Import_Staging!$F$2:$F$301,$H134)&amp;""&amp;" is not recorded for "&amp;INDEX(Import_Staging!$D$2:$D$301,$H134)&amp;""&amp;" in Batches.","expiry is empty; receipts need the company-supplied expiry date.","expiry "&amp;""""&amp;INDEX(Import_Staging!$G$2:$G$301,$H134)&amp;""&amp;""""&amp;" is not a real date in yyyy-mm-dd format.","qty is empty.","qty "&amp;""""&amp;INDEX(Import_Staging!$H$2:$H$301,$H134)&amp;""&amp;""""&amp;" is not a valid quantity"&amp;IF(INDEX(Import_Staging!$C$2:$C$301,$H134)&amp;""="",""," for a "&amp;LOWER(INDEX(Import_Staging!$C$2:$C$301,$H134)&amp;""))&amp;".","lot_status is empty; receipts need a lot status.","lot_status "&amp;""""&amp;INDEX(Import_Staging!$I$2:$I$301,$H134)&amp;""&amp;""""&amp;" is not a lot status allowed on receipt (Config).","reason is empty; adjustments need a reason.","source_link is empty; every movement needs a link to its source document.","This row would take recorded stock of "&amp;INDEX(Import_Staging!$D$2:$D$301,$H134)&amp;""&amp;" from "&amp;INDEX(Import_Staging!$R$2:$R$301,$H134)&amp;" to "&amp;INDEX(Import_Staging!$S$2:$S$301,$H134)&amp;"."),$E134))</f>
        <v/>
      </c>
      <c r="G134" s="67" t="str">
        <f>IF($A134="","",INDEX(Config!$F$39:$F$61,$J134))</f>
        <v/>
      </c>
      <c r="H134" s="66" t="str">
        <f>IF($A134="","",MATCH(COUNTIF(Import_Staging!$BS$2:$BS$301,"&lt;"&amp;$A134)+1,Import_Staging!$BR$2:$BR$301,0))</f>
        <v/>
      </c>
      <c r="I134" s="66" t="str">
        <f>IF($A134="","",$A134-INDEX(Import_Staging!$BQ$2:$BQ$301,$H134))</f>
        <v/>
      </c>
      <c r="J134" s="66" t="str">
        <f>IF($A134="","",MATCH($I134,INDEX(Import_Staging!$AT$2:$BP$301,$H134,0),0))</f>
        <v/>
      </c>
    </row>
    <row r="135">
      <c r="A135" s="65" t="str">
        <f>IF(130&lt;=$F$4,130,"")</f>
        <v/>
      </c>
      <c r="B135" s="65" t="str">
        <f>IF($A135="","",$H135+1)</f>
        <v/>
      </c>
      <c r="C135" s="66" t="str">
        <f>IF($A135="","",INDEX(Import_Staging!$A$2:$A$301,$H135)&amp;"")</f>
        <v/>
      </c>
      <c r="D135" s="66" t="str">
        <f>IF($A135="","",INDEX(Config!$C$39:$C$61,$J135))</f>
        <v/>
      </c>
      <c r="E135" s="66" t="str">
        <f>IF($A135="","",INDEX(Config!$D$39:$D$61,$J135))</f>
        <v/>
      </c>
      <c r="F135" s="67" t="str">
        <f>IF($A135="","",IFERROR(CHOOSE($J135,"movement_id is empty. Every row needs a unique movement ID.","movement_id "&amp;INDEX(Import_Staging!$A$2:$A$301,$H135)&amp;""&amp;" appears earlier in this file (row "&amp;IFERROR(MATCH(INDEX(Import_Staging!$A$2:$A$301,$H135),Import_Staging!$A$2:$A$301,0)+1,"?")&amp;"). Only the first row can be posted.","movement_id "&amp;INDEX(Import_Staging!$A$2:$A$301,$H135)&amp;""&amp;" is already in Inventory_Ledger. The ledger row was not changed.","date is empty.","date "&amp;""""&amp;INDEX(Import_Staging!$B$2:$B$301,$H135)&amp;""&amp;""""&amp;" is not a real date in yyyy-mm-dd format.","date "&amp;TEXT(INDEX(Import_Staging!$M$2:$M$301,$H135),"yyyy-mm-dd")&amp;" is after the as-of date "&amp;TEXT(Config!$B$4,"yyyy-mm-dd")&amp;".","type is empty.","type "&amp;""""&amp;INDEX(Import_Staging!$C$2:$C$301,$H135)&amp;""&amp;""""&amp;" is not a movement type listed on Config.","sku is empty.","SKU "&amp;INDEX(Import_Staging!$D$2:$D$301,$H135)&amp;""&amp;" is not in Products.","supplier_id is empty; receipts need the supplier.","Supplier "&amp;INDEX(Import_Staging!$E$2:$E$301,$H135)&amp;""&amp;" is not in Suppliers.","lot is empty; every movement needs its lot code.","Lot "&amp;INDEX(Import_Staging!$F$2:$F$301,$H135)&amp;""&amp;" is not recorded for "&amp;INDEX(Import_Staging!$D$2:$D$301,$H135)&amp;""&amp;" in Batches.","expiry is empty; receipts need the company-supplied expiry date.","expiry "&amp;""""&amp;INDEX(Import_Staging!$G$2:$G$301,$H135)&amp;""&amp;""""&amp;" is not a real date in yyyy-mm-dd format.","qty is empty.","qty "&amp;""""&amp;INDEX(Import_Staging!$H$2:$H$301,$H135)&amp;""&amp;""""&amp;" is not a valid quantity"&amp;IF(INDEX(Import_Staging!$C$2:$C$301,$H135)&amp;""="",""," for a "&amp;LOWER(INDEX(Import_Staging!$C$2:$C$301,$H135)&amp;""))&amp;".","lot_status is empty; receipts need a lot status.","lot_status "&amp;""""&amp;INDEX(Import_Staging!$I$2:$I$301,$H135)&amp;""&amp;""""&amp;" is not a lot status allowed on receipt (Config).","reason is empty; adjustments need a reason.","source_link is empty; every movement needs a link to its source document.","This row would take recorded stock of "&amp;INDEX(Import_Staging!$D$2:$D$301,$H135)&amp;""&amp;" from "&amp;INDEX(Import_Staging!$R$2:$R$301,$H135)&amp;" to "&amp;INDEX(Import_Staging!$S$2:$S$301,$H135)&amp;"."),$E135))</f>
        <v/>
      </c>
      <c r="G135" s="67" t="str">
        <f>IF($A135="","",INDEX(Config!$F$39:$F$61,$J135))</f>
        <v/>
      </c>
      <c r="H135" s="66" t="str">
        <f>IF($A135="","",MATCH(COUNTIF(Import_Staging!$BS$2:$BS$301,"&lt;"&amp;$A135)+1,Import_Staging!$BR$2:$BR$301,0))</f>
        <v/>
      </c>
      <c r="I135" s="66" t="str">
        <f>IF($A135="","",$A135-INDEX(Import_Staging!$BQ$2:$BQ$301,$H135))</f>
        <v/>
      </c>
      <c r="J135" s="66" t="str">
        <f>IF($A135="","",MATCH($I135,INDEX(Import_Staging!$AT$2:$BP$301,$H135,0),0))</f>
        <v/>
      </c>
    </row>
    <row r="136">
      <c r="A136" s="65" t="str">
        <f>IF(131&lt;=$F$4,131,"")</f>
        <v/>
      </c>
      <c r="B136" s="65" t="str">
        <f>IF($A136="","",$H136+1)</f>
        <v/>
      </c>
      <c r="C136" s="66" t="str">
        <f>IF($A136="","",INDEX(Import_Staging!$A$2:$A$301,$H136)&amp;"")</f>
        <v/>
      </c>
      <c r="D136" s="66" t="str">
        <f>IF($A136="","",INDEX(Config!$C$39:$C$61,$J136))</f>
        <v/>
      </c>
      <c r="E136" s="66" t="str">
        <f>IF($A136="","",INDEX(Config!$D$39:$D$61,$J136))</f>
        <v/>
      </c>
      <c r="F136" s="67" t="str">
        <f>IF($A136="","",IFERROR(CHOOSE($J136,"movement_id is empty. Every row needs a unique movement ID.","movement_id "&amp;INDEX(Import_Staging!$A$2:$A$301,$H136)&amp;""&amp;" appears earlier in this file (row "&amp;IFERROR(MATCH(INDEX(Import_Staging!$A$2:$A$301,$H136),Import_Staging!$A$2:$A$301,0)+1,"?")&amp;"). Only the first row can be posted.","movement_id "&amp;INDEX(Import_Staging!$A$2:$A$301,$H136)&amp;""&amp;" is already in Inventory_Ledger. The ledger row was not changed.","date is empty.","date "&amp;""""&amp;INDEX(Import_Staging!$B$2:$B$301,$H136)&amp;""&amp;""""&amp;" is not a real date in yyyy-mm-dd format.","date "&amp;TEXT(INDEX(Import_Staging!$M$2:$M$301,$H136),"yyyy-mm-dd")&amp;" is after the as-of date "&amp;TEXT(Config!$B$4,"yyyy-mm-dd")&amp;".","type is empty.","type "&amp;""""&amp;INDEX(Import_Staging!$C$2:$C$301,$H136)&amp;""&amp;""""&amp;" is not a movement type listed on Config.","sku is empty.","SKU "&amp;INDEX(Import_Staging!$D$2:$D$301,$H136)&amp;""&amp;" is not in Products.","supplier_id is empty; receipts need the supplier.","Supplier "&amp;INDEX(Import_Staging!$E$2:$E$301,$H136)&amp;""&amp;" is not in Suppliers.","lot is empty; every movement needs its lot code.","Lot "&amp;INDEX(Import_Staging!$F$2:$F$301,$H136)&amp;""&amp;" is not recorded for "&amp;INDEX(Import_Staging!$D$2:$D$301,$H136)&amp;""&amp;" in Batches.","expiry is empty; receipts need the company-supplied expiry date.","expiry "&amp;""""&amp;INDEX(Import_Staging!$G$2:$G$301,$H136)&amp;""&amp;""""&amp;" is not a real date in yyyy-mm-dd format.","qty is empty.","qty "&amp;""""&amp;INDEX(Import_Staging!$H$2:$H$301,$H136)&amp;""&amp;""""&amp;" is not a valid quantity"&amp;IF(INDEX(Import_Staging!$C$2:$C$301,$H136)&amp;""="",""," for a "&amp;LOWER(INDEX(Import_Staging!$C$2:$C$301,$H136)&amp;""))&amp;".","lot_status is empty; receipts need a lot status.","lot_status "&amp;""""&amp;INDEX(Import_Staging!$I$2:$I$301,$H136)&amp;""&amp;""""&amp;" is not a lot status allowed on receipt (Config).","reason is empty; adjustments need a reason.","source_link is empty; every movement needs a link to its source document.","This row would take recorded stock of "&amp;INDEX(Import_Staging!$D$2:$D$301,$H136)&amp;""&amp;" from "&amp;INDEX(Import_Staging!$R$2:$R$301,$H136)&amp;" to "&amp;INDEX(Import_Staging!$S$2:$S$301,$H136)&amp;"."),$E136))</f>
        <v/>
      </c>
      <c r="G136" s="67" t="str">
        <f>IF($A136="","",INDEX(Config!$F$39:$F$61,$J136))</f>
        <v/>
      </c>
      <c r="H136" s="66" t="str">
        <f>IF($A136="","",MATCH(COUNTIF(Import_Staging!$BS$2:$BS$301,"&lt;"&amp;$A136)+1,Import_Staging!$BR$2:$BR$301,0))</f>
        <v/>
      </c>
      <c r="I136" s="66" t="str">
        <f>IF($A136="","",$A136-INDEX(Import_Staging!$BQ$2:$BQ$301,$H136))</f>
        <v/>
      </c>
      <c r="J136" s="66" t="str">
        <f>IF($A136="","",MATCH($I136,INDEX(Import_Staging!$AT$2:$BP$301,$H136,0),0))</f>
        <v/>
      </c>
    </row>
    <row r="137">
      <c r="A137" s="65" t="str">
        <f>IF(132&lt;=$F$4,132,"")</f>
        <v/>
      </c>
      <c r="B137" s="65" t="str">
        <f>IF($A137="","",$H137+1)</f>
        <v/>
      </c>
      <c r="C137" s="66" t="str">
        <f>IF($A137="","",INDEX(Import_Staging!$A$2:$A$301,$H137)&amp;"")</f>
        <v/>
      </c>
      <c r="D137" s="66" t="str">
        <f>IF($A137="","",INDEX(Config!$C$39:$C$61,$J137))</f>
        <v/>
      </c>
      <c r="E137" s="66" t="str">
        <f>IF($A137="","",INDEX(Config!$D$39:$D$61,$J137))</f>
        <v/>
      </c>
      <c r="F137" s="67" t="str">
        <f>IF($A137="","",IFERROR(CHOOSE($J137,"movement_id is empty. Every row needs a unique movement ID.","movement_id "&amp;INDEX(Import_Staging!$A$2:$A$301,$H137)&amp;""&amp;" appears earlier in this file (row "&amp;IFERROR(MATCH(INDEX(Import_Staging!$A$2:$A$301,$H137),Import_Staging!$A$2:$A$301,0)+1,"?")&amp;"). Only the first row can be posted.","movement_id "&amp;INDEX(Import_Staging!$A$2:$A$301,$H137)&amp;""&amp;" is already in Inventory_Ledger. The ledger row was not changed.","date is empty.","date "&amp;""""&amp;INDEX(Import_Staging!$B$2:$B$301,$H137)&amp;""&amp;""""&amp;" is not a real date in yyyy-mm-dd format.","date "&amp;TEXT(INDEX(Import_Staging!$M$2:$M$301,$H137),"yyyy-mm-dd")&amp;" is after the as-of date "&amp;TEXT(Config!$B$4,"yyyy-mm-dd")&amp;".","type is empty.","type "&amp;""""&amp;INDEX(Import_Staging!$C$2:$C$301,$H137)&amp;""&amp;""""&amp;" is not a movement type listed on Config.","sku is empty.","SKU "&amp;INDEX(Import_Staging!$D$2:$D$301,$H137)&amp;""&amp;" is not in Products.","supplier_id is empty; receipts need the supplier.","Supplier "&amp;INDEX(Import_Staging!$E$2:$E$301,$H137)&amp;""&amp;" is not in Suppliers.","lot is empty; every movement needs its lot code.","Lot "&amp;INDEX(Import_Staging!$F$2:$F$301,$H137)&amp;""&amp;" is not recorded for "&amp;INDEX(Import_Staging!$D$2:$D$301,$H137)&amp;""&amp;" in Batches.","expiry is empty; receipts need the company-supplied expiry date.","expiry "&amp;""""&amp;INDEX(Import_Staging!$G$2:$G$301,$H137)&amp;""&amp;""""&amp;" is not a real date in yyyy-mm-dd format.","qty is empty.","qty "&amp;""""&amp;INDEX(Import_Staging!$H$2:$H$301,$H137)&amp;""&amp;""""&amp;" is not a valid quantity"&amp;IF(INDEX(Import_Staging!$C$2:$C$301,$H137)&amp;""="",""," for a "&amp;LOWER(INDEX(Import_Staging!$C$2:$C$301,$H137)&amp;""))&amp;".","lot_status is empty; receipts need a lot status.","lot_status "&amp;""""&amp;INDEX(Import_Staging!$I$2:$I$301,$H137)&amp;""&amp;""""&amp;" is not a lot status allowed on receipt (Config).","reason is empty; adjustments need a reason.","source_link is empty; every movement needs a link to its source document.","This row would take recorded stock of "&amp;INDEX(Import_Staging!$D$2:$D$301,$H137)&amp;""&amp;" from "&amp;INDEX(Import_Staging!$R$2:$R$301,$H137)&amp;" to "&amp;INDEX(Import_Staging!$S$2:$S$301,$H137)&amp;"."),$E137))</f>
        <v/>
      </c>
      <c r="G137" s="67" t="str">
        <f>IF($A137="","",INDEX(Config!$F$39:$F$61,$J137))</f>
        <v/>
      </c>
      <c r="H137" s="66" t="str">
        <f>IF($A137="","",MATCH(COUNTIF(Import_Staging!$BS$2:$BS$301,"&lt;"&amp;$A137)+1,Import_Staging!$BR$2:$BR$301,0))</f>
        <v/>
      </c>
      <c r="I137" s="66" t="str">
        <f>IF($A137="","",$A137-INDEX(Import_Staging!$BQ$2:$BQ$301,$H137))</f>
        <v/>
      </c>
      <c r="J137" s="66" t="str">
        <f>IF($A137="","",MATCH($I137,INDEX(Import_Staging!$AT$2:$BP$301,$H137,0),0))</f>
        <v/>
      </c>
    </row>
    <row r="138">
      <c r="A138" s="65" t="str">
        <f>IF(133&lt;=$F$4,133,"")</f>
        <v/>
      </c>
      <c r="B138" s="65" t="str">
        <f>IF($A138="","",$H138+1)</f>
        <v/>
      </c>
      <c r="C138" s="66" t="str">
        <f>IF($A138="","",INDEX(Import_Staging!$A$2:$A$301,$H138)&amp;"")</f>
        <v/>
      </c>
      <c r="D138" s="66" t="str">
        <f>IF($A138="","",INDEX(Config!$C$39:$C$61,$J138))</f>
        <v/>
      </c>
      <c r="E138" s="66" t="str">
        <f>IF($A138="","",INDEX(Config!$D$39:$D$61,$J138))</f>
        <v/>
      </c>
      <c r="F138" s="67" t="str">
        <f>IF($A138="","",IFERROR(CHOOSE($J138,"movement_id is empty. Every row needs a unique movement ID.","movement_id "&amp;INDEX(Import_Staging!$A$2:$A$301,$H138)&amp;""&amp;" appears earlier in this file (row "&amp;IFERROR(MATCH(INDEX(Import_Staging!$A$2:$A$301,$H138),Import_Staging!$A$2:$A$301,0)+1,"?")&amp;"). Only the first row can be posted.","movement_id "&amp;INDEX(Import_Staging!$A$2:$A$301,$H138)&amp;""&amp;" is already in Inventory_Ledger. The ledger row was not changed.","date is empty.","date "&amp;""""&amp;INDEX(Import_Staging!$B$2:$B$301,$H138)&amp;""&amp;""""&amp;" is not a real date in yyyy-mm-dd format.","date "&amp;TEXT(INDEX(Import_Staging!$M$2:$M$301,$H138),"yyyy-mm-dd")&amp;" is after the as-of date "&amp;TEXT(Config!$B$4,"yyyy-mm-dd")&amp;".","type is empty.","type "&amp;""""&amp;INDEX(Import_Staging!$C$2:$C$301,$H138)&amp;""&amp;""""&amp;" is not a movement type listed on Config.","sku is empty.","SKU "&amp;INDEX(Import_Staging!$D$2:$D$301,$H138)&amp;""&amp;" is not in Products.","supplier_id is empty; receipts need the supplier.","Supplier "&amp;INDEX(Import_Staging!$E$2:$E$301,$H138)&amp;""&amp;" is not in Suppliers.","lot is empty; every movement needs its lot code.","Lot "&amp;INDEX(Import_Staging!$F$2:$F$301,$H138)&amp;""&amp;" is not recorded for "&amp;INDEX(Import_Staging!$D$2:$D$301,$H138)&amp;""&amp;" in Batches.","expiry is empty; receipts need the company-supplied expiry date.","expiry "&amp;""""&amp;INDEX(Import_Staging!$G$2:$G$301,$H138)&amp;""&amp;""""&amp;" is not a real date in yyyy-mm-dd format.","qty is empty.","qty "&amp;""""&amp;INDEX(Import_Staging!$H$2:$H$301,$H138)&amp;""&amp;""""&amp;" is not a valid quantity"&amp;IF(INDEX(Import_Staging!$C$2:$C$301,$H138)&amp;""="",""," for a "&amp;LOWER(INDEX(Import_Staging!$C$2:$C$301,$H138)&amp;""))&amp;".","lot_status is empty; receipts need a lot status.","lot_status "&amp;""""&amp;INDEX(Import_Staging!$I$2:$I$301,$H138)&amp;""&amp;""""&amp;" is not a lot status allowed on receipt (Config).","reason is empty; adjustments need a reason.","source_link is empty; every movement needs a link to its source document.","This row would take recorded stock of "&amp;INDEX(Import_Staging!$D$2:$D$301,$H138)&amp;""&amp;" from "&amp;INDEX(Import_Staging!$R$2:$R$301,$H138)&amp;" to "&amp;INDEX(Import_Staging!$S$2:$S$301,$H138)&amp;"."),$E138))</f>
        <v/>
      </c>
      <c r="G138" s="67" t="str">
        <f>IF($A138="","",INDEX(Config!$F$39:$F$61,$J138))</f>
        <v/>
      </c>
      <c r="H138" s="66" t="str">
        <f>IF($A138="","",MATCH(COUNTIF(Import_Staging!$BS$2:$BS$301,"&lt;"&amp;$A138)+1,Import_Staging!$BR$2:$BR$301,0))</f>
        <v/>
      </c>
      <c r="I138" s="66" t="str">
        <f>IF($A138="","",$A138-INDEX(Import_Staging!$BQ$2:$BQ$301,$H138))</f>
        <v/>
      </c>
      <c r="J138" s="66" t="str">
        <f>IF($A138="","",MATCH($I138,INDEX(Import_Staging!$AT$2:$BP$301,$H138,0),0))</f>
        <v/>
      </c>
    </row>
    <row r="139">
      <c r="A139" s="65" t="str">
        <f>IF(134&lt;=$F$4,134,"")</f>
        <v/>
      </c>
      <c r="B139" s="65" t="str">
        <f>IF($A139="","",$H139+1)</f>
        <v/>
      </c>
      <c r="C139" s="66" t="str">
        <f>IF($A139="","",INDEX(Import_Staging!$A$2:$A$301,$H139)&amp;"")</f>
        <v/>
      </c>
      <c r="D139" s="66" t="str">
        <f>IF($A139="","",INDEX(Config!$C$39:$C$61,$J139))</f>
        <v/>
      </c>
      <c r="E139" s="66" t="str">
        <f>IF($A139="","",INDEX(Config!$D$39:$D$61,$J139))</f>
        <v/>
      </c>
      <c r="F139" s="67" t="str">
        <f>IF($A139="","",IFERROR(CHOOSE($J139,"movement_id is empty. Every row needs a unique movement ID.","movement_id "&amp;INDEX(Import_Staging!$A$2:$A$301,$H139)&amp;""&amp;" appears earlier in this file (row "&amp;IFERROR(MATCH(INDEX(Import_Staging!$A$2:$A$301,$H139),Import_Staging!$A$2:$A$301,0)+1,"?")&amp;"). Only the first row can be posted.","movement_id "&amp;INDEX(Import_Staging!$A$2:$A$301,$H139)&amp;""&amp;" is already in Inventory_Ledger. The ledger row was not changed.","date is empty.","date "&amp;""""&amp;INDEX(Import_Staging!$B$2:$B$301,$H139)&amp;""&amp;""""&amp;" is not a real date in yyyy-mm-dd format.","date "&amp;TEXT(INDEX(Import_Staging!$M$2:$M$301,$H139),"yyyy-mm-dd")&amp;" is after the as-of date "&amp;TEXT(Config!$B$4,"yyyy-mm-dd")&amp;".","type is empty.","type "&amp;""""&amp;INDEX(Import_Staging!$C$2:$C$301,$H139)&amp;""&amp;""""&amp;" is not a movement type listed on Config.","sku is empty.","SKU "&amp;INDEX(Import_Staging!$D$2:$D$301,$H139)&amp;""&amp;" is not in Products.","supplier_id is empty; receipts need the supplier.","Supplier "&amp;INDEX(Import_Staging!$E$2:$E$301,$H139)&amp;""&amp;" is not in Suppliers.","lot is empty; every movement needs its lot code.","Lot "&amp;INDEX(Import_Staging!$F$2:$F$301,$H139)&amp;""&amp;" is not recorded for "&amp;INDEX(Import_Staging!$D$2:$D$301,$H139)&amp;""&amp;" in Batches.","expiry is empty; receipts need the company-supplied expiry date.","expiry "&amp;""""&amp;INDEX(Import_Staging!$G$2:$G$301,$H139)&amp;""&amp;""""&amp;" is not a real date in yyyy-mm-dd format.","qty is empty.","qty "&amp;""""&amp;INDEX(Import_Staging!$H$2:$H$301,$H139)&amp;""&amp;""""&amp;" is not a valid quantity"&amp;IF(INDEX(Import_Staging!$C$2:$C$301,$H139)&amp;""="",""," for a "&amp;LOWER(INDEX(Import_Staging!$C$2:$C$301,$H139)&amp;""))&amp;".","lot_status is empty; receipts need a lot status.","lot_status "&amp;""""&amp;INDEX(Import_Staging!$I$2:$I$301,$H139)&amp;""&amp;""""&amp;" is not a lot status allowed on receipt (Config).","reason is empty; adjustments need a reason.","source_link is empty; every movement needs a link to its source document.","This row would take recorded stock of "&amp;INDEX(Import_Staging!$D$2:$D$301,$H139)&amp;""&amp;" from "&amp;INDEX(Import_Staging!$R$2:$R$301,$H139)&amp;" to "&amp;INDEX(Import_Staging!$S$2:$S$301,$H139)&amp;"."),$E139))</f>
        <v/>
      </c>
      <c r="G139" s="67" t="str">
        <f>IF($A139="","",INDEX(Config!$F$39:$F$61,$J139))</f>
        <v/>
      </c>
      <c r="H139" s="66" t="str">
        <f>IF($A139="","",MATCH(COUNTIF(Import_Staging!$BS$2:$BS$301,"&lt;"&amp;$A139)+1,Import_Staging!$BR$2:$BR$301,0))</f>
        <v/>
      </c>
      <c r="I139" s="66" t="str">
        <f>IF($A139="","",$A139-INDEX(Import_Staging!$BQ$2:$BQ$301,$H139))</f>
        <v/>
      </c>
      <c r="J139" s="66" t="str">
        <f>IF($A139="","",MATCH($I139,INDEX(Import_Staging!$AT$2:$BP$301,$H139,0),0))</f>
        <v/>
      </c>
    </row>
    <row r="140">
      <c r="A140" s="65" t="str">
        <f>IF(135&lt;=$F$4,135,"")</f>
        <v/>
      </c>
      <c r="B140" s="65" t="str">
        <f>IF($A140="","",$H140+1)</f>
        <v/>
      </c>
      <c r="C140" s="66" t="str">
        <f>IF($A140="","",INDEX(Import_Staging!$A$2:$A$301,$H140)&amp;"")</f>
        <v/>
      </c>
      <c r="D140" s="66" t="str">
        <f>IF($A140="","",INDEX(Config!$C$39:$C$61,$J140))</f>
        <v/>
      </c>
      <c r="E140" s="66" t="str">
        <f>IF($A140="","",INDEX(Config!$D$39:$D$61,$J140))</f>
        <v/>
      </c>
      <c r="F140" s="67" t="str">
        <f>IF($A140="","",IFERROR(CHOOSE($J140,"movement_id is empty. Every row needs a unique movement ID.","movement_id "&amp;INDEX(Import_Staging!$A$2:$A$301,$H140)&amp;""&amp;" appears earlier in this file (row "&amp;IFERROR(MATCH(INDEX(Import_Staging!$A$2:$A$301,$H140),Import_Staging!$A$2:$A$301,0)+1,"?")&amp;"). Only the first row can be posted.","movement_id "&amp;INDEX(Import_Staging!$A$2:$A$301,$H140)&amp;""&amp;" is already in Inventory_Ledger. The ledger row was not changed.","date is empty.","date "&amp;""""&amp;INDEX(Import_Staging!$B$2:$B$301,$H140)&amp;""&amp;""""&amp;" is not a real date in yyyy-mm-dd format.","date "&amp;TEXT(INDEX(Import_Staging!$M$2:$M$301,$H140),"yyyy-mm-dd")&amp;" is after the as-of date "&amp;TEXT(Config!$B$4,"yyyy-mm-dd")&amp;".","type is empty.","type "&amp;""""&amp;INDEX(Import_Staging!$C$2:$C$301,$H140)&amp;""&amp;""""&amp;" is not a movement type listed on Config.","sku is empty.","SKU "&amp;INDEX(Import_Staging!$D$2:$D$301,$H140)&amp;""&amp;" is not in Products.","supplier_id is empty; receipts need the supplier.","Supplier "&amp;INDEX(Import_Staging!$E$2:$E$301,$H140)&amp;""&amp;" is not in Suppliers.","lot is empty; every movement needs its lot code.","Lot "&amp;INDEX(Import_Staging!$F$2:$F$301,$H140)&amp;""&amp;" is not recorded for "&amp;INDEX(Import_Staging!$D$2:$D$301,$H140)&amp;""&amp;" in Batches.","expiry is empty; receipts need the company-supplied expiry date.","expiry "&amp;""""&amp;INDEX(Import_Staging!$G$2:$G$301,$H140)&amp;""&amp;""""&amp;" is not a real date in yyyy-mm-dd format.","qty is empty.","qty "&amp;""""&amp;INDEX(Import_Staging!$H$2:$H$301,$H140)&amp;""&amp;""""&amp;" is not a valid quantity"&amp;IF(INDEX(Import_Staging!$C$2:$C$301,$H140)&amp;""="",""," for a "&amp;LOWER(INDEX(Import_Staging!$C$2:$C$301,$H140)&amp;""))&amp;".","lot_status is empty; receipts need a lot status.","lot_status "&amp;""""&amp;INDEX(Import_Staging!$I$2:$I$301,$H140)&amp;""&amp;""""&amp;" is not a lot status allowed on receipt (Config).","reason is empty; adjustments need a reason.","source_link is empty; every movement needs a link to its source document.","This row would take recorded stock of "&amp;INDEX(Import_Staging!$D$2:$D$301,$H140)&amp;""&amp;" from "&amp;INDEX(Import_Staging!$R$2:$R$301,$H140)&amp;" to "&amp;INDEX(Import_Staging!$S$2:$S$301,$H140)&amp;"."),$E140))</f>
        <v/>
      </c>
      <c r="G140" s="67" t="str">
        <f>IF($A140="","",INDEX(Config!$F$39:$F$61,$J140))</f>
        <v/>
      </c>
      <c r="H140" s="66" t="str">
        <f>IF($A140="","",MATCH(COUNTIF(Import_Staging!$BS$2:$BS$301,"&lt;"&amp;$A140)+1,Import_Staging!$BR$2:$BR$301,0))</f>
        <v/>
      </c>
      <c r="I140" s="66" t="str">
        <f>IF($A140="","",$A140-INDEX(Import_Staging!$BQ$2:$BQ$301,$H140))</f>
        <v/>
      </c>
      <c r="J140" s="66" t="str">
        <f>IF($A140="","",MATCH($I140,INDEX(Import_Staging!$AT$2:$BP$301,$H140,0),0))</f>
        <v/>
      </c>
    </row>
    <row r="141">
      <c r="A141" s="65" t="str">
        <f>IF(136&lt;=$F$4,136,"")</f>
        <v/>
      </c>
      <c r="B141" s="65" t="str">
        <f>IF($A141="","",$H141+1)</f>
        <v/>
      </c>
      <c r="C141" s="66" t="str">
        <f>IF($A141="","",INDEX(Import_Staging!$A$2:$A$301,$H141)&amp;"")</f>
        <v/>
      </c>
      <c r="D141" s="66" t="str">
        <f>IF($A141="","",INDEX(Config!$C$39:$C$61,$J141))</f>
        <v/>
      </c>
      <c r="E141" s="66" t="str">
        <f>IF($A141="","",INDEX(Config!$D$39:$D$61,$J141))</f>
        <v/>
      </c>
      <c r="F141" s="67" t="str">
        <f>IF($A141="","",IFERROR(CHOOSE($J141,"movement_id is empty. Every row needs a unique movement ID.","movement_id "&amp;INDEX(Import_Staging!$A$2:$A$301,$H141)&amp;""&amp;" appears earlier in this file (row "&amp;IFERROR(MATCH(INDEX(Import_Staging!$A$2:$A$301,$H141),Import_Staging!$A$2:$A$301,0)+1,"?")&amp;"). Only the first row can be posted.","movement_id "&amp;INDEX(Import_Staging!$A$2:$A$301,$H141)&amp;""&amp;" is already in Inventory_Ledger. The ledger row was not changed.","date is empty.","date "&amp;""""&amp;INDEX(Import_Staging!$B$2:$B$301,$H141)&amp;""&amp;""""&amp;" is not a real date in yyyy-mm-dd format.","date "&amp;TEXT(INDEX(Import_Staging!$M$2:$M$301,$H141),"yyyy-mm-dd")&amp;" is after the as-of date "&amp;TEXT(Config!$B$4,"yyyy-mm-dd")&amp;".","type is empty.","type "&amp;""""&amp;INDEX(Import_Staging!$C$2:$C$301,$H141)&amp;""&amp;""""&amp;" is not a movement type listed on Config.","sku is empty.","SKU "&amp;INDEX(Import_Staging!$D$2:$D$301,$H141)&amp;""&amp;" is not in Products.","supplier_id is empty; receipts need the supplier.","Supplier "&amp;INDEX(Import_Staging!$E$2:$E$301,$H141)&amp;""&amp;" is not in Suppliers.","lot is empty; every movement needs its lot code.","Lot "&amp;INDEX(Import_Staging!$F$2:$F$301,$H141)&amp;""&amp;" is not recorded for "&amp;INDEX(Import_Staging!$D$2:$D$301,$H141)&amp;""&amp;" in Batches.","expiry is empty; receipts need the company-supplied expiry date.","expiry "&amp;""""&amp;INDEX(Import_Staging!$G$2:$G$301,$H141)&amp;""&amp;""""&amp;" is not a real date in yyyy-mm-dd format.","qty is empty.","qty "&amp;""""&amp;INDEX(Import_Staging!$H$2:$H$301,$H141)&amp;""&amp;""""&amp;" is not a valid quantity"&amp;IF(INDEX(Import_Staging!$C$2:$C$301,$H141)&amp;""="",""," for a "&amp;LOWER(INDEX(Import_Staging!$C$2:$C$301,$H141)&amp;""))&amp;".","lot_status is empty; receipts need a lot status.","lot_status "&amp;""""&amp;INDEX(Import_Staging!$I$2:$I$301,$H141)&amp;""&amp;""""&amp;" is not a lot status allowed on receipt (Config).","reason is empty; adjustments need a reason.","source_link is empty; every movement needs a link to its source document.","This row would take recorded stock of "&amp;INDEX(Import_Staging!$D$2:$D$301,$H141)&amp;""&amp;" from "&amp;INDEX(Import_Staging!$R$2:$R$301,$H141)&amp;" to "&amp;INDEX(Import_Staging!$S$2:$S$301,$H141)&amp;"."),$E141))</f>
        <v/>
      </c>
      <c r="G141" s="67" t="str">
        <f>IF($A141="","",INDEX(Config!$F$39:$F$61,$J141))</f>
        <v/>
      </c>
      <c r="H141" s="66" t="str">
        <f>IF($A141="","",MATCH(COUNTIF(Import_Staging!$BS$2:$BS$301,"&lt;"&amp;$A141)+1,Import_Staging!$BR$2:$BR$301,0))</f>
        <v/>
      </c>
      <c r="I141" s="66" t="str">
        <f>IF($A141="","",$A141-INDEX(Import_Staging!$BQ$2:$BQ$301,$H141))</f>
        <v/>
      </c>
      <c r="J141" s="66" t="str">
        <f>IF($A141="","",MATCH($I141,INDEX(Import_Staging!$AT$2:$BP$301,$H141,0),0))</f>
        <v/>
      </c>
    </row>
    <row r="142">
      <c r="A142" s="65" t="str">
        <f>IF(137&lt;=$F$4,137,"")</f>
        <v/>
      </c>
      <c r="B142" s="65" t="str">
        <f>IF($A142="","",$H142+1)</f>
        <v/>
      </c>
      <c r="C142" s="66" t="str">
        <f>IF($A142="","",INDEX(Import_Staging!$A$2:$A$301,$H142)&amp;"")</f>
        <v/>
      </c>
      <c r="D142" s="66" t="str">
        <f>IF($A142="","",INDEX(Config!$C$39:$C$61,$J142))</f>
        <v/>
      </c>
      <c r="E142" s="66" t="str">
        <f>IF($A142="","",INDEX(Config!$D$39:$D$61,$J142))</f>
        <v/>
      </c>
      <c r="F142" s="67" t="str">
        <f>IF($A142="","",IFERROR(CHOOSE($J142,"movement_id is empty. Every row needs a unique movement ID.","movement_id "&amp;INDEX(Import_Staging!$A$2:$A$301,$H142)&amp;""&amp;" appears earlier in this file (row "&amp;IFERROR(MATCH(INDEX(Import_Staging!$A$2:$A$301,$H142),Import_Staging!$A$2:$A$301,0)+1,"?")&amp;"). Only the first row can be posted.","movement_id "&amp;INDEX(Import_Staging!$A$2:$A$301,$H142)&amp;""&amp;" is already in Inventory_Ledger. The ledger row was not changed.","date is empty.","date "&amp;""""&amp;INDEX(Import_Staging!$B$2:$B$301,$H142)&amp;""&amp;""""&amp;" is not a real date in yyyy-mm-dd format.","date "&amp;TEXT(INDEX(Import_Staging!$M$2:$M$301,$H142),"yyyy-mm-dd")&amp;" is after the as-of date "&amp;TEXT(Config!$B$4,"yyyy-mm-dd")&amp;".","type is empty.","type "&amp;""""&amp;INDEX(Import_Staging!$C$2:$C$301,$H142)&amp;""&amp;""""&amp;" is not a movement type listed on Config.","sku is empty.","SKU "&amp;INDEX(Import_Staging!$D$2:$D$301,$H142)&amp;""&amp;" is not in Products.","supplier_id is empty; receipts need the supplier.","Supplier "&amp;INDEX(Import_Staging!$E$2:$E$301,$H142)&amp;""&amp;" is not in Suppliers.","lot is empty; every movement needs its lot code.","Lot "&amp;INDEX(Import_Staging!$F$2:$F$301,$H142)&amp;""&amp;" is not recorded for "&amp;INDEX(Import_Staging!$D$2:$D$301,$H142)&amp;""&amp;" in Batches.","expiry is empty; receipts need the company-supplied expiry date.","expiry "&amp;""""&amp;INDEX(Import_Staging!$G$2:$G$301,$H142)&amp;""&amp;""""&amp;" is not a real date in yyyy-mm-dd format.","qty is empty.","qty "&amp;""""&amp;INDEX(Import_Staging!$H$2:$H$301,$H142)&amp;""&amp;""""&amp;" is not a valid quantity"&amp;IF(INDEX(Import_Staging!$C$2:$C$301,$H142)&amp;""="",""," for a "&amp;LOWER(INDEX(Import_Staging!$C$2:$C$301,$H142)&amp;""))&amp;".","lot_status is empty; receipts need a lot status.","lot_status "&amp;""""&amp;INDEX(Import_Staging!$I$2:$I$301,$H142)&amp;""&amp;""""&amp;" is not a lot status allowed on receipt (Config).","reason is empty; adjustments need a reason.","source_link is empty; every movement needs a link to its source document.","This row would take recorded stock of "&amp;INDEX(Import_Staging!$D$2:$D$301,$H142)&amp;""&amp;" from "&amp;INDEX(Import_Staging!$R$2:$R$301,$H142)&amp;" to "&amp;INDEX(Import_Staging!$S$2:$S$301,$H142)&amp;"."),$E142))</f>
        <v/>
      </c>
      <c r="G142" s="67" t="str">
        <f>IF($A142="","",INDEX(Config!$F$39:$F$61,$J142))</f>
        <v/>
      </c>
      <c r="H142" s="66" t="str">
        <f>IF($A142="","",MATCH(COUNTIF(Import_Staging!$BS$2:$BS$301,"&lt;"&amp;$A142)+1,Import_Staging!$BR$2:$BR$301,0))</f>
        <v/>
      </c>
      <c r="I142" s="66" t="str">
        <f>IF($A142="","",$A142-INDEX(Import_Staging!$BQ$2:$BQ$301,$H142))</f>
        <v/>
      </c>
      <c r="J142" s="66" t="str">
        <f>IF($A142="","",MATCH($I142,INDEX(Import_Staging!$AT$2:$BP$301,$H142,0),0))</f>
        <v/>
      </c>
    </row>
    <row r="143">
      <c r="A143" s="65" t="str">
        <f>IF(138&lt;=$F$4,138,"")</f>
        <v/>
      </c>
      <c r="B143" s="65" t="str">
        <f>IF($A143="","",$H143+1)</f>
        <v/>
      </c>
      <c r="C143" s="66" t="str">
        <f>IF($A143="","",INDEX(Import_Staging!$A$2:$A$301,$H143)&amp;"")</f>
        <v/>
      </c>
      <c r="D143" s="66" t="str">
        <f>IF($A143="","",INDEX(Config!$C$39:$C$61,$J143))</f>
        <v/>
      </c>
      <c r="E143" s="66" t="str">
        <f>IF($A143="","",INDEX(Config!$D$39:$D$61,$J143))</f>
        <v/>
      </c>
      <c r="F143" s="67" t="str">
        <f>IF($A143="","",IFERROR(CHOOSE($J143,"movement_id is empty. Every row needs a unique movement ID.","movement_id "&amp;INDEX(Import_Staging!$A$2:$A$301,$H143)&amp;""&amp;" appears earlier in this file (row "&amp;IFERROR(MATCH(INDEX(Import_Staging!$A$2:$A$301,$H143),Import_Staging!$A$2:$A$301,0)+1,"?")&amp;"). Only the first row can be posted.","movement_id "&amp;INDEX(Import_Staging!$A$2:$A$301,$H143)&amp;""&amp;" is already in Inventory_Ledger. The ledger row was not changed.","date is empty.","date "&amp;""""&amp;INDEX(Import_Staging!$B$2:$B$301,$H143)&amp;""&amp;""""&amp;" is not a real date in yyyy-mm-dd format.","date "&amp;TEXT(INDEX(Import_Staging!$M$2:$M$301,$H143),"yyyy-mm-dd")&amp;" is after the as-of date "&amp;TEXT(Config!$B$4,"yyyy-mm-dd")&amp;".","type is empty.","type "&amp;""""&amp;INDEX(Import_Staging!$C$2:$C$301,$H143)&amp;""&amp;""""&amp;" is not a movement type listed on Config.","sku is empty.","SKU "&amp;INDEX(Import_Staging!$D$2:$D$301,$H143)&amp;""&amp;" is not in Products.","supplier_id is empty; receipts need the supplier.","Supplier "&amp;INDEX(Import_Staging!$E$2:$E$301,$H143)&amp;""&amp;" is not in Suppliers.","lot is empty; every movement needs its lot code.","Lot "&amp;INDEX(Import_Staging!$F$2:$F$301,$H143)&amp;""&amp;" is not recorded for "&amp;INDEX(Import_Staging!$D$2:$D$301,$H143)&amp;""&amp;" in Batches.","expiry is empty; receipts need the company-supplied expiry date.","expiry "&amp;""""&amp;INDEX(Import_Staging!$G$2:$G$301,$H143)&amp;""&amp;""""&amp;" is not a real date in yyyy-mm-dd format.","qty is empty.","qty "&amp;""""&amp;INDEX(Import_Staging!$H$2:$H$301,$H143)&amp;""&amp;""""&amp;" is not a valid quantity"&amp;IF(INDEX(Import_Staging!$C$2:$C$301,$H143)&amp;""="",""," for a "&amp;LOWER(INDEX(Import_Staging!$C$2:$C$301,$H143)&amp;""))&amp;".","lot_status is empty; receipts need a lot status.","lot_status "&amp;""""&amp;INDEX(Import_Staging!$I$2:$I$301,$H143)&amp;""&amp;""""&amp;" is not a lot status allowed on receipt (Config).","reason is empty; adjustments need a reason.","source_link is empty; every movement needs a link to its source document.","This row would take recorded stock of "&amp;INDEX(Import_Staging!$D$2:$D$301,$H143)&amp;""&amp;" from "&amp;INDEX(Import_Staging!$R$2:$R$301,$H143)&amp;" to "&amp;INDEX(Import_Staging!$S$2:$S$301,$H143)&amp;"."),$E143))</f>
        <v/>
      </c>
      <c r="G143" s="67" t="str">
        <f>IF($A143="","",INDEX(Config!$F$39:$F$61,$J143))</f>
        <v/>
      </c>
      <c r="H143" s="66" t="str">
        <f>IF($A143="","",MATCH(COUNTIF(Import_Staging!$BS$2:$BS$301,"&lt;"&amp;$A143)+1,Import_Staging!$BR$2:$BR$301,0))</f>
        <v/>
      </c>
      <c r="I143" s="66" t="str">
        <f>IF($A143="","",$A143-INDEX(Import_Staging!$BQ$2:$BQ$301,$H143))</f>
        <v/>
      </c>
      <c r="J143" s="66" t="str">
        <f>IF($A143="","",MATCH($I143,INDEX(Import_Staging!$AT$2:$BP$301,$H143,0),0))</f>
        <v/>
      </c>
    </row>
    <row r="144">
      <c r="A144" s="65" t="str">
        <f>IF(139&lt;=$F$4,139,"")</f>
        <v/>
      </c>
      <c r="B144" s="65" t="str">
        <f>IF($A144="","",$H144+1)</f>
        <v/>
      </c>
      <c r="C144" s="66" t="str">
        <f>IF($A144="","",INDEX(Import_Staging!$A$2:$A$301,$H144)&amp;"")</f>
        <v/>
      </c>
      <c r="D144" s="66" t="str">
        <f>IF($A144="","",INDEX(Config!$C$39:$C$61,$J144))</f>
        <v/>
      </c>
      <c r="E144" s="66" t="str">
        <f>IF($A144="","",INDEX(Config!$D$39:$D$61,$J144))</f>
        <v/>
      </c>
      <c r="F144" s="67" t="str">
        <f>IF($A144="","",IFERROR(CHOOSE($J144,"movement_id is empty. Every row needs a unique movement ID.","movement_id "&amp;INDEX(Import_Staging!$A$2:$A$301,$H144)&amp;""&amp;" appears earlier in this file (row "&amp;IFERROR(MATCH(INDEX(Import_Staging!$A$2:$A$301,$H144),Import_Staging!$A$2:$A$301,0)+1,"?")&amp;"). Only the first row can be posted.","movement_id "&amp;INDEX(Import_Staging!$A$2:$A$301,$H144)&amp;""&amp;" is already in Inventory_Ledger. The ledger row was not changed.","date is empty.","date "&amp;""""&amp;INDEX(Import_Staging!$B$2:$B$301,$H144)&amp;""&amp;""""&amp;" is not a real date in yyyy-mm-dd format.","date "&amp;TEXT(INDEX(Import_Staging!$M$2:$M$301,$H144),"yyyy-mm-dd")&amp;" is after the as-of date "&amp;TEXT(Config!$B$4,"yyyy-mm-dd")&amp;".","type is empty.","type "&amp;""""&amp;INDEX(Import_Staging!$C$2:$C$301,$H144)&amp;""&amp;""""&amp;" is not a movement type listed on Config.","sku is empty.","SKU "&amp;INDEX(Import_Staging!$D$2:$D$301,$H144)&amp;""&amp;" is not in Products.","supplier_id is empty; receipts need the supplier.","Supplier "&amp;INDEX(Import_Staging!$E$2:$E$301,$H144)&amp;""&amp;" is not in Suppliers.","lot is empty; every movement needs its lot code.","Lot "&amp;INDEX(Import_Staging!$F$2:$F$301,$H144)&amp;""&amp;" is not recorded for "&amp;INDEX(Import_Staging!$D$2:$D$301,$H144)&amp;""&amp;" in Batches.","expiry is empty; receipts need the company-supplied expiry date.","expiry "&amp;""""&amp;INDEX(Import_Staging!$G$2:$G$301,$H144)&amp;""&amp;""""&amp;" is not a real date in yyyy-mm-dd format.","qty is empty.","qty "&amp;""""&amp;INDEX(Import_Staging!$H$2:$H$301,$H144)&amp;""&amp;""""&amp;" is not a valid quantity"&amp;IF(INDEX(Import_Staging!$C$2:$C$301,$H144)&amp;""="",""," for a "&amp;LOWER(INDEX(Import_Staging!$C$2:$C$301,$H144)&amp;""))&amp;".","lot_status is empty; receipts need a lot status.","lot_status "&amp;""""&amp;INDEX(Import_Staging!$I$2:$I$301,$H144)&amp;""&amp;""""&amp;" is not a lot status allowed on receipt (Config).","reason is empty; adjustments need a reason.","source_link is empty; every movement needs a link to its source document.","This row would take recorded stock of "&amp;INDEX(Import_Staging!$D$2:$D$301,$H144)&amp;""&amp;" from "&amp;INDEX(Import_Staging!$R$2:$R$301,$H144)&amp;" to "&amp;INDEX(Import_Staging!$S$2:$S$301,$H144)&amp;"."),$E144))</f>
        <v/>
      </c>
      <c r="G144" s="67" t="str">
        <f>IF($A144="","",INDEX(Config!$F$39:$F$61,$J144))</f>
        <v/>
      </c>
      <c r="H144" s="66" t="str">
        <f>IF($A144="","",MATCH(COUNTIF(Import_Staging!$BS$2:$BS$301,"&lt;"&amp;$A144)+1,Import_Staging!$BR$2:$BR$301,0))</f>
        <v/>
      </c>
      <c r="I144" s="66" t="str">
        <f>IF($A144="","",$A144-INDEX(Import_Staging!$BQ$2:$BQ$301,$H144))</f>
        <v/>
      </c>
      <c r="J144" s="66" t="str">
        <f>IF($A144="","",MATCH($I144,INDEX(Import_Staging!$AT$2:$BP$301,$H144,0),0))</f>
        <v/>
      </c>
    </row>
    <row r="145">
      <c r="A145" s="65" t="str">
        <f>IF(140&lt;=$F$4,140,"")</f>
        <v/>
      </c>
      <c r="B145" s="65" t="str">
        <f>IF($A145="","",$H145+1)</f>
        <v/>
      </c>
      <c r="C145" s="66" t="str">
        <f>IF($A145="","",INDEX(Import_Staging!$A$2:$A$301,$H145)&amp;"")</f>
        <v/>
      </c>
      <c r="D145" s="66" t="str">
        <f>IF($A145="","",INDEX(Config!$C$39:$C$61,$J145))</f>
        <v/>
      </c>
      <c r="E145" s="66" t="str">
        <f>IF($A145="","",INDEX(Config!$D$39:$D$61,$J145))</f>
        <v/>
      </c>
      <c r="F145" s="67" t="str">
        <f>IF($A145="","",IFERROR(CHOOSE($J145,"movement_id is empty. Every row needs a unique movement ID.","movement_id "&amp;INDEX(Import_Staging!$A$2:$A$301,$H145)&amp;""&amp;" appears earlier in this file (row "&amp;IFERROR(MATCH(INDEX(Import_Staging!$A$2:$A$301,$H145),Import_Staging!$A$2:$A$301,0)+1,"?")&amp;"). Only the first row can be posted.","movement_id "&amp;INDEX(Import_Staging!$A$2:$A$301,$H145)&amp;""&amp;" is already in Inventory_Ledger. The ledger row was not changed.","date is empty.","date "&amp;""""&amp;INDEX(Import_Staging!$B$2:$B$301,$H145)&amp;""&amp;""""&amp;" is not a real date in yyyy-mm-dd format.","date "&amp;TEXT(INDEX(Import_Staging!$M$2:$M$301,$H145),"yyyy-mm-dd")&amp;" is after the as-of date "&amp;TEXT(Config!$B$4,"yyyy-mm-dd")&amp;".","type is empty.","type "&amp;""""&amp;INDEX(Import_Staging!$C$2:$C$301,$H145)&amp;""&amp;""""&amp;" is not a movement type listed on Config.","sku is empty.","SKU "&amp;INDEX(Import_Staging!$D$2:$D$301,$H145)&amp;""&amp;" is not in Products.","supplier_id is empty; receipts need the supplier.","Supplier "&amp;INDEX(Import_Staging!$E$2:$E$301,$H145)&amp;""&amp;" is not in Suppliers.","lot is empty; every movement needs its lot code.","Lot "&amp;INDEX(Import_Staging!$F$2:$F$301,$H145)&amp;""&amp;" is not recorded for "&amp;INDEX(Import_Staging!$D$2:$D$301,$H145)&amp;""&amp;" in Batches.","expiry is empty; receipts need the company-supplied expiry date.","expiry "&amp;""""&amp;INDEX(Import_Staging!$G$2:$G$301,$H145)&amp;""&amp;""""&amp;" is not a real date in yyyy-mm-dd format.","qty is empty.","qty "&amp;""""&amp;INDEX(Import_Staging!$H$2:$H$301,$H145)&amp;""&amp;""""&amp;" is not a valid quantity"&amp;IF(INDEX(Import_Staging!$C$2:$C$301,$H145)&amp;""="",""," for a "&amp;LOWER(INDEX(Import_Staging!$C$2:$C$301,$H145)&amp;""))&amp;".","lot_status is empty; receipts need a lot status.","lot_status "&amp;""""&amp;INDEX(Import_Staging!$I$2:$I$301,$H145)&amp;""&amp;""""&amp;" is not a lot status allowed on receipt (Config).","reason is empty; adjustments need a reason.","source_link is empty; every movement needs a link to its source document.","This row would take recorded stock of "&amp;INDEX(Import_Staging!$D$2:$D$301,$H145)&amp;""&amp;" from "&amp;INDEX(Import_Staging!$R$2:$R$301,$H145)&amp;" to "&amp;INDEX(Import_Staging!$S$2:$S$301,$H145)&amp;"."),$E145))</f>
        <v/>
      </c>
      <c r="G145" s="67" t="str">
        <f>IF($A145="","",INDEX(Config!$F$39:$F$61,$J145))</f>
        <v/>
      </c>
      <c r="H145" s="66" t="str">
        <f>IF($A145="","",MATCH(COUNTIF(Import_Staging!$BS$2:$BS$301,"&lt;"&amp;$A145)+1,Import_Staging!$BR$2:$BR$301,0))</f>
        <v/>
      </c>
      <c r="I145" s="66" t="str">
        <f>IF($A145="","",$A145-INDEX(Import_Staging!$BQ$2:$BQ$301,$H145))</f>
        <v/>
      </c>
      <c r="J145" s="66" t="str">
        <f>IF($A145="","",MATCH($I145,INDEX(Import_Staging!$AT$2:$BP$301,$H145,0),0))</f>
        <v/>
      </c>
    </row>
    <row r="146">
      <c r="A146" s="65" t="str">
        <f>IF(141&lt;=$F$4,141,"")</f>
        <v/>
      </c>
      <c r="B146" s="65" t="str">
        <f>IF($A146="","",$H146+1)</f>
        <v/>
      </c>
      <c r="C146" s="66" t="str">
        <f>IF($A146="","",INDEX(Import_Staging!$A$2:$A$301,$H146)&amp;"")</f>
        <v/>
      </c>
      <c r="D146" s="66" t="str">
        <f>IF($A146="","",INDEX(Config!$C$39:$C$61,$J146))</f>
        <v/>
      </c>
      <c r="E146" s="66" t="str">
        <f>IF($A146="","",INDEX(Config!$D$39:$D$61,$J146))</f>
        <v/>
      </c>
      <c r="F146" s="67" t="str">
        <f>IF($A146="","",IFERROR(CHOOSE($J146,"movement_id is empty. Every row needs a unique movement ID.","movement_id "&amp;INDEX(Import_Staging!$A$2:$A$301,$H146)&amp;""&amp;" appears earlier in this file (row "&amp;IFERROR(MATCH(INDEX(Import_Staging!$A$2:$A$301,$H146),Import_Staging!$A$2:$A$301,0)+1,"?")&amp;"). Only the first row can be posted.","movement_id "&amp;INDEX(Import_Staging!$A$2:$A$301,$H146)&amp;""&amp;" is already in Inventory_Ledger. The ledger row was not changed.","date is empty.","date "&amp;""""&amp;INDEX(Import_Staging!$B$2:$B$301,$H146)&amp;""&amp;""""&amp;" is not a real date in yyyy-mm-dd format.","date "&amp;TEXT(INDEX(Import_Staging!$M$2:$M$301,$H146),"yyyy-mm-dd")&amp;" is after the as-of date "&amp;TEXT(Config!$B$4,"yyyy-mm-dd")&amp;".","type is empty.","type "&amp;""""&amp;INDEX(Import_Staging!$C$2:$C$301,$H146)&amp;""&amp;""""&amp;" is not a movement type listed on Config.","sku is empty.","SKU "&amp;INDEX(Import_Staging!$D$2:$D$301,$H146)&amp;""&amp;" is not in Products.","supplier_id is empty; receipts need the supplier.","Supplier "&amp;INDEX(Import_Staging!$E$2:$E$301,$H146)&amp;""&amp;" is not in Suppliers.","lot is empty; every movement needs its lot code.","Lot "&amp;INDEX(Import_Staging!$F$2:$F$301,$H146)&amp;""&amp;" is not recorded for "&amp;INDEX(Import_Staging!$D$2:$D$301,$H146)&amp;""&amp;" in Batches.","expiry is empty; receipts need the company-supplied expiry date.","expiry "&amp;""""&amp;INDEX(Import_Staging!$G$2:$G$301,$H146)&amp;""&amp;""""&amp;" is not a real date in yyyy-mm-dd format.","qty is empty.","qty "&amp;""""&amp;INDEX(Import_Staging!$H$2:$H$301,$H146)&amp;""&amp;""""&amp;" is not a valid quantity"&amp;IF(INDEX(Import_Staging!$C$2:$C$301,$H146)&amp;""="",""," for a "&amp;LOWER(INDEX(Import_Staging!$C$2:$C$301,$H146)&amp;""))&amp;".","lot_status is empty; receipts need a lot status.","lot_status "&amp;""""&amp;INDEX(Import_Staging!$I$2:$I$301,$H146)&amp;""&amp;""""&amp;" is not a lot status allowed on receipt (Config).","reason is empty; adjustments need a reason.","source_link is empty; every movement needs a link to its source document.","This row would take recorded stock of "&amp;INDEX(Import_Staging!$D$2:$D$301,$H146)&amp;""&amp;" from "&amp;INDEX(Import_Staging!$R$2:$R$301,$H146)&amp;" to "&amp;INDEX(Import_Staging!$S$2:$S$301,$H146)&amp;"."),$E146))</f>
        <v/>
      </c>
      <c r="G146" s="67" t="str">
        <f>IF($A146="","",INDEX(Config!$F$39:$F$61,$J146))</f>
        <v/>
      </c>
      <c r="H146" s="66" t="str">
        <f>IF($A146="","",MATCH(COUNTIF(Import_Staging!$BS$2:$BS$301,"&lt;"&amp;$A146)+1,Import_Staging!$BR$2:$BR$301,0))</f>
        <v/>
      </c>
      <c r="I146" s="66" t="str">
        <f>IF($A146="","",$A146-INDEX(Import_Staging!$BQ$2:$BQ$301,$H146))</f>
        <v/>
      </c>
      <c r="J146" s="66" t="str">
        <f>IF($A146="","",MATCH($I146,INDEX(Import_Staging!$AT$2:$BP$301,$H146,0),0))</f>
        <v/>
      </c>
    </row>
    <row r="147">
      <c r="A147" s="65" t="str">
        <f>IF(142&lt;=$F$4,142,"")</f>
        <v/>
      </c>
      <c r="B147" s="65" t="str">
        <f>IF($A147="","",$H147+1)</f>
        <v/>
      </c>
      <c r="C147" s="66" t="str">
        <f>IF($A147="","",INDEX(Import_Staging!$A$2:$A$301,$H147)&amp;"")</f>
        <v/>
      </c>
      <c r="D147" s="66" t="str">
        <f>IF($A147="","",INDEX(Config!$C$39:$C$61,$J147))</f>
        <v/>
      </c>
      <c r="E147" s="66" t="str">
        <f>IF($A147="","",INDEX(Config!$D$39:$D$61,$J147))</f>
        <v/>
      </c>
      <c r="F147" s="67" t="str">
        <f>IF($A147="","",IFERROR(CHOOSE($J147,"movement_id is empty. Every row needs a unique movement ID.","movement_id "&amp;INDEX(Import_Staging!$A$2:$A$301,$H147)&amp;""&amp;" appears earlier in this file (row "&amp;IFERROR(MATCH(INDEX(Import_Staging!$A$2:$A$301,$H147),Import_Staging!$A$2:$A$301,0)+1,"?")&amp;"). Only the first row can be posted.","movement_id "&amp;INDEX(Import_Staging!$A$2:$A$301,$H147)&amp;""&amp;" is already in Inventory_Ledger. The ledger row was not changed.","date is empty.","date "&amp;""""&amp;INDEX(Import_Staging!$B$2:$B$301,$H147)&amp;""&amp;""""&amp;" is not a real date in yyyy-mm-dd format.","date "&amp;TEXT(INDEX(Import_Staging!$M$2:$M$301,$H147),"yyyy-mm-dd")&amp;" is after the as-of date "&amp;TEXT(Config!$B$4,"yyyy-mm-dd")&amp;".","type is empty.","type "&amp;""""&amp;INDEX(Import_Staging!$C$2:$C$301,$H147)&amp;""&amp;""""&amp;" is not a movement type listed on Config.","sku is empty.","SKU "&amp;INDEX(Import_Staging!$D$2:$D$301,$H147)&amp;""&amp;" is not in Products.","supplier_id is empty; receipts need the supplier.","Supplier "&amp;INDEX(Import_Staging!$E$2:$E$301,$H147)&amp;""&amp;" is not in Suppliers.","lot is empty; every movement needs its lot code.","Lot "&amp;INDEX(Import_Staging!$F$2:$F$301,$H147)&amp;""&amp;" is not recorded for "&amp;INDEX(Import_Staging!$D$2:$D$301,$H147)&amp;""&amp;" in Batches.","expiry is empty; receipts need the company-supplied expiry date.","expiry "&amp;""""&amp;INDEX(Import_Staging!$G$2:$G$301,$H147)&amp;""&amp;""""&amp;" is not a real date in yyyy-mm-dd format.","qty is empty.","qty "&amp;""""&amp;INDEX(Import_Staging!$H$2:$H$301,$H147)&amp;""&amp;""""&amp;" is not a valid quantity"&amp;IF(INDEX(Import_Staging!$C$2:$C$301,$H147)&amp;""="",""," for a "&amp;LOWER(INDEX(Import_Staging!$C$2:$C$301,$H147)&amp;""))&amp;".","lot_status is empty; receipts need a lot status.","lot_status "&amp;""""&amp;INDEX(Import_Staging!$I$2:$I$301,$H147)&amp;""&amp;""""&amp;" is not a lot status allowed on receipt (Config).","reason is empty; adjustments need a reason.","source_link is empty; every movement needs a link to its source document.","This row would take recorded stock of "&amp;INDEX(Import_Staging!$D$2:$D$301,$H147)&amp;""&amp;" from "&amp;INDEX(Import_Staging!$R$2:$R$301,$H147)&amp;" to "&amp;INDEX(Import_Staging!$S$2:$S$301,$H147)&amp;"."),$E147))</f>
        <v/>
      </c>
      <c r="G147" s="67" t="str">
        <f>IF($A147="","",INDEX(Config!$F$39:$F$61,$J147))</f>
        <v/>
      </c>
      <c r="H147" s="66" t="str">
        <f>IF($A147="","",MATCH(COUNTIF(Import_Staging!$BS$2:$BS$301,"&lt;"&amp;$A147)+1,Import_Staging!$BR$2:$BR$301,0))</f>
        <v/>
      </c>
      <c r="I147" s="66" t="str">
        <f>IF($A147="","",$A147-INDEX(Import_Staging!$BQ$2:$BQ$301,$H147))</f>
        <v/>
      </c>
      <c r="J147" s="66" t="str">
        <f>IF($A147="","",MATCH($I147,INDEX(Import_Staging!$AT$2:$BP$301,$H147,0),0))</f>
        <v/>
      </c>
    </row>
    <row r="148">
      <c r="A148" s="65" t="str">
        <f>IF(143&lt;=$F$4,143,"")</f>
        <v/>
      </c>
      <c r="B148" s="65" t="str">
        <f>IF($A148="","",$H148+1)</f>
        <v/>
      </c>
      <c r="C148" s="66" t="str">
        <f>IF($A148="","",INDEX(Import_Staging!$A$2:$A$301,$H148)&amp;"")</f>
        <v/>
      </c>
      <c r="D148" s="66" t="str">
        <f>IF($A148="","",INDEX(Config!$C$39:$C$61,$J148))</f>
        <v/>
      </c>
      <c r="E148" s="66" t="str">
        <f>IF($A148="","",INDEX(Config!$D$39:$D$61,$J148))</f>
        <v/>
      </c>
      <c r="F148" s="67" t="str">
        <f>IF($A148="","",IFERROR(CHOOSE($J148,"movement_id is empty. Every row needs a unique movement ID.","movement_id "&amp;INDEX(Import_Staging!$A$2:$A$301,$H148)&amp;""&amp;" appears earlier in this file (row "&amp;IFERROR(MATCH(INDEX(Import_Staging!$A$2:$A$301,$H148),Import_Staging!$A$2:$A$301,0)+1,"?")&amp;"). Only the first row can be posted.","movement_id "&amp;INDEX(Import_Staging!$A$2:$A$301,$H148)&amp;""&amp;" is already in Inventory_Ledger. The ledger row was not changed.","date is empty.","date "&amp;""""&amp;INDEX(Import_Staging!$B$2:$B$301,$H148)&amp;""&amp;""""&amp;" is not a real date in yyyy-mm-dd format.","date "&amp;TEXT(INDEX(Import_Staging!$M$2:$M$301,$H148),"yyyy-mm-dd")&amp;" is after the as-of date "&amp;TEXT(Config!$B$4,"yyyy-mm-dd")&amp;".","type is empty.","type "&amp;""""&amp;INDEX(Import_Staging!$C$2:$C$301,$H148)&amp;""&amp;""""&amp;" is not a movement type listed on Config.","sku is empty.","SKU "&amp;INDEX(Import_Staging!$D$2:$D$301,$H148)&amp;""&amp;" is not in Products.","supplier_id is empty; receipts need the supplier.","Supplier "&amp;INDEX(Import_Staging!$E$2:$E$301,$H148)&amp;""&amp;" is not in Suppliers.","lot is empty; every movement needs its lot code.","Lot "&amp;INDEX(Import_Staging!$F$2:$F$301,$H148)&amp;""&amp;" is not recorded for "&amp;INDEX(Import_Staging!$D$2:$D$301,$H148)&amp;""&amp;" in Batches.","expiry is empty; receipts need the company-supplied expiry date.","expiry "&amp;""""&amp;INDEX(Import_Staging!$G$2:$G$301,$H148)&amp;""&amp;""""&amp;" is not a real date in yyyy-mm-dd format.","qty is empty.","qty "&amp;""""&amp;INDEX(Import_Staging!$H$2:$H$301,$H148)&amp;""&amp;""""&amp;" is not a valid quantity"&amp;IF(INDEX(Import_Staging!$C$2:$C$301,$H148)&amp;""="",""," for a "&amp;LOWER(INDEX(Import_Staging!$C$2:$C$301,$H148)&amp;""))&amp;".","lot_status is empty; receipts need a lot status.","lot_status "&amp;""""&amp;INDEX(Import_Staging!$I$2:$I$301,$H148)&amp;""&amp;""""&amp;" is not a lot status allowed on receipt (Config).","reason is empty; adjustments need a reason.","source_link is empty; every movement needs a link to its source document.","This row would take recorded stock of "&amp;INDEX(Import_Staging!$D$2:$D$301,$H148)&amp;""&amp;" from "&amp;INDEX(Import_Staging!$R$2:$R$301,$H148)&amp;" to "&amp;INDEX(Import_Staging!$S$2:$S$301,$H148)&amp;"."),$E148))</f>
        <v/>
      </c>
      <c r="G148" s="67" t="str">
        <f>IF($A148="","",INDEX(Config!$F$39:$F$61,$J148))</f>
        <v/>
      </c>
      <c r="H148" s="66" t="str">
        <f>IF($A148="","",MATCH(COUNTIF(Import_Staging!$BS$2:$BS$301,"&lt;"&amp;$A148)+1,Import_Staging!$BR$2:$BR$301,0))</f>
        <v/>
      </c>
      <c r="I148" s="66" t="str">
        <f>IF($A148="","",$A148-INDEX(Import_Staging!$BQ$2:$BQ$301,$H148))</f>
        <v/>
      </c>
      <c r="J148" s="66" t="str">
        <f>IF($A148="","",MATCH($I148,INDEX(Import_Staging!$AT$2:$BP$301,$H148,0),0))</f>
        <v/>
      </c>
    </row>
    <row r="149">
      <c r="A149" s="65" t="str">
        <f>IF(144&lt;=$F$4,144,"")</f>
        <v/>
      </c>
      <c r="B149" s="65" t="str">
        <f>IF($A149="","",$H149+1)</f>
        <v/>
      </c>
      <c r="C149" s="66" t="str">
        <f>IF($A149="","",INDEX(Import_Staging!$A$2:$A$301,$H149)&amp;"")</f>
        <v/>
      </c>
      <c r="D149" s="66" t="str">
        <f>IF($A149="","",INDEX(Config!$C$39:$C$61,$J149))</f>
        <v/>
      </c>
      <c r="E149" s="66" t="str">
        <f>IF($A149="","",INDEX(Config!$D$39:$D$61,$J149))</f>
        <v/>
      </c>
      <c r="F149" s="67" t="str">
        <f>IF($A149="","",IFERROR(CHOOSE($J149,"movement_id is empty. Every row needs a unique movement ID.","movement_id "&amp;INDEX(Import_Staging!$A$2:$A$301,$H149)&amp;""&amp;" appears earlier in this file (row "&amp;IFERROR(MATCH(INDEX(Import_Staging!$A$2:$A$301,$H149),Import_Staging!$A$2:$A$301,0)+1,"?")&amp;"). Only the first row can be posted.","movement_id "&amp;INDEX(Import_Staging!$A$2:$A$301,$H149)&amp;""&amp;" is already in Inventory_Ledger. The ledger row was not changed.","date is empty.","date "&amp;""""&amp;INDEX(Import_Staging!$B$2:$B$301,$H149)&amp;""&amp;""""&amp;" is not a real date in yyyy-mm-dd format.","date "&amp;TEXT(INDEX(Import_Staging!$M$2:$M$301,$H149),"yyyy-mm-dd")&amp;" is after the as-of date "&amp;TEXT(Config!$B$4,"yyyy-mm-dd")&amp;".","type is empty.","type "&amp;""""&amp;INDEX(Import_Staging!$C$2:$C$301,$H149)&amp;""&amp;""""&amp;" is not a movement type listed on Config.","sku is empty.","SKU "&amp;INDEX(Import_Staging!$D$2:$D$301,$H149)&amp;""&amp;" is not in Products.","supplier_id is empty; receipts need the supplier.","Supplier "&amp;INDEX(Import_Staging!$E$2:$E$301,$H149)&amp;""&amp;" is not in Suppliers.","lot is empty; every movement needs its lot code.","Lot "&amp;INDEX(Import_Staging!$F$2:$F$301,$H149)&amp;""&amp;" is not recorded for "&amp;INDEX(Import_Staging!$D$2:$D$301,$H149)&amp;""&amp;" in Batches.","expiry is empty; receipts need the company-supplied expiry date.","expiry "&amp;""""&amp;INDEX(Import_Staging!$G$2:$G$301,$H149)&amp;""&amp;""""&amp;" is not a real date in yyyy-mm-dd format.","qty is empty.","qty "&amp;""""&amp;INDEX(Import_Staging!$H$2:$H$301,$H149)&amp;""&amp;""""&amp;" is not a valid quantity"&amp;IF(INDEX(Import_Staging!$C$2:$C$301,$H149)&amp;""="",""," for a "&amp;LOWER(INDEX(Import_Staging!$C$2:$C$301,$H149)&amp;""))&amp;".","lot_status is empty; receipts need a lot status.","lot_status "&amp;""""&amp;INDEX(Import_Staging!$I$2:$I$301,$H149)&amp;""&amp;""""&amp;" is not a lot status allowed on receipt (Config).","reason is empty; adjustments need a reason.","source_link is empty; every movement needs a link to its source document.","This row would take recorded stock of "&amp;INDEX(Import_Staging!$D$2:$D$301,$H149)&amp;""&amp;" from "&amp;INDEX(Import_Staging!$R$2:$R$301,$H149)&amp;" to "&amp;INDEX(Import_Staging!$S$2:$S$301,$H149)&amp;"."),$E149))</f>
        <v/>
      </c>
      <c r="G149" s="67" t="str">
        <f>IF($A149="","",INDEX(Config!$F$39:$F$61,$J149))</f>
        <v/>
      </c>
      <c r="H149" s="66" t="str">
        <f>IF($A149="","",MATCH(COUNTIF(Import_Staging!$BS$2:$BS$301,"&lt;"&amp;$A149)+1,Import_Staging!$BR$2:$BR$301,0))</f>
        <v/>
      </c>
      <c r="I149" s="66" t="str">
        <f>IF($A149="","",$A149-INDEX(Import_Staging!$BQ$2:$BQ$301,$H149))</f>
        <v/>
      </c>
      <c r="J149" s="66" t="str">
        <f>IF($A149="","",MATCH($I149,INDEX(Import_Staging!$AT$2:$BP$301,$H149,0),0))</f>
        <v/>
      </c>
    </row>
    <row r="150">
      <c r="A150" s="65" t="str">
        <f>IF(145&lt;=$F$4,145,"")</f>
        <v/>
      </c>
      <c r="B150" s="65" t="str">
        <f>IF($A150="","",$H150+1)</f>
        <v/>
      </c>
      <c r="C150" s="66" t="str">
        <f>IF($A150="","",INDEX(Import_Staging!$A$2:$A$301,$H150)&amp;"")</f>
        <v/>
      </c>
      <c r="D150" s="66" t="str">
        <f>IF($A150="","",INDEX(Config!$C$39:$C$61,$J150))</f>
        <v/>
      </c>
      <c r="E150" s="66" t="str">
        <f>IF($A150="","",INDEX(Config!$D$39:$D$61,$J150))</f>
        <v/>
      </c>
      <c r="F150" s="67" t="str">
        <f>IF($A150="","",IFERROR(CHOOSE($J150,"movement_id is empty. Every row needs a unique movement ID.","movement_id "&amp;INDEX(Import_Staging!$A$2:$A$301,$H150)&amp;""&amp;" appears earlier in this file (row "&amp;IFERROR(MATCH(INDEX(Import_Staging!$A$2:$A$301,$H150),Import_Staging!$A$2:$A$301,0)+1,"?")&amp;"). Only the first row can be posted.","movement_id "&amp;INDEX(Import_Staging!$A$2:$A$301,$H150)&amp;""&amp;" is already in Inventory_Ledger. The ledger row was not changed.","date is empty.","date "&amp;""""&amp;INDEX(Import_Staging!$B$2:$B$301,$H150)&amp;""&amp;""""&amp;" is not a real date in yyyy-mm-dd format.","date "&amp;TEXT(INDEX(Import_Staging!$M$2:$M$301,$H150),"yyyy-mm-dd")&amp;" is after the as-of date "&amp;TEXT(Config!$B$4,"yyyy-mm-dd")&amp;".","type is empty.","type "&amp;""""&amp;INDEX(Import_Staging!$C$2:$C$301,$H150)&amp;""&amp;""""&amp;" is not a movement type listed on Config.","sku is empty.","SKU "&amp;INDEX(Import_Staging!$D$2:$D$301,$H150)&amp;""&amp;" is not in Products.","supplier_id is empty; receipts need the supplier.","Supplier "&amp;INDEX(Import_Staging!$E$2:$E$301,$H150)&amp;""&amp;" is not in Suppliers.","lot is empty; every movement needs its lot code.","Lot "&amp;INDEX(Import_Staging!$F$2:$F$301,$H150)&amp;""&amp;" is not recorded for "&amp;INDEX(Import_Staging!$D$2:$D$301,$H150)&amp;""&amp;" in Batches.","expiry is empty; receipts need the company-supplied expiry date.","expiry "&amp;""""&amp;INDEX(Import_Staging!$G$2:$G$301,$H150)&amp;""&amp;""""&amp;" is not a real date in yyyy-mm-dd format.","qty is empty.","qty "&amp;""""&amp;INDEX(Import_Staging!$H$2:$H$301,$H150)&amp;""&amp;""""&amp;" is not a valid quantity"&amp;IF(INDEX(Import_Staging!$C$2:$C$301,$H150)&amp;""="",""," for a "&amp;LOWER(INDEX(Import_Staging!$C$2:$C$301,$H150)&amp;""))&amp;".","lot_status is empty; receipts need a lot status.","lot_status "&amp;""""&amp;INDEX(Import_Staging!$I$2:$I$301,$H150)&amp;""&amp;""""&amp;" is not a lot status allowed on receipt (Config).","reason is empty; adjustments need a reason.","source_link is empty; every movement needs a link to its source document.","This row would take recorded stock of "&amp;INDEX(Import_Staging!$D$2:$D$301,$H150)&amp;""&amp;" from "&amp;INDEX(Import_Staging!$R$2:$R$301,$H150)&amp;" to "&amp;INDEX(Import_Staging!$S$2:$S$301,$H150)&amp;"."),$E150))</f>
        <v/>
      </c>
      <c r="G150" s="67" t="str">
        <f>IF($A150="","",INDEX(Config!$F$39:$F$61,$J150))</f>
        <v/>
      </c>
      <c r="H150" s="66" t="str">
        <f>IF($A150="","",MATCH(COUNTIF(Import_Staging!$BS$2:$BS$301,"&lt;"&amp;$A150)+1,Import_Staging!$BR$2:$BR$301,0))</f>
        <v/>
      </c>
      <c r="I150" s="66" t="str">
        <f>IF($A150="","",$A150-INDEX(Import_Staging!$BQ$2:$BQ$301,$H150))</f>
        <v/>
      </c>
      <c r="J150" s="66" t="str">
        <f>IF($A150="","",MATCH($I150,INDEX(Import_Staging!$AT$2:$BP$301,$H150,0),0))</f>
        <v/>
      </c>
    </row>
    <row r="151">
      <c r="A151" s="65" t="str">
        <f>IF(146&lt;=$F$4,146,"")</f>
        <v/>
      </c>
      <c r="B151" s="65" t="str">
        <f>IF($A151="","",$H151+1)</f>
        <v/>
      </c>
      <c r="C151" s="66" t="str">
        <f>IF($A151="","",INDEX(Import_Staging!$A$2:$A$301,$H151)&amp;"")</f>
        <v/>
      </c>
      <c r="D151" s="66" t="str">
        <f>IF($A151="","",INDEX(Config!$C$39:$C$61,$J151))</f>
        <v/>
      </c>
      <c r="E151" s="66" t="str">
        <f>IF($A151="","",INDEX(Config!$D$39:$D$61,$J151))</f>
        <v/>
      </c>
      <c r="F151" s="67" t="str">
        <f>IF($A151="","",IFERROR(CHOOSE($J151,"movement_id is empty. Every row needs a unique movement ID.","movement_id "&amp;INDEX(Import_Staging!$A$2:$A$301,$H151)&amp;""&amp;" appears earlier in this file (row "&amp;IFERROR(MATCH(INDEX(Import_Staging!$A$2:$A$301,$H151),Import_Staging!$A$2:$A$301,0)+1,"?")&amp;"). Only the first row can be posted.","movement_id "&amp;INDEX(Import_Staging!$A$2:$A$301,$H151)&amp;""&amp;" is already in Inventory_Ledger. The ledger row was not changed.","date is empty.","date "&amp;""""&amp;INDEX(Import_Staging!$B$2:$B$301,$H151)&amp;""&amp;""""&amp;" is not a real date in yyyy-mm-dd format.","date "&amp;TEXT(INDEX(Import_Staging!$M$2:$M$301,$H151),"yyyy-mm-dd")&amp;" is after the as-of date "&amp;TEXT(Config!$B$4,"yyyy-mm-dd")&amp;".","type is empty.","type "&amp;""""&amp;INDEX(Import_Staging!$C$2:$C$301,$H151)&amp;""&amp;""""&amp;" is not a movement type listed on Config.","sku is empty.","SKU "&amp;INDEX(Import_Staging!$D$2:$D$301,$H151)&amp;""&amp;" is not in Products.","supplier_id is empty; receipts need the supplier.","Supplier "&amp;INDEX(Import_Staging!$E$2:$E$301,$H151)&amp;""&amp;" is not in Suppliers.","lot is empty; every movement needs its lot code.","Lot "&amp;INDEX(Import_Staging!$F$2:$F$301,$H151)&amp;""&amp;" is not recorded for "&amp;INDEX(Import_Staging!$D$2:$D$301,$H151)&amp;""&amp;" in Batches.","expiry is empty; receipts need the company-supplied expiry date.","expiry "&amp;""""&amp;INDEX(Import_Staging!$G$2:$G$301,$H151)&amp;""&amp;""""&amp;" is not a real date in yyyy-mm-dd format.","qty is empty.","qty "&amp;""""&amp;INDEX(Import_Staging!$H$2:$H$301,$H151)&amp;""&amp;""""&amp;" is not a valid quantity"&amp;IF(INDEX(Import_Staging!$C$2:$C$301,$H151)&amp;""="",""," for a "&amp;LOWER(INDEX(Import_Staging!$C$2:$C$301,$H151)&amp;""))&amp;".","lot_status is empty; receipts need a lot status.","lot_status "&amp;""""&amp;INDEX(Import_Staging!$I$2:$I$301,$H151)&amp;""&amp;""""&amp;" is not a lot status allowed on receipt (Config).","reason is empty; adjustments need a reason.","source_link is empty; every movement needs a link to its source document.","This row would take recorded stock of "&amp;INDEX(Import_Staging!$D$2:$D$301,$H151)&amp;""&amp;" from "&amp;INDEX(Import_Staging!$R$2:$R$301,$H151)&amp;" to "&amp;INDEX(Import_Staging!$S$2:$S$301,$H151)&amp;"."),$E151))</f>
        <v/>
      </c>
      <c r="G151" s="67" t="str">
        <f>IF($A151="","",INDEX(Config!$F$39:$F$61,$J151))</f>
        <v/>
      </c>
      <c r="H151" s="66" t="str">
        <f>IF($A151="","",MATCH(COUNTIF(Import_Staging!$BS$2:$BS$301,"&lt;"&amp;$A151)+1,Import_Staging!$BR$2:$BR$301,0))</f>
        <v/>
      </c>
      <c r="I151" s="66" t="str">
        <f>IF($A151="","",$A151-INDEX(Import_Staging!$BQ$2:$BQ$301,$H151))</f>
        <v/>
      </c>
      <c r="J151" s="66" t="str">
        <f>IF($A151="","",MATCH($I151,INDEX(Import_Staging!$AT$2:$BP$301,$H151,0),0))</f>
        <v/>
      </c>
    </row>
    <row r="152">
      <c r="A152" s="65" t="str">
        <f>IF(147&lt;=$F$4,147,"")</f>
        <v/>
      </c>
      <c r="B152" s="65" t="str">
        <f>IF($A152="","",$H152+1)</f>
        <v/>
      </c>
      <c r="C152" s="66" t="str">
        <f>IF($A152="","",INDEX(Import_Staging!$A$2:$A$301,$H152)&amp;"")</f>
        <v/>
      </c>
      <c r="D152" s="66" t="str">
        <f>IF($A152="","",INDEX(Config!$C$39:$C$61,$J152))</f>
        <v/>
      </c>
      <c r="E152" s="66" t="str">
        <f>IF($A152="","",INDEX(Config!$D$39:$D$61,$J152))</f>
        <v/>
      </c>
      <c r="F152" s="67" t="str">
        <f>IF($A152="","",IFERROR(CHOOSE($J152,"movement_id is empty. Every row needs a unique movement ID.","movement_id "&amp;INDEX(Import_Staging!$A$2:$A$301,$H152)&amp;""&amp;" appears earlier in this file (row "&amp;IFERROR(MATCH(INDEX(Import_Staging!$A$2:$A$301,$H152),Import_Staging!$A$2:$A$301,0)+1,"?")&amp;"). Only the first row can be posted.","movement_id "&amp;INDEX(Import_Staging!$A$2:$A$301,$H152)&amp;""&amp;" is already in Inventory_Ledger. The ledger row was not changed.","date is empty.","date "&amp;""""&amp;INDEX(Import_Staging!$B$2:$B$301,$H152)&amp;""&amp;""""&amp;" is not a real date in yyyy-mm-dd format.","date "&amp;TEXT(INDEX(Import_Staging!$M$2:$M$301,$H152),"yyyy-mm-dd")&amp;" is after the as-of date "&amp;TEXT(Config!$B$4,"yyyy-mm-dd")&amp;".","type is empty.","type "&amp;""""&amp;INDEX(Import_Staging!$C$2:$C$301,$H152)&amp;""&amp;""""&amp;" is not a movement type listed on Config.","sku is empty.","SKU "&amp;INDEX(Import_Staging!$D$2:$D$301,$H152)&amp;""&amp;" is not in Products.","supplier_id is empty; receipts need the supplier.","Supplier "&amp;INDEX(Import_Staging!$E$2:$E$301,$H152)&amp;""&amp;" is not in Suppliers.","lot is empty; every movement needs its lot code.","Lot "&amp;INDEX(Import_Staging!$F$2:$F$301,$H152)&amp;""&amp;" is not recorded for "&amp;INDEX(Import_Staging!$D$2:$D$301,$H152)&amp;""&amp;" in Batches.","expiry is empty; receipts need the company-supplied expiry date.","expiry "&amp;""""&amp;INDEX(Import_Staging!$G$2:$G$301,$H152)&amp;""&amp;""""&amp;" is not a real date in yyyy-mm-dd format.","qty is empty.","qty "&amp;""""&amp;INDEX(Import_Staging!$H$2:$H$301,$H152)&amp;""&amp;""""&amp;" is not a valid quantity"&amp;IF(INDEX(Import_Staging!$C$2:$C$301,$H152)&amp;""="",""," for a "&amp;LOWER(INDEX(Import_Staging!$C$2:$C$301,$H152)&amp;""))&amp;".","lot_status is empty; receipts need a lot status.","lot_status "&amp;""""&amp;INDEX(Import_Staging!$I$2:$I$301,$H152)&amp;""&amp;""""&amp;" is not a lot status allowed on receipt (Config).","reason is empty; adjustments need a reason.","source_link is empty; every movement needs a link to its source document.","This row would take recorded stock of "&amp;INDEX(Import_Staging!$D$2:$D$301,$H152)&amp;""&amp;" from "&amp;INDEX(Import_Staging!$R$2:$R$301,$H152)&amp;" to "&amp;INDEX(Import_Staging!$S$2:$S$301,$H152)&amp;"."),$E152))</f>
        <v/>
      </c>
      <c r="G152" s="67" t="str">
        <f>IF($A152="","",INDEX(Config!$F$39:$F$61,$J152))</f>
        <v/>
      </c>
      <c r="H152" s="66" t="str">
        <f>IF($A152="","",MATCH(COUNTIF(Import_Staging!$BS$2:$BS$301,"&lt;"&amp;$A152)+1,Import_Staging!$BR$2:$BR$301,0))</f>
        <v/>
      </c>
      <c r="I152" s="66" t="str">
        <f>IF($A152="","",$A152-INDEX(Import_Staging!$BQ$2:$BQ$301,$H152))</f>
        <v/>
      </c>
      <c r="J152" s="66" t="str">
        <f>IF($A152="","",MATCH($I152,INDEX(Import_Staging!$AT$2:$BP$301,$H152,0),0))</f>
        <v/>
      </c>
    </row>
    <row r="153">
      <c r="A153" s="65" t="str">
        <f>IF(148&lt;=$F$4,148,"")</f>
        <v/>
      </c>
      <c r="B153" s="65" t="str">
        <f>IF($A153="","",$H153+1)</f>
        <v/>
      </c>
      <c r="C153" s="66" t="str">
        <f>IF($A153="","",INDEX(Import_Staging!$A$2:$A$301,$H153)&amp;"")</f>
        <v/>
      </c>
      <c r="D153" s="66" t="str">
        <f>IF($A153="","",INDEX(Config!$C$39:$C$61,$J153))</f>
        <v/>
      </c>
      <c r="E153" s="66" t="str">
        <f>IF($A153="","",INDEX(Config!$D$39:$D$61,$J153))</f>
        <v/>
      </c>
      <c r="F153" s="67" t="str">
        <f>IF($A153="","",IFERROR(CHOOSE($J153,"movement_id is empty. Every row needs a unique movement ID.","movement_id "&amp;INDEX(Import_Staging!$A$2:$A$301,$H153)&amp;""&amp;" appears earlier in this file (row "&amp;IFERROR(MATCH(INDEX(Import_Staging!$A$2:$A$301,$H153),Import_Staging!$A$2:$A$301,0)+1,"?")&amp;"). Only the first row can be posted.","movement_id "&amp;INDEX(Import_Staging!$A$2:$A$301,$H153)&amp;""&amp;" is already in Inventory_Ledger. The ledger row was not changed.","date is empty.","date "&amp;""""&amp;INDEX(Import_Staging!$B$2:$B$301,$H153)&amp;""&amp;""""&amp;" is not a real date in yyyy-mm-dd format.","date "&amp;TEXT(INDEX(Import_Staging!$M$2:$M$301,$H153),"yyyy-mm-dd")&amp;" is after the as-of date "&amp;TEXT(Config!$B$4,"yyyy-mm-dd")&amp;".","type is empty.","type "&amp;""""&amp;INDEX(Import_Staging!$C$2:$C$301,$H153)&amp;""&amp;""""&amp;" is not a movement type listed on Config.","sku is empty.","SKU "&amp;INDEX(Import_Staging!$D$2:$D$301,$H153)&amp;""&amp;" is not in Products.","supplier_id is empty; receipts need the supplier.","Supplier "&amp;INDEX(Import_Staging!$E$2:$E$301,$H153)&amp;""&amp;" is not in Suppliers.","lot is empty; every movement needs its lot code.","Lot "&amp;INDEX(Import_Staging!$F$2:$F$301,$H153)&amp;""&amp;" is not recorded for "&amp;INDEX(Import_Staging!$D$2:$D$301,$H153)&amp;""&amp;" in Batches.","expiry is empty; receipts need the company-supplied expiry date.","expiry "&amp;""""&amp;INDEX(Import_Staging!$G$2:$G$301,$H153)&amp;""&amp;""""&amp;" is not a real date in yyyy-mm-dd format.","qty is empty.","qty "&amp;""""&amp;INDEX(Import_Staging!$H$2:$H$301,$H153)&amp;""&amp;""""&amp;" is not a valid quantity"&amp;IF(INDEX(Import_Staging!$C$2:$C$301,$H153)&amp;""="",""," for a "&amp;LOWER(INDEX(Import_Staging!$C$2:$C$301,$H153)&amp;""))&amp;".","lot_status is empty; receipts need a lot status.","lot_status "&amp;""""&amp;INDEX(Import_Staging!$I$2:$I$301,$H153)&amp;""&amp;""""&amp;" is not a lot status allowed on receipt (Config).","reason is empty; adjustments need a reason.","source_link is empty; every movement needs a link to its source document.","This row would take recorded stock of "&amp;INDEX(Import_Staging!$D$2:$D$301,$H153)&amp;""&amp;" from "&amp;INDEX(Import_Staging!$R$2:$R$301,$H153)&amp;" to "&amp;INDEX(Import_Staging!$S$2:$S$301,$H153)&amp;"."),$E153))</f>
        <v/>
      </c>
      <c r="G153" s="67" t="str">
        <f>IF($A153="","",INDEX(Config!$F$39:$F$61,$J153))</f>
        <v/>
      </c>
      <c r="H153" s="66" t="str">
        <f>IF($A153="","",MATCH(COUNTIF(Import_Staging!$BS$2:$BS$301,"&lt;"&amp;$A153)+1,Import_Staging!$BR$2:$BR$301,0))</f>
        <v/>
      </c>
      <c r="I153" s="66" t="str">
        <f>IF($A153="","",$A153-INDEX(Import_Staging!$BQ$2:$BQ$301,$H153))</f>
        <v/>
      </c>
      <c r="J153" s="66" t="str">
        <f>IF($A153="","",MATCH($I153,INDEX(Import_Staging!$AT$2:$BP$301,$H153,0),0))</f>
        <v/>
      </c>
    </row>
    <row r="154">
      <c r="A154" s="65" t="str">
        <f>IF(149&lt;=$F$4,149,"")</f>
        <v/>
      </c>
      <c r="B154" s="65" t="str">
        <f>IF($A154="","",$H154+1)</f>
        <v/>
      </c>
      <c r="C154" s="66" t="str">
        <f>IF($A154="","",INDEX(Import_Staging!$A$2:$A$301,$H154)&amp;"")</f>
        <v/>
      </c>
      <c r="D154" s="66" t="str">
        <f>IF($A154="","",INDEX(Config!$C$39:$C$61,$J154))</f>
        <v/>
      </c>
      <c r="E154" s="66" t="str">
        <f>IF($A154="","",INDEX(Config!$D$39:$D$61,$J154))</f>
        <v/>
      </c>
      <c r="F154" s="67" t="str">
        <f>IF($A154="","",IFERROR(CHOOSE($J154,"movement_id is empty. Every row needs a unique movement ID.","movement_id "&amp;INDEX(Import_Staging!$A$2:$A$301,$H154)&amp;""&amp;" appears earlier in this file (row "&amp;IFERROR(MATCH(INDEX(Import_Staging!$A$2:$A$301,$H154),Import_Staging!$A$2:$A$301,0)+1,"?")&amp;"). Only the first row can be posted.","movement_id "&amp;INDEX(Import_Staging!$A$2:$A$301,$H154)&amp;""&amp;" is already in Inventory_Ledger. The ledger row was not changed.","date is empty.","date "&amp;""""&amp;INDEX(Import_Staging!$B$2:$B$301,$H154)&amp;""&amp;""""&amp;" is not a real date in yyyy-mm-dd format.","date "&amp;TEXT(INDEX(Import_Staging!$M$2:$M$301,$H154),"yyyy-mm-dd")&amp;" is after the as-of date "&amp;TEXT(Config!$B$4,"yyyy-mm-dd")&amp;".","type is empty.","type "&amp;""""&amp;INDEX(Import_Staging!$C$2:$C$301,$H154)&amp;""&amp;""""&amp;" is not a movement type listed on Config.","sku is empty.","SKU "&amp;INDEX(Import_Staging!$D$2:$D$301,$H154)&amp;""&amp;" is not in Products.","supplier_id is empty; receipts need the supplier.","Supplier "&amp;INDEX(Import_Staging!$E$2:$E$301,$H154)&amp;""&amp;" is not in Suppliers.","lot is empty; every movement needs its lot code.","Lot "&amp;INDEX(Import_Staging!$F$2:$F$301,$H154)&amp;""&amp;" is not recorded for "&amp;INDEX(Import_Staging!$D$2:$D$301,$H154)&amp;""&amp;" in Batches.","expiry is empty; receipts need the company-supplied expiry date.","expiry "&amp;""""&amp;INDEX(Import_Staging!$G$2:$G$301,$H154)&amp;""&amp;""""&amp;" is not a real date in yyyy-mm-dd format.","qty is empty.","qty "&amp;""""&amp;INDEX(Import_Staging!$H$2:$H$301,$H154)&amp;""&amp;""""&amp;" is not a valid quantity"&amp;IF(INDEX(Import_Staging!$C$2:$C$301,$H154)&amp;""="",""," for a "&amp;LOWER(INDEX(Import_Staging!$C$2:$C$301,$H154)&amp;""))&amp;".","lot_status is empty; receipts need a lot status.","lot_status "&amp;""""&amp;INDEX(Import_Staging!$I$2:$I$301,$H154)&amp;""&amp;""""&amp;" is not a lot status allowed on receipt (Config).","reason is empty; adjustments need a reason.","source_link is empty; every movement needs a link to its source document.","This row would take recorded stock of "&amp;INDEX(Import_Staging!$D$2:$D$301,$H154)&amp;""&amp;" from "&amp;INDEX(Import_Staging!$R$2:$R$301,$H154)&amp;" to "&amp;INDEX(Import_Staging!$S$2:$S$301,$H154)&amp;"."),$E154))</f>
        <v/>
      </c>
      <c r="G154" s="67" t="str">
        <f>IF($A154="","",INDEX(Config!$F$39:$F$61,$J154))</f>
        <v/>
      </c>
      <c r="H154" s="66" t="str">
        <f>IF($A154="","",MATCH(COUNTIF(Import_Staging!$BS$2:$BS$301,"&lt;"&amp;$A154)+1,Import_Staging!$BR$2:$BR$301,0))</f>
        <v/>
      </c>
      <c r="I154" s="66" t="str">
        <f>IF($A154="","",$A154-INDEX(Import_Staging!$BQ$2:$BQ$301,$H154))</f>
        <v/>
      </c>
      <c r="J154" s="66" t="str">
        <f>IF($A154="","",MATCH($I154,INDEX(Import_Staging!$AT$2:$BP$301,$H154,0),0))</f>
        <v/>
      </c>
    </row>
    <row r="155">
      <c r="A155" s="65" t="str">
        <f>IF(150&lt;=$F$4,150,"")</f>
        <v/>
      </c>
      <c r="B155" s="65" t="str">
        <f>IF($A155="","",$H155+1)</f>
        <v/>
      </c>
      <c r="C155" s="66" t="str">
        <f>IF($A155="","",INDEX(Import_Staging!$A$2:$A$301,$H155)&amp;"")</f>
        <v/>
      </c>
      <c r="D155" s="66" t="str">
        <f>IF($A155="","",INDEX(Config!$C$39:$C$61,$J155))</f>
        <v/>
      </c>
      <c r="E155" s="66" t="str">
        <f>IF($A155="","",INDEX(Config!$D$39:$D$61,$J155))</f>
        <v/>
      </c>
      <c r="F155" s="67" t="str">
        <f>IF($A155="","",IFERROR(CHOOSE($J155,"movement_id is empty. Every row needs a unique movement ID.","movement_id "&amp;INDEX(Import_Staging!$A$2:$A$301,$H155)&amp;""&amp;" appears earlier in this file (row "&amp;IFERROR(MATCH(INDEX(Import_Staging!$A$2:$A$301,$H155),Import_Staging!$A$2:$A$301,0)+1,"?")&amp;"). Only the first row can be posted.","movement_id "&amp;INDEX(Import_Staging!$A$2:$A$301,$H155)&amp;""&amp;" is already in Inventory_Ledger. The ledger row was not changed.","date is empty.","date "&amp;""""&amp;INDEX(Import_Staging!$B$2:$B$301,$H155)&amp;""&amp;""""&amp;" is not a real date in yyyy-mm-dd format.","date "&amp;TEXT(INDEX(Import_Staging!$M$2:$M$301,$H155),"yyyy-mm-dd")&amp;" is after the as-of date "&amp;TEXT(Config!$B$4,"yyyy-mm-dd")&amp;".","type is empty.","type "&amp;""""&amp;INDEX(Import_Staging!$C$2:$C$301,$H155)&amp;""&amp;""""&amp;" is not a movement type listed on Config.","sku is empty.","SKU "&amp;INDEX(Import_Staging!$D$2:$D$301,$H155)&amp;""&amp;" is not in Products.","supplier_id is empty; receipts need the supplier.","Supplier "&amp;INDEX(Import_Staging!$E$2:$E$301,$H155)&amp;""&amp;" is not in Suppliers.","lot is empty; every movement needs its lot code.","Lot "&amp;INDEX(Import_Staging!$F$2:$F$301,$H155)&amp;""&amp;" is not recorded for "&amp;INDEX(Import_Staging!$D$2:$D$301,$H155)&amp;""&amp;" in Batches.","expiry is empty; receipts need the company-supplied expiry date.","expiry "&amp;""""&amp;INDEX(Import_Staging!$G$2:$G$301,$H155)&amp;""&amp;""""&amp;" is not a real date in yyyy-mm-dd format.","qty is empty.","qty "&amp;""""&amp;INDEX(Import_Staging!$H$2:$H$301,$H155)&amp;""&amp;""""&amp;" is not a valid quantity"&amp;IF(INDEX(Import_Staging!$C$2:$C$301,$H155)&amp;""="",""," for a "&amp;LOWER(INDEX(Import_Staging!$C$2:$C$301,$H155)&amp;""))&amp;".","lot_status is empty; receipts need a lot status.","lot_status "&amp;""""&amp;INDEX(Import_Staging!$I$2:$I$301,$H155)&amp;""&amp;""""&amp;" is not a lot status allowed on receipt (Config).","reason is empty; adjustments need a reason.","source_link is empty; every movement needs a link to its source document.","This row would take recorded stock of "&amp;INDEX(Import_Staging!$D$2:$D$301,$H155)&amp;""&amp;" from "&amp;INDEX(Import_Staging!$R$2:$R$301,$H155)&amp;" to "&amp;INDEX(Import_Staging!$S$2:$S$301,$H155)&amp;"."),$E155))</f>
        <v/>
      </c>
      <c r="G155" s="67" t="str">
        <f>IF($A155="","",INDEX(Config!$F$39:$F$61,$J155))</f>
        <v/>
      </c>
      <c r="H155" s="66" t="str">
        <f>IF($A155="","",MATCH(COUNTIF(Import_Staging!$BS$2:$BS$301,"&lt;"&amp;$A155)+1,Import_Staging!$BR$2:$BR$301,0))</f>
        <v/>
      </c>
      <c r="I155" s="66" t="str">
        <f>IF($A155="","",$A155-INDEX(Import_Staging!$BQ$2:$BQ$301,$H155))</f>
        <v/>
      </c>
      <c r="J155" s="66" t="str">
        <f>IF($A155="","",MATCH($I155,INDEX(Import_Staging!$AT$2:$BP$301,$H155,0),0))</f>
        <v/>
      </c>
    </row>
    <row r="156">
      <c r="A156" s="65" t="str">
        <f>IF(151&lt;=$F$4,151,"")</f>
        <v/>
      </c>
      <c r="B156" s="65" t="str">
        <f>IF($A156="","",$H156+1)</f>
        <v/>
      </c>
      <c r="C156" s="66" t="str">
        <f>IF($A156="","",INDEX(Import_Staging!$A$2:$A$301,$H156)&amp;"")</f>
        <v/>
      </c>
      <c r="D156" s="66" t="str">
        <f>IF($A156="","",INDEX(Config!$C$39:$C$61,$J156))</f>
        <v/>
      </c>
      <c r="E156" s="66" t="str">
        <f>IF($A156="","",INDEX(Config!$D$39:$D$61,$J156))</f>
        <v/>
      </c>
      <c r="F156" s="67" t="str">
        <f>IF($A156="","",IFERROR(CHOOSE($J156,"movement_id is empty. Every row needs a unique movement ID.","movement_id "&amp;INDEX(Import_Staging!$A$2:$A$301,$H156)&amp;""&amp;" appears earlier in this file (row "&amp;IFERROR(MATCH(INDEX(Import_Staging!$A$2:$A$301,$H156),Import_Staging!$A$2:$A$301,0)+1,"?")&amp;"). Only the first row can be posted.","movement_id "&amp;INDEX(Import_Staging!$A$2:$A$301,$H156)&amp;""&amp;" is already in Inventory_Ledger. The ledger row was not changed.","date is empty.","date "&amp;""""&amp;INDEX(Import_Staging!$B$2:$B$301,$H156)&amp;""&amp;""""&amp;" is not a real date in yyyy-mm-dd format.","date "&amp;TEXT(INDEX(Import_Staging!$M$2:$M$301,$H156),"yyyy-mm-dd")&amp;" is after the as-of date "&amp;TEXT(Config!$B$4,"yyyy-mm-dd")&amp;".","type is empty.","type "&amp;""""&amp;INDEX(Import_Staging!$C$2:$C$301,$H156)&amp;""&amp;""""&amp;" is not a movement type listed on Config.","sku is empty.","SKU "&amp;INDEX(Import_Staging!$D$2:$D$301,$H156)&amp;""&amp;" is not in Products.","supplier_id is empty; receipts need the supplier.","Supplier "&amp;INDEX(Import_Staging!$E$2:$E$301,$H156)&amp;""&amp;" is not in Suppliers.","lot is empty; every movement needs its lot code.","Lot "&amp;INDEX(Import_Staging!$F$2:$F$301,$H156)&amp;""&amp;" is not recorded for "&amp;INDEX(Import_Staging!$D$2:$D$301,$H156)&amp;""&amp;" in Batches.","expiry is empty; receipts need the company-supplied expiry date.","expiry "&amp;""""&amp;INDEX(Import_Staging!$G$2:$G$301,$H156)&amp;""&amp;""""&amp;" is not a real date in yyyy-mm-dd format.","qty is empty.","qty "&amp;""""&amp;INDEX(Import_Staging!$H$2:$H$301,$H156)&amp;""&amp;""""&amp;" is not a valid quantity"&amp;IF(INDEX(Import_Staging!$C$2:$C$301,$H156)&amp;""="",""," for a "&amp;LOWER(INDEX(Import_Staging!$C$2:$C$301,$H156)&amp;""))&amp;".","lot_status is empty; receipts need a lot status.","lot_status "&amp;""""&amp;INDEX(Import_Staging!$I$2:$I$301,$H156)&amp;""&amp;""""&amp;" is not a lot status allowed on receipt (Config).","reason is empty; adjustments need a reason.","source_link is empty; every movement needs a link to its source document.","This row would take recorded stock of "&amp;INDEX(Import_Staging!$D$2:$D$301,$H156)&amp;""&amp;" from "&amp;INDEX(Import_Staging!$R$2:$R$301,$H156)&amp;" to "&amp;INDEX(Import_Staging!$S$2:$S$301,$H156)&amp;"."),$E156))</f>
        <v/>
      </c>
      <c r="G156" s="67" t="str">
        <f>IF($A156="","",INDEX(Config!$F$39:$F$61,$J156))</f>
        <v/>
      </c>
      <c r="H156" s="66" t="str">
        <f>IF($A156="","",MATCH(COUNTIF(Import_Staging!$BS$2:$BS$301,"&lt;"&amp;$A156)+1,Import_Staging!$BR$2:$BR$301,0))</f>
        <v/>
      </c>
      <c r="I156" s="66" t="str">
        <f>IF($A156="","",$A156-INDEX(Import_Staging!$BQ$2:$BQ$301,$H156))</f>
        <v/>
      </c>
      <c r="J156" s="66" t="str">
        <f>IF($A156="","",MATCH($I156,INDEX(Import_Staging!$AT$2:$BP$301,$H156,0),0))</f>
        <v/>
      </c>
    </row>
    <row r="157">
      <c r="A157" s="65" t="str">
        <f>IF(152&lt;=$F$4,152,"")</f>
        <v/>
      </c>
      <c r="B157" s="65" t="str">
        <f>IF($A157="","",$H157+1)</f>
        <v/>
      </c>
      <c r="C157" s="66" t="str">
        <f>IF($A157="","",INDEX(Import_Staging!$A$2:$A$301,$H157)&amp;"")</f>
        <v/>
      </c>
      <c r="D157" s="66" t="str">
        <f>IF($A157="","",INDEX(Config!$C$39:$C$61,$J157))</f>
        <v/>
      </c>
      <c r="E157" s="66" t="str">
        <f>IF($A157="","",INDEX(Config!$D$39:$D$61,$J157))</f>
        <v/>
      </c>
      <c r="F157" s="67" t="str">
        <f>IF($A157="","",IFERROR(CHOOSE($J157,"movement_id is empty. Every row needs a unique movement ID.","movement_id "&amp;INDEX(Import_Staging!$A$2:$A$301,$H157)&amp;""&amp;" appears earlier in this file (row "&amp;IFERROR(MATCH(INDEX(Import_Staging!$A$2:$A$301,$H157),Import_Staging!$A$2:$A$301,0)+1,"?")&amp;"). Only the first row can be posted.","movement_id "&amp;INDEX(Import_Staging!$A$2:$A$301,$H157)&amp;""&amp;" is already in Inventory_Ledger. The ledger row was not changed.","date is empty.","date "&amp;""""&amp;INDEX(Import_Staging!$B$2:$B$301,$H157)&amp;""&amp;""""&amp;" is not a real date in yyyy-mm-dd format.","date "&amp;TEXT(INDEX(Import_Staging!$M$2:$M$301,$H157),"yyyy-mm-dd")&amp;" is after the as-of date "&amp;TEXT(Config!$B$4,"yyyy-mm-dd")&amp;".","type is empty.","type "&amp;""""&amp;INDEX(Import_Staging!$C$2:$C$301,$H157)&amp;""&amp;""""&amp;" is not a movement type listed on Config.","sku is empty.","SKU "&amp;INDEX(Import_Staging!$D$2:$D$301,$H157)&amp;""&amp;" is not in Products.","supplier_id is empty; receipts need the supplier.","Supplier "&amp;INDEX(Import_Staging!$E$2:$E$301,$H157)&amp;""&amp;" is not in Suppliers.","lot is empty; every movement needs its lot code.","Lot "&amp;INDEX(Import_Staging!$F$2:$F$301,$H157)&amp;""&amp;" is not recorded for "&amp;INDEX(Import_Staging!$D$2:$D$301,$H157)&amp;""&amp;" in Batches.","expiry is empty; receipts need the company-supplied expiry date.","expiry "&amp;""""&amp;INDEX(Import_Staging!$G$2:$G$301,$H157)&amp;""&amp;""""&amp;" is not a real date in yyyy-mm-dd format.","qty is empty.","qty "&amp;""""&amp;INDEX(Import_Staging!$H$2:$H$301,$H157)&amp;""&amp;""""&amp;" is not a valid quantity"&amp;IF(INDEX(Import_Staging!$C$2:$C$301,$H157)&amp;""="",""," for a "&amp;LOWER(INDEX(Import_Staging!$C$2:$C$301,$H157)&amp;""))&amp;".","lot_status is empty; receipts need a lot status.","lot_status "&amp;""""&amp;INDEX(Import_Staging!$I$2:$I$301,$H157)&amp;""&amp;""""&amp;" is not a lot status allowed on receipt (Config).","reason is empty; adjustments need a reason.","source_link is empty; every movement needs a link to its source document.","This row would take recorded stock of "&amp;INDEX(Import_Staging!$D$2:$D$301,$H157)&amp;""&amp;" from "&amp;INDEX(Import_Staging!$R$2:$R$301,$H157)&amp;" to "&amp;INDEX(Import_Staging!$S$2:$S$301,$H157)&amp;"."),$E157))</f>
        <v/>
      </c>
      <c r="G157" s="67" t="str">
        <f>IF($A157="","",INDEX(Config!$F$39:$F$61,$J157))</f>
        <v/>
      </c>
      <c r="H157" s="66" t="str">
        <f>IF($A157="","",MATCH(COUNTIF(Import_Staging!$BS$2:$BS$301,"&lt;"&amp;$A157)+1,Import_Staging!$BR$2:$BR$301,0))</f>
        <v/>
      </c>
      <c r="I157" s="66" t="str">
        <f>IF($A157="","",$A157-INDEX(Import_Staging!$BQ$2:$BQ$301,$H157))</f>
        <v/>
      </c>
      <c r="J157" s="66" t="str">
        <f>IF($A157="","",MATCH($I157,INDEX(Import_Staging!$AT$2:$BP$301,$H157,0),0))</f>
        <v/>
      </c>
    </row>
    <row r="158">
      <c r="A158" s="65" t="str">
        <f>IF(153&lt;=$F$4,153,"")</f>
        <v/>
      </c>
      <c r="B158" s="65" t="str">
        <f>IF($A158="","",$H158+1)</f>
        <v/>
      </c>
      <c r="C158" s="66" t="str">
        <f>IF($A158="","",INDEX(Import_Staging!$A$2:$A$301,$H158)&amp;"")</f>
        <v/>
      </c>
      <c r="D158" s="66" t="str">
        <f>IF($A158="","",INDEX(Config!$C$39:$C$61,$J158))</f>
        <v/>
      </c>
      <c r="E158" s="66" t="str">
        <f>IF($A158="","",INDEX(Config!$D$39:$D$61,$J158))</f>
        <v/>
      </c>
      <c r="F158" s="67" t="str">
        <f>IF($A158="","",IFERROR(CHOOSE($J158,"movement_id is empty. Every row needs a unique movement ID.","movement_id "&amp;INDEX(Import_Staging!$A$2:$A$301,$H158)&amp;""&amp;" appears earlier in this file (row "&amp;IFERROR(MATCH(INDEX(Import_Staging!$A$2:$A$301,$H158),Import_Staging!$A$2:$A$301,0)+1,"?")&amp;"). Only the first row can be posted.","movement_id "&amp;INDEX(Import_Staging!$A$2:$A$301,$H158)&amp;""&amp;" is already in Inventory_Ledger. The ledger row was not changed.","date is empty.","date "&amp;""""&amp;INDEX(Import_Staging!$B$2:$B$301,$H158)&amp;""&amp;""""&amp;" is not a real date in yyyy-mm-dd format.","date "&amp;TEXT(INDEX(Import_Staging!$M$2:$M$301,$H158),"yyyy-mm-dd")&amp;" is after the as-of date "&amp;TEXT(Config!$B$4,"yyyy-mm-dd")&amp;".","type is empty.","type "&amp;""""&amp;INDEX(Import_Staging!$C$2:$C$301,$H158)&amp;""&amp;""""&amp;" is not a movement type listed on Config.","sku is empty.","SKU "&amp;INDEX(Import_Staging!$D$2:$D$301,$H158)&amp;""&amp;" is not in Products.","supplier_id is empty; receipts need the supplier.","Supplier "&amp;INDEX(Import_Staging!$E$2:$E$301,$H158)&amp;""&amp;" is not in Suppliers.","lot is empty; every movement needs its lot code.","Lot "&amp;INDEX(Import_Staging!$F$2:$F$301,$H158)&amp;""&amp;" is not recorded for "&amp;INDEX(Import_Staging!$D$2:$D$301,$H158)&amp;""&amp;" in Batches.","expiry is empty; receipts need the company-supplied expiry date.","expiry "&amp;""""&amp;INDEX(Import_Staging!$G$2:$G$301,$H158)&amp;""&amp;""""&amp;" is not a real date in yyyy-mm-dd format.","qty is empty.","qty "&amp;""""&amp;INDEX(Import_Staging!$H$2:$H$301,$H158)&amp;""&amp;""""&amp;" is not a valid quantity"&amp;IF(INDEX(Import_Staging!$C$2:$C$301,$H158)&amp;""="",""," for a "&amp;LOWER(INDEX(Import_Staging!$C$2:$C$301,$H158)&amp;""))&amp;".","lot_status is empty; receipts need a lot status.","lot_status "&amp;""""&amp;INDEX(Import_Staging!$I$2:$I$301,$H158)&amp;""&amp;""""&amp;" is not a lot status allowed on receipt (Config).","reason is empty; adjustments need a reason.","source_link is empty; every movement needs a link to its source document.","This row would take recorded stock of "&amp;INDEX(Import_Staging!$D$2:$D$301,$H158)&amp;""&amp;" from "&amp;INDEX(Import_Staging!$R$2:$R$301,$H158)&amp;" to "&amp;INDEX(Import_Staging!$S$2:$S$301,$H158)&amp;"."),$E158))</f>
        <v/>
      </c>
      <c r="G158" s="67" t="str">
        <f>IF($A158="","",INDEX(Config!$F$39:$F$61,$J158))</f>
        <v/>
      </c>
      <c r="H158" s="66" t="str">
        <f>IF($A158="","",MATCH(COUNTIF(Import_Staging!$BS$2:$BS$301,"&lt;"&amp;$A158)+1,Import_Staging!$BR$2:$BR$301,0))</f>
        <v/>
      </c>
      <c r="I158" s="66" t="str">
        <f>IF($A158="","",$A158-INDEX(Import_Staging!$BQ$2:$BQ$301,$H158))</f>
        <v/>
      </c>
      <c r="J158" s="66" t="str">
        <f>IF($A158="","",MATCH($I158,INDEX(Import_Staging!$AT$2:$BP$301,$H158,0),0))</f>
        <v/>
      </c>
    </row>
    <row r="159">
      <c r="A159" s="65" t="str">
        <f>IF(154&lt;=$F$4,154,"")</f>
        <v/>
      </c>
      <c r="B159" s="65" t="str">
        <f>IF($A159="","",$H159+1)</f>
        <v/>
      </c>
      <c r="C159" s="66" t="str">
        <f>IF($A159="","",INDEX(Import_Staging!$A$2:$A$301,$H159)&amp;"")</f>
        <v/>
      </c>
      <c r="D159" s="66" t="str">
        <f>IF($A159="","",INDEX(Config!$C$39:$C$61,$J159))</f>
        <v/>
      </c>
      <c r="E159" s="66" t="str">
        <f>IF($A159="","",INDEX(Config!$D$39:$D$61,$J159))</f>
        <v/>
      </c>
      <c r="F159" s="67" t="str">
        <f>IF($A159="","",IFERROR(CHOOSE($J159,"movement_id is empty. Every row needs a unique movement ID.","movement_id "&amp;INDEX(Import_Staging!$A$2:$A$301,$H159)&amp;""&amp;" appears earlier in this file (row "&amp;IFERROR(MATCH(INDEX(Import_Staging!$A$2:$A$301,$H159),Import_Staging!$A$2:$A$301,0)+1,"?")&amp;"). Only the first row can be posted.","movement_id "&amp;INDEX(Import_Staging!$A$2:$A$301,$H159)&amp;""&amp;" is already in Inventory_Ledger. The ledger row was not changed.","date is empty.","date "&amp;""""&amp;INDEX(Import_Staging!$B$2:$B$301,$H159)&amp;""&amp;""""&amp;" is not a real date in yyyy-mm-dd format.","date "&amp;TEXT(INDEX(Import_Staging!$M$2:$M$301,$H159),"yyyy-mm-dd")&amp;" is after the as-of date "&amp;TEXT(Config!$B$4,"yyyy-mm-dd")&amp;".","type is empty.","type "&amp;""""&amp;INDEX(Import_Staging!$C$2:$C$301,$H159)&amp;""&amp;""""&amp;" is not a movement type listed on Config.","sku is empty.","SKU "&amp;INDEX(Import_Staging!$D$2:$D$301,$H159)&amp;""&amp;" is not in Products.","supplier_id is empty; receipts need the supplier.","Supplier "&amp;INDEX(Import_Staging!$E$2:$E$301,$H159)&amp;""&amp;" is not in Suppliers.","lot is empty; every movement needs its lot code.","Lot "&amp;INDEX(Import_Staging!$F$2:$F$301,$H159)&amp;""&amp;" is not recorded for "&amp;INDEX(Import_Staging!$D$2:$D$301,$H159)&amp;""&amp;" in Batches.","expiry is empty; receipts need the company-supplied expiry date.","expiry "&amp;""""&amp;INDEX(Import_Staging!$G$2:$G$301,$H159)&amp;""&amp;""""&amp;" is not a real date in yyyy-mm-dd format.","qty is empty.","qty "&amp;""""&amp;INDEX(Import_Staging!$H$2:$H$301,$H159)&amp;""&amp;""""&amp;" is not a valid quantity"&amp;IF(INDEX(Import_Staging!$C$2:$C$301,$H159)&amp;""="",""," for a "&amp;LOWER(INDEX(Import_Staging!$C$2:$C$301,$H159)&amp;""))&amp;".","lot_status is empty; receipts need a lot status.","lot_status "&amp;""""&amp;INDEX(Import_Staging!$I$2:$I$301,$H159)&amp;""&amp;""""&amp;" is not a lot status allowed on receipt (Config).","reason is empty; adjustments need a reason.","source_link is empty; every movement needs a link to its source document.","This row would take recorded stock of "&amp;INDEX(Import_Staging!$D$2:$D$301,$H159)&amp;""&amp;" from "&amp;INDEX(Import_Staging!$R$2:$R$301,$H159)&amp;" to "&amp;INDEX(Import_Staging!$S$2:$S$301,$H159)&amp;"."),$E159))</f>
        <v/>
      </c>
      <c r="G159" s="67" t="str">
        <f>IF($A159="","",INDEX(Config!$F$39:$F$61,$J159))</f>
        <v/>
      </c>
      <c r="H159" s="66" t="str">
        <f>IF($A159="","",MATCH(COUNTIF(Import_Staging!$BS$2:$BS$301,"&lt;"&amp;$A159)+1,Import_Staging!$BR$2:$BR$301,0))</f>
        <v/>
      </c>
      <c r="I159" s="66" t="str">
        <f>IF($A159="","",$A159-INDEX(Import_Staging!$BQ$2:$BQ$301,$H159))</f>
        <v/>
      </c>
      <c r="J159" s="66" t="str">
        <f>IF($A159="","",MATCH($I159,INDEX(Import_Staging!$AT$2:$BP$301,$H159,0),0))</f>
        <v/>
      </c>
    </row>
    <row r="160">
      <c r="A160" s="65" t="str">
        <f>IF(155&lt;=$F$4,155,"")</f>
        <v/>
      </c>
      <c r="B160" s="65" t="str">
        <f>IF($A160="","",$H160+1)</f>
        <v/>
      </c>
      <c r="C160" s="66" t="str">
        <f>IF($A160="","",INDEX(Import_Staging!$A$2:$A$301,$H160)&amp;"")</f>
        <v/>
      </c>
      <c r="D160" s="66" t="str">
        <f>IF($A160="","",INDEX(Config!$C$39:$C$61,$J160))</f>
        <v/>
      </c>
      <c r="E160" s="66" t="str">
        <f>IF($A160="","",INDEX(Config!$D$39:$D$61,$J160))</f>
        <v/>
      </c>
      <c r="F160" s="67" t="str">
        <f>IF($A160="","",IFERROR(CHOOSE($J160,"movement_id is empty. Every row needs a unique movement ID.","movement_id "&amp;INDEX(Import_Staging!$A$2:$A$301,$H160)&amp;""&amp;" appears earlier in this file (row "&amp;IFERROR(MATCH(INDEX(Import_Staging!$A$2:$A$301,$H160),Import_Staging!$A$2:$A$301,0)+1,"?")&amp;"). Only the first row can be posted.","movement_id "&amp;INDEX(Import_Staging!$A$2:$A$301,$H160)&amp;""&amp;" is already in Inventory_Ledger. The ledger row was not changed.","date is empty.","date "&amp;""""&amp;INDEX(Import_Staging!$B$2:$B$301,$H160)&amp;""&amp;""""&amp;" is not a real date in yyyy-mm-dd format.","date "&amp;TEXT(INDEX(Import_Staging!$M$2:$M$301,$H160),"yyyy-mm-dd")&amp;" is after the as-of date "&amp;TEXT(Config!$B$4,"yyyy-mm-dd")&amp;".","type is empty.","type "&amp;""""&amp;INDEX(Import_Staging!$C$2:$C$301,$H160)&amp;""&amp;""""&amp;" is not a movement type listed on Config.","sku is empty.","SKU "&amp;INDEX(Import_Staging!$D$2:$D$301,$H160)&amp;""&amp;" is not in Products.","supplier_id is empty; receipts need the supplier.","Supplier "&amp;INDEX(Import_Staging!$E$2:$E$301,$H160)&amp;""&amp;" is not in Suppliers.","lot is empty; every movement needs its lot code.","Lot "&amp;INDEX(Import_Staging!$F$2:$F$301,$H160)&amp;""&amp;" is not recorded for "&amp;INDEX(Import_Staging!$D$2:$D$301,$H160)&amp;""&amp;" in Batches.","expiry is empty; receipts need the company-supplied expiry date.","expiry "&amp;""""&amp;INDEX(Import_Staging!$G$2:$G$301,$H160)&amp;""&amp;""""&amp;" is not a real date in yyyy-mm-dd format.","qty is empty.","qty "&amp;""""&amp;INDEX(Import_Staging!$H$2:$H$301,$H160)&amp;""&amp;""""&amp;" is not a valid quantity"&amp;IF(INDEX(Import_Staging!$C$2:$C$301,$H160)&amp;""="",""," for a "&amp;LOWER(INDEX(Import_Staging!$C$2:$C$301,$H160)&amp;""))&amp;".","lot_status is empty; receipts need a lot status.","lot_status "&amp;""""&amp;INDEX(Import_Staging!$I$2:$I$301,$H160)&amp;""&amp;""""&amp;" is not a lot status allowed on receipt (Config).","reason is empty; adjustments need a reason.","source_link is empty; every movement needs a link to its source document.","This row would take recorded stock of "&amp;INDEX(Import_Staging!$D$2:$D$301,$H160)&amp;""&amp;" from "&amp;INDEX(Import_Staging!$R$2:$R$301,$H160)&amp;" to "&amp;INDEX(Import_Staging!$S$2:$S$301,$H160)&amp;"."),$E160))</f>
        <v/>
      </c>
      <c r="G160" s="67" t="str">
        <f>IF($A160="","",INDEX(Config!$F$39:$F$61,$J160))</f>
        <v/>
      </c>
      <c r="H160" s="66" t="str">
        <f>IF($A160="","",MATCH(COUNTIF(Import_Staging!$BS$2:$BS$301,"&lt;"&amp;$A160)+1,Import_Staging!$BR$2:$BR$301,0))</f>
        <v/>
      </c>
      <c r="I160" s="66" t="str">
        <f>IF($A160="","",$A160-INDEX(Import_Staging!$BQ$2:$BQ$301,$H160))</f>
        <v/>
      </c>
      <c r="J160" s="66" t="str">
        <f>IF($A160="","",MATCH($I160,INDEX(Import_Staging!$AT$2:$BP$301,$H160,0),0))</f>
        <v/>
      </c>
    </row>
    <row r="161">
      <c r="A161" s="65" t="str">
        <f>IF(156&lt;=$F$4,156,"")</f>
        <v/>
      </c>
      <c r="B161" s="65" t="str">
        <f>IF($A161="","",$H161+1)</f>
        <v/>
      </c>
      <c r="C161" s="66" t="str">
        <f>IF($A161="","",INDEX(Import_Staging!$A$2:$A$301,$H161)&amp;"")</f>
        <v/>
      </c>
      <c r="D161" s="66" t="str">
        <f>IF($A161="","",INDEX(Config!$C$39:$C$61,$J161))</f>
        <v/>
      </c>
      <c r="E161" s="66" t="str">
        <f>IF($A161="","",INDEX(Config!$D$39:$D$61,$J161))</f>
        <v/>
      </c>
      <c r="F161" s="67" t="str">
        <f>IF($A161="","",IFERROR(CHOOSE($J161,"movement_id is empty. Every row needs a unique movement ID.","movement_id "&amp;INDEX(Import_Staging!$A$2:$A$301,$H161)&amp;""&amp;" appears earlier in this file (row "&amp;IFERROR(MATCH(INDEX(Import_Staging!$A$2:$A$301,$H161),Import_Staging!$A$2:$A$301,0)+1,"?")&amp;"). Only the first row can be posted.","movement_id "&amp;INDEX(Import_Staging!$A$2:$A$301,$H161)&amp;""&amp;" is already in Inventory_Ledger. The ledger row was not changed.","date is empty.","date "&amp;""""&amp;INDEX(Import_Staging!$B$2:$B$301,$H161)&amp;""&amp;""""&amp;" is not a real date in yyyy-mm-dd format.","date "&amp;TEXT(INDEX(Import_Staging!$M$2:$M$301,$H161),"yyyy-mm-dd")&amp;" is after the as-of date "&amp;TEXT(Config!$B$4,"yyyy-mm-dd")&amp;".","type is empty.","type "&amp;""""&amp;INDEX(Import_Staging!$C$2:$C$301,$H161)&amp;""&amp;""""&amp;" is not a movement type listed on Config.","sku is empty.","SKU "&amp;INDEX(Import_Staging!$D$2:$D$301,$H161)&amp;""&amp;" is not in Products.","supplier_id is empty; receipts need the supplier.","Supplier "&amp;INDEX(Import_Staging!$E$2:$E$301,$H161)&amp;""&amp;" is not in Suppliers.","lot is empty; every movement needs its lot code.","Lot "&amp;INDEX(Import_Staging!$F$2:$F$301,$H161)&amp;""&amp;" is not recorded for "&amp;INDEX(Import_Staging!$D$2:$D$301,$H161)&amp;""&amp;" in Batches.","expiry is empty; receipts need the company-supplied expiry date.","expiry "&amp;""""&amp;INDEX(Import_Staging!$G$2:$G$301,$H161)&amp;""&amp;""""&amp;" is not a real date in yyyy-mm-dd format.","qty is empty.","qty "&amp;""""&amp;INDEX(Import_Staging!$H$2:$H$301,$H161)&amp;""&amp;""""&amp;" is not a valid quantity"&amp;IF(INDEX(Import_Staging!$C$2:$C$301,$H161)&amp;""="",""," for a "&amp;LOWER(INDEX(Import_Staging!$C$2:$C$301,$H161)&amp;""))&amp;".","lot_status is empty; receipts need a lot status.","lot_status "&amp;""""&amp;INDEX(Import_Staging!$I$2:$I$301,$H161)&amp;""&amp;""""&amp;" is not a lot status allowed on receipt (Config).","reason is empty; adjustments need a reason.","source_link is empty; every movement needs a link to its source document.","This row would take recorded stock of "&amp;INDEX(Import_Staging!$D$2:$D$301,$H161)&amp;""&amp;" from "&amp;INDEX(Import_Staging!$R$2:$R$301,$H161)&amp;" to "&amp;INDEX(Import_Staging!$S$2:$S$301,$H161)&amp;"."),$E161))</f>
        <v/>
      </c>
      <c r="G161" s="67" t="str">
        <f>IF($A161="","",INDEX(Config!$F$39:$F$61,$J161))</f>
        <v/>
      </c>
      <c r="H161" s="66" t="str">
        <f>IF($A161="","",MATCH(COUNTIF(Import_Staging!$BS$2:$BS$301,"&lt;"&amp;$A161)+1,Import_Staging!$BR$2:$BR$301,0))</f>
        <v/>
      </c>
      <c r="I161" s="66" t="str">
        <f>IF($A161="","",$A161-INDEX(Import_Staging!$BQ$2:$BQ$301,$H161))</f>
        <v/>
      </c>
      <c r="J161" s="66" t="str">
        <f>IF($A161="","",MATCH($I161,INDEX(Import_Staging!$AT$2:$BP$301,$H161,0),0))</f>
        <v/>
      </c>
    </row>
    <row r="162">
      <c r="A162" s="65" t="str">
        <f>IF(157&lt;=$F$4,157,"")</f>
        <v/>
      </c>
      <c r="B162" s="65" t="str">
        <f>IF($A162="","",$H162+1)</f>
        <v/>
      </c>
      <c r="C162" s="66" t="str">
        <f>IF($A162="","",INDEX(Import_Staging!$A$2:$A$301,$H162)&amp;"")</f>
        <v/>
      </c>
      <c r="D162" s="66" t="str">
        <f>IF($A162="","",INDEX(Config!$C$39:$C$61,$J162))</f>
        <v/>
      </c>
      <c r="E162" s="66" t="str">
        <f>IF($A162="","",INDEX(Config!$D$39:$D$61,$J162))</f>
        <v/>
      </c>
      <c r="F162" s="67" t="str">
        <f>IF($A162="","",IFERROR(CHOOSE($J162,"movement_id is empty. Every row needs a unique movement ID.","movement_id "&amp;INDEX(Import_Staging!$A$2:$A$301,$H162)&amp;""&amp;" appears earlier in this file (row "&amp;IFERROR(MATCH(INDEX(Import_Staging!$A$2:$A$301,$H162),Import_Staging!$A$2:$A$301,0)+1,"?")&amp;"). Only the first row can be posted.","movement_id "&amp;INDEX(Import_Staging!$A$2:$A$301,$H162)&amp;""&amp;" is already in Inventory_Ledger. The ledger row was not changed.","date is empty.","date "&amp;""""&amp;INDEX(Import_Staging!$B$2:$B$301,$H162)&amp;""&amp;""""&amp;" is not a real date in yyyy-mm-dd format.","date "&amp;TEXT(INDEX(Import_Staging!$M$2:$M$301,$H162),"yyyy-mm-dd")&amp;" is after the as-of date "&amp;TEXT(Config!$B$4,"yyyy-mm-dd")&amp;".","type is empty.","type "&amp;""""&amp;INDEX(Import_Staging!$C$2:$C$301,$H162)&amp;""&amp;""""&amp;" is not a movement type listed on Config.","sku is empty.","SKU "&amp;INDEX(Import_Staging!$D$2:$D$301,$H162)&amp;""&amp;" is not in Products.","supplier_id is empty; receipts need the supplier.","Supplier "&amp;INDEX(Import_Staging!$E$2:$E$301,$H162)&amp;""&amp;" is not in Suppliers.","lot is empty; every movement needs its lot code.","Lot "&amp;INDEX(Import_Staging!$F$2:$F$301,$H162)&amp;""&amp;" is not recorded for "&amp;INDEX(Import_Staging!$D$2:$D$301,$H162)&amp;""&amp;" in Batches.","expiry is empty; receipts need the company-supplied expiry date.","expiry "&amp;""""&amp;INDEX(Import_Staging!$G$2:$G$301,$H162)&amp;""&amp;""""&amp;" is not a real date in yyyy-mm-dd format.","qty is empty.","qty "&amp;""""&amp;INDEX(Import_Staging!$H$2:$H$301,$H162)&amp;""&amp;""""&amp;" is not a valid quantity"&amp;IF(INDEX(Import_Staging!$C$2:$C$301,$H162)&amp;""="",""," for a "&amp;LOWER(INDEX(Import_Staging!$C$2:$C$301,$H162)&amp;""))&amp;".","lot_status is empty; receipts need a lot status.","lot_status "&amp;""""&amp;INDEX(Import_Staging!$I$2:$I$301,$H162)&amp;""&amp;""""&amp;" is not a lot status allowed on receipt (Config).","reason is empty; adjustments need a reason.","source_link is empty; every movement needs a link to its source document.","This row would take recorded stock of "&amp;INDEX(Import_Staging!$D$2:$D$301,$H162)&amp;""&amp;" from "&amp;INDEX(Import_Staging!$R$2:$R$301,$H162)&amp;" to "&amp;INDEX(Import_Staging!$S$2:$S$301,$H162)&amp;"."),$E162))</f>
        <v/>
      </c>
      <c r="G162" s="67" t="str">
        <f>IF($A162="","",INDEX(Config!$F$39:$F$61,$J162))</f>
        <v/>
      </c>
      <c r="H162" s="66" t="str">
        <f>IF($A162="","",MATCH(COUNTIF(Import_Staging!$BS$2:$BS$301,"&lt;"&amp;$A162)+1,Import_Staging!$BR$2:$BR$301,0))</f>
        <v/>
      </c>
      <c r="I162" s="66" t="str">
        <f>IF($A162="","",$A162-INDEX(Import_Staging!$BQ$2:$BQ$301,$H162))</f>
        <v/>
      </c>
      <c r="J162" s="66" t="str">
        <f>IF($A162="","",MATCH($I162,INDEX(Import_Staging!$AT$2:$BP$301,$H162,0),0))</f>
        <v/>
      </c>
    </row>
    <row r="163">
      <c r="A163" s="65" t="str">
        <f>IF(158&lt;=$F$4,158,"")</f>
        <v/>
      </c>
      <c r="B163" s="65" t="str">
        <f>IF($A163="","",$H163+1)</f>
        <v/>
      </c>
      <c r="C163" s="66" t="str">
        <f>IF($A163="","",INDEX(Import_Staging!$A$2:$A$301,$H163)&amp;"")</f>
        <v/>
      </c>
      <c r="D163" s="66" t="str">
        <f>IF($A163="","",INDEX(Config!$C$39:$C$61,$J163))</f>
        <v/>
      </c>
      <c r="E163" s="66" t="str">
        <f>IF($A163="","",INDEX(Config!$D$39:$D$61,$J163))</f>
        <v/>
      </c>
      <c r="F163" s="67" t="str">
        <f>IF($A163="","",IFERROR(CHOOSE($J163,"movement_id is empty. Every row needs a unique movement ID.","movement_id "&amp;INDEX(Import_Staging!$A$2:$A$301,$H163)&amp;""&amp;" appears earlier in this file (row "&amp;IFERROR(MATCH(INDEX(Import_Staging!$A$2:$A$301,$H163),Import_Staging!$A$2:$A$301,0)+1,"?")&amp;"). Only the first row can be posted.","movement_id "&amp;INDEX(Import_Staging!$A$2:$A$301,$H163)&amp;""&amp;" is already in Inventory_Ledger. The ledger row was not changed.","date is empty.","date "&amp;""""&amp;INDEX(Import_Staging!$B$2:$B$301,$H163)&amp;""&amp;""""&amp;" is not a real date in yyyy-mm-dd format.","date "&amp;TEXT(INDEX(Import_Staging!$M$2:$M$301,$H163),"yyyy-mm-dd")&amp;" is after the as-of date "&amp;TEXT(Config!$B$4,"yyyy-mm-dd")&amp;".","type is empty.","type "&amp;""""&amp;INDEX(Import_Staging!$C$2:$C$301,$H163)&amp;""&amp;""""&amp;" is not a movement type listed on Config.","sku is empty.","SKU "&amp;INDEX(Import_Staging!$D$2:$D$301,$H163)&amp;""&amp;" is not in Products.","supplier_id is empty; receipts need the supplier.","Supplier "&amp;INDEX(Import_Staging!$E$2:$E$301,$H163)&amp;""&amp;" is not in Suppliers.","lot is empty; every movement needs its lot code.","Lot "&amp;INDEX(Import_Staging!$F$2:$F$301,$H163)&amp;""&amp;" is not recorded for "&amp;INDEX(Import_Staging!$D$2:$D$301,$H163)&amp;""&amp;" in Batches.","expiry is empty; receipts need the company-supplied expiry date.","expiry "&amp;""""&amp;INDEX(Import_Staging!$G$2:$G$301,$H163)&amp;""&amp;""""&amp;" is not a real date in yyyy-mm-dd format.","qty is empty.","qty "&amp;""""&amp;INDEX(Import_Staging!$H$2:$H$301,$H163)&amp;""&amp;""""&amp;" is not a valid quantity"&amp;IF(INDEX(Import_Staging!$C$2:$C$301,$H163)&amp;""="",""," for a "&amp;LOWER(INDEX(Import_Staging!$C$2:$C$301,$H163)&amp;""))&amp;".","lot_status is empty; receipts need a lot status.","lot_status "&amp;""""&amp;INDEX(Import_Staging!$I$2:$I$301,$H163)&amp;""&amp;""""&amp;" is not a lot status allowed on receipt (Config).","reason is empty; adjustments need a reason.","source_link is empty; every movement needs a link to its source document.","This row would take recorded stock of "&amp;INDEX(Import_Staging!$D$2:$D$301,$H163)&amp;""&amp;" from "&amp;INDEX(Import_Staging!$R$2:$R$301,$H163)&amp;" to "&amp;INDEX(Import_Staging!$S$2:$S$301,$H163)&amp;"."),$E163))</f>
        <v/>
      </c>
      <c r="G163" s="67" t="str">
        <f>IF($A163="","",INDEX(Config!$F$39:$F$61,$J163))</f>
        <v/>
      </c>
      <c r="H163" s="66" t="str">
        <f>IF($A163="","",MATCH(COUNTIF(Import_Staging!$BS$2:$BS$301,"&lt;"&amp;$A163)+1,Import_Staging!$BR$2:$BR$301,0))</f>
        <v/>
      </c>
      <c r="I163" s="66" t="str">
        <f>IF($A163="","",$A163-INDEX(Import_Staging!$BQ$2:$BQ$301,$H163))</f>
        <v/>
      </c>
      <c r="J163" s="66" t="str">
        <f>IF($A163="","",MATCH($I163,INDEX(Import_Staging!$AT$2:$BP$301,$H163,0),0))</f>
        <v/>
      </c>
    </row>
    <row r="164">
      <c r="A164" s="65" t="str">
        <f>IF(159&lt;=$F$4,159,"")</f>
        <v/>
      </c>
      <c r="B164" s="65" t="str">
        <f>IF($A164="","",$H164+1)</f>
        <v/>
      </c>
      <c r="C164" s="66" t="str">
        <f>IF($A164="","",INDEX(Import_Staging!$A$2:$A$301,$H164)&amp;"")</f>
        <v/>
      </c>
      <c r="D164" s="66" t="str">
        <f>IF($A164="","",INDEX(Config!$C$39:$C$61,$J164))</f>
        <v/>
      </c>
      <c r="E164" s="66" t="str">
        <f>IF($A164="","",INDEX(Config!$D$39:$D$61,$J164))</f>
        <v/>
      </c>
      <c r="F164" s="67" t="str">
        <f>IF($A164="","",IFERROR(CHOOSE($J164,"movement_id is empty. Every row needs a unique movement ID.","movement_id "&amp;INDEX(Import_Staging!$A$2:$A$301,$H164)&amp;""&amp;" appears earlier in this file (row "&amp;IFERROR(MATCH(INDEX(Import_Staging!$A$2:$A$301,$H164),Import_Staging!$A$2:$A$301,0)+1,"?")&amp;"). Only the first row can be posted.","movement_id "&amp;INDEX(Import_Staging!$A$2:$A$301,$H164)&amp;""&amp;" is already in Inventory_Ledger. The ledger row was not changed.","date is empty.","date "&amp;""""&amp;INDEX(Import_Staging!$B$2:$B$301,$H164)&amp;""&amp;""""&amp;" is not a real date in yyyy-mm-dd format.","date "&amp;TEXT(INDEX(Import_Staging!$M$2:$M$301,$H164),"yyyy-mm-dd")&amp;" is after the as-of date "&amp;TEXT(Config!$B$4,"yyyy-mm-dd")&amp;".","type is empty.","type "&amp;""""&amp;INDEX(Import_Staging!$C$2:$C$301,$H164)&amp;""&amp;""""&amp;" is not a movement type listed on Config.","sku is empty.","SKU "&amp;INDEX(Import_Staging!$D$2:$D$301,$H164)&amp;""&amp;" is not in Products.","supplier_id is empty; receipts need the supplier.","Supplier "&amp;INDEX(Import_Staging!$E$2:$E$301,$H164)&amp;""&amp;" is not in Suppliers.","lot is empty; every movement needs its lot code.","Lot "&amp;INDEX(Import_Staging!$F$2:$F$301,$H164)&amp;""&amp;" is not recorded for "&amp;INDEX(Import_Staging!$D$2:$D$301,$H164)&amp;""&amp;" in Batches.","expiry is empty; receipts need the company-supplied expiry date.","expiry "&amp;""""&amp;INDEX(Import_Staging!$G$2:$G$301,$H164)&amp;""&amp;""""&amp;" is not a real date in yyyy-mm-dd format.","qty is empty.","qty "&amp;""""&amp;INDEX(Import_Staging!$H$2:$H$301,$H164)&amp;""&amp;""""&amp;" is not a valid quantity"&amp;IF(INDEX(Import_Staging!$C$2:$C$301,$H164)&amp;""="",""," for a "&amp;LOWER(INDEX(Import_Staging!$C$2:$C$301,$H164)&amp;""))&amp;".","lot_status is empty; receipts need a lot status.","lot_status "&amp;""""&amp;INDEX(Import_Staging!$I$2:$I$301,$H164)&amp;""&amp;""""&amp;" is not a lot status allowed on receipt (Config).","reason is empty; adjustments need a reason.","source_link is empty; every movement needs a link to its source document.","This row would take recorded stock of "&amp;INDEX(Import_Staging!$D$2:$D$301,$H164)&amp;""&amp;" from "&amp;INDEX(Import_Staging!$R$2:$R$301,$H164)&amp;" to "&amp;INDEX(Import_Staging!$S$2:$S$301,$H164)&amp;"."),$E164))</f>
        <v/>
      </c>
      <c r="G164" s="67" t="str">
        <f>IF($A164="","",INDEX(Config!$F$39:$F$61,$J164))</f>
        <v/>
      </c>
      <c r="H164" s="66" t="str">
        <f>IF($A164="","",MATCH(COUNTIF(Import_Staging!$BS$2:$BS$301,"&lt;"&amp;$A164)+1,Import_Staging!$BR$2:$BR$301,0))</f>
        <v/>
      </c>
      <c r="I164" s="66" t="str">
        <f>IF($A164="","",$A164-INDEX(Import_Staging!$BQ$2:$BQ$301,$H164))</f>
        <v/>
      </c>
      <c r="J164" s="66" t="str">
        <f>IF($A164="","",MATCH($I164,INDEX(Import_Staging!$AT$2:$BP$301,$H164,0),0))</f>
        <v/>
      </c>
    </row>
    <row r="165">
      <c r="A165" s="65" t="str">
        <f>IF(160&lt;=$F$4,160,"")</f>
        <v/>
      </c>
      <c r="B165" s="65" t="str">
        <f>IF($A165="","",$H165+1)</f>
        <v/>
      </c>
      <c r="C165" s="66" t="str">
        <f>IF($A165="","",INDEX(Import_Staging!$A$2:$A$301,$H165)&amp;"")</f>
        <v/>
      </c>
      <c r="D165" s="66" t="str">
        <f>IF($A165="","",INDEX(Config!$C$39:$C$61,$J165))</f>
        <v/>
      </c>
      <c r="E165" s="66" t="str">
        <f>IF($A165="","",INDEX(Config!$D$39:$D$61,$J165))</f>
        <v/>
      </c>
      <c r="F165" s="67" t="str">
        <f>IF($A165="","",IFERROR(CHOOSE($J165,"movement_id is empty. Every row needs a unique movement ID.","movement_id "&amp;INDEX(Import_Staging!$A$2:$A$301,$H165)&amp;""&amp;" appears earlier in this file (row "&amp;IFERROR(MATCH(INDEX(Import_Staging!$A$2:$A$301,$H165),Import_Staging!$A$2:$A$301,0)+1,"?")&amp;"). Only the first row can be posted.","movement_id "&amp;INDEX(Import_Staging!$A$2:$A$301,$H165)&amp;""&amp;" is already in Inventory_Ledger. The ledger row was not changed.","date is empty.","date "&amp;""""&amp;INDEX(Import_Staging!$B$2:$B$301,$H165)&amp;""&amp;""""&amp;" is not a real date in yyyy-mm-dd format.","date "&amp;TEXT(INDEX(Import_Staging!$M$2:$M$301,$H165),"yyyy-mm-dd")&amp;" is after the as-of date "&amp;TEXT(Config!$B$4,"yyyy-mm-dd")&amp;".","type is empty.","type "&amp;""""&amp;INDEX(Import_Staging!$C$2:$C$301,$H165)&amp;""&amp;""""&amp;" is not a movement type listed on Config.","sku is empty.","SKU "&amp;INDEX(Import_Staging!$D$2:$D$301,$H165)&amp;""&amp;" is not in Products.","supplier_id is empty; receipts need the supplier.","Supplier "&amp;INDEX(Import_Staging!$E$2:$E$301,$H165)&amp;""&amp;" is not in Suppliers.","lot is empty; every movement needs its lot code.","Lot "&amp;INDEX(Import_Staging!$F$2:$F$301,$H165)&amp;""&amp;" is not recorded for "&amp;INDEX(Import_Staging!$D$2:$D$301,$H165)&amp;""&amp;" in Batches.","expiry is empty; receipts need the company-supplied expiry date.","expiry "&amp;""""&amp;INDEX(Import_Staging!$G$2:$G$301,$H165)&amp;""&amp;""""&amp;" is not a real date in yyyy-mm-dd format.","qty is empty.","qty "&amp;""""&amp;INDEX(Import_Staging!$H$2:$H$301,$H165)&amp;""&amp;""""&amp;" is not a valid quantity"&amp;IF(INDEX(Import_Staging!$C$2:$C$301,$H165)&amp;""="",""," for a "&amp;LOWER(INDEX(Import_Staging!$C$2:$C$301,$H165)&amp;""))&amp;".","lot_status is empty; receipts need a lot status.","lot_status "&amp;""""&amp;INDEX(Import_Staging!$I$2:$I$301,$H165)&amp;""&amp;""""&amp;" is not a lot status allowed on receipt (Config).","reason is empty; adjustments need a reason.","source_link is empty; every movement needs a link to its source document.","This row would take recorded stock of "&amp;INDEX(Import_Staging!$D$2:$D$301,$H165)&amp;""&amp;" from "&amp;INDEX(Import_Staging!$R$2:$R$301,$H165)&amp;" to "&amp;INDEX(Import_Staging!$S$2:$S$301,$H165)&amp;"."),$E165))</f>
        <v/>
      </c>
      <c r="G165" s="67" t="str">
        <f>IF($A165="","",INDEX(Config!$F$39:$F$61,$J165))</f>
        <v/>
      </c>
      <c r="H165" s="66" t="str">
        <f>IF($A165="","",MATCH(COUNTIF(Import_Staging!$BS$2:$BS$301,"&lt;"&amp;$A165)+1,Import_Staging!$BR$2:$BR$301,0))</f>
        <v/>
      </c>
      <c r="I165" s="66" t="str">
        <f>IF($A165="","",$A165-INDEX(Import_Staging!$BQ$2:$BQ$301,$H165))</f>
        <v/>
      </c>
      <c r="J165" s="66" t="str">
        <f>IF($A165="","",MATCH($I165,INDEX(Import_Staging!$AT$2:$BP$301,$H165,0),0))</f>
        <v/>
      </c>
    </row>
    <row r="166">
      <c r="A166" s="65" t="str">
        <f>IF(161&lt;=$F$4,161,"")</f>
        <v/>
      </c>
      <c r="B166" s="65" t="str">
        <f>IF($A166="","",$H166+1)</f>
        <v/>
      </c>
      <c r="C166" s="66" t="str">
        <f>IF($A166="","",INDEX(Import_Staging!$A$2:$A$301,$H166)&amp;"")</f>
        <v/>
      </c>
      <c r="D166" s="66" t="str">
        <f>IF($A166="","",INDEX(Config!$C$39:$C$61,$J166))</f>
        <v/>
      </c>
      <c r="E166" s="66" t="str">
        <f>IF($A166="","",INDEX(Config!$D$39:$D$61,$J166))</f>
        <v/>
      </c>
      <c r="F166" s="67" t="str">
        <f>IF($A166="","",IFERROR(CHOOSE($J166,"movement_id is empty. Every row needs a unique movement ID.","movement_id "&amp;INDEX(Import_Staging!$A$2:$A$301,$H166)&amp;""&amp;" appears earlier in this file (row "&amp;IFERROR(MATCH(INDEX(Import_Staging!$A$2:$A$301,$H166),Import_Staging!$A$2:$A$301,0)+1,"?")&amp;"). Only the first row can be posted.","movement_id "&amp;INDEX(Import_Staging!$A$2:$A$301,$H166)&amp;""&amp;" is already in Inventory_Ledger. The ledger row was not changed.","date is empty.","date "&amp;""""&amp;INDEX(Import_Staging!$B$2:$B$301,$H166)&amp;""&amp;""""&amp;" is not a real date in yyyy-mm-dd format.","date "&amp;TEXT(INDEX(Import_Staging!$M$2:$M$301,$H166),"yyyy-mm-dd")&amp;" is after the as-of date "&amp;TEXT(Config!$B$4,"yyyy-mm-dd")&amp;".","type is empty.","type "&amp;""""&amp;INDEX(Import_Staging!$C$2:$C$301,$H166)&amp;""&amp;""""&amp;" is not a movement type listed on Config.","sku is empty.","SKU "&amp;INDEX(Import_Staging!$D$2:$D$301,$H166)&amp;""&amp;" is not in Products.","supplier_id is empty; receipts need the supplier.","Supplier "&amp;INDEX(Import_Staging!$E$2:$E$301,$H166)&amp;""&amp;" is not in Suppliers.","lot is empty; every movement needs its lot code.","Lot "&amp;INDEX(Import_Staging!$F$2:$F$301,$H166)&amp;""&amp;" is not recorded for "&amp;INDEX(Import_Staging!$D$2:$D$301,$H166)&amp;""&amp;" in Batches.","expiry is empty; receipts need the company-supplied expiry date.","expiry "&amp;""""&amp;INDEX(Import_Staging!$G$2:$G$301,$H166)&amp;""&amp;""""&amp;" is not a real date in yyyy-mm-dd format.","qty is empty.","qty "&amp;""""&amp;INDEX(Import_Staging!$H$2:$H$301,$H166)&amp;""&amp;""""&amp;" is not a valid quantity"&amp;IF(INDEX(Import_Staging!$C$2:$C$301,$H166)&amp;""="",""," for a "&amp;LOWER(INDEX(Import_Staging!$C$2:$C$301,$H166)&amp;""))&amp;".","lot_status is empty; receipts need a lot status.","lot_status "&amp;""""&amp;INDEX(Import_Staging!$I$2:$I$301,$H166)&amp;""&amp;""""&amp;" is not a lot status allowed on receipt (Config).","reason is empty; adjustments need a reason.","source_link is empty; every movement needs a link to its source document.","This row would take recorded stock of "&amp;INDEX(Import_Staging!$D$2:$D$301,$H166)&amp;""&amp;" from "&amp;INDEX(Import_Staging!$R$2:$R$301,$H166)&amp;" to "&amp;INDEX(Import_Staging!$S$2:$S$301,$H166)&amp;"."),$E166))</f>
        <v/>
      </c>
      <c r="G166" s="67" t="str">
        <f>IF($A166="","",INDEX(Config!$F$39:$F$61,$J166))</f>
        <v/>
      </c>
      <c r="H166" s="66" t="str">
        <f>IF($A166="","",MATCH(COUNTIF(Import_Staging!$BS$2:$BS$301,"&lt;"&amp;$A166)+1,Import_Staging!$BR$2:$BR$301,0))</f>
        <v/>
      </c>
      <c r="I166" s="66" t="str">
        <f>IF($A166="","",$A166-INDEX(Import_Staging!$BQ$2:$BQ$301,$H166))</f>
        <v/>
      </c>
      <c r="J166" s="66" t="str">
        <f>IF($A166="","",MATCH($I166,INDEX(Import_Staging!$AT$2:$BP$301,$H166,0),0))</f>
        <v/>
      </c>
    </row>
    <row r="167">
      <c r="A167" s="65" t="str">
        <f>IF(162&lt;=$F$4,162,"")</f>
        <v/>
      </c>
      <c r="B167" s="65" t="str">
        <f>IF($A167="","",$H167+1)</f>
        <v/>
      </c>
      <c r="C167" s="66" t="str">
        <f>IF($A167="","",INDEX(Import_Staging!$A$2:$A$301,$H167)&amp;"")</f>
        <v/>
      </c>
      <c r="D167" s="66" t="str">
        <f>IF($A167="","",INDEX(Config!$C$39:$C$61,$J167))</f>
        <v/>
      </c>
      <c r="E167" s="66" t="str">
        <f>IF($A167="","",INDEX(Config!$D$39:$D$61,$J167))</f>
        <v/>
      </c>
      <c r="F167" s="67" t="str">
        <f>IF($A167="","",IFERROR(CHOOSE($J167,"movement_id is empty. Every row needs a unique movement ID.","movement_id "&amp;INDEX(Import_Staging!$A$2:$A$301,$H167)&amp;""&amp;" appears earlier in this file (row "&amp;IFERROR(MATCH(INDEX(Import_Staging!$A$2:$A$301,$H167),Import_Staging!$A$2:$A$301,0)+1,"?")&amp;"). Only the first row can be posted.","movement_id "&amp;INDEX(Import_Staging!$A$2:$A$301,$H167)&amp;""&amp;" is already in Inventory_Ledger. The ledger row was not changed.","date is empty.","date "&amp;""""&amp;INDEX(Import_Staging!$B$2:$B$301,$H167)&amp;""&amp;""""&amp;" is not a real date in yyyy-mm-dd format.","date "&amp;TEXT(INDEX(Import_Staging!$M$2:$M$301,$H167),"yyyy-mm-dd")&amp;" is after the as-of date "&amp;TEXT(Config!$B$4,"yyyy-mm-dd")&amp;".","type is empty.","type "&amp;""""&amp;INDEX(Import_Staging!$C$2:$C$301,$H167)&amp;""&amp;""""&amp;" is not a movement type listed on Config.","sku is empty.","SKU "&amp;INDEX(Import_Staging!$D$2:$D$301,$H167)&amp;""&amp;" is not in Products.","supplier_id is empty; receipts need the supplier.","Supplier "&amp;INDEX(Import_Staging!$E$2:$E$301,$H167)&amp;""&amp;" is not in Suppliers.","lot is empty; every movement needs its lot code.","Lot "&amp;INDEX(Import_Staging!$F$2:$F$301,$H167)&amp;""&amp;" is not recorded for "&amp;INDEX(Import_Staging!$D$2:$D$301,$H167)&amp;""&amp;" in Batches.","expiry is empty; receipts need the company-supplied expiry date.","expiry "&amp;""""&amp;INDEX(Import_Staging!$G$2:$G$301,$H167)&amp;""&amp;""""&amp;" is not a real date in yyyy-mm-dd format.","qty is empty.","qty "&amp;""""&amp;INDEX(Import_Staging!$H$2:$H$301,$H167)&amp;""&amp;""""&amp;" is not a valid quantity"&amp;IF(INDEX(Import_Staging!$C$2:$C$301,$H167)&amp;""="",""," for a "&amp;LOWER(INDEX(Import_Staging!$C$2:$C$301,$H167)&amp;""))&amp;".","lot_status is empty; receipts need a lot status.","lot_status "&amp;""""&amp;INDEX(Import_Staging!$I$2:$I$301,$H167)&amp;""&amp;""""&amp;" is not a lot status allowed on receipt (Config).","reason is empty; adjustments need a reason.","source_link is empty; every movement needs a link to its source document.","This row would take recorded stock of "&amp;INDEX(Import_Staging!$D$2:$D$301,$H167)&amp;""&amp;" from "&amp;INDEX(Import_Staging!$R$2:$R$301,$H167)&amp;" to "&amp;INDEX(Import_Staging!$S$2:$S$301,$H167)&amp;"."),$E167))</f>
        <v/>
      </c>
      <c r="G167" s="67" t="str">
        <f>IF($A167="","",INDEX(Config!$F$39:$F$61,$J167))</f>
        <v/>
      </c>
      <c r="H167" s="66" t="str">
        <f>IF($A167="","",MATCH(COUNTIF(Import_Staging!$BS$2:$BS$301,"&lt;"&amp;$A167)+1,Import_Staging!$BR$2:$BR$301,0))</f>
        <v/>
      </c>
      <c r="I167" s="66" t="str">
        <f>IF($A167="","",$A167-INDEX(Import_Staging!$BQ$2:$BQ$301,$H167))</f>
        <v/>
      </c>
      <c r="J167" s="66" t="str">
        <f>IF($A167="","",MATCH($I167,INDEX(Import_Staging!$AT$2:$BP$301,$H167,0),0))</f>
        <v/>
      </c>
    </row>
    <row r="168">
      <c r="A168" s="65" t="str">
        <f>IF(163&lt;=$F$4,163,"")</f>
        <v/>
      </c>
      <c r="B168" s="65" t="str">
        <f>IF($A168="","",$H168+1)</f>
        <v/>
      </c>
      <c r="C168" s="66" t="str">
        <f>IF($A168="","",INDEX(Import_Staging!$A$2:$A$301,$H168)&amp;"")</f>
        <v/>
      </c>
      <c r="D168" s="66" t="str">
        <f>IF($A168="","",INDEX(Config!$C$39:$C$61,$J168))</f>
        <v/>
      </c>
      <c r="E168" s="66" t="str">
        <f>IF($A168="","",INDEX(Config!$D$39:$D$61,$J168))</f>
        <v/>
      </c>
      <c r="F168" s="67" t="str">
        <f>IF($A168="","",IFERROR(CHOOSE($J168,"movement_id is empty. Every row needs a unique movement ID.","movement_id "&amp;INDEX(Import_Staging!$A$2:$A$301,$H168)&amp;""&amp;" appears earlier in this file (row "&amp;IFERROR(MATCH(INDEX(Import_Staging!$A$2:$A$301,$H168),Import_Staging!$A$2:$A$301,0)+1,"?")&amp;"). Only the first row can be posted.","movement_id "&amp;INDEX(Import_Staging!$A$2:$A$301,$H168)&amp;""&amp;" is already in Inventory_Ledger. The ledger row was not changed.","date is empty.","date "&amp;""""&amp;INDEX(Import_Staging!$B$2:$B$301,$H168)&amp;""&amp;""""&amp;" is not a real date in yyyy-mm-dd format.","date "&amp;TEXT(INDEX(Import_Staging!$M$2:$M$301,$H168),"yyyy-mm-dd")&amp;" is after the as-of date "&amp;TEXT(Config!$B$4,"yyyy-mm-dd")&amp;".","type is empty.","type "&amp;""""&amp;INDEX(Import_Staging!$C$2:$C$301,$H168)&amp;""&amp;""""&amp;" is not a movement type listed on Config.","sku is empty.","SKU "&amp;INDEX(Import_Staging!$D$2:$D$301,$H168)&amp;""&amp;" is not in Products.","supplier_id is empty; receipts need the supplier.","Supplier "&amp;INDEX(Import_Staging!$E$2:$E$301,$H168)&amp;""&amp;" is not in Suppliers.","lot is empty; every movement needs its lot code.","Lot "&amp;INDEX(Import_Staging!$F$2:$F$301,$H168)&amp;""&amp;" is not recorded for "&amp;INDEX(Import_Staging!$D$2:$D$301,$H168)&amp;""&amp;" in Batches.","expiry is empty; receipts need the company-supplied expiry date.","expiry "&amp;""""&amp;INDEX(Import_Staging!$G$2:$G$301,$H168)&amp;""&amp;""""&amp;" is not a real date in yyyy-mm-dd format.","qty is empty.","qty "&amp;""""&amp;INDEX(Import_Staging!$H$2:$H$301,$H168)&amp;""&amp;""""&amp;" is not a valid quantity"&amp;IF(INDEX(Import_Staging!$C$2:$C$301,$H168)&amp;""="",""," for a "&amp;LOWER(INDEX(Import_Staging!$C$2:$C$301,$H168)&amp;""))&amp;".","lot_status is empty; receipts need a lot status.","lot_status "&amp;""""&amp;INDEX(Import_Staging!$I$2:$I$301,$H168)&amp;""&amp;""""&amp;" is not a lot status allowed on receipt (Config).","reason is empty; adjustments need a reason.","source_link is empty; every movement needs a link to its source document.","This row would take recorded stock of "&amp;INDEX(Import_Staging!$D$2:$D$301,$H168)&amp;""&amp;" from "&amp;INDEX(Import_Staging!$R$2:$R$301,$H168)&amp;" to "&amp;INDEX(Import_Staging!$S$2:$S$301,$H168)&amp;"."),$E168))</f>
        <v/>
      </c>
      <c r="G168" s="67" t="str">
        <f>IF($A168="","",INDEX(Config!$F$39:$F$61,$J168))</f>
        <v/>
      </c>
      <c r="H168" s="66" t="str">
        <f>IF($A168="","",MATCH(COUNTIF(Import_Staging!$BS$2:$BS$301,"&lt;"&amp;$A168)+1,Import_Staging!$BR$2:$BR$301,0))</f>
        <v/>
      </c>
      <c r="I168" s="66" t="str">
        <f>IF($A168="","",$A168-INDEX(Import_Staging!$BQ$2:$BQ$301,$H168))</f>
        <v/>
      </c>
      <c r="J168" s="66" t="str">
        <f>IF($A168="","",MATCH($I168,INDEX(Import_Staging!$AT$2:$BP$301,$H168,0),0))</f>
        <v/>
      </c>
    </row>
    <row r="169">
      <c r="A169" s="65" t="str">
        <f>IF(164&lt;=$F$4,164,"")</f>
        <v/>
      </c>
      <c r="B169" s="65" t="str">
        <f>IF($A169="","",$H169+1)</f>
        <v/>
      </c>
      <c r="C169" s="66" t="str">
        <f>IF($A169="","",INDEX(Import_Staging!$A$2:$A$301,$H169)&amp;"")</f>
        <v/>
      </c>
      <c r="D169" s="66" t="str">
        <f>IF($A169="","",INDEX(Config!$C$39:$C$61,$J169))</f>
        <v/>
      </c>
      <c r="E169" s="66" t="str">
        <f>IF($A169="","",INDEX(Config!$D$39:$D$61,$J169))</f>
        <v/>
      </c>
      <c r="F169" s="67" t="str">
        <f>IF($A169="","",IFERROR(CHOOSE($J169,"movement_id is empty. Every row needs a unique movement ID.","movement_id "&amp;INDEX(Import_Staging!$A$2:$A$301,$H169)&amp;""&amp;" appears earlier in this file (row "&amp;IFERROR(MATCH(INDEX(Import_Staging!$A$2:$A$301,$H169),Import_Staging!$A$2:$A$301,0)+1,"?")&amp;"). Only the first row can be posted.","movement_id "&amp;INDEX(Import_Staging!$A$2:$A$301,$H169)&amp;""&amp;" is already in Inventory_Ledger. The ledger row was not changed.","date is empty.","date "&amp;""""&amp;INDEX(Import_Staging!$B$2:$B$301,$H169)&amp;""&amp;""""&amp;" is not a real date in yyyy-mm-dd format.","date "&amp;TEXT(INDEX(Import_Staging!$M$2:$M$301,$H169),"yyyy-mm-dd")&amp;" is after the as-of date "&amp;TEXT(Config!$B$4,"yyyy-mm-dd")&amp;".","type is empty.","type "&amp;""""&amp;INDEX(Import_Staging!$C$2:$C$301,$H169)&amp;""&amp;""""&amp;" is not a movement type listed on Config.","sku is empty.","SKU "&amp;INDEX(Import_Staging!$D$2:$D$301,$H169)&amp;""&amp;" is not in Products.","supplier_id is empty; receipts need the supplier.","Supplier "&amp;INDEX(Import_Staging!$E$2:$E$301,$H169)&amp;""&amp;" is not in Suppliers.","lot is empty; every movement needs its lot code.","Lot "&amp;INDEX(Import_Staging!$F$2:$F$301,$H169)&amp;""&amp;" is not recorded for "&amp;INDEX(Import_Staging!$D$2:$D$301,$H169)&amp;""&amp;" in Batches.","expiry is empty; receipts need the company-supplied expiry date.","expiry "&amp;""""&amp;INDEX(Import_Staging!$G$2:$G$301,$H169)&amp;""&amp;""""&amp;" is not a real date in yyyy-mm-dd format.","qty is empty.","qty "&amp;""""&amp;INDEX(Import_Staging!$H$2:$H$301,$H169)&amp;""&amp;""""&amp;" is not a valid quantity"&amp;IF(INDEX(Import_Staging!$C$2:$C$301,$H169)&amp;""="",""," for a "&amp;LOWER(INDEX(Import_Staging!$C$2:$C$301,$H169)&amp;""))&amp;".","lot_status is empty; receipts need a lot status.","lot_status "&amp;""""&amp;INDEX(Import_Staging!$I$2:$I$301,$H169)&amp;""&amp;""""&amp;" is not a lot status allowed on receipt (Config).","reason is empty; adjustments need a reason.","source_link is empty; every movement needs a link to its source document.","This row would take recorded stock of "&amp;INDEX(Import_Staging!$D$2:$D$301,$H169)&amp;""&amp;" from "&amp;INDEX(Import_Staging!$R$2:$R$301,$H169)&amp;" to "&amp;INDEX(Import_Staging!$S$2:$S$301,$H169)&amp;"."),$E169))</f>
        <v/>
      </c>
      <c r="G169" s="67" t="str">
        <f>IF($A169="","",INDEX(Config!$F$39:$F$61,$J169))</f>
        <v/>
      </c>
      <c r="H169" s="66" t="str">
        <f>IF($A169="","",MATCH(COUNTIF(Import_Staging!$BS$2:$BS$301,"&lt;"&amp;$A169)+1,Import_Staging!$BR$2:$BR$301,0))</f>
        <v/>
      </c>
      <c r="I169" s="66" t="str">
        <f>IF($A169="","",$A169-INDEX(Import_Staging!$BQ$2:$BQ$301,$H169))</f>
        <v/>
      </c>
      <c r="J169" s="66" t="str">
        <f>IF($A169="","",MATCH($I169,INDEX(Import_Staging!$AT$2:$BP$301,$H169,0),0))</f>
        <v/>
      </c>
    </row>
    <row r="170">
      <c r="A170" s="65" t="str">
        <f>IF(165&lt;=$F$4,165,"")</f>
        <v/>
      </c>
      <c r="B170" s="65" t="str">
        <f>IF($A170="","",$H170+1)</f>
        <v/>
      </c>
      <c r="C170" s="66" t="str">
        <f>IF($A170="","",INDEX(Import_Staging!$A$2:$A$301,$H170)&amp;"")</f>
        <v/>
      </c>
      <c r="D170" s="66" t="str">
        <f>IF($A170="","",INDEX(Config!$C$39:$C$61,$J170))</f>
        <v/>
      </c>
      <c r="E170" s="66" t="str">
        <f>IF($A170="","",INDEX(Config!$D$39:$D$61,$J170))</f>
        <v/>
      </c>
      <c r="F170" s="67" t="str">
        <f>IF($A170="","",IFERROR(CHOOSE($J170,"movement_id is empty. Every row needs a unique movement ID.","movement_id "&amp;INDEX(Import_Staging!$A$2:$A$301,$H170)&amp;""&amp;" appears earlier in this file (row "&amp;IFERROR(MATCH(INDEX(Import_Staging!$A$2:$A$301,$H170),Import_Staging!$A$2:$A$301,0)+1,"?")&amp;"). Only the first row can be posted.","movement_id "&amp;INDEX(Import_Staging!$A$2:$A$301,$H170)&amp;""&amp;" is already in Inventory_Ledger. The ledger row was not changed.","date is empty.","date "&amp;""""&amp;INDEX(Import_Staging!$B$2:$B$301,$H170)&amp;""&amp;""""&amp;" is not a real date in yyyy-mm-dd format.","date "&amp;TEXT(INDEX(Import_Staging!$M$2:$M$301,$H170),"yyyy-mm-dd")&amp;" is after the as-of date "&amp;TEXT(Config!$B$4,"yyyy-mm-dd")&amp;".","type is empty.","type "&amp;""""&amp;INDEX(Import_Staging!$C$2:$C$301,$H170)&amp;""&amp;""""&amp;" is not a movement type listed on Config.","sku is empty.","SKU "&amp;INDEX(Import_Staging!$D$2:$D$301,$H170)&amp;""&amp;" is not in Products.","supplier_id is empty; receipts need the supplier.","Supplier "&amp;INDEX(Import_Staging!$E$2:$E$301,$H170)&amp;""&amp;" is not in Suppliers.","lot is empty; every movement needs its lot code.","Lot "&amp;INDEX(Import_Staging!$F$2:$F$301,$H170)&amp;""&amp;" is not recorded for "&amp;INDEX(Import_Staging!$D$2:$D$301,$H170)&amp;""&amp;" in Batches.","expiry is empty; receipts need the company-supplied expiry date.","expiry "&amp;""""&amp;INDEX(Import_Staging!$G$2:$G$301,$H170)&amp;""&amp;""""&amp;" is not a real date in yyyy-mm-dd format.","qty is empty.","qty "&amp;""""&amp;INDEX(Import_Staging!$H$2:$H$301,$H170)&amp;""&amp;""""&amp;" is not a valid quantity"&amp;IF(INDEX(Import_Staging!$C$2:$C$301,$H170)&amp;""="",""," for a "&amp;LOWER(INDEX(Import_Staging!$C$2:$C$301,$H170)&amp;""))&amp;".","lot_status is empty; receipts need a lot status.","lot_status "&amp;""""&amp;INDEX(Import_Staging!$I$2:$I$301,$H170)&amp;""&amp;""""&amp;" is not a lot status allowed on receipt (Config).","reason is empty; adjustments need a reason.","source_link is empty; every movement needs a link to its source document.","This row would take recorded stock of "&amp;INDEX(Import_Staging!$D$2:$D$301,$H170)&amp;""&amp;" from "&amp;INDEX(Import_Staging!$R$2:$R$301,$H170)&amp;" to "&amp;INDEX(Import_Staging!$S$2:$S$301,$H170)&amp;"."),$E170))</f>
        <v/>
      </c>
      <c r="G170" s="67" t="str">
        <f>IF($A170="","",INDEX(Config!$F$39:$F$61,$J170))</f>
        <v/>
      </c>
      <c r="H170" s="66" t="str">
        <f>IF($A170="","",MATCH(COUNTIF(Import_Staging!$BS$2:$BS$301,"&lt;"&amp;$A170)+1,Import_Staging!$BR$2:$BR$301,0))</f>
        <v/>
      </c>
      <c r="I170" s="66" t="str">
        <f>IF($A170="","",$A170-INDEX(Import_Staging!$BQ$2:$BQ$301,$H170))</f>
        <v/>
      </c>
      <c r="J170" s="66" t="str">
        <f>IF($A170="","",MATCH($I170,INDEX(Import_Staging!$AT$2:$BP$301,$H170,0),0))</f>
        <v/>
      </c>
    </row>
    <row r="171">
      <c r="A171" s="65" t="str">
        <f>IF(166&lt;=$F$4,166,"")</f>
        <v/>
      </c>
      <c r="B171" s="65" t="str">
        <f>IF($A171="","",$H171+1)</f>
        <v/>
      </c>
      <c r="C171" s="66" t="str">
        <f>IF($A171="","",INDEX(Import_Staging!$A$2:$A$301,$H171)&amp;"")</f>
        <v/>
      </c>
      <c r="D171" s="66" t="str">
        <f>IF($A171="","",INDEX(Config!$C$39:$C$61,$J171))</f>
        <v/>
      </c>
      <c r="E171" s="66" t="str">
        <f>IF($A171="","",INDEX(Config!$D$39:$D$61,$J171))</f>
        <v/>
      </c>
      <c r="F171" s="67" t="str">
        <f>IF($A171="","",IFERROR(CHOOSE($J171,"movement_id is empty. Every row needs a unique movement ID.","movement_id "&amp;INDEX(Import_Staging!$A$2:$A$301,$H171)&amp;""&amp;" appears earlier in this file (row "&amp;IFERROR(MATCH(INDEX(Import_Staging!$A$2:$A$301,$H171),Import_Staging!$A$2:$A$301,0)+1,"?")&amp;"). Only the first row can be posted.","movement_id "&amp;INDEX(Import_Staging!$A$2:$A$301,$H171)&amp;""&amp;" is already in Inventory_Ledger. The ledger row was not changed.","date is empty.","date "&amp;""""&amp;INDEX(Import_Staging!$B$2:$B$301,$H171)&amp;""&amp;""""&amp;" is not a real date in yyyy-mm-dd format.","date "&amp;TEXT(INDEX(Import_Staging!$M$2:$M$301,$H171),"yyyy-mm-dd")&amp;" is after the as-of date "&amp;TEXT(Config!$B$4,"yyyy-mm-dd")&amp;".","type is empty.","type "&amp;""""&amp;INDEX(Import_Staging!$C$2:$C$301,$H171)&amp;""&amp;""""&amp;" is not a movement type listed on Config.","sku is empty.","SKU "&amp;INDEX(Import_Staging!$D$2:$D$301,$H171)&amp;""&amp;" is not in Products.","supplier_id is empty; receipts need the supplier.","Supplier "&amp;INDEX(Import_Staging!$E$2:$E$301,$H171)&amp;""&amp;" is not in Suppliers.","lot is empty; every movement needs its lot code.","Lot "&amp;INDEX(Import_Staging!$F$2:$F$301,$H171)&amp;""&amp;" is not recorded for "&amp;INDEX(Import_Staging!$D$2:$D$301,$H171)&amp;""&amp;" in Batches.","expiry is empty; receipts need the company-supplied expiry date.","expiry "&amp;""""&amp;INDEX(Import_Staging!$G$2:$G$301,$H171)&amp;""&amp;""""&amp;" is not a real date in yyyy-mm-dd format.","qty is empty.","qty "&amp;""""&amp;INDEX(Import_Staging!$H$2:$H$301,$H171)&amp;""&amp;""""&amp;" is not a valid quantity"&amp;IF(INDEX(Import_Staging!$C$2:$C$301,$H171)&amp;""="",""," for a "&amp;LOWER(INDEX(Import_Staging!$C$2:$C$301,$H171)&amp;""))&amp;".","lot_status is empty; receipts need a lot status.","lot_status "&amp;""""&amp;INDEX(Import_Staging!$I$2:$I$301,$H171)&amp;""&amp;""""&amp;" is not a lot status allowed on receipt (Config).","reason is empty; adjustments need a reason.","source_link is empty; every movement needs a link to its source document.","This row would take recorded stock of "&amp;INDEX(Import_Staging!$D$2:$D$301,$H171)&amp;""&amp;" from "&amp;INDEX(Import_Staging!$R$2:$R$301,$H171)&amp;" to "&amp;INDEX(Import_Staging!$S$2:$S$301,$H171)&amp;"."),$E171))</f>
        <v/>
      </c>
      <c r="G171" s="67" t="str">
        <f>IF($A171="","",INDEX(Config!$F$39:$F$61,$J171))</f>
        <v/>
      </c>
      <c r="H171" s="66" t="str">
        <f>IF($A171="","",MATCH(COUNTIF(Import_Staging!$BS$2:$BS$301,"&lt;"&amp;$A171)+1,Import_Staging!$BR$2:$BR$301,0))</f>
        <v/>
      </c>
      <c r="I171" s="66" t="str">
        <f>IF($A171="","",$A171-INDEX(Import_Staging!$BQ$2:$BQ$301,$H171))</f>
        <v/>
      </c>
      <c r="J171" s="66" t="str">
        <f>IF($A171="","",MATCH($I171,INDEX(Import_Staging!$AT$2:$BP$301,$H171,0),0))</f>
        <v/>
      </c>
    </row>
    <row r="172">
      <c r="A172" s="65" t="str">
        <f>IF(167&lt;=$F$4,167,"")</f>
        <v/>
      </c>
      <c r="B172" s="65" t="str">
        <f>IF($A172="","",$H172+1)</f>
        <v/>
      </c>
      <c r="C172" s="66" t="str">
        <f>IF($A172="","",INDEX(Import_Staging!$A$2:$A$301,$H172)&amp;"")</f>
        <v/>
      </c>
      <c r="D172" s="66" t="str">
        <f>IF($A172="","",INDEX(Config!$C$39:$C$61,$J172))</f>
        <v/>
      </c>
      <c r="E172" s="66" t="str">
        <f>IF($A172="","",INDEX(Config!$D$39:$D$61,$J172))</f>
        <v/>
      </c>
      <c r="F172" s="67" t="str">
        <f>IF($A172="","",IFERROR(CHOOSE($J172,"movement_id is empty. Every row needs a unique movement ID.","movement_id "&amp;INDEX(Import_Staging!$A$2:$A$301,$H172)&amp;""&amp;" appears earlier in this file (row "&amp;IFERROR(MATCH(INDEX(Import_Staging!$A$2:$A$301,$H172),Import_Staging!$A$2:$A$301,0)+1,"?")&amp;"). Only the first row can be posted.","movement_id "&amp;INDEX(Import_Staging!$A$2:$A$301,$H172)&amp;""&amp;" is already in Inventory_Ledger. The ledger row was not changed.","date is empty.","date "&amp;""""&amp;INDEX(Import_Staging!$B$2:$B$301,$H172)&amp;""&amp;""""&amp;" is not a real date in yyyy-mm-dd format.","date "&amp;TEXT(INDEX(Import_Staging!$M$2:$M$301,$H172),"yyyy-mm-dd")&amp;" is after the as-of date "&amp;TEXT(Config!$B$4,"yyyy-mm-dd")&amp;".","type is empty.","type "&amp;""""&amp;INDEX(Import_Staging!$C$2:$C$301,$H172)&amp;""&amp;""""&amp;" is not a movement type listed on Config.","sku is empty.","SKU "&amp;INDEX(Import_Staging!$D$2:$D$301,$H172)&amp;""&amp;" is not in Products.","supplier_id is empty; receipts need the supplier.","Supplier "&amp;INDEX(Import_Staging!$E$2:$E$301,$H172)&amp;""&amp;" is not in Suppliers.","lot is empty; every movement needs its lot code.","Lot "&amp;INDEX(Import_Staging!$F$2:$F$301,$H172)&amp;""&amp;" is not recorded for "&amp;INDEX(Import_Staging!$D$2:$D$301,$H172)&amp;""&amp;" in Batches.","expiry is empty; receipts need the company-supplied expiry date.","expiry "&amp;""""&amp;INDEX(Import_Staging!$G$2:$G$301,$H172)&amp;""&amp;""""&amp;" is not a real date in yyyy-mm-dd format.","qty is empty.","qty "&amp;""""&amp;INDEX(Import_Staging!$H$2:$H$301,$H172)&amp;""&amp;""""&amp;" is not a valid quantity"&amp;IF(INDEX(Import_Staging!$C$2:$C$301,$H172)&amp;""="",""," for a "&amp;LOWER(INDEX(Import_Staging!$C$2:$C$301,$H172)&amp;""))&amp;".","lot_status is empty; receipts need a lot status.","lot_status "&amp;""""&amp;INDEX(Import_Staging!$I$2:$I$301,$H172)&amp;""&amp;""""&amp;" is not a lot status allowed on receipt (Config).","reason is empty; adjustments need a reason.","source_link is empty; every movement needs a link to its source document.","This row would take recorded stock of "&amp;INDEX(Import_Staging!$D$2:$D$301,$H172)&amp;""&amp;" from "&amp;INDEX(Import_Staging!$R$2:$R$301,$H172)&amp;" to "&amp;INDEX(Import_Staging!$S$2:$S$301,$H172)&amp;"."),$E172))</f>
        <v/>
      </c>
      <c r="G172" s="67" t="str">
        <f>IF($A172="","",INDEX(Config!$F$39:$F$61,$J172))</f>
        <v/>
      </c>
      <c r="H172" s="66" t="str">
        <f>IF($A172="","",MATCH(COUNTIF(Import_Staging!$BS$2:$BS$301,"&lt;"&amp;$A172)+1,Import_Staging!$BR$2:$BR$301,0))</f>
        <v/>
      </c>
      <c r="I172" s="66" t="str">
        <f>IF($A172="","",$A172-INDEX(Import_Staging!$BQ$2:$BQ$301,$H172))</f>
        <v/>
      </c>
      <c r="J172" s="66" t="str">
        <f>IF($A172="","",MATCH($I172,INDEX(Import_Staging!$AT$2:$BP$301,$H172,0),0))</f>
        <v/>
      </c>
    </row>
    <row r="173">
      <c r="A173" s="65" t="str">
        <f>IF(168&lt;=$F$4,168,"")</f>
        <v/>
      </c>
      <c r="B173" s="65" t="str">
        <f>IF($A173="","",$H173+1)</f>
        <v/>
      </c>
      <c r="C173" s="66" t="str">
        <f>IF($A173="","",INDEX(Import_Staging!$A$2:$A$301,$H173)&amp;"")</f>
        <v/>
      </c>
      <c r="D173" s="66" t="str">
        <f>IF($A173="","",INDEX(Config!$C$39:$C$61,$J173))</f>
        <v/>
      </c>
      <c r="E173" s="66" t="str">
        <f>IF($A173="","",INDEX(Config!$D$39:$D$61,$J173))</f>
        <v/>
      </c>
      <c r="F173" s="67" t="str">
        <f>IF($A173="","",IFERROR(CHOOSE($J173,"movement_id is empty. Every row needs a unique movement ID.","movement_id "&amp;INDEX(Import_Staging!$A$2:$A$301,$H173)&amp;""&amp;" appears earlier in this file (row "&amp;IFERROR(MATCH(INDEX(Import_Staging!$A$2:$A$301,$H173),Import_Staging!$A$2:$A$301,0)+1,"?")&amp;"). Only the first row can be posted.","movement_id "&amp;INDEX(Import_Staging!$A$2:$A$301,$H173)&amp;""&amp;" is already in Inventory_Ledger. The ledger row was not changed.","date is empty.","date "&amp;""""&amp;INDEX(Import_Staging!$B$2:$B$301,$H173)&amp;""&amp;""""&amp;" is not a real date in yyyy-mm-dd format.","date "&amp;TEXT(INDEX(Import_Staging!$M$2:$M$301,$H173),"yyyy-mm-dd")&amp;" is after the as-of date "&amp;TEXT(Config!$B$4,"yyyy-mm-dd")&amp;".","type is empty.","type "&amp;""""&amp;INDEX(Import_Staging!$C$2:$C$301,$H173)&amp;""&amp;""""&amp;" is not a movement type listed on Config.","sku is empty.","SKU "&amp;INDEX(Import_Staging!$D$2:$D$301,$H173)&amp;""&amp;" is not in Products.","supplier_id is empty; receipts need the supplier.","Supplier "&amp;INDEX(Import_Staging!$E$2:$E$301,$H173)&amp;""&amp;" is not in Suppliers.","lot is empty; every movement needs its lot code.","Lot "&amp;INDEX(Import_Staging!$F$2:$F$301,$H173)&amp;""&amp;" is not recorded for "&amp;INDEX(Import_Staging!$D$2:$D$301,$H173)&amp;""&amp;" in Batches.","expiry is empty; receipts need the company-supplied expiry date.","expiry "&amp;""""&amp;INDEX(Import_Staging!$G$2:$G$301,$H173)&amp;""&amp;""""&amp;" is not a real date in yyyy-mm-dd format.","qty is empty.","qty "&amp;""""&amp;INDEX(Import_Staging!$H$2:$H$301,$H173)&amp;""&amp;""""&amp;" is not a valid quantity"&amp;IF(INDEX(Import_Staging!$C$2:$C$301,$H173)&amp;""="",""," for a "&amp;LOWER(INDEX(Import_Staging!$C$2:$C$301,$H173)&amp;""))&amp;".","lot_status is empty; receipts need a lot status.","lot_status "&amp;""""&amp;INDEX(Import_Staging!$I$2:$I$301,$H173)&amp;""&amp;""""&amp;" is not a lot status allowed on receipt (Config).","reason is empty; adjustments need a reason.","source_link is empty; every movement needs a link to its source document.","This row would take recorded stock of "&amp;INDEX(Import_Staging!$D$2:$D$301,$H173)&amp;""&amp;" from "&amp;INDEX(Import_Staging!$R$2:$R$301,$H173)&amp;" to "&amp;INDEX(Import_Staging!$S$2:$S$301,$H173)&amp;"."),$E173))</f>
        <v/>
      </c>
      <c r="G173" s="67" t="str">
        <f>IF($A173="","",INDEX(Config!$F$39:$F$61,$J173))</f>
        <v/>
      </c>
      <c r="H173" s="66" t="str">
        <f>IF($A173="","",MATCH(COUNTIF(Import_Staging!$BS$2:$BS$301,"&lt;"&amp;$A173)+1,Import_Staging!$BR$2:$BR$301,0))</f>
        <v/>
      </c>
      <c r="I173" s="66" t="str">
        <f>IF($A173="","",$A173-INDEX(Import_Staging!$BQ$2:$BQ$301,$H173))</f>
        <v/>
      </c>
      <c r="J173" s="66" t="str">
        <f>IF($A173="","",MATCH($I173,INDEX(Import_Staging!$AT$2:$BP$301,$H173,0),0))</f>
        <v/>
      </c>
    </row>
    <row r="174">
      <c r="A174" s="65" t="str">
        <f>IF(169&lt;=$F$4,169,"")</f>
        <v/>
      </c>
      <c r="B174" s="65" t="str">
        <f>IF($A174="","",$H174+1)</f>
        <v/>
      </c>
      <c r="C174" s="66" t="str">
        <f>IF($A174="","",INDEX(Import_Staging!$A$2:$A$301,$H174)&amp;"")</f>
        <v/>
      </c>
      <c r="D174" s="66" t="str">
        <f>IF($A174="","",INDEX(Config!$C$39:$C$61,$J174))</f>
        <v/>
      </c>
      <c r="E174" s="66" t="str">
        <f>IF($A174="","",INDEX(Config!$D$39:$D$61,$J174))</f>
        <v/>
      </c>
      <c r="F174" s="67" t="str">
        <f>IF($A174="","",IFERROR(CHOOSE($J174,"movement_id is empty. Every row needs a unique movement ID.","movement_id "&amp;INDEX(Import_Staging!$A$2:$A$301,$H174)&amp;""&amp;" appears earlier in this file (row "&amp;IFERROR(MATCH(INDEX(Import_Staging!$A$2:$A$301,$H174),Import_Staging!$A$2:$A$301,0)+1,"?")&amp;"). Only the first row can be posted.","movement_id "&amp;INDEX(Import_Staging!$A$2:$A$301,$H174)&amp;""&amp;" is already in Inventory_Ledger. The ledger row was not changed.","date is empty.","date "&amp;""""&amp;INDEX(Import_Staging!$B$2:$B$301,$H174)&amp;""&amp;""""&amp;" is not a real date in yyyy-mm-dd format.","date "&amp;TEXT(INDEX(Import_Staging!$M$2:$M$301,$H174),"yyyy-mm-dd")&amp;" is after the as-of date "&amp;TEXT(Config!$B$4,"yyyy-mm-dd")&amp;".","type is empty.","type "&amp;""""&amp;INDEX(Import_Staging!$C$2:$C$301,$H174)&amp;""&amp;""""&amp;" is not a movement type listed on Config.","sku is empty.","SKU "&amp;INDEX(Import_Staging!$D$2:$D$301,$H174)&amp;""&amp;" is not in Products.","supplier_id is empty; receipts need the supplier.","Supplier "&amp;INDEX(Import_Staging!$E$2:$E$301,$H174)&amp;""&amp;" is not in Suppliers.","lot is empty; every movement needs its lot code.","Lot "&amp;INDEX(Import_Staging!$F$2:$F$301,$H174)&amp;""&amp;" is not recorded for "&amp;INDEX(Import_Staging!$D$2:$D$301,$H174)&amp;""&amp;" in Batches.","expiry is empty; receipts need the company-supplied expiry date.","expiry "&amp;""""&amp;INDEX(Import_Staging!$G$2:$G$301,$H174)&amp;""&amp;""""&amp;" is not a real date in yyyy-mm-dd format.","qty is empty.","qty "&amp;""""&amp;INDEX(Import_Staging!$H$2:$H$301,$H174)&amp;""&amp;""""&amp;" is not a valid quantity"&amp;IF(INDEX(Import_Staging!$C$2:$C$301,$H174)&amp;""="",""," for a "&amp;LOWER(INDEX(Import_Staging!$C$2:$C$301,$H174)&amp;""))&amp;".","lot_status is empty; receipts need a lot status.","lot_status "&amp;""""&amp;INDEX(Import_Staging!$I$2:$I$301,$H174)&amp;""&amp;""""&amp;" is not a lot status allowed on receipt (Config).","reason is empty; adjustments need a reason.","source_link is empty; every movement needs a link to its source document.","This row would take recorded stock of "&amp;INDEX(Import_Staging!$D$2:$D$301,$H174)&amp;""&amp;" from "&amp;INDEX(Import_Staging!$R$2:$R$301,$H174)&amp;" to "&amp;INDEX(Import_Staging!$S$2:$S$301,$H174)&amp;"."),$E174))</f>
        <v/>
      </c>
      <c r="G174" s="67" t="str">
        <f>IF($A174="","",INDEX(Config!$F$39:$F$61,$J174))</f>
        <v/>
      </c>
      <c r="H174" s="66" t="str">
        <f>IF($A174="","",MATCH(COUNTIF(Import_Staging!$BS$2:$BS$301,"&lt;"&amp;$A174)+1,Import_Staging!$BR$2:$BR$301,0))</f>
        <v/>
      </c>
      <c r="I174" s="66" t="str">
        <f>IF($A174="","",$A174-INDEX(Import_Staging!$BQ$2:$BQ$301,$H174))</f>
        <v/>
      </c>
      <c r="J174" s="66" t="str">
        <f>IF($A174="","",MATCH($I174,INDEX(Import_Staging!$AT$2:$BP$301,$H174,0),0))</f>
        <v/>
      </c>
    </row>
    <row r="175">
      <c r="A175" s="65" t="str">
        <f>IF(170&lt;=$F$4,170,"")</f>
        <v/>
      </c>
      <c r="B175" s="65" t="str">
        <f>IF($A175="","",$H175+1)</f>
        <v/>
      </c>
      <c r="C175" s="66" t="str">
        <f>IF($A175="","",INDEX(Import_Staging!$A$2:$A$301,$H175)&amp;"")</f>
        <v/>
      </c>
      <c r="D175" s="66" t="str">
        <f>IF($A175="","",INDEX(Config!$C$39:$C$61,$J175))</f>
        <v/>
      </c>
      <c r="E175" s="66" t="str">
        <f>IF($A175="","",INDEX(Config!$D$39:$D$61,$J175))</f>
        <v/>
      </c>
      <c r="F175" s="67" t="str">
        <f>IF($A175="","",IFERROR(CHOOSE($J175,"movement_id is empty. Every row needs a unique movement ID.","movement_id "&amp;INDEX(Import_Staging!$A$2:$A$301,$H175)&amp;""&amp;" appears earlier in this file (row "&amp;IFERROR(MATCH(INDEX(Import_Staging!$A$2:$A$301,$H175),Import_Staging!$A$2:$A$301,0)+1,"?")&amp;"). Only the first row can be posted.","movement_id "&amp;INDEX(Import_Staging!$A$2:$A$301,$H175)&amp;""&amp;" is already in Inventory_Ledger. The ledger row was not changed.","date is empty.","date "&amp;""""&amp;INDEX(Import_Staging!$B$2:$B$301,$H175)&amp;""&amp;""""&amp;" is not a real date in yyyy-mm-dd format.","date "&amp;TEXT(INDEX(Import_Staging!$M$2:$M$301,$H175),"yyyy-mm-dd")&amp;" is after the as-of date "&amp;TEXT(Config!$B$4,"yyyy-mm-dd")&amp;".","type is empty.","type "&amp;""""&amp;INDEX(Import_Staging!$C$2:$C$301,$H175)&amp;""&amp;""""&amp;" is not a movement type listed on Config.","sku is empty.","SKU "&amp;INDEX(Import_Staging!$D$2:$D$301,$H175)&amp;""&amp;" is not in Products.","supplier_id is empty; receipts need the supplier.","Supplier "&amp;INDEX(Import_Staging!$E$2:$E$301,$H175)&amp;""&amp;" is not in Suppliers.","lot is empty; every movement needs its lot code.","Lot "&amp;INDEX(Import_Staging!$F$2:$F$301,$H175)&amp;""&amp;" is not recorded for "&amp;INDEX(Import_Staging!$D$2:$D$301,$H175)&amp;""&amp;" in Batches.","expiry is empty; receipts need the company-supplied expiry date.","expiry "&amp;""""&amp;INDEX(Import_Staging!$G$2:$G$301,$H175)&amp;""&amp;""""&amp;" is not a real date in yyyy-mm-dd format.","qty is empty.","qty "&amp;""""&amp;INDEX(Import_Staging!$H$2:$H$301,$H175)&amp;""&amp;""""&amp;" is not a valid quantity"&amp;IF(INDEX(Import_Staging!$C$2:$C$301,$H175)&amp;""="",""," for a "&amp;LOWER(INDEX(Import_Staging!$C$2:$C$301,$H175)&amp;""))&amp;".","lot_status is empty; receipts need a lot status.","lot_status "&amp;""""&amp;INDEX(Import_Staging!$I$2:$I$301,$H175)&amp;""&amp;""""&amp;" is not a lot status allowed on receipt (Config).","reason is empty; adjustments need a reason.","source_link is empty; every movement needs a link to its source document.","This row would take recorded stock of "&amp;INDEX(Import_Staging!$D$2:$D$301,$H175)&amp;""&amp;" from "&amp;INDEX(Import_Staging!$R$2:$R$301,$H175)&amp;" to "&amp;INDEX(Import_Staging!$S$2:$S$301,$H175)&amp;"."),$E175))</f>
        <v/>
      </c>
      <c r="G175" s="67" t="str">
        <f>IF($A175="","",INDEX(Config!$F$39:$F$61,$J175))</f>
        <v/>
      </c>
      <c r="H175" s="66" t="str">
        <f>IF($A175="","",MATCH(COUNTIF(Import_Staging!$BS$2:$BS$301,"&lt;"&amp;$A175)+1,Import_Staging!$BR$2:$BR$301,0))</f>
        <v/>
      </c>
      <c r="I175" s="66" t="str">
        <f>IF($A175="","",$A175-INDEX(Import_Staging!$BQ$2:$BQ$301,$H175))</f>
        <v/>
      </c>
      <c r="J175" s="66" t="str">
        <f>IF($A175="","",MATCH($I175,INDEX(Import_Staging!$AT$2:$BP$301,$H175,0),0))</f>
        <v/>
      </c>
    </row>
    <row r="176">
      <c r="A176" s="65" t="str">
        <f>IF(171&lt;=$F$4,171,"")</f>
        <v/>
      </c>
      <c r="B176" s="65" t="str">
        <f>IF($A176="","",$H176+1)</f>
        <v/>
      </c>
      <c r="C176" s="66" t="str">
        <f>IF($A176="","",INDEX(Import_Staging!$A$2:$A$301,$H176)&amp;"")</f>
        <v/>
      </c>
      <c r="D176" s="66" t="str">
        <f>IF($A176="","",INDEX(Config!$C$39:$C$61,$J176))</f>
        <v/>
      </c>
      <c r="E176" s="66" t="str">
        <f>IF($A176="","",INDEX(Config!$D$39:$D$61,$J176))</f>
        <v/>
      </c>
      <c r="F176" s="67" t="str">
        <f>IF($A176="","",IFERROR(CHOOSE($J176,"movement_id is empty. Every row needs a unique movement ID.","movement_id "&amp;INDEX(Import_Staging!$A$2:$A$301,$H176)&amp;""&amp;" appears earlier in this file (row "&amp;IFERROR(MATCH(INDEX(Import_Staging!$A$2:$A$301,$H176),Import_Staging!$A$2:$A$301,0)+1,"?")&amp;"). Only the first row can be posted.","movement_id "&amp;INDEX(Import_Staging!$A$2:$A$301,$H176)&amp;""&amp;" is already in Inventory_Ledger. The ledger row was not changed.","date is empty.","date "&amp;""""&amp;INDEX(Import_Staging!$B$2:$B$301,$H176)&amp;""&amp;""""&amp;" is not a real date in yyyy-mm-dd format.","date "&amp;TEXT(INDEX(Import_Staging!$M$2:$M$301,$H176),"yyyy-mm-dd")&amp;" is after the as-of date "&amp;TEXT(Config!$B$4,"yyyy-mm-dd")&amp;".","type is empty.","type "&amp;""""&amp;INDEX(Import_Staging!$C$2:$C$301,$H176)&amp;""&amp;""""&amp;" is not a movement type listed on Config.","sku is empty.","SKU "&amp;INDEX(Import_Staging!$D$2:$D$301,$H176)&amp;""&amp;" is not in Products.","supplier_id is empty; receipts need the supplier.","Supplier "&amp;INDEX(Import_Staging!$E$2:$E$301,$H176)&amp;""&amp;" is not in Suppliers.","lot is empty; every movement needs its lot code.","Lot "&amp;INDEX(Import_Staging!$F$2:$F$301,$H176)&amp;""&amp;" is not recorded for "&amp;INDEX(Import_Staging!$D$2:$D$301,$H176)&amp;""&amp;" in Batches.","expiry is empty; receipts need the company-supplied expiry date.","expiry "&amp;""""&amp;INDEX(Import_Staging!$G$2:$G$301,$H176)&amp;""&amp;""""&amp;" is not a real date in yyyy-mm-dd format.","qty is empty.","qty "&amp;""""&amp;INDEX(Import_Staging!$H$2:$H$301,$H176)&amp;""&amp;""""&amp;" is not a valid quantity"&amp;IF(INDEX(Import_Staging!$C$2:$C$301,$H176)&amp;""="",""," for a "&amp;LOWER(INDEX(Import_Staging!$C$2:$C$301,$H176)&amp;""))&amp;".","lot_status is empty; receipts need a lot status.","lot_status "&amp;""""&amp;INDEX(Import_Staging!$I$2:$I$301,$H176)&amp;""&amp;""""&amp;" is not a lot status allowed on receipt (Config).","reason is empty; adjustments need a reason.","source_link is empty; every movement needs a link to its source document.","This row would take recorded stock of "&amp;INDEX(Import_Staging!$D$2:$D$301,$H176)&amp;""&amp;" from "&amp;INDEX(Import_Staging!$R$2:$R$301,$H176)&amp;" to "&amp;INDEX(Import_Staging!$S$2:$S$301,$H176)&amp;"."),$E176))</f>
        <v/>
      </c>
      <c r="G176" s="67" t="str">
        <f>IF($A176="","",INDEX(Config!$F$39:$F$61,$J176))</f>
        <v/>
      </c>
      <c r="H176" s="66" t="str">
        <f>IF($A176="","",MATCH(COUNTIF(Import_Staging!$BS$2:$BS$301,"&lt;"&amp;$A176)+1,Import_Staging!$BR$2:$BR$301,0))</f>
        <v/>
      </c>
      <c r="I176" s="66" t="str">
        <f>IF($A176="","",$A176-INDEX(Import_Staging!$BQ$2:$BQ$301,$H176))</f>
        <v/>
      </c>
      <c r="J176" s="66" t="str">
        <f>IF($A176="","",MATCH($I176,INDEX(Import_Staging!$AT$2:$BP$301,$H176,0),0))</f>
        <v/>
      </c>
    </row>
    <row r="177">
      <c r="A177" s="65" t="str">
        <f>IF(172&lt;=$F$4,172,"")</f>
        <v/>
      </c>
      <c r="B177" s="65" t="str">
        <f>IF($A177="","",$H177+1)</f>
        <v/>
      </c>
      <c r="C177" s="66" t="str">
        <f>IF($A177="","",INDEX(Import_Staging!$A$2:$A$301,$H177)&amp;"")</f>
        <v/>
      </c>
      <c r="D177" s="66" t="str">
        <f>IF($A177="","",INDEX(Config!$C$39:$C$61,$J177))</f>
        <v/>
      </c>
      <c r="E177" s="66" t="str">
        <f>IF($A177="","",INDEX(Config!$D$39:$D$61,$J177))</f>
        <v/>
      </c>
      <c r="F177" s="67" t="str">
        <f>IF($A177="","",IFERROR(CHOOSE($J177,"movement_id is empty. Every row needs a unique movement ID.","movement_id "&amp;INDEX(Import_Staging!$A$2:$A$301,$H177)&amp;""&amp;" appears earlier in this file (row "&amp;IFERROR(MATCH(INDEX(Import_Staging!$A$2:$A$301,$H177),Import_Staging!$A$2:$A$301,0)+1,"?")&amp;"). Only the first row can be posted.","movement_id "&amp;INDEX(Import_Staging!$A$2:$A$301,$H177)&amp;""&amp;" is already in Inventory_Ledger. The ledger row was not changed.","date is empty.","date "&amp;""""&amp;INDEX(Import_Staging!$B$2:$B$301,$H177)&amp;""&amp;""""&amp;" is not a real date in yyyy-mm-dd format.","date "&amp;TEXT(INDEX(Import_Staging!$M$2:$M$301,$H177),"yyyy-mm-dd")&amp;" is after the as-of date "&amp;TEXT(Config!$B$4,"yyyy-mm-dd")&amp;".","type is empty.","type "&amp;""""&amp;INDEX(Import_Staging!$C$2:$C$301,$H177)&amp;""&amp;""""&amp;" is not a movement type listed on Config.","sku is empty.","SKU "&amp;INDEX(Import_Staging!$D$2:$D$301,$H177)&amp;""&amp;" is not in Products.","supplier_id is empty; receipts need the supplier.","Supplier "&amp;INDEX(Import_Staging!$E$2:$E$301,$H177)&amp;""&amp;" is not in Suppliers.","lot is empty; every movement needs its lot code.","Lot "&amp;INDEX(Import_Staging!$F$2:$F$301,$H177)&amp;""&amp;" is not recorded for "&amp;INDEX(Import_Staging!$D$2:$D$301,$H177)&amp;""&amp;" in Batches.","expiry is empty; receipts need the company-supplied expiry date.","expiry "&amp;""""&amp;INDEX(Import_Staging!$G$2:$G$301,$H177)&amp;""&amp;""""&amp;" is not a real date in yyyy-mm-dd format.","qty is empty.","qty "&amp;""""&amp;INDEX(Import_Staging!$H$2:$H$301,$H177)&amp;""&amp;""""&amp;" is not a valid quantity"&amp;IF(INDEX(Import_Staging!$C$2:$C$301,$H177)&amp;""="",""," for a "&amp;LOWER(INDEX(Import_Staging!$C$2:$C$301,$H177)&amp;""))&amp;".","lot_status is empty; receipts need a lot status.","lot_status "&amp;""""&amp;INDEX(Import_Staging!$I$2:$I$301,$H177)&amp;""&amp;""""&amp;" is not a lot status allowed on receipt (Config).","reason is empty; adjustments need a reason.","source_link is empty; every movement needs a link to its source document.","This row would take recorded stock of "&amp;INDEX(Import_Staging!$D$2:$D$301,$H177)&amp;""&amp;" from "&amp;INDEX(Import_Staging!$R$2:$R$301,$H177)&amp;" to "&amp;INDEX(Import_Staging!$S$2:$S$301,$H177)&amp;"."),$E177))</f>
        <v/>
      </c>
      <c r="G177" s="67" t="str">
        <f>IF($A177="","",INDEX(Config!$F$39:$F$61,$J177))</f>
        <v/>
      </c>
      <c r="H177" s="66" t="str">
        <f>IF($A177="","",MATCH(COUNTIF(Import_Staging!$BS$2:$BS$301,"&lt;"&amp;$A177)+1,Import_Staging!$BR$2:$BR$301,0))</f>
        <v/>
      </c>
      <c r="I177" s="66" t="str">
        <f>IF($A177="","",$A177-INDEX(Import_Staging!$BQ$2:$BQ$301,$H177))</f>
        <v/>
      </c>
      <c r="J177" s="66" t="str">
        <f>IF($A177="","",MATCH($I177,INDEX(Import_Staging!$AT$2:$BP$301,$H177,0),0))</f>
        <v/>
      </c>
    </row>
    <row r="178">
      <c r="A178" s="65" t="str">
        <f>IF(173&lt;=$F$4,173,"")</f>
        <v/>
      </c>
      <c r="B178" s="65" t="str">
        <f>IF($A178="","",$H178+1)</f>
        <v/>
      </c>
      <c r="C178" s="66" t="str">
        <f>IF($A178="","",INDEX(Import_Staging!$A$2:$A$301,$H178)&amp;"")</f>
        <v/>
      </c>
      <c r="D178" s="66" t="str">
        <f>IF($A178="","",INDEX(Config!$C$39:$C$61,$J178))</f>
        <v/>
      </c>
      <c r="E178" s="66" t="str">
        <f>IF($A178="","",INDEX(Config!$D$39:$D$61,$J178))</f>
        <v/>
      </c>
      <c r="F178" s="67" t="str">
        <f>IF($A178="","",IFERROR(CHOOSE($J178,"movement_id is empty. Every row needs a unique movement ID.","movement_id "&amp;INDEX(Import_Staging!$A$2:$A$301,$H178)&amp;""&amp;" appears earlier in this file (row "&amp;IFERROR(MATCH(INDEX(Import_Staging!$A$2:$A$301,$H178),Import_Staging!$A$2:$A$301,0)+1,"?")&amp;"). Only the first row can be posted.","movement_id "&amp;INDEX(Import_Staging!$A$2:$A$301,$H178)&amp;""&amp;" is already in Inventory_Ledger. The ledger row was not changed.","date is empty.","date "&amp;""""&amp;INDEX(Import_Staging!$B$2:$B$301,$H178)&amp;""&amp;""""&amp;" is not a real date in yyyy-mm-dd format.","date "&amp;TEXT(INDEX(Import_Staging!$M$2:$M$301,$H178),"yyyy-mm-dd")&amp;" is after the as-of date "&amp;TEXT(Config!$B$4,"yyyy-mm-dd")&amp;".","type is empty.","type "&amp;""""&amp;INDEX(Import_Staging!$C$2:$C$301,$H178)&amp;""&amp;""""&amp;" is not a movement type listed on Config.","sku is empty.","SKU "&amp;INDEX(Import_Staging!$D$2:$D$301,$H178)&amp;""&amp;" is not in Products.","supplier_id is empty; receipts need the supplier.","Supplier "&amp;INDEX(Import_Staging!$E$2:$E$301,$H178)&amp;""&amp;" is not in Suppliers.","lot is empty; every movement needs its lot code.","Lot "&amp;INDEX(Import_Staging!$F$2:$F$301,$H178)&amp;""&amp;" is not recorded for "&amp;INDEX(Import_Staging!$D$2:$D$301,$H178)&amp;""&amp;" in Batches.","expiry is empty; receipts need the company-supplied expiry date.","expiry "&amp;""""&amp;INDEX(Import_Staging!$G$2:$G$301,$H178)&amp;""&amp;""""&amp;" is not a real date in yyyy-mm-dd format.","qty is empty.","qty "&amp;""""&amp;INDEX(Import_Staging!$H$2:$H$301,$H178)&amp;""&amp;""""&amp;" is not a valid quantity"&amp;IF(INDEX(Import_Staging!$C$2:$C$301,$H178)&amp;""="",""," for a "&amp;LOWER(INDEX(Import_Staging!$C$2:$C$301,$H178)&amp;""))&amp;".","lot_status is empty; receipts need a lot status.","lot_status "&amp;""""&amp;INDEX(Import_Staging!$I$2:$I$301,$H178)&amp;""&amp;""""&amp;" is not a lot status allowed on receipt (Config).","reason is empty; adjustments need a reason.","source_link is empty; every movement needs a link to its source document.","This row would take recorded stock of "&amp;INDEX(Import_Staging!$D$2:$D$301,$H178)&amp;""&amp;" from "&amp;INDEX(Import_Staging!$R$2:$R$301,$H178)&amp;" to "&amp;INDEX(Import_Staging!$S$2:$S$301,$H178)&amp;"."),$E178))</f>
        <v/>
      </c>
      <c r="G178" s="67" t="str">
        <f>IF($A178="","",INDEX(Config!$F$39:$F$61,$J178))</f>
        <v/>
      </c>
      <c r="H178" s="66" t="str">
        <f>IF($A178="","",MATCH(COUNTIF(Import_Staging!$BS$2:$BS$301,"&lt;"&amp;$A178)+1,Import_Staging!$BR$2:$BR$301,0))</f>
        <v/>
      </c>
      <c r="I178" s="66" t="str">
        <f>IF($A178="","",$A178-INDEX(Import_Staging!$BQ$2:$BQ$301,$H178))</f>
        <v/>
      </c>
      <c r="J178" s="66" t="str">
        <f>IF($A178="","",MATCH($I178,INDEX(Import_Staging!$AT$2:$BP$301,$H178,0),0))</f>
        <v/>
      </c>
    </row>
    <row r="179">
      <c r="A179" s="65" t="str">
        <f>IF(174&lt;=$F$4,174,"")</f>
        <v/>
      </c>
      <c r="B179" s="65" t="str">
        <f>IF($A179="","",$H179+1)</f>
        <v/>
      </c>
      <c r="C179" s="66" t="str">
        <f>IF($A179="","",INDEX(Import_Staging!$A$2:$A$301,$H179)&amp;"")</f>
        <v/>
      </c>
      <c r="D179" s="66" t="str">
        <f>IF($A179="","",INDEX(Config!$C$39:$C$61,$J179))</f>
        <v/>
      </c>
      <c r="E179" s="66" t="str">
        <f>IF($A179="","",INDEX(Config!$D$39:$D$61,$J179))</f>
        <v/>
      </c>
      <c r="F179" s="67" t="str">
        <f>IF($A179="","",IFERROR(CHOOSE($J179,"movement_id is empty. Every row needs a unique movement ID.","movement_id "&amp;INDEX(Import_Staging!$A$2:$A$301,$H179)&amp;""&amp;" appears earlier in this file (row "&amp;IFERROR(MATCH(INDEX(Import_Staging!$A$2:$A$301,$H179),Import_Staging!$A$2:$A$301,0)+1,"?")&amp;"). Only the first row can be posted.","movement_id "&amp;INDEX(Import_Staging!$A$2:$A$301,$H179)&amp;""&amp;" is already in Inventory_Ledger. The ledger row was not changed.","date is empty.","date "&amp;""""&amp;INDEX(Import_Staging!$B$2:$B$301,$H179)&amp;""&amp;""""&amp;" is not a real date in yyyy-mm-dd format.","date "&amp;TEXT(INDEX(Import_Staging!$M$2:$M$301,$H179),"yyyy-mm-dd")&amp;" is after the as-of date "&amp;TEXT(Config!$B$4,"yyyy-mm-dd")&amp;".","type is empty.","type "&amp;""""&amp;INDEX(Import_Staging!$C$2:$C$301,$H179)&amp;""&amp;""""&amp;" is not a movement type listed on Config.","sku is empty.","SKU "&amp;INDEX(Import_Staging!$D$2:$D$301,$H179)&amp;""&amp;" is not in Products.","supplier_id is empty; receipts need the supplier.","Supplier "&amp;INDEX(Import_Staging!$E$2:$E$301,$H179)&amp;""&amp;" is not in Suppliers.","lot is empty; every movement needs its lot code.","Lot "&amp;INDEX(Import_Staging!$F$2:$F$301,$H179)&amp;""&amp;" is not recorded for "&amp;INDEX(Import_Staging!$D$2:$D$301,$H179)&amp;""&amp;" in Batches.","expiry is empty; receipts need the company-supplied expiry date.","expiry "&amp;""""&amp;INDEX(Import_Staging!$G$2:$G$301,$H179)&amp;""&amp;""""&amp;" is not a real date in yyyy-mm-dd format.","qty is empty.","qty "&amp;""""&amp;INDEX(Import_Staging!$H$2:$H$301,$H179)&amp;""&amp;""""&amp;" is not a valid quantity"&amp;IF(INDEX(Import_Staging!$C$2:$C$301,$H179)&amp;""="",""," for a "&amp;LOWER(INDEX(Import_Staging!$C$2:$C$301,$H179)&amp;""))&amp;".","lot_status is empty; receipts need a lot status.","lot_status "&amp;""""&amp;INDEX(Import_Staging!$I$2:$I$301,$H179)&amp;""&amp;""""&amp;" is not a lot status allowed on receipt (Config).","reason is empty; adjustments need a reason.","source_link is empty; every movement needs a link to its source document.","This row would take recorded stock of "&amp;INDEX(Import_Staging!$D$2:$D$301,$H179)&amp;""&amp;" from "&amp;INDEX(Import_Staging!$R$2:$R$301,$H179)&amp;" to "&amp;INDEX(Import_Staging!$S$2:$S$301,$H179)&amp;"."),$E179))</f>
        <v/>
      </c>
      <c r="G179" s="67" t="str">
        <f>IF($A179="","",INDEX(Config!$F$39:$F$61,$J179))</f>
        <v/>
      </c>
      <c r="H179" s="66" t="str">
        <f>IF($A179="","",MATCH(COUNTIF(Import_Staging!$BS$2:$BS$301,"&lt;"&amp;$A179)+1,Import_Staging!$BR$2:$BR$301,0))</f>
        <v/>
      </c>
      <c r="I179" s="66" t="str">
        <f>IF($A179="","",$A179-INDEX(Import_Staging!$BQ$2:$BQ$301,$H179))</f>
        <v/>
      </c>
      <c r="J179" s="66" t="str">
        <f>IF($A179="","",MATCH($I179,INDEX(Import_Staging!$AT$2:$BP$301,$H179,0),0))</f>
        <v/>
      </c>
    </row>
    <row r="180">
      <c r="A180" s="65" t="str">
        <f>IF(175&lt;=$F$4,175,"")</f>
        <v/>
      </c>
      <c r="B180" s="65" t="str">
        <f>IF($A180="","",$H180+1)</f>
        <v/>
      </c>
      <c r="C180" s="66" t="str">
        <f>IF($A180="","",INDEX(Import_Staging!$A$2:$A$301,$H180)&amp;"")</f>
        <v/>
      </c>
      <c r="D180" s="66" t="str">
        <f>IF($A180="","",INDEX(Config!$C$39:$C$61,$J180))</f>
        <v/>
      </c>
      <c r="E180" s="66" t="str">
        <f>IF($A180="","",INDEX(Config!$D$39:$D$61,$J180))</f>
        <v/>
      </c>
      <c r="F180" s="67" t="str">
        <f>IF($A180="","",IFERROR(CHOOSE($J180,"movement_id is empty. Every row needs a unique movement ID.","movement_id "&amp;INDEX(Import_Staging!$A$2:$A$301,$H180)&amp;""&amp;" appears earlier in this file (row "&amp;IFERROR(MATCH(INDEX(Import_Staging!$A$2:$A$301,$H180),Import_Staging!$A$2:$A$301,0)+1,"?")&amp;"). Only the first row can be posted.","movement_id "&amp;INDEX(Import_Staging!$A$2:$A$301,$H180)&amp;""&amp;" is already in Inventory_Ledger. The ledger row was not changed.","date is empty.","date "&amp;""""&amp;INDEX(Import_Staging!$B$2:$B$301,$H180)&amp;""&amp;""""&amp;" is not a real date in yyyy-mm-dd format.","date "&amp;TEXT(INDEX(Import_Staging!$M$2:$M$301,$H180),"yyyy-mm-dd")&amp;" is after the as-of date "&amp;TEXT(Config!$B$4,"yyyy-mm-dd")&amp;".","type is empty.","type "&amp;""""&amp;INDEX(Import_Staging!$C$2:$C$301,$H180)&amp;""&amp;""""&amp;" is not a movement type listed on Config.","sku is empty.","SKU "&amp;INDEX(Import_Staging!$D$2:$D$301,$H180)&amp;""&amp;" is not in Products.","supplier_id is empty; receipts need the supplier.","Supplier "&amp;INDEX(Import_Staging!$E$2:$E$301,$H180)&amp;""&amp;" is not in Suppliers.","lot is empty; every movement needs its lot code.","Lot "&amp;INDEX(Import_Staging!$F$2:$F$301,$H180)&amp;""&amp;" is not recorded for "&amp;INDEX(Import_Staging!$D$2:$D$301,$H180)&amp;""&amp;" in Batches.","expiry is empty; receipts need the company-supplied expiry date.","expiry "&amp;""""&amp;INDEX(Import_Staging!$G$2:$G$301,$H180)&amp;""&amp;""""&amp;" is not a real date in yyyy-mm-dd format.","qty is empty.","qty "&amp;""""&amp;INDEX(Import_Staging!$H$2:$H$301,$H180)&amp;""&amp;""""&amp;" is not a valid quantity"&amp;IF(INDEX(Import_Staging!$C$2:$C$301,$H180)&amp;""="",""," for a "&amp;LOWER(INDEX(Import_Staging!$C$2:$C$301,$H180)&amp;""))&amp;".","lot_status is empty; receipts need a lot status.","lot_status "&amp;""""&amp;INDEX(Import_Staging!$I$2:$I$301,$H180)&amp;""&amp;""""&amp;" is not a lot status allowed on receipt (Config).","reason is empty; adjustments need a reason.","source_link is empty; every movement needs a link to its source document.","This row would take recorded stock of "&amp;INDEX(Import_Staging!$D$2:$D$301,$H180)&amp;""&amp;" from "&amp;INDEX(Import_Staging!$R$2:$R$301,$H180)&amp;" to "&amp;INDEX(Import_Staging!$S$2:$S$301,$H180)&amp;"."),$E180))</f>
        <v/>
      </c>
      <c r="G180" s="67" t="str">
        <f>IF($A180="","",INDEX(Config!$F$39:$F$61,$J180))</f>
        <v/>
      </c>
      <c r="H180" s="66" t="str">
        <f>IF($A180="","",MATCH(COUNTIF(Import_Staging!$BS$2:$BS$301,"&lt;"&amp;$A180)+1,Import_Staging!$BR$2:$BR$301,0))</f>
        <v/>
      </c>
      <c r="I180" s="66" t="str">
        <f>IF($A180="","",$A180-INDEX(Import_Staging!$BQ$2:$BQ$301,$H180))</f>
        <v/>
      </c>
      <c r="J180" s="66" t="str">
        <f>IF($A180="","",MATCH($I180,INDEX(Import_Staging!$AT$2:$BP$301,$H180,0),0))</f>
        <v/>
      </c>
    </row>
    <row r="181">
      <c r="A181" s="65" t="str">
        <f>IF(176&lt;=$F$4,176,"")</f>
        <v/>
      </c>
      <c r="B181" s="65" t="str">
        <f>IF($A181="","",$H181+1)</f>
        <v/>
      </c>
      <c r="C181" s="66" t="str">
        <f>IF($A181="","",INDEX(Import_Staging!$A$2:$A$301,$H181)&amp;"")</f>
        <v/>
      </c>
      <c r="D181" s="66" t="str">
        <f>IF($A181="","",INDEX(Config!$C$39:$C$61,$J181))</f>
        <v/>
      </c>
      <c r="E181" s="66" t="str">
        <f>IF($A181="","",INDEX(Config!$D$39:$D$61,$J181))</f>
        <v/>
      </c>
      <c r="F181" s="67" t="str">
        <f>IF($A181="","",IFERROR(CHOOSE($J181,"movement_id is empty. Every row needs a unique movement ID.","movement_id "&amp;INDEX(Import_Staging!$A$2:$A$301,$H181)&amp;""&amp;" appears earlier in this file (row "&amp;IFERROR(MATCH(INDEX(Import_Staging!$A$2:$A$301,$H181),Import_Staging!$A$2:$A$301,0)+1,"?")&amp;"). Only the first row can be posted.","movement_id "&amp;INDEX(Import_Staging!$A$2:$A$301,$H181)&amp;""&amp;" is already in Inventory_Ledger. The ledger row was not changed.","date is empty.","date "&amp;""""&amp;INDEX(Import_Staging!$B$2:$B$301,$H181)&amp;""&amp;""""&amp;" is not a real date in yyyy-mm-dd format.","date "&amp;TEXT(INDEX(Import_Staging!$M$2:$M$301,$H181),"yyyy-mm-dd")&amp;" is after the as-of date "&amp;TEXT(Config!$B$4,"yyyy-mm-dd")&amp;".","type is empty.","type "&amp;""""&amp;INDEX(Import_Staging!$C$2:$C$301,$H181)&amp;""&amp;""""&amp;" is not a movement type listed on Config.","sku is empty.","SKU "&amp;INDEX(Import_Staging!$D$2:$D$301,$H181)&amp;""&amp;" is not in Products.","supplier_id is empty; receipts need the supplier.","Supplier "&amp;INDEX(Import_Staging!$E$2:$E$301,$H181)&amp;""&amp;" is not in Suppliers.","lot is empty; every movement needs its lot code.","Lot "&amp;INDEX(Import_Staging!$F$2:$F$301,$H181)&amp;""&amp;" is not recorded for "&amp;INDEX(Import_Staging!$D$2:$D$301,$H181)&amp;""&amp;" in Batches.","expiry is empty; receipts need the company-supplied expiry date.","expiry "&amp;""""&amp;INDEX(Import_Staging!$G$2:$G$301,$H181)&amp;""&amp;""""&amp;" is not a real date in yyyy-mm-dd format.","qty is empty.","qty "&amp;""""&amp;INDEX(Import_Staging!$H$2:$H$301,$H181)&amp;""&amp;""""&amp;" is not a valid quantity"&amp;IF(INDEX(Import_Staging!$C$2:$C$301,$H181)&amp;""="",""," for a "&amp;LOWER(INDEX(Import_Staging!$C$2:$C$301,$H181)&amp;""))&amp;".","lot_status is empty; receipts need a lot status.","lot_status "&amp;""""&amp;INDEX(Import_Staging!$I$2:$I$301,$H181)&amp;""&amp;""""&amp;" is not a lot status allowed on receipt (Config).","reason is empty; adjustments need a reason.","source_link is empty; every movement needs a link to its source document.","This row would take recorded stock of "&amp;INDEX(Import_Staging!$D$2:$D$301,$H181)&amp;""&amp;" from "&amp;INDEX(Import_Staging!$R$2:$R$301,$H181)&amp;" to "&amp;INDEX(Import_Staging!$S$2:$S$301,$H181)&amp;"."),$E181))</f>
        <v/>
      </c>
      <c r="G181" s="67" t="str">
        <f>IF($A181="","",INDEX(Config!$F$39:$F$61,$J181))</f>
        <v/>
      </c>
      <c r="H181" s="66" t="str">
        <f>IF($A181="","",MATCH(COUNTIF(Import_Staging!$BS$2:$BS$301,"&lt;"&amp;$A181)+1,Import_Staging!$BR$2:$BR$301,0))</f>
        <v/>
      </c>
      <c r="I181" s="66" t="str">
        <f>IF($A181="","",$A181-INDEX(Import_Staging!$BQ$2:$BQ$301,$H181))</f>
        <v/>
      </c>
      <c r="J181" s="66" t="str">
        <f>IF($A181="","",MATCH($I181,INDEX(Import_Staging!$AT$2:$BP$301,$H181,0),0))</f>
        <v/>
      </c>
    </row>
    <row r="182">
      <c r="A182" s="65" t="str">
        <f>IF(177&lt;=$F$4,177,"")</f>
        <v/>
      </c>
      <c r="B182" s="65" t="str">
        <f>IF($A182="","",$H182+1)</f>
        <v/>
      </c>
      <c r="C182" s="66" t="str">
        <f>IF($A182="","",INDEX(Import_Staging!$A$2:$A$301,$H182)&amp;"")</f>
        <v/>
      </c>
      <c r="D182" s="66" t="str">
        <f>IF($A182="","",INDEX(Config!$C$39:$C$61,$J182))</f>
        <v/>
      </c>
      <c r="E182" s="66" t="str">
        <f>IF($A182="","",INDEX(Config!$D$39:$D$61,$J182))</f>
        <v/>
      </c>
      <c r="F182" s="67" t="str">
        <f>IF($A182="","",IFERROR(CHOOSE($J182,"movement_id is empty. Every row needs a unique movement ID.","movement_id "&amp;INDEX(Import_Staging!$A$2:$A$301,$H182)&amp;""&amp;" appears earlier in this file (row "&amp;IFERROR(MATCH(INDEX(Import_Staging!$A$2:$A$301,$H182),Import_Staging!$A$2:$A$301,0)+1,"?")&amp;"). Only the first row can be posted.","movement_id "&amp;INDEX(Import_Staging!$A$2:$A$301,$H182)&amp;""&amp;" is already in Inventory_Ledger. The ledger row was not changed.","date is empty.","date "&amp;""""&amp;INDEX(Import_Staging!$B$2:$B$301,$H182)&amp;""&amp;""""&amp;" is not a real date in yyyy-mm-dd format.","date "&amp;TEXT(INDEX(Import_Staging!$M$2:$M$301,$H182),"yyyy-mm-dd")&amp;" is after the as-of date "&amp;TEXT(Config!$B$4,"yyyy-mm-dd")&amp;".","type is empty.","type "&amp;""""&amp;INDEX(Import_Staging!$C$2:$C$301,$H182)&amp;""&amp;""""&amp;" is not a movement type listed on Config.","sku is empty.","SKU "&amp;INDEX(Import_Staging!$D$2:$D$301,$H182)&amp;""&amp;" is not in Products.","supplier_id is empty; receipts need the supplier.","Supplier "&amp;INDEX(Import_Staging!$E$2:$E$301,$H182)&amp;""&amp;" is not in Suppliers.","lot is empty; every movement needs its lot code.","Lot "&amp;INDEX(Import_Staging!$F$2:$F$301,$H182)&amp;""&amp;" is not recorded for "&amp;INDEX(Import_Staging!$D$2:$D$301,$H182)&amp;""&amp;" in Batches.","expiry is empty; receipts need the company-supplied expiry date.","expiry "&amp;""""&amp;INDEX(Import_Staging!$G$2:$G$301,$H182)&amp;""&amp;""""&amp;" is not a real date in yyyy-mm-dd format.","qty is empty.","qty "&amp;""""&amp;INDEX(Import_Staging!$H$2:$H$301,$H182)&amp;""&amp;""""&amp;" is not a valid quantity"&amp;IF(INDEX(Import_Staging!$C$2:$C$301,$H182)&amp;""="",""," for a "&amp;LOWER(INDEX(Import_Staging!$C$2:$C$301,$H182)&amp;""))&amp;".","lot_status is empty; receipts need a lot status.","lot_status "&amp;""""&amp;INDEX(Import_Staging!$I$2:$I$301,$H182)&amp;""&amp;""""&amp;" is not a lot status allowed on receipt (Config).","reason is empty; adjustments need a reason.","source_link is empty; every movement needs a link to its source document.","This row would take recorded stock of "&amp;INDEX(Import_Staging!$D$2:$D$301,$H182)&amp;""&amp;" from "&amp;INDEX(Import_Staging!$R$2:$R$301,$H182)&amp;" to "&amp;INDEX(Import_Staging!$S$2:$S$301,$H182)&amp;"."),$E182))</f>
        <v/>
      </c>
      <c r="G182" s="67" t="str">
        <f>IF($A182="","",INDEX(Config!$F$39:$F$61,$J182))</f>
        <v/>
      </c>
      <c r="H182" s="66" t="str">
        <f>IF($A182="","",MATCH(COUNTIF(Import_Staging!$BS$2:$BS$301,"&lt;"&amp;$A182)+1,Import_Staging!$BR$2:$BR$301,0))</f>
        <v/>
      </c>
      <c r="I182" s="66" t="str">
        <f>IF($A182="","",$A182-INDEX(Import_Staging!$BQ$2:$BQ$301,$H182))</f>
        <v/>
      </c>
      <c r="J182" s="66" t="str">
        <f>IF($A182="","",MATCH($I182,INDEX(Import_Staging!$AT$2:$BP$301,$H182,0),0))</f>
        <v/>
      </c>
    </row>
    <row r="183">
      <c r="A183" s="65" t="str">
        <f>IF(178&lt;=$F$4,178,"")</f>
        <v/>
      </c>
      <c r="B183" s="65" t="str">
        <f>IF($A183="","",$H183+1)</f>
        <v/>
      </c>
      <c r="C183" s="66" t="str">
        <f>IF($A183="","",INDEX(Import_Staging!$A$2:$A$301,$H183)&amp;"")</f>
        <v/>
      </c>
      <c r="D183" s="66" t="str">
        <f>IF($A183="","",INDEX(Config!$C$39:$C$61,$J183))</f>
        <v/>
      </c>
      <c r="E183" s="66" t="str">
        <f>IF($A183="","",INDEX(Config!$D$39:$D$61,$J183))</f>
        <v/>
      </c>
      <c r="F183" s="67" t="str">
        <f>IF($A183="","",IFERROR(CHOOSE($J183,"movement_id is empty. Every row needs a unique movement ID.","movement_id "&amp;INDEX(Import_Staging!$A$2:$A$301,$H183)&amp;""&amp;" appears earlier in this file (row "&amp;IFERROR(MATCH(INDEX(Import_Staging!$A$2:$A$301,$H183),Import_Staging!$A$2:$A$301,0)+1,"?")&amp;"). Only the first row can be posted.","movement_id "&amp;INDEX(Import_Staging!$A$2:$A$301,$H183)&amp;""&amp;" is already in Inventory_Ledger. The ledger row was not changed.","date is empty.","date "&amp;""""&amp;INDEX(Import_Staging!$B$2:$B$301,$H183)&amp;""&amp;""""&amp;" is not a real date in yyyy-mm-dd format.","date "&amp;TEXT(INDEX(Import_Staging!$M$2:$M$301,$H183),"yyyy-mm-dd")&amp;" is after the as-of date "&amp;TEXT(Config!$B$4,"yyyy-mm-dd")&amp;".","type is empty.","type "&amp;""""&amp;INDEX(Import_Staging!$C$2:$C$301,$H183)&amp;""&amp;""""&amp;" is not a movement type listed on Config.","sku is empty.","SKU "&amp;INDEX(Import_Staging!$D$2:$D$301,$H183)&amp;""&amp;" is not in Products.","supplier_id is empty; receipts need the supplier.","Supplier "&amp;INDEX(Import_Staging!$E$2:$E$301,$H183)&amp;""&amp;" is not in Suppliers.","lot is empty; every movement needs its lot code.","Lot "&amp;INDEX(Import_Staging!$F$2:$F$301,$H183)&amp;""&amp;" is not recorded for "&amp;INDEX(Import_Staging!$D$2:$D$301,$H183)&amp;""&amp;" in Batches.","expiry is empty; receipts need the company-supplied expiry date.","expiry "&amp;""""&amp;INDEX(Import_Staging!$G$2:$G$301,$H183)&amp;""&amp;""""&amp;" is not a real date in yyyy-mm-dd format.","qty is empty.","qty "&amp;""""&amp;INDEX(Import_Staging!$H$2:$H$301,$H183)&amp;""&amp;""""&amp;" is not a valid quantity"&amp;IF(INDEX(Import_Staging!$C$2:$C$301,$H183)&amp;""="",""," for a "&amp;LOWER(INDEX(Import_Staging!$C$2:$C$301,$H183)&amp;""))&amp;".","lot_status is empty; receipts need a lot status.","lot_status "&amp;""""&amp;INDEX(Import_Staging!$I$2:$I$301,$H183)&amp;""&amp;""""&amp;" is not a lot status allowed on receipt (Config).","reason is empty; adjustments need a reason.","source_link is empty; every movement needs a link to its source document.","This row would take recorded stock of "&amp;INDEX(Import_Staging!$D$2:$D$301,$H183)&amp;""&amp;" from "&amp;INDEX(Import_Staging!$R$2:$R$301,$H183)&amp;" to "&amp;INDEX(Import_Staging!$S$2:$S$301,$H183)&amp;"."),$E183))</f>
        <v/>
      </c>
      <c r="G183" s="67" t="str">
        <f>IF($A183="","",INDEX(Config!$F$39:$F$61,$J183))</f>
        <v/>
      </c>
      <c r="H183" s="66" t="str">
        <f>IF($A183="","",MATCH(COUNTIF(Import_Staging!$BS$2:$BS$301,"&lt;"&amp;$A183)+1,Import_Staging!$BR$2:$BR$301,0))</f>
        <v/>
      </c>
      <c r="I183" s="66" t="str">
        <f>IF($A183="","",$A183-INDEX(Import_Staging!$BQ$2:$BQ$301,$H183))</f>
        <v/>
      </c>
      <c r="J183" s="66" t="str">
        <f>IF($A183="","",MATCH($I183,INDEX(Import_Staging!$AT$2:$BP$301,$H183,0),0))</f>
        <v/>
      </c>
    </row>
    <row r="184">
      <c r="A184" s="65" t="str">
        <f>IF(179&lt;=$F$4,179,"")</f>
        <v/>
      </c>
      <c r="B184" s="65" t="str">
        <f>IF($A184="","",$H184+1)</f>
        <v/>
      </c>
      <c r="C184" s="66" t="str">
        <f>IF($A184="","",INDEX(Import_Staging!$A$2:$A$301,$H184)&amp;"")</f>
        <v/>
      </c>
      <c r="D184" s="66" t="str">
        <f>IF($A184="","",INDEX(Config!$C$39:$C$61,$J184))</f>
        <v/>
      </c>
      <c r="E184" s="66" t="str">
        <f>IF($A184="","",INDEX(Config!$D$39:$D$61,$J184))</f>
        <v/>
      </c>
      <c r="F184" s="67" t="str">
        <f>IF($A184="","",IFERROR(CHOOSE($J184,"movement_id is empty. Every row needs a unique movement ID.","movement_id "&amp;INDEX(Import_Staging!$A$2:$A$301,$H184)&amp;""&amp;" appears earlier in this file (row "&amp;IFERROR(MATCH(INDEX(Import_Staging!$A$2:$A$301,$H184),Import_Staging!$A$2:$A$301,0)+1,"?")&amp;"). Only the first row can be posted.","movement_id "&amp;INDEX(Import_Staging!$A$2:$A$301,$H184)&amp;""&amp;" is already in Inventory_Ledger. The ledger row was not changed.","date is empty.","date "&amp;""""&amp;INDEX(Import_Staging!$B$2:$B$301,$H184)&amp;""&amp;""""&amp;" is not a real date in yyyy-mm-dd format.","date "&amp;TEXT(INDEX(Import_Staging!$M$2:$M$301,$H184),"yyyy-mm-dd")&amp;" is after the as-of date "&amp;TEXT(Config!$B$4,"yyyy-mm-dd")&amp;".","type is empty.","type "&amp;""""&amp;INDEX(Import_Staging!$C$2:$C$301,$H184)&amp;""&amp;""""&amp;" is not a movement type listed on Config.","sku is empty.","SKU "&amp;INDEX(Import_Staging!$D$2:$D$301,$H184)&amp;""&amp;" is not in Products.","supplier_id is empty; receipts need the supplier.","Supplier "&amp;INDEX(Import_Staging!$E$2:$E$301,$H184)&amp;""&amp;" is not in Suppliers.","lot is empty; every movement needs its lot code.","Lot "&amp;INDEX(Import_Staging!$F$2:$F$301,$H184)&amp;""&amp;" is not recorded for "&amp;INDEX(Import_Staging!$D$2:$D$301,$H184)&amp;""&amp;" in Batches.","expiry is empty; receipts need the company-supplied expiry date.","expiry "&amp;""""&amp;INDEX(Import_Staging!$G$2:$G$301,$H184)&amp;""&amp;""""&amp;" is not a real date in yyyy-mm-dd format.","qty is empty.","qty "&amp;""""&amp;INDEX(Import_Staging!$H$2:$H$301,$H184)&amp;""&amp;""""&amp;" is not a valid quantity"&amp;IF(INDEX(Import_Staging!$C$2:$C$301,$H184)&amp;""="",""," for a "&amp;LOWER(INDEX(Import_Staging!$C$2:$C$301,$H184)&amp;""))&amp;".","lot_status is empty; receipts need a lot status.","lot_status "&amp;""""&amp;INDEX(Import_Staging!$I$2:$I$301,$H184)&amp;""&amp;""""&amp;" is not a lot status allowed on receipt (Config).","reason is empty; adjustments need a reason.","source_link is empty; every movement needs a link to its source document.","This row would take recorded stock of "&amp;INDEX(Import_Staging!$D$2:$D$301,$H184)&amp;""&amp;" from "&amp;INDEX(Import_Staging!$R$2:$R$301,$H184)&amp;" to "&amp;INDEX(Import_Staging!$S$2:$S$301,$H184)&amp;"."),$E184))</f>
        <v/>
      </c>
      <c r="G184" s="67" t="str">
        <f>IF($A184="","",INDEX(Config!$F$39:$F$61,$J184))</f>
        <v/>
      </c>
      <c r="H184" s="66" t="str">
        <f>IF($A184="","",MATCH(COUNTIF(Import_Staging!$BS$2:$BS$301,"&lt;"&amp;$A184)+1,Import_Staging!$BR$2:$BR$301,0))</f>
        <v/>
      </c>
      <c r="I184" s="66" t="str">
        <f>IF($A184="","",$A184-INDEX(Import_Staging!$BQ$2:$BQ$301,$H184))</f>
        <v/>
      </c>
      <c r="J184" s="66" t="str">
        <f>IF($A184="","",MATCH($I184,INDEX(Import_Staging!$AT$2:$BP$301,$H184,0),0))</f>
        <v/>
      </c>
    </row>
    <row r="185">
      <c r="A185" s="65" t="str">
        <f>IF(180&lt;=$F$4,180,"")</f>
        <v/>
      </c>
      <c r="B185" s="65" t="str">
        <f>IF($A185="","",$H185+1)</f>
        <v/>
      </c>
      <c r="C185" s="66" t="str">
        <f>IF($A185="","",INDEX(Import_Staging!$A$2:$A$301,$H185)&amp;"")</f>
        <v/>
      </c>
      <c r="D185" s="66" t="str">
        <f>IF($A185="","",INDEX(Config!$C$39:$C$61,$J185))</f>
        <v/>
      </c>
      <c r="E185" s="66" t="str">
        <f>IF($A185="","",INDEX(Config!$D$39:$D$61,$J185))</f>
        <v/>
      </c>
      <c r="F185" s="67" t="str">
        <f>IF($A185="","",IFERROR(CHOOSE($J185,"movement_id is empty. Every row needs a unique movement ID.","movement_id "&amp;INDEX(Import_Staging!$A$2:$A$301,$H185)&amp;""&amp;" appears earlier in this file (row "&amp;IFERROR(MATCH(INDEX(Import_Staging!$A$2:$A$301,$H185),Import_Staging!$A$2:$A$301,0)+1,"?")&amp;"). Only the first row can be posted.","movement_id "&amp;INDEX(Import_Staging!$A$2:$A$301,$H185)&amp;""&amp;" is already in Inventory_Ledger. The ledger row was not changed.","date is empty.","date "&amp;""""&amp;INDEX(Import_Staging!$B$2:$B$301,$H185)&amp;""&amp;""""&amp;" is not a real date in yyyy-mm-dd format.","date "&amp;TEXT(INDEX(Import_Staging!$M$2:$M$301,$H185),"yyyy-mm-dd")&amp;" is after the as-of date "&amp;TEXT(Config!$B$4,"yyyy-mm-dd")&amp;".","type is empty.","type "&amp;""""&amp;INDEX(Import_Staging!$C$2:$C$301,$H185)&amp;""&amp;""""&amp;" is not a movement type listed on Config.","sku is empty.","SKU "&amp;INDEX(Import_Staging!$D$2:$D$301,$H185)&amp;""&amp;" is not in Products.","supplier_id is empty; receipts need the supplier.","Supplier "&amp;INDEX(Import_Staging!$E$2:$E$301,$H185)&amp;""&amp;" is not in Suppliers.","lot is empty; every movement needs its lot code.","Lot "&amp;INDEX(Import_Staging!$F$2:$F$301,$H185)&amp;""&amp;" is not recorded for "&amp;INDEX(Import_Staging!$D$2:$D$301,$H185)&amp;""&amp;" in Batches.","expiry is empty; receipts need the company-supplied expiry date.","expiry "&amp;""""&amp;INDEX(Import_Staging!$G$2:$G$301,$H185)&amp;""&amp;""""&amp;" is not a real date in yyyy-mm-dd format.","qty is empty.","qty "&amp;""""&amp;INDEX(Import_Staging!$H$2:$H$301,$H185)&amp;""&amp;""""&amp;" is not a valid quantity"&amp;IF(INDEX(Import_Staging!$C$2:$C$301,$H185)&amp;""="",""," for a "&amp;LOWER(INDEX(Import_Staging!$C$2:$C$301,$H185)&amp;""))&amp;".","lot_status is empty; receipts need a lot status.","lot_status "&amp;""""&amp;INDEX(Import_Staging!$I$2:$I$301,$H185)&amp;""&amp;""""&amp;" is not a lot status allowed on receipt (Config).","reason is empty; adjustments need a reason.","source_link is empty; every movement needs a link to its source document.","This row would take recorded stock of "&amp;INDEX(Import_Staging!$D$2:$D$301,$H185)&amp;""&amp;" from "&amp;INDEX(Import_Staging!$R$2:$R$301,$H185)&amp;" to "&amp;INDEX(Import_Staging!$S$2:$S$301,$H185)&amp;"."),$E185))</f>
        <v/>
      </c>
      <c r="G185" s="67" t="str">
        <f>IF($A185="","",INDEX(Config!$F$39:$F$61,$J185))</f>
        <v/>
      </c>
      <c r="H185" s="66" t="str">
        <f>IF($A185="","",MATCH(COUNTIF(Import_Staging!$BS$2:$BS$301,"&lt;"&amp;$A185)+1,Import_Staging!$BR$2:$BR$301,0))</f>
        <v/>
      </c>
      <c r="I185" s="66" t="str">
        <f>IF($A185="","",$A185-INDEX(Import_Staging!$BQ$2:$BQ$301,$H185))</f>
        <v/>
      </c>
      <c r="J185" s="66" t="str">
        <f>IF($A185="","",MATCH($I185,INDEX(Import_Staging!$AT$2:$BP$301,$H185,0),0))</f>
        <v/>
      </c>
    </row>
    <row r="186">
      <c r="A186" s="65" t="str">
        <f>IF(181&lt;=$F$4,181,"")</f>
        <v/>
      </c>
      <c r="B186" s="65" t="str">
        <f>IF($A186="","",$H186+1)</f>
        <v/>
      </c>
      <c r="C186" s="66" t="str">
        <f>IF($A186="","",INDEX(Import_Staging!$A$2:$A$301,$H186)&amp;"")</f>
        <v/>
      </c>
      <c r="D186" s="66" t="str">
        <f>IF($A186="","",INDEX(Config!$C$39:$C$61,$J186))</f>
        <v/>
      </c>
      <c r="E186" s="66" t="str">
        <f>IF($A186="","",INDEX(Config!$D$39:$D$61,$J186))</f>
        <v/>
      </c>
      <c r="F186" s="67" t="str">
        <f>IF($A186="","",IFERROR(CHOOSE($J186,"movement_id is empty. Every row needs a unique movement ID.","movement_id "&amp;INDEX(Import_Staging!$A$2:$A$301,$H186)&amp;""&amp;" appears earlier in this file (row "&amp;IFERROR(MATCH(INDEX(Import_Staging!$A$2:$A$301,$H186),Import_Staging!$A$2:$A$301,0)+1,"?")&amp;"). Only the first row can be posted.","movement_id "&amp;INDEX(Import_Staging!$A$2:$A$301,$H186)&amp;""&amp;" is already in Inventory_Ledger. The ledger row was not changed.","date is empty.","date "&amp;""""&amp;INDEX(Import_Staging!$B$2:$B$301,$H186)&amp;""&amp;""""&amp;" is not a real date in yyyy-mm-dd format.","date "&amp;TEXT(INDEX(Import_Staging!$M$2:$M$301,$H186),"yyyy-mm-dd")&amp;" is after the as-of date "&amp;TEXT(Config!$B$4,"yyyy-mm-dd")&amp;".","type is empty.","type "&amp;""""&amp;INDEX(Import_Staging!$C$2:$C$301,$H186)&amp;""&amp;""""&amp;" is not a movement type listed on Config.","sku is empty.","SKU "&amp;INDEX(Import_Staging!$D$2:$D$301,$H186)&amp;""&amp;" is not in Products.","supplier_id is empty; receipts need the supplier.","Supplier "&amp;INDEX(Import_Staging!$E$2:$E$301,$H186)&amp;""&amp;" is not in Suppliers.","lot is empty; every movement needs its lot code.","Lot "&amp;INDEX(Import_Staging!$F$2:$F$301,$H186)&amp;""&amp;" is not recorded for "&amp;INDEX(Import_Staging!$D$2:$D$301,$H186)&amp;""&amp;" in Batches.","expiry is empty; receipts need the company-supplied expiry date.","expiry "&amp;""""&amp;INDEX(Import_Staging!$G$2:$G$301,$H186)&amp;""&amp;""""&amp;" is not a real date in yyyy-mm-dd format.","qty is empty.","qty "&amp;""""&amp;INDEX(Import_Staging!$H$2:$H$301,$H186)&amp;""&amp;""""&amp;" is not a valid quantity"&amp;IF(INDEX(Import_Staging!$C$2:$C$301,$H186)&amp;""="",""," for a "&amp;LOWER(INDEX(Import_Staging!$C$2:$C$301,$H186)&amp;""))&amp;".","lot_status is empty; receipts need a lot status.","lot_status "&amp;""""&amp;INDEX(Import_Staging!$I$2:$I$301,$H186)&amp;""&amp;""""&amp;" is not a lot status allowed on receipt (Config).","reason is empty; adjustments need a reason.","source_link is empty; every movement needs a link to its source document.","This row would take recorded stock of "&amp;INDEX(Import_Staging!$D$2:$D$301,$H186)&amp;""&amp;" from "&amp;INDEX(Import_Staging!$R$2:$R$301,$H186)&amp;" to "&amp;INDEX(Import_Staging!$S$2:$S$301,$H186)&amp;"."),$E186))</f>
        <v/>
      </c>
      <c r="G186" s="67" t="str">
        <f>IF($A186="","",INDEX(Config!$F$39:$F$61,$J186))</f>
        <v/>
      </c>
      <c r="H186" s="66" t="str">
        <f>IF($A186="","",MATCH(COUNTIF(Import_Staging!$BS$2:$BS$301,"&lt;"&amp;$A186)+1,Import_Staging!$BR$2:$BR$301,0))</f>
        <v/>
      </c>
      <c r="I186" s="66" t="str">
        <f>IF($A186="","",$A186-INDEX(Import_Staging!$BQ$2:$BQ$301,$H186))</f>
        <v/>
      </c>
      <c r="J186" s="66" t="str">
        <f>IF($A186="","",MATCH($I186,INDEX(Import_Staging!$AT$2:$BP$301,$H186,0),0))</f>
        <v/>
      </c>
    </row>
    <row r="187">
      <c r="A187" s="65" t="str">
        <f>IF(182&lt;=$F$4,182,"")</f>
        <v/>
      </c>
      <c r="B187" s="65" t="str">
        <f>IF($A187="","",$H187+1)</f>
        <v/>
      </c>
      <c r="C187" s="66" t="str">
        <f>IF($A187="","",INDEX(Import_Staging!$A$2:$A$301,$H187)&amp;"")</f>
        <v/>
      </c>
      <c r="D187" s="66" t="str">
        <f>IF($A187="","",INDEX(Config!$C$39:$C$61,$J187))</f>
        <v/>
      </c>
      <c r="E187" s="66" t="str">
        <f>IF($A187="","",INDEX(Config!$D$39:$D$61,$J187))</f>
        <v/>
      </c>
      <c r="F187" s="67" t="str">
        <f>IF($A187="","",IFERROR(CHOOSE($J187,"movement_id is empty. Every row needs a unique movement ID.","movement_id "&amp;INDEX(Import_Staging!$A$2:$A$301,$H187)&amp;""&amp;" appears earlier in this file (row "&amp;IFERROR(MATCH(INDEX(Import_Staging!$A$2:$A$301,$H187),Import_Staging!$A$2:$A$301,0)+1,"?")&amp;"). Only the first row can be posted.","movement_id "&amp;INDEX(Import_Staging!$A$2:$A$301,$H187)&amp;""&amp;" is already in Inventory_Ledger. The ledger row was not changed.","date is empty.","date "&amp;""""&amp;INDEX(Import_Staging!$B$2:$B$301,$H187)&amp;""&amp;""""&amp;" is not a real date in yyyy-mm-dd format.","date "&amp;TEXT(INDEX(Import_Staging!$M$2:$M$301,$H187),"yyyy-mm-dd")&amp;" is after the as-of date "&amp;TEXT(Config!$B$4,"yyyy-mm-dd")&amp;".","type is empty.","type "&amp;""""&amp;INDEX(Import_Staging!$C$2:$C$301,$H187)&amp;""&amp;""""&amp;" is not a movement type listed on Config.","sku is empty.","SKU "&amp;INDEX(Import_Staging!$D$2:$D$301,$H187)&amp;""&amp;" is not in Products.","supplier_id is empty; receipts need the supplier.","Supplier "&amp;INDEX(Import_Staging!$E$2:$E$301,$H187)&amp;""&amp;" is not in Suppliers.","lot is empty; every movement needs its lot code.","Lot "&amp;INDEX(Import_Staging!$F$2:$F$301,$H187)&amp;""&amp;" is not recorded for "&amp;INDEX(Import_Staging!$D$2:$D$301,$H187)&amp;""&amp;" in Batches.","expiry is empty; receipts need the company-supplied expiry date.","expiry "&amp;""""&amp;INDEX(Import_Staging!$G$2:$G$301,$H187)&amp;""&amp;""""&amp;" is not a real date in yyyy-mm-dd format.","qty is empty.","qty "&amp;""""&amp;INDEX(Import_Staging!$H$2:$H$301,$H187)&amp;""&amp;""""&amp;" is not a valid quantity"&amp;IF(INDEX(Import_Staging!$C$2:$C$301,$H187)&amp;""="",""," for a "&amp;LOWER(INDEX(Import_Staging!$C$2:$C$301,$H187)&amp;""))&amp;".","lot_status is empty; receipts need a lot status.","lot_status "&amp;""""&amp;INDEX(Import_Staging!$I$2:$I$301,$H187)&amp;""&amp;""""&amp;" is not a lot status allowed on receipt (Config).","reason is empty; adjustments need a reason.","source_link is empty; every movement needs a link to its source document.","This row would take recorded stock of "&amp;INDEX(Import_Staging!$D$2:$D$301,$H187)&amp;""&amp;" from "&amp;INDEX(Import_Staging!$R$2:$R$301,$H187)&amp;" to "&amp;INDEX(Import_Staging!$S$2:$S$301,$H187)&amp;"."),$E187))</f>
        <v/>
      </c>
      <c r="G187" s="67" t="str">
        <f>IF($A187="","",INDEX(Config!$F$39:$F$61,$J187))</f>
        <v/>
      </c>
      <c r="H187" s="66" t="str">
        <f>IF($A187="","",MATCH(COUNTIF(Import_Staging!$BS$2:$BS$301,"&lt;"&amp;$A187)+1,Import_Staging!$BR$2:$BR$301,0))</f>
        <v/>
      </c>
      <c r="I187" s="66" t="str">
        <f>IF($A187="","",$A187-INDEX(Import_Staging!$BQ$2:$BQ$301,$H187))</f>
        <v/>
      </c>
      <c r="J187" s="66" t="str">
        <f>IF($A187="","",MATCH($I187,INDEX(Import_Staging!$AT$2:$BP$301,$H187,0),0))</f>
        <v/>
      </c>
    </row>
    <row r="188">
      <c r="A188" s="65" t="str">
        <f>IF(183&lt;=$F$4,183,"")</f>
        <v/>
      </c>
      <c r="B188" s="65" t="str">
        <f>IF($A188="","",$H188+1)</f>
        <v/>
      </c>
      <c r="C188" s="66" t="str">
        <f>IF($A188="","",INDEX(Import_Staging!$A$2:$A$301,$H188)&amp;"")</f>
        <v/>
      </c>
      <c r="D188" s="66" t="str">
        <f>IF($A188="","",INDEX(Config!$C$39:$C$61,$J188))</f>
        <v/>
      </c>
      <c r="E188" s="66" t="str">
        <f>IF($A188="","",INDEX(Config!$D$39:$D$61,$J188))</f>
        <v/>
      </c>
      <c r="F188" s="67" t="str">
        <f>IF($A188="","",IFERROR(CHOOSE($J188,"movement_id is empty. Every row needs a unique movement ID.","movement_id "&amp;INDEX(Import_Staging!$A$2:$A$301,$H188)&amp;""&amp;" appears earlier in this file (row "&amp;IFERROR(MATCH(INDEX(Import_Staging!$A$2:$A$301,$H188),Import_Staging!$A$2:$A$301,0)+1,"?")&amp;"). Only the first row can be posted.","movement_id "&amp;INDEX(Import_Staging!$A$2:$A$301,$H188)&amp;""&amp;" is already in Inventory_Ledger. The ledger row was not changed.","date is empty.","date "&amp;""""&amp;INDEX(Import_Staging!$B$2:$B$301,$H188)&amp;""&amp;""""&amp;" is not a real date in yyyy-mm-dd format.","date "&amp;TEXT(INDEX(Import_Staging!$M$2:$M$301,$H188),"yyyy-mm-dd")&amp;" is after the as-of date "&amp;TEXT(Config!$B$4,"yyyy-mm-dd")&amp;".","type is empty.","type "&amp;""""&amp;INDEX(Import_Staging!$C$2:$C$301,$H188)&amp;""&amp;""""&amp;" is not a movement type listed on Config.","sku is empty.","SKU "&amp;INDEX(Import_Staging!$D$2:$D$301,$H188)&amp;""&amp;" is not in Products.","supplier_id is empty; receipts need the supplier.","Supplier "&amp;INDEX(Import_Staging!$E$2:$E$301,$H188)&amp;""&amp;" is not in Suppliers.","lot is empty; every movement needs its lot code.","Lot "&amp;INDEX(Import_Staging!$F$2:$F$301,$H188)&amp;""&amp;" is not recorded for "&amp;INDEX(Import_Staging!$D$2:$D$301,$H188)&amp;""&amp;" in Batches.","expiry is empty; receipts need the company-supplied expiry date.","expiry "&amp;""""&amp;INDEX(Import_Staging!$G$2:$G$301,$H188)&amp;""&amp;""""&amp;" is not a real date in yyyy-mm-dd format.","qty is empty.","qty "&amp;""""&amp;INDEX(Import_Staging!$H$2:$H$301,$H188)&amp;""&amp;""""&amp;" is not a valid quantity"&amp;IF(INDEX(Import_Staging!$C$2:$C$301,$H188)&amp;""="",""," for a "&amp;LOWER(INDEX(Import_Staging!$C$2:$C$301,$H188)&amp;""))&amp;".","lot_status is empty; receipts need a lot status.","lot_status "&amp;""""&amp;INDEX(Import_Staging!$I$2:$I$301,$H188)&amp;""&amp;""""&amp;" is not a lot status allowed on receipt (Config).","reason is empty; adjustments need a reason.","source_link is empty; every movement needs a link to its source document.","This row would take recorded stock of "&amp;INDEX(Import_Staging!$D$2:$D$301,$H188)&amp;""&amp;" from "&amp;INDEX(Import_Staging!$R$2:$R$301,$H188)&amp;" to "&amp;INDEX(Import_Staging!$S$2:$S$301,$H188)&amp;"."),$E188))</f>
        <v/>
      </c>
      <c r="G188" s="67" t="str">
        <f>IF($A188="","",INDEX(Config!$F$39:$F$61,$J188))</f>
        <v/>
      </c>
      <c r="H188" s="66" t="str">
        <f>IF($A188="","",MATCH(COUNTIF(Import_Staging!$BS$2:$BS$301,"&lt;"&amp;$A188)+1,Import_Staging!$BR$2:$BR$301,0))</f>
        <v/>
      </c>
      <c r="I188" s="66" t="str">
        <f>IF($A188="","",$A188-INDEX(Import_Staging!$BQ$2:$BQ$301,$H188))</f>
        <v/>
      </c>
      <c r="J188" s="66" t="str">
        <f>IF($A188="","",MATCH($I188,INDEX(Import_Staging!$AT$2:$BP$301,$H188,0),0))</f>
        <v/>
      </c>
    </row>
    <row r="189">
      <c r="A189" s="65" t="str">
        <f>IF(184&lt;=$F$4,184,"")</f>
        <v/>
      </c>
      <c r="B189" s="65" t="str">
        <f>IF($A189="","",$H189+1)</f>
        <v/>
      </c>
      <c r="C189" s="66" t="str">
        <f>IF($A189="","",INDEX(Import_Staging!$A$2:$A$301,$H189)&amp;"")</f>
        <v/>
      </c>
      <c r="D189" s="66" t="str">
        <f>IF($A189="","",INDEX(Config!$C$39:$C$61,$J189))</f>
        <v/>
      </c>
      <c r="E189" s="66" t="str">
        <f>IF($A189="","",INDEX(Config!$D$39:$D$61,$J189))</f>
        <v/>
      </c>
      <c r="F189" s="67" t="str">
        <f>IF($A189="","",IFERROR(CHOOSE($J189,"movement_id is empty. Every row needs a unique movement ID.","movement_id "&amp;INDEX(Import_Staging!$A$2:$A$301,$H189)&amp;""&amp;" appears earlier in this file (row "&amp;IFERROR(MATCH(INDEX(Import_Staging!$A$2:$A$301,$H189),Import_Staging!$A$2:$A$301,0)+1,"?")&amp;"). Only the first row can be posted.","movement_id "&amp;INDEX(Import_Staging!$A$2:$A$301,$H189)&amp;""&amp;" is already in Inventory_Ledger. The ledger row was not changed.","date is empty.","date "&amp;""""&amp;INDEX(Import_Staging!$B$2:$B$301,$H189)&amp;""&amp;""""&amp;" is not a real date in yyyy-mm-dd format.","date "&amp;TEXT(INDEX(Import_Staging!$M$2:$M$301,$H189),"yyyy-mm-dd")&amp;" is after the as-of date "&amp;TEXT(Config!$B$4,"yyyy-mm-dd")&amp;".","type is empty.","type "&amp;""""&amp;INDEX(Import_Staging!$C$2:$C$301,$H189)&amp;""&amp;""""&amp;" is not a movement type listed on Config.","sku is empty.","SKU "&amp;INDEX(Import_Staging!$D$2:$D$301,$H189)&amp;""&amp;" is not in Products.","supplier_id is empty; receipts need the supplier.","Supplier "&amp;INDEX(Import_Staging!$E$2:$E$301,$H189)&amp;""&amp;" is not in Suppliers.","lot is empty; every movement needs its lot code.","Lot "&amp;INDEX(Import_Staging!$F$2:$F$301,$H189)&amp;""&amp;" is not recorded for "&amp;INDEX(Import_Staging!$D$2:$D$301,$H189)&amp;""&amp;" in Batches.","expiry is empty; receipts need the company-supplied expiry date.","expiry "&amp;""""&amp;INDEX(Import_Staging!$G$2:$G$301,$H189)&amp;""&amp;""""&amp;" is not a real date in yyyy-mm-dd format.","qty is empty.","qty "&amp;""""&amp;INDEX(Import_Staging!$H$2:$H$301,$H189)&amp;""&amp;""""&amp;" is not a valid quantity"&amp;IF(INDEX(Import_Staging!$C$2:$C$301,$H189)&amp;""="",""," for a "&amp;LOWER(INDEX(Import_Staging!$C$2:$C$301,$H189)&amp;""))&amp;".","lot_status is empty; receipts need a lot status.","lot_status "&amp;""""&amp;INDEX(Import_Staging!$I$2:$I$301,$H189)&amp;""&amp;""""&amp;" is not a lot status allowed on receipt (Config).","reason is empty; adjustments need a reason.","source_link is empty; every movement needs a link to its source document.","This row would take recorded stock of "&amp;INDEX(Import_Staging!$D$2:$D$301,$H189)&amp;""&amp;" from "&amp;INDEX(Import_Staging!$R$2:$R$301,$H189)&amp;" to "&amp;INDEX(Import_Staging!$S$2:$S$301,$H189)&amp;"."),$E189))</f>
        <v/>
      </c>
      <c r="G189" s="67" t="str">
        <f>IF($A189="","",INDEX(Config!$F$39:$F$61,$J189))</f>
        <v/>
      </c>
      <c r="H189" s="66" t="str">
        <f>IF($A189="","",MATCH(COUNTIF(Import_Staging!$BS$2:$BS$301,"&lt;"&amp;$A189)+1,Import_Staging!$BR$2:$BR$301,0))</f>
        <v/>
      </c>
      <c r="I189" s="66" t="str">
        <f>IF($A189="","",$A189-INDEX(Import_Staging!$BQ$2:$BQ$301,$H189))</f>
        <v/>
      </c>
      <c r="J189" s="66" t="str">
        <f>IF($A189="","",MATCH($I189,INDEX(Import_Staging!$AT$2:$BP$301,$H189,0),0))</f>
        <v/>
      </c>
    </row>
    <row r="190">
      <c r="A190" s="65" t="str">
        <f>IF(185&lt;=$F$4,185,"")</f>
        <v/>
      </c>
      <c r="B190" s="65" t="str">
        <f>IF($A190="","",$H190+1)</f>
        <v/>
      </c>
      <c r="C190" s="66" t="str">
        <f>IF($A190="","",INDEX(Import_Staging!$A$2:$A$301,$H190)&amp;"")</f>
        <v/>
      </c>
      <c r="D190" s="66" t="str">
        <f>IF($A190="","",INDEX(Config!$C$39:$C$61,$J190))</f>
        <v/>
      </c>
      <c r="E190" s="66" t="str">
        <f>IF($A190="","",INDEX(Config!$D$39:$D$61,$J190))</f>
        <v/>
      </c>
      <c r="F190" s="67" t="str">
        <f>IF($A190="","",IFERROR(CHOOSE($J190,"movement_id is empty. Every row needs a unique movement ID.","movement_id "&amp;INDEX(Import_Staging!$A$2:$A$301,$H190)&amp;""&amp;" appears earlier in this file (row "&amp;IFERROR(MATCH(INDEX(Import_Staging!$A$2:$A$301,$H190),Import_Staging!$A$2:$A$301,0)+1,"?")&amp;"). Only the first row can be posted.","movement_id "&amp;INDEX(Import_Staging!$A$2:$A$301,$H190)&amp;""&amp;" is already in Inventory_Ledger. The ledger row was not changed.","date is empty.","date "&amp;""""&amp;INDEX(Import_Staging!$B$2:$B$301,$H190)&amp;""&amp;""""&amp;" is not a real date in yyyy-mm-dd format.","date "&amp;TEXT(INDEX(Import_Staging!$M$2:$M$301,$H190),"yyyy-mm-dd")&amp;" is after the as-of date "&amp;TEXT(Config!$B$4,"yyyy-mm-dd")&amp;".","type is empty.","type "&amp;""""&amp;INDEX(Import_Staging!$C$2:$C$301,$H190)&amp;""&amp;""""&amp;" is not a movement type listed on Config.","sku is empty.","SKU "&amp;INDEX(Import_Staging!$D$2:$D$301,$H190)&amp;""&amp;" is not in Products.","supplier_id is empty; receipts need the supplier.","Supplier "&amp;INDEX(Import_Staging!$E$2:$E$301,$H190)&amp;""&amp;" is not in Suppliers.","lot is empty; every movement needs its lot code.","Lot "&amp;INDEX(Import_Staging!$F$2:$F$301,$H190)&amp;""&amp;" is not recorded for "&amp;INDEX(Import_Staging!$D$2:$D$301,$H190)&amp;""&amp;" in Batches.","expiry is empty; receipts need the company-supplied expiry date.","expiry "&amp;""""&amp;INDEX(Import_Staging!$G$2:$G$301,$H190)&amp;""&amp;""""&amp;" is not a real date in yyyy-mm-dd format.","qty is empty.","qty "&amp;""""&amp;INDEX(Import_Staging!$H$2:$H$301,$H190)&amp;""&amp;""""&amp;" is not a valid quantity"&amp;IF(INDEX(Import_Staging!$C$2:$C$301,$H190)&amp;""="",""," for a "&amp;LOWER(INDEX(Import_Staging!$C$2:$C$301,$H190)&amp;""))&amp;".","lot_status is empty; receipts need a lot status.","lot_status "&amp;""""&amp;INDEX(Import_Staging!$I$2:$I$301,$H190)&amp;""&amp;""""&amp;" is not a lot status allowed on receipt (Config).","reason is empty; adjustments need a reason.","source_link is empty; every movement needs a link to its source document.","This row would take recorded stock of "&amp;INDEX(Import_Staging!$D$2:$D$301,$H190)&amp;""&amp;" from "&amp;INDEX(Import_Staging!$R$2:$R$301,$H190)&amp;" to "&amp;INDEX(Import_Staging!$S$2:$S$301,$H190)&amp;"."),$E190))</f>
        <v/>
      </c>
      <c r="G190" s="67" t="str">
        <f>IF($A190="","",INDEX(Config!$F$39:$F$61,$J190))</f>
        <v/>
      </c>
      <c r="H190" s="66" t="str">
        <f>IF($A190="","",MATCH(COUNTIF(Import_Staging!$BS$2:$BS$301,"&lt;"&amp;$A190)+1,Import_Staging!$BR$2:$BR$301,0))</f>
        <v/>
      </c>
      <c r="I190" s="66" t="str">
        <f>IF($A190="","",$A190-INDEX(Import_Staging!$BQ$2:$BQ$301,$H190))</f>
        <v/>
      </c>
      <c r="J190" s="66" t="str">
        <f>IF($A190="","",MATCH($I190,INDEX(Import_Staging!$AT$2:$BP$301,$H190,0),0))</f>
        <v/>
      </c>
    </row>
    <row r="191">
      <c r="A191" s="65" t="str">
        <f>IF(186&lt;=$F$4,186,"")</f>
        <v/>
      </c>
      <c r="B191" s="65" t="str">
        <f>IF($A191="","",$H191+1)</f>
        <v/>
      </c>
      <c r="C191" s="66" t="str">
        <f>IF($A191="","",INDEX(Import_Staging!$A$2:$A$301,$H191)&amp;"")</f>
        <v/>
      </c>
      <c r="D191" s="66" t="str">
        <f>IF($A191="","",INDEX(Config!$C$39:$C$61,$J191))</f>
        <v/>
      </c>
      <c r="E191" s="66" t="str">
        <f>IF($A191="","",INDEX(Config!$D$39:$D$61,$J191))</f>
        <v/>
      </c>
      <c r="F191" s="67" t="str">
        <f>IF($A191="","",IFERROR(CHOOSE($J191,"movement_id is empty. Every row needs a unique movement ID.","movement_id "&amp;INDEX(Import_Staging!$A$2:$A$301,$H191)&amp;""&amp;" appears earlier in this file (row "&amp;IFERROR(MATCH(INDEX(Import_Staging!$A$2:$A$301,$H191),Import_Staging!$A$2:$A$301,0)+1,"?")&amp;"). Only the first row can be posted.","movement_id "&amp;INDEX(Import_Staging!$A$2:$A$301,$H191)&amp;""&amp;" is already in Inventory_Ledger. The ledger row was not changed.","date is empty.","date "&amp;""""&amp;INDEX(Import_Staging!$B$2:$B$301,$H191)&amp;""&amp;""""&amp;" is not a real date in yyyy-mm-dd format.","date "&amp;TEXT(INDEX(Import_Staging!$M$2:$M$301,$H191),"yyyy-mm-dd")&amp;" is after the as-of date "&amp;TEXT(Config!$B$4,"yyyy-mm-dd")&amp;".","type is empty.","type "&amp;""""&amp;INDEX(Import_Staging!$C$2:$C$301,$H191)&amp;""&amp;""""&amp;" is not a movement type listed on Config.","sku is empty.","SKU "&amp;INDEX(Import_Staging!$D$2:$D$301,$H191)&amp;""&amp;" is not in Products.","supplier_id is empty; receipts need the supplier.","Supplier "&amp;INDEX(Import_Staging!$E$2:$E$301,$H191)&amp;""&amp;" is not in Suppliers.","lot is empty; every movement needs its lot code.","Lot "&amp;INDEX(Import_Staging!$F$2:$F$301,$H191)&amp;""&amp;" is not recorded for "&amp;INDEX(Import_Staging!$D$2:$D$301,$H191)&amp;""&amp;" in Batches.","expiry is empty; receipts need the company-supplied expiry date.","expiry "&amp;""""&amp;INDEX(Import_Staging!$G$2:$G$301,$H191)&amp;""&amp;""""&amp;" is not a real date in yyyy-mm-dd format.","qty is empty.","qty "&amp;""""&amp;INDEX(Import_Staging!$H$2:$H$301,$H191)&amp;""&amp;""""&amp;" is not a valid quantity"&amp;IF(INDEX(Import_Staging!$C$2:$C$301,$H191)&amp;""="",""," for a "&amp;LOWER(INDEX(Import_Staging!$C$2:$C$301,$H191)&amp;""))&amp;".","lot_status is empty; receipts need a lot status.","lot_status "&amp;""""&amp;INDEX(Import_Staging!$I$2:$I$301,$H191)&amp;""&amp;""""&amp;" is not a lot status allowed on receipt (Config).","reason is empty; adjustments need a reason.","source_link is empty; every movement needs a link to its source document.","This row would take recorded stock of "&amp;INDEX(Import_Staging!$D$2:$D$301,$H191)&amp;""&amp;" from "&amp;INDEX(Import_Staging!$R$2:$R$301,$H191)&amp;" to "&amp;INDEX(Import_Staging!$S$2:$S$301,$H191)&amp;"."),$E191))</f>
        <v/>
      </c>
      <c r="G191" s="67" t="str">
        <f>IF($A191="","",INDEX(Config!$F$39:$F$61,$J191))</f>
        <v/>
      </c>
      <c r="H191" s="66" t="str">
        <f>IF($A191="","",MATCH(COUNTIF(Import_Staging!$BS$2:$BS$301,"&lt;"&amp;$A191)+1,Import_Staging!$BR$2:$BR$301,0))</f>
        <v/>
      </c>
      <c r="I191" s="66" t="str">
        <f>IF($A191="","",$A191-INDEX(Import_Staging!$BQ$2:$BQ$301,$H191))</f>
        <v/>
      </c>
      <c r="J191" s="66" t="str">
        <f>IF($A191="","",MATCH($I191,INDEX(Import_Staging!$AT$2:$BP$301,$H191,0),0))</f>
        <v/>
      </c>
    </row>
    <row r="192">
      <c r="A192" s="65" t="str">
        <f>IF(187&lt;=$F$4,187,"")</f>
        <v/>
      </c>
      <c r="B192" s="65" t="str">
        <f>IF($A192="","",$H192+1)</f>
        <v/>
      </c>
      <c r="C192" s="66" t="str">
        <f>IF($A192="","",INDEX(Import_Staging!$A$2:$A$301,$H192)&amp;"")</f>
        <v/>
      </c>
      <c r="D192" s="66" t="str">
        <f>IF($A192="","",INDEX(Config!$C$39:$C$61,$J192))</f>
        <v/>
      </c>
      <c r="E192" s="66" t="str">
        <f>IF($A192="","",INDEX(Config!$D$39:$D$61,$J192))</f>
        <v/>
      </c>
      <c r="F192" s="67" t="str">
        <f>IF($A192="","",IFERROR(CHOOSE($J192,"movement_id is empty. Every row needs a unique movement ID.","movement_id "&amp;INDEX(Import_Staging!$A$2:$A$301,$H192)&amp;""&amp;" appears earlier in this file (row "&amp;IFERROR(MATCH(INDEX(Import_Staging!$A$2:$A$301,$H192),Import_Staging!$A$2:$A$301,0)+1,"?")&amp;"). Only the first row can be posted.","movement_id "&amp;INDEX(Import_Staging!$A$2:$A$301,$H192)&amp;""&amp;" is already in Inventory_Ledger. The ledger row was not changed.","date is empty.","date "&amp;""""&amp;INDEX(Import_Staging!$B$2:$B$301,$H192)&amp;""&amp;""""&amp;" is not a real date in yyyy-mm-dd format.","date "&amp;TEXT(INDEX(Import_Staging!$M$2:$M$301,$H192),"yyyy-mm-dd")&amp;" is after the as-of date "&amp;TEXT(Config!$B$4,"yyyy-mm-dd")&amp;".","type is empty.","type "&amp;""""&amp;INDEX(Import_Staging!$C$2:$C$301,$H192)&amp;""&amp;""""&amp;" is not a movement type listed on Config.","sku is empty.","SKU "&amp;INDEX(Import_Staging!$D$2:$D$301,$H192)&amp;""&amp;" is not in Products.","supplier_id is empty; receipts need the supplier.","Supplier "&amp;INDEX(Import_Staging!$E$2:$E$301,$H192)&amp;""&amp;" is not in Suppliers.","lot is empty; every movement needs its lot code.","Lot "&amp;INDEX(Import_Staging!$F$2:$F$301,$H192)&amp;""&amp;" is not recorded for "&amp;INDEX(Import_Staging!$D$2:$D$301,$H192)&amp;""&amp;" in Batches.","expiry is empty; receipts need the company-supplied expiry date.","expiry "&amp;""""&amp;INDEX(Import_Staging!$G$2:$G$301,$H192)&amp;""&amp;""""&amp;" is not a real date in yyyy-mm-dd format.","qty is empty.","qty "&amp;""""&amp;INDEX(Import_Staging!$H$2:$H$301,$H192)&amp;""&amp;""""&amp;" is not a valid quantity"&amp;IF(INDEX(Import_Staging!$C$2:$C$301,$H192)&amp;""="",""," for a "&amp;LOWER(INDEX(Import_Staging!$C$2:$C$301,$H192)&amp;""))&amp;".","lot_status is empty; receipts need a lot status.","lot_status "&amp;""""&amp;INDEX(Import_Staging!$I$2:$I$301,$H192)&amp;""&amp;""""&amp;" is not a lot status allowed on receipt (Config).","reason is empty; adjustments need a reason.","source_link is empty; every movement needs a link to its source document.","This row would take recorded stock of "&amp;INDEX(Import_Staging!$D$2:$D$301,$H192)&amp;""&amp;" from "&amp;INDEX(Import_Staging!$R$2:$R$301,$H192)&amp;" to "&amp;INDEX(Import_Staging!$S$2:$S$301,$H192)&amp;"."),$E192))</f>
        <v/>
      </c>
      <c r="G192" s="67" t="str">
        <f>IF($A192="","",INDEX(Config!$F$39:$F$61,$J192))</f>
        <v/>
      </c>
      <c r="H192" s="66" t="str">
        <f>IF($A192="","",MATCH(COUNTIF(Import_Staging!$BS$2:$BS$301,"&lt;"&amp;$A192)+1,Import_Staging!$BR$2:$BR$301,0))</f>
        <v/>
      </c>
      <c r="I192" s="66" t="str">
        <f>IF($A192="","",$A192-INDEX(Import_Staging!$BQ$2:$BQ$301,$H192))</f>
        <v/>
      </c>
      <c r="J192" s="66" t="str">
        <f>IF($A192="","",MATCH($I192,INDEX(Import_Staging!$AT$2:$BP$301,$H192,0),0))</f>
        <v/>
      </c>
    </row>
    <row r="193">
      <c r="A193" s="65" t="str">
        <f>IF(188&lt;=$F$4,188,"")</f>
        <v/>
      </c>
      <c r="B193" s="65" t="str">
        <f>IF($A193="","",$H193+1)</f>
        <v/>
      </c>
      <c r="C193" s="66" t="str">
        <f>IF($A193="","",INDEX(Import_Staging!$A$2:$A$301,$H193)&amp;"")</f>
        <v/>
      </c>
      <c r="D193" s="66" t="str">
        <f>IF($A193="","",INDEX(Config!$C$39:$C$61,$J193))</f>
        <v/>
      </c>
      <c r="E193" s="66" t="str">
        <f>IF($A193="","",INDEX(Config!$D$39:$D$61,$J193))</f>
        <v/>
      </c>
      <c r="F193" s="67" t="str">
        <f>IF($A193="","",IFERROR(CHOOSE($J193,"movement_id is empty. Every row needs a unique movement ID.","movement_id "&amp;INDEX(Import_Staging!$A$2:$A$301,$H193)&amp;""&amp;" appears earlier in this file (row "&amp;IFERROR(MATCH(INDEX(Import_Staging!$A$2:$A$301,$H193),Import_Staging!$A$2:$A$301,0)+1,"?")&amp;"). Only the first row can be posted.","movement_id "&amp;INDEX(Import_Staging!$A$2:$A$301,$H193)&amp;""&amp;" is already in Inventory_Ledger. The ledger row was not changed.","date is empty.","date "&amp;""""&amp;INDEX(Import_Staging!$B$2:$B$301,$H193)&amp;""&amp;""""&amp;" is not a real date in yyyy-mm-dd format.","date "&amp;TEXT(INDEX(Import_Staging!$M$2:$M$301,$H193),"yyyy-mm-dd")&amp;" is after the as-of date "&amp;TEXT(Config!$B$4,"yyyy-mm-dd")&amp;".","type is empty.","type "&amp;""""&amp;INDEX(Import_Staging!$C$2:$C$301,$H193)&amp;""&amp;""""&amp;" is not a movement type listed on Config.","sku is empty.","SKU "&amp;INDEX(Import_Staging!$D$2:$D$301,$H193)&amp;""&amp;" is not in Products.","supplier_id is empty; receipts need the supplier.","Supplier "&amp;INDEX(Import_Staging!$E$2:$E$301,$H193)&amp;""&amp;" is not in Suppliers.","lot is empty; every movement needs its lot code.","Lot "&amp;INDEX(Import_Staging!$F$2:$F$301,$H193)&amp;""&amp;" is not recorded for "&amp;INDEX(Import_Staging!$D$2:$D$301,$H193)&amp;""&amp;" in Batches.","expiry is empty; receipts need the company-supplied expiry date.","expiry "&amp;""""&amp;INDEX(Import_Staging!$G$2:$G$301,$H193)&amp;""&amp;""""&amp;" is not a real date in yyyy-mm-dd format.","qty is empty.","qty "&amp;""""&amp;INDEX(Import_Staging!$H$2:$H$301,$H193)&amp;""&amp;""""&amp;" is not a valid quantity"&amp;IF(INDEX(Import_Staging!$C$2:$C$301,$H193)&amp;""="",""," for a "&amp;LOWER(INDEX(Import_Staging!$C$2:$C$301,$H193)&amp;""))&amp;".","lot_status is empty; receipts need a lot status.","lot_status "&amp;""""&amp;INDEX(Import_Staging!$I$2:$I$301,$H193)&amp;""&amp;""""&amp;" is not a lot status allowed on receipt (Config).","reason is empty; adjustments need a reason.","source_link is empty; every movement needs a link to its source document.","This row would take recorded stock of "&amp;INDEX(Import_Staging!$D$2:$D$301,$H193)&amp;""&amp;" from "&amp;INDEX(Import_Staging!$R$2:$R$301,$H193)&amp;" to "&amp;INDEX(Import_Staging!$S$2:$S$301,$H193)&amp;"."),$E193))</f>
        <v/>
      </c>
      <c r="G193" s="67" t="str">
        <f>IF($A193="","",INDEX(Config!$F$39:$F$61,$J193))</f>
        <v/>
      </c>
      <c r="H193" s="66" t="str">
        <f>IF($A193="","",MATCH(COUNTIF(Import_Staging!$BS$2:$BS$301,"&lt;"&amp;$A193)+1,Import_Staging!$BR$2:$BR$301,0))</f>
        <v/>
      </c>
      <c r="I193" s="66" t="str">
        <f>IF($A193="","",$A193-INDEX(Import_Staging!$BQ$2:$BQ$301,$H193))</f>
        <v/>
      </c>
      <c r="J193" s="66" t="str">
        <f>IF($A193="","",MATCH($I193,INDEX(Import_Staging!$AT$2:$BP$301,$H193,0),0))</f>
        <v/>
      </c>
    </row>
    <row r="194">
      <c r="A194" s="65" t="str">
        <f>IF(189&lt;=$F$4,189,"")</f>
        <v/>
      </c>
      <c r="B194" s="65" t="str">
        <f>IF($A194="","",$H194+1)</f>
        <v/>
      </c>
      <c r="C194" s="66" t="str">
        <f>IF($A194="","",INDEX(Import_Staging!$A$2:$A$301,$H194)&amp;"")</f>
        <v/>
      </c>
      <c r="D194" s="66" t="str">
        <f>IF($A194="","",INDEX(Config!$C$39:$C$61,$J194))</f>
        <v/>
      </c>
      <c r="E194" s="66" t="str">
        <f>IF($A194="","",INDEX(Config!$D$39:$D$61,$J194))</f>
        <v/>
      </c>
      <c r="F194" s="67" t="str">
        <f>IF($A194="","",IFERROR(CHOOSE($J194,"movement_id is empty. Every row needs a unique movement ID.","movement_id "&amp;INDEX(Import_Staging!$A$2:$A$301,$H194)&amp;""&amp;" appears earlier in this file (row "&amp;IFERROR(MATCH(INDEX(Import_Staging!$A$2:$A$301,$H194),Import_Staging!$A$2:$A$301,0)+1,"?")&amp;"). Only the first row can be posted.","movement_id "&amp;INDEX(Import_Staging!$A$2:$A$301,$H194)&amp;""&amp;" is already in Inventory_Ledger. The ledger row was not changed.","date is empty.","date "&amp;""""&amp;INDEX(Import_Staging!$B$2:$B$301,$H194)&amp;""&amp;""""&amp;" is not a real date in yyyy-mm-dd format.","date "&amp;TEXT(INDEX(Import_Staging!$M$2:$M$301,$H194),"yyyy-mm-dd")&amp;" is after the as-of date "&amp;TEXT(Config!$B$4,"yyyy-mm-dd")&amp;".","type is empty.","type "&amp;""""&amp;INDEX(Import_Staging!$C$2:$C$301,$H194)&amp;""&amp;""""&amp;" is not a movement type listed on Config.","sku is empty.","SKU "&amp;INDEX(Import_Staging!$D$2:$D$301,$H194)&amp;""&amp;" is not in Products.","supplier_id is empty; receipts need the supplier.","Supplier "&amp;INDEX(Import_Staging!$E$2:$E$301,$H194)&amp;""&amp;" is not in Suppliers.","lot is empty; every movement needs its lot code.","Lot "&amp;INDEX(Import_Staging!$F$2:$F$301,$H194)&amp;""&amp;" is not recorded for "&amp;INDEX(Import_Staging!$D$2:$D$301,$H194)&amp;""&amp;" in Batches.","expiry is empty; receipts need the company-supplied expiry date.","expiry "&amp;""""&amp;INDEX(Import_Staging!$G$2:$G$301,$H194)&amp;""&amp;""""&amp;" is not a real date in yyyy-mm-dd format.","qty is empty.","qty "&amp;""""&amp;INDEX(Import_Staging!$H$2:$H$301,$H194)&amp;""&amp;""""&amp;" is not a valid quantity"&amp;IF(INDEX(Import_Staging!$C$2:$C$301,$H194)&amp;""="",""," for a "&amp;LOWER(INDEX(Import_Staging!$C$2:$C$301,$H194)&amp;""))&amp;".","lot_status is empty; receipts need a lot status.","lot_status "&amp;""""&amp;INDEX(Import_Staging!$I$2:$I$301,$H194)&amp;""&amp;""""&amp;" is not a lot status allowed on receipt (Config).","reason is empty; adjustments need a reason.","source_link is empty; every movement needs a link to its source document.","This row would take recorded stock of "&amp;INDEX(Import_Staging!$D$2:$D$301,$H194)&amp;""&amp;" from "&amp;INDEX(Import_Staging!$R$2:$R$301,$H194)&amp;" to "&amp;INDEX(Import_Staging!$S$2:$S$301,$H194)&amp;"."),$E194))</f>
        <v/>
      </c>
      <c r="G194" s="67" t="str">
        <f>IF($A194="","",INDEX(Config!$F$39:$F$61,$J194))</f>
        <v/>
      </c>
      <c r="H194" s="66" t="str">
        <f>IF($A194="","",MATCH(COUNTIF(Import_Staging!$BS$2:$BS$301,"&lt;"&amp;$A194)+1,Import_Staging!$BR$2:$BR$301,0))</f>
        <v/>
      </c>
      <c r="I194" s="66" t="str">
        <f>IF($A194="","",$A194-INDEX(Import_Staging!$BQ$2:$BQ$301,$H194))</f>
        <v/>
      </c>
      <c r="J194" s="66" t="str">
        <f>IF($A194="","",MATCH($I194,INDEX(Import_Staging!$AT$2:$BP$301,$H194,0),0))</f>
        <v/>
      </c>
    </row>
    <row r="195">
      <c r="A195" s="65" t="str">
        <f>IF(190&lt;=$F$4,190,"")</f>
        <v/>
      </c>
      <c r="B195" s="65" t="str">
        <f>IF($A195="","",$H195+1)</f>
        <v/>
      </c>
      <c r="C195" s="66" t="str">
        <f>IF($A195="","",INDEX(Import_Staging!$A$2:$A$301,$H195)&amp;"")</f>
        <v/>
      </c>
      <c r="D195" s="66" t="str">
        <f>IF($A195="","",INDEX(Config!$C$39:$C$61,$J195))</f>
        <v/>
      </c>
      <c r="E195" s="66" t="str">
        <f>IF($A195="","",INDEX(Config!$D$39:$D$61,$J195))</f>
        <v/>
      </c>
      <c r="F195" s="67" t="str">
        <f>IF($A195="","",IFERROR(CHOOSE($J195,"movement_id is empty. Every row needs a unique movement ID.","movement_id "&amp;INDEX(Import_Staging!$A$2:$A$301,$H195)&amp;""&amp;" appears earlier in this file (row "&amp;IFERROR(MATCH(INDEX(Import_Staging!$A$2:$A$301,$H195),Import_Staging!$A$2:$A$301,0)+1,"?")&amp;"). Only the first row can be posted.","movement_id "&amp;INDEX(Import_Staging!$A$2:$A$301,$H195)&amp;""&amp;" is already in Inventory_Ledger. The ledger row was not changed.","date is empty.","date "&amp;""""&amp;INDEX(Import_Staging!$B$2:$B$301,$H195)&amp;""&amp;""""&amp;" is not a real date in yyyy-mm-dd format.","date "&amp;TEXT(INDEX(Import_Staging!$M$2:$M$301,$H195),"yyyy-mm-dd")&amp;" is after the as-of date "&amp;TEXT(Config!$B$4,"yyyy-mm-dd")&amp;".","type is empty.","type "&amp;""""&amp;INDEX(Import_Staging!$C$2:$C$301,$H195)&amp;""&amp;""""&amp;" is not a movement type listed on Config.","sku is empty.","SKU "&amp;INDEX(Import_Staging!$D$2:$D$301,$H195)&amp;""&amp;" is not in Products.","supplier_id is empty; receipts need the supplier.","Supplier "&amp;INDEX(Import_Staging!$E$2:$E$301,$H195)&amp;""&amp;" is not in Suppliers.","lot is empty; every movement needs its lot code.","Lot "&amp;INDEX(Import_Staging!$F$2:$F$301,$H195)&amp;""&amp;" is not recorded for "&amp;INDEX(Import_Staging!$D$2:$D$301,$H195)&amp;""&amp;" in Batches.","expiry is empty; receipts need the company-supplied expiry date.","expiry "&amp;""""&amp;INDEX(Import_Staging!$G$2:$G$301,$H195)&amp;""&amp;""""&amp;" is not a real date in yyyy-mm-dd format.","qty is empty.","qty "&amp;""""&amp;INDEX(Import_Staging!$H$2:$H$301,$H195)&amp;""&amp;""""&amp;" is not a valid quantity"&amp;IF(INDEX(Import_Staging!$C$2:$C$301,$H195)&amp;""="",""," for a "&amp;LOWER(INDEX(Import_Staging!$C$2:$C$301,$H195)&amp;""))&amp;".","lot_status is empty; receipts need a lot status.","lot_status "&amp;""""&amp;INDEX(Import_Staging!$I$2:$I$301,$H195)&amp;""&amp;""""&amp;" is not a lot status allowed on receipt (Config).","reason is empty; adjustments need a reason.","source_link is empty; every movement needs a link to its source document.","This row would take recorded stock of "&amp;INDEX(Import_Staging!$D$2:$D$301,$H195)&amp;""&amp;" from "&amp;INDEX(Import_Staging!$R$2:$R$301,$H195)&amp;" to "&amp;INDEX(Import_Staging!$S$2:$S$301,$H195)&amp;"."),$E195))</f>
        <v/>
      </c>
      <c r="G195" s="67" t="str">
        <f>IF($A195="","",INDEX(Config!$F$39:$F$61,$J195))</f>
        <v/>
      </c>
      <c r="H195" s="66" t="str">
        <f>IF($A195="","",MATCH(COUNTIF(Import_Staging!$BS$2:$BS$301,"&lt;"&amp;$A195)+1,Import_Staging!$BR$2:$BR$301,0))</f>
        <v/>
      </c>
      <c r="I195" s="66" t="str">
        <f>IF($A195="","",$A195-INDEX(Import_Staging!$BQ$2:$BQ$301,$H195))</f>
        <v/>
      </c>
      <c r="J195" s="66" t="str">
        <f>IF($A195="","",MATCH($I195,INDEX(Import_Staging!$AT$2:$BP$301,$H195,0),0))</f>
        <v/>
      </c>
    </row>
    <row r="196">
      <c r="A196" s="65" t="str">
        <f>IF(191&lt;=$F$4,191,"")</f>
        <v/>
      </c>
      <c r="B196" s="65" t="str">
        <f>IF($A196="","",$H196+1)</f>
        <v/>
      </c>
      <c r="C196" s="66" t="str">
        <f>IF($A196="","",INDEX(Import_Staging!$A$2:$A$301,$H196)&amp;"")</f>
        <v/>
      </c>
      <c r="D196" s="66" t="str">
        <f>IF($A196="","",INDEX(Config!$C$39:$C$61,$J196))</f>
        <v/>
      </c>
      <c r="E196" s="66" t="str">
        <f>IF($A196="","",INDEX(Config!$D$39:$D$61,$J196))</f>
        <v/>
      </c>
      <c r="F196" s="67" t="str">
        <f>IF($A196="","",IFERROR(CHOOSE($J196,"movement_id is empty. Every row needs a unique movement ID.","movement_id "&amp;INDEX(Import_Staging!$A$2:$A$301,$H196)&amp;""&amp;" appears earlier in this file (row "&amp;IFERROR(MATCH(INDEX(Import_Staging!$A$2:$A$301,$H196),Import_Staging!$A$2:$A$301,0)+1,"?")&amp;"). Only the first row can be posted.","movement_id "&amp;INDEX(Import_Staging!$A$2:$A$301,$H196)&amp;""&amp;" is already in Inventory_Ledger. The ledger row was not changed.","date is empty.","date "&amp;""""&amp;INDEX(Import_Staging!$B$2:$B$301,$H196)&amp;""&amp;""""&amp;" is not a real date in yyyy-mm-dd format.","date "&amp;TEXT(INDEX(Import_Staging!$M$2:$M$301,$H196),"yyyy-mm-dd")&amp;" is after the as-of date "&amp;TEXT(Config!$B$4,"yyyy-mm-dd")&amp;".","type is empty.","type "&amp;""""&amp;INDEX(Import_Staging!$C$2:$C$301,$H196)&amp;""&amp;""""&amp;" is not a movement type listed on Config.","sku is empty.","SKU "&amp;INDEX(Import_Staging!$D$2:$D$301,$H196)&amp;""&amp;" is not in Products.","supplier_id is empty; receipts need the supplier.","Supplier "&amp;INDEX(Import_Staging!$E$2:$E$301,$H196)&amp;""&amp;" is not in Suppliers.","lot is empty; every movement needs its lot code.","Lot "&amp;INDEX(Import_Staging!$F$2:$F$301,$H196)&amp;""&amp;" is not recorded for "&amp;INDEX(Import_Staging!$D$2:$D$301,$H196)&amp;""&amp;" in Batches.","expiry is empty; receipts need the company-supplied expiry date.","expiry "&amp;""""&amp;INDEX(Import_Staging!$G$2:$G$301,$H196)&amp;""&amp;""""&amp;" is not a real date in yyyy-mm-dd format.","qty is empty.","qty "&amp;""""&amp;INDEX(Import_Staging!$H$2:$H$301,$H196)&amp;""&amp;""""&amp;" is not a valid quantity"&amp;IF(INDEX(Import_Staging!$C$2:$C$301,$H196)&amp;""="",""," for a "&amp;LOWER(INDEX(Import_Staging!$C$2:$C$301,$H196)&amp;""))&amp;".","lot_status is empty; receipts need a lot status.","lot_status "&amp;""""&amp;INDEX(Import_Staging!$I$2:$I$301,$H196)&amp;""&amp;""""&amp;" is not a lot status allowed on receipt (Config).","reason is empty; adjustments need a reason.","source_link is empty; every movement needs a link to its source document.","This row would take recorded stock of "&amp;INDEX(Import_Staging!$D$2:$D$301,$H196)&amp;""&amp;" from "&amp;INDEX(Import_Staging!$R$2:$R$301,$H196)&amp;" to "&amp;INDEX(Import_Staging!$S$2:$S$301,$H196)&amp;"."),$E196))</f>
        <v/>
      </c>
      <c r="G196" s="67" t="str">
        <f>IF($A196="","",INDEX(Config!$F$39:$F$61,$J196))</f>
        <v/>
      </c>
      <c r="H196" s="66" t="str">
        <f>IF($A196="","",MATCH(COUNTIF(Import_Staging!$BS$2:$BS$301,"&lt;"&amp;$A196)+1,Import_Staging!$BR$2:$BR$301,0))</f>
        <v/>
      </c>
      <c r="I196" s="66" t="str">
        <f>IF($A196="","",$A196-INDEX(Import_Staging!$BQ$2:$BQ$301,$H196))</f>
        <v/>
      </c>
      <c r="J196" s="66" t="str">
        <f>IF($A196="","",MATCH($I196,INDEX(Import_Staging!$AT$2:$BP$301,$H196,0),0))</f>
        <v/>
      </c>
    </row>
    <row r="197">
      <c r="A197" s="65" t="str">
        <f>IF(192&lt;=$F$4,192,"")</f>
        <v/>
      </c>
      <c r="B197" s="65" t="str">
        <f>IF($A197="","",$H197+1)</f>
        <v/>
      </c>
      <c r="C197" s="66" t="str">
        <f>IF($A197="","",INDEX(Import_Staging!$A$2:$A$301,$H197)&amp;"")</f>
        <v/>
      </c>
      <c r="D197" s="66" t="str">
        <f>IF($A197="","",INDEX(Config!$C$39:$C$61,$J197))</f>
        <v/>
      </c>
      <c r="E197" s="66" t="str">
        <f>IF($A197="","",INDEX(Config!$D$39:$D$61,$J197))</f>
        <v/>
      </c>
      <c r="F197" s="67" t="str">
        <f>IF($A197="","",IFERROR(CHOOSE($J197,"movement_id is empty. Every row needs a unique movement ID.","movement_id "&amp;INDEX(Import_Staging!$A$2:$A$301,$H197)&amp;""&amp;" appears earlier in this file (row "&amp;IFERROR(MATCH(INDEX(Import_Staging!$A$2:$A$301,$H197),Import_Staging!$A$2:$A$301,0)+1,"?")&amp;"). Only the first row can be posted.","movement_id "&amp;INDEX(Import_Staging!$A$2:$A$301,$H197)&amp;""&amp;" is already in Inventory_Ledger. The ledger row was not changed.","date is empty.","date "&amp;""""&amp;INDEX(Import_Staging!$B$2:$B$301,$H197)&amp;""&amp;""""&amp;" is not a real date in yyyy-mm-dd format.","date "&amp;TEXT(INDEX(Import_Staging!$M$2:$M$301,$H197),"yyyy-mm-dd")&amp;" is after the as-of date "&amp;TEXT(Config!$B$4,"yyyy-mm-dd")&amp;".","type is empty.","type "&amp;""""&amp;INDEX(Import_Staging!$C$2:$C$301,$H197)&amp;""&amp;""""&amp;" is not a movement type listed on Config.","sku is empty.","SKU "&amp;INDEX(Import_Staging!$D$2:$D$301,$H197)&amp;""&amp;" is not in Products.","supplier_id is empty; receipts need the supplier.","Supplier "&amp;INDEX(Import_Staging!$E$2:$E$301,$H197)&amp;""&amp;" is not in Suppliers.","lot is empty; every movement needs its lot code.","Lot "&amp;INDEX(Import_Staging!$F$2:$F$301,$H197)&amp;""&amp;" is not recorded for "&amp;INDEX(Import_Staging!$D$2:$D$301,$H197)&amp;""&amp;" in Batches.","expiry is empty; receipts need the company-supplied expiry date.","expiry "&amp;""""&amp;INDEX(Import_Staging!$G$2:$G$301,$H197)&amp;""&amp;""""&amp;" is not a real date in yyyy-mm-dd format.","qty is empty.","qty "&amp;""""&amp;INDEX(Import_Staging!$H$2:$H$301,$H197)&amp;""&amp;""""&amp;" is not a valid quantity"&amp;IF(INDEX(Import_Staging!$C$2:$C$301,$H197)&amp;""="",""," for a "&amp;LOWER(INDEX(Import_Staging!$C$2:$C$301,$H197)&amp;""))&amp;".","lot_status is empty; receipts need a lot status.","lot_status "&amp;""""&amp;INDEX(Import_Staging!$I$2:$I$301,$H197)&amp;""&amp;""""&amp;" is not a lot status allowed on receipt (Config).","reason is empty; adjustments need a reason.","source_link is empty; every movement needs a link to its source document.","This row would take recorded stock of "&amp;INDEX(Import_Staging!$D$2:$D$301,$H197)&amp;""&amp;" from "&amp;INDEX(Import_Staging!$R$2:$R$301,$H197)&amp;" to "&amp;INDEX(Import_Staging!$S$2:$S$301,$H197)&amp;"."),$E197))</f>
        <v/>
      </c>
      <c r="G197" s="67" t="str">
        <f>IF($A197="","",INDEX(Config!$F$39:$F$61,$J197))</f>
        <v/>
      </c>
      <c r="H197" s="66" t="str">
        <f>IF($A197="","",MATCH(COUNTIF(Import_Staging!$BS$2:$BS$301,"&lt;"&amp;$A197)+1,Import_Staging!$BR$2:$BR$301,0))</f>
        <v/>
      </c>
      <c r="I197" s="66" t="str">
        <f>IF($A197="","",$A197-INDEX(Import_Staging!$BQ$2:$BQ$301,$H197))</f>
        <v/>
      </c>
      <c r="J197" s="66" t="str">
        <f>IF($A197="","",MATCH($I197,INDEX(Import_Staging!$AT$2:$BP$301,$H197,0),0))</f>
        <v/>
      </c>
    </row>
    <row r="198">
      <c r="A198" s="65" t="str">
        <f>IF(193&lt;=$F$4,193,"")</f>
        <v/>
      </c>
      <c r="B198" s="65" t="str">
        <f>IF($A198="","",$H198+1)</f>
        <v/>
      </c>
      <c r="C198" s="66" t="str">
        <f>IF($A198="","",INDEX(Import_Staging!$A$2:$A$301,$H198)&amp;"")</f>
        <v/>
      </c>
      <c r="D198" s="66" t="str">
        <f>IF($A198="","",INDEX(Config!$C$39:$C$61,$J198))</f>
        <v/>
      </c>
      <c r="E198" s="66" t="str">
        <f>IF($A198="","",INDEX(Config!$D$39:$D$61,$J198))</f>
        <v/>
      </c>
      <c r="F198" s="67" t="str">
        <f>IF($A198="","",IFERROR(CHOOSE($J198,"movement_id is empty. Every row needs a unique movement ID.","movement_id "&amp;INDEX(Import_Staging!$A$2:$A$301,$H198)&amp;""&amp;" appears earlier in this file (row "&amp;IFERROR(MATCH(INDEX(Import_Staging!$A$2:$A$301,$H198),Import_Staging!$A$2:$A$301,0)+1,"?")&amp;"). Only the first row can be posted.","movement_id "&amp;INDEX(Import_Staging!$A$2:$A$301,$H198)&amp;""&amp;" is already in Inventory_Ledger. The ledger row was not changed.","date is empty.","date "&amp;""""&amp;INDEX(Import_Staging!$B$2:$B$301,$H198)&amp;""&amp;""""&amp;" is not a real date in yyyy-mm-dd format.","date "&amp;TEXT(INDEX(Import_Staging!$M$2:$M$301,$H198),"yyyy-mm-dd")&amp;" is after the as-of date "&amp;TEXT(Config!$B$4,"yyyy-mm-dd")&amp;".","type is empty.","type "&amp;""""&amp;INDEX(Import_Staging!$C$2:$C$301,$H198)&amp;""&amp;""""&amp;" is not a movement type listed on Config.","sku is empty.","SKU "&amp;INDEX(Import_Staging!$D$2:$D$301,$H198)&amp;""&amp;" is not in Products.","supplier_id is empty; receipts need the supplier.","Supplier "&amp;INDEX(Import_Staging!$E$2:$E$301,$H198)&amp;""&amp;" is not in Suppliers.","lot is empty; every movement needs its lot code.","Lot "&amp;INDEX(Import_Staging!$F$2:$F$301,$H198)&amp;""&amp;" is not recorded for "&amp;INDEX(Import_Staging!$D$2:$D$301,$H198)&amp;""&amp;" in Batches.","expiry is empty; receipts need the company-supplied expiry date.","expiry "&amp;""""&amp;INDEX(Import_Staging!$G$2:$G$301,$H198)&amp;""&amp;""""&amp;" is not a real date in yyyy-mm-dd format.","qty is empty.","qty "&amp;""""&amp;INDEX(Import_Staging!$H$2:$H$301,$H198)&amp;""&amp;""""&amp;" is not a valid quantity"&amp;IF(INDEX(Import_Staging!$C$2:$C$301,$H198)&amp;""="",""," for a "&amp;LOWER(INDEX(Import_Staging!$C$2:$C$301,$H198)&amp;""))&amp;".","lot_status is empty; receipts need a lot status.","lot_status "&amp;""""&amp;INDEX(Import_Staging!$I$2:$I$301,$H198)&amp;""&amp;""""&amp;" is not a lot status allowed on receipt (Config).","reason is empty; adjustments need a reason.","source_link is empty; every movement needs a link to its source document.","This row would take recorded stock of "&amp;INDEX(Import_Staging!$D$2:$D$301,$H198)&amp;""&amp;" from "&amp;INDEX(Import_Staging!$R$2:$R$301,$H198)&amp;" to "&amp;INDEX(Import_Staging!$S$2:$S$301,$H198)&amp;"."),$E198))</f>
        <v/>
      </c>
      <c r="G198" s="67" t="str">
        <f>IF($A198="","",INDEX(Config!$F$39:$F$61,$J198))</f>
        <v/>
      </c>
      <c r="H198" s="66" t="str">
        <f>IF($A198="","",MATCH(COUNTIF(Import_Staging!$BS$2:$BS$301,"&lt;"&amp;$A198)+1,Import_Staging!$BR$2:$BR$301,0))</f>
        <v/>
      </c>
      <c r="I198" s="66" t="str">
        <f>IF($A198="","",$A198-INDEX(Import_Staging!$BQ$2:$BQ$301,$H198))</f>
        <v/>
      </c>
      <c r="J198" s="66" t="str">
        <f>IF($A198="","",MATCH($I198,INDEX(Import_Staging!$AT$2:$BP$301,$H198,0),0))</f>
        <v/>
      </c>
    </row>
    <row r="199">
      <c r="A199" s="65" t="str">
        <f>IF(194&lt;=$F$4,194,"")</f>
        <v/>
      </c>
      <c r="B199" s="65" t="str">
        <f>IF($A199="","",$H199+1)</f>
        <v/>
      </c>
      <c r="C199" s="66" t="str">
        <f>IF($A199="","",INDEX(Import_Staging!$A$2:$A$301,$H199)&amp;"")</f>
        <v/>
      </c>
      <c r="D199" s="66" t="str">
        <f>IF($A199="","",INDEX(Config!$C$39:$C$61,$J199))</f>
        <v/>
      </c>
      <c r="E199" s="66" t="str">
        <f>IF($A199="","",INDEX(Config!$D$39:$D$61,$J199))</f>
        <v/>
      </c>
      <c r="F199" s="67" t="str">
        <f>IF($A199="","",IFERROR(CHOOSE($J199,"movement_id is empty. Every row needs a unique movement ID.","movement_id "&amp;INDEX(Import_Staging!$A$2:$A$301,$H199)&amp;""&amp;" appears earlier in this file (row "&amp;IFERROR(MATCH(INDEX(Import_Staging!$A$2:$A$301,$H199),Import_Staging!$A$2:$A$301,0)+1,"?")&amp;"). Only the first row can be posted.","movement_id "&amp;INDEX(Import_Staging!$A$2:$A$301,$H199)&amp;""&amp;" is already in Inventory_Ledger. The ledger row was not changed.","date is empty.","date "&amp;""""&amp;INDEX(Import_Staging!$B$2:$B$301,$H199)&amp;""&amp;""""&amp;" is not a real date in yyyy-mm-dd format.","date "&amp;TEXT(INDEX(Import_Staging!$M$2:$M$301,$H199),"yyyy-mm-dd")&amp;" is after the as-of date "&amp;TEXT(Config!$B$4,"yyyy-mm-dd")&amp;".","type is empty.","type "&amp;""""&amp;INDEX(Import_Staging!$C$2:$C$301,$H199)&amp;""&amp;""""&amp;" is not a movement type listed on Config.","sku is empty.","SKU "&amp;INDEX(Import_Staging!$D$2:$D$301,$H199)&amp;""&amp;" is not in Products.","supplier_id is empty; receipts need the supplier.","Supplier "&amp;INDEX(Import_Staging!$E$2:$E$301,$H199)&amp;""&amp;" is not in Suppliers.","lot is empty; every movement needs its lot code.","Lot "&amp;INDEX(Import_Staging!$F$2:$F$301,$H199)&amp;""&amp;" is not recorded for "&amp;INDEX(Import_Staging!$D$2:$D$301,$H199)&amp;""&amp;" in Batches.","expiry is empty; receipts need the company-supplied expiry date.","expiry "&amp;""""&amp;INDEX(Import_Staging!$G$2:$G$301,$H199)&amp;""&amp;""""&amp;" is not a real date in yyyy-mm-dd format.","qty is empty.","qty "&amp;""""&amp;INDEX(Import_Staging!$H$2:$H$301,$H199)&amp;""&amp;""""&amp;" is not a valid quantity"&amp;IF(INDEX(Import_Staging!$C$2:$C$301,$H199)&amp;""="",""," for a "&amp;LOWER(INDEX(Import_Staging!$C$2:$C$301,$H199)&amp;""))&amp;".","lot_status is empty; receipts need a lot status.","lot_status "&amp;""""&amp;INDEX(Import_Staging!$I$2:$I$301,$H199)&amp;""&amp;""""&amp;" is not a lot status allowed on receipt (Config).","reason is empty; adjustments need a reason.","source_link is empty; every movement needs a link to its source document.","This row would take recorded stock of "&amp;INDEX(Import_Staging!$D$2:$D$301,$H199)&amp;""&amp;" from "&amp;INDEX(Import_Staging!$R$2:$R$301,$H199)&amp;" to "&amp;INDEX(Import_Staging!$S$2:$S$301,$H199)&amp;"."),$E199))</f>
        <v/>
      </c>
      <c r="G199" s="67" t="str">
        <f>IF($A199="","",INDEX(Config!$F$39:$F$61,$J199))</f>
        <v/>
      </c>
      <c r="H199" s="66" t="str">
        <f>IF($A199="","",MATCH(COUNTIF(Import_Staging!$BS$2:$BS$301,"&lt;"&amp;$A199)+1,Import_Staging!$BR$2:$BR$301,0))</f>
        <v/>
      </c>
      <c r="I199" s="66" t="str">
        <f>IF($A199="","",$A199-INDEX(Import_Staging!$BQ$2:$BQ$301,$H199))</f>
        <v/>
      </c>
      <c r="J199" s="66" t="str">
        <f>IF($A199="","",MATCH($I199,INDEX(Import_Staging!$AT$2:$BP$301,$H199,0),0))</f>
        <v/>
      </c>
    </row>
    <row r="200">
      <c r="A200" s="65" t="str">
        <f>IF(195&lt;=$F$4,195,"")</f>
        <v/>
      </c>
      <c r="B200" s="65" t="str">
        <f>IF($A200="","",$H200+1)</f>
        <v/>
      </c>
      <c r="C200" s="66" t="str">
        <f>IF($A200="","",INDEX(Import_Staging!$A$2:$A$301,$H200)&amp;"")</f>
        <v/>
      </c>
      <c r="D200" s="66" t="str">
        <f>IF($A200="","",INDEX(Config!$C$39:$C$61,$J200))</f>
        <v/>
      </c>
      <c r="E200" s="66" t="str">
        <f>IF($A200="","",INDEX(Config!$D$39:$D$61,$J200))</f>
        <v/>
      </c>
      <c r="F200" s="67" t="str">
        <f>IF($A200="","",IFERROR(CHOOSE($J200,"movement_id is empty. Every row needs a unique movement ID.","movement_id "&amp;INDEX(Import_Staging!$A$2:$A$301,$H200)&amp;""&amp;" appears earlier in this file (row "&amp;IFERROR(MATCH(INDEX(Import_Staging!$A$2:$A$301,$H200),Import_Staging!$A$2:$A$301,0)+1,"?")&amp;"). Only the first row can be posted.","movement_id "&amp;INDEX(Import_Staging!$A$2:$A$301,$H200)&amp;""&amp;" is already in Inventory_Ledger. The ledger row was not changed.","date is empty.","date "&amp;""""&amp;INDEX(Import_Staging!$B$2:$B$301,$H200)&amp;""&amp;""""&amp;" is not a real date in yyyy-mm-dd format.","date "&amp;TEXT(INDEX(Import_Staging!$M$2:$M$301,$H200),"yyyy-mm-dd")&amp;" is after the as-of date "&amp;TEXT(Config!$B$4,"yyyy-mm-dd")&amp;".","type is empty.","type "&amp;""""&amp;INDEX(Import_Staging!$C$2:$C$301,$H200)&amp;""&amp;""""&amp;" is not a movement type listed on Config.","sku is empty.","SKU "&amp;INDEX(Import_Staging!$D$2:$D$301,$H200)&amp;""&amp;" is not in Products.","supplier_id is empty; receipts need the supplier.","Supplier "&amp;INDEX(Import_Staging!$E$2:$E$301,$H200)&amp;""&amp;" is not in Suppliers.","lot is empty; every movement needs its lot code.","Lot "&amp;INDEX(Import_Staging!$F$2:$F$301,$H200)&amp;""&amp;" is not recorded for "&amp;INDEX(Import_Staging!$D$2:$D$301,$H200)&amp;""&amp;" in Batches.","expiry is empty; receipts need the company-supplied expiry date.","expiry "&amp;""""&amp;INDEX(Import_Staging!$G$2:$G$301,$H200)&amp;""&amp;""""&amp;" is not a real date in yyyy-mm-dd format.","qty is empty.","qty "&amp;""""&amp;INDEX(Import_Staging!$H$2:$H$301,$H200)&amp;""&amp;""""&amp;" is not a valid quantity"&amp;IF(INDEX(Import_Staging!$C$2:$C$301,$H200)&amp;""="",""," for a "&amp;LOWER(INDEX(Import_Staging!$C$2:$C$301,$H200)&amp;""))&amp;".","lot_status is empty; receipts need a lot status.","lot_status "&amp;""""&amp;INDEX(Import_Staging!$I$2:$I$301,$H200)&amp;""&amp;""""&amp;" is not a lot status allowed on receipt (Config).","reason is empty; adjustments need a reason.","source_link is empty; every movement needs a link to its source document.","This row would take recorded stock of "&amp;INDEX(Import_Staging!$D$2:$D$301,$H200)&amp;""&amp;" from "&amp;INDEX(Import_Staging!$R$2:$R$301,$H200)&amp;" to "&amp;INDEX(Import_Staging!$S$2:$S$301,$H200)&amp;"."),$E200))</f>
        <v/>
      </c>
      <c r="G200" s="67" t="str">
        <f>IF($A200="","",INDEX(Config!$F$39:$F$61,$J200))</f>
        <v/>
      </c>
      <c r="H200" s="66" t="str">
        <f>IF($A200="","",MATCH(COUNTIF(Import_Staging!$BS$2:$BS$301,"&lt;"&amp;$A200)+1,Import_Staging!$BR$2:$BR$301,0))</f>
        <v/>
      </c>
      <c r="I200" s="66" t="str">
        <f>IF($A200="","",$A200-INDEX(Import_Staging!$BQ$2:$BQ$301,$H200))</f>
        <v/>
      </c>
      <c r="J200" s="66" t="str">
        <f>IF($A200="","",MATCH($I200,INDEX(Import_Staging!$AT$2:$BP$301,$H200,0),0))</f>
        <v/>
      </c>
    </row>
    <row r="201">
      <c r="A201" s="65" t="str">
        <f>IF(196&lt;=$F$4,196,"")</f>
        <v/>
      </c>
      <c r="B201" s="65" t="str">
        <f>IF($A201="","",$H201+1)</f>
        <v/>
      </c>
      <c r="C201" s="66" t="str">
        <f>IF($A201="","",INDEX(Import_Staging!$A$2:$A$301,$H201)&amp;"")</f>
        <v/>
      </c>
      <c r="D201" s="66" t="str">
        <f>IF($A201="","",INDEX(Config!$C$39:$C$61,$J201))</f>
        <v/>
      </c>
      <c r="E201" s="66" t="str">
        <f>IF($A201="","",INDEX(Config!$D$39:$D$61,$J201))</f>
        <v/>
      </c>
      <c r="F201" s="67" t="str">
        <f>IF($A201="","",IFERROR(CHOOSE($J201,"movement_id is empty. Every row needs a unique movement ID.","movement_id "&amp;INDEX(Import_Staging!$A$2:$A$301,$H201)&amp;""&amp;" appears earlier in this file (row "&amp;IFERROR(MATCH(INDEX(Import_Staging!$A$2:$A$301,$H201),Import_Staging!$A$2:$A$301,0)+1,"?")&amp;"). Only the first row can be posted.","movement_id "&amp;INDEX(Import_Staging!$A$2:$A$301,$H201)&amp;""&amp;" is already in Inventory_Ledger. The ledger row was not changed.","date is empty.","date "&amp;""""&amp;INDEX(Import_Staging!$B$2:$B$301,$H201)&amp;""&amp;""""&amp;" is not a real date in yyyy-mm-dd format.","date "&amp;TEXT(INDEX(Import_Staging!$M$2:$M$301,$H201),"yyyy-mm-dd")&amp;" is after the as-of date "&amp;TEXT(Config!$B$4,"yyyy-mm-dd")&amp;".","type is empty.","type "&amp;""""&amp;INDEX(Import_Staging!$C$2:$C$301,$H201)&amp;""&amp;""""&amp;" is not a movement type listed on Config.","sku is empty.","SKU "&amp;INDEX(Import_Staging!$D$2:$D$301,$H201)&amp;""&amp;" is not in Products.","supplier_id is empty; receipts need the supplier.","Supplier "&amp;INDEX(Import_Staging!$E$2:$E$301,$H201)&amp;""&amp;" is not in Suppliers.","lot is empty; every movement needs its lot code.","Lot "&amp;INDEX(Import_Staging!$F$2:$F$301,$H201)&amp;""&amp;" is not recorded for "&amp;INDEX(Import_Staging!$D$2:$D$301,$H201)&amp;""&amp;" in Batches.","expiry is empty; receipts need the company-supplied expiry date.","expiry "&amp;""""&amp;INDEX(Import_Staging!$G$2:$G$301,$H201)&amp;""&amp;""""&amp;" is not a real date in yyyy-mm-dd format.","qty is empty.","qty "&amp;""""&amp;INDEX(Import_Staging!$H$2:$H$301,$H201)&amp;""&amp;""""&amp;" is not a valid quantity"&amp;IF(INDEX(Import_Staging!$C$2:$C$301,$H201)&amp;""="",""," for a "&amp;LOWER(INDEX(Import_Staging!$C$2:$C$301,$H201)&amp;""))&amp;".","lot_status is empty; receipts need a lot status.","lot_status "&amp;""""&amp;INDEX(Import_Staging!$I$2:$I$301,$H201)&amp;""&amp;""""&amp;" is not a lot status allowed on receipt (Config).","reason is empty; adjustments need a reason.","source_link is empty; every movement needs a link to its source document.","This row would take recorded stock of "&amp;INDEX(Import_Staging!$D$2:$D$301,$H201)&amp;""&amp;" from "&amp;INDEX(Import_Staging!$R$2:$R$301,$H201)&amp;" to "&amp;INDEX(Import_Staging!$S$2:$S$301,$H201)&amp;"."),$E201))</f>
        <v/>
      </c>
      <c r="G201" s="67" t="str">
        <f>IF($A201="","",INDEX(Config!$F$39:$F$61,$J201))</f>
        <v/>
      </c>
      <c r="H201" s="66" t="str">
        <f>IF($A201="","",MATCH(COUNTIF(Import_Staging!$BS$2:$BS$301,"&lt;"&amp;$A201)+1,Import_Staging!$BR$2:$BR$301,0))</f>
        <v/>
      </c>
      <c r="I201" s="66" t="str">
        <f>IF($A201="","",$A201-INDEX(Import_Staging!$BQ$2:$BQ$301,$H201))</f>
        <v/>
      </c>
      <c r="J201" s="66" t="str">
        <f>IF($A201="","",MATCH($I201,INDEX(Import_Staging!$AT$2:$BP$301,$H201,0),0))</f>
        <v/>
      </c>
    </row>
    <row r="202">
      <c r="A202" s="65" t="str">
        <f>IF(197&lt;=$F$4,197,"")</f>
        <v/>
      </c>
      <c r="B202" s="65" t="str">
        <f>IF($A202="","",$H202+1)</f>
        <v/>
      </c>
      <c r="C202" s="66" t="str">
        <f>IF($A202="","",INDEX(Import_Staging!$A$2:$A$301,$H202)&amp;"")</f>
        <v/>
      </c>
      <c r="D202" s="66" t="str">
        <f>IF($A202="","",INDEX(Config!$C$39:$C$61,$J202))</f>
        <v/>
      </c>
      <c r="E202" s="66" t="str">
        <f>IF($A202="","",INDEX(Config!$D$39:$D$61,$J202))</f>
        <v/>
      </c>
      <c r="F202" s="67" t="str">
        <f>IF($A202="","",IFERROR(CHOOSE($J202,"movement_id is empty. Every row needs a unique movement ID.","movement_id "&amp;INDEX(Import_Staging!$A$2:$A$301,$H202)&amp;""&amp;" appears earlier in this file (row "&amp;IFERROR(MATCH(INDEX(Import_Staging!$A$2:$A$301,$H202),Import_Staging!$A$2:$A$301,0)+1,"?")&amp;"). Only the first row can be posted.","movement_id "&amp;INDEX(Import_Staging!$A$2:$A$301,$H202)&amp;""&amp;" is already in Inventory_Ledger. The ledger row was not changed.","date is empty.","date "&amp;""""&amp;INDEX(Import_Staging!$B$2:$B$301,$H202)&amp;""&amp;""""&amp;" is not a real date in yyyy-mm-dd format.","date "&amp;TEXT(INDEX(Import_Staging!$M$2:$M$301,$H202),"yyyy-mm-dd")&amp;" is after the as-of date "&amp;TEXT(Config!$B$4,"yyyy-mm-dd")&amp;".","type is empty.","type "&amp;""""&amp;INDEX(Import_Staging!$C$2:$C$301,$H202)&amp;""&amp;""""&amp;" is not a movement type listed on Config.","sku is empty.","SKU "&amp;INDEX(Import_Staging!$D$2:$D$301,$H202)&amp;""&amp;" is not in Products.","supplier_id is empty; receipts need the supplier.","Supplier "&amp;INDEX(Import_Staging!$E$2:$E$301,$H202)&amp;""&amp;" is not in Suppliers.","lot is empty; every movement needs its lot code.","Lot "&amp;INDEX(Import_Staging!$F$2:$F$301,$H202)&amp;""&amp;" is not recorded for "&amp;INDEX(Import_Staging!$D$2:$D$301,$H202)&amp;""&amp;" in Batches.","expiry is empty; receipts need the company-supplied expiry date.","expiry "&amp;""""&amp;INDEX(Import_Staging!$G$2:$G$301,$H202)&amp;""&amp;""""&amp;" is not a real date in yyyy-mm-dd format.","qty is empty.","qty "&amp;""""&amp;INDEX(Import_Staging!$H$2:$H$301,$H202)&amp;""&amp;""""&amp;" is not a valid quantity"&amp;IF(INDEX(Import_Staging!$C$2:$C$301,$H202)&amp;""="",""," for a "&amp;LOWER(INDEX(Import_Staging!$C$2:$C$301,$H202)&amp;""))&amp;".","lot_status is empty; receipts need a lot status.","lot_status "&amp;""""&amp;INDEX(Import_Staging!$I$2:$I$301,$H202)&amp;""&amp;""""&amp;" is not a lot status allowed on receipt (Config).","reason is empty; adjustments need a reason.","source_link is empty; every movement needs a link to its source document.","This row would take recorded stock of "&amp;INDEX(Import_Staging!$D$2:$D$301,$H202)&amp;""&amp;" from "&amp;INDEX(Import_Staging!$R$2:$R$301,$H202)&amp;" to "&amp;INDEX(Import_Staging!$S$2:$S$301,$H202)&amp;"."),$E202))</f>
        <v/>
      </c>
      <c r="G202" s="67" t="str">
        <f>IF($A202="","",INDEX(Config!$F$39:$F$61,$J202))</f>
        <v/>
      </c>
      <c r="H202" s="66" t="str">
        <f>IF($A202="","",MATCH(COUNTIF(Import_Staging!$BS$2:$BS$301,"&lt;"&amp;$A202)+1,Import_Staging!$BR$2:$BR$301,0))</f>
        <v/>
      </c>
      <c r="I202" s="66" t="str">
        <f>IF($A202="","",$A202-INDEX(Import_Staging!$BQ$2:$BQ$301,$H202))</f>
        <v/>
      </c>
      <c r="J202" s="66" t="str">
        <f>IF($A202="","",MATCH($I202,INDEX(Import_Staging!$AT$2:$BP$301,$H202,0),0))</f>
        <v/>
      </c>
    </row>
    <row r="203">
      <c r="A203" s="65" t="str">
        <f>IF(198&lt;=$F$4,198,"")</f>
        <v/>
      </c>
      <c r="B203" s="65" t="str">
        <f>IF($A203="","",$H203+1)</f>
        <v/>
      </c>
      <c r="C203" s="66" t="str">
        <f>IF($A203="","",INDEX(Import_Staging!$A$2:$A$301,$H203)&amp;"")</f>
        <v/>
      </c>
      <c r="D203" s="66" t="str">
        <f>IF($A203="","",INDEX(Config!$C$39:$C$61,$J203))</f>
        <v/>
      </c>
      <c r="E203" s="66" t="str">
        <f>IF($A203="","",INDEX(Config!$D$39:$D$61,$J203))</f>
        <v/>
      </c>
      <c r="F203" s="67" t="str">
        <f>IF($A203="","",IFERROR(CHOOSE($J203,"movement_id is empty. Every row needs a unique movement ID.","movement_id "&amp;INDEX(Import_Staging!$A$2:$A$301,$H203)&amp;""&amp;" appears earlier in this file (row "&amp;IFERROR(MATCH(INDEX(Import_Staging!$A$2:$A$301,$H203),Import_Staging!$A$2:$A$301,0)+1,"?")&amp;"). Only the first row can be posted.","movement_id "&amp;INDEX(Import_Staging!$A$2:$A$301,$H203)&amp;""&amp;" is already in Inventory_Ledger. The ledger row was not changed.","date is empty.","date "&amp;""""&amp;INDEX(Import_Staging!$B$2:$B$301,$H203)&amp;""&amp;""""&amp;" is not a real date in yyyy-mm-dd format.","date "&amp;TEXT(INDEX(Import_Staging!$M$2:$M$301,$H203),"yyyy-mm-dd")&amp;" is after the as-of date "&amp;TEXT(Config!$B$4,"yyyy-mm-dd")&amp;".","type is empty.","type "&amp;""""&amp;INDEX(Import_Staging!$C$2:$C$301,$H203)&amp;""&amp;""""&amp;" is not a movement type listed on Config.","sku is empty.","SKU "&amp;INDEX(Import_Staging!$D$2:$D$301,$H203)&amp;""&amp;" is not in Products.","supplier_id is empty; receipts need the supplier.","Supplier "&amp;INDEX(Import_Staging!$E$2:$E$301,$H203)&amp;""&amp;" is not in Suppliers.","lot is empty; every movement needs its lot code.","Lot "&amp;INDEX(Import_Staging!$F$2:$F$301,$H203)&amp;""&amp;" is not recorded for "&amp;INDEX(Import_Staging!$D$2:$D$301,$H203)&amp;""&amp;" in Batches.","expiry is empty; receipts need the company-supplied expiry date.","expiry "&amp;""""&amp;INDEX(Import_Staging!$G$2:$G$301,$H203)&amp;""&amp;""""&amp;" is not a real date in yyyy-mm-dd format.","qty is empty.","qty "&amp;""""&amp;INDEX(Import_Staging!$H$2:$H$301,$H203)&amp;""&amp;""""&amp;" is not a valid quantity"&amp;IF(INDEX(Import_Staging!$C$2:$C$301,$H203)&amp;""="",""," for a "&amp;LOWER(INDEX(Import_Staging!$C$2:$C$301,$H203)&amp;""))&amp;".","lot_status is empty; receipts need a lot status.","lot_status "&amp;""""&amp;INDEX(Import_Staging!$I$2:$I$301,$H203)&amp;""&amp;""""&amp;" is not a lot status allowed on receipt (Config).","reason is empty; adjustments need a reason.","source_link is empty; every movement needs a link to its source document.","This row would take recorded stock of "&amp;INDEX(Import_Staging!$D$2:$D$301,$H203)&amp;""&amp;" from "&amp;INDEX(Import_Staging!$R$2:$R$301,$H203)&amp;" to "&amp;INDEX(Import_Staging!$S$2:$S$301,$H203)&amp;"."),$E203))</f>
        <v/>
      </c>
      <c r="G203" s="67" t="str">
        <f>IF($A203="","",INDEX(Config!$F$39:$F$61,$J203))</f>
        <v/>
      </c>
      <c r="H203" s="66" t="str">
        <f>IF($A203="","",MATCH(COUNTIF(Import_Staging!$BS$2:$BS$301,"&lt;"&amp;$A203)+1,Import_Staging!$BR$2:$BR$301,0))</f>
        <v/>
      </c>
      <c r="I203" s="66" t="str">
        <f>IF($A203="","",$A203-INDEX(Import_Staging!$BQ$2:$BQ$301,$H203))</f>
        <v/>
      </c>
      <c r="J203" s="66" t="str">
        <f>IF($A203="","",MATCH($I203,INDEX(Import_Staging!$AT$2:$BP$301,$H203,0),0))</f>
        <v/>
      </c>
    </row>
    <row r="204">
      <c r="A204" s="65" t="str">
        <f>IF(199&lt;=$F$4,199,"")</f>
        <v/>
      </c>
      <c r="B204" s="65" t="str">
        <f>IF($A204="","",$H204+1)</f>
        <v/>
      </c>
      <c r="C204" s="66" t="str">
        <f>IF($A204="","",INDEX(Import_Staging!$A$2:$A$301,$H204)&amp;"")</f>
        <v/>
      </c>
      <c r="D204" s="66" t="str">
        <f>IF($A204="","",INDEX(Config!$C$39:$C$61,$J204))</f>
        <v/>
      </c>
      <c r="E204" s="66" t="str">
        <f>IF($A204="","",INDEX(Config!$D$39:$D$61,$J204))</f>
        <v/>
      </c>
      <c r="F204" s="67" t="str">
        <f>IF($A204="","",IFERROR(CHOOSE($J204,"movement_id is empty. Every row needs a unique movement ID.","movement_id "&amp;INDEX(Import_Staging!$A$2:$A$301,$H204)&amp;""&amp;" appears earlier in this file (row "&amp;IFERROR(MATCH(INDEX(Import_Staging!$A$2:$A$301,$H204),Import_Staging!$A$2:$A$301,0)+1,"?")&amp;"). Only the first row can be posted.","movement_id "&amp;INDEX(Import_Staging!$A$2:$A$301,$H204)&amp;""&amp;" is already in Inventory_Ledger. The ledger row was not changed.","date is empty.","date "&amp;""""&amp;INDEX(Import_Staging!$B$2:$B$301,$H204)&amp;""&amp;""""&amp;" is not a real date in yyyy-mm-dd format.","date "&amp;TEXT(INDEX(Import_Staging!$M$2:$M$301,$H204),"yyyy-mm-dd")&amp;" is after the as-of date "&amp;TEXT(Config!$B$4,"yyyy-mm-dd")&amp;".","type is empty.","type "&amp;""""&amp;INDEX(Import_Staging!$C$2:$C$301,$H204)&amp;""&amp;""""&amp;" is not a movement type listed on Config.","sku is empty.","SKU "&amp;INDEX(Import_Staging!$D$2:$D$301,$H204)&amp;""&amp;" is not in Products.","supplier_id is empty; receipts need the supplier.","Supplier "&amp;INDEX(Import_Staging!$E$2:$E$301,$H204)&amp;""&amp;" is not in Suppliers.","lot is empty; every movement needs its lot code.","Lot "&amp;INDEX(Import_Staging!$F$2:$F$301,$H204)&amp;""&amp;" is not recorded for "&amp;INDEX(Import_Staging!$D$2:$D$301,$H204)&amp;""&amp;" in Batches.","expiry is empty; receipts need the company-supplied expiry date.","expiry "&amp;""""&amp;INDEX(Import_Staging!$G$2:$G$301,$H204)&amp;""&amp;""""&amp;" is not a real date in yyyy-mm-dd format.","qty is empty.","qty "&amp;""""&amp;INDEX(Import_Staging!$H$2:$H$301,$H204)&amp;""&amp;""""&amp;" is not a valid quantity"&amp;IF(INDEX(Import_Staging!$C$2:$C$301,$H204)&amp;""="",""," for a "&amp;LOWER(INDEX(Import_Staging!$C$2:$C$301,$H204)&amp;""))&amp;".","lot_status is empty; receipts need a lot status.","lot_status "&amp;""""&amp;INDEX(Import_Staging!$I$2:$I$301,$H204)&amp;""&amp;""""&amp;" is not a lot status allowed on receipt (Config).","reason is empty; adjustments need a reason.","source_link is empty; every movement needs a link to its source document.","This row would take recorded stock of "&amp;INDEX(Import_Staging!$D$2:$D$301,$H204)&amp;""&amp;" from "&amp;INDEX(Import_Staging!$R$2:$R$301,$H204)&amp;" to "&amp;INDEX(Import_Staging!$S$2:$S$301,$H204)&amp;"."),$E204))</f>
        <v/>
      </c>
      <c r="G204" s="67" t="str">
        <f>IF($A204="","",INDEX(Config!$F$39:$F$61,$J204))</f>
        <v/>
      </c>
      <c r="H204" s="66" t="str">
        <f>IF($A204="","",MATCH(COUNTIF(Import_Staging!$BS$2:$BS$301,"&lt;"&amp;$A204)+1,Import_Staging!$BR$2:$BR$301,0))</f>
        <v/>
      </c>
      <c r="I204" s="66" t="str">
        <f>IF($A204="","",$A204-INDEX(Import_Staging!$BQ$2:$BQ$301,$H204))</f>
        <v/>
      </c>
      <c r="J204" s="66" t="str">
        <f>IF($A204="","",MATCH($I204,INDEX(Import_Staging!$AT$2:$BP$301,$H204,0),0))</f>
        <v/>
      </c>
    </row>
    <row r="205">
      <c r="A205" s="65" t="str">
        <f>IF(200&lt;=$F$4,200,"")</f>
        <v/>
      </c>
      <c r="B205" s="65" t="str">
        <f>IF($A205="","",$H205+1)</f>
        <v/>
      </c>
      <c r="C205" s="66" t="str">
        <f>IF($A205="","",INDEX(Import_Staging!$A$2:$A$301,$H205)&amp;"")</f>
        <v/>
      </c>
      <c r="D205" s="66" t="str">
        <f>IF($A205="","",INDEX(Config!$C$39:$C$61,$J205))</f>
        <v/>
      </c>
      <c r="E205" s="66" t="str">
        <f>IF($A205="","",INDEX(Config!$D$39:$D$61,$J205))</f>
        <v/>
      </c>
      <c r="F205" s="67" t="str">
        <f>IF($A205="","",IFERROR(CHOOSE($J205,"movement_id is empty. Every row needs a unique movement ID.","movement_id "&amp;INDEX(Import_Staging!$A$2:$A$301,$H205)&amp;""&amp;" appears earlier in this file (row "&amp;IFERROR(MATCH(INDEX(Import_Staging!$A$2:$A$301,$H205),Import_Staging!$A$2:$A$301,0)+1,"?")&amp;"). Only the first row can be posted.","movement_id "&amp;INDEX(Import_Staging!$A$2:$A$301,$H205)&amp;""&amp;" is already in Inventory_Ledger. The ledger row was not changed.","date is empty.","date "&amp;""""&amp;INDEX(Import_Staging!$B$2:$B$301,$H205)&amp;""&amp;""""&amp;" is not a real date in yyyy-mm-dd format.","date "&amp;TEXT(INDEX(Import_Staging!$M$2:$M$301,$H205),"yyyy-mm-dd")&amp;" is after the as-of date "&amp;TEXT(Config!$B$4,"yyyy-mm-dd")&amp;".","type is empty.","type "&amp;""""&amp;INDEX(Import_Staging!$C$2:$C$301,$H205)&amp;""&amp;""""&amp;" is not a movement type listed on Config.","sku is empty.","SKU "&amp;INDEX(Import_Staging!$D$2:$D$301,$H205)&amp;""&amp;" is not in Products.","supplier_id is empty; receipts need the supplier.","Supplier "&amp;INDEX(Import_Staging!$E$2:$E$301,$H205)&amp;""&amp;" is not in Suppliers.","lot is empty; every movement needs its lot code.","Lot "&amp;INDEX(Import_Staging!$F$2:$F$301,$H205)&amp;""&amp;" is not recorded for "&amp;INDEX(Import_Staging!$D$2:$D$301,$H205)&amp;""&amp;" in Batches.","expiry is empty; receipts need the company-supplied expiry date.","expiry "&amp;""""&amp;INDEX(Import_Staging!$G$2:$G$301,$H205)&amp;""&amp;""""&amp;" is not a real date in yyyy-mm-dd format.","qty is empty.","qty "&amp;""""&amp;INDEX(Import_Staging!$H$2:$H$301,$H205)&amp;""&amp;""""&amp;" is not a valid quantity"&amp;IF(INDEX(Import_Staging!$C$2:$C$301,$H205)&amp;""="",""," for a "&amp;LOWER(INDEX(Import_Staging!$C$2:$C$301,$H205)&amp;""))&amp;".","lot_status is empty; receipts need a lot status.","lot_status "&amp;""""&amp;INDEX(Import_Staging!$I$2:$I$301,$H205)&amp;""&amp;""""&amp;" is not a lot status allowed on receipt (Config).","reason is empty; adjustments need a reason.","source_link is empty; every movement needs a link to its source document.","This row would take recorded stock of "&amp;INDEX(Import_Staging!$D$2:$D$301,$H205)&amp;""&amp;" from "&amp;INDEX(Import_Staging!$R$2:$R$301,$H205)&amp;" to "&amp;INDEX(Import_Staging!$S$2:$S$301,$H205)&amp;"."),$E205))</f>
        <v/>
      </c>
      <c r="G205" s="67" t="str">
        <f>IF($A205="","",INDEX(Config!$F$39:$F$61,$J205))</f>
        <v/>
      </c>
      <c r="H205" s="66" t="str">
        <f>IF($A205="","",MATCH(COUNTIF(Import_Staging!$BS$2:$BS$301,"&lt;"&amp;$A205)+1,Import_Staging!$BR$2:$BR$301,0))</f>
        <v/>
      </c>
      <c r="I205" s="66" t="str">
        <f>IF($A205="","",$A205-INDEX(Import_Staging!$BQ$2:$BQ$301,$H205))</f>
        <v/>
      </c>
      <c r="J205" s="66" t="str">
        <f>IF($A205="","",MATCH($I205,INDEX(Import_Staging!$AT$2:$BP$301,$H205,0),0))</f>
        <v/>
      </c>
    </row>
    <row r="206">
      <c r="A206" s="65" t="str">
        <f>IF(201&lt;=$F$4,201,"")</f>
        <v/>
      </c>
      <c r="B206" s="65" t="str">
        <f>IF($A206="","",$H206+1)</f>
        <v/>
      </c>
      <c r="C206" s="66" t="str">
        <f>IF($A206="","",INDEX(Import_Staging!$A$2:$A$301,$H206)&amp;"")</f>
        <v/>
      </c>
      <c r="D206" s="66" t="str">
        <f>IF($A206="","",INDEX(Config!$C$39:$C$61,$J206))</f>
        <v/>
      </c>
      <c r="E206" s="66" t="str">
        <f>IF($A206="","",INDEX(Config!$D$39:$D$61,$J206))</f>
        <v/>
      </c>
      <c r="F206" s="67" t="str">
        <f>IF($A206="","",IFERROR(CHOOSE($J206,"movement_id is empty. Every row needs a unique movement ID.","movement_id "&amp;INDEX(Import_Staging!$A$2:$A$301,$H206)&amp;""&amp;" appears earlier in this file (row "&amp;IFERROR(MATCH(INDEX(Import_Staging!$A$2:$A$301,$H206),Import_Staging!$A$2:$A$301,0)+1,"?")&amp;"). Only the first row can be posted.","movement_id "&amp;INDEX(Import_Staging!$A$2:$A$301,$H206)&amp;""&amp;" is already in Inventory_Ledger. The ledger row was not changed.","date is empty.","date "&amp;""""&amp;INDEX(Import_Staging!$B$2:$B$301,$H206)&amp;""&amp;""""&amp;" is not a real date in yyyy-mm-dd format.","date "&amp;TEXT(INDEX(Import_Staging!$M$2:$M$301,$H206),"yyyy-mm-dd")&amp;" is after the as-of date "&amp;TEXT(Config!$B$4,"yyyy-mm-dd")&amp;".","type is empty.","type "&amp;""""&amp;INDEX(Import_Staging!$C$2:$C$301,$H206)&amp;""&amp;""""&amp;" is not a movement type listed on Config.","sku is empty.","SKU "&amp;INDEX(Import_Staging!$D$2:$D$301,$H206)&amp;""&amp;" is not in Products.","supplier_id is empty; receipts need the supplier.","Supplier "&amp;INDEX(Import_Staging!$E$2:$E$301,$H206)&amp;""&amp;" is not in Suppliers.","lot is empty; every movement needs its lot code.","Lot "&amp;INDEX(Import_Staging!$F$2:$F$301,$H206)&amp;""&amp;" is not recorded for "&amp;INDEX(Import_Staging!$D$2:$D$301,$H206)&amp;""&amp;" in Batches.","expiry is empty; receipts need the company-supplied expiry date.","expiry "&amp;""""&amp;INDEX(Import_Staging!$G$2:$G$301,$H206)&amp;""&amp;""""&amp;" is not a real date in yyyy-mm-dd format.","qty is empty.","qty "&amp;""""&amp;INDEX(Import_Staging!$H$2:$H$301,$H206)&amp;""&amp;""""&amp;" is not a valid quantity"&amp;IF(INDEX(Import_Staging!$C$2:$C$301,$H206)&amp;""="",""," for a "&amp;LOWER(INDEX(Import_Staging!$C$2:$C$301,$H206)&amp;""))&amp;".","lot_status is empty; receipts need a lot status.","lot_status "&amp;""""&amp;INDEX(Import_Staging!$I$2:$I$301,$H206)&amp;""&amp;""""&amp;" is not a lot status allowed on receipt (Config).","reason is empty; adjustments need a reason.","source_link is empty; every movement needs a link to its source document.","This row would take recorded stock of "&amp;INDEX(Import_Staging!$D$2:$D$301,$H206)&amp;""&amp;" from "&amp;INDEX(Import_Staging!$R$2:$R$301,$H206)&amp;" to "&amp;INDEX(Import_Staging!$S$2:$S$301,$H206)&amp;"."),$E206))</f>
        <v/>
      </c>
      <c r="G206" s="67" t="str">
        <f>IF($A206="","",INDEX(Config!$F$39:$F$61,$J206))</f>
        <v/>
      </c>
      <c r="H206" s="66" t="str">
        <f>IF($A206="","",MATCH(COUNTIF(Import_Staging!$BS$2:$BS$301,"&lt;"&amp;$A206)+1,Import_Staging!$BR$2:$BR$301,0))</f>
        <v/>
      </c>
      <c r="I206" s="66" t="str">
        <f>IF($A206="","",$A206-INDEX(Import_Staging!$BQ$2:$BQ$301,$H206))</f>
        <v/>
      </c>
      <c r="J206" s="66" t="str">
        <f>IF($A206="","",MATCH($I206,INDEX(Import_Staging!$AT$2:$BP$301,$H206,0),0))</f>
        <v/>
      </c>
    </row>
    <row r="207">
      <c r="A207" s="65" t="str">
        <f>IF(202&lt;=$F$4,202,"")</f>
        <v/>
      </c>
      <c r="B207" s="65" t="str">
        <f>IF($A207="","",$H207+1)</f>
        <v/>
      </c>
      <c r="C207" s="66" t="str">
        <f>IF($A207="","",INDEX(Import_Staging!$A$2:$A$301,$H207)&amp;"")</f>
        <v/>
      </c>
      <c r="D207" s="66" t="str">
        <f>IF($A207="","",INDEX(Config!$C$39:$C$61,$J207))</f>
        <v/>
      </c>
      <c r="E207" s="66" t="str">
        <f>IF($A207="","",INDEX(Config!$D$39:$D$61,$J207))</f>
        <v/>
      </c>
      <c r="F207" s="67" t="str">
        <f>IF($A207="","",IFERROR(CHOOSE($J207,"movement_id is empty. Every row needs a unique movement ID.","movement_id "&amp;INDEX(Import_Staging!$A$2:$A$301,$H207)&amp;""&amp;" appears earlier in this file (row "&amp;IFERROR(MATCH(INDEX(Import_Staging!$A$2:$A$301,$H207),Import_Staging!$A$2:$A$301,0)+1,"?")&amp;"). Only the first row can be posted.","movement_id "&amp;INDEX(Import_Staging!$A$2:$A$301,$H207)&amp;""&amp;" is already in Inventory_Ledger. The ledger row was not changed.","date is empty.","date "&amp;""""&amp;INDEX(Import_Staging!$B$2:$B$301,$H207)&amp;""&amp;""""&amp;" is not a real date in yyyy-mm-dd format.","date "&amp;TEXT(INDEX(Import_Staging!$M$2:$M$301,$H207),"yyyy-mm-dd")&amp;" is after the as-of date "&amp;TEXT(Config!$B$4,"yyyy-mm-dd")&amp;".","type is empty.","type "&amp;""""&amp;INDEX(Import_Staging!$C$2:$C$301,$H207)&amp;""&amp;""""&amp;" is not a movement type listed on Config.","sku is empty.","SKU "&amp;INDEX(Import_Staging!$D$2:$D$301,$H207)&amp;""&amp;" is not in Products.","supplier_id is empty; receipts need the supplier.","Supplier "&amp;INDEX(Import_Staging!$E$2:$E$301,$H207)&amp;""&amp;" is not in Suppliers.","lot is empty; every movement needs its lot code.","Lot "&amp;INDEX(Import_Staging!$F$2:$F$301,$H207)&amp;""&amp;" is not recorded for "&amp;INDEX(Import_Staging!$D$2:$D$301,$H207)&amp;""&amp;" in Batches.","expiry is empty; receipts need the company-supplied expiry date.","expiry "&amp;""""&amp;INDEX(Import_Staging!$G$2:$G$301,$H207)&amp;""&amp;""""&amp;" is not a real date in yyyy-mm-dd format.","qty is empty.","qty "&amp;""""&amp;INDEX(Import_Staging!$H$2:$H$301,$H207)&amp;""&amp;""""&amp;" is not a valid quantity"&amp;IF(INDEX(Import_Staging!$C$2:$C$301,$H207)&amp;""="",""," for a "&amp;LOWER(INDEX(Import_Staging!$C$2:$C$301,$H207)&amp;""))&amp;".","lot_status is empty; receipts need a lot status.","lot_status "&amp;""""&amp;INDEX(Import_Staging!$I$2:$I$301,$H207)&amp;""&amp;""""&amp;" is not a lot status allowed on receipt (Config).","reason is empty; adjustments need a reason.","source_link is empty; every movement needs a link to its source document.","This row would take recorded stock of "&amp;INDEX(Import_Staging!$D$2:$D$301,$H207)&amp;""&amp;" from "&amp;INDEX(Import_Staging!$R$2:$R$301,$H207)&amp;" to "&amp;INDEX(Import_Staging!$S$2:$S$301,$H207)&amp;"."),$E207))</f>
        <v/>
      </c>
      <c r="G207" s="67" t="str">
        <f>IF($A207="","",INDEX(Config!$F$39:$F$61,$J207))</f>
        <v/>
      </c>
      <c r="H207" s="66" t="str">
        <f>IF($A207="","",MATCH(COUNTIF(Import_Staging!$BS$2:$BS$301,"&lt;"&amp;$A207)+1,Import_Staging!$BR$2:$BR$301,0))</f>
        <v/>
      </c>
      <c r="I207" s="66" t="str">
        <f>IF($A207="","",$A207-INDEX(Import_Staging!$BQ$2:$BQ$301,$H207))</f>
        <v/>
      </c>
      <c r="J207" s="66" t="str">
        <f>IF($A207="","",MATCH($I207,INDEX(Import_Staging!$AT$2:$BP$301,$H207,0),0))</f>
        <v/>
      </c>
    </row>
    <row r="208">
      <c r="A208" s="65" t="str">
        <f>IF(203&lt;=$F$4,203,"")</f>
        <v/>
      </c>
      <c r="B208" s="65" t="str">
        <f>IF($A208="","",$H208+1)</f>
        <v/>
      </c>
      <c r="C208" s="66" t="str">
        <f>IF($A208="","",INDEX(Import_Staging!$A$2:$A$301,$H208)&amp;"")</f>
        <v/>
      </c>
      <c r="D208" s="66" t="str">
        <f>IF($A208="","",INDEX(Config!$C$39:$C$61,$J208))</f>
        <v/>
      </c>
      <c r="E208" s="66" t="str">
        <f>IF($A208="","",INDEX(Config!$D$39:$D$61,$J208))</f>
        <v/>
      </c>
      <c r="F208" s="67" t="str">
        <f>IF($A208="","",IFERROR(CHOOSE($J208,"movement_id is empty. Every row needs a unique movement ID.","movement_id "&amp;INDEX(Import_Staging!$A$2:$A$301,$H208)&amp;""&amp;" appears earlier in this file (row "&amp;IFERROR(MATCH(INDEX(Import_Staging!$A$2:$A$301,$H208),Import_Staging!$A$2:$A$301,0)+1,"?")&amp;"). Only the first row can be posted.","movement_id "&amp;INDEX(Import_Staging!$A$2:$A$301,$H208)&amp;""&amp;" is already in Inventory_Ledger. The ledger row was not changed.","date is empty.","date "&amp;""""&amp;INDEX(Import_Staging!$B$2:$B$301,$H208)&amp;""&amp;""""&amp;" is not a real date in yyyy-mm-dd format.","date "&amp;TEXT(INDEX(Import_Staging!$M$2:$M$301,$H208),"yyyy-mm-dd")&amp;" is after the as-of date "&amp;TEXT(Config!$B$4,"yyyy-mm-dd")&amp;".","type is empty.","type "&amp;""""&amp;INDEX(Import_Staging!$C$2:$C$301,$H208)&amp;""&amp;""""&amp;" is not a movement type listed on Config.","sku is empty.","SKU "&amp;INDEX(Import_Staging!$D$2:$D$301,$H208)&amp;""&amp;" is not in Products.","supplier_id is empty; receipts need the supplier.","Supplier "&amp;INDEX(Import_Staging!$E$2:$E$301,$H208)&amp;""&amp;" is not in Suppliers.","lot is empty; every movement needs its lot code.","Lot "&amp;INDEX(Import_Staging!$F$2:$F$301,$H208)&amp;""&amp;" is not recorded for "&amp;INDEX(Import_Staging!$D$2:$D$301,$H208)&amp;""&amp;" in Batches.","expiry is empty; receipts need the company-supplied expiry date.","expiry "&amp;""""&amp;INDEX(Import_Staging!$G$2:$G$301,$H208)&amp;""&amp;""""&amp;" is not a real date in yyyy-mm-dd format.","qty is empty.","qty "&amp;""""&amp;INDEX(Import_Staging!$H$2:$H$301,$H208)&amp;""&amp;""""&amp;" is not a valid quantity"&amp;IF(INDEX(Import_Staging!$C$2:$C$301,$H208)&amp;""="",""," for a "&amp;LOWER(INDEX(Import_Staging!$C$2:$C$301,$H208)&amp;""))&amp;".","lot_status is empty; receipts need a lot status.","lot_status "&amp;""""&amp;INDEX(Import_Staging!$I$2:$I$301,$H208)&amp;""&amp;""""&amp;" is not a lot status allowed on receipt (Config).","reason is empty; adjustments need a reason.","source_link is empty; every movement needs a link to its source document.","This row would take recorded stock of "&amp;INDEX(Import_Staging!$D$2:$D$301,$H208)&amp;""&amp;" from "&amp;INDEX(Import_Staging!$R$2:$R$301,$H208)&amp;" to "&amp;INDEX(Import_Staging!$S$2:$S$301,$H208)&amp;"."),$E208))</f>
        <v/>
      </c>
      <c r="G208" s="67" t="str">
        <f>IF($A208="","",INDEX(Config!$F$39:$F$61,$J208))</f>
        <v/>
      </c>
      <c r="H208" s="66" t="str">
        <f>IF($A208="","",MATCH(COUNTIF(Import_Staging!$BS$2:$BS$301,"&lt;"&amp;$A208)+1,Import_Staging!$BR$2:$BR$301,0))</f>
        <v/>
      </c>
      <c r="I208" s="66" t="str">
        <f>IF($A208="","",$A208-INDEX(Import_Staging!$BQ$2:$BQ$301,$H208))</f>
        <v/>
      </c>
      <c r="J208" s="66" t="str">
        <f>IF($A208="","",MATCH($I208,INDEX(Import_Staging!$AT$2:$BP$301,$H208,0),0))</f>
        <v/>
      </c>
    </row>
    <row r="209">
      <c r="A209" s="65" t="str">
        <f>IF(204&lt;=$F$4,204,"")</f>
        <v/>
      </c>
      <c r="B209" s="65" t="str">
        <f>IF($A209="","",$H209+1)</f>
        <v/>
      </c>
      <c r="C209" s="66" t="str">
        <f>IF($A209="","",INDEX(Import_Staging!$A$2:$A$301,$H209)&amp;"")</f>
        <v/>
      </c>
      <c r="D209" s="66" t="str">
        <f>IF($A209="","",INDEX(Config!$C$39:$C$61,$J209))</f>
        <v/>
      </c>
      <c r="E209" s="66" t="str">
        <f>IF($A209="","",INDEX(Config!$D$39:$D$61,$J209))</f>
        <v/>
      </c>
      <c r="F209" s="67" t="str">
        <f>IF($A209="","",IFERROR(CHOOSE($J209,"movement_id is empty. Every row needs a unique movement ID.","movement_id "&amp;INDEX(Import_Staging!$A$2:$A$301,$H209)&amp;""&amp;" appears earlier in this file (row "&amp;IFERROR(MATCH(INDEX(Import_Staging!$A$2:$A$301,$H209),Import_Staging!$A$2:$A$301,0)+1,"?")&amp;"). Only the first row can be posted.","movement_id "&amp;INDEX(Import_Staging!$A$2:$A$301,$H209)&amp;""&amp;" is already in Inventory_Ledger. The ledger row was not changed.","date is empty.","date "&amp;""""&amp;INDEX(Import_Staging!$B$2:$B$301,$H209)&amp;""&amp;""""&amp;" is not a real date in yyyy-mm-dd format.","date "&amp;TEXT(INDEX(Import_Staging!$M$2:$M$301,$H209),"yyyy-mm-dd")&amp;" is after the as-of date "&amp;TEXT(Config!$B$4,"yyyy-mm-dd")&amp;".","type is empty.","type "&amp;""""&amp;INDEX(Import_Staging!$C$2:$C$301,$H209)&amp;""&amp;""""&amp;" is not a movement type listed on Config.","sku is empty.","SKU "&amp;INDEX(Import_Staging!$D$2:$D$301,$H209)&amp;""&amp;" is not in Products.","supplier_id is empty; receipts need the supplier.","Supplier "&amp;INDEX(Import_Staging!$E$2:$E$301,$H209)&amp;""&amp;" is not in Suppliers.","lot is empty; every movement needs its lot code.","Lot "&amp;INDEX(Import_Staging!$F$2:$F$301,$H209)&amp;""&amp;" is not recorded for "&amp;INDEX(Import_Staging!$D$2:$D$301,$H209)&amp;""&amp;" in Batches.","expiry is empty; receipts need the company-supplied expiry date.","expiry "&amp;""""&amp;INDEX(Import_Staging!$G$2:$G$301,$H209)&amp;""&amp;""""&amp;" is not a real date in yyyy-mm-dd format.","qty is empty.","qty "&amp;""""&amp;INDEX(Import_Staging!$H$2:$H$301,$H209)&amp;""&amp;""""&amp;" is not a valid quantity"&amp;IF(INDEX(Import_Staging!$C$2:$C$301,$H209)&amp;""="",""," for a "&amp;LOWER(INDEX(Import_Staging!$C$2:$C$301,$H209)&amp;""))&amp;".","lot_status is empty; receipts need a lot status.","lot_status "&amp;""""&amp;INDEX(Import_Staging!$I$2:$I$301,$H209)&amp;""&amp;""""&amp;" is not a lot status allowed on receipt (Config).","reason is empty; adjustments need a reason.","source_link is empty; every movement needs a link to its source document.","This row would take recorded stock of "&amp;INDEX(Import_Staging!$D$2:$D$301,$H209)&amp;""&amp;" from "&amp;INDEX(Import_Staging!$R$2:$R$301,$H209)&amp;" to "&amp;INDEX(Import_Staging!$S$2:$S$301,$H209)&amp;"."),$E209))</f>
        <v/>
      </c>
      <c r="G209" s="67" t="str">
        <f>IF($A209="","",INDEX(Config!$F$39:$F$61,$J209))</f>
        <v/>
      </c>
      <c r="H209" s="66" t="str">
        <f>IF($A209="","",MATCH(COUNTIF(Import_Staging!$BS$2:$BS$301,"&lt;"&amp;$A209)+1,Import_Staging!$BR$2:$BR$301,0))</f>
        <v/>
      </c>
      <c r="I209" s="66" t="str">
        <f>IF($A209="","",$A209-INDEX(Import_Staging!$BQ$2:$BQ$301,$H209))</f>
        <v/>
      </c>
      <c r="J209" s="66" t="str">
        <f>IF($A209="","",MATCH($I209,INDEX(Import_Staging!$AT$2:$BP$301,$H209,0),0))</f>
        <v/>
      </c>
    </row>
    <row r="210">
      <c r="A210" s="65" t="str">
        <f>IF(205&lt;=$F$4,205,"")</f>
        <v/>
      </c>
      <c r="B210" s="65" t="str">
        <f>IF($A210="","",$H210+1)</f>
        <v/>
      </c>
      <c r="C210" s="66" t="str">
        <f>IF($A210="","",INDEX(Import_Staging!$A$2:$A$301,$H210)&amp;"")</f>
        <v/>
      </c>
      <c r="D210" s="66" t="str">
        <f>IF($A210="","",INDEX(Config!$C$39:$C$61,$J210))</f>
        <v/>
      </c>
      <c r="E210" s="66" t="str">
        <f>IF($A210="","",INDEX(Config!$D$39:$D$61,$J210))</f>
        <v/>
      </c>
      <c r="F210" s="67" t="str">
        <f>IF($A210="","",IFERROR(CHOOSE($J210,"movement_id is empty. Every row needs a unique movement ID.","movement_id "&amp;INDEX(Import_Staging!$A$2:$A$301,$H210)&amp;""&amp;" appears earlier in this file (row "&amp;IFERROR(MATCH(INDEX(Import_Staging!$A$2:$A$301,$H210),Import_Staging!$A$2:$A$301,0)+1,"?")&amp;"). Only the first row can be posted.","movement_id "&amp;INDEX(Import_Staging!$A$2:$A$301,$H210)&amp;""&amp;" is already in Inventory_Ledger. The ledger row was not changed.","date is empty.","date "&amp;""""&amp;INDEX(Import_Staging!$B$2:$B$301,$H210)&amp;""&amp;""""&amp;" is not a real date in yyyy-mm-dd format.","date "&amp;TEXT(INDEX(Import_Staging!$M$2:$M$301,$H210),"yyyy-mm-dd")&amp;" is after the as-of date "&amp;TEXT(Config!$B$4,"yyyy-mm-dd")&amp;".","type is empty.","type "&amp;""""&amp;INDEX(Import_Staging!$C$2:$C$301,$H210)&amp;""&amp;""""&amp;" is not a movement type listed on Config.","sku is empty.","SKU "&amp;INDEX(Import_Staging!$D$2:$D$301,$H210)&amp;""&amp;" is not in Products.","supplier_id is empty; receipts need the supplier.","Supplier "&amp;INDEX(Import_Staging!$E$2:$E$301,$H210)&amp;""&amp;" is not in Suppliers.","lot is empty; every movement needs its lot code.","Lot "&amp;INDEX(Import_Staging!$F$2:$F$301,$H210)&amp;""&amp;" is not recorded for "&amp;INDEX(Import_Staging!$D$2:$D$301,$H210)&amp;""&amp;" in Batches.","expiry is empty; receipts need the company-supplied expiry date.","expiry "&amp;""""&amp;INDEX(Import_Staging!$G$2:$G$301,$H210)&amp;""&amp;""""&amp;" is not a real date in yyyy-mm-dd format.","qty is empty.","qty "&amp;""""&amp;INDEX(Import_Staging!$H$2:$H$301,$H210)&amp;""&amp;""""&amp;" is not a valid quantity"&amp;IF(INDEX(Import_Staging!$C$2:$C$301,$H210)&amp;""="",""," for a "&amp;LOWER(INDEX(Import_Staging!$C$2:$C$301,$H210)&amp;""))&amp;".","lot_status is empty; receipts need a lot status.","lot_status "&amp;""""&amp;INDEX(Import_Staging!$I$2:$I$301,$H210)&amp;""&amp;""""&amp;" is not a lot status allowed on receipt (Config).","reason is empty; adjustments need a reason.","source_link is empty; every movement needs a link to its source document.","This row would take recorded stock of "&amp;INDEX(Import_Staging!$D$2:$D$301,$H210)&amp;""&amp;" from "&amp;INDEX(Import_Staging!$R$2:$R$301,$H210)&amp;" to "&amp;INDEX(Import_Staging!$S$2:$S$301,$H210)&amp;"."),$E210))</f>
        <v/>
      </c>
      <c r="G210" s="67" t="str">
        <f>IF($A210="","",INDEX(Config!$F$39:$F$61,$J210))</f>
        <v/>
      </c>
      <c r="H210" s="66" t="str">
        <f>IF($A210="","",MATCH(COUNTIF(Import_Staging!$BS$2:$BS$301,"&lt;"&amp;$A210)+1,Import_Staging!$BR$2:$BR$301,0))</f>
        <v/>
      </c>
      <c r="I210" s="66" t="str">
        <f>IF($A210="","",$A210-INDEX(Import_Staging!$BQ$2:$BQ$301,$H210))</f>
        <v/>
      </c>
      <c r="J210" s="66" t="str">
        <f>IF($A210="","",MATCH($I210,INDEX(Import_Staging!$AT$2:$BP$301,$H210,0),0))</f>
        <v/>
      </c>
    </row>
    <row r="211">
      <c r="A211" s="65" t="str">
        <f>IF(206&lt;=$F$4,206,"")</f>
        <v/>
      </c>
      <c r="B211" s="65" t="str">
        <f>IF($A211="","",$H211+1)</f>
        <v/>
      </c>
      <c r="C211" s="66" t="str">
        <f>IF($A211="","",INDEX(Import_Staging!$A$2:$A$301,$H211)&amp;"")</f>
        <v/>
      </c>
      <c r="D211" s="66" t="str">
        <f>IF($A211="","",INDEX(Config!$C$39:$C$61,$J211))</f>
        <v/>
      </c>
      <c r="E211" s="66" t="str">
        <f>IF($A211="","",INDEX(Config!$D$39:$D$61,$J211))</f>
        <v/>
      </c>
      <c r="F211" s="67" t="str">
        <f>IF($A211="","",IFERROR(CHOOSE($J211,"movement_id is empty. Every row needs a unique movement ID.","movement_id "&amp;INDEX(Import_Staging!$A$2:$A$301,$H211)&amp;""&amp;" appears earlier in this file (row "&amp;IFERROR(MATCH(INDEX(Import_Staging!$A$2:$A$301,$H211),Import_Staging!$A$2:$A$301,0)+1,"?")&amp;"). Only the first row can be posted.","movement_id "&amp;INDEX(Import_Staging!$A$2:$A$301,$H211)&amp;""&amp;" is already in Inventory_Ledger. The ledger row was not changed.","date is empty.","date "&amp;""""&amp;INDEX(Import_Staging!$B$2:$B$301,$H211)&amp;""&amp;""""&amp;" is not a real date in yyyy-mm-dd format.","date "&amp;TEXT(INDEX(Import_Staging!$M$2:$M$301,$H211),"yyyy-mm-dd")&amp;" is after the as-of date "&amp;TEXT(Config!$B$4,"yyyy-mm-dd")&amp;".","type is empty.","type "&amp;""""&amp;INDEX(Import_Staging!$C$2:$C$301,$H211)&amp;""&amp;""""&amp;" is not a movement type listed on Config.","sku is empty.","SKU "&amp;INDEX(Import_Staging!$D$2:$D$301,$H211)&amp;""&amp;" is not in Products.","supplier_id is empty; receipts need the supplier.","Supplier "&amp;INDEX(Import_Staging!$E$2:$E$301,$H211)&amp;""&amp;" is not in Suppliers.","lot is empty; every movement needs its lot code.","Lot "&amp;INDEX(Import_Staging!$F$2:$F$301,$H211)&amp;""&amp;" is not recorded for "&amp;INDEX(Import_Staging!$D$2:$D$301,$H211)&amp;""&amp;" in Batches.","expiry is empty; receipts need the company-supplied expiry date.","expiry "&amp;""""&amp;INDEX(Import_Staging!$G$2:$G$301,$H211)&amp;""&amp;""""&amp;" is not a real date in yyyy-mm-dd format.","qty is empty.","qty "&amp;""""&amp;INDEX(Import_Staging!$H$2:$H$301,$H211)&amp;""&amp;""""&amp;" is not a valid quantity"&amp;IF(INDEX(Import_Staging!$C$2:$C$301,$H211)&amp;""="",""," for a "&amp;LOWER(INDEX(Import_Staging!$C$2:$C$301,$H211)&amp;""))&amp;".","lot_status is empty; receipts need a lot status.","lot_status "&amp;""""&amp;INDEX(Import_Staging!$I$2:$I$301,$H211)&amp;""&amp;""""&amp;" is not a lot status allowed on receipt (Config).","reason is empty; adjustments need a reason.","source_link is empty; every movement needs a link to its source document.","This row would take recorded stock of "&amp;INDEX(Import_Staging!$D$2:$D$301,$H211)&amp;""&amp;" from "&amp;INDEX(Import_Staging!$R$2:$R$301,$H211)&amp;" to "&amp;INDEX(Import_Staging!$S$2:$S$301,$H211)&amp;"."),$E211))</f>
        <v/>
      </c>
      <c r="G211" s="67" t="str">
        <f>IF($A211="","",INDEX(Config!$F$39:$F$61,$J211))</f>
        <v/>
      </c>
      <c r="H211" s="66" t="str">
        <f>IF($A211="","",MATCH(COUNTIF(Import_Staging!$BS$2:$BS$301,"&lt;"&amp;$A211)+1,Import_Staging!$BR$2:$BR$301,0))</f>
        <v/>
      </c>
      <c r="I211" s="66" t="str">
        <f>IF($A211="","",$A211-INDEX(Import_Staging!$BQ$2:$BQ$301,$H211))</f>
        <v/>
      </c>
      <c r="J211" s="66" t="str">
        <f>IF($A211="","",MATCH($I211,INDEX(Import_Staging!$AT$2:$BP$301,$H211,0),0))</f>
        <v/>
      </c>
    </row>
    <row r="212">
      <c r="A212" s="65" t="str">
        <f>IF(207&lt;=$F$4,207,"")</f>
        <v/>
      </c>
      <c r="B212" s="65" t="str">
        <f>IF($A212="","",$H212+1)</f>
        <v/>
      </c>
      <c r="C212" s="66" t="str">
        <f>IF($A212="","",INDEX(Import_Staging!$A$2:$A$301,$H212)&amp;"")</f>
        <v/>
      </c>
      <c r="D212" s="66" t="str">
        <f>IF($A212="","",INDEX(Config!$C$39:$C$61,$J212))</f>
        <v/>
      </c>
      <c r="E212" s="66" t="str">
        <f>IF($A212="","",INDEX(Config!$D$39:$D$61,$J212))</f>
        <v/>
      </c>
      <c r="F212" s="67" t="str">
        <f>IF($A212="","",IFERROR(CHOOSE($J212,"movement_id is empty. Every row needs a unique movement ID.","movement_id "&amp;INDEX(Import_Staging!$A$2:$A$301,$H212)&amp;""&amp;" appears earlier in this file (row "&amp;IFERROR(MATCH(INDEX(Import_Staging!$A$2:$A$301,$H212),Import_Staging!$A$2:$A$301,0)+1,"?")&amp;"). Only the first row can be posted.","movement_id "&amp;INDEX(Import_Staging!$A$2:$A$301,$H212)&amp;""&amp;" is already in Inventory_Ledger. The ledger row was not changed.","date is empty.","date "&amp;""""&amp;INDEX(Import_Staging!$B$2:$B$301,$H212)&amp;""&amp;""""&amp;" is not a real date in yyyy-mm-dd format.","date "&amp;TEXT(INDEX(Import_Staging!$M$2:$M$301,$H212),"yyyy-mm-dd")&amp;" is after the as-of date "&amp;TEXT(Config!$B$4,"yyyy-mm-dd")&amp;".","type is empty.","type "&amp;""""&amp;INDEX(Import_Staging!$C$2:$C$301,$H212)&amp;""&amp;""""&amp;" is not a movement type listed on Config.","sku is empty.","SKU "&amp;INDEX(Import_Staging!$D$2:$D$301,$H212)&amp;""&amp;" is not in Products.","supplier_id is empty; receipts need the supplier.","Supplier "&amp;INDEX(Import_Staging!$E$2:$E$301,$H212)&amp;""&amp;" is not in Suppliers.","lot is empty; every movement needs its lot code.","Lot "&amp;INDEX(Import_Staging!$F$2:$F$301,$H212)&amp;""&amp;" is not recorded for "&amp;INDEX(Import_Staging!$D$2:$D$301,$H212)&amp;""&amp;" in Batches.","expiry is empty; receipts need the company-supplied expiry date.","expiry "&amp;""""&amp;INDEX(Import_Staging!$G$2:$G$301,$H212)&amp;""&amp;""""&amp;" is not a real date in yyyy-mm-dd format.","qty is empty.","qty "&amp;""""&amp;INDEX(Import_Staging!$H$2:$H$301,$H212)&amp;""&amp;""""&amp;" is not a valid quantity"&amp;IF(INDEX(Import_Staging!$C$2:$C$301,$H212)&amp;""="",""," for a "&amp;LOWER(INDEX(Import_Staging!$C$2:$C$301,$H212)&amp;""))&amp;".","lot_status is empty; receipts need a lot status.","lot_status "&amp;""""&amp;INDEX(Import_Staging!$I$2:$I$301,$H212)&amp;""&amp;""""&amp;" is not a lot status allowed on receipt (Config).","reason is empty; adjustments need a reason.","source_link is empty; every movement needs a link to its source document.","This row would take recorded stock of "&amp;INDEX(Import_Staging!$D$2:$D$301,$H212)&amp;""&amp;" from "&amp;INDEX(Import_Staging!$R$2:$R$301,$H212)&amp;" to "&amp;INDEX(Import_Staging!$S$2:$S$301,$H212)&amp;"."),$E212))</f>
        <v/>
      </c>
      <c r="G212" s="67" t="str">
        <f>IF($A212="","",INDEX(Config!$F$39:$F$61,$J212))</f>
        <v/>
      </c>
      <c r="H212" s="66" t="str">
        <f>IF($A212="","",MATCH(COUNTIF(Import_Staging!$BS$2:$BS$301,"&lt;"&amp;$A212)+1,Import_Staging!$BR$2:$BR$301,0))</f>
        <v/>
      </c>
      <c r="I212" s="66" t="str">
        <f>IF($A212="","",$A212-INDEX(Import_Staging!$BQ$2:$BQ$301,$H212))</f>
        <v/>
      </c>
      <c r="J212" s="66" t="str">
        <f>IF($A212="","",MATCH($I212,INDEX(Import_Staging!$AT$2:$BP$301,$H212,0),0))</f>
        <v/>
      </c>
    </row>
    <row r="213">
      <c r="A213" s="65" t="str">
        <f>IF(208&lt;=$F$4,208,"")</f>
        <v/>
      </c>
      <c r="B213" s="65" t="str">
        <f>IF($A213="","",$H213+1)</f>
        <v/>
      </c>
      <c r="C213" s="66" t="str">
        <f>IF($A213="","",INDEX(Import_Staging!$A$2:$A$301,$H213)&amp;"")</f>
        <v/>
      </c>
      <c r="D213" s="66" t="str">
        <f>IF($A213="","",INDEX(Config!$C$39:$C$61,$J213))</f>
        <v/>
      </c>
      <c r="E213" s="66" t="str">
        <f>IF($A213="","",INDEX(Config!$D$39:$D$61,$J213))</f>
        <v/>
      </c>
      <c r="F213" s="67" t="str">
        <f>IF($A213="","",IFERROR(CHOOSE($J213,"movement_id is empty. Every row needs a unique movement ID.","movement_id "&amp;INDEX(Import_Staging!$A$2:$A$301,$H213)&amp;""&amp;" appears earlier in this file (row "&amp;IFERROR(MATCH(INDEX(Import_Staging!$A$2:$A$301,$H213),Import_Staging!$A$2:$A$301,0)+1,"?")&amp;"). Only the first row can be posted.","movement_id "&amp;INDEX(Import_Staging!$A$2:$A$301,$H213)&amp;""&amp;" is already in Inventory_Ledger. The ledger row was not changed.","date is empty.","date "&amp;""""&amp;INDEX(Import_Staging!$B$2:$B$301,$H213)&amp;""&amp;""""&amp;" is not a real date in yyyy-mm-dd format.","date "&amp;TEXT(INDEX(Import_Staging!$M$2:$M$301,$H213),"yyyy-mm-dd")&amp;" is after the as-of date "&amp;TEXT(Config!$B$4,"yyyy-mm-dd")&amp;".","type is empty.","type "&amp;""""&amp;INDEX(Import_Staging!$C$2:$C$301,$H213)&amp;""&amp;""""&amp;" is not a movement type listed on Config.","sku is empty.","SKU "&amp;INDEX(Import_Staging!$D$2:$D$301,$H213)&amp;""&amp;" is not in Products.","supplier_id is empty; receipts need the supplier.","Supplier "&amp;INDEX(Import_Staging!$E$2:$E$301,$H213)&amp;""&amp;" is not in Suppliers.","lot is empty; every movement needs its lot code.","Lot "&amp;INDEX(Import_Staging!$F$2:$F$301,$H213)&amp;""&amp;" is not recorded for "&amp;INDEX(Import_Staging!$D$2:$D$301,$H213)&amp;""&amp;" in Batches.","expiry is empty; receipts need the company-supplied expiry date.","expiry "&amp;""""&amp;INDEX(Import_Staging!$G$2:$G$301,$H213)&amp;""&amp;""""&amp;" is not a real date in yyyy-mm-dd format.","qty is empty.","qty "&amp;""""&amp;INDEX(Import_Staging!$H$2:$H$301,$H213)&amp;""&amp;""""&amp;" is not a valid quantity"&amp;IF(INDEX(Import_Staging!$C$2:$C$301,$H213)&amp;""="",""," for a "&amp;LOWER(INDEX(Import_Staging!$C$2:$C$301,$H213)&amp;""))&amp;".","lot_status is empty; receipts need a lot status.","lot_status "&amp;""""&amp;INDEX(Import_Staging!$I$2:$I$301,$H213)&amp;""&amp;""""&amp;" is not a lot status allowed on receipt (Config).","reason is empty; adjustments need a reason.","source_link is empty; every movement needs a link to its source document.","This row would take recorded stock of "&amp;INDEX(Import_Staging!$D$2:$D$301,$H213)&amp;""&amp;" from "&amp;INDEX(Import_Staging!$R$2:$R$301,$H213)&amp;" to "&amp;INDEX(Import_Staging!$S$2:$S$301,$H213)&amp;"."),$E213))</f>
        <v/>
      </c>
      <c r="G213" s="67" t="str">
        <f>IF($A213="","",INDEX(Config!$F$39:$F$61,$J213))</f>
        <v/>
      </c>
      <c r="H213" s="66" t="str">
        <f>IF($A213="","",MATCH(COUNTIF(Import_Staging!$BS$2:$BS$301,"&lt;"&amp;$A213)+1,Import_Staging!$BR$2:$BR$301,0))</f>
        <v/>
      </c>
      <c r="I213" s="66" t="str">
        <f>IF($A213="","",$A213-INDEX(Import_Staging!$BQ$2:$BQ$301,$H213))</f>
        <v/>
      </c>
      <c r="J213" s="66" t="str">
        <f>IF($A213="","",MATCH($I213,INDEX(Import_Staging!$AT$2:$BP$301,$H213,0),0))</f>
        <v/>
      </c>
    </row>
    <row r="214">
      <c r="A214" s="65" t="str">
        <f>IF(209&lt;=$F$4,209,"")</f>
        <v/>
      </c>
      <c r="B214" s="65" t="str">
        <f>IF($A214="","",$H214+1)</f>
        <v/>
      </c>
      <c r="C214" s="66" t="str">
        <f>IF($A214="","",INDEX(Import_Staging!$A$2:$A$301,$H214)&amp;"")</f>
        <v/>
      </c>
      <c r="D214" s="66" t="str">
        <f>IF($A214="","",INDEX(Config!$C$39:$C$61,$J214))</f>
        <v/>
      </c>
      <c r="E214" s="66" t="str">
        <f>IF($A214="","",INDEX(Config!$D$39:$D$61,$J214))</f>
        <v/>
      </c>
      <c r="F214" s="67" t="str">
        <f>IF($A214="","",IFERROR(CHOOSE($J214,"movement_id is empty. Every row needs a unique movement ID.","movement_id "&amp;INDEX(Import_Staging!$A$2:$A$301,$H214)&amp;""&amp;" appears earlier in this file (row "&amp;IFERROR(MATCH(INDEX(Import_Staging!$A$2:$A$301,$H214),Import_Staging!$A$2:$A$301,0)+1,"?")&amp;"). Only the first row can be posted.","movement_id "&amp;INDEX(Import_Staging!$A$2:$A$301,$H214)&amp;""&amp;" is already in Inventory_Ledger. The ledger row was not changed.","date is empty.","date "&amp;""""&amp;INDEX(Import_Staging!$B$2:$B$301,$H214)&amp;""&amp;""""&amp;" is not a real date in yyyy-mm-dd format.","date "&amp;TEXT(INDEX(Import_Staging!$M$2:$M$301,$H214),"yyyy-mm-dd")&amp;" is after the as-of date "&amp;TEXT(Config!$B$4,"yyyy-mm-dd")&amp;".","type is empty.","type "&amp;""""&amp;INDEX(Import_Staging!$C$2:$C$301,$H214)&amp;""&amp;""""&amp;" is not a movement type listed on Config.","sku is empty.","SKU "&amp;INDEX(Import_Staging!$D$2:$D$301,$H214)&amp;""&amp;" is not in Products.","supplier_id is empty; receipts need the supplier.","Supplier "&amp;INDEX(Import_Staging!$E$2:$E$301,$H214)&amp;""&amp;" is not in Suppliers.","lot is empty; every movement needs its lot code.","Lot "&amp;INDEX(Import_Staging!$F$2:$F$301,$H214)&amp;""&amp;" is not recorded for "&amp;INDEX(Import_Staging!$D$2:$D$301,$H214)&amp;""&amp;" in Batches.","expiry is empty; receipts need the company-supplied expiry date.","expiry "&amp;""""&amp;INDEX(Import_Staging!$G$2:$G$301,$H214)&amp;""&amp;""""&amp;" is not a real date in yyyy-mm-dd format.","qty is empty.","qty "&amp;""""&amp;INDEX(Import_Staging!$H$2:$H$301,$H214)&amp;""&amp;""""&amp;" is not a valid quantity"&amp;IF(INDEX(Import_Staging!$C$2:$C$301,$H214)&amp;""="",""," for a "&amp;LOWER(INDEX(Import_Staging!$C$2:$C$301,$H214)&amp;""))&amp;".","lot_status is empty; receipts need a lot status.","lot_status "&amp;""""&amp;INDEX(Import_Staging!$I$2:$I$301,$H214)&amp;""&amp;""""&amp;" is not a lot status allowed on receipt (Config).","reason is empty; adjustments need a reason.","source_link is empty; every movement needs a link to its source document.","This row would take recorded stock of "&amp;INDEX(Import_Staging!$D$2:$D$301,$H214)&amp;""&amp;" from "&amp;INDEX(Import_Staging!$R$2:$R$301,$H214)&amp;" to "&amp;INDEX(Import_Staging!$S$2:$S$301,$H214)&amp;"."),$E214))</f>
        <v/>
      </c>
      <c r="G214" s="67" t="str">
        <f>IF($A214="","",INDEX(Config!$F$39:$F$61,$J214))</f>
        <v/>
      </c>
      <c r="H214" s="66" t="str">
        <f>IF($A214="","",MATCH(COUNTIF(Import_Staging!$BS$2:$BS$301,"&lt;"&amp;$A214)+1,Import_Staging!$BR$2:$BR$301,0))</f>
        <v/>
      </c>
      <c r="I214" s="66" t="str">
        <f>IF($A214="","",$A214-INDEX(Import_Staging!$BQ$2:$BQ$301,$H214))</f>
        <v/>
      </c>
      <c r="J214" s="66" t="str">
        <f>IF($A214="","",MATCH($I214,INDEX(Import_Staging!$AT$2:$BP$301,$H214,0),0))</f>
        <v/>
      </c>
    </row>
    <row r="215">
      <c r="A215" s="65" t="str">
        <f>IF(210&lt;=$F$4,210,"")</f>
        <v/>
      </c>
      <c r="B215" s="65" t="str">
        <f>IF($A215="","",$H215+1)</f>
        <v/>
      </c>
      <c r="C215" s="66" t="str">
        <f>IF($A215="","",INDEX(Import_Staging!$A$2:$A$301,$H215)&amp;"")</f>
        <v/>
      </c>
      <c r="D215" s="66" t="str">
        <f>IF($A215="","",INDEX(Config!$C$39:$C$61,$J215))</f>
        <v/>
      </c>
      <c r="E215" s="66" t="str">
        <f>IF($A215="","",INDEX(Config!$D$39:$D$61,$J215))</f>
        <v/>
      </c>
      <c r="F215" s="67" t="str">
        <f>IF($A215="","",IFERROR(CHOOSE($J215,"movement_id is empty. Every row needs a unique movement ID.","movement_id "&amp;INDEX(Import_Staging!$A$2:$A$301,$H215)&amp;""&amp;" appears earlier in this file (row "&amp;IFERROR(MATCH(INDEX(Import_Staging!$A$2:$A$301,$H215),Import_Staging!$A$2:$A$301,0)+1,"?")&amp;"). Only the first row can be posted.","movement_id "&amp;INDEX(Import_Staging!$A$2:$A$301,$H215)&amp;""&amp;" is already in Inventory_Ledger. The ledger row was not changed.","date is empty.","date "&amp;""""&amp;INDEX(Import_Staging!$B$2:$B$301,$H215)&amp;""&amp;""""&amp;" is not a real date in yyyy-mm-dd format.","date "&amp;TEXT(INDEX(Import_Staging!$M$2:$M$301,$H215),"yyyy-mm-dd")&amp;" is after the as-of date "&amp;TEXT(Config!$B$4,"yyyy-mm-dd")&amp;".","type is empty.","type "&amp;""""&amp;INDEX(Import_Staging!$C$2:$C$301,$H215)&amp;""&amp;""""&amp;" is not a movement type listed on Config.","sku is empty.","SKU "&amp;INDEX(Import_Staging!$D$2:$D$301,$H215)&amp;""&amp;" is not in Products.","supplier_id is empty; receipts need the supplier.","Supplier "&amp;INDEX(Import_Staging!$E$2:$E$301,$H215)&amp;""&amp;" is not in Suppliers.","lot is empty; every movement needs its lot code.","Lot "&amp;INDEX(Import_Staging!$F$2:$F$301,$H215)&amp;""&amp;" is not recorded for "&amp;INDEX(Import_Staging!$D$2:$D$301,$H215)&amp;""&amp;" in Batches.","expiry is empty; receipts need the company-supplied expiry date.","expiry "&amp;""""&amp;INDEX(Import_Staging!$G$2:$G$301,$H215)&amp;""&amp;""""&amp;" is not a real date in yyyy-mm-dd format.","qty is empty.","qty "&amp;""""&amp;INDEX(Import_Staging!$H$2:$H$301,$H215)&amp;""&amp;""""&amp;" is not a valid quantity"&amp;IF(INDEX(Import_Staging!$C$2:$C$301,$H215)&amp;""="",""," for a "&amp;LOWER(INDEX(Import_Staging!$C$2:$C$301,$H215)&amp;""))&amp;".","lot_status is empty; receipts need a lot status.","lot_status "&amp;""""&amp;INDEX(Import_Staging!$I$2:$I$301,$H215)&amp;""&amp;""""&amp;" is not a lot status allowed on receipt (Config).","reason is empty; adjustments need a reason.","source_link is empty; every movement needs a link to its source document.","This row would take recorded stock of "&amp;INDEX(Import_Staging!$D$2:$D$301,$H215)&amp;""&amp;" from "&amp;INDEX(Import_Staging!$R$2:$R$301,$H215)&amp;" to "&amp;INDEX(Import_Staging!$S$2:$S$301,$H215)&amp;"."),$E215))</f>
        <v/>
      </c>
      <c r="G215" s="67" t="str">
        <f>IF($A215="","",INDEX(Config!$F$39:$F$61,$J215))</f>
        <v/>
      </c>
      <c r="H215" s="66" t="str">
        <f>IF($A215="","",MATCH(COUNTIF(Import_Staging!$BS$2:$BS$301,"&lt;"&amp;$A215)+1,Import_Staging!$BR$2:$BR$301,0))</f>
        <v/>
      </c>
      <c r="I215" s="66" t="str">
        <f>IF($A215="","",$A215-INDEX(Import_Staging!$BQ$2:$BQ$301,$H215))</f>
        <v/>
      </c>
      <c r="J215" s="66" t="str">
        <f>IF($A215="","",MATCH($I215,INDEX(Import_Staging!$AT$2:$BP$301,$H215,0),0))</f>
        <v/>
      </c>
    </row>
    <row r="216">
      <c r="A216" s="65" t="str">
        <f>IF(211&lt;=$F$4,211,"")</f>
        <v/>
      </c>
      <c r="B216" s="65" t="str">
        <f>IF($A216="","",$H216+1)</f>
        <v/>
      </c>
      <c r="C216" s="66" t="str">
        <f>IF($A216="","",INDEX(Import_Staging!$A$2:$A$301,$H216)&amp;"")</f>
        <v/>
      </c>
      <c r="D216" s="66" t="str">
        <f>IF($A216="","",INDEX(Config!$C$39:$C$61,$J216))</f>
        <v/>
      </c>
      <c r="E216" s="66" t="str">
        <f>IF($A216="","",INDEX(Config!$D$39:$D$61,$J216))</f>
        <v/>
      </c>
      <c r="F216" s="67" t="str">
        <f>IF($A216="","",IFERROR(CHOOSE($J216,"movement_id is empty. Every row needs a unique movement ID.","movement_id "&amp;INDEX(Import_Staging!$A$2:$A$301,$H216)&amp;""&amp;" appears earlier in this file (row "&amp;IFERROR(MATCH(INDEX(Import_Staging!$A$2:$A$301,$H216),Import_Staging!$A$2:$A$301,0)+1,"?")&amp;"). Only the first row can be posted.","movement_id "&amp;INDEX(Import_Staging!$A$2:$A$301,$H216)&amp;""&amp;" is already in Inventory_Ledger. The ledger row was not changed.","date is empty.","date "&amp;""""&amp;INDEX(Import_Staging!$B$2:$B$301,$H216)&amp;""&amp;""""&amp;" is not a real date in yyyy-mm-dd format.","date "&amp;TEXT(INDEX(Import_Staging!$M$2:$M$301,$H216),"yyyy-mm-dd")&amp;" is after the as-of date "&amp;TEXT(Config!$B$4,"yyyy-mm-dd")&amp;".","type is empty.","type "&amp;""""&amp;INDEX(Import_Staging!$C$2:$C$301,$H216)&amp;""&amp;""""&amp;" is not a movement type listed on Config.","sku is empty.","SKU "&amp;INDEX(Import_Staging!$D$2:$D$301,$H216)&amp;""&amp;" is not in Products.","supplier_id is empty; receipts need the supplier.","Supplier "&amp;INDEX(Import_Staging!$E$2:$E$301,$H216)&amp;""&amp;" is not in Suppliers.","lot is empty; every movement needs its lot code.","Lot "&amp;INDEX(Import_Staging!$F$2:$F$301,$H216)&amp;""&amp;" is not recorded for "&amp;INDEX(Import_Staging!$D$2:$D$301,$H216)&amp;""&amp;" in Batches.","expiry is empty; receipts need the company-supplied expiry date.","expiry "&amp;""""&amp;INDEX(Import_Staging!$G$2:$G$301,$H216)&amp;""&amp;""""&amp;" is not a real date in yyyy-mm-dd format.","qty is empty.","qty "&amp;""""&amp;INDEX(Import_Staging!$H$2:$H$301,$H216)&amp;""&amp;""""&amp;" is not a valid quantity"&amp;IF(INDEX(Import_Staging!$C$2:$C$301,$H216)&amp;""="",""," for a "&amp;LOWER(INDEX(Import_Staging!$C$2:$C$301,$H216)&amp;""))&amp;".","lot_status is empty; receipts need a lot status.","lot_status "&amp;""""&amp;INDEX(Import_Staging!$I$2:$I$301,$H216)&amp;""&amp;""""&amp;" is not a lot status allowed on receipt (Config).","reason is empty; adjustments need a reason.","source_link is empty; every movement needs a link to its source document.","This row would take recorded stock of "&amp;INDEX(Import_Staging!$D$2:$D$301,$H216)&amp;""&amp;" from "&amp;INDEX(Import_Staging!$R$2:$R$301,$H216)&amp;" to "&amp;INDEX(Import_Staging!$S$2:$S$301,$H216)&amp;"."),$E216))</f>
        <v/>
      </c>
      <c r="G216" s="67" t="str">
        <f>IF($A216="","",INDEX(Config!$F$39:$F$61,$J216))</f>
        <v/>
      </c>
      <c r="H216" s="66" t="str">
        <f>IF($A216="","",MATCH(COUNTIF(Import_Staging!$BS$2:$BS$301,"&lt;"&amp;$A216)+1,Import_Staging!$BR$2:$BR$301,0))</f>
        <v/>
      </c>
      <c r="I216" s="66" t="str">
        <f>IF($A216="","",$A216-INDEX(Import_Staging!$BQ$2:$BQ$301,$H216))</f>
        <v/>
      </c>
      <c r="J216" s="66" t="str">
        <f>IF($A216="","",MATCH($I216,INDEX(Import_Staging!$AT$2:$BP$301,$H216,0),0))</f>
        <v/>
      </c>
    </row>
    <row r="217">
      <c r="A217" s="65" t="str">
        <f>IF(212&lt;=$F$4,212,"")</f>
        <v/>
      </c>
      <c r="B217" s="65" t="str">
        <f>IF($A217="","",$H217+1)</f>
        <v/>
      </c>
      <c r="C217" s="66" t="str">
        <f>IF($A217="","",INDEX(Import_Staging!$A$2:$A$301,$H217)&amp;"")</f>
        <v/>
      </c>
      <c r="D217" s="66" t="str">
        <f>IF($A217="","",INDEX(Config!$C$39:$C$61,$J217))</f>
        <v/>
      </c>
      <c r="E217" s="66" t="str">
        <f>IF($A217="","",INDEX(Config!$D$39:$D$61,$J217))</f>
        <v/>
      </c>
      <c r="F217" s="67" t="str">
        <f>IF($A217="","",IFERROR(CHOOSE($J217,"movement_id is empty. Every row needs a unique movement ID.","movement_id "&amp;INDEX(Import_Staging!$A$2:$A$301,$H217)&amp;""&amp;" appears earlier in this file (row "&amp;IFERROR(MATCH(INDEX(Import_Staging!$A$2:$A$301,$H217),Import_Staging!$A$2:$A$301,0)+1,"?")&amp;"). Only the first row can be posted.","movement_id "&amp;INDEX(Import_Staging!$A$2:$A$301,$H217)&amp;""&amp;" is already in Inventory_Ledger. The ledger row was not changed.","date is empty.","date "&amp;""""&amp;INDEX(Import_Staging!$B$2:$B$301,$H217)&amp;""&amp;""""&amp;" is not a real date in yyyy-mm-dd format.","date "&amp;TEXT(INDEX(Import_Staging!$M$2:$M$301,$H217),"yyyy-mm-dd")&amp;" is after the as-of date "&amp;TEXT(Config!$B$4,"yyyy-mm-dd")&amp;".","type is empty.","type "&amp;""""&amp;INDEX(Import_Staging!$C$2:$C$301,$H217)&amp;""&amp;""""&amp;" is not a movement type listed on Config.","sku is empty.","SKU "&amp;INDEX(Import_Staging!$D$2:$D$301,$H217)&amp;""&amp;" is not in Products.","supplier_id is empty; receipts need the supplier.","Supplier "&amp;INDEX(Import_Staging!$E$2:$E$301,$H217)&amp;""&amp;" is not in Suppliers.","lot is empty; every movement needs its lot code.","Lot "&amp;INDEX(Import_Staging!$F$2:$F$301,$H217)&amp;""&amp;" is not recorded for "&amp;INDEX(Import_Staging!$D$2:$D$301,$H217)&amp;""&amp;" in Batches.","expiry is empty; receipts need the company-supplied expiry date.","expiry "&amp;""""&amp;INDEX(Import_Staging!$G$2:$G$301,$H217)&amp;""&amp;""""&amp;" is not a real date in yyyy-mm-dd format.","qty is empty.","qty "&amp;""""&amp;INDEX(Import_Staging!$H$2:$H$301,$H217)&amp;""&amp;""""&amp;" is not a valid quantity"&amp;IF(INDEX(Import_Staging!$C$2:$C$301,$H217)&amp;""="",""," for a "&amp;LOWER(INDEX(Import_Staging!$C$2:$C$301,$H217)&amp;""))&amp;".","lot_status is empty; receipts need a lot status.","lot_status "&amp;""""&amp;INDEX(Import_Staging!$I$2:$I$301,$H217)&amp;""&amp;""""&amp;" is not a lot status allowed on receipt (Config).","reason is empty; adjustments need a reason.","source_link is empty; every movement needs a link to its source document.","This row would take recorded stock of "&amp;INDEX(Import_Staging!$D$2:$D$301,$H217)&amp;""&amp;" from "&amp;INDEX(Import_Staging!$R$2:$R$301,$H217)&amp;" to "&amp;INDEX(Import_Staging!$S$2:$S$301,$H217)&amp;"."),$E217))</f>
        <v/>
      </c>
      <c r="G217" s="67" t="str">
        <f>IF($A217="","",INDEX(Config!$F$39:$F$61,$J217))</f>
        <v/>
      </c>
      <c r="H217" s="66" t="str">
        <f>IF($A217="","",MATCH(COUNTIF(Import_Staging!$BS$2:$BS$301,"&lt;"&amp;$A217)+1,Import_Staging!$BR$2:$BR$301,0))</f>
        <v/>
      </c>
      <c r="I217" s="66" t="str">
        <f>IF($A217="","",$A217-INDEX(Import_Staging!$BQ$2:$BQ$301,$H217))</f>
        <v/>
      </c>
      <c r="J217" s="66" t="str">
        <f>IF($A217="","",MATCH($I217,INDEX(Import_Staging!$AT$2:$BP$301,$H217,0),0))</f>
        <v/>
      </c>
    </row>
    <row r="218">
      <c r="A218" s="65" t="str">
        <f>IF(213&lt;=$F$4,213,"")</f>
        <v/>
      </c>
      <c r="B218" s="65" t="str">
        <f>IF($A218="","",$H218+1)</f>
        <v/>
      </c>
      <c r="C218" s="66" t="str">
        <f>IF($A218="","",INDEX(Import_Staging!$A$2:$A$301,$H218)&amp;"")</f>
        <v/>
      </c>
      <c r="D218" s="66" t="str">
        <f>IF($A218="","",INDEX(Config!$C$39:$C$61,$J218))</f>
        <v/>
      </c>
      <c r="E218" s="66" t="str">
        <f>IF($A218="","",INDEX(Config!$D$39:$D$61,$J218))</f>
        <v/>
      </c>
      <c r="F218" s="67" t="str">
        <f>IF($A218="","",IFERROR(CHOOSE($J218,"movement_id is empty. Every row needs a unique movement ID.","movement_id "&amp;INDEX(Import_Staging!$A$2:$A$301,$H218)&amp;""&amp;" appears earlier in this file (row "&amp;IFERROR(MATCH(INDEX(Import_Staging!$A$2:$A$301,$H218),Import_Staging!$A$2:$A$301,0)+1,"?")&amp;"). Only the first row can be posted.","movement_id "&amp;INDEX(Import_Staging!$A$2:$A$301,$H218)&amp;""&amp;" is already in Inventory_Ledger. The ledger row was not changed.","date is empty.","date "&amp;""""&amp;INDEX(Import_Staging!$B$2:$B$301,$H218)&amp;""&amp;""""&amp;" is not a real date in yyyy-mm-dd format.","date "&amp;TEXT(INDEX(Import_Staging!$M$2:$M$301,$H218),"yyyy-mm-dd")&amp;" is after the as-of date "&amp;TEXT(Config!$B$4,"yyyy-mm-dd")&amp;".","type is empty.","type "&amp;""""&amp;INDEX(Import_Staging!$C$2:$C$301,$H218)&amp;""&amp;""""&amp;" is not a movement type listed on Config.","sku is empty.","SKU "&amp;INDEX(Import_Staging!$D$2:$D$301,$H218)&amp;""&amp;" is not in Products.","supplier_id is empty; receipts need the supplier.","Supplier "&amp;INDEX(Import_Staging!$E$2:$E$301,$H218)&amp;""&amp;" is not in Suppliers.","lot is empty; every movement needs its lot code.","Lot "&amp;INDEX(Import_Staging!$F$2:$F$301,$H218)&amp;""&amp;" is not recorded for "&amp;INDEX(Import_Staging!$D$2:$D$301,$H218)&amp;""&amp;" in Batches.","expiry is empty; receipts need the company-supplied expiry date.","expiry "&amp;""""&amp;INDEX(Import_Staging!$G$2:$G$301,$H218)&amp;""&amp;""""&amp;" is not a real date in yyyy-mm-dd format.","qty is empty.","qty "&amp;""""&amp;INDEX(Import_Staging!$H$2:$H$301,$H218)&amp;""&amp;""""&amp;" is not a valid quantity"&amp;IF(INDEX(Import_Staging!$C$2:$C$301,$H218)&amp;""="",""," for a "&amp;LOWER(INDEX(Import_Staging!$C$2:$C$301,$H218)&amp;""))&amp;".","lot_status is empty; receipts need a lot status.","lot_status "&amp;""""&amp;INDEX(Import_Staging!$I$2:$I$301,$H218)&amp;""&amp;""""&amp;" is not a lot status allowed on receipt (Config).","reason is empty; adjustments need a reason.","source_link is empty; every movement needs a link to its source document.","This row would take recorded stock of "&amp;INDEX(Import_Staging!$D$2:$D$301,$H218)&amp;""&amp;" from "&amp;INDEX(Import_Staging!$R$2:$R$301,$H218)&amp;" to "&amp;INDEX(Import_Staging!$S$2:$S$301,$H218)&amp;"."),$E218))</f>
        <v/>
      </c>
      <c r="G218" s="67" t="str">
        <f>IF($A218="","",INDEX(Config!$F$39:$F$61,$J218))</f>
        <v/>
      </c>
      <c r="H218" s="66" t="str">
        <f>IF($A218="","",MATCH(COUNTIF(Import_Staging!$BS$2:$BS$301,"&lt;"&amp;$A218)+1,Import_Staging!$BR$2:$BR$301,0))</f>
        <v/>
      </c>
      <c r="I218" s="66" t="str">
        <f>IF($A218="","",$A218-INDEX(Import_Staging!$BQ$2:$BQ$301,$H218))</f>
        <v/>
      </c>
      <c r="J218" s="66" t="str">
        <f>IF($A218="","",MATCH($I218,INDEX(Import_Staging!$AT$2:$BP$301,$H218,0),0))</f>
        <v/>
      </c>
    </row>
    <row r="219">
      <c r="A219" s="65" t="str">
        <f>IF(214&lt;=$F$4,214,"")</f>
        <v/>
      </c>
      <c r="B219" s="65" t="str">
        <f>IF($A219="","",$H219+1)</f>
        <v/>
      </c>
      <c r="C219" s="66" t="str">
        <f>IF($A219="","",INDEX(Import_Staging!$A$2:$A$301,$H219)&amp;"")</f>
        <v/>
      </c>
      <c r="D219" s="66" t="str">
        <f>IF($A219="","",INDEX(Config!$C$39:$C$61,$J219))</f>
        <v/>
      </c>
      <c r="E219" s="66" t="str">
        <f>IF($A219="","",INDEX(Config!$D$39:$D$61,$J219))</f>
        <v/>
      </c>
      <c r="F219" s="67" t="str">
        <f>IF($A219="","",IFERROR(CHOOSE($J219,"movement_id is empty. Every row needs a unique movement ID.","movement_id "&amp;INDEX(Import_Staging!$A$2:$A$301,$H219)&amp;""&amp;" appears earlier in this file (row "&amp;IFERROR(MATCH(INDEX(Import_Staging!$A$2:$A$301,$H219),Import_Staging!$A$2:$A$301,0)+1,"?")&amp;"). Only the first row can be posted.","movement_id "&amp;INDEX(Import_Staging!$A$2:$A$301,$H219)&amp;""&amp;" is already in Inventory_Ledger. The ledger row was not changed.","date is empty.","date "&amp;""""&amp;INDEX(Import_Staging!$B$2:$B$301,$H219)&amp;""&amp;""""&amp;" is not a real date in yyyy-mm-dd format.","date "&amp;TEXT(INDEX(Import_Staging!$M$2:$M$301,$H219),"yyyy-mm-dd")&amp;" is after the as-of date "&amp;TEXT(Config!$B$4,"yyyy-mm-dd")&amp;".","type is empty.","type "&amp;""""&amp;INDEX(Import_Staging!$C$2:$C$301,$H219)&amp;""&amp;""""&amp;" is not a movement type listed on Config.","sku is empty.","SKU "&amp;INDEX(Import_Staging!$D$2:$D$301,$H219)&amp;""&amp;" is not in Products.","supplier_id is empty; receipts need the supplier.","Supplier "&amp;INDEX(Import_Staging!$E$2:$E$301,$H219)&amp;""&amp;" is not in Suppliers.","lot is empty; every movement needs its lot code.","Lot "&amp;INDEX(Import_Staging!$F$2:$F$301,$H219)&amp;""&amp;" is not recorded for "&amp;INDEX(Import_Staging!$D$2:$D$301,$H219)&amp;""&amp;" in Batches.","expiry is empty; receipts need the company-supplied expiry date.","expiry "&amp;""""&amp;INDEX(Import_Staging!$G$2:$G$301,$H219)&amp;""&amp;""""&amp;" is not a real date in yyyy-mm-dd format.","qty is empty.","qty "&amp;""""&amp;INDEX(Import_Staging!$H$2:$H$301,$H219)&amp;""&amp;""""&amp;" is not a valid quantity"&amp;IF(INDEX(Import_Staging!$C$2:$C$301,$H219)&amp;""="",""," for a "&amp;LOWER(INDEX(Import_Staging!$C$2:$C$301,$H219)&amp;""))&amp;".","lot_status is empty; receipts need a lot status.","lot_status "&amp;""""&amp;INDEX(Import_Staging!$I$2:$I$301,$H219)&amp;""&amp;""""&amp;" is not a lot status allowed on receipt (Config).","reason is empty; adjustments need a reason.","source_link is empty; every movement needs a link to its source document.","This row would take recorded stock of "&amp;INDEX(Import_Staging!$D$2:$D$301,$H219)&amp;""&amp;" from "&amp;INDEX(Import_Staging!$R$2:$R$301,$H219)&amp;" to "&amp;INDEX(Import_Staging!$S$2:$S$301,$H219)&amp;"."),$E219))</f>
        <v/>
      </c>
      <c r="G219" s="67" t="str">
        <f>IF($A219="","",INDEX(Config!$F$39:$F$61,$J219))</f>
        <v/>
      </c>
      <c r="H219" s="66" t="str">
        <f>IF($A219="","",MATCH(COUNTIF(Import_Staging!$BS$2:$BS$301,"&lt;"&amp;$A219)+1,Import_Staging!$BR$2:$BR$301,0))</f>
        <v/>
      </c>
      <c r="I219" s="66" t="str">
        <f>IF($A219="","",$A219-INDEX(Import_Staging!$BQ$2:$BQ$301,$H219))</f>
        <v/>
      </c>
      <c r="J219" s="66" t="str">
        <f>IF($A219="","",MATCH($I219,INDEX(Import_Staging!$AT$2:$BP$301,$H219,0),0))</f>
        <v/>
      </c>
    </row>
    <row r="220">
      <c r="A220" s="65" t="str">
        <f>IF(215&lt;=$F$4,215,"")</f>
        <v/>
      </c>
      <c r="B220" s="65" t="str">
        <f>IF($A220="","",$H220+1)</f>
        <v/>
      </c>
      <c r="C220" s="66" t="str">
        <f>IF($A220="","",INDEX(Import_Staging!$A$2:$A$301,$H220)&amp;"")</f>
        <v/>
      </c>
      <c r="D220" s="66" t="str">
        <f>IF($A220="","",INDEX(Config!$C$39:$C$61,$J220))</f>
        <v/>
      </c>
      <c r="E220" s="66" t="str">
        <f>IF($A220="","",INDEX(Config!$D$39:$D$61,$J220))</f>
        <v/>
      </c>
      <c r="F220" s="67" t="str">
        <f>IF($A220="","",IFERROR(CHOOSE($J220,"movement_id is empty. Every row needs a unique movement ID.","movement_id "&amp;INDEX(Import_Staging!$A$2:$A$301,$H220)&amp;""&amp;" appears earlier in this file (row "&amp;IFERROR(MATCH(INDEX(Import_Staging!$A$2:$A$301,$H220),Import_Staging!$A$2:$A$301,0)+1,"?")&amp;"). Only the first row can be posted.","movement_id "&amp;INDEX(Import_Staging!$A$2:$A$301,$H220)&amp;""&amp;" is already in Inventory_Ledger. The ledger row was not changed.","date is empty.","date "&amp;""""&amp;INDEX(Import_Staging!$B$2:$B$301,$H220)&amp;""&amp;""""&amp;" is not a real date in yyyy-mm-dd format.","date "&amp;TEXT(INDEX(Import_Staging!$M$2:$M$301,$H220),"yyyy-mm-dd")&amp;" is after the as-of date "&amp;TEXT(Config!$B$4,"yyyy-mm-dd")&amp;".","type is empty.","type "&amp;""""&amp;INDEX(Import_Staging!$C$2:$C$301,$H220)&amp;""&amp;""""&amp;" is not a movement type listed on Config.","sku is empty.","SKU "&amp;INDEX(Import_Staging!$D$2:$D$301,$H220)&amp;""&amp;" is not in Products.","supplier_id is empty; receipts need the supplier.","Supplier "&amp;INDEX(Import_Staging!$E$2:$E$301,$H220)&amp;""&amp;" is not in Suppliers.","lot is empty; every movement needs its lot code.","Lot "&amp;INDEX(Import_Staging!$F$2:$F$301,$H220)&amp;""&amp;" is not recorded for "&amp;INDEX(Import_Staging!$D$2:$D$301,$H220)&amp;""&amp;" in Batches.","expiry is empty; receipts need the company-supplied expiry date.","expiry "&amp;""""&amp;INDEX(Import_Staging!$G$2:$G$301,$H220)&amp;""&amp;""""&amp;" is not a real date in yyyy-mm-dd format.","qty is empty.","qty "&amp;""""&amp;INDEX(Import_Staging!$H$2:$H$301,$H220)&amp;""&amp;""""&amp;" is not a valid quantity"&amp;IF(INDEX(Import_Staging!$C$2:$C$301,$H220)&amp;""="",""," for a "&amp;LOWER(INDEX(Import_Staging!$C$2:$C$301,$H220)&amp;""))&amp;".","lot_status is empty; receipts need a lot status.","lot_status "&amp;""""&amp;INDEX(Import_Staging!$I$2:$I$301,$H220)&amp;""&amp;""""&amp;" is not a lot status allowed on receipt (Config).","reason is empty; adjustments need a reason.","source_link is empty; every movement needs a link to its source document.","This row would take recorded stock of "&amp;INDEX(Import_Staging!$D$2:$D$301,$H220)&amp;""&amp;" from "&amp;INDEX(Import_Staging!$R$2:$R$301,$H220)&amp;" to "&amp;INDEX(Import_Staging!$S$2:$S$301,$H220)&amp;"."),$E220))</f>
        <v/>
      </c>
      <c r="G220" s="67" t="str">
        <f>IF($A220="","",INDEX(Config!$F$39:$F$61,$J220))</f>
        <v/>
      </c>
      <c r="H220" s="66" t="str">
        <f>IF($A220="","",MATCH(COUNTIF(Import_Staging!$BS$2:$BS$301,"&lt;"&amp;$A220)+1,Import_Staging!$BR$2:$BR$301,0))</f>
        <v/>
      </c>
      <c r="I220" s="66" t="str">
        <f>IF($A220="","",$A220-INDEX(Import_Staging!$BQ$2:$BQ$301,$H220))</f>
        <v/>
      </c>
      <c r="J220" s="66" t="str">
        <f>IF($A220="","",MATCH($I220,INDEX(Import_Staging!$AT$2:$BP$301,$H220,0),0))</f>
        <v/>
      </c>
    </row>
    <row r="221">
      <c r="A221" s="65" t="str">
        <f>IF(216&lt;=$F$4,216,"")</f>
        <v/>
      </c>
      <c r="B221" s="65" t="str">
        <f>IF($A221="","",$H221+1)</f>
        <v/>
      </c>
      <c r="C221" s="66" t="str">
        <f>IF($A221="","",INDEX(Import_Staging!$A$2:$A$301,$H221)&amp;"")</f>
        <v/>
      </c>
      <c r="D221" s="66" t="str">
        <f>IF($A221="","",INDEX(Config!$C$39:$C$61,$J221))</f>
        <v/>
      </c>
      <c r="E221" s="66" t="str">
        <f>IF($A221="","",INDEX(Config!$D$39:$D$61,$J221))</f>
        <v/>
      </c>
      <c r="F221" s="67" t="str">
        <f>IF($A221="","",IFERROR(CHOOSE($J221,"movement_id is empty. Every row needs a unique movement ID.","movement_id "&amp;INDEX(Import_Staging!$A$2:$A$301,$H221)&amp;""&amp;" appears earlier in this file (row "&amp;IFERROR(MATCH(INDEX(Import_Staging!$A$2:$A$301,$H221),Import_Staging!$A$2:$A$301,0)+1,"?")&amp;"). Only the first row can be posted.","movement_id "&amp;INDEX(Import_Staging!$A$2:$A$301,$H221)&amp;""&amp;" is already in Inventory_Ledger. The ledger row was not changed.","date is empty.","date "&amp;""""&amp;INDEX(Import_Staging!$B$2:$B$301,$H221)&amp;""&amp;""""&amp;" is not a real date in yyyy-mm-dd format.","date "&amp;TEXT(INDEX(Import_Staging!$M$2:$M$301,$H221),"yyyy-mm-dd")&amp;" is after the as-of date "&amp;TEXT(Config!$B$4,"yyyy-mm-dd")&amp;".","type is empty.","type "&amp;""""&amp;INDEX(Import_Staging!$C$2:$C$301,$H221)&amp;""&amp;""""&amp;" is not a movement type listed on Config.","sku is empty.","SKU "&amp;INDEX(Import_Staging!$D$2:$D$301,$H221)&amp;""&amp;" is not in Products.","supplier_id is empty; receipts need the supplier.","Supplier "&amp;INDEX(Import_Staging!$E$2:$E$301,$H221)&amp;""&amp;" is not in Suppliers.","lot is empty; every movement needs its lot code.","Lot "&amp;INDEX(Import_Staging!$F$2:$F$301,$H221)&amp;""&amp;" is not recorded for "&amp;INDEX(Import_Staging!$D$2:$D$301,$H221)&amp;""&amp;" in Batches.","expiry is empty; receipts need the company-supplied expiry date.","expiry "&amp;""""&amp;INDEX(Import_Staging!$G$2:$G$301,$H221)&amp;""&amp;""""&amp;" is not a real date in yyyy-mm-dd format.","qty is empty.","qty "&amp;""""&amp;INDEX(Import_Staging!$H$2:$H$301,$H221)&amp;""&amp;""""&amp;" is not a valid quantity"&amp;IF(INDEX(Import_Staging!$C$2:$C$301,$H221)&amp;""="",""," for a "&amp;LOWER(INDEX(Import_Staging!$C$2:$C$301,$H221)&amp;""))&amp;".","lot_status is empty; receipts need a lot status.","lot_status "&amp;""""&amp;INDEX(Import_Staging!$I$2:$I$301,$H221)&amp;""&amp;""""&amp;" is not a lot status allowed on receipt (Config).","reason is empty; adjustments need a reason.","source_link is empty; every movement needs a link to its source document.","This row would take recorded stock of "&amp;INDEX(Import_Staging!$D$2:$D$301,$H221)&amp;""&amp;" from "&amp;INDEX(Import_Staging!$R$2:$R$301,$H221)&amp;" to "&amp;INDEX(Import_Staging!$S$2:$S$301,$H221)&amp;"."),$E221))</f>
        <v/>
      </c>
      <c r="G221" s="67" t="str">
        <f>IF($A221="","",INDEX(Config!$F$39:$F$61,$J221))</f>
        <v/>
      </c>
      <c r="H221" s="66" t="str">
        <f>IF($A221="","",MATCH(COUNTIF(Import_Staging!$BS$2:$BS$301,"&lt;"&amp;$A221)+1,Import_Staging!$BR$2:$BR$301,0))</f>
        <v/>
      </c>
      <c r="I221" s="66" t="str">
        <f>IF($A221="","",$A221-INDEX(Import_Staging!$BQ$2:$BQ$301,$H221))</f>
        <v/>
      </c>
      <c r="J221" s="66" t="str">
        <f>IF($A221="","",MATCH($I221,INDEX(Import_Staging!$AT$2:$BP$301,$H221,0),0))</f>
        <v/>
      </c>
    </row>
    <row r="222">
      <c r="A222" s="65" t="str">
        <f>IF(217&lt;=$F$4,217,"")</f>
        <v/>
      </c>
      <c r="B222" s="65" t="str">
        <f>IF($A222="","",$H222+1)</f>
        <v/>
      </c>
      <c r="C222" s="66" t="str">
        <f>IF($A222="","",INDEX(Import_Staging!$A$2:$A$301,$H222)&amp;"")</f>
        <v/>
      </c>
      <c r="D222" s="66" t="str">
        <f>IF($A222="","",INDEX(Config!$C$39:$C$61,$J222))</f>
        <v/>
      </c>
      <c r="E222" s="66" t="str">
        <f>IF($A222="","",INDEX(Config!$D$39:$D$61,$J222))</f>
        <v/>
      </c>
      <c r="F222" s="67" t="str">
        <f>IF($A222="","",IFERROR(CHOOSE($J222,"movement_id is empty. Every row needs a unique movement ID.","movement_id "&amp;INDEX(Import_Staging!$A$2:$A$301,$H222)&amp;""&amp;" appears earlier in this file (row "&amp;IFERROR(MATCH(INDEX(Import_Staging!$A$2:$A$301,$H222),Import_Staging!$A$2:$A$301,0)+1,"?")&amp;"). Only the first row can be posted.","movement_id "&amp;INDEX(Import_Staging!$A$2:$A$301,$H222)&amp;""&amp;" is already in Inventory_Ledger. The ledger row was not changed.","date is empty.","date "&amp;""""&amp;INDEX(Import_Staging!$B$2:$B$301,$H222)&amp;""&amp;""""&amp;" is not a real date in yyyy-mm-dd format.","date "&amp;TEXT(INDEX(Import_Staging!$M$2:$M$301,$H222),"yyyy-mm-dd")&amp;" is after the as-of date "&amp;TEXT(Config!$B$4,"yyyy-mm-dd")&amp;".","type is empty.","type "&amp;""""&amp;INDEX(Import_Staging!$C$2:$C$301,$H222)&amp;""&amp;""""&amp;" is not a movement type listed on Config.","sku is empty.","SKU "&amp;INDEX(Import_Staging!$D$2:$D$301,$H222)&amp;""&amp;" is not in Products.","supplier_id is empty; receipts need the supplier.","Supplier "&amp;INDEX(Import_Staging!$E$2:$E$301,$H222)&amp;""&amp;" is not in Suppliers.","lot is empty; every movement needs its lot code.","Lot "&amp;INDEX(Import_Staging!$F$2:$F$301,$H222)&amp;""&amp;" is not recorded for "&amp;INDEX(Import_Staging!$D$2:$D$301,$H222)&amp;""&amp;" in Batches.","expiry is empty; receipts need the company-supplied expiry date.","expiry "&amp;""""&amp;INDEX(Import_Staging!$G$2:$G$301,$H222)&amp;""&amp;""""&amp;" is not a real date in yyyy-mm-dd format.","qty is empty.","qty "&amp;""""&amp;INDEX(Import_Staging!$H$2:$H$301,$H222)&amp;""&amp;""""&amp;" is not a valid quantity"&amp;IF(INDEX(Import_Staging!$C$2:$C$301,$H222)&amp;""="",""," for a "&amp;LOWER(INDEX(Import_Staging!$C$2:$C$301,$H222)&amp;""))&amp;".","lot_status is empty; receipts need a lot status.","lot_status "&amp;""""&amp;INDEX(Import_Staging!$I$2:$I$301,$H222)&amp;""&amp;""""&amp;" is not a lot status allowed on receipt (Config).","reason is empty; adjustments need a reason.","source_link is empty; every movement needs a link to its source document.","This row would take recorded stock of "&amp;INDEX(Import_Staging!$D$2:$D$301,$H222)&amp;""&amp;" from "&amp;INDEX(Import_Staging!$R$2:$R$301,$H222)&amp;" to "&amp;INDEX(Import_Staging!$S$2:$S$301,$H222)&amp;"."),$E222))</f>
        <v/>
      </c>
      <c r="G222" s="67" t="str">
        <f>IF($A222="","",INDEX(Config!$F$39:$F$61,$J222))</f>
        <v/>
      </c>
      <c r="H222" s="66" t="str">
        <f>IF($A222="","",MATCH(COUNTIF(Import_Staging!$BS$2:$BS$301,"&lt;"&amp;$A222)+1,Import_Staging!$BR$2:$BR$301,0))</f>
        <v/>
      </c>
      <c r="I222" s="66" t="str">
        <f>IF($A222="","",$A222-INDEX(Import_Staging!$BQ$2:$BQ$301,$H222))</f>
        <v/>
      </c>
      <c r="J222" s="66" t="str">
        <f>IF($A222="","",MATCH($I222,INDEX(Import_Staging!$AT$2:$BP$301,$H222,0),0))</f>
        <v/>
      </c>
    </row>
    <row r="223">
      <c r="A223" s="65" t="str">
        <f>IF(218&lt;=$F$4,218,"")</f>
        <v/>
      </c>
      <c r="B223" s="65" t="str">
        <f>IF($A223="","",$H223+1)</f>
        <v/>
      </c>
      <c r="C223" s="66" t="str">
        <f>IF($A223="","",INDEX(Import_Staging!$A$2:$A$301,$H223)&amp;"")</f>
        <v/>
      </c>
      <c r="D223" s="66" t="str">
        <f>IF($A223="","",INDEX(Config!$C$39:$C$61,$J223))</f>
        <v/>
      </c>
      <c r="E223" s="66" t="str">
        <f>IF($A223="","",INDEX(Config!$D$39:$D$61,$J223))</f>
        <v/>
      </c>
      <c r="F223" s="67" t="str">
        <f>IF($A223="","",IFERROR(CHOOSE($J223,"movement_id is empty. Every row needs a unique movement ID.","movement_id "&amp;INDEX(Import_Staging!$A$2:$A$301,$H223)&amp;""&amp;" appears earlier in this file (row "&amp;IFERROR(MATCH(INDEX(Import_Staging!$A$2:$A$301,$H223),Import_Staging!$A$2:$A$301,0)+1,"?")&amp;"). Only the first row can be posted.","movement_id "&amp;INDEX(Import_Staging!$A$2:$A$301,$H223)&amp;""&amp;" is already in Inventory_Ledger. The ledger row was not changed.","date is empty.","date "&amp;""""&amp;INDEX(Import_Staging!$B$2:$B$301,$H223)&amp;""&amp;""""&amp;" is not a real date in yyyy-mm-dd format.","date "&amp;TEXT(INDEX(Import_Staging!$M$2:$M$301,$H223),"yyyy-mm-dd")&amp;" is after the as-of date "&amp;TEXT(Config!$B$4,"yyyy-mm-dd")&amp;".","type is empty.","type "&amp;""""&amp;INDEX(Import_Staging!$C$2:$C$301,$H223)&amp;""&amp;""""&amp;" is not a movement type listed on Config.","sku is empty.","SKU "&amp;INDEX(Import_Staging!$D$2:$D$301,$H223)&amp;""&amp;" is not in Products.","supplier_id is empty; receipts need the supplier.","Supplier "&amp;INDEX(Import_Staging!$E$2:$E$301,$H223)&amp;""&amp;" is not in Suppliers.","lot is empty; every movement needs its lot code.","Lot "&amp;INDEX(Import_Staging!$F$2:$F$301,$H223)&amp;""&amp;" is not recorded for "&amp;INDEX(Import_Staging!$D$2:$D$301,$H223)&amp;""&amp;" in Batches.","expiry is empty; receipts need the company-supplied expiry date.","expiry "&amp;""""&amp;INDEX(Import_Staging!$G$2:$G$301,$H223)&amp;""&amp;""""&amp;" is not a real date in yyyy-mm-dd format.","qty is empty.","qty "&amp;""""&amp;INDEX(Import_Staging!$H$2:$H$301,$H223)&amp;""&amp;""""&amp;" is not a valid quantity"&amp;IF(INDEX(Import_Staging!$C$2:$C$301,$H223)&amp;""="",""," for a "&amp;LOWER(INDEX(Import_Staging!$C$2:$C$301,$H223)&amp;""))&amp;".","lot_status is empty; receipts need a lot status.","lot_status "&amp;""""&amp;INDEX(Import_Staging!$I$2:$I$301,$H223)&amp;""&amp;""""&amp;" is not a lot status allowed on receipt (Config).","reason is empty; adjustments need a reason.","source_link is empty; every movement needs a link to its source document.","This row would take recorded stock of "&amp;INDEX(Import_Staging!$D$2:$D$301,$H223)&amp;""&amp;" from "&amp;INDEX(Import_Staging!$R$2:$R$301,$H223)&amp;" to "&amp;INDEX(Import_Staging!$S$2:$S$301,$H223)&amp;"."),$E223))</f>
        <v/>
      </c>
      <c r="G223" s="67" t="str">
        <f>IF($A223="","",INDEX(Config!$F$39:$F$61,$J223))</f>
        <v/>
      </c>
      <c r="H223" s="66" t="str">
        <f>IF($A223="","",MATCH(COUNTIF(Import_Staging!$BS$2:$BS$301,"&lt;"&amp;$A223)+1,Import_Staging!$BR$2:$BR$301,0))</f>
        <v/>
      </c>
      <c r="I223" s="66" t="str">
        <f>IF($A223="","",$A223-INDEX(Import_Staging!$BQ$2:$BQ$301,$H223))</f>
        <v/>
      </c>
      <c r="J223" s="66" t="str">
        <f>IF($A223="","",MATCH($I223,INDEX(Import_Staging!$AT$2:$BP$301,$H223,0),0))</f>
        <v/>
      </c>
    </row>
    <row r="224">
      <c r="A224" s="65" t="str">
        <f>IF(219&lt;=$F$4,219,"")</f>
        <v/>
      </c>
      <c r="B224" s="65" t="str">
        <f>IF($A224="","",$H224+1)</f>
        <v/>
      </c>
      <c r="C224" s="66" t="str">
        <f>IF($A224="","",INDEX(Import_Staging!$A$2:$A$301,$H224)&amp;"")</f>
        <v/>
      </c>
      <c r="D224" s="66" t="str">
        <f>IF($A224="","",INDEX(Config!$C$39:$C$61,$J224))</f>
        <v/>
      </c>
      <c r="E224" s="66" t="str">
        <f>IF($A224="","",INDEX(Config!$D$39:$D$61,$J224))</f>
        <v/>
      </c>
      <c r="F224" s="67" t="str">
        <f>IF($A224="","",IFERROR(CHOOSE($J224,"movement_id is empty. Every row needs a unique movement ID.","movement_id "&amp;INDEX(Import_Staging!$A$2:$A$301,$H224)&amp;""&amp;" appears earlier in this file (row "&amp;IFERROR(MATCH(INDEX(Import_Staging!$A$2:$A$301,$H224),Import_Staging!$A$2:$A$301,0)+1,"?")&amp;"). Only the first row can be posted.","movement_id "&amp;INDEX(Import_Staging!$A$2:$A$301,$H224)&amp;""&amp;" is already in Inventory_Ledger. The ledger row was not changed.","date is empty.","date "&amp;""""&amp;INDEX(Import_Staging!$B$2:$B$301,$H224)&amp;""&amp;""""&amp;" is not a real date in yyyy-mm-dd format.","date "&amp;TEXT(INDEX(Import_Staging!$M$2:$M$301,$H224),"yyyy-mm-dd")&amp;" is after the as-of date "&amp;TEXT(Config!$B$4,"yyyy-mm-dd")&amp;".","type is empty.","type "&amp;""""&amp;INDEX(Import_Staging!$C$2:$C$301,$H224)&amp;""&amp;""""&amp;" is not a movement type listed on Config.","sku is empty.","SKU "&amp;INDEX(Import_Staging!$D$2:$D$301,$H224)&amp;""&amp;" is not in Products.","supplier_id is empty; receipts need the supplier.","Supplier "&amp;INDEX(Import_Staging!$E$2:$E$301,$H224)&amp;""&amp;" is not in Suppliers.","lot is empty; every movement needs its lot code.","Lot "&amp;INDEX(Import_Staging!$F$2:$F$301,$H224)&amp;""&amp;" is not recorded for "&amp;INDEX(Import_Staging!$D$2:$D$301,$H224)&amp;""&amp;" in Batches.","expiry is empty; receipts need the company-supplied expiry date.","expiry "&amp;""""&amp;INDEX(Import_Staging!$G$2:$G$301,$H224)&amp;""&amp;""""&amp;" is not a real date in yyyy-mm-dd format.","qty is empty.","qty "&amp;""""&amp;INDEX(Import_Staging!$H$2:$H$301,$H224)&amp;""&amp;""""&amp;" is not a valid quantity"&amp;IF(INDEX(Import_Staging!$C$2:$C$301,$H224)&amp;""="",""," for a "&amp;LOWER(INDEX(Import_Staging!$C$2:$C$301,$H224)&amp;""))&amp;".","lot_status is empty; receipts need a lot status.","lot_status "&amp;""""&amp;INDEX(Import_Staging!$I$2:$I$301,$H224)&amp;""&amp;""""&amp;" is not a lot status allowed on receipt (Config).","reason is empty; adjustments need a reason.","source_link is empty; every movement needs a link to its source document.","This row would take recorded stock of "&amp;INDEX(Import_Staging!$D$2:$D$301,$H224)&amp;""&amp;" from "&amp;INDEX(Import_Staging!$R$2:$R$301,$H224)&amp;" to "&amp;INDEX(Import_Staging!$S$2:$S$301,$H224)&amp;"."),$E224))</f>
        <v/>
      </c>
      <c r="G224" s="67" t="str">
        <f>IF($A224="","",INDEX(Config!$F$39:$F$61,$J224))</f>
        <v/>
      </c>
      <c r="H224" s="66" t="str">
        <f>IF($A224="","",MATCH(COUNTIF(Import_Staging!$BS$2:$BS$301,"&lt;"&amp;$A224)+1,Import_Staging!$BR$2:$BR$301,0))</f>
        <v/>
      </c>
      <c r="I224" s="66" t="str">
        <f>IF($A224="","",$A224-INDEX(Import_Staging!$BQ$2:$BQ$301,$H224))</f>
        <v/>
      </c>
      <c r="J224" s="66" t="str">
        <f>IF($A224="","",MATCH($I224,INDEX(Import_Staging!$AT$2:$BP$301,$H224,0),0))</f>
        <v/>
      </c>
    </row>
    <row r="225">
      <c r="A225" s="65" t="str">
        <f>IF(220&lt;=$F$4,220,"")</f>
        <v/>
      </c>
      <c r="B225" s="65" t="str">
        <f>IF($A225="","",$H225+1)</f>
        <v/>
      </c>
      <c r="C225" s="66" t="str">
        <f>IF($A225="","",INDEX(Import_Staging!$A$2:$A$301,$H225)&amp;"")</f>
        <v/>
      </c>
      <c r="D225" s="66" t="str">
        <f>IF($A225="","",INDEX(Config!$C$39:$C$61,$J225))</f>
        <v/>
      </c>
      <c r="E225" s="66" t="str">
        <f>IF($A225="","",INDEX(Config!$D$39:$D$61,$J225))</f>
        <v/>
      </c>
      <c r="F225" s="67" t="str">
        <f>IF($A225="","",IFERROR(CHOOSE($J225,"movement_id is empty. Every row needs a unique movement ID.","movement_id "&amp;INDEX(Import_Staging!$A$2:$A$301,$H225)&amp;""&amp;" appears earlier in this file (row "&amp;IFERROR(MATCH(INDEX(Import_Staging!$A$2:$A$301,$H225),Import_Staging!$A$2:$A$301,0)+1,"?")&amp;"). Only the first row can be posted.","movement_id "&amp;INDEX(Import_Staging!$A$2:$A$301,$H225)&amp;""&amp;" is already in Inventory_Ledger. The ledger row was not changed.","date is empty.","date "&amp;""""&amp;INDEX(Import_Staging!$B$2:$B$301,$H225)&amp;""&amp;""""&amp;" is not a real date in yyyy-mm-dd format.","date "&amp;TEXT(INDEX(Import_Staging!$M$2:$M$301,$H225),"yyyy-mm-dd")&amp;" is after the as-of date "&amp;TEXT(Config!$B$4,"yyyy-mm-dd")&amp;".","type is empty.","type "&amp;""""&amp;INDEX(Import_Staging!$C$2:$C$301,$H225)&amp;""&amp;""""&amp;" is not a movement type listed on Config.","sku is empty.","SKU "&amp;INDEX(Import_Staging!$D$2:$D$301,$H225)&amp;""&amp;" is not in Products.","supplier_id is empty; receipts need the supplier.","Supplier "&amp;INDEX(Import_Staging!$E$2:$E$301,$H225)&amp;""&amp;" is not in Suppliers.","lot is empty; every movement needs its lot code.","Lot "&amp;INDEX(Import_Staging!$F$2:$F$301,$H225)&amp;""&amp;" is not recorded for "&amp;INDEX(Import_Staging!$D$2:$D$301,$H225)&amp;""&amp;" in Batches.","expiry is empty; receipts need the company-supplied expiry date.","expiry "&amp;""""&amp;INDEX(Import_Staging!$G$2:$G$301,$H225)&amp;""&amp;""""&amp;" is not a real date in yyyy-mm-dd format.","qty is empty.","qty "&amp;""""&amp;INDEX(Import_Staging!$H$2:$H$301,$H225)&amp;""&amp;""""&amp;" is not a valid quantity"&amp;IF(INDEX(Import_Staging!$C$2:$C$301,$H225)&amp;""="",""," for a "&amp;LOWER(INDEX(Import_Staging!$C$2:$C$301,$H225)&amp;""))&amp;".","lot_status is empty; receipts need a lot status.","lot_status "&amp;""""&amp;INDEX(Import_Staging!$I$2:$I$301,$H225)&amp;""&amp;""""&amp;" is not a lot status allowed on receipt (Config).","reason is empty; adjustments need a reason.","source_link is empty; every movement needs a link to its source document.","This row would take recorded stock of "&amp;INDEX(Import_Staging!$D$2:$D$301,$H225)&amp;""&amp;" from "&amp;INDEX(Import_Staging!$R$2:$R$301,$H225)&amp;" to "&amp;INDEX(Import_Staging!$S$2:$S$301,$H225)&amp;"."),$E225))</f>
        <v/>
      </c>
      <c r="G225" s="67" t="str">
        <f>IF($A225="","",INDEX(Config!$F$39:$F$61,$J225))</f>
        <v/>
      </c>
      <c r="H225" s="66" t="str">
        <f>IF($A225="","",MATCH(COUNTIF(Import_Staging!$BS$2:$BS$301,"&lt;"&amp;$A225)+1,Import_Staging!$BR$2:$BR$301,0))</f>
        <v/>
      </c>
      <c r="I225" s="66" t="str">
        <f>IF($A225="","",$A225-INDEX(Import_Staging!$BQ$2:$BQ$301,$H225))</f>
        <v/>
      </c>
      <c r="J225" s="66" t="str">
        <f>IF($A225="","",MATCH($I225,INDEX(Import_Staging!$AT$2:$BP$301,$H225,0),0))</f>
        <v/>
      </c>
    </row>
    <row r="226">
      <c r="A226" s="65" t="str">
        <f>IF(221&lt;=$F$4,221,"")</f>
        <v/>
      </c>
      <c r="B226" s="65" t="str">
        <f>IF($A226="","",$H226+1)</f>
        <v/>
      </c>
      <c r="C226" s="66" t="str">
        <f>IF($A226="","",INDEX(Import_Staging!$A$2:$A$301,$H226)&amp;"")</f>
        <v/>
      </c>
      <c r="D226" s="66" t="str">
        <f>IF($A226="","",INDEX(Config!$C$39:$C$61,$J226))</f>
        <v/>
      </c>
      <c r="E226" s="66" t="str">
        <f>IF($A226="","",INDEX(Config!$D$39:$D$61,$J226))</f>
        <v/>
      </c>
      <c r="F226" s="67" t="str">
        <f>IF($A226="","",IFERROR(CHOOSE($J226,"movement_id is empty. Every row needs a unique movement ID.","movement_id "&amp;INDEX(Import_Staging!$A$2:$A$301,$H226)&amp;""&amp;" appears earlier in this file (row "&amp;IFERROR(MATCH(INDEX(Import_Staging!$A$2:$A$301,$H226),Import_Staging!$A$2:$A$301,0)+1,"?")&amp;"). Only the first row can be posted.","movement_id "&amp;INDEX(Import_Staging!$A$2:$A$301,$H226)&amp;""&amp;" is already in Inventory_Ledger. The ledger row was not changed.","date is empty.","date "&amp;""""&amp;INDEX(Import_Staging!$B$2:$B$301,$H226)&amp;""&amp;""""&amp;" is not a real date in yyyy-mm-dd format.","date "&amp;TEXT(INDEX(Import_Staging!$M$2:$M$301,$H226),"yyyy-mm-dd")&amp;" is after the as-of date "&amp;TEXT(Config!$B$4,"yyyy-mm-dd")&amp;".","type is empty.","type "&amp;""""&amp;INDEX(Import_Staging!$C$2:$C$301,$H226)&amp;""&amp;""""&amp;" is not a movement type listed on Config.","sku is empty.","SKU "&amp;INDEX(Import_Staging!$D$2:$D$301,$H226)&amp;""&amp;" is not in Products.","supplier_id is empty; receipts need the supplier.","Supplier "&amp;INDEX(Import_Staging!$E$2:$E$301,$H226)&amp;""&amp;" is not in Suppliers.","lot is empty; every movement needs its lot code.","Lot "&amp;INDEX(Import_Staging!$F$2:$F$301,$H226)&amp;""&amp;" is not recorded for "&amp;INDEX(Import_Staging!$D$2:$D$301,$H226)&amp;""&amp;" in Batches.","expiry is empty; receipts need the company-supplied expiry date.","expiry "&amp;""""&amp;INDEX(Import_Staging!$G$2:$G$301,$H226)&amp;""&amp;""""&amp;" is not a real date in yyyy-mm-dd format.","qty is empty.","qty "&amp;""""&amp;INDEX(Import_Staging!$H$2:$H$301,$H226)&amp;""&amp;""""&amp;" is not a valid quantity"&amp;IF(INDEX(Import_Staging!$C$2:$C$301,$H226)&amp;""="",""," for a "&amp;LOWER(INDEX(Import_Staging!$C$2:$C$301,$H226)&amp;""))&amp;".","lot_status is empty; receipts need a lot status.","lot_status "&amp;""""&amp;INDEX(Import_Staging!$I$2:$I$301,$H226)&amp;""&amp;""""&amp;" is not a lot status allowed on receipt (Config).","reason is empty; adjustments need a reason.","source_link is empty; every movement needs a link to its source document.","This row would take recorded stock of "&amp;INDEX(Import_Staging!$D$2:$D$301,$H226)&amp;""&amp;" from "&amp;INDEX(Import_Staging!$R$2:$R$301,$H226)&amp;" to "&amp;INDEX(Import_Staging!$S$2:$S$301,$H226)&amp;"."),$E226))</f>
        <v/>
      </c>
      <c r="G226" s="67" t="str">
        <f>IF($A226="","",INDEX(Config!$F$39:$F$61,$J226))</f>
        <v/>
      </c>
      <c r="H226" s="66" t="str">
        <f>IF($A226="","",MATCH(COUNTIF(Import_Staging!$BS$2:$BS$301,"&lt;"&amp;$A226)+1,Import_Staging!$BR$2:$BR$301,0))</f>
        <v/>
      </c>
      <c r="I226" s="66" t="str">
        <f>IF($A226="","",$A226-INDEX(Import_Staging!$BQ$2:$BQ$301,$H226))</f>
        <v/>
      </c>
      <c r="J226" s="66" t="str">
        <f>IF($A226="","",MATCH($I226,INDEX(Import_Staging!$AT$2:$BP$301,$H226,0),0))</f>
        <v/>
      </c>
    </row>
    <row r="227">
      <c r="A227" s="65" t="str">
        <f>IF(222&lt;=$F$4,222,"")</f>
        <v/>
      </c>
      <c r="B227" s="65" t="str">
        <f>IF($A227="","",$H227+1)</f>
        <v/>
      </c>
      <c r="C227" s="66" t="str">
        <f>IF($A227="","",INDEX(Import_Staging!$A$2:$A$301,$H227)&amp;"")</f>
        <v/>
      </c>
      <c r="D227" s="66" t="str">
        <f>IF($A227="","",INDEX(Config!$C$39:$C$61,$J227))</f>
        <v/>
      </c>
      <c r="E227" s="66" t="str">
        <f>IF($A227="","",INDEX(Config!$D$39:$D$61,$J227))</f>
        <v/>
      </c>
      <c r="F227" s="67" t="str">
        <f>IF($A227="","",IFERROR(CHOOSE($J227,"movement_id is empty. Every row needs a unique movement ID.","movement_id "&amp;INDEX(Import_Staging!$A$2:$A$301,$H227)&amp;""&amp;" appears earlier in this file (row "&amp;IFERROR(MATCH(INDEX(Import_Staging!$A$2:$A$301,$H227),Import_Staging!$A$2:$A$301,0)+1,"?")&amp;"). Only the first row can be posted.","movement_id "&amp;INDEX(Import_Staging!$A$2:$A$301,$H227)&amp;""&amp;" is already in Inventory_Ledger. The ledger row was not changed.","date is empty.","date "&amp;""""&amp;INDEX(Import_Staging!$B$2:$B$301,$H227)&amp;""&amp;""""&amp;" is not a real date in yyyy-mm-dd format.","date "&amp;TEXT(INDEX(Import_Staging!$M$2:$M$301,$H227),"yyyy-mm-dd")&amp;" is after the as-of date "&amp;TEXT(Config!$B$4,"yyyy-mm-dd")&amp;".","type is empty.","type "&amp;""""&amp;INDEX(Import_Staging!$C$2:$C$301,$H227)&amp;""&amp;""""&amp;" is not a movement type listed on Config.","sku is empty.","SKU "&amp;INDEX(Import_Staging!$D$2:$D$301,$H227)&amp;""&amp;" is not in Products.","supplier_id is empty; receipts need the supplier.","Supplier "&amp;INDEX(Import_Staging!$E$2:$E$301,$H227)&amp;""&amp;" is not in Suppliers.","lot is empty; every movement needs its lot code.","Lot "&amp;INDEX(Import_Staging!$F$2:$F$301,$H227)&amp;""&amp;" is not recorded for "&amp;INDEX(Import_Staging!$D$2:$D$301,$H227)&amp;""&amp;" in Batches.","expiry is empty; receipts need the company-supplied expiry date.","expiry "&amp;""""&amp;INDEX(Import_Staging!$G$2:$G$301,$H227)&amp;""&amp;""""&amp;" is not a real date in yyyy-mm-dd format.","qty is empty.","qty "&amp;""""&amp;INDEX(Import_Staging!$H$2:$H$301,$H227)&amp;""&amp;""""&amp;" is not a valid quantity"&amp;IF(INDEX(Import_Staging!$C$2:$C$301,$H227)&amp;""="",""," for a "&amp;LOWER(INDEX(Import_Staging!$C$2:$C$301,$H227)&amp;""))&amp;".","lot_status is empty; receipts need a lot status.","lot_status "&amp;""""&amp;INDEX(Import_Staging!$I$2:$I$301,$H227)&amp;""&amp;""""&amp;" is not a lot status allowed on receipt (Config).","reason is empty; adjustments need a reason.","source_link is empty; every movement needs a link to its source document.","This row would take recorded stock of "&amp;INDEX(Import_Staging!$D$2:$D$301,$H227)&amp;""&amp;" from "&amp;INDEX(Import_Staging!$R$2:$R$301,$H227)&amp;" to "&amp;INDEX(Import_Staging!$S$2:$S$301,$H227)&amp;"."),$E227))</f>
        <v/>
      </c>
      <c r="G227" s="67" t="str">
        <f>IF($A227="","",INDEX(Config!$F$39:$F$61,$J227))</f>
        <v/>
      </c>
      <c r="H227" s="66" t="str">
        <f>IF($A227="","",MATCH(COUNTIF(Import_Staging!$BS$2:$BS$301,"&lt;"&amp;$A227)+1,Import_Staging!$BR$2:$BR$301,0))</f>
        <v/>
      </c>
      <c r="I227" s="66" t="str">
        <f>IF($A227="","",$A227-INDEX(Import_Staging!$BQ$2:$BQ$301,$H227))</f>
        <v/>
      </c>
      <c r="J227" s="66" t="str">
        <f>IF($A227="","",MATCH($I227,INDEX(Import_Staging!$AT$2:$BP$301,$H227,0),0))</f>
        <v/>
      </c>
    </row>
    <row r="228">
      <c r="A228" s="65" t="str">
        <f>IF(223&lt;=$F$4,223,"")</f>
        <v/>
      </c>
      <c r="B228" s="65" t="str">
        <f>IF($A228="","",$H228+1)</f>
        <v/>
      </c>
      <c r="C228" s="66" t="str">
        <f>IF($A228="","",INDEX(Import_Staging!$A$2:$A$301,$H228)&amp;"")</f>
        <v/>
      </c>
      <c r="D228" s="66" t="str">
        <f>IF($A228="","",INDEX(Config!$C$39:$C$61,$J228))</f>
        <v/>
      </c>
      <c r="E228" s="66" t="str">
        <f>IF($A228="","",INDEX(Config!$D$39:$D$61,$J228))</f>
        <v/>
      </c>
      <c r="F228" s="67" t="str">
        <f>IF($A228="","",IFERROR(CHOOSE($J228,"movement_id is empty. Every row needs a unique movement ID.","movement_id "&amp;INDEX(Import_Staging!$A$2:$A$301,$H228)&amp;""&amp;" appears earlier in this file (row "&amp;IFERROR(MATCH(INDEX(Import_Staging!$A$2:$A$301,$H228),Import_Staging!$A$2:$A$301,0)+1,"?")&amp;"). Only the first row can be posted.","movement_id "&amp;INDEX(Import_Staging!$A$2:$A$301,$H228)&amp;""&amp;" is already in Inventory_Ledger. The ledger row was not changed.","date is empty.","date "&amp;""""&amp;INDEX(Import_Staging!$B$2:$B$301,$H228)&amp;""&amp;""""&amp;" is not a real date in yyyy-mm-dd format.","date "&amp;TEXT(INDEX(Import_Staging!$M$2:$M$301,$H228),"yyyy-mm-dd")&amp;" is after the as-of date "&amp;TEXT(Config!$B$4,"yyyy-mm-dd")&amp;".","type is empty.","type "&amp;""""&amp;INDEX(Import_Staging!$C$2:$C$301,$H228)&amp;""&amp;""""&amp;" is not a movement type listed on Config.","sku is empty.","SKU "&amp;INDEX(Import_Staging!$D$2:$D$301,$H228)&amp;""&amp;" is not in Products.","supplier_id is empty; receipts need the supplier.","Supplier "&amp;INDEX(Import_Staging!$E$2:$E$301,$H228)&amp;""&amp;" is not in Suppliers.","lot is empty; every movement needs its lot code.","Lot "&amp;INDEX(Import_Staging!$F$2:$F$301,$H228)&amp;""&amp;" is not recorded for "&amp;INDEX(Import_Staging!$D$2:$D$301,$H228)&amp;""&amp;" in Batches.","expiry is empty; receipts need the company-supplied expiry date.","expiry "&amp;""""&amp;INDEX(Import_Staging!$G$2:$G$301,$H228)&amp;""&amp;""""&amp;" is not a real date in yyyy-mm-dd format.","qty is empty.","qty "&amp;""""&amp;INDEX(Import_Staging!$H$2:$H$301,$H228)&amp;""&amp;""""&amp;" is not a valid quantity"&amp;IF(INDEX(Import_Staging!$C$2:$C$301,$H228)&amp;""="",""," for a "&amp;LOWER(INDEX(Import_Staging!$C$2:$C$301,$H228)&amp;""))&amp;".","lot_status is empty; receipts need a lot status.","lot_status "&amp;""""&amp;INDEX(Import_Staging!$I$2:$I$301,$H228)&amp;""&amp;""""&amp;" is not a lot status allowed on receipt (Config).","reason is empty; adjustments need a reason.","source_link is empty; every movement needs a link to its source document.","This row would take recorded stock of "&amp;INDEX(Import_Staging!$D$2:$D$301,$H228)&amp;""&amp;" from "&amp;INDEX(Import_Staging!$R$2:$R$301,$H228)&amp;" to "&amp;INDEX(Import_Staging!$S$2:$S$301,$H228)&amp;"."),$E228))</f>
        <v/>
      </c>
      <c r="G228" s="67" t="str">
        <f>IF($A228="","",INDEX(Config!$F$39:$F$61,$J228))</f>
        <v/>
      </c>
      <c r="H228" s="66" t="str">
        <f>IF($A228="","",MATCH(COUNTIF(Import_Staging!$BS$2:$BS$301,"&lt;"&amp;$A228)+1,Import_Staging!$BR$2:$BR$301,0))</f>
        <v/>
      </c>
      <c r="I228" s="66" t="str">
        <f>IF($A228="","",$A228-INDEX(Import_Staging!$BQ$2:$BQ$301,$H228))</f>
        <v/>
      </c>
      <c r="J228" s="66" t="str">
        <f>IF($A228="","",MATCH($I228,INDEX(Import_Staging!$AT$2:$BP$301,$H228,0),0))</f>
        <v/>
      </c>
    </row>
    <row r="229">
      <c r="A229" s="65" t="str">
        <f>IF(224&lt;=$F$4,224,"")</f>
        <v/>
      </c>
      <c r="B229" s="65" t="str">
        <f>IF($A229="","",$H229+1)</f>
        <v/>
      </c>
      <c r="C229" s="66" t="str">
        <f>IF($A229="","",INDEX(Import_Staging!$A$2:$A$301,$H229)&amp;"")</f>
        <v/>
      </c>
      <c r="D229" s="66" t="str">
        <f>IF($A229="","",INDEX(Config!$C$39:$C$61,$J229))</f>
        <v/>
      </c>
      <c r="E229" s="66" t="str">
        <f>IF($A229="","",INDEX(Config!$D$39:$D$61,$J229))</f>
        <v/>
      </c>
      <c r="F229" s="67" t="str">
        <f>IF($A229="","",IFERROR(CHOOSE($J229,"movement_id is empty. Every row needs a unique movement ID.","movement_id "&amp;INDEX(Import_Staging!$A$2:$A$301,$H229)&amp;""&amp;" appears earlier in this file (row "&amp;IFERROR(MATCH(INDEX(Import_Staging!$A$2:$A$301,$H229),Import_Staging!$A$2:$A$301,0)+1,"?")&amp;"). Only the first row can be posted.","movement_id "&amp;INDEX(Import_Staging!$A$2:$A$301,$H229)&amp;""&amp;" is already in Inventory_Ledger. The ledger row was not changed.","date is empty.","date "&amp;""""&amp;INDEX(Import_Staging!$B$2:$B$301,$H229)&amp;""&amp;""""&amp;" is not a real date in yyyy-mm-dd format.","date "&amp;TEXT(INDEX(Import_Staging!$M$2:$M$301,$H229),"yyyy-mm-dd")&amp;" is after the as-of date "&amp;TEXT(Config!$B$4,"yyyy-mm-dd")&amp;".","type is empty.","type "&amp;""""&amp;INDEX(Import_Staging!$C$2:$C$301,$H229)&amp;""&amp;""""&amp;" is not a movement type listed on Config.","sku is empty.","SKU "&amp;INDEX(Import_Staging!$D$2:$D$301,$H229)&amp;""&amp;" is not in Products.","supplier_id is empty; receipts need the supplier.","Supplier "&amp;INDEX(Import_Staging!$E$2:$E$301,$H229)&amp;""&amp;" is not in Suppliers.","lot is empty; every movement needs its lot code.","Lot "&amp;INDEX(Import_Staging!$F$2:$F$301,$H229)&amp;""&amp;" is not recorded for "&amp;INDEX(Import_Staging!$D$2:$D$301,$H229)&amp;""&amp;" in Batches.","expiry is empty; receipts need the company-supplied expiry date.","expiry "&amp;""""&amp;INDEX(Import_Staging!$G$2:$G$301,$H229)&amp;""&amp;""""&amp;" is not a real date in yyyy-mm-dd format.","qty is empty.","qty "&amp;""""&amp;INDEX(Import_Staging!$H$2:$H$301,$H229)&amp;""&amp;""""&amp;" is not a valid quantity"&amp;IF(INDEX(Import_Staging!$C$2:$C$301,$H229)&amp;""="",""," for a "&amp;LOWER(INDEX(Import_Staging!$C$2:$C$301,$H229)&amp;""))&amp;".","lot_status is empty; receipts need a lot status.","lot_status "&amp;""""&amp;INDEX(Import_Staging!$I$2:$I$301,$H229)&amp;""&amp;""""&amp;" is not a lot status allowed on receipt (Config).","reason is empty; adjustments need a reason.","source_link is empty; every movement needs a link to its source document.","This row would take recorded stock of "&amp;INDEX(Import_Staging!$D$2:$D$301,$H229)&amp;""&amp;" from "&amp;INDEX(Import_Staging!$R$2:$R$301,$H229)&amp;" to "&amp;INDEX(Import_Staging!$S$2:$S$301,$H229)&amp;"."),$E229))</f>
        <v/>
      </c>
      <c r="G229" s="67" t="str">
        <f>IF($A229="","",INDEX(Config!$F$39:$F$61,$J229))</f>
        <v/>
      </c>
      <c r="H229" s="66" t="str">
        <f>IF($A229="","",MATCH(COUNTIF(Import_Staging!$BS$2:$BS$301,"&lt;"&amp;$A229)+1,Import_Staging!$BR$2:$BR$301,0))</f>
        <v/>
      </c>
      <c r="I229" s="66" t="str">
        <f>IF($A229="","",$A229-INDEX(Import_Staging!$BQ$2:$BQ$301,$H229))</f>
        <v/>
      </c>
      <c r="J229" s="66" t="str">
        <f>IF($A229="","",MATCH($I229,INDEX(Import_Staging!$AT$2:$BP$301,$H229,0),0))</f>
        <v/>
      </c>
    </row>
    <row r="230">
      <c r="A230" s="65" t="str">
        <f>IF(225&lt;=$F$4,225,"")</f>
        <v/>
      </c>
      <c r="B230" s="65" t="str">
        <f>IF($A230="","",$H230+1)</f>
        <v/>
      </c>
      <c r="C230" s="66" t="str">
        <f>IF($A230="","",INDEX(Import_Staging!$A$2:$A$301,$H230)&amp;"")</f>
        <v/>
      </c>
      <c r="D230" s="66" t="str">
        <f>IF($A230="","",INDEX(Config!$C$39:$C$61,$J230))</f>
        <v/>
      </c>
      <c r="E230" s="66" t="str">
        <f>IF($A230="","",INDEX(Config!$D$39:$D$61,$J230))</f>
        <v/>
      </c>
      <c r="F230" s="67" t="str">
        <f>IF($A230="","",IFERROR(CHOOSE($J230,"movement_id is empty. Every row needs a unique movement ID.","movement_id "&amp;INDEX(Import_Staging!$A$2:$A$301,$H230)&amp;""&amp;" appears earlier in this file (row "&amp;IFERROR(MATCH(INDEX(Import_Staging!$A$2:$A$301,$H230),Import_Staging!$A$2:$A$301,0)+1,"?")&amp;"). Only the first row can be posted.","movement_id "&amp;INDEX(Import_Staging!$A$2:$A$301,$H230)&amp;""&amp;" is already in Inventory_Ledger. The ledger row was not changed.","date is empty.","date "&amp;""""&amp;INDEX(Import_Staging!$B$2:$B$301,$H230)&amp;""&amp;""""&amp;" is not a real date in yyyy-mm-dd format.","date "&amp;TEXT(INDEX(Import_Staging!$M$2:$M$301,$H230),"yyyy-mm-dd")&amp;" is after the as-of date "&amp;TEXT(Config!$B$4,"yyyy-mm-dd")&amp;".","type is empty.","type "&amp;""""&amp;INDEX(Import_Staging!$C$2:$C$301,$H230)&amp;""&amp;""""&amp;" is not a movement type listed on Config.","sku is empty.","SKU "&amp;INDEX(Import_Staging!$D$2:$D$301,$H230)&amp;""&amp;" is not in Products.","supplier_id is empty; receipts need the supplier.","Supplier "&amp;INDEX(Import_Staging!$E$2:$E$301,$H230)&amp;""&amp;" is not in Suppliers.","lot is empty; every movement needs its lot code.","Lot "&amp;INDEX(Import_Staging!$F$2:$F$301,$H230)&amp;""&amp;" is not recorded for "&amp;INDEX(Import_Staging!$D$2:$D$301,$H230)&amp;""&amp;" in Batches.","expiry is empty; receipts need the company-supplied expiry date.","expiry "&amp;""""&amp;INDEX(Import_Staging!$G$2:$G$301,$H230)&amp;""&amp;""""&amp;" is not a real date in yyyy-mm-dd format.","qty is empty.","qty "&amp;""""&amp;INDEX(Import_Staging!$H$2:$H$301,$H230)&amp;""&amp;""""&amp;" is not a valid quantity"&amp;IF(INDEX(Import_Staging!$C$2:$C$301,$H230)&amp;""="",""," for a "&amp;LOWER(INDEX(Import_Staging!$C$2:$C$301,$H230)&amp;""))&amp;".","lot_status is empty; receipts need a lot status.","lot_status "&amp;""""&amp;INDEX(Import_Staging!$I$2:$I$301,$H230)&amp;""&amp;""""&amp;" is not a lot status allowed on receipt (Config).","reason is empty; adjustments need a reason.","source_link is empty; every movement needs a link to its source document.","This row would take recorded stock of "&amp;INDEX(Import_Staging!$D$2:$D$301,$H230)&amp;""&amp;" from "&amp;INDEX(Import_Staging!$R$2:$R$301,$H230)&amp;" to "&amp;INDEX(Import_Staging!$S$2:$S$301,$H230)&amp;"."),$E230))</f>
        <v/>
      </c>
      <c r="G230" s="67" t="str">
        <f>IF($A230="","",INDEX(Config!$F$39:$F$61,$J230))</f>
        <v/>
      </c>
      <c r="H230" s="66" t="str">
        <f>IF($A230="","",MATCH(COUNTIF(Import_Staging!$BS$2:$BS$301,"&lt;"&amp;$A230)+1,Import_Staging!$BR$2:$BR$301,0))</f>
        <v/>
      </c>
      <c r="I230" s="66" t="str">
        <f>IF($A230="","",$A230-INDEX(Import_Staging!$BQ$2:$BQ$301,$H230))</f>
        <v/>
      </c>
      <c r="J230" s="66" t="str">
        <f>IF($A230="","",MATCH($I230,INDEX(Import_Staging!$AT$2:$BP$301,$H230,0),0))</f>
        <v/>
      </c>
    </row>
    <row r="231">
      <c r="A231" s="65" t="str">
        <f>IF(226&lt;=$F$4,226,"")</f>
        <v/>
      </c>
      <c r="B231" s="65" t="str">
        <f>IF($A231="","",$H231+1)</f>
        <v/>
      </c>
      <c r="C231" s="66" t="str">
        <f>IF($A231="","",INDEX(Import_Staging!$A$2:$A$301,$H231)&amp;"")</f>
        <v/>
      </c>
      <c r="D231" s="66" t="str">
        <f>IF($A231="","",INDEX(Config!$C$39:$C$61,$J231))</f>
        <v/>
      </c>
      <c r="E231" s="66" t="str">
        <f>IF($A231="","",INDEX(Config!$D$39:$D$61,$J231))</f>
        <v/>
      </c>
      <c r="F231" s="67" t="str">
        <f>IF($A231="","",IFERROR(CHOOSE($J231,"movement_id is empty. Every row needs a unique movement ID.","movement_id "&amp;INDEX(Import_Staging!$A$2:$A$301,$H231)&amp;""&amp;" appears earlier in this file (row "&amp;IFERROR(MATCH(INDEX(Import_Staging!$A$2:$A$301,$H231),Import_Staging!$A$2:$A$301,0)+1,"?")&amp;"). Only the first row can be posted.","movement_id "&amp;INDEX(Import_Staging!$A$2:$A$301,$H231)&amp;""&amp;" is already in Inventory_Ledger. The ledger row was not changed.","date is empty.","date "&amp;""""&amp;INDEX(Import_Staging!$B$2:$B$301,$H231)&amp;""&amp;""""&amp;" is not a real date in yyyy-mm-dd format.","date "&amp;TEXT(INDEX(Import_Staging!$M$2:$M$301,$H231),"yyyy-mm-dd")&amp;" is after the as-of date "&amp;TEXT(Config!$B$4,"yyyy-mm-dd")&amp;".","type is empty.","type "&amp;""""&amp;INDEX(Import_Staging!$C$2:$C$301,$H231)&amp;""&amp;""""&amp;" is not a movement type listed on Config.","sku is empty.","SKU "&amp;INDEX(Import_Staging!$D$2:$D$301,$H231)&amp;""&amp;" is not in Products.","supplier_id is empty; receipts need the supplier.","Supplier "&amp;INDEX(Import_Staging!$E$2:$E$301,$H231)&amp;""&amp;" is not in Suppliers.","lot is empty; every movement needs its lot code.","Lot "&amp;INDEX(Import_Staging!$F$2:$F$301,$H231)&amp;""&amp;" is not recorded for "&amp;INDEX(Import_Staging!$D$2:$D$301,$H231)&amp;""&amp;" in Batches.","expiry is empty; receipts need the company-supplied expiry date.","expiry "&amp;""""&amp;INDEX(Import_Staging!$G$2:$G$301,$H231)&amp;""&amp;""""&amp;" is not a real date in yyyy-mm-dd format.","qty is empty.","qty "&amp;""""&amp;INDEX(Import_Staging!$H$2:$H$301,$H231)&amp;""&amp;""""&amp;" is not a valid quantity"&amp;IF(INDEX(Import_Staging!$C$2:$C$301,$H231)&amp;""="",""," for a "&amp;LOWER(INDEX(Import_Staging!$C$2:$C$301,$H231)&amp;""))&amp;".","lot_status is empty; receipts need a lot status.","lot_status "&amp;""""&amp;INDEX(Import_Staging!$I$2:$I$301,$H231)&amp;""&amp;""""&amp;" is not a lot status allowed on receipt (Config).","reason is empty; adjustments need a reason.","source_link is empty; every movement needs a link to its source document.","This row would take recorded stock of "&amp;INDEX(Import_Staging!$D$2:$D$301,$H231)&amp;""&amp;" from "&amp;INDEX(Import_Staging!$R$2:$R$301,$H231)&amp;" to "&amp;INDEX(Import_Staging!$S$2:$S$301,$H231)&amp;"."),$E231))</f>
        <v/>
      </c>
      <c r="G231" s="67" t="str">
        <f>IF($A231="","",INDEX(Config!$F$39:$F$61,$J231))</f>
        <v/>
      </c>
      <c r="H231" s="66" t="str">
        <f>IF($A231="","",MATCH(COUNTIF(Import_Staging!$BS$2:$BS$301,"&lt;"&amp;$A231)+1,Import_Staging!$BR$2:$BR$301,0))</f>
        <v/>
      </c>
      <c r="I231" s="66" t="str">
        <f>IF($A231="","",$A231-INDEX(Import_Staging!$BQ$2:$BQ$301,$H231))</f>
        <v/>
      </c>
      <c r="J231" s="66" t="str">
        <f>IF($A231="","",MATCH($I231,INDEX(Import_Staging!$AT$2:$BP$301,$H231,0),0))</f>
        <v/>
      </c>
    </row>
    <row r="232">
      <c r="A232" s="65" t="str">
        <f>IF(227&lt;=$F$4,227,"")</f>
        <v/>
      </c>
      <c r="B232" s="65" t="str">
        <f>IF($A232="","",$H232+1)</f>
        <v/>
      </c>
      <c r="C232" s="66" t="str">
        <f>IF($A232="","",INDEX(Import_Staging!$A$2:$A$301,$H232)&amp;"")</f>
        <v/>
      </c>
      <c r="D232" s="66" t="str">
        <f>IF($A232="","",INDEX(Config!$C$39:$C$61,$J232))</f>
        <v/>
      </c>
      <c r="E232" s="66" t="str">
        <f>IF($A232="","",INDEX(Config!$D$39:$D$61,$J232))</f>
        <v/>
      </c>
      <c r="F232" s="67" t="str">
        <f>IF($A232="","",IFERROR(CHOOSE($J232,"movement_id is empty. Every row needs a unique movement ID.","movement_id "&amp;INDEX(Import_Staging!$A$2:$A$301,$H232)&amp;""&amp;" appears earlier in this file (row "&amp;IFERROR(MATCH(INDEX(Import_Staging!$A$2:$A$301,$H232),Import_Staging!$A$2:$A$301,0)+1,"?")&amp;"). Only the first row can be posted.","movement_id "&amp;INDEX(Import_Staging!$A$2:$A$301,$H232)&amp;""&amp;" is already in Inventory_Ledger. The ledger row was not changed.","date is empty.","date "&amp;""""&amp;INDEX(Import_Staging!$B$2:$B$301,$H232)&amp;""&amp;""""&amp;" is not a real date in yyyy-mm-dd format.","date "&amp;TEXT(INDEX(Import_Staging!$M$2:$M$301,$H232),"yyyy-mm-dd")&amp;" is after the as-of date "&amp;TEXT(Config!$B$4,"yyyy-mm-dd")&amp;".","type is empty.","type "&amp;""""&amp;INDEX(Import_Staging!$C$2:$C$301,$H232)&amp;""&amp;""""&amp;" is not a movement type listed on Config.","sku is empty.","SKU "&amp;INDEX(Import_Staging!$D$2:$D$301,$H232)&amp;""&amp;" is not in Products.","supplier_id is empty; receipts need the supplier.","Supplier "&amp;INDEX(Import_Staging!$E$2:$E$301,$H232)&amp;""&amp;" is not in Suppliers.","lot is empty; every movement needs its lot code.","Lot "&amp;INDEX(Import_Staging!$F$2:$F$301,$H232)&amp;""&amp;" is not recorded for "&amp;INDEX(Import_Staging!$D$2:$D$301,$H232)&amp;""&amp;" in Batches.","expiry is empty; receipts need the company-supplied expiry date.","expiry "&amp;""""&amp;INDEX(Import_Staging!$G$2:$G$301,$H232)&amp;""&amp;""""&amp;" is not a real date in yyyy-mm-dd format.","qty is empty.","qty "&amp;""""&amp;INDEX(Import_Staging!$H$2:$H$301,$H232)&amp;""&amp;""""&amp;" is not a valid quantity"&amp;IF(INDEX(Import_Staging!$C$2:$C$301,$H232)&amp;""="",""," for a "&amp;LOWER(INDEX(Import_Staging!$C$2:$C$301,$H232)&amp;""))&amp;".","lot_status is empty; receipts need a lot status.","lot_status "&amp;""""&amp;INDEX(Import_Staging!$I$2:$I$301,$H232)&amp;""&amp;""""&amp;" is not a lot status allowed on receipt (Config).","reason is empty; adjustments need a reason.","source_link is empty; every movement needs a link to its source document.","This row would take recorded stock of "&amp;INDEX(Import_Staging!$D$2:$D$301,$H232)&amp;""&amp;" from "&amp;INDEX(Import_Staging!$R$2:$R$301,$H232)&amp;" to "&amp;INDEX(Import_Staging!$S$2:$S$301,$H232)&amp;"."),$E232))</f>
        <v/>
      </c>
      <c r="G232" s="67" t="str">
        <f>IF($A232="","",INDEX(Config!$F$39:$F$61,$J232))</f>
        <v/>
      </c>
      <c r="H232" s="66" t="str">
        <f>IF($A232="","",MATCH(COUNTIF(Import_Staging!$BS$2:$BS$301,"&lt;"&amp;$A232)+1,Import_Staging!$BR$2:$BR$301,0))</f>
        <v/>
      </c>
      <c r="I232" s="66" t="str">
        <f>IF($A232="","",$A232-INDEX(Import_Staging!$BQ$2:$BQ$301,$H232))</f>
        <v/>
      </c>
      <c r="J232" s="66" t="str">
        <f>IF($A232="","",MATCH($I232,INDEX(Import_Staging!$AT$2:$BP$301,$H232,0),0))</f>
        <v/>
      </c>
    </row>
    <row r="233">
      <c r="A233" s="65" t="str">
        <f>IF(228&lt;=$F$4,228,"")</f>
        <v/>
      </c>
      <c r="B233" s="65" t="str">
        <f>IF($A233="","",$H233+1)</f>
        <v/>
      </c>
      <c r="C233" s="66" t="str">
        <f>IF($A233="","",INDEX(Import_Staging!$A$2:$A$301,$H233)&amp;"")</f>
        <v/>
      </c>
      <c r="D233" s="66" t="str">
        <f>IF($A233="","",INDEX(Config!$C$39:$C$61,$J233))</f>
        <v/>
      </c>
      <c r="E233" s="66" t="str">
        <f>IF($A233="","",INDEX(Config!$D$39:$D$61,$J233))</f>
        <v/>
      </c>
      <c r="F233" s="67" t="str">
        <f>IF($A233="","",IFERROR(CHOOSE($J233,"movement_id is empty. Every row needs a unique movement ID.","movement_id "&amp;INDEX(Import_Staging!$A$2:$A$301,$H233)&amp;""&amp;" appears earlier in this file (row "&amp;IFERROR(MATCH(INDEX(Import_Staging!$A$2:$A$301,$H233),Import_Staging!$A$2:$A$301,0)+1,"?")&amp;"). Only the first row can be posted.","movement_id "&amp;INDEX(Import_Staging!$A$2:$A$301,$H233)&amp;""&amp;" is already in Inventory_Ledger. The ledger row was not changed.","date is empty.","date "&amp;""""&amp;INDEX(Import_Staging!$B$2:$B$301,$H233)&amp;""&amp;""""&amp;" is not a real date in yyyy-mm-dd format.","date "&amp;TEXT(INDEX(Import_Staging!$M$2:$M$301,$H233),"yyyy-mm-dd")&amp;" is after the as-of date "&amp;TEXT(Config!$B$4,"yyyy-mm-dd")&amp;".","type is empty.","type "&amp;""""&amp;INDEX(Import_Staging!$C$2:$C$301,$H233)&amp;""&amp;""""&amp;" is not a movement type listed on Config.","sku is empty.","SKU "&amp;INDEX(Import_Staging!$D$2:$D$301,$H233)&amp;""&amp;" is not in Products.","supplier_id is empty; receipts need the supplier.","Supplier "&amp;INDEX(Import_Staging!$E$2:$E$301,$H233)&amp;""&amp;" is not in Suppliers.","lot is empty; every movement needs its lot code.","Lot "&amp;INDEX(Import_Staging!$F$2:$F$301,$H233)&amp;""&amp;" is not recorded for "&amp;INDEX(Import_Staging!$D$2:$D$301,$H233)&amp;""&amp;" in Batches.","expiry is empty; receipts need the company-supplied expiry date.","expiry "&amp;""""&amp;INDEX(Import_Staging!$G$2:$G$301,$H233)&amp;""&amp;""""&amp;" is not a real date in yyyy-mm-dd format.","qty is empty.","qty "&amp;""""&amp;INDEX(Import_Staging!$H$2:$H$301,$H233)&amp;""&amp;""""&amp;" is not a valid quantity"&amp;IF(INDEX(Import_Staging!$C$2:$C$301,$H233)&amp;""="",""," for a "&amp;LOWER(INDEX(Import_Staging!$C$2:$C$301,$H233)&amp;""))&amp;".","lot_status is empty; receipts need a lot status.","lot_status "&amp;""""&amp;INDEX(Import_Staging!$I$2:$I$301,$H233)&amp;""&amp;""""&amp;" is not a lot status allowed on receipt (Config).","reason is empty; adjustments need a reason.","source_link is empty; every movement needs a link to its source document.","This row would take recorded stock of "&amp;INDEX(Import_Staging!$D$2:$D$301,$H233)&amp;""&amp;" from "&amp;INDEX(Import_Staging!$R$2:$R$301,$H233)&amp;" to "&amp;INDEX(Import_Staging!$S$2:$S$301,$H233)&amp;"."),$E233))</f>
        <v/>
      </c>
      <c r="G233" s="67" t="str">
        <f>IF($A233="","",INDEX(Config!$F$39:$F$61,$J233))</f>
        <v/>
      </c>
      <c r="H233" s="66" t="str">
        <f>IF($A233="","",MATCH(COUNTIF(Import_Staging!$BS$2:$BS$301,"&lt;"&amp;$A233)+1,Import_Staging!$BR$2:$BR$301,0))</f>
        <v/>
      </c>
      <c r="I233" s="66" t="str">
        <f>IF($A233="","",$A233-INDEX(Import_Staging!$BQ$2:$BQ$301,$H233))</f>
        <v/>
      </c>
      <c r="J233" s="66" t="str">
        <f>IF($A233="","",MATCH($I233,INDEX(Import_Staging!$AT$2:$BP$301,$H233,0),0))</f>
        <v/>
      </c>
    </row>
    <row r="234">
      <c r="A234" s="65" t="str">
        <f>IF(229&lt;=$F$4,229,"")</f>
        <v/>
      </c>
      <c r="B234" s="65" t="str">
        <f>IF($A234="","",$H234+1)</f>
        <v/>
      </c>
      <c r="C234" s="66" t="str">
        <f>IF($A234="","",INDEX(Import_Staging!$A$2:$A$301,$H234)&amp;"")</f>
        <v/>
      </c>
      <c r="D234" s="66" t="str">
        <f>IF($A234="","",INDEX(Config!$C$39:$C$61,$J234))</f>
        <v/>
      </c>
      <c r="E234" s="66" t="str">
        <f>IF($A234="","",INDEX(Config!$D$39:$D$61,$J234))</f>
        <v/>
      </c>
      <c r="F234" s="67" t="str">
        <f>IF($A234="","",IFERROR(CHOOSE($J234,"movement_id is empty. Every row needs a unique movement ID.","movement_id "&amp;INDEX(Import_Staging!$A$2:$A$301,$H234)&amp;""&amp;" appears earlier in this file (row "&amp;IFERROR(MATCH(INDEX(Import_Staging!$A$2:$A$301,$H234),Import_Staging!$A$2:$A$301,0)+1,"?")&amp;"). Only the first row can be posted.","movement_id "&amp;INDEX(Import_Staging!$A$2:$A$301,$H234)&amp;""&amp;" is already in Inventory_Ledger. The ledger row was not changed.","date is empty.","date "&amp;""""&amp;INDEX(Import_Staging!$B$2:$B$301,$H234)&amp;""&amp;""""&amp;" is not a real date in yyyy-mm-dd format.","date "&amp;TEXT(INDEX(Import_Staging!$M$2:$M$301,$H234),"yyyy-mm-dd")&amp;" is after the as-of date "&amp;TEXT(Config!$B$4,"yyyy-mm-dd")&amp;".","type is empty.","type "&amp;""""&amp;INDEX(Import_Staging!$C$2:$C$301,$H234)&amp;""&amp;""""&amp;" is not a movement type listed on Config.","sku is empty.","SKU "&amp;INDEX(Import_Staging!$D$2:$D$301,$H234)&amp;""&amp;" is not in Products.","supplier_id is empty; receipts need the supplier.","Supplier "&amp;INDEX(Import_Staging!$E$2:$E$301,$H234)&amp;""&amp;" is not in Suppliers.","lot is empty; every movement needs its lot code.","Lot "&amp;INDEX(Import_Staging!$F$2:$F$301,$H234)&amp;""&amp;" is not recorded for "&amp;INDEX(Import_Staging!$D$2:$D$301,$H234)&amp;""&amp;" in Batches.","expiry is empty; receipts need the company-supplied expiry date.","expiry "&amp;""""&amp;INDEX(Import_Staging!$G$2:$G$301,$H234)&amp;""&amp;""""&amp;" is not a real date in yyyy-mm-dd format.","qty is empty.","qty "&amp;""""&amp;INDEX(Import_Staging!$H$2:$H$301,$H234)&amp;""&amp;""""&amp;" is not a valid quantity"&amp;IF(INDEX(Import_Staging!$C$2:$C$301,$H234)&amp;""="",""," for a "&amp;LOWER(INDEX(Import_Staging!$C$2:$C$301,$H234)&amp;""))&amp;".","lot_status is empty; receipts need a lot status.","lot_status "&amp;""""&amp;INDEX(Import_Staging!$I$2:$I$301,$H234)&amp;""&amp;""""&amp;" is not a lot status allowed on receipt (Config).","reason is empty; adjustments need a reason.","source_link is empty; every movement needs a link to its source document.","This row would take recorded stock of "&amp;INDEX(Import_Staging!$D$2:$D$301,$H234)&amp;""&amp;" from "&amp;INDEX(Import_Staging!$R$2:$R$301,$H234)&amp;" to "&amp;INDEX(Import_Staging!$S$2:$S$301,$H234)&amp;"."),$E234))</f>
        <v/>
      </c>
      <c r="G234" s="67" t="str">
        <f>IF($A234="","",INDEX(Config!$F$39:$F$61,$J234))</f>
        <v/>
      </c>
      <c r="H234" s="66" t="str">
        <f>IF($A234="","",MATCH(COUNTIF(Import_Staging!$BS$2:$BS$301,"&lt;"&amp;$A234)+1,Import_Staging!$BR$2:$BR$301,0))</f>
        <v/>
      </c>
      <c r="I234" s="66" t="str">
        <f>IF($A234="","",$A234-INDEX(Import_Staging!$BQ$2:$BQ$301,$H234))</f>
        <v/>
      </c>
      <c r="J234" s="66" t="str">
        <f>IF($A234="","",MATCH($I234,INDEX(Import_Staging!$AT$2:$BP$301,$H234,0),0))</f>
        <v/>
      </c>
    </row>
    <row r="235">
      <c r="A235" s="65" t="str">
        <f>IF(230&lt;=$F$4,230,"")</f>
        <v/>
      </c>
      <c r="B235" s="65" t="str">
        <f>IF($A235="","",$H235+1)</f>
        <v/>
      </c>
      <c r="C235" s="66" t="str">
        <f>IF($A235="","",INDEX(Import_Staging!$A$2:$A$301,$H235)&amp;"")</f>
        <v/>
      </c>
      <c r="D235" s="66" t="str">
        <f>IF($A235="","",INDEX(Config!$C$39:$C$61,$J235))</f>
        <v/>
      </c>
      <c r="E235" s="66" t="str">
        <f>IF($A235="","",INDEX(Config!$D$39:$D$61,$J235))</f>
        <v/>
      </c>
      <c r="F235" s="67" t="str">
        <f>IF($A235="","",IFERROR(CHOOSE($J235,"movement_id is empty. Every row needs a unique movement ID.","movement_id "&amp;INDEX(Import_Staging!$A$2:$A$301,$H235)&amp;""&amp;" appears earlier in this file (row "&amp;IFERROR(MATCH(INDEX(Import_Staging!$A$2:$A$301,$H235),Import_Staging!$A$2:$A$301,0)+1,"?")&amp;"). Only the first row can be posted.","movement_id "&amp;INDEX(Import_Staging!$A$2:$A$301,$H235)&amp;""&amp;" is already in Inventory_Ledger. The ledger row was not changed.","date is empty.","date "&amp;""""&amp;INDEX(Import_Staging!$B$2:$B$301,$H235)&amp;""&amp;""""&amp;" is not a real date in yyyy-mm-dd format.","date "&amp;TEXT(INDEX(Import_Staging!$M$2:$M$301,$H235),"yyyy-mm-dd")&amp;" is after the as-of date "&amp;TEXT(Config!$B$4,"yyyy-mm-dd")&amp;".","type is empty.","type "&amp;""""&amp;INDEX(Import_Staging!$C$2:$C$301,$H235)&amp;""&amp;""""&amp;" is not a movement type listed on Config.","sku is empty.","SKU "&amp;INDEX(Import_Staging!$D$2:$D$301,$H235)&amp;""&amp;" is not in Products.","supplier_id is empty; receipts need the supplier.","Supplier "&amp;INDEX(Import_Staging!$E$2:$E$301,$H235)&amp;""&amp;" is not in Suppliers.","lot is empty; every movement needs its lot code.","Lot "&amp;INDEX(Import_Staging!$F$2:$F$301,$H235)&amp;""&amp;" is not recorded for "&amp;INDEX(Import_Staging!$D$2:$D$301,$H235)&amp;""&amp;" in Batches.","expiry is empty; receipts need the company-supplied expiry date.","expiry "&amp;""""&amp;INDEX(Import_Staging!$G$2:$G$301,$H235)&amp;""&amp;""""&amp;" is not a real date in yyyy-mm-dd format.","qty is empty.","qty "&amp;""""&amp;INDEX(Import_Staging!$H$2:$H$301,$H235)&amp;""&amp;""""&amp;" is not a valid quantity"&amp;IF(INDEX(Import_Staging!$C$2:$C$301,$H235)&amp;""="",""," for a "&amp;LOWER(INDEX(Import_Staging!$C$2:$C$301,$H235)&amp;""))&amp;".","lot_status is empty; receipts need a lot status.","lot_status "&amp;""""&amp;INDEX(Import_Staging!$I$2:$I$301,$H235)&amp;""&amp;""""&amp;" is not a lot status allowed on receipt (Config).","reason is empty; adjustments need a reason.","source_link is empty; every movement needs a link to its source document.","This row would take recorded stock of "&amp;INDEX(Import_Staging!$D$2:$D$301,$H235)&amp;""&amp;" from "&amp;INDEX(Import_Staging!$R$2:$R$301,$H235)&amp;" to "&amp;INDEX(Import_Staging!$S$2:$S$301,$H235)&amp;"."),$E235))</f>
        <v/>
      </c>
      <c r="G235" s="67" t="str">
        <f>IF($A235="","",INDEX(Config!$F$39:$F$61,$J235))</f>
        <v/>
      </c>
      <c r="H235" s="66" t="str">
        <f>IF($A235="","",MATCH(COUNTIF(Import_Staging!$BS$2:$BS$301,"&lt;"&amp;$A235)+1,Import_Staging!$BR$2:$BR$301,0))</f>
        <v/>
      </c>
      <c r="I235" s="66" t="str">
        <f>IF($A235="","",$A235-INDEX(Import_Staging!$BQ$2:$BQ$301,$H235))</f>
        <v/>
      </c>
      <c r="J235" s="66" t="str">
        <f>IF($A235="","",MATCH($I235,INDEX(Import_Staging!$AT$2:$BP$301,$H235,0),0))</f>
        <v/>
      </c>
    </row>
    <row r="236">
      <c r="A236" s="65" t="str">
        <f>IF(231&lt;=$F$4,231,"")</f>
        <v/>
      </c>
      <c r="B236" s="65" t="str">
        <f>IF($A236="","",$H236+1)</f>
        <v/>
      </c>
      <c r="C236" s="66" t="str">
        <f>IF($A236="","",INDEX(Import_Staging!$A$2:$A$301,$H236)&amp;"")</f>
        <v/>
      </c>
      <c r="D236" s="66" t="str">
        <f>IF($A236="","",INDEX(Config!$C$39:$C$61,$J236))</f>
        <v/>
      </c>
      <c r="E236" s="66" t="str">
        <f>IF($A236="","",INDEX(Config!$D$39:$D$61,$J236))</f>
        <v/>
      </c>
      <c r="F236" s="67" t="str">
        <f>IF($A236="","",IFERROR(CHOOSE($J236,"movement_id is empty. Every row needs a unique movement ID.","movement_id "&amp;INDEX(Import_Staging!$A$2:$A$301,$H236)&amp;""&amp;" appears earlier in this file (row "&amp;IFERROR(MATCH(INDEX(Import_Staging!$A$2:$A$301,$H236),Import_Staging!$A$2:$A$301,0)+1,"?")&amp;"). Only the first row can be posted.","movement_id "&amp;INDEX(Import_Staging!$A$2:$A$301,$H236)&amp;""&amp;" is already in Inventory_Ledger. The ledger row was not changed.","date is empty.","date "&amp;""""&amp;INDEX(Import_Staging!$B$2:$B$301,$H236)&amp;""&amp;""""&amp;" is not a real date in yyyy-mm-dd format.","date "&amp;TEXT(INDEX(Import_Staging!$M$2:$M$301,$H236),"yyyy-mm-dd")&amp;" is after the as-of date "&amp;TEXT(Config!$B$4,"yyyy-mm-dd")&amp;".","type is empty.","type "&amp;""""&amp;INDEX(Import_Staging!$C$2:$C$301,$H236)&amp;""&amp;""""&amp;" is not a movement type listed on Config.","sku is empty.","SKU "&amp;INDEX(Import_Staging!$D$2:$D$301,$H236)&amp;""&amp;" is not in Products.","supplier_id is empty; receipts need the supplier.","Supplier "&amp;INDEX(Import_Staging!$E$2:$E$301,$H236)&amp;""&amp;" is not in Suppliers.","lot is empty; every movement needs its lot code.","Lot "&amp;INDEX(Import_Staging!$F$2:$F$301,$H236)&amp;""&amp;" is not recorded for "&amp;INDEX(Import_Staging!$D$2:$D$301,$H236)&amp;""&amp;" in Batches.","expiry is empty; receipts need the company-supplied expiry date.","expiry "&amp;""""&amp;INDEX(Import_Staging!$G$2:$G$301,$H236)&amp;""&amp;""""&amp;" is not a real date in yyyy-mm-dd format.","qty is empty.","qty "&amp;""""&amp;INDEX(Import_Staging!$H$2:$H$301,$H236)&amp;""&amp;""""&amp;" is not a valid quantity"&amp;IF(INDEX(Import_Staging!$C$2:$C$301,$H236)&amp;""="",""," for a "&amp;LOWER(INDEX(Import_Staging!$C$2:$C$301,$H236)&amp;""))&amp;".","lot_status is empty; receipts need a lot status.","lot_status "&amp;""""&amp;INDEX(Import_Staging!$I$2:$I$301,$H236)&amp;""&amp;""""&amp;" is not a lot status allowed on receipt (Config).","reason is empty; adjustments need a reason.","source_link is empty; every movement needs a link to its source document.","This row would take recorded stock of "&amp;INDEX(Import_Staging!$D$2:$D$301,$H236)&amp;""&amp;" from "&amp;INDEX(Import_Staging!$R$2:$R$301,$H236)&amp;" to "&amp;INDEX(Import_Staging!$S$2:$S$301,$H236)&amp;"."),$E236))</f>
        <v/>
      </c>
      <c r="G236" s="67" t="str">
        <f>IF($A236="","",INDEX(Config!$F$39:$F$61,$J236))</f>
        <v/>
      </c>
      <c r="H236" s="66" t="str">
        <f>IF($A236="","",MATCH(COUNTIF(Import_Staging!$BS$2:$BS$301,"&lt;"&amp;$A236)+1,Import_Staging!$BR$2:$BR$301,0))</f>
        <v/>
      </c>
      <c r="I236" s="66" t="str">
        <f>IF($A236="","",$A236-INDEX(Import_Staging!$BQ$2:$BQ$301,$H236))</f>
        <v/>
      </c>
      <c r="J236" s="66" t="str">
        <f>IF($A236="","",MATCH($I236,INDEX(Import_Staging!$AT$2:$BP$301,$H236,0),0))</f>
        <v/>
      </c>
    </row>
    <row r="237">
      <c r="A237" s="65" t="str">
        <f>IF(232&lt;=$F$4,232,"")</f>
        <v/>
      </c>
      <c r="B237" s="65" t="str">
        <f>IF($A237="","",$H237+1)</f>
        <v/>
      </c>
      <c r="C237" s="66" t="str">
        <f>IF($A237="","",INDEX(Import_Staging!$A$2:$A$301,$H237)&amp;"")</f>
        <v/>
      </c>
      <c r="D237" s="66" t="str">
        <f>IF($A237="","",INDEX(Config!$C$39:$C$61,$J237))</f>
        <v/>
      </c>
      <c r="E237" s="66" t="str">
        <f>IF($A237="","",INDEX(Config!$D$39:$D$61,$J237))</f>
        <v/>
      </c>
      <c r="F237" s="67" t="str">
        <f>IF($A237="","",IFERROR(CHOOSE($J237,"movement_id is empty. Every row needs a unique movement ID.","movement_id "&amp;INDEX(Import_Staging!$A$2:$A$301,$H237)&amp;""&amp;" appears earlier in this file (row "&amp;IFERROR(MATCH(INDEX(Import_Staging!$A$2:$A$301,$H237),Import_Staging!$A$2:$A$301,0)+1,"?")&amp;"). Only the first row can be posted.","movement_id "&amp;INDEX(Import_Staging!$A$2:$A$301,$H237)&amp;""&amp;" is already in Inventory_Ledger. The ledger row was not changed.","date is empty.","date "&amp;""""&amp;INDEX(Import_Staging!$B$2:$B$301,$H237)&amp;""&amp;""""&amp;" is not a real date in yyyy-mm-dd format.","date "&amp;TEXT(INDEX(Import_Staging!$M$2:$M$301,$H237),"yyyy-mm-dd")&amp;" is after the as-of date "&amp;TEXT(Config!$B$4,"yyyy-mm-dd")&amp;".","type is empty.","type "&amp;""""&amp;INDEX(Import_Staging!$C$2:$C$301,$H237)&amp;""&amp;""""&amp;" is not a movement type listed on Config.","sku is empty.","SKU "&amp;INDEX(Import_Staging!$D$2:$D$301,$H237)&amp;""&amp;" is not in Products.","supplier_id is empty; receipts need the supplier.","Supplier "&amp;INDEX(Import_Staging!$E$2:$E$301,$H237)&amp;""&amp;" is not in Suppliers.","lot is empty; every movement needs its lot code.","Lot "&amp;INDEX(Import_Staging!$F$2:$F$301,$H237)&amp;""&amp;" is not recorded for "&amp;INDEX(Import_Staging!$D$2:$D$301,$H237)&amp;""&amp;" in Batches.","expiry is empty; receipts need the company-supplied expiry date.","expiry "&amp;""""&amp;INDEX(Import_Staging!$G$2:$G$301,$H237)&amp;""&amp;""""&amp;" is not a real date in yyyy-mm-dd format.","qty is empty.","qty "&amp;""""&amp;INDEX(Import_Staging!$H$2:$H$301,$H237)&amp;""&amp;""""&amp;" is not a valid quantity"&amp;IF(INDEX(Import_Staging!$C$2:$C$301,$H237)&amp;""="",""," for a "&amp;LOWER(INDEX(Import_Staging!$C$2:$C$301,$H237)&amp;""))&amp;".","lot_status is empty; receipts need a lot status.","lot_status "&amp;""""&amp;INDEX(Import_Staging!$I$2:$I$301,$H237)&amp;""&amp;""""&amp;" is not a lot status allowed on receipt (Config).","reason is empty; adjustments need a reason.","source_link is empty; every movement needs a link to its source document.","This row would take recorded stock of "&amp;INDEX(Import_Staging!$D$2:$D$301,$H237)&amp;""&amp;" from "&amp;INDEX(Import_Staging!$R$2:$R$301,$H237)&amp;" to "&amp;INDEX(Import_Staging!$S$2:$S$301,$H237)&amp;"."),$E237))</f>
        <v/>
      </c>
      <c r="G237" s="67" t="str">
        <f>IF($A237="","",INDEX(Config!$F$39:$F$61,$J237))</f>
        <v/>
      </c>
      <c r="H237" s="66" t="str">
        <f>IF($A237="","",MATCH(COUNTIF(Import_Staging!$BS$2:$BS$301,"&lt;"&amp;$A237)+1,Import_Staging!$BR$2:$BR$301,0))</f>
        <v/>
      </c>
      <c r="I237" s="66" t="str">
        <f>IF($A237="","",$A237-INDEX(Import_Staging!$BQ$2:$BQ$301,$H237))</f>
        <v/>
      </c>
      <c r="J237" s="66" t="str">
        <f>IF($A237="","",MATCH($I237,INDEX(Import_Staging!$AT$2:$BP$301,$H237,0),0))</f>
        <v/>
      </c>
    </row>
    <row r="238">
      <c r="A238" s="65" t="str">
        <f>IF(233&lt;=$F$4,233,"")</f>
        <v/>
      </c>
      <c r="B238" s="65" t="str">
        <f>IF($A238="","",$H238+1)</f>
        <v/>
      </c>
      <c r="C238" s="66" t="str">
        <f>IF($A238="","",INDEX(Import_Staging!$A$2:$A$301,$H238)&amp;"")</f>
        <v/>
      </c>
      <c r="D238" s="66" t="str">
        <f>IF($A238="","",INDEX(Config!$C$39:$C$61,$J238))</f>
        <v/>
      </c>
      <c r="E238" s="66" t="str">
        <f>IF($A238="","",INDEX(Config!$D$39:$D$61,$J238))</f>
        <v/>
      </c>
      <c r="F238" s="67" t="str">
        <f>IF($A238="","",IFERROR(CHOOSE($J238,"movement_id is empty. Every row needs a unique movement ID.","movement_id "&amp;INDEX(Import_Staging!$A$2:$A$301,$H238)&amp;""&amp;" appears earlier in this file (row "&amp;IFERROR(MATCH(INDEX(Import_Staging!$A$2:$A$301,$H238),Import_Staging!$A$2:$A$301,0)+1,"?")&amp;"). Only the first row can be posted.","movement_id "&amp;INDEX(Import_Staging!$A$2:$A$301,$H238)&amp;""&amp;" is already in Inventory_Ledger. The ledger row was not changed.","date is empty.","date "&amp;""""&amp;INDEX(Import_Staging!$B$2:$B$301,$H238)&amp;""&amp;""""&amp;" is not a real date in yyyy-mm-dd format.","date "&amp;TEXT(INDEX(Import_Staging!$M$2:$M$301,$H238),"yyyy-mm-dd")&amp;" is after the as-of date "&amp;TEXT(Config!$B$4,"yyyy-mm-dd")&amp;".","type is empty.","type "&amp;""""&amp;INDEX(Import_Staging!$C$2:$C$301,$H238)&amp;""&amp;""""&amp;" is not a movement type listed on Config.","sku is empty.","SKU "&amp;INDEX(Import_Staging!$D$2:$D$301,$H238)&amp;""&amp;" is not in Products.","supplier_id is empty; receipts need the supplier.","Supplier "&amp;INDEX(Import_Staging!$E$2:$E$301,$H238)&amp;""&amp;" is not in Suppliers.","lot is empty; every movement needs its lot code.","Lot "&amp;INDEX(Import_Staging!$F$2:$F$301,$H238)&amp;""&amp;" is not recorded for "&amp;INDEX(Import_Staging!$D$2:$D$301,$H238)&amp;""&amp;" in Batches.","expiry is empty; receipts need the company-supplied expiry date.","expiry "&amp;""""&amp;INDEX(Import_Staging!$G$2:$G$301,$H238)&amp;""&amp;""""&amp;" is not a real date in yyyy-mm-dd format.","qty is empty.","qty "&amp;""""&amp;INDEX(Import_Staging!$H$2:$H$301,$H238)&amp;""&amp;""""&amp;" is not a valid quantity"&amp;IF(INDEX(Import_Staging!$C$2:$C$301,$H238)&amp;""="",""," for a "&amp;LOWER(INDEX(Import_Staging!$C$2:$C$301,$H238)&amp;""))&amp;".","lot_status is empty; receipts need a lot status.","lot_status "&amp;""""&amp;INDEX(Import_Staging!$I$2:$I$301,$H238)&amp;""&amp;""""&amp;" is not a lot status allowed on receipt (Config).","reason is empty; adjustments need a reason.","source_link is empty; every movement needs a link to its source document.","This row would take recorded stock of "&amp;INDEX(Import_Staging!$D$2:$D$301,$H238)&amp;""&amp;" from "&amp;INDEX(Import_Staging!$R$2:$R$301,$H238)&amp;" to "&amp;INDEX(Import_Staging!$S$2:$S$301,$H238)&amp;"."),$E238))</f>
        <v/>
      </c>
      <c r="G238" s="67" t="str">
        <f>IF($A238="","",INDEX(Config!$F$39:$F$61,$J238))</f>
        <v/>
      </c>
      <c r="H238" s="66" t="str">
        <f>IF($A238="","",MATCH(COUNTIF(Import_Staging!$BS$2:$BS$301,"&lt;"&amp;$A238)+1,Import_Staging!$BR$2:$BR$301,0))</f>
        <v/>
      </c>
      <c r="I238" s="66" t="str">
        <f>IF($A238="","",$A238-INDEX(Import_Staging!$BQ$2:$BQ$301,$H238))</f>
        <v/>
      </c>
      <c r="J238" s="66" t="str">
        <f>IF($A238="","",MATCH($I238,INDEX(Import_Staging!$AT$2:$BP$301,$H238,0),0))</f>
        <v/>
      </c>
    </row>
    <row r="239">
      <c r="A239" s="65" t="str">
        <f>IF(234&lt;=$F$4,234,"")</f>
        <v/>
      </c>
      <c r="B239" s="65" t="str">
        <f>IF($A239="","",$H239+1)</f>
        <v/>
      </c>
      <c r="C239" s="66" t="str">
        <f>IF($A239="","",INDEX(Import_Staging!$A$2:$A$301,$H239)&amp;"")</f>
        <v/>
      </c>
      <c r="D239" s="66" t="str">
        <f>IF($A239="","",INDEX(Config!$C$39:$C$61,$J239))</f>
        <v/>
      </c>
      <c r="E239" s="66" t="str">
        <f>IF($A239="","",INDEX(Config!$D$39:$D$61,$J239))</f>
        <v/>
      </c>
      <c r="F239" s="67" t="str">
        <f>IF($A239="","",IFERROR(CHOOSE($J239,"movement_id is empty. Every row needs a unique movement ID.","movement_id "&amp;INDEX(Import_Staging!$A$2:$A$301,$H239)&amp;""&amp;" appears earlier in this file (row "&amp;IFERROR(MATCH(INDEX(Import_Staging!$A$2:$A$301,$H239),Import_Staging!$A$2:$A$301,0)+1,"?")&amp;"). Only the first row can be posted.","movement_id "&amp;INDEX(Import_Staging!$A$2:$A$301,$H239)&amp;""&amp;" is already in Inventory_Ledger. The ledger row was not changed.","date is empty.","date "&amp;""""&amp;INDEX(Import_Staging!$B$2:$B$301,$H239)&amp;""&amp;""""&amp;" is not a real date in yyyy-mm-dd format.","date "&amp;TEXT(INDEX(Import_Staging!$M$2:$M$301,$H239),"yyyy-mm-dd")&amp;" is after the as-of date "&amp;TEXT(Config!$B$4,"yyyy-mm-dd")&amp;".","type is empty.","type "&amp;""""&amp;INDEX(Import_Staging!$C$2:$C$301,$H239)&amp;""&amp;""""&amp;" is not a movement type listed on Config.","sku is empty.","SKU "&amp;INDEX(Import_Staging!$D$2:$D$301,$H239)&amp;""&amp;" is not in Products.","supplier_id is empty; receipts need the supplier.","Supplier "&amp;INDEX(Import_Staging!$E$2:$E$301,$H239)&amp;""&amp;" is not in Suppliers.","lot is empty; every movement needs its lot code.","Lot "&amp;INDEX(Import_Staging!$F$2:$F$301,$H239)&amp;""&amp;" is not recorded for "&amp;INDEX(Import_Staging!$D$2:$D$301,$H239)&amp;""&amp;" in Batches.","expiry is empty; receipts need the company-supplied expiry date.","expiry "&amp;""""&amp;INDEX(Import_Staging!$G$2:$G$301,$H239)&amp;""&amp;""""&amp;" is not a real date in yyyy-mm-dd format.","qty is empty.","qty "&amp;""""&amp;INDEX(Import_Staging!$H$2:$H$301,$H239)&amp;""&amp;""""&amp;" is not a valid quantity"&amp;IF(INDEX(Import_Staging!$C$2:$C$301,$H239)&amp;""="",""," for a "&amp;LOWER(INDEX(Import_Staging!$C$2:$C$301,$H239)&amp;""))&amp;".","lot_status is empty; receipts need a lot status.","lot_status "&amp;""""&amp;INDEX(Import_Staging!$I$2:$I$301,$H239)&amp;""&amp;""""&amp;" is not a lot status allowed on receipt (Config).","reason is empty; adjustments need a reason.","source_link is empty; every movement needs a link to its source document.","This row would take recorded stock of "&amp;INDEX(Import_Staging!$D$2:$D$301,$H239)&amp;""&amp;" from "&amp;INDEX(Import_Staging!$R$2:$R$301,$H239)&amp;" to "&amp;INDEX(Import_Staging!$S$2:$S$301,$H239)&amp;"."),$E239))</f>
        <v/>
      </c>
      <c r="G239" s="67" t="str">
        <f>IF($A239="","",INDEX(Config!$F$39:$F$61,$J239))</f>
        <v/>
      </c>
      <c r="H239" s="66" t="str">
        <f>IF($A239="","",MATCH(COUNTIF(Import_Staging!$BS$2:$BS$301,"&lt;"&amp;$A239)+1,Import_Staging!$BR$2:$BR$301,0))</f>
        <v/>
      </c>
      <c r="I239" s="66" t="str">
        <f>IF($A239="","",$A239-INDEX(Import_Staging!$BQ$2:$BQ$301,$H239))</f>
        <v/>
      </c>
      <c r="J239" s="66" t="str">
        <f>IF($A239="","",MATCH($I239,INDEX(Import_Staging!$AT$2:$BP$301,$H239,0),0))</f>
        <v/>
      </c>
    </row>
    <row r="240">
      <c r="A240" s="65" t="str">
        <f>IF(235&lt;=$F$4,235,"")</f>
        <v/>
      </c>
      <c r="B240" s="65" t="str">
        <f>IF($A240="","",$H240+1)</f>
        <v/>
      </c>
      <c r="C240" s="66" t="str">
        <f>IF($A240="","",INDEX(Import_Staging!$A$2:$A$301,$H240)&amp;"")</f>
        <v/>
      </c>
      <c r="D240" s="66" t="str">
        <f>IF($A240="","",INDEX(Config!$C$39:$C$61,$J240))</f>
        <v/>
      </c>
      <c r="E240" s="66" t="str">
        <f>IF($A240="","",INDEX(Config!$D$39:$D$61,$J240))</f>
        <v/>
      </c>
      <c r="F240" s="67" t="str">
        <f>IF($A240="","",IFERROR(CHOOSE($J240,"movement_id is empty. Every row needs a unique movement ID.","movement_id "&amp;INDEX(Import_Staging!$A$2:$A$301,$H240)&amp;""&amp;" appears earlier in this file (row "&amp;IFERROR(MATCH(INDEX(Import_Staging!$A$2:$A$301,$H240),Import_Staging!$A$2:$A$301,0)+1,"?")&amp;"). Only the first row can be posted.","movement_id "&amp;INDEX(Import_Staging!$A$2:$A$301,$H240)&amp;""&amp;" is already in Inventory_Ledger. The ledger row was not changed.","date is empty.","date "&amp;""""&amp;INDEX(Import_Staging!$B$2:$B$301,$H240)&amp;""&amp;""""&amp;" is not a real date in yyyy-mm-dd format.","date "&amp;TEXT(INDEX(Import_Staging!$M$2:$M$301,$H240),"yyyy-mm-dd")&amp;" is after the as-of date "&amp;TEXT(Config!$B$4,"yyyy-mm-dd")&amp;".","type is empty.","type "&amp;""""&amp;INDEX(Import_Staging!$C$2:$C$301,$H240)&amp;""&amp;""""&amp;" is not a movement type listed on Config.","sku is empty.","SKU "&amp;INDEX(Import_Staging!$D$2:$D$301,$H240)&amp;""&amp;" is not in Products.","supplier_id is empty; receipts need the supplier.","Supplier "&amp;INDEX(Import_Staging!$E$2:$E$301,$H240)&amp;""&amp;" is not in Suppliers.","lot is empty; every movement needs its lot code.","Lot "&amp;INDEX(Import_Staging!$F$2:$F$301,$H240)&amp;""&amp;" is not recorded for "&amp;INDEX(Import_Staging!$D$2:$D$301,$H240)&amp;""&amp;" in Batches.","expiry is empty; receipts need the company-supplied expiry date.","expiry "&amp;""""&amp;INDEX(Import_Staging!$G$2:$G$301,$H240)&amp;""&amp;""""&amp;" is not a real date in yyyy-mm-dd format.","qty is empty.","qty "&amp;""""&amp;INDEX(Import_Staging!$H$2:$H$301,$H240)&amp;""&amp;""""&amp;" is not a valid quantity"&amp;IF(INDEX(Import_Staging!$C$2:$C$301,$H240)&amp;""="",""," for a "&amp;LOWER(INDEX(Import_Staging!$C$2:$C$301,$H240)&amp;""))&amp;".","lot_status is empty; receipts need a lot status.","lot_status "&amp;""""&amp;INDEX(Import_Staging!$I$2:$I$301,$H240)&amp;""&amp;""""&amp;" is not a lot status allowed on receipt (Config).","reason is empty; adjustments need a reason.","source_link is empty; every movement needs a link to its source document.","This row would take recorded stock of "&amp;INDEX(Import_Staging!$D$2:$D$301,$H240)&amp;""&amp;" from "&amp;INDEX(Import_Staging!$R$2:$R$301,$H240)&amp;" to "&amp;INDEX(Import_Staging!$S$2:$S$301,$H240)&amp;"."),$E240))</f>
        <v/>
      </c>
      <c r="G240" s="67" t="str">
        <f>IF($A240="","",INDEX(Config!$F$39:$F$61,$J240))</f>
        <v/>
      </c>
      <c r="H240" s="66" t="str">
        <f>IF($A240="","",MATCH(COUNTIF(Import_Staging!$BS$2:$BS$301,"&lt;"&amp;$A240)+1,Import_Staging!$BR$2:$BR$301,0))</f>
        <v/>
      </c>
      <c r="I240" s="66" t="str">
        <f>IF($A240="","",$A240-INDEX(Import_Staging!$BQ$2:$BQ$301,$H240))</f>
        <v/>
      </c>
      <c r="J240" s="66" t="str">
        <f>IF($A240="","",MATCH($I240,INDEX(Import_Staging!$AT$2:$BP$301,$H240,0),0))</f>
        <v/>
      </c>
    </row>
    <row r="241">
      <c r="A241" s="65" t="str">
        <f>IF(236&lt;=$F$4,236,"")</f>
        <v/>
      </c>
      <c r="B241" s="65" t="str">
        <f>IF($A241="","",$H241+1)</f>
        <v/>
      </c>
      <c r="C241" s="66" t="str">
        <f>IF($A241="","",INDEX(Import_Staging!$A$2:$A$301,$H241)&amp;"")</f>
        <v/>
      </c>
      <c r="D241" s="66" t="str">
        <f>IF($A241="","",INDEX(Config!$C$39:$C$61,$J241))</f>
        <v/>
      </c>
      <c r="E241" s="66" t="str">
        <f>IF($A241="","",INDEX(Config!$D$39:$D$61,$J241))</f>
        <v/>
      </c>
      <c r="F241" s="67" t="str">
        <f>IF($A241="","",IFERROR(CHOOSE($J241,"movement_id is empty. Every row needs a unique movement ID.","movement_id "&amp;INDEX(Import_Staging!$A$2:$A$301,$H241)&amp;""&amp;" appears earlier in this file (row "&amp;IFERROR(MATCH(INDEX(Import_Staging!$A$2:$A$301,$H241),Import_Staging!$A$2:$A$301,0)+1,"?")&amp;"). Only the first row can be posted.","movement_id "&amp;INDEX(Import_Staging!$A$2:$A$301,$H241)&amp;""&amp;" is already in Inventory_Ledger. The ledger row was not changed.","date is empty.","date "&amp;""""&amp;INDEX(Import_Staging!$B$2:$B$301,$H241)&amp;""&amp;""""&amp;" is not a real date in yyyy-mm-dd format.","date "&amp;TEXT(INDEX(Import_Staging!$M$2:$M$301,$H241),"yyyy-mm-dd")&amp;" is after the as-of date "&amp;TEXT(Config!$B$4,"yyyy-mm-dd")&amp;".","type is empty.","type "&amp;""""&amp;INDEX(Import_Staging!$C$2:$C$301,$H241)&amp;""&amp;""""&amp;" is not a movement type listed on Config.","sku is empty.","SKU "&amp;INDEX(Import_Staging!$D$2:$D$301,$H241)&amp;""&amp;" is not in Products.","supplier_id is empty; receipts need the supplier.","Supplier "&amp;INDEX(Import_Staging!$E$2:$E$301,$H241)&amp;""&amp;" is not in Suppliers.","lot is empty; every movement needs its lot code.","Lot "&amp;INDEX(Import_Staging!$F$2:$F$301,$H241)&amp;""&amp;" is not recorded for "&amp;INDEX(Import_Staging!$D$2:$D$301,$H241)&amp;""&amp;" in Batches.","expiry is empty; receipts need the company-supplied expiry date.","expiry "&amp;""""&amp;INDEX(Import_Staging!$G$2:$G$301,$H241)&amp;""&amp;""""&amp;" is not a real date in yyyy-mm-dd format.","qty is empty.","qty "&amp;""""&amp;INDEX(Import_Staging!$H$2:$H$301,$H241)&amp;""&amp;""""&amp;" is not a valid quantity"&amp;IF(INDEX(Import_Staging!$C$2:$C$301,$H241)&amp;""="",""," for a "&amp;LOWER(INDEX(Import_Staging!$C$2:$C$301,$H241)&amp;""))&amp;".","lot_status is empty; receipts need a lot status.","lot_status "&amp;""""&amp;INDEX(Import_Staging!$I$2:$I$301,$H241)&amp;""&amp;""""&amp;" is not a lot status allowed on receipt (Config).","reason is empty; adjustments need a reason.","source_link is empty; every movement needs a link to its source document.","This row would take recorded stock of "&amp;INDEX(Import_Staging!$D$2:$D$301,$H241)&amp;""&amp;" from "&amp;INDEX(Import_Staging!$R$2:$R$301,$H241)&amp;" to "&amp;INDEX(Import_Staging!$S$2:$S$301,$H241)&amp;"."),$E241))</f>
        <v/>
      </c>
      <c r="G241" s="67" t="str">
        <f>IF($A241="","",INDEX(Config!$F$39:$F$61,$J241))</f>
        <v/>
      </c>
      <c r="H241" s="66" t="str">
        <f>IF($A241="","",MATCH(COUNTIF(Import_Staging!$BS$2:$BS$301,"&lt;"&amp;$A241)+1,Import_Staging!$BR$2:$BR$301,0))</f>
        <v/>
      </c>
      <c r="I241" s="66" t="str">
        <f>IF($A241="","",$A241-INDEX(Import_Staging!$BQ$2:$BQ$301,$H241))</f>
        <v/>
      </c>
      <c r="J241" s="66" t="str">
        <f>IF($A241="","",MATCH($I241,INDEX(Import_Staging!$AT$2:$BP$301,$H241,0),0))</f>
        <v/>
      </c>
    </row>
    <row r="242">
      <c r="A242" s="65" t="str">
        <f>IF(237&lt;=$F$4,237,"")</f>
        <v/>
      </c>
      <c r="B242" s="65" t="str">
        <f>IF($A242="","",$H242+1)</f>
        <v/>
      </c>
      <c r="C242" s="66" t="str">
        <f>IF($A242="","",INDEX(Import_Staging!$A$2:$A$301,$H242)&amp;"")</f>
        <v/>
      </c>
      <c r="D242" s="66" t="str">
        <f>IF($A242="","",INDEX(Config!$C$39:$C$61,$J242))</f>
        <v/>
      </c>
      <c r="E242" s="66" t="str">
        <f>IF($A242="","",INDEX(Config!$D$39:$D$61,$J242))</f>
        <v/>
      </c>
      <c r="F242" s="67" t="str">
        <f>IF($A242="","",IFERROR(CHOOSE($J242,"movement_id is empty. Every row needs a unique movement ID.","movement_id "&amp;INDEX(Import_Staging!$A$2:$A$301,$H242)&amp;""&amp;" appears earlier in this file (row "&amp;IFERROR(MATCH(INDEX(Import_Staging!$A$2:$A$301,$H242),Import_Staging!$A$2:$A$301,0)+1,"?")&amp;"). Only the first row can be posted.","movement_id "&amp;INDEX(Import_Staging!$A$2:$A$301,$H242)&amp;""&amp;" is already in Inventory_Ledger. The ledger row was not changed.","date is empty.","date "&amp;""""&amp;INDEX(Import_Staging!$B$2:$B$301,$H242)&amp;""&amp;""""&amp;" is not a real date in yyyy-mm-dd format.","date "&amp;TEXT(INDEX(Import_Staging!$M$2:$M$301,$H242),"yyyy-mm-dd")&amp;" is after the as-of date "&amp;TEXT(Config!$B$4,"yyyy-mm-dd")&amp;".","type is empty.","type "&amp;""""&amp;INDEX(Import_Staging!$C$2:$C$301,$H242)&amp;""&amp;""""&amp;" is not a movement type listed on Config.","sku is empty.","SKU "&amp;INDEX(Import_Staging!$D$2:$D$301,$H242)&amp;""&amp;" is not in Products.","supplier_id is empty; receipts need the supplier.","Supplier "&amp;INDEX(Import_Staging!$E$2:$E$301,$H242)&amp;""&amp;" is not in Suppliers.","lot is empty; every movement needs its lot code.","Lot "&amp;INDEX(Import_Staging!$F$2:$F$301,$H242)&amp;""&amp;" is not recorded for "&amp;INDEX(Import_Staging!$D$2:$D$301,$H242)&amp;""&amp;" in Batches.","expiry is empty; receipts need the company-supplied expiry date.","expiry "&amp;""""&amp;INDEX(Import_Staging!$G$2:$G$301,$H242)&amp;""&amp;""""&amp;" is not a real date in yyyy-mm-dd format.","qty is empty.","qty "&amp;""""&amp;INDEX(Import_Staging!$H$2:$H$301,$H242)&amp;""&amp;""""&amp;" is not a valid quantity"&amp;IF(INDEX(Import_Staging!$C$2:$C$301,$H242)&amp;""="",""," for a "&amp;LOWER(INDEX(Import_Staging!$C$2:$C$301,$H242)&amp;""))&amp;".","lot_status is empty; receipts need a lot status.","lot_status "&amp;""""&amp;INDEX(Import_Staging!$I$2:$I$301,$H242)&amp;""&amp;""""&amp;" is not a lot status allowed on receipt (Config).","reason is empty; adjustments need a reason.","source_link is empty; every movement needs a link to its source document.","This row would take recorded stock of "&amp;INDEX(Import_Staging!$D$2:$D$301,$H242)&amp;""&amp;" from "&amp;INDEX(Import_Staging!$R$2:$R$301,$H242)&amp;" to "&amp;INDEX(Import_Staging!$S$2:$S$301,$H242)&amp;"."),$E242))</f>
        <v/>
      </c>
      <c r="G242" s="67" t="str">
        <f>IF($A242="","",INDEX(Config!$F$39:$F$61,$J242))</f>
        <v/>
      </c>
      <c r="H242" s="66" t="str">
        <f>IF($A242="","",MATCH(COUNTIF(Import_Staging!$BS$2:$BS$301,"&lt;"&amp;$A242)+1,Import_Staging!$BR$2:$BR$301,0))</f>
        <v/>
      </c>
      <c r="I242" s="66" t="str">
        <f>IF($A242="","",$A242-INDEX(Import_Staging!$BQ$2:$BQ$301,$H242))</f>
        <v/>
      </c>
      <c r="J242" s="66" t="str">
        <f>IF($A242="","",MATCH($I242,INDEX(Import_Staging!$AT$2:$BP$301,$H242,0),0))</f>
        <v/>
      </c>
    </row>
    <row r="243">
      <c r="A243" s="65" t="str">
        <f>IF(238&lt;=$F$4,238,"")</f>
        <v/>
      </c>
      <c r="B243" s="65" t="str">
        <f>IF($A243="","",$H243+1)</f>
        <v/>
      </c>
      <c r="C243" s="66" t="str">
        <f>IF($A243="","",INDEX(Import_Staging!$A$2:$A$301,$H243)&amp;"")</f>
        <v/>
      </c>
      <c r="D243" s="66" t="str">
        <f>IF($A243="","",INDEX(Config!$C$39:$C$61,$J243))</f>
        <v/>
      </c>
      <c r="E243" s="66" t="str">
        <f>IF($A243="","",INDEX(Config!$D$39:$D$61,$J243))</f>
        <v/>
      </c>
      <c r="F243" s="67" t="str">
        <f>IF($A243="","",IFERROR(CHOOSE($J243,"movement_id is empty. Every row needs a unique movement ID.","movement_id "&amp;INDEX(Import_Staging!$A$2:$A$301,$H243)&amp;""&amp;" appears earlier in this file (row "&amp;IFERROR(MATCH(INDEX(Import_Staging!$A$2:$A$301,$H243),Import_Staging!$A$2:$A$301,0)+1,"?")&amp;"). Only the first row can be posted.","movement_id "&amp;INDEX(Import_Staging!$A$2:$A$301,$H243)&amp;""&amp;" is already in Inventory_Ledger. The ledger row was not changed.","date is empty.","date "&amp;""""&amp;INDEX(Import_Staging!$B$2:$B$301,$H243)&amp;""&amp;""""&amp;" is not a real date in yyyy-mm-dd format.","date "&amp;TEXT(INDEX(Import_Staging!$M$2:$M$301,$H243),"yyyy-mm-dd")&amp;" is after the as-of date "&amp;TEXT(Config!$B$4,"yyyy-mm-dd")&amp;".","type is empty.","type "&amp;""""&amp;INDEX(Import_Staging!$C$2:$C$301,$H243)&amp;""&amp;""""&amp;" is not a movement type listed on Config.","sku is empty.","SKU "&amp;INDEX(Import_Staging!$D$2:$D$301,$H243)&amp;""&amp;" is not in Products.","supplier_id is empty; receipts need the supplier.","Supplier "&amp;INDEX(Import_Staging!$E$2:$E$301,$H243)&amp;""&amp;" is not in Suppliers.","lot is empty; every movement needs its lot code.","Lot "&amp;INDEX(Import_Staging!$F$2:$F$301,$H243)&amp;""&amp;" is not recorded for "&amp;INDEX(Import_Staging!$D$2:$D$301,$H243)&amp;""&amp;" in Batches.","expiry is empty; receipts need the company-supplied expiry date.","expiry "&amp;""""&amp;INDEX(Import_Staging!$G$2:$G$301,$H243)&amp;""&amp;""""&amp;" is not a real date in yyyy-mm-dd format.","qty is empty.","qty "&amp;""""&amp;INDEX(Import_Staging!$H$2:$H$301,$H243)&amp;""&amp;""""&amp;" is not a valid quantity"&amp;IF(INDEX(Import_Staging!$C$2:$C$301,$H243)&amp;""="",""," for a "&amp;LOWER(INDEX(Import_Staging!$C$2:$C$301,$H243)&amp;""))&amp;".","lot_status is empty; receipts need a lot status.","lot_status "&amp;""""&amp;INDEX(Import_Staging!$I$2:$I$301,$H243)&amp;""&amp;""""&amp;" is not a lot status allowed on receipt (Config).","reason is empty; adjustments need a reason.","source_link is empty; every movement needs a link to its source document.","This row would take recorded stock of "&amp;INDEX(Import_Staging!$D$2:$D$301,$H243)&amp;""&amp;" from "&amp;INDEX(Import_Staging!$R$2:$R$301,$H243)&amp;" to "&amp;INDEX(Import_Staging!$S$2:$S$301,$H243)&amp;"."),$E243))</f>
        <v/>
      </c>
      <c r="G243" s="67" t="str">
        <f>IF($A243="","",INDEX(Config!$F$39:$F$61,$J243))</f>
        <v/>
      </c>
      <c r="H243" s="66" t="str">
        <f>IF($A243="","",MATCH(COUNTIF(Import_Staging!$BS$2:$BS$301,"&lt;"&amp;$A243)+1,Import_Staging!$BR$2:$BR$301,0))</f>
        <v/>
      </c>
      <c r="I243" s="66" t="str">
        <f>IF($A243="","",$A243-INDEX(Import_Staging!$BQ$2:$BQ$301,$H243))</f>
        <v/>
      </c>
      <c r="J243" s="66" t="str">
        <f>IF($A243="","",MATCH($I243,INDEX(Import_Staging!$AT$2:$BP$301,$H243,0),0))</f>
        <v/>
      </c>
    </row>
    <row r="244">
      <c r="A244" s="65" t="str">
        <f>IF(239&lt;=$F$4,239,"")</f>
        <v/>
      </c>
      <c r="B244" s="65" t="str">
        <f>IF($A244="","",$H244+1)</f>
        <v/>
      </c>
      <c r="C244" s="66" t="str">
        <f>IF($A244="","",INDEX(Import_Staging!$A$2:$A$301,$H244)&amp;"")</f>
        <v/>
      </c>
      <c r="D244" s="66" t="str">
        <f>IF($A244="","",INDEX(Config!$C$39:$C$61,$J244))</f>
        <v/>
      </c>
      <c r="E244" s="66" t="str">
        <f>IF($A244="","",INDEX(Config!$D$39:$D$61,$J244))</f>
        <v/>
      </c>
      <c r="F244" s="67" t="str">
        <f>IF($A244="","",IFERROR(CHOOSE($J244,"movement_id is empty. Every row needs a unique movement ID.","movement_id "&amp;INDEX(Import_Staging!$A$2:$A$301,$H244)&amp;""&amp;" appears earlier in this file (row "&amp;IFERROR(MATCH(INDEX(Import_Staging!$A$2:$A$301,$H244),Import_Staging!$A$2:$A$301,0)+1,"?")&amp;"). Only the first row can be posted.","movement_id "&amp;INDEX(Import_Staging!$A$2:$A$301,$H244)&amp;""&amp;" is already in Inventory_Ledger. The ledger row was not changed.","date is empty.","date "&amp;""""&amp;INDEX(Import_Staging!$B$2:$B$301,$H244)&amp;""&amp;""""&amp;" is not a real date in yyyy-mm-dd format.","date "&amp;TEXT(INDEX(Import_Staging!$M$2:$M$301,$H244),"yyyy-mm-dd")&amp;" is after the as-of date "&amp;TEXT(Config!$B$4,"yyyy-mm-dd")&amp;".","type is empty.","type "&amp;""""&amp;INDEX(Import_Staging!$C$2:$C$301,$H244)&amp;""&amp;""""&amp;" is not a movement type listed on Config.","sku is empty.","SKU "&amp;INDEX(Import_Staging!$D$2:$D$301,$H244)&amp;""&amp;" is not in Products.","supplier_id is empty; receipts need the supplier.","Supplier "&amp;INDEX(Import_Staging!$E$2:$E$301,$H244)&amp;""&amp;" is not in Suppliers.","lot is empty; every movement needs its lot code.","Lot "&amp;INDEX(Import_Staging!$F$2:$F$301,$H244)&amp;""&amp;" is not recorded for "&amp;INDEX(Import_Staging!$D$2:$D$301,$H244)&amp;""&amp;" in Batches.","expiry is empty; receipts need the company-supplied expiry date.","expiry "&amp;""""&amp;INDEX(Import_Staging!$G$2:$G$301,$H244)&amp;""&amp;""""&amp;" is not a real date in yyyy-mm-dd format.","qty is empty.","qty "&amp;""""&amp;INDEX(Import_Staging!$H$2:$H$301,$H244)&amp;""&amp;""""&amp;" is not a valid quantity"&amp;IF(INDEX(Import_Staging!$C$2:$C$301,$H244)&amp;""="",""," for a "&amp;LOWER(INDEX(Import_Staging!$C$2:$C$301,$H244)&amp;""))&amp;".","lot_status is empty; receipts need a lot status.","lot_status "&amp;""""&amp;INDEX(Import_Staging!$I$2:$I$301,$H244)&amp;""&amp;""""&amp;" is not a lot status allowed on receipt (Config).","reason is empty; adjustments need a reason.","source_link is empty; every movement needs a link to its source document.","This row would take recorded stock of "&amp;INDEX(Import_Staging!$D$2:$D$301,$H244)&amp;""&amp;" from "&amp;INDEX(Import_Staging!$R$2:$R$301,$H244)&amp;" to "&amp;INDEX(Import_Staging!$S$2:$S$301,$H244)&amp;"."),$E244))</f>
        <v/>
      </c>
      <c r="G244" s="67" t="str">
        <f>IF($A244="","",INDEX(Config!$F$39:$F$61,$J244))</f>
        <v/>
      </c>
      <c r="H244" s="66" t="str">
        <f>IF($A244="","",MATCH(COUNTIF(Import_Staging!$BS$2:$BS$301,"&lt;"&amp;$A244)+1,Import_Staging!$BR$2:$BR$301,0))</f>
        <v/>
      </c>
      <c r="I244" s="66" t="str">
        <f>IF($A244="","",$A244-INDEX(Import_Staging!$BQ$2:$BQ$301,$H244))</f>
        <v/>
      </c>
      <c r="J244" s="66" t="str">
        <f>IF($A244="","",MATCH($I244,INDEX(Import_Staging!$AT$2:$BP$301,$H244,0),0))</f>
        <v/>
      </c>
    </row>
    <row r="245">
      <c r="A245" s="65" t="str">
        <f>IF(240&lt;=$F$4,240,"")</f>
        <v/>
      </c>
      <c r="B245" s="65" t="str">
        <f>IF($A245="","",$H245+1)</f>
        <v/>
      </c>
      <c r="C245" s="66" t="str">
        <f>IF($A245="","",INDEX(Import_Staging!$A$2:$A$301,$H245)&amp;"")</f>
        <v/>
      </c>
      <c r="D245" s="66" t="str">
        <f>IF($A245="","",INDEX(Config!$C$39:$C$61,$J245))</f>
        <v/>
      </c>
      <c r="E245" s="66" t="str">
        <f>IF($A245="","",INDEX(Config!$D$39:$D$61,$J245))</f>
        <v/>
      </c>
      <c r="F245" s="67" t="str">
        <f>IF($A245="","",IFERROR(CHOOSE($J245,"movement_id is empty. Every row needs a unique movement ID.","movement_id "&amp;INDEX(Import_Staging!$A$2:$A$301,$H245)&amp;""&amp;" appears earlier in this file (row "&amp;IFERROR(MATCH(INDEX(Import_Staging!$A$2:$A$301,$H245),Import_Staging!$A$2:$A$301,0)+1,"?")&amp;"). Only the first row can be posted.","movement_id "&amp;INDEX(Import_Staging!$A$2:$A$301,$H245)&amp;""&amp;" is already in Inventory_Ledger. The ledger row was not changed.","date is empty.","date "&amp;""""&amp;INDEX(Import_Staging!$B$2:$B$301,$H245)&amp;""&amp;""""&amp;" is not a real date in yyyy-mm-dd format.","date "&amp;TEXT(INDEX(Import_Staging!$M$2:$M$301,$H245),"yyyy-mm-dd")&amp;" is after the as-of date "&amp;TEXT(Config!$B$4,"yyyy-mm-dd")&amp;".","type is empty.","type "&amp;""""&amp;INDEX(Import_Staging!$C$2:$C$301,$H245)&amp;""&amp;""""&amp;" is not a movement type listed on Config.","sku is empty.","SKU "&amp;INDEX(Import_Staging!$D$2:$D$301,$H245)&amp;""&amp;" is not in Products.","supplier_id is empty; receipts need the supplier.","Supplier "&amp;INDEX(Import_Staging!$E$2:$E$301,$H245)&amp;""&amp;" is not in Suppliers.","lot is empty; every movement needs its lot code.","Lot "&amp;INDEX(Import_Staging!$F$2:$F$301,$H245)&amp;""&amp;" is not recorded for "&amp;INDEX(Import_Staging!$D$2:$D$301,$H245)&amp;""&amp;" in Batches.","expiry is empty; receipts need the company-supplied expiry date.","expiry "&amp;""""&amp;INDEX(Import_Staging!$G$2:$G$301,$H245)&amp;""&amp;""""&amp;" is not a real date in yyyy-mm-dd format.","qty is empty.","qty "&amp;""""&amp;INDEX(Import_Staging!$H$2:$H$301,$H245)&amp;""&amp;""""&amp;" is not a valid quantity"&amp;IF(INDEX(Import_Staging!$C$2:$C$301,$H245)&amp;""="",""," for a "&amp;LOWER(INDEX(Import_Staging!$C$2:$C$301,$H245)&amp;""))&amp;".","lot_status is empty; receipts need a lot status.","lot_status "&amp;""""&amp;INDEX(Import_Staging!$I$2:$I$301,$H245)&amp;""&amp;""""&amp;" is not a lot status allowed on receipt (Config).","reason is empty; adjustments need a reason.","source_link is empty; every movement needs a link to its source document.","This row would take recorded stock of "&amp;INDEX(Import_Staging!$D$2:$D$301,$H245)&amp;""&amp;" from "&amp;INDEX(Import_Staging!$R$2:$R$301,$H245)&amp;" to "&amp;INDEX(Import_Staging!$S$2:$S$301,$H245)&amp;"."),$E245))</f>
        <v/>
      </c>
      <c r="G245" s="67" t="str">
        <f>IF($A245="","",INDEX(Config!$F$39:$F$61,$J245))</f>
        <v/>
      </c>
      <c r="H245" s="66" t="str">
        <f>IF($A245="","",MATCH(COUNTIF(Import_Staging!$BS$2:$BS$301,"&lt;"&amp;$A245)+1,Import_Staging!$BR$2:$BR$301,0))</f>
        <v/>
      </c>
      <c r="I245" s="66" t="str">
        <f>IF($A245="","",$A245-INDEX(Import_Staging!$BQ$2:$BQ$301,$H245))</f>
        <v/>
      </c>
      <c r="J245" s="66" t="str">
        <f>IF($A245="","",MATCH($I245,INDEX(Import_Staging!$AT$2:$BP$301,$H245,0),0))</f>
        <v/>
      </c>
    </row>
    <row r="246">
      <c r="A246" s="65" t="str">
        <f>IF(241&lt;=$F$4,241,"")</f>
        <v/>
      </c>
      <c r="B246" s="65" t="str">
        <f>IF($A246="","",$H246+1)</f>
        <v/>
      </c>
      <c r="C246" s="66" t="str">
        <f>IF($A246="","",INDEX(Import_Staging!$A$2:$A$301,$H246)&amp;"")</f>
        <v/>
      </c>
      <c r="D246" s="66" t="str">
        <f>IF($A246="","",INDEX(Config!$C$39:$C$61,$J246))</f>
        <v/>
      </c>
      <c r="E246" s="66" t="str">
        <f>IF($A246="","",INDEX(Config!$D$39:$D$61,$J246))</f>
        <v/>
      </c>
      <c r="F246" s="67" t="str">
        <f>IF($A246="","",IFERROR(CHOOSE($J246,"movement_id is empty. Every row needs a unique movement ID.","movement_id "&amp;INDEX(Import_Staging!$A$2:$A$301,$H246)&amp;""&amp;" appears earlier in this file (row "&amp;IFERROR(MATCH(INDEX(Import_Staging!$A$2:$A$301,$H246),Import_Staging!$A$2:$A$301,0)+1,"?")&amp;"). Only the first row can be posted.","movement_id "&amp;INDEX(Import_Staging!$A$2:$A$301,$H246)&amp;""&amp;" is already in Inventory_Ledger. The ledger row was not changed.","date is empty.","date "&amp;""""&amp;INDEX(Import_Staging!$B$2:$B$301,$H246)&amp;""&amp;""""&amp;" is not a real date in yyyy-mm-dd format.","date "&amp;TEXT(INDEX(Import_Staging!$M$2:$M$301,$H246),"yyyy-mm-dd")&amp;" is after the as-of date "&amp;TEXT(Config!$B$4,"yyyy-mm-dd")&amp;".","type is empty.","type "&amp;""""&amp;INDEX(Import_Staging!$C$2:$C$301,$H246)&amp;""&amp;""""&amp;" is not a movement type listed on Config.","sku is empty.","SKU "&amp;INDEX(Import_Staging!$D$2:$D$301,$H246)&amp;""&amp;" is not in Products.","supplier_id is empty; receipts need the supplier.","Supplier "&amp;INDEX(Import_Staging!$E$2:$E$301,$H246)&amp;""&amp;" is not in Suppliers.","lot is empty; every movement needs its lot code.","Lot "&amp;INDEX(Import_Staging!$F$2:$F$301,$H246)&amp;""&amp;" is not recorded for "&amp;INDEX(Import_Staging!$D$2:$D$301,$H246)&amp;""&amp;" in Batches.","expiry is empty; receipts need the company-supplied expiry date.","expiry "&amp;""""&amp;INDEX(Import_Staging!$G$2:$G$301,$H246)&amp;""&amp;""""&amp;" is not a real date in yyyy-mm-dd format.","qty is empty.","qty "&amp;""""&amp;INDEX(Import_Staging!$H$2:$H$301,$H246)&amp;""&amp;""""&amp;" is not a valid quantity"&amp;IF(INDEX(Import_Staging!$C$2:$C$301,$H246)&amp;""="",""," for a "&amp;LOWER(INDEX(Import_Staging!$C$2:$C$301,$H246)&amp;""))&amp;".","lot_status is empty; receipts need a lot status.","lot_status "&amp;""""&amp;INDEX(Import_Staging!$I$2:$I$301,$H246)&amp;""&amp;""""&amp;" is not a lot status allowed on receipt (Config).","reason is empty; adjustments need a reason.","source_link is empty; every movement needs a link to its source document.","This row would take recorded stock of "&amp;INDEX(Import_Staging!$D$2:$D$301,$H246)&amp;""&amp;" from "&amp;INDEX(Import_Staging!$R$2:$R$301,$H246)&amp;" to "&amp;INDEX(Import_Staging!$S$2:$S$301,$H246)&amp;"."),$E246))</f>
        <v/>
      </c>
      <c r="G246" s="67" t="str">
        <f>IF($A246="","",INDEX(Config!$F$39:$F$61,$J246))</f>
        <v/>
      </c>
      <c r="H246" s="66" t="str">
        <f>IF($A246="","",MATCH(COUNTIF(Import_Staging!$BS$2:$BS$301,"&lt;"&amp;$A246)+1,Import_Staging!$BR$2:$BR$301,0))</f>
        <v/>
      </c>
      <c r="I246" s="66" t="str">
        <f>IF($A246="","",$A246-INDEX(Import_Staging!$BQ$2:$BQ$301,$H246))</f>
        <v/>
      </c>
      <c r="J246" s="66" t="str">
        <f>IF($A246="","",MATCH($I246,INDEX(Import_Staging!$AT$2:$BP$301,$H246,0),0))</f>
        <v/>
      </c>
    </row>
    <row r="247">
      <c r="A247" s="65" t="str">
        <f>IF(242&lt;=$F$4,242,"")</f>
        <v/>
      </c>
      <c r="B247" s="65" t="str">
        <f>IF($A247="","",$H247+1)</f>
        <v/>
      </c>
      <c r="C247" s="66" t="str">
        <f>IF($A247="","",INDEX(Import_Staging!$A$2:$A$301,$H247)&amp;"")</f>
        <v/>
      </c>
      <c r="D247" s="66" t="str">
        <f>IF($A247="","",INDEX(Config!$C$39:$C$61,$J247))</f>
        <v/>
      </c>
      <c r="E247" s="66" t="str">
        <f>IF($A247="","",INDEX(Config!$D$39:$D$61,$J247))</f>
        <v/>
      </c>
      <c r="F247" s="67" t="str">
        <f>IF($A247="","",IFERROR(CHOOSE($J247,"movement_id is empty. Every row needs a unique movement ID.","movement_id "&amp;INDEX(Import_Staging!$A$2:$A$301,$H247)&amp;""&amp;" appears earlier in this file (row "&amp;IFERROR(MATCH(INDEX(Import_Staging!$A$2:$A$301,$H247),Import_Staging!$A$2:$A$301,0)+1,"?")&amp;"). Only the first row can be posted.","movement_id "&amp;INDEX(Import_Staging!$A$2:$A$301,$H247)&amp;""&amp;" is already in Inventory_Ledger. The ledger row was not changed.","date is empty.","date "&amp;""""&amp;INDEX(Import_Staging!$B$2:$B$301,$H247)&amp;""&amp;""""&amp;" is not a real date in yyyy-mm-dd format.","date "&amp;TEXT(INDEX(Import_Staging!$M$2:$M$301,$H247),"yyyy-mm-dd")&amp;" is after the as-of date "&amp;TEXT(Config!$B$4,"yyyy-mm-dd")&amp;".","type is empty.","type "&amp;""""&amp;INDEX(Import_Staging!$C$2:$C$301,$H247)&amp;""&amp;""""&amp;" is not a movement type listed on Config.","sku is empty.","SKU "&amp;INDEX(Import_Staging!$D$2:$D$301,$H247)&amp;""&amp;" is not in Products.","supplier_id is empty; receipts need the supplier.","Supplier "&amp;INDEX(Import_Staging!$E$2:$E$301,$H247)&amp;""&amp;" is not in Suppliers.","lot is empty; every movement needs its lot code.","Lot "&amp;INDEX(Import_Staging!$F$2:$F$301,$H247)&amp;""&amp;" is not recorded for "&amp;INDEX(Import_Staging!$D$2:$D$301,$H247)&amp;""&amp;" in Batches.","expiry is empty; receipts need the company-supplied expiry date.","expiry "&amp;""""&amp;INDEX(Import_Staging!$G$2:$G$301,$H247)&amp;""&amp;""""&amp;" is not a real date in yyyy-mm-dd format.","qty is empty.","qty "&amp;""""&amp;INDEX(Import_Staging!$H$2:$H$301,$H247)&amp;""&amp;""""&amp;" is not a valid quantity"&amp;IF(INDEX(Import_Staging!$C$2:$C$301,$H247)&amp;""="",""," for a "&amp;LOWER(INDEX(Import_Staging!$C$2:$C$301,$H247)&amp;""))&amp;".","lot_status is empty; receipts need a lot status.","lot_status "&amp;""""&amp;INDEX(Import_Staging!$I$2:$I$301,$H247)&amp;""&amp;""""&amp;" is not a lot status allowed on receipt (Config).","reason is empty; adjustments need a reason.","source_link is empty; every movement needs a link to its source document.","This row would take recorded stock of "&amp;INDEX(Import_Staging!$D$2:$D$301,$H247)&amp;""&amp;" from "&amp;INDEX(Import_Staging!$R$2:$R$301,$H247)&amp;" to "&amp;INDEX(Import_Staging!$S$2:$S$301,$H247)&amp;"."),$E247))</f>
        <v/>
      </c>
      <c r="G247" s="67" t="str">
        <f>IF($A247="","",INDEX(Config!$F$39:$F$61,$J247))</f>
        <v/>
      </c>
      <c r="H247" s="66" t="str">
        <f>IF($A247="","",MATCH(COUNTIF(Import_Staging!$BS$2:$BS$301,"&lt;"&amp;$A247)+1,Import_Staging!$BR$2:$BR$301,0))</f>
        <v/>
      </c>
      <c r="I247" s="66" t="str">
        <f>IF($A247="","",$A247-INDEX(Import_Staging!$BQ$2:$BQ$301,$H247))</f>
        <v/>
      </c>
      <c r="J247" s="66" t="str">
        <f>IF($A247="","",MATCH($I247,INDEX(Import_Staging!$AT$2:$BP$301,$H247,0),0))</f>
        <v/>
      </c>
    </row>
    <row r="248">
      <c r="A248" s="65" t="str">
        <f>IF(243&lt;=$F$4,243,"")</f>
        <v/>
      </c>
      <c r="B248" s="65" t="str">
        <f>IF($A248="","",$H248+1)</f>
        <v/>
      </c>
      <c r="C248" s="66" t="str">
        <f>IF($A248="","",INDEX(Import_Staging!$A$2:$A$301,$H248)&amp;"")</f>
        <v/>
      </c>
      <c r="D248" s="66" t="str">
        <f>IF($A248="","",INDEX(Config!$C$39:$C$61,$J248))</f>
        <v/>
      </c>
      <c r="E248" s="66" t="str">
        <f>IF($A248="","",INDEX(Config!$D$39:$D$61,$J248))</f>
        <v/>
      </c>
      <c r="F248" s="67" t="str">
        <f>IF($A248="","",IFERROR(CHOOSE($J248,"movement_id is empty. Every row needs a unique movement ID.","movement_id "&amp;INDEX(Import_Staging!$A$2:$A$301,$H248)&amp;""&amp;" appears earlier in this file (row "&amp;IFERROR(MATCH(INDEX(Import_Staging!$A$2:$A$301,$H248),Import_Staging!$A$2:$A$301,0)+1,"?")&amp;"). Only the first row can be posted.","movement_id "&amp;INDEX(Import_Staging!$A$2:$A$301,$H248)&amp;""&amp;" is already in Inventory_Ledger. The ledger row was not changed.","date is empty.","date "&amp;""""&amp;INDEX(Import_Staging!$B$2:$B$301,$H248)&amp;""&amp;""""&amp;" is not a real date in yyyy-mm-dd format.","date "&amp;TEXT(INDEX(Import_Staging!$M$2:$M$301,$H248),"yyyy-mm-dd")&amp;" is after the as-of date "&amp;TEXT(Config!$B$4,"yyyy-mm-dd")&amp;".","type is empty.","type "&amp;""""&amp;INDEX(Import_Staging!$C$2:$C$301,$H248)&amp;""&amp;""""&amp;" is not a movement type listed on Config.","sku is empty.","SKU "&amp;INDEX(Import_Staging!$D$2:$D$301,$H248)&amp;""&amp;" is not in Products.","supplier_id is empty; receipts need the supplier.","Supplier "&amp;INDEX(Import_Staging!$E$2:$E$301,$H248)&amp;""&amp;" is not in Suppliers.","lot is empty; every movement needs its lot code.","Lot "&amp;INDEX(Import_Staging!$F$2:$F$301,$H248)&amp;""&amp;" is not recorded for "&amp;INDEX(Import_Staging!$D$2:$D$301,$H248)&amp;""&amp;" in Batches.","expiry is empty; receipts need the company-supplied expiry date.","expiry "&amp;""""&amp;INDEX(Import_Staging!$G$2:$G$301,$H248)&amp;""&amp;""""&amp;" is not a real date in yyyy-mm-dd format.","qty is empty.","qty "&amp;""""&amp;INDEX(Import_Staging!$H$2:$H$301,$H248)&amp;""&amp;""""&amp;" is not a valid quantity"&amp;IF(INDEX(Import_Staging!$C$2:$C$301,$H248)&amp;""="",""," for a "&amp;LOWER(INDEX(Import_Staging!$C$2:$C$301,$H248)&amp;""))&amp;".","lot_status is empty; receipts need a lot status.","lot_status "&amp;""""&amp;INDEX(Import_Staging!$I$2:$I$301,$H248)&amp;""&amp;""""&amp;" is not a lot status allowed on receipt (Config).","reason is empty; adjustments need a reason.","source_link is empty; every movement needs a link to its source document.","This row would take recorded stock of "&amp;INDEX(Import_Staging!$D$2:$D$301,$H248)&amp;""&amp;" from "&amp;INDEX(Import_Staging!$R$2:$R$301,$H248)&amp;" to "&amp;INDEX(Import_Staging!$S$2:$S$301,$H248)&amp;"."),$E248))</f>
        <v/>
      </c>
      <c r="G248" s="67" t="str">
        <f>IF($A248="","",INDEX(Config!$F$39:$F$61,$J248))</f>
        <v/>
      </c>
      <c r="H248" s="66" t="str">
        <f>IF($A248="","",MATCH(COUNTIF(Import_Staging!$BS$2:$BS$301,"&lt;"&amp;$A248)+1,Import_Staging!$BR$2:$BR$301,0))</f>
        <v/>
      </c>
      <c r="I248" s="66" t="str">
        <f>IF($A248="","",$A248-INDEX(Import_Staging!$BQ$2:$BQ$301,$H248))</f>
        <v/>
      </c>
      <c r="J248" s="66" t="str">
        <f>IF($A248="","",MATCH($I248,INDEX(Import_Staging!$AT$2:$BP$301,$H248,0),0))</f>
        <v/>
      </c>
    </row>
    <row r="249">
      <c r="A249" s="65" t="str">
        <f>IF(244&lt;=$F$4,244,"")</f>
        <v/>
      </c>
      <c r="B249" s="65" t="str">
        <f>IF($A249="","",$H249+1)</f>
        <v/>
      </c>
      <c r="C249" s="66" t="str">
        <f>IF($A249="","",INDEX(Import_Staging!$A$2:$A$301,$H249)&amp;"")</f>
        <v/>
      </c>
      <c r="D249" s="66" t="str">
        <f>IF($A249="","",INDEX(Config!$C$39:$C$61,$J249))</f>
        <v/>
      </c>
      <c r="E249" s="66" t="str">
        <f>IF($A249="","",INDEX(Config!$D$39:$D$61,$J249))</f>
        <v/>
      </c>
      <c r="F249" s="67" t="str">
        <f>IF($A249="","",IFERROR(CHOOSE($J249,"movement_id is empty. Every row needs a unique movement ID.","movement_id "&amp;INDEX(Import_Staging!$A$2:$A$301,$H249)&amp;""&amp;" appears earlier in this file (row "&amp;IFERROR(MATCH(INDEX(Import_Staging!$A$2:$A$301,$H249),Import_Staging!$A$2:$A$301,0)+1,"?")&amp;"). Only the first row can be posted.","movement_id "&amp;INDEX(Import_Staging!$A$2:$A$301,$H249)&amp;""&amp;" is already in Inventory_Ledger. The ledger row was not changed.","date is empty.","date "&amp;""""&amp;INDEX(Import_Staging!$B$2:$B$301,$H249)&amp;""&amp;""""&amp;" is not a real date in yyyy-mm-dd format.","date "&amp;TEXT(INDEX(Import_Staging!$M$2:$M$301,$H249),"yyyy-mm-dd")&amp;" is after the as-of date "&amp;TEXT(Config!$B$4,"yyyy-mm-dd")&amp;".","type is empty.","type "&amp;""""&amp;INDEX(Import_Staging!$C$2:$C$301,$H249)&amp;""&amp;""""&amp;" is not a movement type listed on Config.","sku is empty.","SKU "&amp;INDEX(Import_Staging!$D$2:$D$301,$H249)&amp;""&amp;" is not in Products.","supplier_id is empty; receipts need the supplier.","Supplier "&amp;INDEX(Import_Staging!$E$2:$E$301,$H249)&amp;""&amp;" is not in Suppliers.","lot is empty; every movement needs its lot code.","Lot "&amp;INDEX(Import_Staging!$F$2:$F$301,$H249)&amp;""&amp;" is not recorded for "&amp;INDEX(Import_Staging!$D$2:$D$301,$H249)&amp;""&amp;" in Batches.","expiry is empty; receipts need the company-supplied expiry date.","expiry "&amp;""""&amp;INDEX(Import_Staging!$G$2:$G$301,$H249)&amp;""&amp;""""&amp;" is not a real date in yyyy-mm-dd format.","qty is empty.","qty "&amp;""""&amp;INDEX(Import_Staging!$H$2:$H$301,$H249)&amp;""&amp;""""&amp;" is not a valid quantity"&amp;IF(INDEX(Import_Staging!$C$2:$C$301,$H249)&amp;""="",""," for a "&amp;LOWER(INDEX(Import_Staging!$C$2:$C$301,$H249)&amp;""))&amp;".","lot_status is empty; receipts need a lot status.","lot_status "&amp;""""&amp;INDEX(Import_Staging!$I$2:$I$301,$H249)&amp;""&amp;""""&amp;" is not a lot status allowed on receipt (Config).","reason is empty; adjustments need a reason.","source_link is empty; every movement needs a link to its source document.","This row would take recorded stock of "&amp;INDEX(Import_Staging!$D$2:$D$301,$H249)&amp;""&amp;" from "&amp;INDEX(Import_Staging!$R$2:$R$301,$H249)&amp;" to "&amp;INDEX(Import_Staging!$S$2:$S$301,$H249)&amp;"."),$E249))</f>
        <v/>
      </c>
      <c r="G249" s="67" t="str">
        <f>IF($A249="","",INDEX(Config!$F$39:$F$61,$J249))</f>
        <v/>
      </c>
      <c r="H249" s="66" t="str">
        <f>IF($A249="","",MATCH(COUNTIF(Import_Staging!$BS$2:$BS$301,"&lt;"&amp;$A249)+1,Import_Staging!$BR$2:$BR$301,0))</f>
        <v/>
      </c>
      <c r="I249" s="66" t="str">
        <f>IF($A249="","",$A249-INDEX(Import_Staging!$BQ$2:$BQ$301,$H249))</f>
        <v/>
      </c>
      <c r="J249" s="66" t="str">
        <f>IF($A249="","",MATCH($I249,INDEX(Import_Staging!$AT$2:$BP$301,$H249,0),0))</f>
        <v/>
      </c>
    </row>
    <row r="250">
      <c r="A250" s="65" t="str">
        <f>IF(245&lt;=$F$4,245,"")</f>
        <v/>
      </c>
      <c r="B250" s="65" t="str">
        <f>IF($A250="","",$H250+1)</f>
        <v/>
      </c>
      <c r="C250" s="66" t="str">
        <f>IF($A250="","",INDEX(Import_Staging!$A$2:$A$301,$H250)&amp;"")</f>
        <v/>
      </c>
      <c r="D250" s="66" t="str">
        <f>IF($A250="","",INDEX(Config!$C$39:$C$61,$J250))</f>
        <v/>
      </c>
      <c r="E250" s="66" t="str">
        <f>IF($A250="","",INDEX(Config!$D$39:$D$61,$J250))</f>
        <v/>
      </c>
      <c r="F250" s="67" t="str">
        <f>IF($A250="","",IFERROR(CHOOSE($J250,"movement_id is empty. Every row needs a unique movement ID.","movement_id "&amp;INDEX(Import_Staging!$A$2:$A$301,$H250)&amp;""&amp;" appears earlier in this file (row "&amp;IFERROR(MATCH(INDEX(Import_Staging!$A$2:$A$301,$H250),Import_Staging!$A$2:$A$301,0)+1,"?")&amp;"). Only the first row can be posted.","movement_id "&amp;INDEX(Import_Staging!$A$2:$A$301,$H250)&amp;""&amp;" is already in Inventory_Ledger. The ledger row was not changed.","date is empty.","date "&amp;""""&amp;INDEX(Import_Staging!$B$2:$B$301,$H250)&amp;""&amp;""""&amp;" is not a real date in yyyy-mm-dd format.","date "&amp;TEXT(INDEX(Import_Staging!$M$2:$M$301,$H250),"yyyy-mm-dd")&amp;" is after the as-of date "&amp;TEXT(Config!$B$4,"yyyy-mm-dd")&amp;".","type is empty.","type "&amp;""""&amp;INDEX(Import_Staging!$C$2:$C$301,$H250)&amp;""&amp;""""&amp;" is not a movement type listed on Config.","sku is empty.","SKU "&amp;INDEX(Import_Staging!$D$2:$D$301,$H250)&amp;""&amp;" is not in Products.","supplier_id is empty; receipts need the supplier.","Supplier "&amp;INDEX(Import_Staging!$E$2:$E$301,$H250)&amp;""&amp;" is not in Suppliers.","lot is empty; every movement needs its lot code.","Lot "&amp;INDEX(Import_Staging!$F$2:$F$301,$H250)&amp;""&amp;" is not recorded for "&amp;INDEX(Import_Staging!$D$2:$D$301,$H250)&amp;""&amp;" in Batches.","expiry is empty; receipts need the company-supplied expiry date.","expiry "&amp;""""&amp;INDEX(Import_Staging!$G$2:$G$301,$H250)&amp;""&amp;""""&amp;" is not a real date in yyyy-mm-dd format.","qty is empty.","qty "&amp;""""&amp;INDEX(Import_Staging!$H$2:$H$301,$H250)&amp;""&amp;""""&amp;" is not a valid quantity"&amp;IF(INDEX(Import_Staging!$C$2:$C$301,$H250)&amp;""="",""," for a "&amp;LOWER(INDEX(Import_Staging!$C$2:$C$301,$H250)&amp;""))&amp;".","lot_status is empty; receipts need a lot status.","lot_status "&amp;""""&amp;INDEX(Import_Staging!$I$2:$I$301,$H250)&amp;""&amp;""""&amp;" is not a lot status allowed on receipt (Config).","reason is empty; adjustments need a reason.","source_link is empty; every movement needs a link to its source document.","This row would take recorded stock of "&amp;INDEX(Import_Staging!$D$2:$D$301,$H250)&amp;""&amp;" from "&amp;INDEX(Import_Staging!$R$2:$R$301,$H250)&amp;" to "&amp;INDEX(Import_Staging!$S$2:$S$301,$H250)&amp;"."),$E250))</f>
        <v/>
      </c>
      <c r="G250" s="67" t="str">
        <f>IF($A250="","",INDEX(Config!$F$39:$F$61,$J250))</f>
        <v/>
      </c>
      <c r="H250" s="66" t="str">
        <f>IF($A250="","",MATCH(COUNTIF(Import_Staging!$BS$2:$BS$301,"&lt;"&amp;$A250)+1,Import_Staging!$BR$2:$BR$301,0))</f>
        <v/>
      </c>
      <c r="I250" s="66" t="str">
        <f>IF($A250="","",$A250-INDEX(Import_Staging!$BQ$2:$BQ$301,$H250))</f>
        <v/>
      </c>
      <c r="J250" s="66" t="str">
        <f>IF($A250="","",MATCH($I250,INDEX(Import_Staging!$AT$2:$BP$301,$H250,0),0))</f>
        <v/>
      </c>
    </row>
    <row r="251">
      <c r="A251" s="65" t="str">
        <f>IF(246&lt;=$F$4,246,"")</f>
        <v/>
      </c>
      <c r="B251" s="65" t="str">
        <f>IF($A251="","",$H251+1)</f>
        <v/>
      </c>
      <c r="C251" s="66" t="str">
        <f>IF($A251="","",INDEX(Import_Staging!$A$2:$A$301,$H251)&amp;"")</f>
        <v/>
      </c>
      <c r="D251" s="66" t="str">
        <f>IF($A251="","",INDEX(Config!$C$39:$C$61,$J251))</f>
        <v/>
      </c>
      <c r="E251" s="66" t="str">
        <f>IF($A251="","",INDEX(Config!$D$39:$D$61,$J251))</f>
        <v/>
      </c>
      <c r="F251" s="67" t="str">
        <f>IF($A251="","",IFERROR(CHOOSE($J251,"movement_id is empty. Every row needs a unique movement ID.","movement_id "&amp;INDEX(Import_Staging!$A$2:$A$301,$H251)&amp;""&amp;" appears earlier in this file (row "&amp;IFERROR(MATCH(INDEX(Import_Staging!$A$2:$A$301,$H251),Import_Staging!$A$2:$A$301,0)+1,"?")&amp;"). Only the first row can be posted.","movement_id "&amp;INDEX(Import_Staging!$A$2:$A$301,$H251)&amp;""&amp;" is already in Inventory_Ledger. The ledger row was not changed.","date is empty.","date "&amp;""""&amp;INDEX(Import_Staging!$B$2:$B$301,$H251)&amp;""&amp;""""&amp;" is not a real date in yyyy-mm-dd format.","date "&amp;TEXT(INDEX(Import_Staging!$M$2:$M$301,$H251),"yyyy-mm-dd")&amp;" is after the as-of date "&amp;TEXT(Config!$B$4,"yyyy-mm-dd")&amp;".","type is empty.","type "&amp;""""&amp;INDEX(Import_Staging!$C$2:$C$301,$H251)&amp;""&amp;""""&amp;" is not a movement type listed on Config.","sku is empty.","SKU "&amp;INDEX(Import_Staging!$D$2:$D$301,$H251)&amp;""&amp;" is not in Products.","supplier_id is empty; receipts need the supplier.","Supplier "&amp;INDEX(Import_Staging!$E$2:$E$301,$H251)&amp;""&amp;" is not in Suppliers.","lot is empty; every movement needs its lot code.","Lot "&amp;INDEX(Import_Staging!$F$2:$F$301,$H251)&amp;""&amp;" is not recorded for "&amp;INDEX(Import_Staging!$D$2:$D$301,$H251)&amp;""&amp;" in Batches.","expiry is empty; receipts need the company-supplied expiry date.","expiry "&amp;""""&amp;INDEX(Import_Staging!$G$2:$G$301,$H251)&amp;""&amp;""""&amp;" is not a real date in yyyy-mm-dd format.","qty is empty.","qty "&amp;""""&amp;INDEX(Import_Staging!$H$2:$H$301,$H251)&amp;""&amp;""""&amp;" is not a valid quantity"&amp;IF(INDEX(Import_Staging!$C$2:$C$301,$H251)&amp;""="",""," for a "&amp;LOWER(INDEX(Import_Staging!$C$2:$C$301,$H251)&amp;""))&amp;".","lot_status is empty; receipts need a lot status.","lot_status "&amp;""""&amp;INDEX(Import_Staging!$I$2:$I$301,$H251)&amp;""&amp;""""&amp;" is not a lot status allowed on receipt (Config).","reason is empty; adjustments need a reason.","source_link is empty; every movement needs a link to its source document.","This row would take recorded stock of "&amp;INDEX(Import_Staging!$D$2:$D$301,$H251)&amp;""&amp;" from "&amp;INDEX(Import_Staging!$R$2:$R$301,$H251)&amp;" to "&amp;INDEX(Import_Staging!$S$2:$S$301,$H251)&amp;"."),$E251))</f>
        <v/>
      </c>
      <c r="G251" s="67" t="str">
        <f>IF($A251="","",INDEX(Config!$F$39:$F$61,$J251))</f>
        <v/>
      </c>
      <c r="H251" s="66" t="str">
        <f>IF($A251="","",MATCH(COUNTIF(Import_Staging!$BS$2:$BS$301,"&lt;"&amp;$A251)+1,Import_Staging!$BR$2:$BR$301,0))</f>
        <v/>
      </c>
      <c r="I251" s="66" t="str">
        <f>IF($A251="","",$A251-INDEX(Import_Staging!$BQ$2:$BQ$301,$H251))</f>
        <v/>
      </c>
      <c r="J251" s="66" t="str">
        <f>IF($A251="","",MATCH($I251,INDEX(Import_Staging!$AT$2:$BP$301,$H251,0),0))</f>
        <v/>
      </c>
    </row>
    <row r="252">
      <c r="A252" s="65" t="str">
        <f>IF(247&lt;=$F$4,247,"")</f>
        <v/>
      </c>
      <c r="B252" s="65" t="str">
        <f>IF($A252="","",$H252+1)</f>
        <v/>
      </c>
      <c r="C252" s="66" t="str">
        <f>IF($A252="","",INDEX(Import_Staging!$A$2:$A$301,$H252)&amp;"")</f>
        <v/>
      </c>
      <c r="D252" s="66" t="str">
        <f>IF($A252="","",INDEX(Config!$C$39:$C$61,$J252))</f>
        <v/>
      </c>
      <c r="E252" s="66" t="str">
        <f>IF($A252="","",INDEX(Config!$D$39:$D$61,$J252))</f>
        <v/>
      </c>
      <c r="F252" s="67" t="str">
        <f>IF($A252="","",IFERROR(CHOOSE($J252,"movement_id is empty. Every row needs a unique movement ID.","movement_id "&amp;INDEX(Import_Staging!$A$2:$A$301,$H252)&amp;""&amp;" appears earlier in this file (row "&amp;IFERROR(MATCH(INDEX(Import_Staging!$A$2:$A$301,$H252),Import_Staging!$A$2:$A$301,0)+1,"?")&amp;"). Only the first row can be posted.","movement_id "&amp;INDEX(Import_Staging!$A$2:$A$301,$H252)&amp;""&amp;" is already in Inventory_Ledger. The ledger row was not changed.","date is empty.","date "&amp;""""&amp;INDEX(Import_Staging!$B$2:$B$301,$H252)&amp;""&amp;""""&amp;" is not a real date in yyyy-mm-dd format.","date "&amp;TEXT(INDEX(Import_Staging!$M$2:$M$301,$H252),"yyyy-mm-dd")&amp;" is after the as-of date "&amp;TEXT(Config!$B$4,"yyyy-mm-dd")&amp;".","type is empty.","type "&amp;""""&amp;INDEX(Import_Staging!$C$2:$C$301,$H252)&amp;""&amp;""""&amp;" is not a movement type listed on Config.","sku is empty.","SKU "&amp;INDEX(Import_Staging!$D$2:$D$301,$H252)&amp;""&amp;" is not in Products.","supplier_id is empty; receipts need the supplier.","Supplier "&amp;INDEX(Import_Staging!$E$2:$E$301,$H252)&amp;""&amp;" is not in Suppliers.","lot is empty; every movement needs its lot code.","Lot "&amp;INDEX(Import_Staging!$F$2:$F$301,$H252)&amp;""&amp;" is not recorded for "&amp;INDEX(Import_Staging!$D$2:$D$301,$H252)&amp;""&amp;" in Batches.","expiry is empty; receipts need the company-supplied expiry date.","expiry "&amp;""""&amp;INDEX(Import_Staging!$G$2:$G$301,$H252)&amp;""&amp;""""&amp;" is not a real date in yyyy-mm-dd format.","qty is empty.","qty "&amp;""""&amp;INDEX(Import_Staging!$H$2:$H$301,$H252)&amp;""&amp;""""&amp;" is not a valid quantity"&amp;IF(INDEX(Import_Staging!$C$2:$C$301,$H252)&amp;""="",""," for a "&amp;LOWER(INDEX(Import_Staging!$C$2:$C$301,$H252)&amp;""))&amp;".","lot_status is empty; receipts need a lot status.","lot_status "&amp;""""&amp;INDEX(Import_Staging!$I$2:$I$301,$H252)&amp;""&amp;""""&amp;" is not a lot status allowed on receipt (Config).","reason is empty; adjustments need a reason.","source_link is empty; every movement needs a link to its source document.","This row would take recorded stock of "&amp;INDEX(Import_Staging!$D$2:$D$301,$H252)&amp;""&amp;" from "&amp;INDEX(Import_Staging!$R$2:$R$301,$H252)&amp;" to "&amp;INDEX(Import_Staging!$S$2:$S$301,$H252)&amp;"."),$E252))</f>
        <v/>
      </c>
      <c r="G252" s="67" t="str">
        <f>IF($A252="","",INDEX(Config!$F$39:$F$61,$J252))</f>
        <v/>
      </c>
      <c r="H252" s="66" t="str">
        <f>IF($A252="","",MATCH(COUNTIF(Import_Staging!$BS$2:$BS$301,"&lt;"&amp;$A252)+1,Import_Staging!$BR$2:$BR$301,0))</f>
        <v/>
      </c>
      <c r="I252" s="66" t="str">
        <f>IF($A252="","",$A252-INDEX(Import_Staging!$BQ$2:$BQ$301,$H252))</f>
        <v/>
      </c>
      <c r="J252" s="66" t="str">
        <f>IF($A252="","",MATCH($I252,INDEX(Import_Staging!$AT$2:$BP$301,$H252,0),0))</f>
        <v/>
      </c>
    </row>
    <row r="253">
      <c r="A253" s="65" t="str">
        <f>IF(248&lt;=$F$4,248,"")</f>
        <v/>
      </c>
      <c r="B253" s="65" t="str">
        <f>IF($A253="","",$H253+1)</f>
        <v/>
      </c>
      <c r="C253" s="66" t="str">
        <f>IF($A253="","",INDEX(Import_Staging!$A$2:$A$301,$H253)&amp;"")</f>
        <v/>
      </c>
      <c r="D253" s="66" t="str">
        <f>IF($A253="","",INDEX(Config!$C$39:$C$61,$J253))</f>
        <v/>
      </c>
      <c r="E253" s="66" t="str">
        <f>IF($A253="","",INDEX(Config!$D$39:$D$61,$J253))</f>
        <v/>
      </c>
      <c r="F253" s="67" t="str">
        <f>IF($A253="","",IFERROR(CHOOSE($J253,"movement_id is empty. Every row needs a unique movement ID.","movement_id "&amp;INDEX(Import_Staging!$A$2:$A$301,$H253)&amp;""&amp;" appears earlier in this file (row "&amp;IFERROR(MATCH(INDEX(Import_Staging!$A$2:$A$301,$H253),Import_Staging!$A$2:$A$301,0)+1,"?")&amp;"). Only the first row can be posted.","movement_id "&amp;INDEX(Import_Staging!$A$2:$A$301,$H253)&amp;""&amp;" is already in Inventory_Ledger. The ledger row was not changed.","date is empty.","date "&amp;""""&amp;INDEX(Import_Staging!$B$2:$B$301,$H253)&amp;""&amp;""""&amp;" is not a real date in yyyy-mm-dd format.","date "&amp;TEXT(INDEX(Import_Staging!$M$2:$M$301,$H253),"yyyy-mm-dd")&amp;" is after the as-of date "&amp;TEXT(Config!$B$4,"yyyy-mm-dd")&amp;".","type is empty.","type "&amp;""""&amp;INDEX(Import_Staging!$C$2:$C$301,$H253)&amp;""&amp;""""&amp;" is not a movement type listed on Config.","sku is empty.","SKU "&amp;INDEX(Import_Staging!$D$2:$D$301,$H253)&amp;""&amp;" is not in Products.","supplier_id is empty; receipts need the supplier.","Supplier "&amp;INDEX(Import_Staging!$E$2:$E$301,$H253)&amp;""&amp;" is not in Suppliers.","lot is empty; every movement needs its lot code.","Lot "&amp;INDEX(Import_Staging!$F$2:$F$301,$H253)&amp;""&amp;" is not recorded for "&amp;INDEX(Import_Staging!$D$2:$D$301,$H253)&amp;""&amp;" in Batches.","expiry is empty; receipts need the company-supplied expiry date.","expiry "&amp;""""&amp;INDEX(Import_Staging!$G$2:$G$301,$H253)&amp;""&amp;""""&amp;" is not a real date in yyyy-mm-dd format.","qty is empty.","qty "&amp;""""&amp;INDEX(Import_Staging!$H$2:$H$301,$H253)&amp;""&amp;""""&amp;" is not a valid quantity"&amp;IF(INDEX(Import_Staging!$C$2:$C$301,$H253)&amp;""="",""," for a "&amp;LOWER(INDEX(Import_Staging!$C$2:$C$301,$H253)&amp;""))&amp;".","lot_status is empty; receipts need a lot status.","lot_status "&amp;""""&amp;INDEX(Import_Staging!$I$2:$I$301,$H253)&amp;""&amp;""""&amp;" is not a lot status allowed on receipt (Config).","reason is empty; adjustments need a reason.","source_link is empty; every movement needs a link to its source document.","This row would take recorded stock of "&amp;INDEX(Import_Staging!$D$2:$D$301,$H253)&amp;""&amp;" from "&amp;INDEX(Import_Staging!$R$2:$R$301,$H253)&amp;" to "&amp;INDEX(Import_Staging!$S$2:$S$301,$H253)&amp;"."),$E253))</f>
        <v/>
      </c>
      <c r="G253" s="67" t="str">
        <f>IF($A253="","",INDEX(Config!$F$39:$F$61,$J253))</f>
        <v/>
      </c>
      <c r="H253" s="66" t="str">
        <f>IF($A253="","",MATCH(COUNTIF(Import_Staging!$BS$2:$BS$301,"&lt;"&amp;$A253)+1,Import_Staging!$BR$2:$BR$301,0))</f>
        <v/>
      </c>
      <c r="I253" s="66" t="str">
        <f>IF($A253="","",$A253-INDEX(Import_Staging!$BQ$2:$BQ$301,$H253))</f>
        <v/>
      </c>
      <c r="J253" s="66" t="str">
        <f>IF($A253="","",MATCH($I253,INDEX(Import_Staging!$AT$2:$BP$301,$H253,0),0))</f>
        <v/>
      </c>
    </row>
    <row r="254">
      <c r="A254" s="65" t="str">
        <f>IF(249&lt;=$F$4,249,"")</f>
        <v/>
      </c>
      <c r="B254" s="65" t="str">
        <f>IF($A254="","",$H254+1)</f>
        <v/>
      </c>
      <c r="C254" s="66" t="str">
        <f>IF($A254="","",INDEX(Import_Staging!$A$2:$A$301,$H254)&amp;"")</f>
        <v/>
      </c>
      <c r="D254" s="66" t="str">
        <f>IF($A254="","",INDEX(Config!$C$39:$C$61,$J254))</f>
        <v/>
      </c>
      <c r="E254" s="66" t="str">
        <f>IF($A254="","",INDEX(Config!$D$39:$D$61,$J254))</f>
        <v/>
      </c>
      <c r="F254" s="67" t="str">
        <f>IF($A254="","",IFERROR(CHOOSE($J254,"movement_id is empty. Every row needs a unique movement ID.","movement_id "&amp;INDEX(Import_Staging!$A$2:$A$301,$H254)&amp;""&amp;" appears earlier in this file (row "&amp;IFERROR(MATCH(INDEX(Import_Staging!$A$2:$A$301,$H254),Import_Staging!$A$2:$A$301,0)+1,"?")&amp;"). Only the first row can be posted.","movement_id "&amp;INDEX(Import_Staging!$A$2:$A$301,$H254)&amp;""&amp;" is already in Inventory_Ledger. The ledger row was not changed.","date is empty.","date "&amp;""""&amp;INDEX(Import_Staging!$B$2:$B$301,$H254)&amp;""&amp;""""&amp;" is not a real date in yyyy-mm-dd format.","date "&amp;TEXT(INDEX(Import_Staging!$M$2:$M$301,$H254),"yyyy-mm-dd")&amp;" is after the as-of date "&amp;TEXT(Config!$B$4,"yyyy-mm-dd")&amp;".","type is empty.","type "&amp;""""&amp;INDEX(Import_Staging!$C$2:$C$301,$H254)&amp;""&amp;""""&amp;" is not a movement type listed on Config.","sku is empty.","SKU "&amp;INDEX(Import_Staging!$D$2:$D$301,$H254)&amp;""&amp;" is not in Products.","supplier_id is empty; receipts need the supplier.","Supplier "&amp;INDEX(Import_Staging!$E$2:$E$301,$H254)&amp;""&amp;" is not in Suppliers.","lot is empty; every movement needs its lot code.","Lot "&amp;INDEX(Import_Staging!$F$2:$F$301,$H254)&amp;""&amp;" is not recorded for "&amp;INDEX(Import_Staging!$D$2:$D$301,$H254)&amp;""&amp;" in Batches.","expiry is empty; receipts need the company-supplied expiry date.","expiry "&amp;""""&amp;INDEX(Import_Staging!$G$2:$G$301,$H254)&amp;""&amp;""""&amp;" is not a real date in yyyy-mm-dd format.","qty is empty.","qty "&amp;""""&amp;INDEX(Import_Staging!$H$2:$H$301,$H254)&amp;""&amp;""""&amp;" is not a valid quantity"&amp;IF(INDEX(Import_Staging!$C$2:$C$301,$H254)&amp;""="",""," for a "&amp;LOWER(INDEX(Import_Staging!$C$2:$C$301,$H254)&amp;""))&amp;".","lot_status is empty; receipts need a lot status.","lot_status "&amp;""""&amp;INDEX(Import_Staging!$I$2:$I$301,$H254)&amp;""&amp;""""&amp;" is not a lot status allowed on receipt (Config).","reason is empty; adjustments need a reason.","source_link is empty; every movement needs a link to its source document.","This row would take recorded stock of "&amp;INDEX(Import_Staging!$D$2:$D$301,$H254)&amp;""&amp;" from "&amp;INDEX(Import_Staging!$R$2:$R$301,$H254)&amp;" to "&amp;INDEX(Import_Staging!$S$2:$S$301,$H254)&amp;"."),$E254))</f>
        <v/>
      </c>
      <c r="G254" s="67" t="str">
        <f>IF($A254="","",INDEX(Config!$F$39:$F$61,$J254))</f>
        <v/>
      </c>
      <c r="H254" s="66" t="str">
        <f>IF($A254="","",MATCH(COUNTIF(Import_Staging!$BS$2:$BS$301,"&lt;"&amp;$A254)+1,Import_Staging!$BR$2:$BR$301,0))</f>
        <v/>
      </c>
      <c r="I254" s="66" t="str">
        <f>IF($A254="","",$A254-INDEX(Import_Staging!$BQ$2:$BQ$301,$H254))</f>
        <v/>
      </c>
      <c r="J254" s="66" t="str">
        <f>IF($A254="","",MATCH($I254,INDEX(Import_Staging!$AT$2:$BP$301,$H254,0),0))</f>
        <v/>
      </c>
    </row>
    <row r="255">
      <c r="A255" s="65" t="str">
        <f>IF(250&lt;=$F$4,250,"")</f>
        <v/>
      </c>
      <c r="B255" s="65" t="str">
        <f>IF($A255="","",$H255+1)</f>
        <v/>
      </c>
      <c r="C255" s="66" t="str">
        <f>IF($A255="","",INDEX(Import_Staging!$A$2:$A$301,$H255)&amp;"")</f>
        <v/>
      </c>
      <c r="D255" s="66" t="str">
        <f>IF($A255="","",INDEX(Config!$C$39:$C$61,$J255))</f>
        <v/>
      </c>
      <c r="E255" s="66" t="str">
        <f>IF($A255="","",INDEX(Config!$D$39:$D$61,$J255))</f>
        <v/>
      </c>
      <c r="F255" s="67" t="str">
        <f>IF($A255="","",IFERROR(CHOOSE($J255,"movement_id is empty. Every row needs a unique movement ID.","movement_id "&amp;INDEX(Import_Staging!$A$2:$A$301,$H255)&amp;""&amp;" appears earlier in this file (row "&amp;IFERROR(MATCH(INDEX(Import_Staging!$A$2:$A$301,$H255),Import_Staging!$A$2:$A$301,0)+1,"?")&amp;"). Only the first row can be posted.","movement_id "&amp;INDEX(Import_Staging!$A$2:$A$301,$H255)&amp;""&amp;" is already in Inventory_Ledger. The ledger row was not changed.","date is empty.","date "&amp;""""&amp;INDEX(Import_Staging!$B$2:$B$301,$H255)&amp;""&amp;""""&amp;" is not a real date in yyyy-mm-dd format.","date "&amp;TEXT(INDEX(Import_Staging!$M$2:$M$301,$H255),"yyyy-mm-dd")&amp;" is after the as-of date "&amp;TEXT(Config!$B$4,"yyyy-mm-dd")&amp;".","type is empty.","type "&amp;""""&amp;INDEX(Import_Staging!$C$2:$C$301,$H255)&amp;""&amp;""""&amp;" is not a movement type listed on Config.","sku is empty.","SKU "&amp;INDEX(Import_Staging!$D$2:$D$301,$H255)&amp;""&amp;" is not in Products.","supplier_id is empty; receipts need the supplier.","Supplier "&amp;INDEX(Import_Staging!$E$2:$E$301,$H255)&amp;""&amp;" is not in Suppliers.","lot is empty; every movement needs its lot code.","Lot "&amp;INDEX(Import_Staging!$F$2:$F$301,$H255)&amp;""&amp;" is not recorded for "&amp;INDEX(Import_Staging!$D$2:$D$301,$H255)&amp;""&amp;" in Batches.","expiry is empty; receipts need the company-supplied expiry date.","expiry "&amp;""""&amp;INDEX(Import_Staging!$G$2:$G$301,$H255)&amp;""&amp;""""&amp;" is not a real date in yyyy-mm-dd format.","qty is empty.","qty "&amp;""""&amp;INDEX(Import_Staging!$H$2:$H$301,$H255)&amp;""&amp;""""&amp;" is not a valid quantity"&amp;IF(INDEX(Import_Staging!$C$2:$C$301,$H255)&amp;""="",""," for a "&amp;LOWER(INDEX(Import_Staging!$C$2:$C$301,$H255)&amp;""))&amp;".","lot_status is empty; receipts need a lot status.","lot_status "&amp;""""&amp;INDEX(Import_Staging!$I$2:$I$301,$H255)&amp;""&amp;""""&amp;" is not a lot status allowed on receipt (Config).","reason is empty; adjustments need a reason.","source_link is empty; every movement needs a link to its source document.","This row would take recorded stock of "&amp;INDEX(Import_Staging!$D$2:$D$301,$H255)&amp;""&amp;" from "&amp;INDEX(Import_Staging!$R$2:$R$301,$H255)&amp;" to "&amp;INDEX(Import_Staging!$S$2:$S$301,$H255)&amp;"."),$E255))</f>
        <v/>
      </c>
      <c r="G255" s="67" t="str">
        <f>IF($A255="","",INDEX(Config!$F$39:$F$61,$J255))</f>
        <v/>
      </c>
      <c r="H255" s="66" t="str">
        <f>IF($A255="","",MATCH(COUNTIF(Import_Staging!$BS$2:$BS$301,"&lt;"&amp;$A255)+1,Import_Staging!$BR$2:$BR$301,0))</f>
        <v/>
      </c>
      <c r="I255" s="66" t="str">
        <f>IF($A255="","",$A255-INDEX(Import_Staging!$BQ$2:$BQ$301,$H255))</f>
        <v/>
      </c>
      <c r="J255" s="66" t="str">
        <f>IF($A255="","",MATCH($I255,INDEX(Import_Staging!$AT$2:$BP$301,$H255,0),0))</f>
        <v/>
      </c>
    </row>
    <row r="256">
      <c r="A256" s="65" t="str">
        <f>IF(251&lt;=$F$4,251,"")</f>
        <v/>
      </c>
      <c r="B256" s="65" t="str">
        <f>IF($A256="","",$H256+1)</f>
        <v/>
      </c>
      <c r="C256" s="66" t="str">
        <f>IF($A256="","",INDEX(Import_Staging!$A$2:$A$301,$H256)&amp;"")</f>
        <v/>
      </c>
      <c r="D256" s="66" t="str">
        <f>IF($A256="","",INDEX(Config!$C$39:$C$61,$J256))</f>
        <v/>
      </c>
      <c r="E256" s="66" t="str">
        <f>IF($A256="","",INDEX(Config!$D$39:$D$61,$J256))</f>
        <v/>
      </c>
      <c r="F256" s="67" t="str">
        <f>IF($A256="","",IFERROR(CHOOSE($J256,"movement_id is empty. Every row needs a unique movement ID.","movement_id "&amp;INDEX(Import_Staging!$A$2:$A$301,$H256)&amp;""&amp;" appears earlier in this file (row "&amp;IFERROR(MATCH(INDEX(Import_Staging!$A$2:$A$301,$H256),Import_Staging!$A$2:$A$301,0)+1,"?")&amp;"). Only the first row can be posted.","movement_id "&amp;INDEX(Import_Staging!$A$2:$A$301,$H256)&amp;""&amp;" is already in Inventory_Ledger. The ledger row was not changed.","date is empty.","date "&amp;""""&amp;INDEX(Import_Staging!$B$2:$B$301,$H256)&amp;""&amp;""""&amp;" is not a real date in yyyy-mm-dd format.","date "&amp;TEXT(INDEX(Import_Staging!$M$2:$M$301,$H256),"yyyy-mm-dd")&amp;" is after the as-of date "&amp;TEXT(Config!$B$4,"yyyy-mm-dd")&amp;".","type is empty.","type "&amp;""""&amp;INDEX(Import_Staging!$C$2:$C$301,$H256)&amp;""&amp;""""&amp;" is not a movement type listed on Config.","sku is empty.","SKU "&amp;INDEX(Import_Staging!$D$2:$D$301,$H256)&amp;""&amp;" is not in Products.","supplier_id is empty; receipts need the supplier.","Supplier "&amp;INDEX(Import_Staging!$E$2:$E$301,$H256)&amp;""&amp;" is not in Suppliers.","lot is empty; every movement needs its lot code.","Lot "&amp;INDEX(Import_Staging!$F$2:$F$301,$H256)&amp;""&amp;" is not recorded for "&amp;INDEX(Import_Staging!$D$2:$D$301,$H256)&amp;""&amp;" in Batches.","expiry is empty; receipts need the company-supplied expiry date.","expiry "&amp;""""&amp;INDEX(Import_Staging!$G$2:$G$301,$H256)&amp;""&amp;""""&amp;" is not a real date in yyyy-mm-dd format.","qty is empty.","qty "&amp;""""&amp;INDEX(Import_Staging!$H$2:$H$301,$H256)&amp;""&amp;""""&amp;" is not a valid quantity"&amp;IF(INDEX(Import_Staging!$C$2:$C$301,$H256)&amp;""="",""," for a "&amp;LOWER(INDEX(Import_Staging!$C$2:$C$301,$H256)&amp;""))&amp;".","lot_status is empty; receipts need a lot status.","lot_status "&amp;""""&amp;INDEX(Import_Staging!$I$2:$I$301,$H256)&amp;""&amp;""""&amp;" is not a lot status allowed on receipt (Config).","reason is empty; adjustments need a reason.","source_link is empty; every movement needs a link to its source document.","This row would take recorded stock of "&amp;INDEX(Import_Staging!$D$2:$D$301,$H256)&amp;""&amp;" from "&amp;INDEX(Import_Staging!$R$2:$R$301,$H256)&amp;" to "&amp;INDEX(Import_Staging!$S$2:$S$301,$H256)&amp;"."),$E256))</f>
        <v/>
      </c>
      <c r="G256" s="67" t="str">
        <f>IF($A256="","",INDEX(Config!$F$39:$F$61,$J256))</f>
        <v/>
      </c>
      <c r="H256" s="66" t="str">
        <f>IF($A256="","",MATCH(COUNTIF(Import_Staging!$BS$2:$BS$301,"&lt;"&amp;$A256)+1,Import_Staging!$BR$2:$BR$301,0))</f>
        <v/>
      </c>
      <c r="I256" s="66" t="str">
        <f>IF($A256="","",$A256-INDEX(Import_Staging!$BQ$2:$BQ$301,$H256))</f>
        <v/>
      </c>
      <c r="J256" s="66" t="str">
        <f>IF($A256="","",MATCH($I256,INDEX(Import_Staging!$AT$2:$BP$301,$H256,0),0))</f>
        <v/>
      </c>
    </row>
    <row r="257">
      <c r="A257" s="65" t="str">
        <f>IF(252&lt;=$F$4,252,"")</f>
        <v/>
      </c>
      <c r="B257" s="65" t="str">
        <f>IF($A257="","",$H257+1)</f>
        <v/>
      </c>
      <c r="C257" s="66" t="str">
        <f>IF($A257="","",INDEX(Import_Staging!$A$2:$A$301,$H257)&amp;"")</f>
        <v/>
      </c>
      <c r="D257" s="66" t="str">
        <f>IF($A257="","",INDEX(Config!$C$39:$C$61,$J257))</f>
        <v/>
      </c>
      <c r="E257" s="66" t="str">
        <f>IF($A257="","",INDEX(Config!$D$39:$D$61,$J257))</f>
        <v/>
      </c>
      <c r="F257" s="67" t="str">
        <f>IF($A257="","",IFERROR(CHOOSE($J257,"movement_id is empty. Every row needs a unique movement ID.","movement_id "&amp;INDEX(Import_Staging!$A$2:$A$301,$H257)&amp;""&amp;" appears earlier in this file (row "&amp;IFERROR(MATCH(INDEX(Import_Staging!$A$2:$A$301,$H257),Import_Staging!$A$2:$A$301,0)+1,"?")&amp;"). Only the first row can be posted.","movement_id "&amp;INDEX(Import_Staging!$A$2:$A$301,$H257)&amp;""&amp;" is already in Inventory_Ledger. The ledger row was not changed.","date is empty.","date "&amp;""""&amp;INDEX(Import_Staging!$B$2:$B$301,$H257)&amp;""&amp;""""&amp;" is not a real date in yyyy-mm-dd format.","date "&amp;TEXT(INDEX(Import_Staging!$M$2:$M$301,$H257),"yyyy-mm-dd")&amp;" is after the as-of date "&amp;TEXT(Config!$B$4,"yyyy-mm-dd")&amp;".","type is empty.","type "&amp;""""&amp;INDEX(Import_Staging!$C$2:$C$301,$H257)&amp;""&amp;""""&amp;" is not a movement type listed on Config.","sku is empty.","SKU "&amp;INDEX(Import_Staging!$D$2:$D$301,$H257)&amp;""&amp;" is not in Products.","supplier_id is empty; receipts need the supplier.","Supplier "&amp;INDEX(Import_Staging!$E$2:$E$301,$H257)&amp;""&amp;" is not in Suppliers.","lot is empty; every movement needs its lot code.","Lot "&amp;INDEX(Import_Staging!$F$2:$F$301,$H257)&amp;""&amp;" is not recorded for "&amp;INDEX(Import_Staging!$D$2:$D$301,$H257)&amp;""&amp;" in Batches.","expiry is empty; receipts need the company-supplied expiry date.","expiry "&amp;""""&amp;INDEX(Import_Staging!$G$2:$G$301,$H257)&amp;""&amp;""""&amp;" is not a real date in yyyy-mm-dd format.","qty is empty.","qty "&amp;""""&amp;INDEX(Import_Staging!$H$2:$H$301,$H257)&amp;""&amp;""""&amp;" is not a valid quantity"&amp;IF(INDEX(Import_Staging!$C$2:$C$301,$H257)&amp;""="",""," for a "&amp;LOWER(INDEX(Import_Staging!$C$2:$C$301,$H257)&amp;""))&amp;".","lot_status is empty; receipts need a lot status.","lot_status "&amp;""""&amp;INDEX(Import_Staging!$I$2:$I$301,$H257)&amp;""&amp;""""&amp;" is not a lot status allowed on receipt (Config).","reason is empty; adjustments need a reason.","source_link is empty; every movement needs a link to its source document.","This row would take recorded stock of "&amp;INDEX(Import_Staging!$D$2:$D$301,$H257)&amp;""&amp;" from "&amp;INDEX(Import_Staging!$R$2:$R$301,$H257)&amp;" to "&amp;INDEX(Import_Staging!$S$2:$S$301,$H257)&amp;"."),$E257))</f>
        <v/>
      </c>
      <c r="G257" s="67" t="str">
        <f>IF($A257="","",INDEX(Config!$F$39:$F$61,$J257))</f>
        <v/>
      </c>
      <c r="H257" s="66" t="str">
        <f>IF($A257="","",MATCH(COUNTIF(Import_Staging!$BS$2:$BS$301,"&lt;"&amp;$A257)+1,Import_Staging!$BR$2:$BR$301,0))</f>
        <v/>
      </c>
      <c r="I257" s="66" t="str">
        <f>IF($A257="","",$A257-INDEX(Import_Staging!$BQ$2:$BQ$301,$H257))</f>
        <v/>
      </c>
      <c r="J257" s="66" t="str">
        <f>IF($A257="","",MATCH($I257,INDEX(Import_Staging!$AT$2:$BP$301,$H257,0),0))</f>
        <v/>
      </c>
    </row>
    <row r="258">
      <c r="A258" s="65" t="str">
        <f>IF(253&lt;=$F$4,253,"")</f>
        <v/>
      </c>
      <c r="B258" s="65" t="str">
        <f>IF($A258="","",$H258+1)</f>
        <v/>
      </c>
      <c r="C258" s="66" t="str">
        <f>IF($A258="","",INDEX(Import_Staging!$A$2:$A$301,$H258)&amp;"")</f>
        <v/>
      </c>
      <c r="D258" s="66" t="str">
        <f>IF($A258="","",INDEX(Config!$C$39:$C$61,$J258))</f>
        <v/>
      </c>
      <c r="E258" s="66" t="str">
        <f>IF($A258="","",INDEX(Config!$D$39:$D$61,$J258))</f>
        <v/>
      </c>
      <c r="F258" s="67" t="str">
        <f>IF($A258="","",IFERROR(CHOOSE($J258,"movement_id is empty. Every row needs a unique movement ID.","movement_id "&amp;INDEX(Import_Staging!$A$2:$A$301,$H258)&amp;""&amp;" appears earlier in this file (row "&amp;IFERROR(MATCH(INDEX(Import_Staging!$A$2:$A$301,$H258),Import_Staging!$A$2:$A$301,0)+1,"?")&amp;"). Only the first row can be posted.","movement_id "&amp;INDEX(Import_Staging!$A$2:$A$301,$H258)&amp;""&amp;" is already in Inventory_Ledger. The ledger row was not changed.","date is empty.","date "&amp;""""&amp;INDEX(Import_Staging!$B$2:$B$301,$H258)&amp;""&amp;""""&amp;" is not a real date in yyyy-mm-dd format.","date "&amp;TEXT(INDEX(Import_Staging!$M$2:$M$301,$H258),"yyyy-mm-dd")&amp;" is after the as-of date "&amp;TEXT(Config!$B$4,"yyyy-mm-dd")&amp;".","type is empty.","type "&amp;""""&amp;INDEX(Import_Staging!$C$2:$C$301,$H258)&amp;""&amp;""""&amp;" is not a movement type listed on Config.","sku is empty.","SKU "&amp;INDEX(Import_Staging!$D$2:$D$301,$H258)&amp;""&amp;" is not in Products.","supplier_id is empty; receipts need the supplier.","Supplier "&amp;INDEX(Import_Staging!$E$2:$E$301,$H258)&amp;""&amp;" is not in Suppliers.","lot is empty; every movement needs its lot code.","Lot "&amp;INDEX(Import_Staging!$F$2:$F$301,$H258)&amp;""&amp;" is not recorded for "&amp;INDEX(Import_Staging!$D$2:$D$301,$H258)&amp;""&amp;" in Batches.","expiry is empty; receipts need the company-supplied expiry date.","expiry "&amp;""""&amp;INDEX(Import_Staging!$G$2:$G$301,$H258)&amp;""&amp;""""&amp;" is not a real date in yyyy-mm-dd format.","qty is empty.","qty "&amp;""""&amp;INDEX(Import_Staging!$H$2:$H$301,$H258)&amp;""&amp;""""&amp;" is not a valid quantity"&amp;IF(INDEX(Import_Staging!$C$2:$C$301,$H258)&amp;""="",""," for a "&amp;LOWER(INDEX(Import_Staging!$C$2:$C$301,$H258)&amp;""))&amp;".","lot_status is empty; receipts need a lot status.","lot_status "&amp;""""&amp;INDEX(Import_Staging!$I$2:$I$301,$H258)&amp;""&amp;""""&amp;" is not a lot status allowed on receipt (Config).","reason is empty; adjustments need a reason.","source_link is empty; every movement needs a link to its source document.","This row would take recorded stock of "&amp;INDEX(Import_Staging!$D$2:$D$301,$H258)&amp;""&amp;" from "&amp;INDEX(Import_Staging!$R$2:$R$301,$H258)&amp;" to "&amp;INDEX(Import_Staging!$S$2:$S$301,$H258)&amp;"."),$E258))</f>
        <v/>
      </c>
      <c r="G258" s="67" t="str">
        <f>IF($A258="","",INDEX(Config!$F$39:$F$61,$J258))</f>
        <v/>
      </c>
      <c r="H258" s="66" t="str">
        <f>IF($A258="","",MATCH(COUNTIF(Import_Staging!$BS$2:$BS$301,"&lt;"&amp;$A258)+1,Import_Staging!$BR$2:$BR$301,0))</f>
        <v/>
      </c>
      <c r="I258" s="66" t="str">
        <f>IF($A258="","",$A258-INDEX(Import_Staging!$BQ$2:$BQ$301,$H258))</f>
        <v/>
      </c>
      <c r="J258" s="66" t="str">
        <f>IF($A258="","",MATCH($I258,INDEX(Import_Staging!$AT$2:$BP$301,$H258,0),0))</f>
        <v/>
      </c>
    </row>
    <row r="259">
      <c r="A259" s="65" t="str">
        <f>IF(254&lt;=$F$4,254,"")</f>
        <v/>
      </c>
      <c r="B259" s="65" t="str">
        <f>IF($A259="","",$H259+1)</f>
        <v/>
      </c>
      <c r="C259" s="66" t="str">
        <f>IF($A259="","",INDEX(Import_Staging!$A$2:$A$301,$H259)&amp;"")</f>
        <v/>
      </c>
      <c r="D259" s="66" t="str">
        <f>IF($A259="","",INDEX(Config!$C$39:$C$61,$J259))</f>
        <v/>
      </c>
      <c r="E259" s="66" t="str">
        <f>IF($A259="","",INDEX(Config!$D$39:$D$61,$J259))</f>
        <v/>
      </c>
      <c r="F259" s="67" t="str">
        <f>IF($A259="","",IFERROR(CHOOSE($J259,"movement_id is empty. Every row needs a unique movement ID.","movement_id "&amp;INDEX(Import_Staging!$A$2:$A$301,$H259)&amp;""&amp;" appears earlier in this file (row "&amp;IFERROR(MATCH(INDEX(Import_Staging!$A$2:$A$301,$H259),Import_Staging!$A$2:$A$301,0)+1,"?")&amp;"). Only the first row can be posted.","movement_id "&amp;INDEX(Import_Staging!$A$2:$A$301,$H259)&amp;""&amp;" is already in Inventory_Ledger. The ledger row was not changed.","date is empty.","date "&amp;""""&amp;INDEX(Import_Staging!$B$2:$B$301,$H259)&amp;""&amp;""""&amp;" is not a real date in yyyy-mm-dd format.","date "&amp;TEXT(INDEX(Import_Staging!$M$2:$M$301,$H259),"yyyy-mm-dd")&amp;" is after the as-of date "&amp;TEXT(Config!$B$4,"yyyy-mm-dd")&amp;".","type is empty.","type "&amp;""""&amp;INDEX(Import_Staging!$C$2:$C$301,$H259)&amp;""&amp;""""&amp;" is not a movement type listed on Config.","sku is empty.","SKU "&amp;INDEX(Import_Staging!$D$2:$D$301,$H259)&amp;""&amp;" is not in Products.","supplier_id is empty; receipts need the supplier.","Supplier "&amp;INDEX(Import_Staging!$E$2:$E$301,$H259)&amp;""&amp;" is not in Suppliers.","lot is empty; every movement needs its lot code.","Lot "&amp;INDEX(Import_Staging!$F$2:$F$301,$H259)&amp;""&amp;" is not recorded for "&amp;INDEX(Import_Staging!$D$2:$D$301,$H259)&amp;""&amp;" in Batches.","expiry is empty; receipts need the company-supplied expiry date.","expiry "&amp;""""&amp;INDEX(Import_Staging!$G$2:$G$301,$H259)&amp;""&amp;""""&amp;" is not a real date in yyyy-mm-dd format.","qty is empty.","qty "&amp;""""&amp;INDEX(Import_Staging!$H$2:$H$301,$H259)&amp;""&amp;""""&amp;" is not a valid quantity"&amp;IF(INDEX(Import_Staging!$C$2:$C$301,$H259)&amp;""="",""," for a "&amp;LOWER(INDEX(Import_Staging!$C$2:$C$301,$H259)&amp;""))&amp;".","lot_status is empty; receipts need a lot status.","lot_status "&amp;""""&amp;INDEX(Import_Staging!$I$2:$I$301,$H259)&amp;""&amp;""""&amp;" is not a lot status allowed on receipt (Config).","reason is empty; adjustments need a reason.","source_link is empty; every movement needs a link to its source document.","This row would take recorded stock of "&amp;INDEX(Import_Staging!$D$2:$D$301,$H259)&amp;""&amp;" from "&amp;INDEX(Import_Staging!$R$2:$R$301,$H259)&amp;" to "&amp;INDEX(Import_Staging!$S$2:$S$301,$H259)&amp;"."),$E259))</f>
        <v/>
      </c>
      <c r="G259" s="67" t="str">
        <f>IF($A259="","",INDEX(Config!$F$39:$F$61,$J259))</f>
        <v/>
      </c>
      <c r="H259" s="66" t="str">
        <f>IF($A259="","",MATCH(COUNTIF(Import_Staging!$BS$2:$BS$301,"&lt;"&amp;$A259)+1,Import_Staging!$BR$2:$BR$301,0))</f>
        <v/>
      </c>
      <c r="I259" s="66" t="str">
        <f>IF($A259="","",$A259-INDEX(Import_Staging!$BQ$2:$BQ$301,$H259))</f>
        <v/>
      </c>
      <c r="J259" s="66" t="str">
        <f>IF($A259="","",MATCH($I259,INDEX(Import_Staging!$AT$2:$BP$301,$H259,0),0))</f>
        <v/>
      </c>
    </row>
    <row r="260">
      <c r="A260" s="65" t="str">
        <f>IF(255&lt;=$F$4,255,"")</f>
        <v/>
      </c>
      <c r="B260" s="65" t="str">
        <f>IF($A260="","",$H260+1)</f>
        <v/>
      </c>
      <c r="C260" s="66" t="str">
        <f>IF($A260="","",INDEX(Import_Staging!$A$2:$A$301,$H260)&amp;"")</f>
        <v/>
      </c>
      <c r="D260" s="66" t="str">
        <f>IF($A260="","",INDEX(Config!$C$39:$C$61,$J260))</f>
        <v/>
      </c>
      <c r="E260" s="66" t="str">
        <f>IF($A260="","",INDEX(Config!$D$39:$D$61,$J260))</f>
        <v/>
      </c>
      <c r="F260" s="67" t="str">
        <f>IF($A260="","",IFERROR(CHOOSE($J260,"movement_id is empty. Every row needs a unique movement ID.","movement_id "&amp;INDEX(Import_Staging!$A$2:$A$301,$H260)&amp;""&amp;" appears earlier in this file (row "&amp;IFERROR(MATCH(INDEX(Import_Staging!$A$2:$A$301,$H260),Import_Staging!$A$2:$A$301,0)+1,"?")&amp;"). Only the first row can be posted.","movement_id "&amp;INDEX(Import_Staging!$A$2:$A$301,$H260)&amp;""&amp;" is already in Inventory_Ledger. The ledger row was not changed.","date is empty.","date "&amp;""""&amp;INDEX(Import_Staging!$B$2:$B$301,$H260)&amp;""&amp;""""&amp;" is not a real date in yyyy-mm-dd format.","date "&amp;TEXT(INDEX(Import_Staging!$M$2:$M$301,$H260),"yyyy-mm-dd")&amp;" is after the as-of date "&amp;TEXT(Config!$B$4,"yyyy-mm-dd")&amp;".","type is empty.","type "&amp;""""&amp;INDEX(Import_Staging!$C$2:$C$301,$H260)&amp;""&amp;""""&amp;" is not a movement type listed on Config.","sku is empty.","SKU "&amp;INDEX(Import_Staging!$D$2:$D$301,$H260)&amp;""&amp;" is not in Products.","supplier_id is empty; receipts need the supplier.","Supplier "&amp;INDEX(Import_Staging!$E$2:$E$301,$H260)&amp;""&amp;" is not in Suppliers.","lot is empty; every movement needs its lot code.","Lot "&amp;INDEX(Import_Staging!$F$2:$F$301,$H260)&amp;""&amp;" is not recorded for "&amp;INDEX(Import_Staging!$D$2:$D$301,$H260)&amp;""&amp;" in Batches.","expiry is empty; receipts need the company-supplied expiry date.","expiry "&amp;""""&amp;INDEX(Import_Staging!$G$2:$G$301,$H260)&amp;""&amp;""""&amp;" is not a real date in yyyy-mm-dd format.","qty is empty.","qty "&amp;""""&amp;INDEX(Import_Staging!$H$2:$H$301,$H260)&amp;""&amp;""""&amp;" is not a valid quantity"&amp;IF(INDEX(Import_Staging!$C$2:$C$301,$H260)&amp;""="",""," for a "&amp;LOWER(INDEX(Import_Staging!$C$2:$C$301,$H260)&amp;""))&amp;".","lot_status is empty; receipts need a lot status.","lot_status "&amp;""""&amp;INDEX(Import_Staging!$I$2:$I$301,$H260)&amp;""&amp;""""&amp;" is not a lot status allowed on receipt (Config).","reason is empty; adjustments need a reason.","source_link is empty; every movement needs a link to its source document.","This row would take recorded stock of "&amp;INDEX(Import_Staging!$D$2:$D$301,$H260)&amp;""&amp;" from "&amp;INDEX(Import_Staging!$R$2:$R$301,$H260)&amp;" to "&amp;INDEX(Import_Staging!$S$2:$S$301,$H260)&amp;"."),$E260))</f>
        <v/>
      </c>
      <c r="G260" s="67" t="str">
        <f>IF($A260="","",INDEX(Config!$F$39:$F$61,$J260))</f>
        <v/>
      </c>
      <c r="H260" s="66" t="str">
        <f>IF($A260="","",MATCH(COUNTIF(Import_Staging!$BS$2:$BS$301,"&lt;"&amp;$A260)+1,Import_Staging!$BR$2:$BR$301,0))</f>
        <v/>
      </c>
      <c r="I260" s="66" t="str">
        <f>IF($A260="","",$A260-INDEX(Import_Staging!$BQ$2:$BQ$301,$H260))</f>
        <v/>
      </c>
      <c r="J260" s="66" t="str">
        <f>IF($A260="","",MATCH($I260,INDEX(Import_Staging!$AT$2:$BP$301,$H260,0),0))</f>
        <v/>
      </c>
    </row>
    <row r="261">
      <c r="A261" s="65" t="str">
        <f>IF(256&lt;=$F$4,256,"")</f>
        <v/>
      </c>
      <c r="B261" s="65" t="str">
        <f>IF($A261="","",$H261+1)</f>
        <v/>
      </c>
      <c r="C261" s="66" t="str">
        <f>IF($A261="","",INDEX(Import_Staging!$A$2:$A$301,$H261)&amp;"")</f>
        <v/>
      </c>
      <c r="D261" s="66" t="str">
        <f>IF($A261="","",INDEX(Config!$C$39:$C$61,$J261))</f>
        <v/>
      </c>
      <c r="E261" s="66" t="str">
        <f>IF($A261="","",INDEX(Config!$D$39:$D$61,$J261))</f>
        <v/>
      </c>
      <c r="F261" s="67" t="str">
        <f>IF($A261="","",IFERROR(CHOOSE($J261,"movement_id is empty. Every row needs a unique movement ID.","movement_id "&amp;INDEX(Import_Staging!$A$2:$A$301,$H261)&amp;""&amp;" appears earlier in this file (row "&amp;IFERROR(MATCH(INDEX(Import_Staging!$A$2:$A$301,$H261),Import_Staging!$A$2:$A$301,0)+1,"?")&amp;"). Only the first row can be posted.","movement_id "&amp;INDEX(Import_Staging!$A$2:$A$301,$H261)&amp;""&amp;" is already in Inventory_Ledger. The ledger row was not changed.","date is empty.","date "&amp;""""&amp;INDEX(Import_Staging!$B$2:$B$301,$H261)&amp;""&amp;""""&amp;" is not a real date in yyyy-mm-dd format.","date "&amp;TEXT(INDEX(Import_Staging!$M$2:$M$301,$H261),"yyyy-mm-dd")&amp;" is after the as-of date "&amp;TEXT(Config!$B$4,"yyyy-mm-dd")&amp;".","type is empty.","type "&amp;""""&amp;INDEX(Import_Staging!$C$2:$C$301,$H261)&amp;""&amp;""""&amp;" is not a movement type listed on Config.","sku is empty.","SKU "&amp;INDEX(Import_Staging!$D$2:$D$301,$H261)&amp;""&amp;" is not in Products.","supplier_id is empty; receipts need the supplier.","Supplier "&amp;INDEX(Import_Staging!$E$2:$E$301,$H261)&amp;""&amp;" is not in Suppliers.","lot is empty; every movement needs its lot code.","Lot "&amp;INDEX(Import_Staging!$F$2:$F$301,$H261)&amp;""&amp;" is not recorded for "&amp;INDEX(Import_Staging!$D$2:$D$301,$H261)&amp;""&amp;" in Batches.","expiry is empty; receipts need the company-supplied expiry date.","expiry "&amp;""""&amp;INDEX(Import_Staging!$G$2:$G$301,$H261)&amp;""&amp;""""&amp;" is not a real date in yyyy-mm-dd format.","qty is empty.","qty "&amp;""""&amp;INDEX(Import_Staging!$H$2:$H$301,$H261)&amp;""&amp;""""&amp;" is not a valid quantity"&amp;IF(INDEX(Import_Staging!$C$2:$C$301,$H261)&amp;""="",""," for a "&amp;LOWER(INDEX(Import_Staging!$C$2:$C$301,$H261)&amp;""))&amp;".","lot_status is empty; receipts need a lot status.","lot_status "&amp;""""&amp;INDEX(Import_Staging!$I$2:$I$301,$H261)&amp;""&amp;""""&amp;" is not a lot status allowed on receipt (Config).","reason is empty; adjustments need a reason.","source_link is empty; every movement needs a link to its source document.","This row would take recorded stock of "&amp;INDEX(Import_Staging!$D$2:$D$301,$H261)&amp;""&amp;" from "&amp;INDEX(Import_Staging!$R$2:$R$301,$H261)&amp;" to "&amp;INDEX(Import_Staging!$S$2:$S$301,$H261)&amp;"."),$E261))</f>
        <v/>
      </c>
      <c r="G261" s="67" t="str">
        <f>IF($A261="","",INDEX(Config!$F$39:$F$61,$J261))</f>
        <v/>
      </c>
      <c r="H261" s="66" t="str">
        <f>IF($A261="","",MATCH(COUNTIF(Import_Staging!$BS$2:$BS$301,"&lt;"&amp;$A261)+1,Import_Staging!$BR$2:$BR$301,0))</f>
        <v/>
      </c>
      <c r="I261" s="66" t="str">
        <f>IF($A261="","",$A261-INDEX(Import_Staging!$BQ$2:$BQ$301,$H261))</f>
        <v/>
      </c>
      <c r="J261" s="66" t="str">
        <f>IF($A261="","",MATCH($I261,INDEX(Import_Staging!$AT$2:$BP$301,$H261,0),0))</f>
        <v/>
      </c>
    </row>
    <row r="262">
      <c r="A262" s="65" t="str">
        <f>IF(257&lt;=$F$4,257,"")</f>
        <v/>
      </c>
      <c r="B262" s="65" t="str">
        <f>IF($A262="","",$H262+1)</f>
        <v/>
      </c>
      <c r="C262" s="66" t="str">
        <f>IF($A262="","",INDEX(Import_Staging!$A$2:$A$301,$H262)&amp;"")</f>
        <v/>
      </c>
      <c r="D262" s="66" t="str">
        <f>IF($A262="","",INDEX(Config!$C$39:$C$61,$J262))</f>
        <v/>
      </c>
      <c r="E262" s="66" t="str">
        <f>IF($A262="","",INDEX(Config!$D$39:$D$61,$J262))</f>
        <v/>
      </c>
      <c r="F262" s="67" t="str">
        <f>IF($A262="","",IFERROR(CHOOSE($J262,"movement_id is empty. Every row needs a unique movement ID.","movement_id "&amp;INDEX(Import_Staging!$A$2:$A$301,$H262)&amp;""&amp;" appears earlier in this file (row "&amp;IFERROR(MATCH(INDEX(Import_Staging!$A$2:$A$301,$H262),Import_Staging!$A$2:$A$301,0)+1,"?")&amp;"). Only the first row can be posted.","movement_id "&amp;INDEX(Import_Staging!$A$2:$A$301,$H262)&amp;""&amp;" is already in Inventory_Ledger. The ledger row was not changed.","date is empty.","date "&amp;""""&amp;INDEX(Import_Staging!$B$2:$B$301,$H262)&amp;""&amp;""""&amp;" is not a real date in yyyy-mm-dd format.","date "&amp;TEXT(INDEX(Import_Staging!$M$2:$M$301,$H262),"yyyy-mm-dd")&amp;" is after the as-of date "&amp;TEXT(Config!$B$4,"yyyy-mm-dd")&amp;".","type is empty.","type "&amp;""""&amp;INDEX(Import_Staging!$C$2:$C$301,$H262)&amp;""&amp;""""&amp;" is not a movement type listed on Config.","sku is empty.","SKU "&amp;INDEX(Import_Staging!$D$2:$D$301,$H262)&amp;""&amp;" is not in Products.","supplier_id is empty; receipts need the supplier.","Supplier "&amp;INDEX(Import_Staging!$E$2:$E$301,$H262)&amp;""&amp;" is not in Suppliers.","lot is empty; every movement needs its lot code.","Lot "&amp;INDEX(Import_Staging!$F$2:$F$301,$H262)&amp;""&amp;" is not recorded for "&amp;INDEX(Import_Staging!$D$2:$D$301,$H262)&amp;""&amp;" in Batches.","expiry is empty; receipts need the company-supplied expiry date.","expiry "&amp;""""&amp;INDEX(Import_Staging!$G$2:$G$301,$H262)&amp;""&amp;""""&amp;" is not a real date in yyyy-mm-dd format.","qty is empty.","qty "&amp;""""&amp;INDEX(Import_Staging!$H$2:$H$301,$H262)&amp;""&amp;""""&amp;" is not a valid quantity"&amp;IF(INDEX(Import_Staging!$C$2:$C$301,$H262)&amp;""="",""," for a "&amp;LOWER(INDEX(Import_Staging!$C$2:$C$301,$H262)&amp;""))&amp;".","lot_status is empty; receipts need a lot status.","lot_status "&amp;""""&amp;INDEX(Import_Staging!$I$2:$I$301,$H262)&amp;""&amp;""""&amp;" is not a lot status allowed on receipt (Config).","reason is empty; adjustments need a reason.","source_link is empty; every movement needs a link to its source document.","This row would take recorded stock of "&amp;INDEX(Import_Staging!$D$2:$D$301,$H262)&amp;""&amp;" from "&amp;INDEX(Import_Staging!$R$2:$R$301,$H262)&amp;" to "&amp;INDEX(Import_Staging!$S$2:$S$301,$H262)&amp;"."),$E262))</f>
        <v/>
      </c>
      <c r="G262" s="67" t="str">
        <f>IF($A262="","",INDEX(Config!$F$39:$F$61,$J262))</f>
        <v/>
      </c>
      <c r="H262" s="66" t="str">
        <f>IF($A262="","",MATCH(COUNTIF(Import_Staging!$BS$2:$BS$301,"&lt;"&amp;$A262)+1,Import_Staging!$BR$2:$BR$301,0))</f>
        <v/>
      </c>
      <c r="I262" s="66" t="str">
        <f>IF($A262="","",$A262-INDEX(Import_Staging!$BQ$2:$BQ$301,$H262))</f>
        <v/>
      </c>
      <c r="J262" s="66" t="str">
        <f>IF($A262="","",MATCH($I262,INDEX(Import_Staging!$AT$2:$BP$301,$H262,0),0))</f>
        <v/>
      </c>
    </row>
    <row r="263">
      <c r="A263" s="65" t="str">
        <f>IF(258&lt;=$F$4,258,"")</f>
        <v/>
      </c>
      <c r="B263" s="65" t="str">
        <f>IF($A263="","",$H263+1)</f>
        <v/>
      </c>
      <c r="C263" s="66" t="str">
        <f>IF($A263="","",INDEX(Import_Staging!$A$2:$A$301,$H263)&amp;"")</f>
        <v/>
      </c>
      <c r="D263" s="66" t="str">
        <f>IF($A263="","",INDEX(Config!$C$39:$C$61,$J263))</f>
        <v/>
      </c>
      <c r="E263" s="66" t="str">
        <f>IF($A263="","",INDEX(Config!$D$39:$D$61,$J263))</f>
        <v/>
      </c>
      <c r="F263" s="67" t="str">
        <f>IF($A263="","",IFERROR(CHOOSE($J263,"movement_id is empty. Every row needs a unique movement ID.","movement_id "&amp;INDEX(Import_Staging!$A$2:$A$301,$H263)&amp;""&amp;" appears earlier in this file (row "&amp;IFERROR(MATCH(INDEX(Import_Staging!$A$2:$A$301,$H263),Import_Staging!$A$2:$A$301,0)+1,"?")&amp;"). Only the first row can be posted.","movement_id "&amp;INDEX(Import_Staging!$A$2:$A$301,$H263)&amp;""&amp;" is already in Inventory_Ledger. The ledger row was not changed.","date is empty.","date "&amp;""""&amp;INDEX(Import_Staging!$B$2:$B$301,$H263)&amp;""&amp;""""&amp;" is not a real date in yyyy-mm-dd format.","date "&amp;TEXT(INDEX(Import_Staging!$M$2:$M$301,$H263),"yyyy-mm-dd")&amp;" is after the as-of date "&amp;TEXT(Config!$B$4,"yyyy-mm-dd")&amp;".","type is empty.","type "&amp;""""&amp;INDEX(Import_Staging!$C$2:$C$301,$H263)&amp;""&amp;""""&amp;" is not a movement type listed on Config.","sku is empty.","SKU "&amp;INDEX(Import_Staging!$D$2:$D$301,$H263)&amp;""&amp;" is not in Products.","supplier_id is empty; receipts need the supplier.","Supplier "&amp;INDEX(Import_Staging!$E$2:$E$301,$H263)&amp;""&amp;" is not in Suppliers.","lot is empty; every movement needs its lot code.","Lot "&amp;INDEX(Import_Staging!$F$2:$F$301,$H263)&amp;""&amp;" is not recorded for "&amp;INDEX(Import_Staging!$D$2:$D$301,$H263)&amp;""&amp;" in Batches.","expiry is empty; receipts need the company-supplied expiry date.","expiry "&amp;""""&amp;INDEX(Import_Staging!$G$2:$G$301,$H263)&amp;""&amp;""""&amp;" is not a real date in yyyy-mm-dd format.","qty is empty.","qty "&amp;""""&amp;INDEX(Import_Staging!$H$2:$H$301,$H263)&amp;""&amp;""""&amp;" is not a valid quantity"&amp;IF(INDEX(Import_Staging!$C$2:$C$301,$H263)&amp;""="",""," for a "&amp;LOWER(INDEX(Import_Staging!$C$2:$C$301,$H263)&amp;""))&amp;".","lot_status is empty; receipts need a lot status.","lot_status "&amp;""""&amp;INDEX(Import_Staging!$I$2:$I$301,$H263)&amp;""&amp;""""&amp;" is not a lot status allowed on receipt (Config).","reason is empty; adjustments need a reason.","source_link is empty; every movement needs a link to its source document.","This row would take recorded stock of "&amp;INDEX(Import_Staging!$D$2:$D$301,$H263)&amp;""&amp;" from "&amp;INDEX(Import_Staging!$R$2:$R$301,$H263)&amp;" to "&amp;INDEX(Import_Staging!$S$2:$S$301,$H263)&amp;"."),$E263))</f>
        <v/>
      </c>
      <c r="G263" s="67" t="str">
        <f>IF($A263="","",INDEX(Config!$F$39:$F$61,$J263))</f>
        <v/>
      </c>
      <c r="H263" s="66" t="str">
        <f>IF($A263="","",MATCH(COUNTIF(Import_Staging!$BS$2:$BS$301,"&lt;"&amp;$A263)+1,Import_Staging!$BR$2:$BR$301,0))</f>
        <v/>
      </c>
      <c r="I263" s="66" t="str">
        <f>IF($A263="","",$A263-INDEX(Import_Staging!$BQ$2:$BQ$301,$H263))</f>
        <v/>
      </c>
      <c r="J263" s="66" t="str">
        <f>IF($A263="","",MATCH($I263,INDEX(Import_Staging!$AT$2:$BP$301,$H263,0),0))</f>
        <v/>
      </c>
    </row>
    <row r="264">
      <c r="A264" s="65" t="str">
        <f>IF(259&lt;=$F$4,259,"")</f>
        <v/>
      </c>
      <c r="B264" s="65" t="str">
        <f>IF($A264="","",$H264+1)</f>
        <v/>
      </c>
      <c r="C264" s="66" t="str">
        <f>IF($A264="","",INDEX(Import_Staging!$A$2:$A$301,$H264)&amp;"")</f>
        <v/>
      </c>
      <c r="D264" s="66" t="str">
        <f>IF($A264="","",INDEX(Config!$C$39:$C$61,$J264))</f>
        <v/>
      </c>
      <c r="E264" s="66" t="str">
        <f>IF($A264="","",INDEX(Config!$D$39:$D$61,$J264))</f>
        <v/>
      </c>
      <c r="F264" s="67" t="str">
        <f>IF($A264="","",IFERROR(CHOOSE($J264,"movement_id is empty. Every row needs a unique movement ID.","movement_id "&amp;INDEX(Import_Staging!$A$2:$A$301,$H264)&amp;""&amp;" appears earlier in this file (row "&amp;IFERROR(MATCH(INDEX(Import_Staging!$A$2:$A$301,$H264),Import_Staging!$A$2:$A$301,0)+1,"?")&amp;"). Only the first row can be posted.","movement_id "&amp;INDEX(Import_Staging!$A$2:$A$301,$H264)&amp;""&amp;" is already in Inventory_Ledger. The ledger row was not changed.","date is empty.","date "&amp;""""&amp;INDEX(Import_Staging!$B$2:$B$301,$H264)&amp;""&amp;""""&amp;" is not a real date in yyyy-mm-dd format.","date "&amp;TEXT(INDEX(Import_Staging!$M$2:$M$301,$H264),"yyyy-mm-dd")&amp;" is after the as-of date "&amp;TEXT(Config!$B$4,"yyyy-mm-dd")&amp;".","type is empty.","type "&amp;""""&amp;INDEX(Import_Staging!$C$2:$C$301,$H264)&amp;""&amp;""""&amp;" is not a movement type listed on Config.","sku is empty.","SKU "&amp;INDEX(Import_Staging!$D$2:$D$301,$H264)&amp;""&amp;" is not in Products.","supplier_id is empty; receipts need the supplier.","Supplier "&amp;INDEX(Import_Staging!$E$2:$E$301,$H264)&amp;""&amp;" is not in Suppliers.","lot is empty; every movement needs its lot code.","Lot "&amp;INDEX(Import_Staging!$F$2:$F$301,$H264)&amp;""&amp;" is not recorded for "&amp;INDEX(Import_Staging!$D$2:$D$301,$H264)&amp;""&amp;" in Batches.","expiry is empty; receipts need the company-supplied expiry date.","expiry "&amp;""""&amp;INDEX(Import_Staging!$G$2:$G$301,$H264)&amp;""&amp;""""&amp;" is not a real date in yyyy-mm-dd format.","qty is empty.","qty "&amp;""""&amp;INDEX(Import_Staging!$H$2:$H$301,$H264)&amp;""&amp;""""&amp;" is not a valid quantity"&amp;IF(INDEX(Import_Staging!$C$2:$C$301,$H264)&amp;""="",""," for a "&amp;LOWER(INDEX(Import_Staging!$C$2:$C$301,$H264)&amp;""))&amp;".","lot_status is empty; receipts need a lot status.","lot_status "&amp;""""&amp;INDEX(Import_Staging!$I$2:$I$301,$H264)&amp;""&amp;""""&amp;" is not a lot status allowed on receipt (Config).","reason is empty; adjustments need a reason.","source_link is empty; every movement needs a link to its source document.","This row would take recorded stock of "&amp;INDEX(Import_Staging!$D$2:$D$301,$H264)&amp;""&amp;" from "&amp;INDEX(Import_Staging!$R$2:$R$301,$H264)&amp;" to "&amp;INDEX(Import_Staging!$S$2:$S$301,$H264)&amp;"."),$E264))</f>
        <v/>
      </c>
      <c r="G264" s="67" t="str">
        <f>IF($A264="","",INDEX(Config!$F$39:$F$61,$J264))</f>
        <v/>
      </c>
      <c r="H264" s="66" t="str">
        <f>IF($A264="","",MATCH(COUNTIF(Import_Staging!$BS$2:$BS$301,"&lt;"&amp;$A264)+1,Import_Staging!$BR$2:$BR$301,0))</f>
        <v/>
      </c>
      <c r="I264" s="66" t="str">
        <f>IF($A264="","",$A264-INDEX(Import_Staging!$BQ$2:$BQ$301,$H264))</f>
        <v/>
      </c>
      <c r="J264" s="66" t="str">
        <f>IF($A264="","",MATCH($I264,INDEX(Import_Staging!$AT$2:$BP$301,$H264,0),0))</f>
        <v/>
      </c>
    </row>
    <row r="265">
      <c r="A265" s="65" t="str">
        <f>IF(260&lt;=$F$4,260,"")</f>
        <v/>
      </c>
      <c r="B265" s="65" t="str">
        <f>IF($A265="","",$H265+1)</f>
        <v/>
      </c>
      <c r="C265" s="66" t="str">
        <f>IF($A265="","",INDEX(Import_Staging!$A$2:$A$301,$H265)&amp;"")</f>
        <v/>
      </c>
      <c r="D265" s="66" t="str">
        <f>IF($A265="","",INDEX(Config!$C$39:$C$61,$J265))</f>
        <v/>
      </c>
      <c r="E265" s="66" t="str">
        <f>IF($A265="","",INDEX(Config!$D$39:$D$61,$J265))</f>
        <v/>
      </c>
      <c r="F265" s="67" t="str">
        <f>IF($A265="","",IFERROR(CHOOSE($J265,"movement_id is empty. Every row needs a unique movement ID.","movement_id "&amp;INDEX(Import_Staging!$A$2:$A$301,$H265)&amp;""&amp;" appears earlier in this file (row "&amp;IFERROR(MATCH(INDEX(Import_Staging!$A$2:$A$301,$H265),Import_Staging!$A$2:$A$301,0)+1,"?")&amp;"). Only the first row can be posted.","movement_id "&amp;INDEX(Import_Staging!$A$2:$A$301,$H265)&amp;""&amp;" is already in Inventory_Ledger. The ledger row was not changed.","date is empty.","date "&amp;""""&amp;INDEX(Import_Staging!$B$2:$B$301,$H265)&amp;""&amp;""""&amp;" is not a real date in yyyy-mm-dd format.","date "&amp;TEXT(INDEX(Import_Staging!$M$2:$M$301,$H265),"yyyy-mm-dd")&amp;" is after the as-of date "&amp;TEXT(Config!$B$4,"yyyy-mm-dd")&amp;".","type is empty.","type "&amp;""""&amp;INDEX(Import_Staging!$C$2:$C$301,$H265)&amp;""&amp;""""&amp;" is not a movement type listed on Config.","sku is empty.","SKU "&amp;INDEX(Import_Staging!$D$2:$D$301,$H265)&amp;""&amp;" is not in Products.","supplier_id is empty; receipts need the supplier.","Supplier "&amp;INDEX(Import_Staging!$E$2:$E$301,$H265)&amp;""&amp;" is not in Suppliers.","lot is empty; every movement needs its lot code.","Lot "&amp;INDEX(Import_Staging!$F$2:$F$301,$H265)&amp;""&amp;" is not recorded for "&amp;INDEX(Import_Staging!$D$2:$D$301,$H265)&amp;""&amp;" in Batches.","expiry is empty; receipts need the company-supplied expiry date.","expiry "&amp;""""&amp;INDEX(Import_Staging!$G$2:$G$301,$H265)&amp;""&amp;""""&amp;" is not a real date in yyyy-mm-dd format.","qty is empty.","qty "&amp;""""&amp;INDEX(Import_Staging!$H$2:$H$301,$H265)&amp;""&amp;""""&amp;" is not a valid quantity"&amp;IF(INDEX(Import_Staging!$C$2:$C$301,$H265)&amp;""="",""," for a "&amp;LOWER(INDEX(Import_Staging!$C$2:$C$301,$H265)&amp;""))&amp;".","lot_status is empty; receipts need a lot status.","lot_status "&amp;""""&amp;INDEX(Import_Staging!$I$2:$I$301,$H265)&amp;""&amp;""""&amp;" is not a lot status allowed on receipt (Config).","reason is empty; adjustments need a reason.","source_link is empty; every movement needs a link to its source document.","This row would take recorded stock of "&amp;INDEX(Import_Staging!$D$2:$D$301,$H265)&amp;""&amp;" from "&amp;INDEX(Import_Staging!$R$2:$R$301,$H265)&amp;" to "&amp;INDEX(Import_Staging!$S$2:$S$301,$H265)&amp;"."),$E265))</f>
        <v/>
      </c>
      <c r="G265" s="67" t="str">
        <f>IF($A265="","",INDEX(Config!$F$39:$F$61,$J265))</f>
        <v/>
      </c>
      <c r="H265" s="66" t="str">
        <f>IF($A265="","",MATCH(COUNTIF(Import_Staging!$BS$2:$BS$301,"&lt;"&amp;$A265)+1,Import_Staging!$BR$2:$BR$301,0))</f>
        <v/>
      </c>
      <c r="I265" s="66" t="str">
        <f>IF($A265="","",$A265-INDEX(Import_Staging!$BQ$2:$BQ$301,$H265))</f>
        <v/>
      </c>
      <c r="J265" s="66" t="str">
        <f>IF($A265="","",MATCH($I265,INDEX(Import_Staging!$AT$2:$BP$301,$H265,0),0))</f>
        <v/>
      </c>
    </row>
    <row r="266">
      <c r="A266" s="65" t="str">
        <f>IF(261&lt;=$F$4,261,"")</f>
        <v/>
      </c>
      <c r="B266" s="65" t="str">
        <f>IF($A266="","",$H266+1)</f>
        <v/>
      </c>
      <c r="C266" s="66" t="str">
        <f>IF($A266="","",INDEX(Import_Staging!$A$2:$A$301,$H266)&amp;"")</f>
        <v/>
      </c>
      <c r="D266" s="66" t="str">
        <f>IF($A266="","",INDEX(Config!$C$39:$C$61,$J266))</f>
        <v/>
      </c>
      <c r="E266" s="66" t="str">
        <f>IF($A266="","",INDEX(Config!$D$39:$D$61,$J266))</f>
        <v/>
      </c>
      <c r="F266" s="67" t="str">
        <f>IF($A266="","",IFERROR(CHOOSE($J266,"movement_id is empty. Every row needs a unique movement ID.","movement_id "&amp;INDEX(Import_Staging!$A$2:$A$301,$H266)&amp;""&amp;" appears earlier in this file (row "&amp;IFERROR(MATCH(INDEX(Import_Staging!$A$2:$A$301,$H266),Import_Staging!$A$2:$A$301,0)+1,"?")&amp;"). Only the first row can be posted.","movement_id "&amp;INDEX(Import_Staging!$A$2:$A$301,$H266)&amp;""&amp;" is already in Inventory_Ledger. The ledger row was not changed.","date is empty.","date "&amp;""""&amp;INDEX(Import_Staging!$B$2:$B$301,$H266)&amp;""&amp;""""&amp;" is not a real date in yyyy-mm-dd format.","date "&amp;TEXT(INDEX(Import_Staging!$M$2:$M$301,$H266),"yyyy-mm-dd")&amp;" is after the as-of date "&amp;TEXT(Config!$B$4,"yyyy-mm-dd")&amp;".","type is empty.","type "&amp;""""&amp;INDEX(Import_Staging!$C$2:$C$301,$H266)&amp;""&amp;""""&amp;" is not a movement type listed on Config.","sku is empty.","SKU "&amp;INDEX(Import_Staging!$D$2:$D$301,$H266)&amp;""&amp;" is not in Products.","supplier_id is empty; receipts need the supplier.","Supplier "&amp;INDEX(Import_Staging!$E$2:$E$301,$H266)&amp;""&amp;" is not in Suppliers.","lot is empty; every movement needs its lot code.","Lot "&amp;INDEX(Import_Staging!$F$2:$F$301,$H266)&amp;""&amp;" is not recorded for "&amp;INDEX(Import_Staging!$D$2:$D$301,$H266)&amp;""&amp;" in Batches.","expiry is empty; receipts need the company-supplied expiry date.","expiry "&amp;""""&amp;INDEX(Import_Staging!$G$2:$G$301,$H266)&amp;""&amp;""""&amp;" is not a real date in yyyy-mm-dd format.","qty is empty.","qty "&amp;""""&amp;INDEX(Import_Staging!$H$2:$H$301,$H266)&amp;""&amp;""""&amp;" is not a valid quantity"&amp;IF(INDEX(Import_Staging!$C$2:$C$301,$H266)&amp;""="",""," for a "&amp;LOWER(INDEX(Import_Staging!$C$2:$C$301,$H266)&amp;""))&amp;".","lot_status is empty; receipts need a lot status.","lot_status "&amp;""""&amp;INDEX(Import_Staging!$I$2:$I$301,$H266)&amp;""&amp;""""&amp;" is not a lot status allowed on receipt (Config).","reason is empty; adjustments need a reason.","source_link is empty; every movement needs a link to its source document.","This row would take recorded stock of "&amp;INDEX(Import_Staging!$D$2:$D$301,$H266)&amp;""&amp;" from "&amp;INDEX(Import_Staging!$R$2:$R$301,$H266)&amp;" to "&amp;INDEX(Import_Staging!$S$2:$S$301,$H266)&amp;"."),$E266))</f>
        <v/>
      </c>
      <c r="G266" s="67" t="str">
        <f>IF($A266="","",INDEX(Config!$F$39:$F$61,$J266))</f>
        <v/>
      </c>
      <c r="H266" s="66" t="str">
        <f>IF($A266="","",MATCH(COUNTIF(Import_Staging!$BS$2:$BS$301,"&lt;"&amp;$A266)+1,Import_Staging!$BR$2:$BR$301,0))</f>
        <v/>
      </c>
      <c r="I266" s="66" t="str">
        <f>IF($A266="","",$A266-INDEX(Import_Staging!$BQ$2:$BQ$301,$H266))</f>
        <v/>
      </c>
      <c r="J266" s="66" t="str">
        <f>IF($A266="","",MATCH($I266,INDEX(Import_Staging!$AT$2:$BP$301,$H266,0),0))</f>
        <v/>
      </c>
    </row>
    <row r="267">
      <c r="A267" s="65" t="str">
        <f>IF(262&lt;=$F$4,262,"")</f>
        <v/>
      </c>
      <c r="B267" s="65" t="str">
        <f>IF($A267="","",$H267+1)</f>
        <v/>
      </c>
      <c r="C267" s="66" t="str">
        <f>IF($A267="","",INDEX(Import_Staging!$A$2:$A$301,$H267)&amp;"")</f>
        <v/>
      </c>
      <c r="D267" s="66" t="str">
        <f>IF($A267="","",INDEX(Config!$C$39:$C$61,$J267))</f>
        <v/>
      </c>
      <c r="E267" s="66" t="str">
        <f>IF($A267="","",INDEX(Config!$D$39:$D$61,$J267))</f>
        <v/>
      </c>
      <c r="F267" s="67" t="str">
        <f>IF($A267="","",IFERROR(CHOOSE($J267,"movement_id is empty. Every row needs a unique movement ID.","movement_id "&amp;INDEX(Import_Staging!$A$2:$A$301,$H267)&amp;""&amp;" appears earlier in this file (row "&amp;IFERROR(MATCH(INDEX(Import_Staging!$A$2:$A$301,$H267),Import_Staging!$A$2:$A$301,0)+1,"?")&amp;"). Only the first row can be posted.","movement_id "&amp;INDEX(Import_Staging!$A$2:$A$301,$H267)&amp;""&amp;" is already in Inventory_Ledger. The ledger row was not changed.","date is empty.","date "&amp;""""&amp;INDEX(Import_Staging!$B$2:$B$301,$H267)&amp;""&amp;""""&amp;" is not a real date in yyyy-mm-dd format.","date "&amp;TEXT(INDEX(Import_Staging!$M$2:$M$301,$H267),"yyyy-mm-dd")&amp;" is after the as-of date "&amp;TEXT(Config!$B$4,"yyyy-mm-dd")&amp;".","type is empty.","type "&amp;""""&amp;INDEX(Import_Staging!$C$2:$C$301,$H267)&amp;""&amp;""""&amp;" is not a movement type listed on Config.","sku is empty.","SKU "&amp;INDEX(Import_Staging!$D$2:$D$301,$H267)&amp;""&amp;" is not in Products.","supplier_id is empty; receipts need the supplier.","Supplier "&amp;INDEX(Import_Staging!$E$2:$E$301,$H267)&amp;""&amp;" is not in Suppliers.","lot is empty; every movement needs its lot code.","Lot "&amp;INDEX(Import_Staging!$F$2:$F$301,$H267)&amp;""&amp;" is not recorded for "&amp;INDEX(Import_Staging!$D$2:$D$301,$H267)&amp;""&amp;" in Batches.","expiry is empty; receipts need the company-supplied expiry date.","expiry "&amp;""""&amp;INDEX(Import_Staging!$G$2:$G$301,$H267)&amp;""&amp;""""&amp;" is not a real date in yyyy-mm-dd format.","qty is empty.","qty "&amp;""""&amp;INDEX(Import_Staging!$H$2:$H$301,$H267)&amp;""&amp;""""&amp;" is not a valid quantity"&amp;IF(INDEX(Import_Staging!$C$2:$C$301,$H267)&amp;""="",""," for a "&amp;LOWER(INDEX(Import_Staging!$C$2:$C$301,$H267)&amp;""))&amp;".","lot_status is empty; receipts need a lot status.","lot_status "&amp;""""&amp;INDEX(Import_Staging!$I$2:$I$301,$H267)&amp;""&amp;""""&amp;" is not a lot status allowed on receipt (Config).","reason is empty; adjustments need a reason.","source_link is empty; every movement needs a link to its source document.","This row would take recorded stock of "&amp;INDEX(Import_Staging!$D$2:$D$301,$H267)&amp;""&amp;" from "&amp;INDEX(Import_Staging!$R$2:$R$301,$H267)&amp;" to "&amp;INDEX(Import_Staging!$S$2:$S$301,$H267)&amp;"."),$E267))</f>
        <v/>
      </c>
      <c r="G267" s="67" t="str">
        <f>IF($A267="","",INDEX(Config!$F$39:$F$61,$J267))</f>
        <v/>
      </c>
      <c r="H267" s="66" t="str">
        <f>IF($A267="","",MATCH(COUNTIF(Import_Staging!$BS$2:$BS$301,"&lt;"&amp;$A267)+1,Import_Staging!$BR$2:$BR$301,0))</f>
        <v/>
      </c>
      <c r="I267" s="66" t="str">
        <f>IF($A267="","",$A267-INDEX(Import_Staging!$BQ$2:$BQ$301,$H267))</f>
        <v/>
      </c>
      <c r="J267" s="66" t="str">
        <f>IF($A267="","",MATCH($I267,INDEX(Import_Staging!$AT$2:$BP$301,$H267,0),0))</f>
        <v/>
      </c>
    </row>
    <row r="268">
      <c r="A268" s="65" t="str">
        <f>IF(263&lt;=$F$4,263,"")</f>
        <v/>
      </c>
      <c r="B268" s="65" t="str">
        <f>IF($A268="","",$H268+1)</f>
        <v/>
      </c>
      <c r="C268" s="66" t="str">
        <f>IF($A268="","",INDEX(Import_Staging!$A$2:$A$301,$H268)&amp;"")</f>
        <v/>
      </c>
      <c r="D268" s="66" t="str">
        <f>IF($A268="","",INDEX(Config!$C$39:$C$61,$J268))</f>
        <v/>
      </c>
      <c r="E268" s="66" t="str">
        <f>IF($A268="","",INDEX(Config!$D$39:$D$61,$J268))</f>
        <v/>
      </c>
      <c r="F268" s="67" t="str">
        <f>IF($A268="","",IFERROR(CHOOSE($J268,"movement_id is empty. Every row needs a unique movement ID.","movement_id "&amp;INDEX(Import_Staging!$A$2:$A$301,$H268)&amp;""&amp;" appears earlier in this file (row "&amp;IFERROR(MATCH(INDEX(Import_Staging!$A$2:$A$301,$H268),Import_Staging!$A$2:$A$301,0)+1,"?")&amp;"). Only the first row can be posted.","movement_id "&amp;INDEX(Import_Staging!$A$2:$A$301,$H268)&amp;""&amp;" is already in Inventory_Ledger. The ledger row was not changed.","date is empty.","date "&amp;""""&amp;INDEX(Import_Staging!$B$2:$B$301,$H268)&amp;""&amp;""""&amp;" is not a real date in yyyy-mm-dd format.","date "&amp;TEXT(INDEX(Import_Staging!$M$2:$M$301,$H268),"yyyy-mm-dd")&amp;" is after the as-of date "&amp;TEXT(Config!$B$4,"yyyy-mm-dd")&amp;".","type is empty.","type "&amp;""""&amp;INDEX(Import_Staging!$C$2:$C$301,$H268)&amp;""&amp;""""&amp;" is not a movement type listed on Config.","sku is empty.","SKU "&amp;INDEX(Import_Staging!$D$2:$D$301,$H268)&amp;""&amp;" is not in Products.","supplier_id is empty; receipts need the supplier.","Supplier "&amp;INDEX(Import_Staging!$E$2:$E$301,$H268)&amp;""&amp;" is not in Suppliers.","lot is empty; every movement needs its lot code.","Lot "&amp;INDEX(Import_Staging!$F$2:$F$301,$H268)&amp;""&amp;" is not recorded for "&amp;INDEX(Import_Staging!$D$2:$D$301,$H268)&amp;""&amp;" in Batches.","expiry is empty; receipts need the company-supplied expiry date.","expiry "&amp;""""&amp;INDEX(Import_Staging!$G$2:$G$301,$H268)&amp;""&amp;""""&amp;" is not a real date in yyyy-mm-dd format.","qty is empty.","qty "&amp;""""&amp;INDEX(Import_Staging!$H$2:$H$301,$H268)&amp;""&amp;""""&amp;" is not a valid quantity"&amp;IF(INDEX(Import_Staging!$C$2:$C$301,$H268)&amp;""="",""," for a "&amp;LOWER(INDEX(Import_Staging!$C$2:$C$301,$H268)&amp;""))&amp;".","lot_status is empty; receipts need a lot status.","lot_status "&amp;""""&amp;INDEX(Import_Staging!$I$2:$I$301,$H268)&amp;""&amp;""""&amp;" is not a lot status allowed on receipt (Config).","reason is empty; adjustments need a reason.","source_link is empty; every movement needs a link to its source document.","This row would take recorded stock of "&amp;INDEX(Import_Staging!$D$2:$D$301,$H268)&amp;""&amp;" from "&amp;INDEX(Import_Staging!$R$2:$R$301,$H268)&amp;" to "&amp;INDEX(Import_Staging!$S$2:$S$301,$H268)&amp;"."),$E268))</f>
        <v/>
      </c>
      <c r="G268" s="67" t="str">
        <f>IF($A268="","",INDEX(Config!$F$39:$F$61,$J268))</f>
        <v/>
      </c>
      <c r="H268" s="66" t="str">
        <f>IF($A268="","",MATCH(COUNTIF(Import_Staging!$BS$2:$BS$301,"&lt;"&amp;$A268)+1,Import_Staging!$BR$2:$BR$301,0))</f>
        <v/>
      </c>
      <c r="I268" s="66" t="str">
        <f>IF($A268="","",$A268-INDEX(Import_Staging!$BQ$2:$BQ$301,$H268))</f>
        <v/>
      </c>
      <c r="J268" s="66" t="str">
        <f>IF($A268="","",MATCH($I268,INDEX(Import_Staging!$AT$2:$BP$301,$H268,0),0))</f>
        <v/>
      </c>
    </row>
    <row r="269">
      <c r="A269" s="65" t="str">
        <f>IF(264&lt;=$F$4,264,"")</f>
        <v/>
      </c>
      <c r="B269" s="65" t="str">
        <f>IF($A269="","",$H269+1)</f>
        <v/>
      </c>
      <c r="C269" s="66" t="str">
        <f>IF($A269="","",INDEX(Import_Staging!$A$2:$A$301,$H269)&amp;"")</f>
        <v/>
      </c>
      <c r="D269" s="66" t="str">
        <f>IF($A269="","",INDEX(Config!$C$39:$C$61,$J269))</f>
        <v/>
      </c>
      <c r="E269" s="66" t="str">
        <f>IF($A269="","",INDEX(Config!$D$39:$D$61,$J269))</f>
        <v/>
      </c>
      <c r="F269" s="67" t="str">
        <f>IF($A269="","",IFERROR(CHOOSE($J269,"movement_id is empty. Every row needs a unique movement ID.","movement_id "&amp;INDEX(Import_Staging!$A$2:$A$301,$H269)&amp;""&amp;" appears earlier in this file (row "&amp;IFERROR(MATCH(INDEX(Import_Staging!$A$2:$A$301,$H269),Import_Staging!$A$2:$A$301,0)+1,"?")&amp;"). Only the first row can be posted.","movement_id "&amp;INDEX(Import_Staging!$A$2:$A$301,$H269)&amp;""&amp;" is already in Inventory_Ledger. The ledger row was not changed.","date is empty.","date "&amp;""""&amp;INDEX(Import_Staging!$B$2:$B$301,$H269)&amp;""&amp;""""&amp;" is not a real date in yyyy-mm-dd format.","date "&amp;TEXT(INDEX(Import_Staging!$M$2:$M$301,$H269),"yyyy-mm-dd")&amp;" is after the as-of date "&amp;TEXT(Config!$B$4,"yyyy-mm-dd")&amp;".","type is empty.","type "&amp;""""&amp;INDEX(Import_Staging!$C$2:$C$301,$H269)&amp;""&amp;""""&amp;" is not a movement type listed on Config.","sku is empty.","SKU "&amp;INDEX(Import_Staging!$D$2:$D$301,$H269)&amp;""&amp;" is not in Products.","supplier_id is empty; receipts need the supplier.","Supplier "&amp;INDEX(Import_Staging!$E$2:$E$301,$H269)&amp;""&amp;" is not in Suppliers.","lot is empty; every movement needs its lot code.","Lot "&amp;INDEX(Import_Staging!$F$2:$F$301,$H269)&amp;""&amp;" is not recorded for "&amp;INDEX(Import_Staging!$D$2:$D$301,$H269)&amp;""&amp;" in Batches.","expiry is empty; receipts need the company-supplied expiry date.","expiry "&amp;""""&amp;INDEX(Import_Staging!$G$2:$G$301,$H269)&amp;""&amp;""""&amp;" is not a real date in yyyy-mm-dd format.","qty is empty.","qty "&amp;""""&amp;INDEX(Import_Staging!$H$2:$H$301,$H269)&amp;""&amp;""""&amp;" is not a valid quantity"&amp;IF(INDEX(Import_Staging!$C$2:$C$301,$H269)&amp;""="",""," for a "&amp;LOWER(INDEX(Import_Staging!$C$2:$C$301,$H269)&amp;""))&amp;".","lot_status is empty; receipts need a lot status.","lot_status "&amp;""""&amp;INDEX(Import_Staging!$I$2:$I$301,$H269)&amp;""&amp;""""&amp;" is not a lot status allowed on receipt (Config).","reason is empty; adjustments need a reason.","source_link is empty; every movement needs a link to its source document.","This row would take recorded stock of "&amp;INDEX(Import_Staging!$D$2:$D$301,$H269)&amp;""&amp;" from "&amp;INDEX(Import_Staging!$R$2:$R$301,$H269)&amp;" to "&amp;INDEX(Import_Staging!$S$2:$S$301,$H269)&amp;"."),$E269))</f>
        <v/>
      </c>
      <c r="G269" s="67" t="str">
        <f>IF($A269="","",INDEX(Config!$F$39:$F$61,$J269))</f>
        <v/>
      </c>
      <c r="H269" s="66" t="str">
        <f>IF($A269="","",MATCH(COUNTIF(Import_Staging!$BS$2:$BS$301,"&lt;"&amp;$A269)+1,Import_Staging!$BR$2:$BR$301,0))</f>
        <v/>
      </c>
      <c r="I269" s="66" t="str">
        <f>IF($A269="","",$A269-INDEX(Import_Staging!$BQ$2:$BQ$301,$H269))</f>
        <v/>
      </c>
      <c r="J269" s="66" t="str">
        <f>IF($A269="","",MATCH($I269,INDEX(Import_Staging!$AT$2:$BP$301,$H269,0),0))</f>
        <v/>
      </c>
    </row>
    <row r="270">
      <c r="A270" s="65" t="str">
        <f>IF(265&lt;=$F$4,265,"")</f>
        <v/>
      </c>
      <c r="B270" s="65" t="str">
        <f>IF($A270="","",$H270+1)</f>
        <v/>
      </c>
      <c r="C270" s="66" t="str">
        <f>IF($A270="","",INDEX(Import_Staging!$A$2:$A$301,$H270)&amp;"")</f>
        <v/>
      </c>
      <c r="D270" s="66" t="str">
        <f>IF($A270="","",INDEX(Config!$C$39:$C$61,$J270))</f>
        <v/>
      </c>
      <c r="E270" s="66" t="str">
        <f>IF($A270="","",INDEX(Config!$D$39:$D$61,$J270))</f>
        <v/>
      </c>
      <c r="F270" s="67" t="str">
        <f>IF($A270="","",IFERROR(CHOOSE($J270,"movement_id is empty. Every row needs a unique movement ID.","movement_id "&amp;INDEX(Import_Staging!$A$2:$A$301,$H270)&amp;""&amp;" appears earlier in this file (row "&amp;IFERROR(MATCH(INDEX(Import_Staging!$A$2:$A$301,$H270),Import_Staging!$A$2:$A$301,0)+1,"?")&amp;"). Only the first row can be posted.","movement_id "&amp;INDEX(Import_Staging!$A$2:$A$301,$H270)&amp;""&amp;" is already in Inventory_Ledger. The ledger row was not changed.","date is empty.","date "&amp;""""&amp;INDEX(Import_Staging!$B$2:$B$301,$H270)&amp;""&amp;""""&amp;" is not a real date in yyyy-mm-dd format.","date "&amp;TEXT(INDEX(Import_Staging!$M$2:$M$301,$H270),"yyyy-mm-dd")&amp;" is after the as-of date "&amp;TEXT(Config!$B$4,"yyyy-mm-dd")&amp;".","type is empty.","type "&amp;""""&amp;INDEX(Import_Staging!$C$2:$C$301,$H270)&amp;""&amp;""""&amp;" is not a movement type listed on Config.","sku is empty.","SKU "&amp;INDEX(Import_Staging!$D$2:$D$301,$H270)&amp;""&amp;" is not in Products.","supplier_id is empty; receipts need the supplier.","Supplier "&amp;INDEX(Import_Staging!$E$2:$E$301,$H270)&amp;""&amp;" is not in Suppliers.","lot is empty; every movement needs its lot code.","Lot "&amp;INDEX(Import_Staging!$F$2:$F$301,$H270)&amp;""&amp;" is not recorded for "&amp;INDEX(Import_Staging!$D$2:$D$301,$H270)&amp;""&amp;" in Batches.","expiry is empty; receipts need the company-supplied expiry date.","expiry "&amp;""""&amp;INDEX(Import_Staging!$G$2:$G$301,$H270)&amp;""&amp;""""&amp;" is not a real date in yyyy-mm-dd format.","qty is empty.","qty "&amp;""""&amp;INDEX(Import_Staging!$H$2:$H$301,$H270)&amp;""&amp;""""&amp;" is not a valid quantity"&amp;IF(INDEX(Import_Staging!$C$2:$C$301,$H270)&amp;""="",""," for a "&amp;LOWER(INDEX(Import_Staging!$C$2:$C$301,$H270)&amp;""))&amp;".","lot_status is empty; receipts need a lot status.","lot_status "&amp;""""&amp;INDEX(Import_Staging!$I$2:$I$301,$H270)&amp;""&amp;""""&amp;" is not a lot status allowed on receipt (Config).","reason is empty; adjustments need a reason.","source_link is empty; every movement needs a link to its source document.","This row would take recorded stock of "&amp;INDEX(Import_Staging!$D$2:$D$301,$H270)&amp;""&amp;" from "&amp;INDEX(Import_Staging!$R$2:$R$301,$H270)&amp;" to "&amp;INDEX(Import_Staging!$S$2:$S$301,$H270)&amp;"."),$E270))</f>
        <v/>
      </c>
      <c r="G270" s="67" t="str">
        <f>IF($A270="","",INDEX(Config!$F$39:$F$61,$J270))</f>
        <v/>
      </c>
      <c r="H270" s="66" t="str">
        <f>IF($A270="","",MATCH(COUNTIF(Import_Staging!$BS$2:$BS$301,"&lt;"&amp;$A270)+1,Import_Staging!$BR$2:$BR$301,0))</f>
        <v/>
      </c>
      <c r="I270" s="66" t="str">
        <f>IF($A270="","",$A270-INDEX(Import_Staging!$BQ$2:$BQ$301,$H270))</f>
        <v/>
      </c>
      <c r="J270" s="66" t="str">
        <f>IF($A270="","",MATCH($I270,INDEX(Import_Staging!$AT$2:$BP$301,$H270,0),0))</f>
        <v/>
      </c>
    </row>
    <row r="271">
      <c r="A271" s="65" t="str">
        <f>IF(266&lt;=$F$4,266,"")</f>
        <v/>
      </c>
      <c r="B271" s="65" t="str">
        <f>IF($A271="","",$H271+1)</f>
        <v/>
      </c>
      <c r="C271" s="66" t="str">
        <f>IF($A271="","",INDEX(Import_Staging!$A$2:$A$301,$H271)&amp;"")</f>
        <v/>
      </c>
      <c r="D271" s="66" t="str">
        <f>IF($A271="","",INDEX(Config!$C$39:$C$61,$J271))</f>
        <v/>
      </c>
      <c r="E271" s="66" t="str">
        <f>IF($A271="","",INDEX(Config!$D$39:$D$61,$J271))</f>
        <v/>
      </c>
      <c r="F271" s="67" t="str">
        <f>IF($A271="","",IFERROR(CHOOSE($J271,"movement_id is empty. Every row needs a unique movement ID.","movement_id "&amp;INDEX(Import_Staging!$A$2:$A$301,$H271)&amp;""&amp;" appears earlier in this file (row "&amp;IFERROR(MATCH(INDEX(Import_Staging!$A$2:$A$301,$H271),Import_Staging!$A$2:$A$301,0)+1,"?")&amp;"). Only the first row can be posted.","movement_id "&amp;INDEX(Import_Staging!$A$2:$A$301,$H271)&amp;""&amp;" is already in Inventory_Ledger. The ledger row was not changed.","date is empty.","date "&amp;""""&amp;INDEX(Import_Staging!$B$2:$B$301,$H271)&amp;""&amp;""""&amp;" is not a real date in yyyy-mm-dd format.","date "&amp;TEXT(INDEX(Import_Staging!$M$2:$M$301,$H271),"yyyy-mm-dd")&amp;" is after the as-of date "&amp;TEXT(Config!$B$4,"yyyy-mm-dd")&amp;".","type is empty.","type "&amp;""""&amp;INDEX(Import_Staging!$C$2:$C$301,$H271)&amp;""&amp;""""&amp;" is not a movement type listed on Config.","sku is empty.","SKU "&amp;INDEX(Import_Staging!$D$2:$D$301,$H271)&amp;""&amp;" is not in Products.","supplier_id is empty; receipts need the supplier.","Supplier "&amp;INDEX(Import_Staging!$E$2:$E$301,$H271)&amp;""&amp;" is not in Suppliers.","lot is empty; every movement needs its lot code.","Lot "&amp;INDEX(Import_Staging!$F$2:$F$301,$H271)&amp;""&amp;" is not recorded for "&amp;INDEX(Import_Staging!$D$2:$D$301,$H271)&amp;""&amp;" in Batches.","expiry is empty; receipts need the company-supplied expiry date.","expiry "&amp;""""&amp;INDEX(Import_Staging!$G$2:$G$301,$H271)&amp;""&amp;""""&amp;" is not a real date in yyyy-mm-dd format.","qty is empty.","qty "&amp;""""&amp;INDEX(Import_Staging!$H$2:$H$301,$H271)&amp;""&amp;""""&amp;" is not a valid quantity"&amp;IF(INDEX(Import_Staging!$C$2:$C$301,$H271)&amp;""="",""," for a "&amp;LOWER(INDEX(Import_Staging!$C$2:$C$301,$H271)&amp;""))&amp;".","lot_status is empty; receipts need a lot status.","lot_status "&amp;""""&amp;INDEX(Import_Staging!$I$2:$I$301,$H271)&amp;""&amp;""""&amp;" is not a lot status allowed on receipt (Config).","reason is empty; adjustments need a reason.","source_link is empty; every movement needs a link to its source document.","This row would take recorded stock of "&amp;INDEX(Import_Staging!$D$2:$D$301,$H271)&amp;""&amp;" from "&amp;INDEX(Import_Staging!$R$2:$R$301,$H271)&amp;" to "&amp;INDEX(Import_Staging!$S$2:$S$301,$H271)&amp;"."),$E271))</f>
        <v/>
      </c>
      <c r="G271" s="67" t="str">
        <f>IF($A271="","",INDEX(Config!$F$39:$F$61,$J271))</f>
        <v/>
      </c>
      <c r="H271" s="66" t="str">
        <f>IF($A271="","",MATCH(COUNTIF(Import_Staging!$BS$2:$BS$301,"&lt;"&amp;$A271)+1,Import_Staging!$BR$2:$BR$301,0))</f>
        <v/>
      </c>
      <c r="I271" s="66" t="str">
        <f>IF($A271="","",$A271-INDEX(Import_Staging!$BQ$2:$BQ$301,$H271))</f>
        <v/>
      </c>
      <c r="J271" s="66" t="str">
        <f>IF($A271="","",MATCH($I271,INDEX(Import_Staging!$AT$2:$BP$301,$H271,0),0))</f>
        <v/>
      </c>
    </row>
    <row r="272">
      <c r="A272" s="65" t="str">
        <f>IF(267&lt;=$F$4,267,"")</f>
        <v/>
      </c>
      <c r="B272" s="65" t="str">
        <f>IF($A272="","",$H272+1)</f>
        <v/>
      </c>
      <c r="C272" s="66" t="str">
        <f>IF($A272="","",INDEX(Import_Staging!$A$2:$A$301,$H272)&amp;"")</f>
        <v/>
      </c>
      <c r="D272" s="66" t="str">
        <f>IF($A272="","",INDEX(Config!$C$39:$C$61,$J272))</f>
        <v/>
      </c>
      <c r="E272" s="66" t="str">
        <f>IF($A272="","",INDEX(Config!$D$39:$D$61,$J272))</f>
        <v/>
      </c>
      <c r="F272" s="67" t="str">
        <f>IF($A272="","",IFERROR(CHOOSE($J272,"movement_id is empty. Every row needs a unique movement ID.","movement_id "&amp;INDEX(Import_Staging!$A$2:$A$301,$H272)&amp;""&amp;" appears earlier in this file (row "&amp;IFERROR(MATCH(INDEX(Import_Staging!$A$2:$A$301,$H272),Import_Staging!$A$2:$A$301,0)+1,"?")&amp;"). Only the first row can be posted.","movement_id "&amp;INDEX(Import_Staging!$A$2:$A$301,$H272)&amp;""&amp;" is already in Inventory_Ledger. The ledger row was not changed.","date is empty.","date "&amp;""""&amp;INDEX(Import_Staging!$B$2:$B$301,$H272)&amp;""&amp;""""&amp;" is not a real date in yyyy-mm-dd format.","date "&amp;TEXT(INDEX(Import_Staging!$M$2:$M$301,$H272),"yyyy-mm-dd")&amp;" is after the as-of date "&amp;TEXT(Config!$B$4,"yyyy-mm-dd")&amp;".","type is empty.","type "&amp;""""&amp;INDEX(Import_Staging!$C$2:$C$301,$H272)&amp;""&amp;""""&amp;" is not a movement type listed on Config.","sku is empty.","SKU "&amp;INDEX(Import_Staging!$D$2:$D$301,$H272)&amp;""&amp;" is not in Products.","supplier_id is empty; receipts need the supplier.","Supplier "&amp;INDEX(Import_Staging!$E$2:$E$301,$H272)&amp;""&amp;" is not in Suppliers.","lot is empty; every movement needs its lot code.","Lot "&amp;INDEX(Import_Staging!$F$2:$F$301,$H272)&amp;""&amp;" is not recorded for "&amp;INDEX(Import_Staging!$D$2:$D$301,$H272)&amp;""&amp;" in Batches.","expiry is empty; receipts need the company-supplied expiry date.","expiry "&amp;""""&amp;INDEX(Import_Staging!$G$2:$G$301,$H272)&amp;""&amp;""""&amp;" is not a real date in yyyy-mm-dd format.","qty is empty.","qty "&amp;""""&amp;INDEX(Import_Staging!$H$2:$H$301,$H272)&amp;""&amp;""""&amp;" is not a valid quantity"&amp;IF(INDEX(Import_Staging!$C$2:$C$301,$H272)&amp;""="",""," for a "&amp;LOWER(INDEX(Import_Staging!$C$2:$C$301,$H272)&amp;""))&amp;".","lot_status is empty; receipts need a lot status.","lot_status "&amp;""""&amp;INDEX(Import_Staging!$I$2:$I$301,$H272)&amp;""&amp;""""&amp;" is not a lot status allowed on receipt (Config).","reason is empty; adjustments need a reason.","source_link is empty; every movement needs a link to its source document.","This row would take recorded stock of "&amp;INDEX(Import_Staging!$D$2:$D$301,$H272)&amp;""&amp;" from "&amp;INDEX(Import_Staging!$R$2:$R$301,$H272)&amp;" to "&amp;INDEX(Import_Staging!$S$2:$S$301,$H272)&amp;"."),$E272))</f>
        <v/>
      </c>
      <c r="G272" s="67" t="str">
        <f>IF($A272="","",INDEX(Config!$F$39:$F$61,$J272))</f>
        <v/>
      </c>
      <c r="H272" s="66" t="str">
        <f>IF($A272="","",MATCH(COUNTIF(Import_Staging!$BS$2:$BS$301,"&lt;"&amp;$A272)+1,Import_Staging!$BR$2:$BR$301,0))</f>
        <v/>
      </c>
      <c r="I272" s="66" t="str">
        <f>IF($A272="","",$A272-INDEX(Import_Staging!$BQ$2:$BQ$301,$H272))</f>
        <v/>
      </c>
      <c r="J272" s="66" t="str">
        <f>IF($A272="","",MATCH($I272,INDEX(Import_Staging!$AT$2:$BP$301,$H272,0),0))</f>
        <v/>
      </c>
    </row>
    <row r="273">
      <c r="A273" s="65" t="str">
        <f>IF(268&lt;=$F$4,268,"")</f>
        <v/>
      </c>
      <c r="B273" s="65" t="str">
        <f>IF($A273="","",$H273+1)</f>
        <v/>
      </c>
      <c r="C273" s="66" t="str">
        <f>IF($A273="","",INDEX(Import_Staging!$A$2:$A$301,$H273)&amp;"")</f>
        <v/>
      </c>
      <c r="D273" s="66" t="str">
        <f>IF($A273="","",INDEX(Config!$C$39:$C$61,$J273))</f>
        <v/>
      </c>
      <c r="E273" s="66" t="str">
        <f>IF($A273="","",INDEX(Config!$D$39:$D$61,$J273))</f>
        <v/>
      </c>
      <c r="F273" s="67" t="str">
        <f>IF($A273="","",IFERROR(CHOOSE($J273,"movement_id is empty. Every row needs a unique movement ID.","movement_id "&amp;INDEX(Import_Staging!$A$2:$A$301,$H273)&amp;""&amp;" appears earlier in this file (row "&amp;IFERROR(MATCH(INDEX(Import_Staging!$A$2:$A$301,$H273),Import_Staging!$A$2:$A$301,0)+1,"?")&amp;"). Only the first row can be posted.","movement_id "&amp;INDEX(Import_Staging!$A$2:$A$301,$H273)&amp;""&amp;" is already in Inventory_Ledger. The ledger row was not changed.","date is empty.","date "&amp;""""&amp;INDEX(Import_Staging!$B$2:$B$301,$H273)&amp;""&amp;""""&amp;" is not a real date in yyyy-mm-dd format.","date "&amp;TEXT(INDEX(Import_Staging!$M$2:$M$301,$H273),"yyyy-mm-dd")&amp;" is after the as-of date "&amp;TEXT(Config!$B$4,"yyyy-mm-dd")&amp;".","type is empty.","type "&amp;""""&amp;INDEX(Import_Staging!$C$2:$C$301,$H273)&amp;""&amp;""""&amp;" is not a movement type listed on Config.","sku is empty.","SKU "&amp;INDEX(Import_Staging!$D$2:$D$301,$H273)&amp;""&amp;" is not in Products.","supplier_id is empty; receipts need the supplier.","Supplier "&amp;INDEX(Import_Staging!$E$2:$E$301,$H273)&amp;""&amp;" is not in Suppliers.","lot is empty; every movement needs its lot code.","Lot "&amp;INDEX(Import_Staging!$F$2:$F$301,$H273)&amp;""&amp;" is not recorded for "&amp;INDEX(Import_Staging!$D$2:$D$301,$H273)&amp;""&amp;" in Batches.","expiry is empty; receipts need the company-supplied expiry date.","expiry "&amp;""""&amp;INDEX(Import_Staging!$G$2:$G$301,$H273)&amp;""&amp;""""&amp;" is not a real date in yyyy-mm-dd format.","qty is empty.","qty "&amp;""""&amp;INDEX(Import_Staging!$H$2:$H$301,$H273)&amp;""&amp;""""&amp;" is not a valid quantity"&amp;IF(INDEX(Import_Staging!$C$2:$C$301,$H273)&amp;""="",""," for a "&amp;LOWER(INDEX(Import_Staging!$C$2:$C$301,$H273)&amp;""))&amp;".","lot_status is empty; receipts need a lot status.","lot_status "&amp;""""&amp;INDEX(Import_Staging!$I$2:$I$301,$H273)&amp;""&amp;""""&amp;" is not a lot status allowed on receipt (Config).","reason is empty; adjustments need a reason.","source_link is empty; every movement needs a link to its source document.","This row would take recorded stock of "&amp;INDEX(Import_Staging!$D$2:$D$301,$H273)&amp;""&amp;" from "&amp;INDEX(Import_Staging!$R$2:$R$301,$H273)&amp;" to "&amp;INDEX(Import_Staging!$S$2:$S$301,$H273)&amp;"."),$E273))</f>
        <v/>
      </c>
      <c r="G273" s="67" t="str">
        <f>IF($A273="","",INDEX(Config!$F$39:$F$61,$J273))</f>
        <v/>
      </c>
      <c r="H273" s="66" t="str">
        <f>IF($A273="","",MATCH(COUNTIF(Import_Staging!$BS$2:$BS$301,"&lt;"&amp;$A273)+1,Import_Staging!$BR$2:$BR$301,0))</f>
        <v/>
      </c>
      <c r="I273" s="66" t="str">
        <f>IF($A273="","",$A273-INDEX(Import_Staging!$BQ$2:$BQ$301,$H273))</f>
        <v/>
      </c>
      <c r="J273" s="66" t="str">
        <f>IF($A273="","",MATCH($I273,INDEX(Import_Staging!$AT$2:$BP$301,$H273,0),0))</f>
        <v/>
      </c>
    </row>
    <row r="274">
      <c r="A274" s="65" t="str">
        <f>IF(269&lt;=$F$4,269,"")</f>
        <v/>
      </c>
      <c r="B274" s="65" t="str">
        <f>IF($A274="","",$H274+1)</f>
        <v/>
      </c>
      <c r="C274" s="66" t="str">
        <f>IF($A274="","",INDEX(Import_Staging!$A$2:$A$301,$H274)&amp;"")</f>
        <v/>
      </c>
      <c r="D274" s="66" t="str">
        <f>IF($A274="","",INDEX(Config!$C$39:$C$61,$J274))</f>
        <v/>
      </c>
      <c r="E274" s="66" t="str">
        <f>IF($A274="","",INDEX(Config!$D$39:$D$61,$J274))</f>
        <v/>
      </c>
      <c r="F274" s="67" t="str">
        <f>IF($A274="","",IFERROR(CHOOSE($J274,"movement_id is empty. Every row needs a unique movement ID.","movement_id "&amp;INDEX(Import_Staging!$A$2:$A$301,$H274)&amp;""&amp;" appears earlier in this file (row "&amp;IFERROR(MATCH(INDEX(Import_Staging!$A$2:$A$301,$H274),Import_Staging!$A$2:$A$301,0)+1,"?")&amp;"). Only the first row can be posted.","movement_id "&amp;INDEX(Import_Staging!$A$2:$A$301,$H274)&amp;""&amp;" is already in Inventory_Ledger. The ledger row was not changed.","date is empty.","date "&amp;""""&amp;INDEX(Import_Staging!$B$2:$B$301,$H274)&amp;""&amp;""""&amp;" is not a real date in yyyy-mm-dd format.","date "&amp;TEXT(INDEX(Import_Staging!$M$2:$M$301,$H274),"yyyy-mm-dd")&amp;" is after the as-of date "&amp;TEXT(Config!$B$4,"yyyy-mm-dd")&amp;".","type is empty.","type "&amp;""""&amp;INDEX(Import_Staging!$C$2:$C$301,$H274)&amp;""&amp;""""&amp;" is not a movement type listed on Config.","sku is empty.","SKU "&amp;INDEX(Import_Staging!$D$2:$D$301,$H274)&amp;""&amp;" is not in Products.","supplier_id is empty; receipts need the supplier.","Supplier "&amp;INDEX(Import_Staging!$E$2:$E$301,$H274)&amp;""&amp;" is not in Suppliers.","lot is empty; every movement needs its lot code.","Lot "&amp;INDEX(Import_Staging!$F$2:$F$301,$H274)&amp;""&amp;" is not recorded for "&amp;INDEX(Import_Staging!$D$2:$D$301,$H274)&amp;""&amp;" in Batches.","expiry is empty; receipts need the company-supplied expiry date.","expiry "&amp;""""&amp;INDEX(Import_Staging!$G$2:$G$301,$H274)&amp;""&amp;""""&amp;" is not a real date in yyyy-mm-dd format.","qty is empty.","qty "&amp;""""&amp;INDEX(Import_Staging!$H$2:$H$301,$H274)&amp;""&amp;""""&amp;" is not a valid quantity"&amp;IF(INDEX(Import_Staging!$C$2:$C$301,$H274)&amp;""="",""," for a "&amp;LOWER(INDEX(Import_Staging!$C$2:$C$301,$H274)&amp;""))&amp;".","lot_status is empty; receipts need a lot status.","lot_status "&amp;""""&amp;INDEX(Import_Staging!$I$2:$I$301,$H274)&amp;""&amp;""""&amp;" is not a lot status allowed on receipt (Config).","reason is empty; adjustments need a reason.","source_link is empty; every movement needs a link to its source document.","This row would take recorded stock of "&amp;INDEX(Import_Staging!$D$2:$D$301,$H274)&amp;""&amp;" from "&amp;INDEX(Import_Staging!$R$2:$R$301,$H274)&amp;" to "&amp;INDEX(Import_Staging!$S$2:$S$301,$H274)&amp;"."),$E274))</f>
        <v/>
      </c>
      <c r="G274" s="67" t="str">
        <f>IF($A274="","",INDEX(Config!$F$39:$F$61,$J274))</f>
        <v/>
      </c>
      <c r="H274" s="66" t="str">
        <f>IF($A274="","",MATCH(COUNTIF(Import_Staging!$BS$2:$BS$301,"&lt;"&amp;$A274)+1,Import_Staging!$BR$2:$BR$301,0))</f>
        <v/>
      </c>
      <c r="I274" s="66" t="str">
        <f>IF($A274="","",$A274-INDEX(Import_Staging!$BQ$2:$BQ$301,$H274))</f>
        <v/>
      </c>
      <c r="J274" s="66" t="str">
        <f>IF($A274="","",MATCH($I274,INDEX(Import_Staging!$AT$2:$BP$301,$H274,0),0))</f>
        <v/>
      </c>
    </row>
    <row r="275">
      <c r="A275" s="65" t="str">
        <f>IF(270&lt;=$F$4,270,"")</f>
        <v/>
      </c>
      <c r="B275" s="65" t="str">
        <f>IF($A275="","",$H275+1)</f>
        <v/>
      </c>
      <c r="C275" s="66" t="str">
        <f>IF($A275="","",INDEX(Import_Staging!$A$2:$A$301,$H275)&amp;"")</f>
        <v/>
      </c>
      <c r="D275" s="66" t="str">
        <f>IF($A275="","",INDEX(Config!$C$39:$C$61,$J275))</f>
        <v/>
      </c>
      <c r="E275" s="66" t="str">
        <f>IF($A275="","",INDEX(Config!$D$39:$D$61,$J275))</f>
        <v/>
      </c>
      <c r="F275" s="67" t="str">
        <f>IF($A275="","",IFERROR(CHOOSE($J275,"movement_id is empty. Every row needs a unique movement ID.","movement_id "&amp;INDEX(Import_Staging!$A$2:$A$301,$H275)&amp;""&amp;" appears earlier in this file (row "&amp;IFERROR(MATCH(INDEX(Import_Staging!$A$2:$A$301,$H275),Import_Staging!$A$2:$A$301,0)+1,"?")&amp;"). Only the first row can be posted.","movement_id "&amp;INDEX(Import_Staging!$A$2:$A$301,$H275)&amp;""&amp;" is already in Inventory_Ledger. The ledger row was not changed.","date is empty.","date "&amp;""""&amp;INDEX(Import_Staging!$B$2:$B$301,$H275)&amp;""&amp;""""&amp;" is not a real date in yyyy-mm-dd format.","date "&amp;TEXT(INDEX(Import_Staging!$M$2:$M$301,$H275),"yyyy-mm-dd")&amp;" is after the as-of date "&amp;TEXT(Config!$B$4,"yyyy-mm-dd")&amp;".","type is empty.","type "&amp;""""&amp;INDEX(Import_Staging!$C$2:$C$301,$H275)&amp;""&amp;""""&amp;" is not a movement type listed on Config.","sku is empty.","SKU "&amp;INDEX(Import_Staging!$D$2:$D$301,$H275)&amp;""&amp;" is not in Products.","supplier_id is empty; receipts need the supplier.","Supplier "&amp;INDEX(Import_Staging!$E$2:$E$301,$H275)&amp;""&amp;" is not in Suppliers.","lot is empty; every movement needs its lot code.","Lot "&amp;INDEX(Import_Staging!$F$2:$F$301,$H275)&amp;""&amp;" is not recorded for "&amp;INDEX(Import_Staging!$D$2:$D$301,$H275)&amp;""&amp;" in Batches.","expiry is empty; receipts need the company-supplied expiry date.","expiry "&amp;""""&amp;INDEX(Import_Staging!$G$2:$G$301,$H275)&amp;""&amp;""""&amp;" is not a real date in yyyy-mm-dd format.","qty is empty.","qty "&amp;""""&amp;INDEX(Import_Staging!$H$2:$H$301,$H275)&amp;""&amp;""""&amp;" is not a valid quantity"&amp;IF(INDEX(Import_Staging!$C$2:$C$301,$H275)&amp;""="",""," for a "&amp;LOWER(INDEX(Import_Staging!$C$2:$C$301,$H275)&amp;""))&amp;".","lot_status is empty; receipts need a lot status.","lot_status "&amp;""""&amp;INDEX(Import_Staging!$I$2:$I$301,$H275)&amp;""&amp;""""&amp;" is not a lot status allowed on receipt (Config).","reason is empty; adjustments need a reason.","source_link is empty; every movement needs a link to its source document.","This row would take recorded stock of "&amp;INDEX(Import_Staging!$D$2:$D$301,$H275)&amp;""&amp;" from "&amp;INDEX(Import_Staging!$R$2:$R$301,$H275)&amp;" to "&amp;INDEX(Import_Staging!$S$2:$S$301,$H275)&amp;"."),$E275))</f>
        <v/>
      </c>
      <c r="G275" s="67" t="str">
        <f>IF($A275="","",INDEX(Config!$F$39:$F$61,$J275))</f>
        <v/>
      </c>
      <c r="H275" s="66" t="str">
        <f>IF($A275="","",MATCH(COUNTIF(Import_Staging!$BS$2:$BS$301,"&lt;"&amp;$A275)+1,Import_Staging!$BR$2:$BR$301,0))</f>
        <v/>
      </c>
      <c r="I275" s="66" t="str">
        <f>IF($A275="","",$A275-INDEX(Import_Staging!$BQ$2:$BQ$301,$H275))</f>
        <v/>
      </c>
      <c r="J275" s="66" t="str">
        <f>IF($A275="","",MATCH($I275,INDEX(Import_Staging!$AT$2:$BP$301,$H275,0),0))</f>
        <v/>
      </c>
    </row>
    <row r="276">
      <c r="A276" s="65" t="str">
        <f>IF(271&lt;=$F$4,271,"")</f>
        <v/>
      </c>
      <c r="B276" s="65" t="str">
        <f>IF($A276="","",$H276+1)</f>
        <v/>
      </c>
      <c r="C276" s="66" t="str">
        <f>IF($A276="","",INDEX(Import_Staging!$A$2:$A$301,$H276)&amp;"")</f>
        <v/>
      </c>
      <c r="D276" s="66" t="str">
        <f>IF($A276="","",INDEX(Config!$C$39:$C$61,$J276))</f>
        <v/>
      </c>
      <c r="E276" s="66" t="str">
        <f>IF($A276="","",INDEX(Config!$D$39:$D$61,$J276))</f>
        <v/>
      </c>
      <c r="F276" s="67" t="str">
        <f>IF($A276="","",IFERROR(CHOOSE($J276,"movement_id is empty. Every row needs a unique movement ID.","movement_id "&amp;INDEX(Import_Staging!$A$2:$A$301,$H276)&amp;""&amp;" appears earlier in this file (row "&amp;IFERROR(MATCH(INDEX(Import_Staging!$A$2:$A$301,$H276),Import_Staging!$A$2:$A$301,0)+1,"?")&amp;"). Only the first row can be posted.","movement_id "&amp;INDEX(Import_Staging!$A$2:$A$301,$H276)&amp;""&amp;" is already in Inventory_Ledger. The ledger row was not changed.","date is empty.","date "&amp;""""&amp;INDEX(Import_Staging!$B$2:$B$301,$H276)&amp;""&amp;""""&amp;" is not a real date in yyyy-mm-dd format.","date "&amp;TEXT(INDEX(Import_Staging!$M$2:$M$301,$H276),"yyyy-mm-dd")&amp;" is after the as-of date "&amp;TEXT(Config!$B$4,"yyyy-mm-dd")&amp;".","type is empty.","type "&amp;""""&amp;INDEX(Import_Staging!$C$2:$C$301,$H276)&amp;""&amp;""""&amp;" is not a movement type listed on Config.","sku is empty.","SKU "&amp;INDEX(Import_Staging!$D$2:$D$301,$H276)&amp;""&amp;" is not in Products.","supplier_id is empty; receipts need the supplier.","Supplier "&amp;INDEX(Import_Staging!$E$2:$E$301,$H276)&amp;""&amp;" is not in Suppliers.","lot is empty; every movement needs its lot code.","Lot "&amp;INDEX(Import_Staging!$F$2:$F$301,$H276)&amp;""&amp;" is not recorded for "&amp;INDEX(Import_Staging!$D$2:$D$301,$H276)&amp;""&amp;" in Batches.","expiry is empty; receipts need the company-supplied expiry date.","expiry "&amp;""""&amp;INDEX(Import_Staging!$G$2:$G$301,$H276)&amp;""&amp;""""&amp;" is not a real date in yyyy-mm-dd format.","qty is empty.","qty "&amp;""""&amp;INDEX(Import_Staging!$H$2:$H$301,$H276)&amp;""&amp;""""&amp;" is not a valid quantity"&amp;IF(INDEX(Import_Staging!$C$2:$C$301,$H276)&amp;""="",""," for a "&amp;LOWER(INDEX(Import_Staging!$C$2:$C$301,$H276)&amp;""))&amp;".","lot_status is empty; receipts need a lot status.","lot_status "&amp;""""&amp;INDEX(Import_Staging!$I$2:$I$301,$H276)&amp;""&amp;""""&amp;" is not a lot status allowed on receipt (Config).","reason is empty; adjustments need a reason.","source_link is empty; every movement needs a link to its source document.","This row would take recorded stock of "&amp;INDEX(Import_Staging!$D$2:$D$301,$H276)&amp;""&amp;" from "&amp;INDEX(Import_Staging!$R$2:$R$301,$H276)&amp;" to "&amp;INDEX(Import_Staging!$S$2:$S$301,$H276)&amp;"."),$E276))</f>
        <v/>
      </c>
      <c r="G276" s="67" t="str">
        <f>IF($A276="","",INDEX(Config!$F$39:$F$61,$J276))</f>
        <v/>
      </c>
      <c r="H276" s="66" t="str">
        <f>IF($A276="","",MATCH(COUNTIF(Import_Staging!$BS$2:$BS$301,"&lt;"&amp;$A276)+1,Import_Staging!$BR$2:$BR$301,0))</f>
        <v/>
      </c>
      <c r="I276" s="66" t="str">
        <f>IF($A276="","",$A276-INDEX(Import_Staging!$BQ$2:$BQ$301,$H276))</f>
        <v/>
      </c>
      <c r="J276" s="66" t="str">
        <f>IF($A276="","",MATCH($I276,INDEX(Import_Staging!$AT$2:$BP$301,$H276,0),0))</f>
        <v/>
      </c>
    </row>
    <row r="277">
      <c r="A277" s="65" t="str">
        <f>IF(272&lt;=$F$4,272,"")</f>
        <v/>
      </c>
      <c r="B277" s="65" t="str">
        <f>IF($A277="","",$H277+1)</f>
        <v/>
      </c>
      <c r="C277" s="66" t="str">
        <f>IF($A277="","",INDEX(Import_Staging!$A$2:$A$301,$H277)&amp;"")</f>
        <v/>
      </c>
      <c r="D277" s="66" t="str">
        <f>IF($A277="","",INDEX(Config!$C$39:$C$61,$J277))</f>
        <v/>
      </c>
      <c r="E277" s="66" t="str">
        <f>IF($A277="","",INDEX(Config!$D$39:$D$61,$J277))</f>
        <v/>
      </c>
      <c r="F277" s="67" t="str">
        <f>IF($A277="","",IFERROR(CHOOSE($J277,"movement_id is empty. Every row needs a unique movement ID.","movement_id "&amp;INDEX(Import_Staging!$A$2:$A$301,$H277)&amp;""&amp;" appears earlier in this file (row "&amp;IFERROR(MATCH(INDEX(Import_Staging!$A$2:$A$301,$H277),Import_Staging!$A$2:$A$301,0)+1,"?")&amp;"). Only the first row can be posted.","movement_id "&amp;INDEX(Import_Staging!$A$2:$A$301,$H277)&amp;""&amp;" is already in Inventory_Ledger. The ledger row was not changed.","date is empty.","date "&amp;""""&amp;INDEX(Import_Staging!$B$2:$B$301,$H277)&amp;""&amp;""""&amp;" is not a real date in yyyy-mm-dd format.","date "&amp;TEXT(INDEX(Import_Staging!$M$2:$M$301,$H277),"yyyy-mm-dd")&amp;" is after the as-of date "&amp;TEXT(Config!$B$4,"yyyy-mm-dd")&amp;".","type is empty.","type "&amp;""""&amp;INDEX(Import_Staging!$C$2:$C$301,$H277)&amp;""&amp;""""&amp;" is not a movement type listed on Config.","sku is empty.","SKU "&amp;INDEX(Import_Staging!$D$2:$D$301,$H277)&amp;""&amp;" is not in Products.","supplier_id is empty; receipts need the supplier.","Supplier "&amp;INDEX(Import_Staging!$E$2:$E$301,$H277)&amp;""&amp;" is not in Suppliers.","lot is empty; every movement needs its lot code.","Lot "&amp;INDEX(Import_Staging!$F$2:$F$301,$H277)&amp;""&amp;" is not recorded for "&amp;INDEX(Import_Staging!$D$2:$D$301,$H277)&amp;""&amp;" in Batches.","expiry is empty; receipts need the company-supplied expiry date.","expiry "&amp;""""&amp;INDEX(Import_Staging!$G$2:$G$301,$H277)&amp;""&amp;""""&amp;" is not a real date in yyyy-mm-dd format.","qty is empty.","qty "&amp;""""&amp;INDEX(Import_Staging!$H$2:$H$301,$H277)&amp;""&amp;""""&amp;" is not a valid quantity"&amp;IF(INDEX(Import_Staging!$C$2:$C$301,$H277)&amp;""="",""," for a "&amp;LOWER(INDEX(Import_Staging!$C$2:$C$301,$H277)&amp;""))&amp;".","lot_status is empty; receipts need a lot status.","lot_status "&amp;""""&amp;INDEX(Import_Staging!$I$2:$I$301,$H277)&amp;""&amp;""""&amp;" is not a lot status allowed on receipt (Config).","reason is empty; adjustments need a reason.","source_link is empty; every movement needs a link to its source document.","This row would take recorded stock of "&amp;INDEX(Import_Staging!$D$2:$D$301,$H277)&amp;""&amp;" from "&amp;INDEX(Import_Staging!$R$2:$R$301,$H277)&amp;" to "&amp;INDEX(Import_Staging!$S$2:$S$301,$H277)&amp;"."),$E277))</f>
        <v/>
      </c>
      <c r="G277" s="67" t="str">
        <f>IF($A277="","",INDEX(Config!$F$39:$F$61,$J277))</f>
        <v/>
      </c>
      <c r="H277" s="66" t="str">
        <f>IF($A277="","",MATCH(COUNTIF(Import_Staging!$BS$2:$BS$301,"&lt;"&amp;$A277)+1,Import_Staging!$BR$2:$BR$301,0))</f>
        <v/>
      </c>
      <c r="I277" s="66" t="str">
        <f>IF($A277="","",$A277-INDEX(Import_Staging!$BQ$2:$BQ$301,$H277))</f>
        <v/>
      </c>
      <c r="J277" s="66" t="str">
        <f>IF($A277="","",MATCH($I277,INDEX(Import_Staging!$AT$2:$BP$301,$H277,0),0))</f>
        <v/>
      </c>
    </row>
    <row r="278">
      <c r="A278" s="65" t="str">
        <f>IF(273&lt;=$F$4,273,"")</f>
        <v/>
      </c>
      <c r="B278" s="65" t="str">
        <f>IF($A278="","",$H278+1)</f>
        <v/>
      </c>
      <c r="C278" s="66" t="str">
        <f>IF($A278="","",INDEX(Import_Staging!$A$2:$A$301,$H278)&amp;"")</f>
        <v/>
      </c>
      <c r="D278" s="66" t="str">
        <f>IF($A278="","",INDEX(Config!$C$39:$C$61,$J278))</f>
        <v/>
      </c>
      <c r="E278" s="66" t="str">
        <f>IF($A278="","",INDEX(Config!$D$39:$D$61,$J278))</f>
        <v/>
      </c>
      <c r="F278" s="67" t="str">
        <f>IF($A278="","",IFERROR(CHOOSE($J278,"movement_id is empty. Every row needs a unique movement ID.","movement_id "&amp;INDEX(Import_Staging!$A$2:$A$301,$H278)&amp;""&amp;" appears earlier in this file (row "&amp;IFERROR(MATCH(INDEX(Import_Staging!$A$2:$A$301,$H278),Import_Staging!$A$2:$A$301,0)+1,"?")&amp;"). Only the first row can be posted.","movement_id "&amp;INDEX(Import_Staging!$A$2:$A$301,$H278)&amp;""&amp;" is already in Inventory_Ledger. The ledger row was not changed.","date is empty.","date "&amp;""""&amp;INDEX(Import_Staging!$B$2:$B$301,$H278)&amp;""&amp;""""&amp;" is not a real date in yyyy-mm-dd format.","date "&amp;TEXT(INDEX(Import_Staging!$M$2:$M$301,$H278),"yyyy-mm-dd")&amp;" is after the as-of date "&amp;TEXT(Config!$B$4,"yyyy-mm-dd")&amp;".","type is empty.","type "&amp;""""&amp;INDEX(Import_Staging!$C$2:$C$301,$H278)&amp;""&amp;""""&amp;" is not a movement type listed on Config.","sku is empty.","SKU "&amp;INDEX(Import_Staging!$D$2:$D$301,$H278)&amp;""&amp;" is not in Products.","supplier_id is empty; receipts need the supplier.","Supplier "&amp;INDEX(Import_Staging!$E$2:$E$301,$H278)&amp;""&amp;" is not in Suppliers.","lot is empty; every movement needs its lot code.","Lot "&amp;INDEX(Import_Staging!$F$2:$F$301,$H278)&amp;""&amp;" is not recorded for "&amp;INDEX(Import_Staging!$D$2:$D$301,$H278)&amp;""&amp;" in Batches.","expiry is empty; receipts need the company-supplied expiry date.","expiry "&amp;""""&amp;INDEX(Import_Staging!$G$2:$G$301,$H278)&amp;""&amp;""""&amp;" is not a real date in yyyy-mm-dd format.","qty is empty.","qty "&amp;""""&amp;INDEX(Import_Staging!$H$2:$H$301,$H278)&amp;""&amp;""""&amp;" is not a valid quantity"&amp;IF(INDEX(Import_Staging!$C$2:$C$301,$H278)&amp;""="",""," for a "&amp;LOWER(INDEX(Import_Staging!$C$2:$C$301,$H278)&amp;""))&amp;".","lot_status is empty; receipts need a lot status.","lot_status "&amp;""""&amp;INDEX(Import_Staging!$I$2:$I$301,$H278)&amp;""&amp;""""&amp;" is not a lot status allowed on receipt (Config).","reason is empty; adjustments need a reason.","source_link is empty; every movement needs a link to its source document.","This row would take recorded stock of "&amp;INDEX(Import_Staging!$D$2:$D$301,$H278)&amp;""&amp;" from "&amp;INDEX(Import_Staging!$R$2:$R$301,$H278)&amp;" to "&amp;INDEX(Import_Staging!$S$2:$S$301,$H278)&amp;"."),$E278))</f>
        <v/>
      </c>
      <c r="G278" s="67" t="str">
        <f>IF($A278="","",INDEX(Config!$F$39:$F$61,$J278))</f>
        <v/>
      </c>
      <c r="H278" s="66" t="str">
        <f>IF($A278="","",MATCH(COUNTIF(Import_Staging!$BS$2:$BS$301,"&lt;"&amp;$A278)+1,Import_Staging!$BR$2:$BR$301,0))</f>
        <v/>
      </c>
      <c r="I278" s="66" t="str">
        <f>IF($A278="","",$A278-INDEX(Import_Staging!$BQ$2:$BQ$301,$H278))</f>
        <v/>
      </c>
      <c r="J278" s="66" t="str">
        <f>IF($A278="","",MATCH($I278,INDEX(Import_Staging!$AT$2:$BP$301,$H278,0),0))</f>
        <v/>
      </c>
    </row>
    <row r="279">
      <c r="A279" s="65" t="str">
        <f>IF(274&lt;=$F$4,274,"")</f>
        <v/>
      </c>
      <c r="B279" s="65" t="str">
        <f>IF($A279="","",$H279+1)</f>
        <v/>
      </c>
      <c r="C279" s="66" t="str">
        <f>IF($A279="","",INDEX(Import_Staging!$A$2:$A$301,$H279)&amp;"")</f>
        <v/>
      </c>
      <c r="D279" s="66" t="str">
        <f>IF($A279="","",INDEX(Config!$C$39:$C$61,$J279))</f>
        <v/>
      </c>
      <c r="E279" s="66" t="str">
        <f>IF($A279="","",INDEX(Config!$D$39:$D$61,$J279))</f>
        <v/>
      </c>
      <c r="F279" s="67" t="str">
        <f>IF($A279="","",IFERROR(CHOOSE($J279,"movement_id is empty. Every row needs a unique movement ID.","movement_id "&amp;INDEX(Import_Staging!$A$2:$A$301,$H279)&amp;""&amp;" appears earlier in this file (row "&amp;IFERROR(MATCH(INDEX(Import_Staging!$A$2:$A$301,$H279),Import_Staging!$A$2:$A$301,0)+1,"?")&amp;"). Only the first row can be posted.","movement_id "&amp;INDEX(Import_Staging!$A$2:$A$301,$H279)&amp;""&amp;" is already in Inventory_Ledger. The ledger row was not changed.","date is empty.","date "&amp;""""&amp;INDEX(Import_Staging!$B$2:$B$301,$H279)&amp;""&amp;""""&amp;" is not a real date in yyyy-mm-dd format.","date "&amp;TEXT(INDEX(Import_Staging!$M$2:$M$301,$H279),"yyyy-mm-dd")&amp;" is after the as-of date "&amp;TEXT(Config!$B$4,"yyyy-mm-dd")&amp;".","type is empty.","type "&amp;""""&amp;INDEX(Import_Staging!$C$2:$C$301,$H279)&amp;""&amp;""""&amp;" is not a movement type listed on Config.","sku is empty.","SKU "&amp;INDEX(Import_Staging!$D$2:$D$301,$H279)&amp;""&amp;" is not in Products.","supplier_id is empty; receipts need the supplier.","Supplier "&amp;INDEX(Import_Staging!$E$2:$E$301,$H279)&amp;""&amp;" is not in Suppliers.","lot is empty; every movement needs its lot code.","Lot "&amp;INDEX(Import_Staging!$F$2:$F$301,$H279)&amp;""&amp;" is not recorded for "&amp;INDEX(Import_Staging!$D$2:$D$301,$H279)&amp;""&amp;" in Batches.","expiry is empty; receipts need the company-supplied expiry date.","expiry "&amp;""""&amp;INDEX(Import_Staging!$G$2:$G$301,$H279)&amp;""&amp;""""&amp;" is not a real date in yyyy-mm-dd format.","qty is empty.","qty "&amp;""""&amp;INDEX(Import_Staging!$H$2:$H$301,$H279)&amp;""&amp;""""&amp;" is not a valid quantity"&amp;IF(INDEX(Import_Staging!$C$2:$C$301,$H279)&amp;""="",""," for a "&amp;LOWER(INDEX(Import_Staging!$C$2:$C$301,$H279)&amp;""))&amp;".","lot_status is empty; receipts need a lot status.","lot_status "&amp;""""&amp;INDEX(Import_Staging!$I$2:$I$301,$H279)&amp;""&amp;""""&amp;" is not a lot status allowed on receipt (Config).","reason is empty; adjustments need a reason.","source_link is empty; every movement needs a link to its source document.","This row would take recorded stock of "&amp;INDEX(Import_Staging!$D$2:$D$301,$H279)&amp;""&amp;" from "&amp;INDEX(Import_Staging!$R$2:$R$301,$H279)&amp;" to "&amp;INDEX(Import_Staging!$S$2:$S$301,$H279)&amp;"."),$E279))</f>
        <v/>
      </c>
      <c r="G279" s="67" t="str">
        <f>IF($A279="","",INDEX(Config!$F$39:$F$61,$J279))</f>
        <v/>
      </c>
      <c r="H279" s="66" t="str">
        <f>IF($A279="","",MATCH(COUNTIF(Import_Staging!$BS$2:$BS$301,"&lt;"&amp;$A279)+1,Import_Staging!$BR$2:$BR$301,0))</f>
        <v/>
      </c>
      <c r="I279" s="66" t="str">
        <f>IF($A279="","",$A279-INDEX(Import_Staging!$BQ$2:$BQ$301,$H279))</f>
        <v/>
      </c>
      <c r="J279" s="66" t="str">
        <f>IF($A279="","",MATCH($I279,INDEX(Import_Staging!$AT$2:$BP$301,$H279,0),0))</f>
        <v/>
      </c>
    </row>
    <row r="280">
      <c r="A280" s="65" t="str">
        <f>IF(275&lt;=$F$4,275,"")</f>
        <v/>
      </c>
      <c r="B280" s="65" t="str">
        <f>IF($A280="","",$H280+1)</f>
        <v/>
      </c>
      <c r="C280" s="66" t="str">
        <f>IF($A280="","",INDEX(Import_Staging!$A$2:$A$301,$H280)&amp;"")</f>
        <v/>
      </c>
      <c r="D280" s="66" t="str">
        <f>IF($A280="","",INDEX(Config!$C$39:$C$61,$J280))</f>
        <v/>
      </c>
      <c r="E280" s="66" t="str">
        <f>IF($A280="","",INDEX(Config!$D$39:$D$61,$J280))</f>
        <v/>
      </c>
      <c r="F280" s="67" t="str">
        <f>IF($A280="","",IFERROR(CHOOSE($J280,"movement_id is empty. Every row needs a unique movement ID.","movement_id "&amp;INDEX(Import_Staging!$A$2:$A$301,$H280)&amp;""&amp;" appears earlier in this file (row "&amp;IFERROR(MATCH(INDEX(Import_Staging!$A$2:$A$301,$H280),Import_Staging!$A$2:$A$301,0)+1,"?")&amp;"). Only the first row can be posted.","movement_id "&amp;INDEX(Import_Staging!$A$2:$A$301,$H280)&amp;""&amp;" is already in Inventory_Ledger. The ledger row was not changed.","date is empty.","date "&amp;""""&amp;INDEX(Import_Staging!$B$2:$B$301,$H280)&amp;""&amp;""""&amp;" is not a real date in yyyy-mm-dd format.","date "&amp;TEXT(INDEX(Import_Staging!$M$2:$M$301,$H280),"yyyy-mm-dd")&amp;" is after the as-of date "&amp;TEXT(Config!$B$4,"yyyy-mm-dd")&amp;".","type is empty.","type "&amp;""""&amp;INDEX(Import_Staging!$C$2:$C$301,$H280)&amp;""&amp;""""&amp;" is not a movement type listed on Config.","sku is empty.","SKU "&amp;INDEX(Import_Staging!$D$2:$D$301,$H280)&amp;""&amp;" is not in Products.","supplier_id is empty; receipts need the supplier.","Supplier "&amp;INDEX(Import_Staging!$E$2:$E$301,$H280)&amp;""&amp;" is not in Suppliers.","lot is empty; every movement needs its lot code.","Lot "&amp;INDEX(Import_Staging!$F$2:$F$301,$H280)&amp;""&amp;" is not recorded for "&amp;INDEX(Import_Staging!$D$2:$D$301,$H280)&amp;""&amp;" in Batches.","expiry is empty; receipts need the company-supplied expiry date.","expiry "&amp;""""&amp;INDEX(Import_Staging!$G$2:$G$301,$H280)&amp;""&amp;""""&amp;" is not a real date in yyyy-mm-dd format.","qty is empty.","qty "&amp;""""&amp;INDEX(Import_Staging!$H$2:$H$301,$H280)&amp;""&amp;""""&amp;" is not a valid quantity"&amp;IF(INDEX(Import_Staging!$C$2:$C$301,$H280)&amp;""="",""," for a "&amp;LOWER(INDEX(Import_Staging!$C$2:$C$301,$H280)&amp;""))&amp;".","lot_status is empty; receipts need a lot status.","lot_status "&amp;""""&amp;INDEX(Import_Staging!$I$2:$I$301,$H280)&amp;""&amp;""""&amp;" is not a lot status allowed on receipt (Config).","reason is empty; adjustments need a reason.","source_link is empty; every movement needs a link to its source document.","This row would take recorded stock of "&amp;INDEX(Import_Staging!$D$2:$D$301,$H280)&amp;""&amp;" from "&amp;INDEX(Import_Staging!$R$2:$R$301,$H280)&amp;" to "&amp;INDEX(Import_Staging!$S$2:$S$301,$H280)&amp;"."),$E280))</f>
        <v/>
      </c>
      <c r="G280" s="67" t="str">
        <f>IF($A280="","",INDEX(Config!$F$39:$F$61,$J280))</f>
        <v/>
      </c>
      <c r="H280" s="66" t="str">
        <f>IF($A280="","",MATCH(COUNTIF(Import_Staging!$BS$2:$BS$301,"&lt;"&amp;$A280)+1,Import_Staging!$BR$2:$BR$301,0))</f>
        <v/>
      </c>
      <c r="I280" s="66" t="str">
        <f>IF($A280="","",$A280-INDEX(Import_Staging!$BQ$2:$BQ$301,$H280))</f>
        <v/>
      </c>
      <c r="J280" s="66" t="str">
        <f>IF($A280="","",MATCH($I280,INDEX(Import_Staging!$AT$2:$BP$301,$H280,0),0))</f>
        <v/>
      </c>
    </row>
    <row r="281">
      <c r="A281" s="65" t="str">
        <f>IF(276&lt;=$F$4,276,"")</f>
        <v/>
      </c>
      <c r="B281" s="65" t="str">
        <f>IF($A281="","",$H281+1)</f>
        <v/>
      </c>
      <c r="C281" s="66" t="str">
        <f>IF($A281="","",INDEX(Import_Staging!$A$2:$A$301,$H281)&amp;"")</f>
        <v/>
      </c>
      <c r="D281" s="66" t="str">
        <f>IF($A281="","",INDEX(Config!$C$39:$C$61,$J281))</f>
        <v/>
      </c>
      <c r="E281" s="66" t="str">
        <f>IF($A281="","",INDEX(Config!$D$39:$D$61,$J281))</f>
        <v/>
      </c>
      <c r="F281" s="67" t="str">
        <f>IF($A281="","",IFERROR(CHOOSE($J281,"movement_id is empty. Every row needs a unique movement ID.","movement_id "&amp;INDEX(Import_Staging!$A$2:$A$301,$H281)&amp;""&amp;" appears earlier in this file (row "&amp;IFERROR(MATCH(INDEX(Import_Staging!$A$2:$A$301,$H281),Import_Staging!$A$2:$A$301,0)+1,"?")&amp;"). Only the first row can be posted.","movement_id "&amp;INDEX(Import_Staging!$A$2:$A$301,$H281)&amp;""&amp;" is already in Inventory_Ledger. The ledger row was not changed.","date is empty.","date "&amp;""""&amp;INDEX(Import_Staging!$B$2:$B$301,$H281)&amp;""&amp;""""&amp;" is not a real date in yyyy-mm-dd format.","date "&amp;TEXT(INDEX(Import_Staging!$M$2:$M$301,$H281),"yyyy-mm-dd")&amp;" is after the as-of date "&amp;TEXT(Config!$B$4,"yyyy-mm-dd")&amp;".","type is empty.","type "&amp;""""&amp;INDEX(Import_Staging!$C$2:$C$301,$H281)&amp;""&amp;""""&amp;" is not a movement type listed on Config.","sku is empty.","SKU "&amp;INDEX(Import_Staging!$D$2:$D$301,$H281)&amp;""&amp;" is not in Products.","supplier_id is empty; receipts need the supplier.","Supplier "&amp;INDEX(Import_Staging!$E$2:$E$301,$H281)&amp;""&amp;" is not in Suppliers.","lot is empty; every movement needs its lot code.","Lot "&amp;INDEX(Import_Staging!$F$2:$F$301,$H281)&amp;""&amp;" is not recorded for "&amp;INDEX(Import_Staging!$D$2:$D$301,$H281)&amp;""&amp;" in Batches.","expiry is empty; receipts need the company-supplied expiry date.","expiry "&amp;""""&amp;INDEX(Import_Staging!$G$2:$G$301,$H281)&amp;""&amp;""""&amp;" is not a real date in yyyy-mm-dd format.","qty is empty.","qty "&amp;""""&amp;INDEX(Import_Staging!$H$2:$H$301,$H281)&amp;""&amp;""""&amp;" is not a valid quantity"&amp;IF(INDEX(Import_Staging!$C$2:$C$301,$H281)&amp;""="",""," for a "&amp;LOWER(INDEX(Import_Staging!$C$2:$C$301,$H281)&amp;""))&amp;".","lot_status is empty; receipts need a lot status.","lot_status "&amp;""""&amp;INDEX(Import_Staging!$I$2:$I$301,$H281)&amp;""&amp;""""&amp;" is not a lot status allowed on receipt (Config).","reason is empty; adjustments need a reason.","source_link is empty; every movement needs a link to its source document.","This row would take recorded stock of "&amp;INDEX(Import_Staging!$D$2:$D$301,$H281)&amp;""&amp;" from "&amp;INDEX(Import_Staging!$R$2:$R$301,$H281)&amp;" to "&amp;INDEX(Import_Staging!$S$2:$S$301,$H281)&amp;"."),$E281))</f>
        <v/>
      </c>
      <c r="G281" s="67" t="str">
        <f>IF($A281="","",INDEX(Config!$F$39:$F$61,$J281))</f>
        <v/>
      </c>
      <c r="H281" s="66" t="str">
        <f>IF($A281="","",MATCH(COUNTIF(Import_Staging!$BS$2:$BS$301,"&lt;"&amp;$A281)+1,Import_Staging!$BR$2:$BR$301,0))</f>
        <v/>
      </c>
      <c r="I281" s="66" t="str">
        <f>IF($A281="","",$A281-INDEX(Import_Staging!$BQ$2:$BQ$301,$H281))</f>
        <v/>
      </c>
      <c r="J281" s="66" t="str">
        <f>IF($A281="","",MATCH($I281,INDEX(Import_Staging!$AT$2:$BP$301,$H281,0),0))</f>
        <v/>
      </c>
    </row>
    <row r="282">
      <c r="A282" s="65" t="str">
        <f>IF(277&lt;=$F$4,277,"")</f>
        <v/>
      </c>
      <c r="B282" s="65" t="str">
        <f>IF($A282="","",$H282+1)</f>
        <v/>
      </c>
      <c r="C282" s="66" t="str">
        <f>IF($A282="","",INDEX(Import_Staging!$A$2:$A$301,$H282)&amp;"")</f>
        <v/>
      </c>
      <c r="D282" s="66" t="str">
        <f>IF($A282="","",INDEX(Config!$C$39:$C$61,$J282))</f>
        <v/>
      </c>
      <c r="E282" s="66" t="str">
        <f>IF($A282="","",INDEX(Config!$D$39:$D$61,$J282))</f>
        <v/>
      </c>
      <c r="F282" s="67" t="str">
        <f>IF($A282="","",IFERROR(CHOOSE($J282,"movement_id is empty. Every row needs a unique movement ID.","movement_id "&amp;INDEX(Import_Staging!$A$2:$A$301,$H282)&amp;""&amp;" appears earlier in this file (row "&amp;IFERROR(MATCH(INDEX(Import_Staging!$A$2:$A$301,$H282),Import_Staging!$A$2:$A$301,0)+1,"?")&amp;"). Only the first row can be posted.","movement_id "&amp;INDEX(Import_Staging!$A$2:$A$301,$H282)&amp;""&amp;" is already in Inventory_Ledger. The ledger row was not changed.","date is empty.","date "&amp;""""&amp;INDEX(Import_Staging!$B$2:$B$301,$H282)&amp;""&amp;""""&amp;" is not a real date in yyyy-mm-dd format.","date "&amp;TEXT(INDEX(Import_Staging!$M$2:$M$301,$H282),"yyyy-mm-dd")&amp;" is after the as-of date "&amp;TEXT(Config!$B$4,"yyyy-mm-dd")&amp;".","type is empty.","type "&amp;""""&amp;INDEX(Import_Staging!$C$2:$C$301,$H282)&amp;""&amp;""""&amp;" is not a movement type listed on Config.","sku is empty.","SKU "&amp;INDEX(Import_Staging!$D$2:$D$301,$H282)&amp;""&amp;" is not in Products.","supplier_id is empty; receipts need the supplier.","Supplier "&amp;INDEX(Import_Staging!$E$2:$E$301,$H282)&amp;""&amp;" is not in Suppliers.","lot is empty; every movement needs its lot code.","Lot "&amp;INDEX(Import_Staging!$F$2:$F$301,$H282)&amp;""&amp;" is not recorded for "&amp;INDEX(Import_Staging!$D$2:$D$301,$H282)&amp;""&amp;" in Batches.","expiry is empty; receipts need the company-supplied expiry date.","expiry "&amp;""""&amp;INDEX(Import_Staging!$G$2:$G$301,$H282)&amp;""&amp;""""&amp;" is not a real date in yyyy-mm-dd format.","qty is empty.","qty "&amp;""""&amp;INDEX(Import_Staging!$H$2:$H$301,$H282)&amp;""&amp;""""&amp;" is not a valid quantity"&amp;IF(INDEX(Import_Staging!$C$2:$C$301,$H282)&amp;""="",""," for a "&amp;LOWER(INDEX(Import_Staging!$C$2:$C$301,$H282)&amp;""))&amp;".","lot_status is empty; receipts need a lot status.","lot_status "&amp;""""&amp;INDEX(Import_Staging!$I$2:$I$301,$H282)&amp;""&amp;""""&amp;" is not a lot status allowed on receipt (Config).","reason is empty; adjustments need a reason.","source_link is empty; every movement needs a link to its source document.","This row would take recorded stock of "&amp;INDEX(Import_Staging!$D$2:$D$301,$H282)&amp;""&amp;" from "&amp;INDEX(Import_Staging!$R$2:$R$301,$H282)&amp;" to "&amp;INDEX(Import_Staging!$S$2:$S$301,$H282)&amp;"."),$E282))</f>
        <v/>
      </c>
      <c r="G282" s="67" t="str">
        <f>IF($A282="","",INDEX(Config!$F$39:$F$61,$J282))</f>
        <v/>
      </c>
      <c r="H282" s="66" t="str">
        <f>IF($A282="","",MATCH(COUNTIF(Import_Staging!$BS$2:$BS$301,"&lt;"&amp;$A282)+1,Import_Staging!$BR$2:$BR$301,0))</f>
        <v/>
      </c>
      <c r="I282" s="66" t="str">
        <f>IF($A282="","",$A282-INDEX(Import_Staging!$BQ$2:$BQ$301,$H282))</f>
        <v/>
      </c>
      <c r="J282" s="66" t="str">
        <f>IF($A282="","",MATCH($I282,INDEX(Import_Staging!$AT$2:$BP$301,$H282,0),0))</f>
        <v/>
      </c>
    </row>
    <row r="283">
      <c r="A283" s="65" t="str">
        <f>IF(278&lt;=$F$4,278,"")</f>
        <v/>
      </c>
      <c r="B283" s="65" t="str">
        <f>IF($A283="","",$H283+1)</f>
        <v/>
      </c>
      <c r="C283" s="66" t="str">
        <f>IF($A283="","",INDEX(Import_Staging!$A$2:$A$301,$H283)&amp;"")</f>
        <v/>
      </c>
      <c r="D283" s="66" t="str">
        <f>IF($A283="","",INDEX(Config!$C$39:$C$61,$J283))</f>
        <v/>
      </c>
      <c r="E283" s="66" t="str">
        <f>IF($A283="","",INDEX(Config!$D$39:$D$61,$J283))</f>
        <v/>
      </c>
      <c r="F283" s="67" t="str">
        <f>IF($A283="","",IFERROR(CHOOSE($J283,"movement_id is empty. Every row needs a unique movement ID.","movement_id "&amp;INDEX(Import_Staging!$A$2:$A$301,$H283)&amp;""&amp;" appears earlier in this file (row "&amp;IFERROR(MATCH(INDEX(Import_Staging!$A$2:$A$301,$H283),Import_Staging!$A$2:$A$301,0)+1,"?")&amp;"). Only the first row can be posted.","movement_id "&amp;INDEX(Import_Staging!$A$2:$A$301,$H283)&amp;""&amp;" is already in Inventory_Ledger. The ledger row was not changed.","date is empty.","date "&amp;""""&amp;INDEX(Import_Staging!$B$2:$B$301,$H283)&amp;""&amp;""""&amp;" is not a real date in yyyy-mm-dd format.","date "&amp;TEXT(INDEX(Import_Staging!$M$2:$M$301,$H283),"yyyy-mm-dd")&amp;" is after the as-of date "&amp;TEXT(Config!$B$4,"yyyy-mm-dd")&amp;".","type is empty.","type "&amp;""""&amp;INDEX(Import_Staging!$C$2:$C$301,$H283)&amp;""&amp;""""&amp;" is not a movement type listed on Config.","sku is empty.","SKU "&amp;INDEX(Import_Staging!$D$2:$D$301,$H283)&amp;""&amp;" is not in Products.","supplier_id is empty; receipts need the supplier.","Supplier "&amp;INDEX(Import_Staging!$E$2:$E$301,$H283)&amp;""&amp;" is not in Suppliers.","lot is empty; every movement needs its lot code.","Lot "&amp;INDEX(Import_Staging!$F$2:$F$301,$H283)&amp;""&amp;" is not recorded for "&amp;INDEX(Import_Staging!$D$2:$D$301,$H283)&amp;""&amp;" in Batches.","expiry is empty; receipts need the company-supplied expiry date.","expiry "&amp;""""&amp;INDEX(Import_Staging!$G$2:$G$301,$H283)&amp;""&amp;""""&amp;" is not a real date in yyyy-mm-dd format.","qty is empty.","qty "&amp;""""&amp;INDEX(Import_Staging!$H$2:$H$301,$H283)&amp;""&amp;""""&amp;" is not a valid quantity"&amp;IF(INDEX(Import_Staging!$C$2:$C$301,$H283)&amp;""="",""," for a "&amp;LOWER(INDEX(Import_Staging!$C$2:$C$301,$H283)&amp;""))&amp;".","lot_status is empty; receipts need a lot status.","lot_status "&amp;""""&amp;INDEX(Import_Staging!$I$2:$I$301,$H283)&amp;""&amp;""""&amp;" is not a lot status allowed on receipt (Config).","reason is empty; adjustments need a reason.","source_link is empty; every movement needs a link to its source document.","This row would take recorded stock of "&amp;INDEX(Import_Staging!$D$2:$D$301,$H283)&amp;""&amp;" from "&amp;INDEX(Import_Staging!$R$2:$R$301,$H283)&amp;" to "&amp;INDEX(Import_Staging!$S$2:$S$301,$H283)&amp;"."),$E283))</f>
        <v/>
      </c>
      <c r="G283" s="67" t="str">
        <f>IF($A283="","",INDEX(Config!$F$39:$F$61,$J283))</f>
        <v/>
      </c>
      <c r="H283" s="66" t="str">
        <f>IF($A283="","",MATCH(COUNTIF(Import_Staging!$BS$2:$BS$301,"&lt;"&amp;$A283)+1,Import_Staging!$BR$2:$BR$301,0))</f>
        <v/>
      </c>
      <c r="I283" s="66" t="str">
        <f>IF($A283="","",$A283-INDEX(Import_Staging!$BQ$2:$BQ$301,$H283))</f>
        <v/>
      </c>
      <c r="J283" s="66" t="str">
        <f>IF($A283="","",MATCH($I283,INDEX(Import_Staging!$AT$2:$BP$301,$H283,0),0))</f>
        <v/>
      </c>
    </row>
    <row r="284">
      <c r="A284" s="65" t="str">
        <f>IF(279&lt;=$F$4,279,"")</f>
        <v/>
      </c>
      <c r="B284" s="65" t="str">
        <f>IF($A284="","",$H284+1)</f>
        <v/>
      </c>
      <c r="C284" s="66" t="str">
        <f>IF($A284="","",INDEX(Import_Staging!$A$2:$A$301,$H284)&amp;"")</f>
        <v/>
      </c>
      <c r="D284" s="66" t="str">
        <f>IF($A284="","",INDEX(Config!$C$39:$C$61,$J284))</f>
        <v/>
      </c>
      <c r="E284" s="66" t="str">
        <f>IF($A284="","",INDEX(Config!$D$39:$D$61,$J284))</f>
        <v/>
      </c>
      <c r="F284" s="67" t="str">
        <f>IF($A284="","",IFERROR(CHOOSE($J284,"movement_id is empty. Every row needs a unique movement ID.","movement_id "&amp;INDEX(Import_Staging!$A$2:$A$301,$H284)&amp;""&amp;" appears earlier in this file (row "&amp;IFERROR(MATCH(INDEX(Import_Staging!$A$2:$A$301,$H284),Import_Staging!$A$2:$A$301,0)+1,"?")&amp;"). Only the first row can be posted.","movement_id "&amp;INDEX(Import_Staging!$A$2:$A$301,$H284)&amp;""&amp;" is already in Inventory_Ledger. The ledger row was not changed.","date is empty.","date "&amp;""""&amp;INDEX(Import_Staging!$B$2:$B$301,$H284)&amp;""&amp;""""&amp;" is not a real date in yyyy-mm-dd format.","date "&amp;TEXT(INDEX(Import_Staging!$M$2:$M$301,$H284),"yyyy-mm-dd")&amp;" is after the as-of date "&amp;TEXT(Config!$B$4,"yyyy-mm-dd")&amp;".","type is empty.","type "&amp;""""&amp;INDEX(Import_Staging!$C$2:$C$301,$H284)&amp;""&amp;""""&amp;" is not a movement type listed on Config.","sku is empty.","SKU "&amp;INDEX(Import_Staging!$D$2:$D$301,$H284)&amp;""&amp;" is not in Products.","supplier_id is empty; receipts need the supplier.","Supplier "&amp;INDEX(Import_Staging!$E$2:$E$301,$H284)&amp;""&amp;" is not in Suppliers.","lot is empty; every movement needs its lot code.","Lot "&amp;INDEX(Import_Staging!$F$2:$F$301,$H284)&amp;""&amp;" is not recorded for "&amp;INDEX(Import_Staging!$D$2:$D$301,$H284)&amp;""&amp;" in Batches.","expiry is empty; receipts need the company-supplied expiry date.","expiry "&amp;""""&amp;INDEX(Import_Staging!$G$2:$G$301,$H284)&amp;""&amp;""""&amp;" is not a real date in yyyy-mm-dd format.","qty is empty.","qty "&amp;""""&amp;INDEX(Import_Staging!$H$2:$H$301,$H284)&amp;""&amp;""""&amp;" is not a valid quantity"&amp;IF(INDEX(Import_Staging!$C$2:$C$301,$H284)&amp;""="",""," for a "&amp;LOWER(INDEX(Import_Staging!$C$2:$C$301,$H284)&amp;""))&amp;".","lot_status is empty; receipts need a lot status.","lot_status "&amp;""""&amp;INDEX(Import_Staging!$I$2:$I$301,$H284)&amp;""&amp;""""&amp;" is not a lot status allowed on receipt (Config).","reason is empty; adjustments need a reason.","source_link is empty; every movement needs a link to its source document.","This row would take recorded stock of "&amp;INDEX(Import_Staging!$D$2:$D$301,$H284)&amp;""&amp;" from "&amp;INDEX(Import_Staging!$R$2:$R$301,$H284)&amp;" to "&amp;INDEX(Import_Staging!$S$2:$S$301,$H284)&amp;"."),$E284))</f>
        <v/>
      </c>
      <c r="G284" s="67" t="str">
        <f>IF($A284="","",INDEX(Config!$F$39:$F$61,$J284))</f>
        <v/>
      </c>
      <c r="H284" s="66" t="str">
        <f>IF($A284="","",MATCH(COUNTIF(Import_Staging!$BS$2:$BS$301,"&lt;"&amp;$A284)+1,Import_Staging!$BR$2:$BR$301,0))</f>
        <v/>
      </c>
      <c r="I284" s="66" t="str">
        <f>IF($A284="","",$A284-INDEX(Import_Staging!$BQ$2:$BQ$301,$H284))</f>
        <v/>
      </c>
      <c r="J284" s="66" t="str">
        <f>IF($A284="","",MATCH($I284,INDEX(Import_Staging!$AT$2:$BP$301,$H284,0),0))</f>
        <v/>
      </c>
    </row>
    <row r="285">
      <c r="A285" s="65" t="str">
        <f>IF(280&lt;=$F$4,280,"")</f>
        <v/>
      </c>
      <c r="B285" s="65" t="str">
        <f>IF($A285="","",$H285+1)</f>
        <v/>
      </c>
      <c r="C285" s="66" t="str">
        <f>IF($A285="","",INDEX(Import_Staging!$A$2:$A$301,$H285)&amp;"")</f>
        <v/>
      </c>
      <c r="D285" s="66" t="str">
        <f>IF($A285="","",INDEX(Config!$C$39:$C$61,$J285))</f>
        <v/>
      </c>
      <c r="E285" s="66" t="str">
        <f>IF($A285="","",INDEX(Config!$D$39:$D$61,$J285))</f>
        <v/>
      </c>
      <c r="F285" s="67" t="str">
        <f>IF($A285="","",IFERROR(CHOOSE($J285,"movement_id is empty. Every row needs a unique movement ID.","movement_id "&amp;INDEX(Import_Staging!$A$2:$A$301,$H285)&amp;""&amp;" appears earlier in this file (row "&amp;IFERROR(MATCH(INDEX(Import_Staging!$A$2:$A$301,$H285),Import_Staging!$A$2:$A$301,0)+1,"?")&amp;"). Only the first row can be posted.","movement_id "&amp;INDEX(Import_Staging!$A$2:$A$301,$H285)&amp;""&amp;" is already in Inventory_Ledger. The ledger row was not changed.","date is empty.","date "&amp;""""&amp;INDEX(Import_Staging!$B$2:$B$301,$H285)&amp;""&amp;""""&amp;" is not a real date in yyyy-mm-dd format.","date "&amp;TEXT(INDEX(Import_Staging!$M$2:$M$301,$H285),"yyyy-mm-dd")&amp;" is after the as-of date "&amp;TEXT(Config!$B$4,"yyyy-mm-dd")&amp;".","type is empty.","type "&amp;""""&amp;INDEX(Import_Staging!$C$2:$C$301,$H285)&amp;""&amp;""""&amp;" is not a movement type listed on Config.","sku is empty.","SKU "&amp;INDEX(Import_Staging!$D$2:$D$301,$H285)&amp;""&amp;" is not in Products.","supplier_id is empty; receipts need the supplier.","Supplier "&amp;INDEX(Import_Staging!$E$2:$E$301,$H285)&amp;""&amp;" is not in Suppliers.","lot is empty; every movement needs its lot code.","Lot "&amp;INDEX(Import_Staging!$F$2:$F$301,$H285)&amp;""&amp;" is not recorded for "&amp;INDEX(Import_Staging!$D$2:$D$301,$H285)&amp;""&amp;" in Batches.","expiry is empty; receipts need the company-supplied expiry date.","expiry "&amp;""""&amp;INDEX(Import_Staging!$G$2:$G$301,$H285)&amp;""&amp;""""&amp;" is not a real date in yyyy-mm-dd format.","qty is empty.","qty "&amp;""""&amp;INDEX(Import_Staging!$H$2:$H$301,$H285)&amp;""&amp;""""&amp;" is not a valid quantity"&amp;IF(INDEX(Import_Staging!$C$2:$C$301,$H285)&amp;""="",""," for a "&amp;LOWER(INDEX(Import_Staging!$C$2:$C$301,$H285)&amp;""))&amp;".","lot_status is empty; receipts need a lot status.","lot_status "&amp;""""&amp;INDEX(Import_Staging!$I$2:$I$301,$H285)&amp;""&amp;""""&amp;" is not a lot status allowed on receipt (Config).","reason is empty; adjustments need a reason.","source_link is empty; every movement needs a link to its source document.","This row would take recorded stock of "&amp;INDEX(Import_Staging!$D$2:$D$301,$H285)&amp;""&amp;" from "&amp;INDEX(Import_Staging!$R$2:$R$301,$H285)&amp;" to "&amp;INDEX(Import_Staging!$S$2:$S$301,$H285)&amp;"."),$E285))</f>
        <v/>
      </c>
      <c r="G285" s="67" t="str">
        <f>IF($A285="","",INDEX(Config!$F$39:$F$61,$J285))</f>
        <v/>
      </c>
      <c r="H285" s="66" t="str">
        <f>IF($A285="","",MATCH(COUNTIF(Import_Staging!$BS$2:$BS$301,"&lt;"&amp;$A285)+1,Import_Staging!$BR$2:$BR$301,0))</f>
        <v/>
      </c>
      <c r="I285" s="66" t="str">
        <f>IF($A285="","",$A285-INDEX(Import_Staging!$BQ$2:$BQ$301,$H285))</f>
        <v/>
      </c>
      <c r="J285" s="66" t="str">
        <f>IF($A285="","",MATCH($I285,INDEX(Import_Staging!$AT$2:$BP$301,$H285,0),0))</f>
        <v/>
      </c>
    </row>
    <row r="286">
      <c r="A286" s="65" t="str">
        <f>IF(281&lt;=$F$4,281,"")</f>
        <v/>
      </c>
      <c r="B286" s="65" t="str">
        <f>IF($A286="","",$H286+1)</f>
        <v/>
      </c>
      <c r="C286" s="66" t="str">
        <f>IF($A286="","",INDEX(Import_Staging!$A$2:$A$301,$H286)&amp;"")</f>
        <v/>
      </c>
      <c r="D286" s="66" t="str">
        <f>IF($A286="","",INDEX(Config!$C$39:$C$61,$J286))</f>
        <v/>
      </c>
      <c r="E286" s="66" t="str">
        <f>IF($A286="","",INDEX(Config!$D$39:$D$61,$J286))</f>
        <v/>
      </c>
      <c r="F286" s="67" t="str">
        <f>IF($A286="","",IFERROR(CHOOSE($J286,"movement_id is empty. Every row needs a unique movement ID.","movement_id "&amp;INDEX(Import_Staging!$A$2:$A$301,$H286)&amp;""&amp;" appears earlier in this file (row "&amp;IFERROR(MATCH(INDEX(Import_Staging!$A$2:$A$301,$H286),Import_Staging!$A$2:$A$301,0)+1,"?")&amp;"). Only the first row can be posted.","movement_id "&amp;INDEX(Import_Staging!$A$2:$A$301,$H286)&amp;""&amp;" is already in Inventory_Ledger. The ledger row was not changed.","date is empty.","date "&amp;""""&amp;INDEX(Import_Staging!$B$2:$B$301,$H286)&amp;""&amp;""""&amp;" is not a real date in yyyy-mm-dd format.","date "&amp;TEXT(INDEX(Import_Staging!$M$2:$M$301,$H286),"yyyy-mm-dd")&amp;" is after the as-of date "&amp;TEXT(Config!$B$4,"yyyy-mm-dd")&amp;".","type is empty.","type "&amp;""""&amp;INDEX(Import_Staging!$C$2:$C$301,$H286)&amp;""&amp;""""&amp;" is not a movement type listed on Config.","sku is empty.","SKU "&amp;INDEX(Import_Staging!$D$2:$D$301,$H286)&amp;""&amp;" is not in Products.","supplier_id is empty; receipts need the supplier.","Supplier "&amp;INDEX(Import_Staging!$E$2:$E$301,$H286)&amp;""&amp;" is not in Suppliers.","lot is empty; every movement needs its lot code.","Lot "&amp;INDEX(Import_Staging!$F$2:$F$301,$H286)&amp;""&amp;" is not recorded for "&amp;INDEX(Import_Staging!$D$2:$D$301,$H286)&amp;""&amp;" in Batches.","expiry is empty; receipts need the company-supplied expiry date.","expiry "&amp;""""&amp;INDEX(Import_Staging!$G$2:$G$301,$H286)&amp;""&amp;""""&amp;" is not a real date in yyyy-mm-dd format.","qty is empty.","qty "&amp;""""&amp;INDEX(Import_Staging!$H$2:$H$301,$H286)&amp;""&amp;""""&amp;" is not a valid quantity"&amp;IF(INDEX(Import_Staging!$C$2:$C$301,$H286)&amp;""="",""," for a "&amp;LOWER(INDEX(Import_Staging!$C$2:$C$301,$H286)&amp;""))&amp;".","lot_status is empty; receipts need a lot status.","lot_status "&amp;""""&amp;INDEX(Import_Staging!$I$2:$I$301,$H286)&amp;""&amp;""""&amp;" is not a lot status allowed on receipt (Config).","reason is empty; adjustments need a reason.","source_link is empty; every movement needs a link to its source document.","This row would take recorded stock of "&amp;INDEX(Import_Staging!$D$2:$D$301,$H286)&amp;""&amp;" from "&amp;INDEX(Import_Staging!$R$2:$R$301,$H286)&amp;" to "&amp;INDEX(Import_Staging!$S$2:$S$301,$H286)&amp;"."),$E286))</f>
        <v/>
      </c>
      <c r="G286" s="67" t="str">
        <f>IF($A286="","",INDEX(Config!$F$39:$F$61,$J286))</f>
        <v/>
      </c>
      <c r="H286" s="66" t="str">
        <f>IF($A286="","",MATCH(COUNTIF(Import_Staging!$BS$2:$BS$301,"&lt;"&amp;$A286)+1,Import_Staging!$BR$2:$BR$301,0))</f>
        <v/>
      </c>
      <c r="I286" s="66" t="str">
        <f>IF($A286="","",$A286-INDEX(Import_Staging!$BQ$2:$BQ$301,$H286))</f>
        <v/>
      </c>
      <c r="J286" s="66" t="str">
        <f>IF($A286="","",MATCH($I286,INDEX(Import_Staging!$AT$2:$BP$301,$H286,0),0))</f>
        <v/>
      </c>
    </row>
    <row r="287">
      <c r="A287" s="65" t="str">
        <f>IF(282&lt;=$F$4,282,"")</f>
        <v/>
      </c>
      <c r="B287" s="65" t="str">
        <f>IF($A287="","",$H287+1)</f>
        <v/>
      </c>
      <c r="C287" s="66" t="str">
        <f>IF($A287="","",INDEX(Import_Staging!$A$2:$A$301,$H287)&amp;"")</f>
        <v/>
      </c>
      <c r="D287" s="66" t="str">
        <f>IF($A287="","",INDEX(Config!$C$39:$C$61,$J287))</f>
        <v/>
      </c>
      <c r="E287" s="66" t="str">
        <f>IF($A287="","",INDEX(Config!$D$39:$D$61,$J287))</f>
        <v/>
      </c>
      <c r="F287" s="67" t="str">
        <f>IF($A287="","",IFERROR(CHOOSE($J287,"movement_id is empty. Every row needs a unique movement ID.","movement_id "&amp;INDEX(Import_Staging!$A$2:$A$301,$H287)&amp;""&amp;" appears earlier in this file (row "&amp;IFERROR(MATCH(INDEX(Import_Staging!$A$2:$A$301,$H287),Import_Staging!$A$2:$A$301,0)+1,"?")&amp;"). Only the first row can be posted.","movement_id "&amp;INDEX(Import_Staging!$A$2:$A$301,$H287)&amp;""&amp;" is already in Inventory_Ledger. The ledger row was not changed.","date is empty.","date "&amp;""""&amp;INDEX(Import_Staging!$B$2:$B$301,$H287)&amp;""&amp;""""&amp;" is not a real date in yyyy-mm-dd format.","date "&amp;TEXT(INDEX(Import_Staging!$M$2:$M$301,$H287),"yyyy-mm-dd")&amp;" is after the as-of date "&amp;TEXT(Config!$B$4,"yyyy-mm-dd")&amp;".","type is empty.","type "&amp;""""&amp;INDEX(Import_Staging!$C$2:$C$301,$H287)&amp;""&amp;""""&amp;" is not a movement type listed on Config.","sku is empty.","SKU "&amp;INDEX(Import_Staging!$D$2:$D$301,$H287)&amp;""&amp;" is not in Products.","supplier_id is empty; receipts need the supplier.","Supplier "&amp;INDEX(Import_Staging!$E$2:$E$301,$H287)&amp;""&amp;" is not in Suppliers.","lot is empty; every movement needs its lot code.","Lot "&amp;INDEX(Import_Staging!$F$2:$F$301,$H287)&amp;""&amp;" is not recorded for "&amp;INDEX(Import_Staging!$D$2:$D$301,$H287)&amp;""&amp;" in Batches.","expiry is empty; receipts need the company-supplied expiry date.","expiry "&amp;""""&amp;INDEX(Import_Staging!$G$2:$G$301,$H287)&amp;""&amp;""""&amp;" is not a real date in yyyy-mm-dd format.","qty is empty.","qty "&amp;""""&amp;INDEX(Import_Staging!$H$2:$H$301,$H287)&amp;""&amp;""""&amp;" is not a valid quantity"&amp;IF(INDEX(Import_Staging!$C$2:$C$301,$H287)&amp;""="",""," for a "&amp;LOWER(INDEX(Import_Staging!$C$2:$C$301,$H287)&amp;""))&amp;".","lot_status is empty; receipts need a lot status.","lot_status "&amp;""""&amp;INDEX(Import_Staging!$I$2:$I$301,$H287)&amp;""&amp;""""&amp;" is not a lot status allowed on receipt (Config).","reason is empty; adjustments need a reason.","source_link is empty; every movement needs a link to its source document.","This row would take recorded stock of "&amp;INDEX(Import_Staging!$D$2:$D$301,$H287)&amp;""&amp;" from "&amp;INDEX(Import_Staging!$R$2:$R$301,$H287)&amp;" to "&amp;INDEX(Import_Staging!$S$2:$S$301,$H287)&amp;"."),$E287))</f>
        <v/>
      </c>
      <c r="G287" s="67" t="str">
        <f>IF($A287="","",INDEX(Config!$F$39:$F$61,$J287))</f>
        <v/>
      </c>
      <c r="H287" s="66" t="str">
        <f>IF($A287="","",MATCH(COUNTIF(Import_Staging!$BS$2:$BS$301,"&lt;"&amp;$A287)+1,Import_Staging!$BR$2:$BR$301,0))</f>
        <v/>
      </c>
      <c r="I287" s="66" t="str">
        <f>IF($A287="","",$A287-INDEX(Import_Staging!$BQ$2:$BQ$301,$H287))</f>
        <v/>
      </c>
      <c r="J287" s="66" t="str">
        <f>IF($A287="","",MATCH($I287,INDEX(Import_Staging!$AT$2:$BP$301,$H287,0),0))</f>
        <v/>
      </c>
    </row>
    <row r="288">
      <c r="A288" s="65" t="str">
        <f>IF(283&lt;=$F$4,283,"")</f>
        <v/>
      </c>
      <c r="B288" s="65" t="str">
        <f>IF($A288="","",$H288+1)</f>
        <v/>
      </c>
      <c r="C288" s="66" t="str">
        <f>IF($A288="","",INDEX(Import_Staging!$A$2:$A$301,$H288)&amp;"")</f>
        <v/>
      </c>
      <c r="D288" s="66" t="str">
        <f>IF($A288="","",INDEX(Config!$C$39:$C$61,$J288))</f>
        <v/>
      </c>
      <c r="E288" s="66" t="str">
        <f>IF($A288="","",INDEX(Config!$D$39:$D$61,$J288))</f>
        <v/>
      </c>
      <c r="F288" s="67" t="str">
        <f>IF($A288="","",IFERROR(CHOOSE($J288,"movement_id is empty. Every row needs a unique movement ID.","movement_id "&amp;INDEX(Import_Staging!$A$2:$A$301,$H288)&amp;""&amp;" appears earlier in this file (row "&amp;IFERROR(MATCH(INDEX(Import_Staging!$A$2:$A$301,$H288),Import_Staging!$A$2:$A$301,0)+1,"?")&amp;"). Only the first row can be posted.","movement_id "&amp;INDEX(Import_Staging!$A$2:$A$301,$H288)&amp;""&amp;" is already in Inventory_Ledger. The ledger row was not changed.","date is empty.","date "&amp;""""&amp;INDEX(Import_Staging!$B$2:$B$301,$H288)&amp;""&amp;""""&amp;" is not a real date in yyyy-mm-dd format.","date "&amp;TEXT(INDEX(Import_Staging!$M$2:$M$301,$H288),"yyyy-mm-dd")&amp;" is after the as-of date "&amp;TEXT(Config!$B$4,"yyyy-mm-dd")&amp;".","type is empty.","type "&amp;""""&amp;INDEX(Import_Staging!$C$2:$C$301,$H288)&amp;""&amp;""""&amp;" is not a movement type listed on Config.","sku is empty.","SKU "&amp;INDEX(Import_Staging!$D$2:$D$301,$H288)&amp;""&amp;" is not in Products.","supplier_id is empty; receipts need the supplier.","Supplier "&amp;INDEX(Import_Staging!$E$2:$E$301,$H288)&amp;""&amp;" is not in Suppliers.","lot is empty; every movement needs its lot code.","Lot "&amp;INDEX(Import_Staging!$F$2:$F$301,$H288)&amp;""&amp;" is not recorded for "&amp;INDEX(Import_Staging!$D$2:$D$301,$H288)&amp;""&amp;" in Batches.","expiry is empty; receipts need the company-supplied expiry date.","expiry "&amp;""""&amp;INDEX(Import_Staging!$G$2:$G$301,$H288)&amp;""&amp;""""&amp;" is not a real date in yyyy-mm-dd format.","qty is empty.","qty "&amp;""""&amp;INDEX(Import_Staging!$H$2:$H$301,$H288)&amp;""&amp;""""&amp;" is not a valid quantity"&amp;IF(INDEX(Import_Staging!$C$2:$C$301,$H288)&amp;""="",""," for a "&amp;LOWER(INDEX(Import_Staging!$C$2:$C$301,$H288)&amp;""))&amp;".","lot_status is empty; receipts need a lot status.","lot_status "&amp;""""&amp;INDEX(Import_Staging!$I$2:$I$301,$H288)&amp;""&amp;""""&amp;" is not a lot status allowed on receipt (Config).","reason is empty; adjustments need a reason.","source_link is empty; every movement needs a link to its source document.","This row would take recorded stock of "&amp;INDEX(Import_Staging!$D$2:$D$301,$H288)&amp;""&amp;" from "&amp;INDEX(Import_Staging!$R$2:$R$301,$H288)&amp;" to "&amp;INDEX(Import_Staging!$S$2:$S$301,$H288)&amp;"."),$E288))</f>
        <v/>
      </c>
      <c r="G288" s="67" t="str">
        <f>IF($A288="","",INDEX(Config!$F$39:$F$61,$J288))</f>
        <v/>
      </c>
      <c r="H288" s="66" t="str">
        <f>IF($A288="","",MATCH(COUNTIF(Import_Staging!$BS$2:$BS$301,"&lt;"&amp;$A288)+1,Import_Staging!$BR$2:$BR$301,0))</f>
        <v/>
      </c>
      <c r="I288" s="66" t="str">
        <f>IF($A288="","",$A288-INDEX(Import_Staging!$BQ$2:$BQ$301,$H288))</f>
        <v/>
      </c>
      <c r="J288" s="66" t="str">
        <f>IF($A288="","",MATCH($I288,INDEX(Import_Staging!$AT$2:$BP$301,$H288,0),0))</f>
        <v/>
      </c>
    </row>
    <row r="289">
      <c r="A289" s="65" t="str">
        <f>IF(284&lt;=$F$4,284,"")</f>
        <v/>
      </c>
      <c r="B289" s="65" t="str">
        <f>IF($A289="","",$H289+1)</f>
        <v/>
      </c>
      <c r="C289" s="66" t="str">
        <f>IF($A289="","",INDEX(Import_Staging!$A$2:$A$301,$H289)&amp;"")</f>
        <v/>
      </c>
      <c r="D289" s="66" t="str">
        <f>IF($A289="","",INDEX(Config!$C$39:$C$61,$J289))</f>
        <v/>
      </c>
      <c r="E289" s="66" t="str">
        <f>IF($A289="","",INDEX(Config!$D$39:$D$61,$J289))</f>
        <v/>
      </c>
      <c r="F289" s="67" t="str">
        <f>IF($A289="","",IFERROR(CHOOSE($J289,"movement_id is empty. Every row needs a unique movement ID.","movement_id "&amp;INDEX(Import_Staging!$A$2:$A$301,$H289)&amp;""&amp;" appears earlier in this file (row "&amp;IFERROR(MATCH(INDEX(Import_Staging!$A$2:$A$301,$H289),Import_Staging!$A$2:$A$301,0)+1,"?")&amp;"). Only the first row can be posted.","movement_id "&amp;INDEX(Import_Staging!$A$2:$A$301,$H289)&amp;""&amp;" is already in Inventory_Ledger. The ledger row was not changed.","date is empty.","date "&amp;""""&amp;INDEX(Import_Staging!$B$2:$B$301,$H289)&amp;""&amp;""""&amp;" is not a real date in yyyy-mm-dd format.","date "&amp;TEXT(INDEX(Import_Staging!$M$2:$M$301,$H289),"yyyy-mm-dd")&amp;" is after the as-of date "&amp;TEXT(Config!$B$4,"yyyy-mm-dd")&amp;".","type is empty.","type "&amp;""""&amp;INDEX(Import_Staging!$C$2:$C$301,$H289)&amp;""&amp;""""&amp;" is not a movement type listed on Config.","sku is empty.","SKU "&amp;INDEX(Import_Staging!$D$2:$D$301,$H289)&amp;""&amp;" is not in Products.","supplier_id is empty; receipts need the supplier.","Supplier "&amp;INDEX(Import_Staging!$E$2:$E$301,$H289)&amp;""&amp;" is not in Suppliers.","lot is empty; every movement needs its lot code.","Lot "&amp;INDEX(Import_Staging!$F$2:$F$301,$H289)&amp;""&amp;" is not recorded for "&amp;INDEX(Import_Staging!$D$2:$D$301,$H289)&amp;""&amp;" in Batches.","expiry is empty; receipts need the company-supplied expiry date.","expiry "&amp;""""&amp;INDEX(Import_Staging!$G$2:$G$301,$H289)&amp;""&amp;""""&amp;" is not a real date in yyyy-mm-dd format.","qty is empty.","qty "&amp;""""&amp;INDEX(Import_Staging!$H$2:$H$301,$H289)&amp;""&amp;""""&amp;" is not a valid quantity"&amp;IF(INDEX(Import_Staging!$C$2:$C$301,$H289)&amp;""="",""," for a "&amp;LOWER(INDEX(Import_Staging!$C$2:$C$301,$H289)&amp;""))&amp;".","lot_status is empty; receipts need a lot status.","lot_status "&amp;""""&amp;INDEX(Import_Staging!$I$2:$I$301,$H289)&amp;""&amp;""""&amp;" is not a lot status allowed on receipt (Config).","reason is empty; adjustments need a reason.","source_link is empty; every movement needs a link to its source document.","This row would take recorded stock of "&amp;INDEX(Import_Staging!$D$2:$D$301,$H289)&amp;""&amp;" from "&amp;INDEX(Import_Staging!$R$2:$R$301,$H289)&amp;" to "&amp;INDEX(Import_Staging!$S$2:$S$301,$H289)&amp;"."),$E289))</f>
        <v/>
      </c>
      <c r="G289" s="67" t="str">
        <f>IF($A289="","",INDEX(Config!$F$39:$F$61,$J289))</f>
        <v/>
      </c>
      <c r="H289" s="66" t="str">
        <f>IF($A289="","",MATCH(COUNTIF(Import_Staging!$BS$2:$BS$301,"&lt;"&amp;$A289)+1,Import_Staging!$BR$2:$BR$301,0))</f>
        <v/>
      </c>
      <c r="I289" s="66" t="str">
        <f>IF($A289="","",$A289-INDEX(Import_Staging!$BQ$2:$BQ$301,$H289))</f>
        <v/>
      </c>
      <c r="J289" s="66" t="str">
        <f>IF($A289="","",MATCH($I289,INDEX(Import_Staging!$AT$2:$BP$301,$H289,0),0))</f>
        <v/>
      </c>
    </row>
    <row r="290">
      <c r="A290" s="65" t="str">
        <f>IF(285&lt;=$F$4,285,"")</f>
        <v/>
      </c>
      <c r="B290" s="65" t="str">
        <f>IF($A290="","",$H290+1)</f>
        <v/>
      </c>
      <c r="C290" s="66" t="str">
        <f>IF($A290="","",INDEX(Import_Staging!$A$2:$A$301,$H290)&amp;"")</f>
        <v/>
      </c>
      <c r="D290" s="66" t="str">
        <f>IF($A290="","",INDEX(Config!$C$39:$C$61,$J290))</f>
        <v/>
      </c>
      <c r="E290" s="66" t="str">
        <f>IF($A290="","",INDEX(Config!$D$39:$D$61,$J290))</f>
        <v/>
      </c>
      <c r="F290" s="67" t="str">
        <f>IF($A290="","",IFERROR(CHOOSE($J290,"movement_id is empty. Every row needs a unique movement ID.","movement_id "&amp;INDEX(Import_Staging!$A$2:$A$301,$H290)&amp;""&amp;" appears earlier in this file (row "&amp;IFERROR(MATCH(INDEX(Import_Staging!$A$2:$A$301,$H290),Import_Staging!$A$2:$A$301,0)+1,"?")&amp;"). Only the first row can be posted.","movement_id "&amp;INDEX(Import_Staging!$A$2:$A$301,$H290)&amp;""&amp;" is already in Inventory_Ledger. The ledger row was not changed.","date is empty.","date "&amp;""""&amp;INDEX(Import_Staging!$B$2:$B$301,$H290)&amp;""&amp;""""&amp;" is not a real date in yyyy-mm-dd format.","date "&amp;TEXT(INDEX(Import_Staging!$M$2:$M$301,$H290),"yyyy-mm-dd")&amp;" is after the as-of date "&amp;TEXT(Config!$B$4,"yyyy-mm-dd")&amp;".","type is empty.","type "&amp;""""&amp;INDEX(Import_Staging!$C$2:$C$301,$H290)&amp;""&amp;""""&amp;" is not a movement type listed on Config.","sku is empty.","SKU "&amp;INDEX(Import_Staging!$D$2:$D$301,$H290)&amp;""&amp;" is not in Products.","supplier_id is empty; receipts need the supplier.","Supplier "&amp;INDEX(Import_Staging!$E$2:$E$301,$H290)&amp;""&amp;" is not in Suppliers.","lot is empty; every movement needs its lot code.","Lot "&amp;INDEX(Import_Staging!$F$2:$F$301,$H290)&amp;""&amp;" is not recorded for "&amp;INDEX(Import_Staging!$D$2:$D$301,$H290)&amp;""&amp;" in Batches.","expiry is empty; receipts need the company-supplied expiry date.","expiry "&amp;""""&amp;INDEX(Import_Staging!$G$2:$G$301,$H290)&amp;""&amp;""""&amp;" is not a real date in yyyy-mm-dd format.","qty is empty.","qty "&amp;""""&amp;INDEX(Import_Staging!$H$2:$H$301,$H290)&amp;""&amp;""""&amp;" is not a valid quantity"&amp;IF(INDEX(Import_Staging!$C$2:$C$301,$H290)&amp;""="",""," for a "&amp;LOWER(INDEX(Import_Staging!$C$2:$C$301,$H290)&amp;""))&amp;".","lot_status is empty; receipts need a lot status.","lot_status "&amp;""""&amp;INDEX(Import_Staging!$I$2:$I$301,$H290)&amp;""&amp;""""&amp;" is not a lot status allowed on receipt (Config).","reason is empty; adjustments need a reason.","source_link is empty; every movement needs a link to its source document.","This row would take recorded stock of "&amp;INDEX(Import_Staging!$D$2:$D$301,$H290)&amp;""&amp;" from "&amp;INDEX(Import_Staging!$R$2:$R$301,$H290)&amp;" to "&amp;INDEX(Import_Staging!$S$2:$S$301,$H290)&amp;"."),$E290))</f>
        <v/>
      </c>
      <c r="G290" s="67" t="str">
        <f>IF($A290="","",INDEX(Config!$F$39:$F$61,$J290))</f>
        <v/>
      </c>
      <c r="H290" s="66" t="str">
        <f>IF($A290="","",MATCH(COUNTIF(Import_Staging!$BS$2:$BS$301,"&lt;"&amp;$A290)+1,Import_Staging!$BR$2:$BR$301,0))</f>
        <v/>
      </c>
      <c r="I290" s="66" t="str">
        <f>IF($A290="","",$A290-INDEX(Import_Staging!$BQ$2:$BQ$301,$H290))</f>
        <v/>
      </c>
      <c r="J290" s="66" t="str">
        <f>IF($A290="","",MATCH($I290,INDEX(Import_Staging!$AT$2:$BP$301,$H290,0),0))</f>
        <v/>
      </c>
    </row>
    <row r="291">
      <c r="A291" s="65" t="str">
        <f>IF(286&lt;=$F$4,286,"")</f>
        <v/>
      </c>
      <c r="B291" s="65" t="str">
        <f>IF($A291="","",$H291+1)</f>
        <v/>
      </c>
      <c r="C291" s="66" t="str">
        <f>IF($A291="","",INDEX(Import_Staging!$A$2:$A$301,$H291)&amp;"")</f>
        <v/>
      </c>
      <c r="D291" s="66" t="str">
        <f>IF($A291="","",INDEX(Config!$C$39:$C$61,$J291))</f>
        <v/>
      </c>
      <c r="E291" s="66" t="str">
        <f>IF($A291="","",INDEX(Config!$D$39:$D$61,$J291))</f>
        <v/>
      </c>
      <c r="F291" s="67" t="str">
        <f>IF($A291="","",IFERROR(CHOOSE($J291,"movement_id is empty. Every row needs a unique movement ID.","movement_id "&amp;INDEX(Import_Staging!$A$2:$A$301,$H291)&amp;""&amp;" appears earlier in this file (row "&amp;IFERROR(MATCH(INDEX(Import_Staging!$A$2:$A$301,$H291),Import_Staging!$A$2:$A$301,0)+1,"?")&amp;"). Only the first row can be posted.","movement_id "&amp;INDEX(Import_Staging!$A$2:$A$301,$H291)&amp;""&amp;" is already in Inventory_Ledger. The ledger row was not changed.","date is empty.","date "&amp;""""&amp;INDEX(Import_Staging!$B$2:$B$301,$H291)&amp;""&amp;""""&amp;" is not a real date in yyyy-mm-dd format.","date "&amp;TEXT(INDEX(Import_Staging!$M$2:$M$301,$H291),"yyyy-mm-dd")&amp;" is after the as-of date "&amp;TEXT(Config!$B$4,"yyyy-mm-dd")&amp;".","type is empty.","type "&amp;""""&amp;INDEX(Import_Staging!$C$2:$C$301,$H291)&amp;""&amp;""""&amp;" is not a movement type listed on Config.","sku is empty.","SKU "&amp;INDEX(Import_Staging!$D$2:$D$301,$H291)&amp;""&amp;" is not in Products.","supplier_id is empty; receipts need the supplier.","Supplier "&amp;INDEX(Import_Staging!$E$2:$E$301,$H291)&amp;""&amp;" is not in Suppliers.","lot is empty; every movement needs its lot code.","Lot "&amp;INDEX(Import_Staging!$F$2:$F$301,$H291)&amp;""&amp;" is not recorded for "&amp;INDEX(Import_Staging!$D$2:$D$301,$H291)&amp;""&amp;" in Batches.","expiry is empty; receipts need the company-supplied expiry date.","expiry "&amp;""""&amp;INDEX(Import_Staging!$G$2:$G$301,$H291)&amp;""&amp;""""&amp;" is not a real date in yyyy-mm-dd format.","qty is empty.","qty "&amp;""""&amp;INDEX(Import_Staging!$H$2:$H$301,$H291)&amp;""&amp;""""&amp;" is not a valid quantity"&amp;IF(INDEX(Import_Staging!$C$2:$C$301,$H291)&amp;""="",""," for a "&amp;LOWER(INDEX(Import_Staging!$C$2:$C$301,$H291)&amp;""))&amp;".","lot_status is empty; receipts need a lot status.","lot_status "&amp;""""&amp;INDEX(Import_Staging!$I$2:$I$301,$H291)&amp;""&amp;""""&amp;" is not a lot status allowed on receipt (Config).","reason is empty; adjustments need a reason.","source_link is empty; every movement needs a link to its source document.","This row would take recorded stock of "&amp;INDEX(Import_Staging!$D$2:$D$301,$H291)&amp;""&amp;" from "&amp;INDEX(Import_Staging!$R$2:$R$301,$H291)&amp;" to "&amp;INDEX(Import_Staging!$S$2:$S$301,$H291)&amp;"."),$E291))</f>
        <v/>
      </c>
      <c r="G291" s="67" t="str">
        <f>IF($A291="","",INDEX(Config!$F$39:$F$61,$J291))</f>
        <v/>
      </c>
      <c r="H291" s="66" t="str">
        <f>IF($A291="","",MATCH(COUNTIF(Import_Staging!$BS$2:$BS$301,"&lt;"&amp;$A291)+1,Import_Staging!$BR$2:$BR$301,0))</f>
        <v/>
      </c>
      <c r="I291" s="66" t="str">
        <f>IF($A291="","",$A291-INDEX(Import_Staging!$BQ$2:$BQ$301,$H291))</f>
        <v/>
      </c>
      <c r="J291" s="66" t="str">
        <f>IF($A291="","",MATCH($I291,INDEX(Import_Staging!$AT$2:$BP$301,$H291,0),0))</f>
        <v/>
      </c>
    </row>
    <row r="292">
      <c r="A292" s="65" t="str">
        <f>IF(287&lt;=$F$4,287,"")</f>
        <v/>
      </c>
      <c r="B292" s="65" t="str">
        <f>IF($A292="","",$H292+1)</f>
        <v/>
      </c>
      <c r="C292" s="66" t="str">
        <f>IF($A292="","",INDEX(Import_Staging!$A$2:$A$301,$H292)&amp;"")</f>
        <v/>
      </c>
      <c r="D292" s="66" t="str">
        <f>IF($A292="","",INDEX(Config!$C$39:$C$61,$J292))</f>
        <v/>
      </c>
      <c r="E292" s="66" t="str">
        <f>IF($A292="","",INDEX(Config!$D$39:$D$61,$J292))</f>
        <v/>
      </c>
      <c r="F292" s="67" t="str">
        <f>IF($A292="","",IFERROR(CHOOSE($J292,"movement_id is empty. Every row needs a unique movement ID.","movement_id "&amp;INDEX(Import_Staging!$A$2:$A$301,$H292)&amp;""&amp;" appears earlier in this file (row "&amp;IFERROR(MATCH(INDEX(Import_Staging!$A$2:$A$301,$H292),Import_Staging!$A$2:$A$301,0)+1,"?")&amp;"). Only the first row can be posted.","movement_id "&amp;INDEX(Import_Staging!$A$2:$A$301,$H292)&amp;""&amp;" is already in Inventory_Ledger. The ledger row was not changed.","date is empty.","date "&amp;""""&amp;INDEX(Import_Staging!$B$2:$B$301,$H292)&amp;""&amp;""""&amp;" is not a real date in yyyy-mm-dd format.","date "&amp;TEXT(INDEX(Import_Staging!$M$2:$M$301,$H292),"yyyy-mm-dd")&amp;" is after the as-of date "&amp;TEXT(Config!$B$4,"yyyy-mm-dd")&amp;".","type is empty.","type "&amp;""""&amp;INDEX(Import_Staging!$C$2:$C$301,$H292)&amp;""&amp;""""&amp;" is not a movement type listed on Config.","sku is empty.","SKU "&amp;INDEX(Import_Staging!$D$2:$D$301,$H292)&amp;""&amp;" is not in Products.","supplier_id is empty; receipts need the supplier.","Supplier "&amp;INDEX(Import_Staging!$E$2:$E$301,$H292)&amp;""&amp;" is not in Suppliers.","lot is empty; every movement needs its lot code.","Lot "&amp;INDEX(Import_Staging!$F$2:$F$301,$H292)&amp;""&amp;" is not recorded for "&amp;INDEX(Import_Staging!$D$2:$D$301,$H292)&amp;""&amp;" in Batches.","expiry is empty; receipts need the company-supplied expiry date.","expiry "&amp;""""&amp;INDEX(Import_Staging!$G$2:$G$301,$H292)&amp;""&amp;""""&amp;" is not a real date in yyyy-mm-dd format.","qty is empty.","qty "&amp;""""&amp;INDEX(Import_Staging!$H$2:$H$301,$H292)&amp;""&amp;""""&amp;" is not a valid quantity"&amp;IF(INDEX(Import_Staging!$C$2:$C$301,$H292)&amp;""="",""," for a "&amp;LOWER(INDEX(Import_Staging!$C$2:$C$301,$H292)&amp;""))&amp;".","lot_status is empty; receipts need a lot status.","lot_status "&amp;""""&amp;INDEX(Import_Staging!$I$2:$I$301,$H292)&amp;""&amp;""""&amp;" is not a lot status allowed on receipt (Config).","reason is empty; adjustments need a reason.","source_link is empty; every movement needs a link to its source document.","This row would take recorded stock of "&amp;INDEX(Import_Staging!$D$2:$D$301,$H292)&amp;""&amp;" from "&amp;INDEX(Import_Staging!$R$2:$R$301,$H292)&amp;" to "&amp;INDEX(Import_Staging!$S$2:$S$301,$H292)&amp;"."),$E292))</f>
        <v/>
      </c>
      <c r="G292" s="67" t="str">
        <f>IF($A292="","",INDEX(Config!$F$39:$F$61,$J292))</f>
        <v/>
      </c>
      <c r="H292" s="66" t="str">
        <f>IF($A292="","",MATCH(COUNTIF(Import_Staging!$BS$2:$BS$301,"&lt;"&amp;$A292)+1,Import_Staging!$BR$2:$BR$301,0))</f>
        <v/>
      </c>
      <c r="I292" s="66" t="str">
        <f>IF($A292="","",$A292-INDEX(Import_Staging!$BQ$2:$BQ$301,$H292))</f>
        <v/>
      </c>
      <c r="J292" s="66" t="str">
        <f>IF($A292="","",MATCH($I292,INDEX(Import_Staging!$AT$2:$BP$301,$H292,0),0))</f>
        <v/>
      </c>
    </row>
    <row r="293">
      <c r="A293" s="65" t="str">
        <f>IF(288&lt;=$F$4,288,"")</f>
        <v/>
      </c>
      <c r="B293" s="65" t="str">
        <f>IF($A293="","",$H293+1)</f>
        <v/>
      </c>
      <c r="C293" s="66" t="str">
        <f>IF($A293="","",INDEX(Import_Staging!$A$2:$A$301,$H293)&amp;"")</f>
        <v/>
      </c>
      <c r="D293" s="66" t="str">
        <f>IF($A293="","",INDEX(Config!$C$39:$C$61,$J293))</f>
        <v/>
      </c>
      <c r="E293" s="66" t="str">
        <f>IF($A293="","",INDEX(Config!$D$39:$D$61,$J293))</f>
        <v/>
      </c>
      <c r="F293" s="67" t="str">
        <f>IF($A293="","",IFERROR(CHOOSE($J293,"movement_id is empty. Every row needs a unique movement ID.","movement_id "&amp;INDEX(Import_Staging!$A$2:$A$301,$H293)&amp;""&amp;" appears earlier in this file (row "&amp;IFERROR(MATCH(INDEX(Import_Staging!$A$2:$A$301,$H293),Import_Staging!$A$2:$A$301,0)+1,"?")&amp;"). Only the first row can be posted.","movement_id "&amp;INDEX(Import_Staging!$A$2:$A$301,$H293)&amp;""&amp;" is already in Inventory_Ledger. The ledger row was not changed.","date is empty.","date "&amp;""""&amp;INDEX(Import_Staging!$B$2:$B$301,$H293)&amp;""&amp;""""&amp;" is not a real date in yyyy-mm-dd format.","date "&amp;TEXT(INDEX(Import_Staging!$M$2:$M$301,$H293),"yyyy-mm-dd")&amp;" is after the as-of date "&amp;TEXT(Config!$B$4,"yyyy-mm-dd")&amp;".","type is empty.","type "&amp;""""&amp;INDEX(Import_Staging!$C$2:$C$301,$H293)&amp;""&amp;""""&amp;" is not a movement type listed on Config.","sku is empty.","SKU "&amp;INDEX(Import_Staging!$D$2:$D$301,$H293)&amp;""&amp;" is not in Products.","supplier_id is empty; receipts need the supplier.","Supplier "&amp;INDEX(Import_Staging!$E$2:$E$301,$H293)&amp;""&amp;" is not in Suppliers.","lot is empty; every movement needs its lot code.","Lot "&amp;INDEX(Import_Staging!$F$2:$F$301,$H293)&amp;""&amp;" is not recorded for "&amp;INDEX(Import_Staging!$D$2:$D$301,$H293)&amp;""&amp;" in Batches.","expiry is empty; receipts need the company-supplied expiry date.","expiry "&amp;""""&amp;INDEX(Import_Staging!$G$2:$G$301,$H293)&amp;""&amp;""""&amp;" is not a real date in yyyy-mm-dd format.","qty is empty.","qty "&amp;""""&amp;INDEX(Import_Staging!$H$2:$H$301,$H293)&amp;""&amp;""""&amp;" is not a valid quantity"&amp;IF(INDEX(Import_Staging!$C$2:$C$301,$H293)&amp;""="",""," for a "&amp;LOWER(INDEX(Import_Staging!$C$2:$C$301,$H293)&amp;""))&amp;".","lot_status is empty; receipts need a lot status.","lot_status "&amp;""""&amp;INDEX(Import_Staging!$I$2:$I$301,$H293)&amp;""&amp;""""&amp;" is not a lot status allowed on receipt (Config).","reason is empty; adjustments need a reason.","source_link is empty; every movement needs a link to its source document.","This row would take recorded stock of "&amp;INDEX(Import_Staging!$D$2:$D$301,$H293)&amp;""&amp;" from "&amp;INDEX(Import_Staging!$R$2:$R$301,$H293)&amp;" to "&amp;INDEX(Import_Staging!$S$2:$S$301,$H293)&amp;"."),$E293))</f>
        <v/>
      </c>
      <c r="G293" s="67" t="str">
        <f>IF($A293="","",INDEX(Config!$F$39:$F$61,$J293))</f>
        <v/>
      </c>
      <c r="H293" s="66" t="str">
        <f>IF($A293="","",MATCH(COUNTIF(Import_Staging!$BS$2:$BS$301,"&lt;"&amp;$A293)+1,Import_Staging!$BR$2:$BR$301,0))</f>
        <v/>
      </c>
      <c r="I293" s="66" t="str">
        <f>IF($A293="","",$A293-INDEX(Import_Staging!$BQ$2:$BQ$301,$H293))</f>
        <v/>
      </c>
      <c r="J293" s="66" t="str">
        <f>IF($A293="","",MATCH($I293,INDEX(Import_Staging!$AT$2:$BP$301,$H293,0),0))</f>
        <v/>
      </c>
    </row>
    <row r="294">
      <c r="A294" s="65" t="str">
        <f>IF(289&lt;=$F$4,289,"")</f>
        <v/>
      </c>
      <c r="B294" s="65" t="str">
        <f>IF($A294="","",$H294+1)</f>
        <v/>
      </c>
      <c r="C294" s="66" t="str">
        <f>IF($A294="","",INDEX(Import_Staging!$A$2:$A$301,$H294)&amp;"")</f>
        <v/>
      </c>
      <c r="D294" s="66" t="str">
        <f>IF($A294="","",INDEX(Config!$C$39:$C$61,$J294))</f>
        <v/>
      </c>
      <c r="E294" s="66" t="str">
        <f>IF($A294="","",INDEX(Config!$D$39:$D$61,$J294))</f>
        <v/>
      </c>
      <c r="F294" s="67" t="str">
        <f>IF($A294="","",IFERROR(CHOOSE($J294,"movement_id is empty. Every row needs a unique movement ID.","movement_id "&amp;INDEX(Import_Staging!$A$2:$A$301,$H294)&amp;""&amp;" appears earlier in this file (row "&amp;IFERROR(MATCH(INDEX(Import_Staging!$A$2:$A$301,$H294),Import_Staging!$A$2:$A$301,0)+1,"?")&amp;"). Only the first row can be posted.","movement_id "&amp;INDEX(Import_Staging!$A$2:$A$301,$H294)&amp;""&amp;" is already in Inventory_Ledger. The ledger row was not changed.","date is empty.","date "&amp;""""&amp;INDEX(Import_Staging!$B$2:$B$301,$H294)&amp;""&amp;""""&amp;" is not a real date in yyyy-mm-dd format.","date "&amp;TEXT(INDEX(Import_Staging!$M$2:$M$301,$H294),"yyyy-mm-dd")&amp;" is after the as-of date "&amp;TEXT(Config!$B$4,"yyyy-mm-dd")&amp;".","type is empty.","type "&amp;""""&amp;INDEX(Import_Staging!$C$2:$C$301,$H294)&amp;""&amp;""""&amp;" is not a movement type listed on Config.","sku is empty.","SKU "&amp;INDEX(Import_Staging!$D$2:$D$301,$H294)&amp;""&amp;" is not in Products.","supplier_id is empty; receipts need the supplier.","Supplier "&amp;INDEX(Import_Staging!$E$2:$E$301,$H294)&amp;""&amp;" is not in Suppliers.","lot is empty; every movement needs its lot code.","Lot "&amp;INDEX(Import_Staging!$F$2:$F$301,$H294)&amp;""&amp;" is not recorded for "&amp;INDEX(Import_Staging!$D$2:$D$301,$H294)&amp;""&amp;" in Batches.","expiry is empty; receipts need the company-supplied expiry date.","expiry "&amp;""""&amp;INDEX(Import_Staging!$G$2:$G$301,$H294)&amp;""&amp;""""&amp;" is not a real date in yyyy-mm-dd format.","qty is empty.","qty "&amp;""""&amp;INDEX(Import_Staging!$H$2:$H$301,$H294)&amp;""&amp;""""&amp;" is not a valid quantity"&amp;IF(INDEX(Import_Staging!$C$2:$C$301,$H294)&amp;""="",""," for a "&amp;LOWER(INDEX(Import_Staging!$C$2:$C$301,$H294)&amp;""))&amp;".","lot_status is empty; receipts need a lot status.","lot_status "&amp;""""&amp;INDEX(Import_Staging!$I$2:$I$301,$H294)&amp;""&amp;""""&amp;" is not a lot status allowed on receipt (Config).","reason is empty; adjustments need a reason.","source_link is empty; every movement needs a link to its source document.","This row would take recorded stock of "&amp;INDEX(Import_Staging!$D$2:$D$301,$H294)&amp;""&amp;" from "&amp;INDEX(Import_Staging!$R$2:$R$301,$H294)&amp;" to "&amp;INDEX(Import_Staging!$S$2:$S$301,$H294)&amp;"."),$E294))</f>
        <v/>
      </c>
      <c r="G294" s="67" t="str">
        <f>IF($A294="","",INDEX(Config!$F$39:$F$61,$J294))</f>
        <v/>
      </c>
      <c r="H294" s="66" t="str">
        <f>IF($A294="","",MATCH(COUNTIF(Import_Staging!$BS$2:$BS$301,"&lt;"&amp;$A294)+1,Import_Staging!$BR$2:$BR$301,0))</f>
        <v/>
      </c>
      <c r="I294" s="66" t="str">
        <f>IF($A294="","",$A294-INDEX(Import_Staging!$BQ$2:$BQ$301,$H294))</f>
        <v/>
      </c>
      <c r="J294" s="66" t="str">
        <f>IF($A294="","",MATCH($I294,INDEX(Import_Staging!$AT$2:$BP$301,$H294,0),0))</f>
        <v/>
      </c>
    </row>
    <row r="295">
      <c r="A295" s="65" t="str">
        <f>IF(290&lt;=$F$4,290,"")</f>
        <v/>
      </c>
      <c r="B295" s="65" t="str">
        <f>IF($A295="","",$H295+1)</f>
        <v/>
      </c>
      <c r="C295" s="66" t="str">
        <f>IF($A295="","",INDEX(Import_Staging!$A$2:$A$301,$H295)&amp;"")</f>
        <v/>
      </c>
      <c r="D295" s="66" t="str">
        <f>IF($A295="","",INDEX(Config!$C$39:$C$61,$J295))</f>
        <v/>
      </c>
      <c r="E295" s="66" t="str">
        <f>IF($A295="","",INDEX(Config!$D$39:$D$61,$J295))</f>
        <v/>
      </c>
      <c r="F295" s="67" t="str">
        <f>IF($A295="","",IFERROR(CHOOSE($J295,"movement_id is empty. Every row needs a unique movement ID.","movement_id "&amp;INDEX(Import_Staging!$A$2:$A$301,$H295)&amp;""&amp;" appears earlier in this file (row "&amp;IFERROR(MATCH(INDEX(Import_Staging!$A$2:$A$301,$H295),Import_Staging!$A$2:$A$301,0)+1,"?")&amp;"). Only the first row can be posted.","movement_id "&amp;INDEX(Import_Staging!$A$2:$A$301,$H295)&amp;""&amp;" is already in Inventory_Ledger. The ledger row was not changed.","date is empty.","date "&amp;""""&amp;INDEX(Import_Staging!$B$2:$B$301,$H295)&amp;""&amp;""""&amp;" is not a real date in yyyy-mm-dd format.","date "&amp;TEXT(INDEX(Import_Staging!$M$2:$M$301,$H295),"yyyy-mm-dd")&amp;" is after the as-of date "&amp;TEXT(Config!$B$4,"yyyy-mm-dd")&amp;".","type is empty.","type "&amp;""""&amp;INDEX(Import_Staging!$C$2:$C$301,$H295)&amp;""&amp;""""&amp;" is not a movement type listed on Config.","sku is empty.","SKU "&amp;INDEX(Import_Staging!$D$2:$D$301,$H295)&amp;""&amp;" is not in Products.","supplier_id is empty; receipts need the supplier.","Supplier "&amp;INDEX(Import_Staging!$E$2:$E$301,$H295)&amp;""&amp;" is not in Suppliers.","lot is empty; every movement needs its lot code.","Lot "&amp;INDEX(Import_Staging!$F$2:$F$301,$H295)&amp;""&amp;" is not recorded for "&amp;INDEX(Import_Staging!$D$2:$D$301,$H295)&amp;""&amp;" in Batches.","expiry is empty; receipts need the company-supplied expiry date.","expiry "&amp;""""&amp;INDEX(Import_Staging!$G$2:$G$301,$H295)&amp;""&amp;""""&amp;" is not a real date in yyyy-mm-dd format.","qty is empty.","qty "&amp;""""&amp;INDEX(Import_Staging!$H$2:$H$301,$H295)&amp;""&amp;""""&amp;" is not a valid quantity"&amp;IF(INDEX(Import_Staging!$C$2:$C$301,$H295)&amp;""="",""," for a "&amp;LOWER(INDEX(Import_Staging!$C$2:$C$301,$H295)&amp;""))&amp;".","lot_status is empty; receipts need a lot status.","lot_status "&amp;""""&amp;INDEX(Import_Staging!$I$2:$I$301,$H295)&amp;""&amp;""""&amp;" is not a lot status allowed on receipt (Config).","reason is empty; adjustments need a reason.","source_link is empty; every movement needs a link to its source document.","This row would take recorded stock of "&amp;INDEX(Import_Staging!$D$2:$D$301,$H295)&amp;""&amp;" from "&amp;INDEX(Import_Staging!$R$2:$R$301,$H295)&amp;" to "&amp;INDEX(Import_Staging!$S$2:$S$301,$H295)&amp;"."),$E295))</f>
        <v/>
      </c>
      <c r="G295" s="67" t="str">
        <f>IF($A295="","",INDEX(Config!$F$39:$F$61,$J295))</f>
        <v/>
      </c>
      <c r="H295" s="66" t="str">
        <f>IF($A295="","",MATCH(COUNTIF(Import_Staging!$BS$2:$BS$301,"&lt;"&amp;$A295)+1,Import_Staging!$BR$2:$BR$301,0))</f>
        <v/>
      </c>
      <c r="I295" s="66" t="str">
        <f>IF($A295="","",$A295-INDEX(Import_Staging!$BQ$2:$BQ$301,$H295))</f>
        <v/>
      </c>
      <c r="J295" s="66" t="str">
        <f>IF($A295="","",MATCH($I295,INDEX(Import_Staging!$AT$2:$BP$301,$H295,0),0))</f>
        <v/>
      </c>
    </row>
    <row r="296">
      <c r="A296" s="65" t="str">
        <f>IF(291&lt;=$F$4,291,"")</f>
        <v/>
      </c>
      <c r="B296" s="65" t="str">
        <f>IF($A296="","",$H296+1)</f>
        <v/>
      </c>
      <c r="C296" s="66" t="str">
        <f>IF($A296="","",INDEX(Import_Staging!$A$2:$A$301,$H296)&amp;"")</f>
        <v/>
      </c>
      <c r="D296" s="66" t="str">
        <f>IF($A296="","",INDEX(Config!$C$39:$C$61,$J296))</f>
        <v/>
      </c>
      <c r="E296" s="66" t="str">
        <f>IF($A296="","",INDEX(Config!$D$39:$D$61,$J296))</f>
        <v/>
      </c>
      <c r="F296" s="67" t="str">
        <f>IF($A296="","",IFERROR(CHOOSE($J296,"movement_id is empty. Every row needs a unique movement ID.","movement_id "&amp;INDEX(Import_Staging!$A$2:$A$301,$H296)&amp;""&amp;" appears earlier in this file (row "&amp;IFERROR(MATCH(INDEX(Import_Staging!$A$2:$A$301,$H296),Import_Staging!$A$2:$A$301,0)+1,"?")&amp;"). Only the first row can be posted.","movement_id "&amp;INDEX(Import_Staging!$A$2:$A$301,$H296)&amp;""&amp;" is already in Inventory_Ledger. The ledger row was not changed.","date is empty.","date "&amp;""""&amp;INDEX(Import_Staging!$B$2:$B$301,$H296)&amp;""&amp;""""&amp;" is not a real date in yyyy-mm-dd format.","date "&amp;TEXT(INDEX(Import_Staging!$M$2:$M$301,$H296),"yyyy-mm-dd")&amp;" is after the as-of date "&amp;TEXT(Config!$B$4,"yyyy-mm-dd")&amp;".","type is empty.","type "&amp;""""&amp;INDEX(Import_Staging!$C$2:$C$301,$H296)&amp;""&amp;""""&amp;" is not a movement type listed on Config.","sku is empty.","SKU "&amp;INDEX(Import_Staging!$D$2:$D$301,$H296)&amp;""&amp;" is not in Products.","supplier_id is empty; receipts need the supplier.","Supplier "&amp;INDEX(Import_Staging!$E$2:$E$301,$H296)&amp;""&amp;" is not in Suppliers.","lot is empty; every movement needs its lot code.","Lot "&amp;INDEX(Import_Staging!$F$2:$F$301,$H296)&amp;""&amp;" is not recorded for "&amp;INDEX(Import_Staging!$D$2:$D$301,$H296)&amp;""&amp;" in Batches.","expiry is empty; receipts need the company-supplied expiry date.","expiry "&amp;""""&amp;INDEX(Import_Staging!$G$2:$G$301,$H296)&amp;""&amp;""""&amp;" is not a real date in yyyy-mm-dd format.","qty is empty.","qty "&amp;""""&amp;INDEX(Import_Staging!$H$2:$H$301,$H296)&amp;""&amp;""""&amp;" is not a valid quantity"&amp;IF(INDEX(Import_Staging!$C$2:$C$301,$H296)&amp;""="",""," for a "&amp;LOWER(INDEX(Import_Staging!$C$2:$C$301,$H296)&amp;""))&amp;".","lot_status is empty; receipts need a lot status.","lot_status "&amp;""""&amp;INDEX(Import_Staging!$I$2:$I$301,$H296)&amp;""&amp;""""&amp;" is not a lot status allowed on receipt (Config).","reason is empty; adjustments need a reason.","source_link is empty; every movement needs a link to its source document.","This row would take recorded stock of "&amp;INDEX(Import_Staging!$D$2:$D$301,$H296)&amp;""&amp;" from "&amp;INDEX(Import_Staging!$R$2:$R$301,$H296)&amp;" to "&amp;INDEX(Import_Staging!$S$2:$S$301,$H296)&amp;"."),$E296))</f>
        <v/>
      </c>
      <c r="G296" s="67" t="str">
        <f>IF($A296="","",INDEX(Config!$F$39:$F$61,$J296))</f>
        <v/>
      </c>
      <c r="H296" s="66" t="str">
        <f>IF($A296="","",MATCH(COUNTIF(Import_Staging!$BS$2:$BS$301,"&lt;"&amp;$A296)+1,Import_Staging!$BR$2:$BR$301,0))</f>
        <v/>
      </c>
      <c r="I296" s="66" t="str">
        <f>IF($A296="","",$A296-INDEX(Import_Staging!$BQ$2:$BQ$301,$H296))</f>
        <v/>
      </c>
      <c r="J296" s="66" t="str">
        <f>IF($A296="","",MATCH($I296,INDEX(Import_Staging!$AT$2:$BP$301,$H296,0),0))</f>
        <v/>
      </c>
    </row>
    <row r="297">
      <c r="A297" s="65" t="str">
        <f>IF(292&lt;=$F$4,292,"")</f>
        <v/>
      </c>
      <c r="B297" s="65" t="str">
        <f>IF($A297="","",$H297+1)</f>
        <v/>
      </c>
      <c r="C297" s="66" t="str">
        <f>IF($A297="","",INDEX(Import_Staging!$A$2:$A$301,$H297)&amp;"")</f>
        <v/>
      </c>
      <c r="D297" s="66" t="str">
        <f>IF($A297="","",INDEX(Config!$C$39:$C$61,$J297))</f>
        <v/>
      </c>
      <c r="E297" s="66" t="str">
        <f>IF($A297="","",INDEX(Config!$D$39:$D$61,$J297))</f>
        <v/>
      </c>
      <c r="F297" s="67" t="str">
        <f>IF($A297="","",IFERROR(CHOOSE($J297,"movement_id is empty. Every row needs a unique movement ID.","movement_id "&amp;INDEX(Import_Staging!$A$2:$A$301,$H297)&amp;""&amp;" appears earlier in this file (row "&amp;IFERROR(MATCH(INDEX(Import_Staging!$A$2:$A$301,$H297),Import_Staging!$A$2:$A$301,0)+1,"?")&amp;"). Only the first row can be posted.","movement_id "&amp;INDEX(Import_Staging!$A$2:$A$301,$H297)&amp;""&amp;" is already in Inventory_Ledger. The ledger row was not changed.","date is empty.","date "&amp;""""&amp;INDEX(Import_Staging!$B$2:$B$301,$H297)&amp;""&amp;""""&amp;" is not a real date in yyyy-mm-dd format.","date "&amp;TEXT(INDEX(Import_Staging!$M$2:$M$301,$H297),"yyyy-mm-dd")&amp;" is after the as-of date "&amp;TEXT(Config!$B$4,"yyyy-mm-dd")&amp;".","type is empty.","type "&amp;""""&amp;INDEX(Import_Staging!$C$2:$C$301,$H297)&amp;""&amp;""""&amp;" is not a movement type listed on Config.","sku is empty.","SKU "&amp;INDEX(Import_Staging!$D$2:$D$301,$H297)&amp;""&amp;" is not in Products.","supplier_id is empty; receipts need the supplier.","Supplier "&amp;INDEX(Import_Staging!$E$2:$E$301,$H297)&amp;""&amp;" is not in Suppliers.","lot is empty; every movement needs its lot code.","Lot "&amp;INDEX(Import_Staging!$F$2:$F$301,$H297)&amp;""&amp;" is not recorded for "&amp;INDEX(Import_Staging!$D$2:$D$301,$H297)&amp;""&amp;" in Batches.","expiry is empty; receipts need the company-supplied expiry date.","expiry "&amp;""""&amp;INDEX(Import_Staging!$G$2:$G$301,$H297)&amp;""&amp;""""&amp;" is not a real date in yyyy-mm-dd format.","qty is empty.","qty "&amp;""""&amp;INDEX(Import_Staging!$H$2:$H$301,$H297)&amp;""&amp;""""&amp;" is not a valid quantity"&amp;IF(INDEX(Import_Staging!$C$2:$C$301,$H297)&amp;""="",""," for a "&amp;LOWER(INDEX(Import_Staging!$C$2:$C$301,$H297)&amp;""))&amp;".","lot_status is empty; receipts need a lot status.","lot_status "&amp;""""&amp;INDEX(Import_Staging!$I$2:$I$301,$H297)&amp;""&amp;""""&amp;" is not a lot status allowed on receipt (Config).","reason is empty; adjustments need a reason.","source_link is empty; every movement needs a link to its source document.","This row would take recorded stock of "&amp;INDEX(Import_Staging!$D$2:$D$301,$H297)&amp;""&amp;" from "&amp;INDEX(Import_Staging!$R$2:$R$301,$H297)&amp;" to "&amp;INDEX(Import_Staging!$S$2:$S$301,$H297)&amp;"."),$E297))</f>
        <v/>
      </c>
      <c r="G297" s="67" t="str">
        <f>IF($A297="","",INDEX(Config!$F$39:$F$61,$J297))</f>
        <v/>
      </c>
      <c r="H297" s="66" t="str">
        <f>IF($A297="","",MATCH(COUNTIF(Import_Staging!$BS$2:$BS$301,"&lt;"&amp;$A297)+1,Import_Staging!$BR$2:$BR$301,0))</f>
        <v/>
      </c>
      <c r="I297" s="66" t="str">
        <f>IF($A297="","",$A297-INDEX(Import_Staging!$BQ$2:$BQ$301,$H297))</f>
        <v/>
      </c>
      <c r="J297" s="66" t="str">
        <f>IF($A297="","",MATCH($I297,INDEX(Import_Staging!$AT$2:$BP$301,$H297,0),0))</f>
        <v/>
      </c>
    </row>
    <row r="298">
      <c r="A298" s="65" t="str">
        <f>IF(293&lt;=$F$4,293,"")</f>
        <v/>
      </c>
      <c r="B298" s="65" t="str">
        <f>IF($A298="","",$H298+1)</f>
        <v/>
      </c>
      <c r="C298" s="66" t="str">
        <f>IF($A298="","",INDEX(Import_Staging!$A$2:$A$301,$H298)&amp;"")</f>
        <v/>
      </c>
      <c r="D298" s="66" t="str">
        <f>IF($A298="","",INDEX(Config!$C$39:$C$61,$J298))</f>
        <v/>
      </c>
      <c r="E298" s="66" t="str">
        <f>IF($A298="","",INDEX(Config!$D$39:$D$61,$J298))</f>
        <v/>
      </c>
      <c r="F298" s="67" t="str">
        <f>IF($A298="","",IFERROR(CHOOSE($J298,"movement_id is empty. Every row needs a unique movement ID.","movement_id "&amp;INDEX(Import_Staging!$A$2:$A$301,$H298)&amp;""&amp;" appears earlier in this file (row "&amp;IFERROR(MATCH(INDEX(Import_Staging!$A$2:$A$301,$H298),Import_Staging!$A$2:$A$301,0)+1,"?")&amp;"). Only the first row can be posted.","movement_id "&amp;INDEX(Import_Staging!$A$2:$A$301,$H298)&amp;""&amp;" is already in Inventory_Ledger. The ledger row was not changed.","date is empty.","date "&amp;""""&amp;INDEX(Import_Staging!$B$2:$B$301,$H298)&amp;""&amp;""""&amp;" is not a real date in yyyy-mm-dd format.","date "&amp;TEXT(INDEX(Import_Staging!$M$2:$M$301,$H298),"yyyy-mm-dd")&amp;" is after the as-of date "&amp;TEXT(Config!$B$4,"yyyy-mm-dd")&amp;".","type is empty.","type "&amp;""""&amp;INDEX(Import_Staging!$C$2:$C$301,$H298)&amp;""&amp;""""&amp;" is not a movement type listed on Config.","sku is empty.","SKU "&amp;INDEX(Import_Staging!$D$2:$D$301,$H298)&amp;""&amp;" is not in Products.","supplier_id is empty; receipts need the supplier.","Supplier "&amp;INDEX(Import_Staging!$E$2:$E$301,$H298)&amp;""&amp;" is not in Suppliers.","lot is empty; every movement needs its lot code.","Lot "&amp;INDEX(Import_Staging!$F$2:$F$301,$H298)&amp;""&amp;" is not recorded for "&amp;INDEX(Import_Staging!$D$2:$D$301,$H298)&amp;""&amp;" in Batches.","expiry is empty; receipts need the company-supplied expiry date.","expiry "&amp;""""&amp;INDEX(Import_Staging!$G$2:$G$301,$H298)&amp;""&amp;""""&amp;" is not a real date in yyyy-mm-dd format.","qty is empty.","qty "&amp;""""&amp;INDEX(Import_Staging!$H$2:$H$301,$H298)&amp;""&amp;""""&amp;" is not a valid quantity"&amp;IF(INDEX(Import_Staging!$C$2:$C$301,$H298)&amp;""="",""," for a "&amp;LOWER(INDEX(Import_Staging!$C$2:$C$301,$H298)&amp;""))&amp;".","lot_status is empty; receipts need a lot status.","lot_status "&amp;""""&amp;INDEX(Import_Staging!$I$2:$I$301,$H298)&amp;""&amp;""""&amp;" is not a lot status allowed on receipt (Config).","reason is empty; adjustments need a reason.","source_link is empty; every movement needs a link to its source document.","This row would take recorded stock of "&amp;INDEX(Import_Staging!$D$2:$D$301,$H298)&amp;""&amp;" from "&amp;INDEX(Import_Staging!$R$2:$R$301,$H298)&amp;" to "&amp;INDEX(Import_Staging!$S$2:$S$301,$H298)&amp;"."),$E298))</f>
        <v/>
      </c>
      <c r="G298" s="67" t="str">
        <f>IF($A298="","",INDEX(Config!$F$39:$F$61,$J298))</f>
        <v/>
      </c>
      <c r="H298" s="66" t="str">
        <f>IF($A298="","",MATCH(COUNTIF(Import_Staging!$BS$2:$BS$301,"&lt;"&amp;$A298)+1,Import_Staging!$BR$2:$BR$301,0))</f>
        <v/>
      </c>
      <c r="I298" s="66" t="str">
        <f>IF($A298="","",$A298-INDEX(Import_Staging!$BQ$2:$BQ$301,$H298))</f>
        <v/>
      </c>
      <c r="J298" s="66" t="str">
        <f>IF($A298="","",MATCH($I298,INDEX(Import_Staging!$AT$2:$BP$301,$H298,0),0))</f>
        <v/>
      </c>
    </row>
    <row r="299">
      <c r="A299" s="65" t="str">
        <f>IF(294&lt;=$F$4,294,"")</f>
        <v/>
      </c>
      <c r="B299" s="65" t="str">
        <f>IF($A299="","",$H299+1)</f>
        <v/>
      </c>
      <c r="C299" s="66" t="str">
        <f>IF($A299="","",INDEX(Import_Staging!$A$2:$A$301,$H299)&amp;"")</f>
        <v/>
      </c>
      <c r="D299" s="66" t="str">
        <f>IF($A299="","",INDEX(Config!$C$39:$C$61,$J299))</f>
        <v/>
      </c>
      <c r="E299" s="66" t="str">
        <f>IF($A299="","",INDEX(Config!$D$39:$D$61,$J299))</f>
        <v/>
      </c>
      <c r="F299" s="67" t="str">
        <f>IF($A299="","",IFERROR(CHOOSE($J299,"movement_id is empty. Every row needs a unique movement ID.","movement_id "&amp;INDEX(Import_Staging!$A$2:$A$301,$H299)&amp;""&amp;" appears earlier in this file (row "&amp;IFERROR(MATCH(INDEX(Import_Staging!$A$2:$A$301,$H299),Import_Staging!$A$2:$A$301,0)+1,"?")&amp;"). Only the first row can be posted.","movement_id "&amp;INDEX(Import_Staging!$A$2:$A$301,$H299)&amp;""&amp;" is already in Inventory_Ledger. The ledger row was not changed.","date is empty.","date "&amp;""""&amp;INDEX(Import_Staging!$B$2:$B$301,$H299)&amp;""&amp;""""&amp;" is not a real date in yyyy-mm-dd format.","date "&amp;TEXT(INDEX(Import_Staging!$M$2:$M$301,$H299),"yyyy-mm-dd")&amp;" is after the as-of date "&amp;TEXT(Config!$B$4,"yyyy-mm-dd")&amp;".","type is empty.","type "&amp;""""&amp;INDEX(Import_Staging!$C$2:$C$301,$H299)&amp;""&amp;""""&amp;" is not a movement type listed on Config.","sku is empty.","SKU "&amp;INDEX(Import_Staging!$D$2:$D$301,$H299)&amp;""&amp;" is not in Products.","supplier_id is empty; receipts need the supplier.","Supplier "&amp;INDEX(Import_Staging!$E$2:$E$301,$H299)&amp;""&amp;" is not in Suppliers.","lot is empty; every movement needs its lot code.","Lot "&amp;INDEX(Import_Staging!$F$2:$F$301,$H299)&amp;""&amp;" is not recorded for "&amp;INDEX(Import_Staging!$D$2:$D$301,$H299)&amp;""&amp;" in Batches.","expiry is empty; receipts need the company-supplied expiry date.","expiry "&amp;""""&amp;INDEX(Import_Staging!$G$2:$G$301,$H299)&amp;""&amp;""""&amp;" is not a real date in yyyy-mm-dd format.","qty is empty.","qty "&amp;""""&amp;INDEX(Import_Staging!$H$2:$H$301,$H299)&amp;""&amp;""""&amp;" is not a valid quantity"&amp;IF(INDEX(Import_Staging!$C$2:$C$301,$H299)&amp;""="",""," for a "&amp;LOWER(INDEX(Import_Staging!$C$2:$C$301,$H299)&amp;""))&amp;".","lot_status is empty; receipts need a lot status.","lot_status "&amp;""""&amp;INDEX(Import_Staging!$I$2:$I$301,$H299)&amp;""&amp;""""&amp;" is not a lot status allowed on receipt (Config).","reason is empty; adjustments need a reason.","source_link is empty; every movement needs a link to its source document.","This row would take recorded stock of "&amp;INDEX(Import_Staging!$D$2:$D$301,$H299)&amp;""&amp;" from "&amp;INDEX(Import_Staging!$R$2:$R$301,$H299)&amp;" to "&amp;INDEX(Import_Staging!$S$2:$S$301,$H299)&amp;"."),$E299))</f>
        <v/>
      </c>
      <c r="G299" s="67" t="str">
        <f>IF($A299="","",INDEX(Config!$F$39:$F$61,$J299))</f>
        <v/>
      </c>
      <c r="H299" s="66" t="str">
        <f>IF($A299="","",MATCH(COUNTIF(Import_Staging!$BS$2:$BS$301,"&lt;"&amp;$A299)+1,Import_Staging!$BR$2:$BR$301,0))</f>
        <v/>
      </c>
      <c r="I299" s="66" t="str">
        <f>IF($A299="","",$A299-INDEX(Import_Staging!$BQ$2:$BQ$301,$H299))</f>
        <v/>
      </c>
      <c r="J299" s="66" t="str">
        <f>IF($A299="","",MATCH($I299,INDEX(Import_Staging!$AT$2:$BP$301,$H299,0),0))</f>
        <v/>
      </c>
    </row>
    <row r="300">
      <c r="A300" s="65" t="str">
        <f>IF(295&lt;=$F$4,295,"")</f>
        <v/>
      </c>
      <c r="B300" s="65" t="str">
        <f>IF($A300="","",$H300+1)</f>
        <v/>
      </c>
      <c r="C300" s="66" t="str">
        <f>IF($A300="","",INDEX(Import_Staging!$A$2:$A$301,$H300)&amp;"")</f>
        <v/>
      </c>
      <c r="D300" s="66" t="str">
        <f>IF($A300="","",INDEX(Config!$C$39:$C$61,$J300))</f>
        <v/>
      </c>
      <c r="E300" s="66" t="str">
        <f>IF($A300="","",INDEX(Config!$D$39:$D$61,$J300))</f>
        <v/>
      </c>
      <c r="F300" s="67" t="str">
        <f>IF($A300="","",IFERROR(CHOOSE($J300,"movement_id is empty. Every row needs a unique movement ID.","movement_id "&amp;INDEX(Import_Staging!$A$2:$A$301,$H300)&amp;""&amp;" appears earlier in this file (row "&amp;IFERROR(MATCH(INDEX(Import_Staging!$A$2:$A$301,$H300),Import_Staging!$A$2:$A$301,0)+1,"?")&amp;"). Only the first row can be posted.","movement_id "&amp;INDEX(Import_Staging!$A$2:$A$301,$H300)&amp;""&amp;" is already in Inventory_Ledger. The ledger row was not changed.","date is empty.","date "&amp;""""&amp;INDEX(Import_Staging!$B$2:$B$301,$H300)&amp;""&amp;""""&amp;" is not a real date in yyyy-mm-dd format.","date "&amp;TEXT(INDEX(Import_Staging!$M$2:$M$301,$H300),"yyyy-mm-dd")&amp;" is after the as-of date "&amp;TEXT(Config!$B$4,"yyyy-mm-dd")&amp;".","type is empty.","type "&amp;""""&amp;INDEX(Import_Staging!$C$2:$C$301,$H300)&amp;""&amp;""""&amp;" is not a movement type listed on Config.","sku is empty.","SKU "&amp;INDEX(Import_Staging!$D$2:$D$301,$H300)&amp;""&amp;" is not in Products.","supplier_id is empty; receipts need the supplier.","Supplier "&amp;INDEX(Import_Staging!$E$2:$E$301,$H300)&amp;""&amp;" is not in Suppliers.","lot is empty; every movement needs its lot code.","Lot "&amp;INDEX(Import_Staging!$F$2:$F$301,$H300)&amp;""&amp;" is not recorded for "&amp;INDEX(Import_Staging!$D$2:$D$301,$H300)&amp;""&amp;" in Batches.","expiry is empty; receipts need the company-supplied expiry date.","expiry "&amp;""""&amp;INDEX(Import_Staging!$G$2:$G$301,$H300)&amp;""&amp;""""&amp;" is not a real date in yyyy-mm-dd format.","qty is empty.","qty "&amp;""""&amp;INDEX(Import_Staging!$H$2:$H$301,$H300)&amp;""&amp;""""&amp;" is not a valid quantity"&amp;IF(INDEX(Import_Staging!$C$2:$C$301,$H300)&amp;""="",""," for a "&amp;LOWER(INDEX(Import_Staging!$C$2:$C$301,$H300)&amp;""))&amp;".","lot_status is empty; receipts need a lot status.","lot_status "&amp;""""&amp;INDEX(Import_Staging!$I$2:$I$301,$H300)&amp;""&amp;""""&amp;" is not a lot status allowed on receipt (Config).","reason is empty; adjustments need a reason.","source_link is empty; every movement needs a link to its source document.","This row would take recorded stock of "&amp;INDEX(Import_Staging!$D$2:$D$301,$H300)&amp;""&amp;" from "&amp;INDEX(Import_Staging!$R$2:$R$301,$H300)&amp;" to "&amp;INDEX(Import_Staging!$S$2:$S$301,$H300)&amp;"."),$E300))</f>
        <v/>
      </c>
      <c r="G300" s="67" t="str">
        <f>IF($A300="","",INDEX(Config!$F$39:$F$61,$J300))</f>
        <v/>
      </c>
      <c r="H300" s="66" t="str">
        <f>IF($A300="","",MATCH(COUNTIF(Import_Staging!$BS$2:$BS$301,"&lt;"&amp;$A300)+1,Import_Staging!$BR$2:$BR$301,0))</f>
        <v/>
      </c>
      <c r="I300" s="66" t="str">
        <f>IF($A300="","",$A300-INDEX(Import_Staging!$BQ$2:$BQ$301,$H300))</f>
        <v/>
      </c>
      <c r="J300" s="66" t="str">
        <f>IF($A300="","",MATCH($I300,INDEX(Import_Staging!$AT$2:$BP$301,$H300,0),0))</f>
        <v/>
      </c>
    </row>
    <row r="301">
      <c r="A301" s="65" t="str">
        <f>IF(296&lt;=$F$4,296,"")</f>
        <v/>
      </c>
      <c r="B301" s="65" t="str">
        <f>IF($A301="","",$H301+1)</f>
        <v/>
      </c>
      <c r="C301" s="66" t="str">
        <f>IF($A301="","",INDEX(Import_Staging!$A$2:$A$301,$H301)&amp;"")</f>
        <v/>
      </c>
      <c r="D301" s="66" t="str">
        <f>IF($A301="","",INDEX(Config!$C$39:$C$61,$J301))</f>
        <v/>
      </c>
      <c r="E301" s="66" t="str">
        <f>IF($A301="","",INDEX(Config!$D$39:$D$61,$J301))</f>
        <v/>
      </c>
      <c r="F301" s="67" t="str">
        <f>IF($A301="","",IFERROR(CHOOSE($J301,"movement_id is empty. Every row needs a unique movement ID.","movement_id "&amp;INDEX(Import_Staging!$A$2:$A$301,$H301)&amp;""&amp;" appears earlier in this file (row "&amp;IFERROR(MATCH(INDEX(Import_Staging!$A$2:$A$301,$H301),Import_Staging!$A$2:$A$301,0)+1,"?")&amp;"). Only the first row can be posted.","movement_id "&amp;INDEX(Import_Staging!$A$2:$A$301,$H301)&amp;""&amp;" is already in Inventory_Ledger. The ledger row was not changed.","date is empty.","date "&amp;""""&amp;INDEX(Import_Staging!$B$2:$B$301,$H301)&amp;""&amp;""""&amp;" is not a real date in yyyy-mm-dd format.","date "&amp;TEXT(INDEX(Import_Staging!$M$2:$M$301,$H301),"yyyy-mm-dd")&amp;" is after the as-of date "&amp;TEXT(Config!$B$4,"yyyy-mm-dd")&amp;".","type is empty.","type "&amp;""""&amp;INDEX(Import_Staging!$C$2:$C$301,$H301)&amp;""&amp;""""&amp;" is not a movement type listed on Config.","sku is empty.","SKU "&amp;INDEX(Import_Staging!$D$2:$D$301,$H301)&amp;""&amp;" is not in Products.","supplier_id is empty; receipts need the supplier.","Supplier "&amp;INDEX(Import_Staging!$E$2:$E$301,$H301)&amp;""&amp;" is not in Suppliers.","lot is empty; every movement needs its lot code.","Lot "&amp;INDEX(Import_Staging!$F$2:$F$301,$H301)&amp;""&amp;" is not recorded for "&amp;INDEX(Import_Staging!$D$2:$D$301,$H301)&amp;""&amp;" in Batches.","expiry is empty; receipts need the company-supplied expiry date.","expiry "&amp;""""&amp;INDEX(Import_Staging!$G$2:$G$301,$H301)&amp;""&amp;""""&amp;" is not a real date in yyyy-mm-dd format.","qty is empty.","qty "&amp;""""&amp;INDEX(Import_Staging!$H$2:$H$301,$H301)&amp;""&amp;""""&amp;" is not a valid quantity"&amp;IF(INDEX(Import_Staging!$C$2:$C$301,$H301)&amp;""="",""," for a "&amp;LOWER(INDEX(Import_Staging!$C$2:$C$301,$H301)&amp;""))&amp;".","lot_status is empty; receipts need a lot status.","lot_status "&amp;""""&amp;INDEX(Import_Staging!$I$2:$I$301,$H301)&amp;""&amp;""""&amp;" is not a lot status allowed on receipt (Config).","reason is empty; adjustments need a reason.","source_link is empty; every movement needs a link to its source document.","This row would take recorded stock of "&amp;INDEX(Import_Staging!$D$2:$D$301,$H301)&amp;""&amp;" from "&amp;INDEX(Import_Staging!$R$2:$R$301,$H301)&amp;" to "&amp;INDEX(Import_Staging!$S$2:$S$301,$H301)&amp;"."),$E301))</f>
        <v/>
      </c>
      <c r="G301" s="67" t="str">
        <f>IF($A301="","",INDEX(Config!$F$39:$F$61,$J301))</f>
        <v/>
      </c>
      <c r="H301" s="66" t="str">
        <f>IF($A301="","",MATCH(COUNTIF(Import_Staging!$BS$2:$BS$301,"&lt;"&amp;$A301)+1,Import_Staging!$BR$2:$BR$301,0))</f>
        <v/>
      </c>
      <c r="I301" s="66" t="str">
        <f>IF($A301="","",$A301-INDEX(Import_Staging!$BQ$2:$BQ$301,$H301))</f>
        <v/>
      </c>
      <c r="J301" s="66" t="str">
        <f>IF($A301="","",MATCH($I301,INDEX(Import_Staging!$AT$2:$BP$301,$H301,0),0))</f>
        <v/>
      </c>
    </row>
    <row r="302">
      <c r="A302" s="65" t="str">
        <f>IF(297&lt;=$F$4,297,"")</f>
        <v/>
      </c>
      <c r="B302" s="65" t="str">
        <f>IF($A302="","",$H302+1)</f>
        <v/>
      </c>
      <c r="C302" s="66" t="str">
        <f>IF($A302="","",INDEX(Import_Staging!$A$2:$A$301,$H302)&amp;"")</f>
        <v/>
      </c>
      <c r="D302" s="66" t="str">
        <f>IF($A302="","",INDEX(Config!$C$39:$C$61,$J302))</f>
        <v/>
      </c>
      <c r="E302" s="66" t="str">
        <f>IF($A302="","",INDEX(Config!$D$39:$D$61,$J302))</f>
        <v/>
      </c>
      <c r="F302" s="67" t="str">
        <f>IF($A302="","",IFERROR(CHOOSE($J302,"movement_id is empty. Every row needs a unique movement ID.","movement_id "&amp;INDEX(Import_Staging!$A$2:$A$301,$H302)&amp;""&amp;" appears earlier in this file (row "&amp;IFERROR(MATCH(INDEX(Import_Staging!$A$2:$A$301,$H302),Import_Staging!$A$2:$A$301,0)+1,"?")&amp;"). Only the first row can be posted.","movement_id "&amp;INDEX(Import_Staging!$A$2:$A$301,$H302)&amp;""&amp;" is already in Inventory_Ledger. The ledger row was not changed.","date is empty.","date "&amp;""""&amp;INDEX(Import_Staging!$B$2:$B$301,$H302)&amp;""&amp;""""&amp;" is not a real date in yyyy-mm-dd format.","date "&amp;TEXT(INDEX(Import_Staging!$M$2:$M$301,$H302),"yyyy-mm-dd")&amp;" is after the as-of date "&amp;TEXT(Config!$B$4,"yyyy-mm-dd")&amp;".","type is empty.","type "&amp;""""&amp;INDEX(Import_Staging!$C$2:$C$301,$H302)&amp;""&amp;""""&amp;" is not a movement type listed on Config.","sku is empty.","SKU "&amp;INDEX(Import_Staging!$D$2:$D$301,$H302)&amp;""&amp;" is not in Products.","supplier_id is empty; receipts need the supplier.","Supplier "&amp;INDEX(Import_Staging!$E$2:$E$301,$H302)&amp;""&amp;" is not in Suppliers.","lot is empty; every movement needs its lot code.","Lot "&amp;INDEX(Import_Staging!$F$2:$F$301,$H302)&amp;""&amp;" is not recorded for "&amp;INDEX(Import_Staging!$D$2:$D$301,$H302)&amp;""&amp;" in Batches.","expiry is empty; receipts need the company-supplied expiry date.","expiry "&amp;""""&amp;INDEX(Import_Staging!$G$2:$G$301,$H302)&amp;""&amp;""""&amp;" is not a real date in yyyy-mm-dd format.","qty is empty.","qty "&amp;""""&amp;INDEX(Import_Staging!$H$2:$H$301,$H302)&amp;""&amp;""""&amp;" is not a valid quantity"&amp;IF(INDEX(Import_Staging!$C$2:$C$301,$H302)&amp;""="",""," for a "&amp;LOWER(INDEX(Import_Staging!$C$2:$C$301,$H302)&amp;""))&amp;".","lot_status is empty; receipts need a lot status.","lot_status "&amp;""""&amp;INDEX(Import_Staging!$I$2:$I$301,$H302)&amp;""&amp;""""&amp;" is not a lot status allowed on receipt (Config).","reason is empty; adjustments need a reason.","source_link is empty; every movement needs a link to its source document.","This row would take recorded stock of "&amp;INDEX(Import_Staging!$D$2:$D$301,$H302)&amp;""&amp;" from "&amp;INDEX(Import_Staging!$R$2:$R$301,$H302)&amp;" to "&amp;INDEX(Import_Staging!$S$2:$S$301,$H302)&amp;"."),$E302))</f>
        <v/>
      </c>
      <c r="G302" s="67" t="str">
        <f>IF($A302="","",INDEX(Config!$F$39:$F$61,$J302))</f>
        <v/>
      </c>
      <c r="H302" s="66" t="str">
        <f>IF($A302="","",MATCH(COUNTIF(Import_Staging!$BS$2:$BS$301,"&lt;"&amp;$A302)+1,Import_Staging!$BR$2:$BR$301,0))</f>
        <v/>
      </c>
      <c r="I302" s="66" t="str">
        <f>IF($A302="","",$A302-INDEX(Import_Staging!$BQ$2:$BQ$301,$H302))</f>
        <v/>
      </c>
      <c r="J302" s="66" t="str">
        <f>IF($A302="","",MATCH($I302,INDEX(Import_Staging!$AT$2:$BP$301,$H302,0),0))</f>
        <v/>
      </c>
    </row>
    <row r="303">
      <c r="A303" s="65" t="str">
        <f>IF(298&lt;=$F$4,298,"")</f>
        <v/>
      </c>
      <c r="B303" s="65" t="str">
        <f>IF($A303="","",$H303+1)</f>
        <v/>
      </c>
      <c r="C303" s="66" t="str">
        <f>IF($A303="","",INDEX(Import_Staging!$A$2:$A$301,$H303)&amp;"")</f>
        <v/>
      </c>
      <c r="D303" s="66" t="str">
        <f>IF($A303="","",INDEX(Config!$C$39:$C$61,$J303))</f>
        <v/>
      </c>
      <c r="E303" s="66" t="str">
        <f>IF($A303="","",INDEX(Config!$D$39:$D$61,$J303))</f>
        <v/>
      </c>
      <c r="F303" s="67" t="str">
        <f>IF($A303="","",IFERROR(CHOOSE($J303,"movement_id is empty. Every row needs a unique movement ID.","movement_id "&amp;INDEX(Import_Staging!$A$2:$A$301,$H303)&amp;""&amp;" appears earlier in this file (row "&amp;IFERROR(MATCH(INDEX(Import_Staging!$A$2:$A$301,$H303),Import_Staging!$A$2:$A$301,0)+1,"?")&amp;"). Only the first row can be posted.","movement_id "&amp;INDEX(Import_Staging!$A$2:$A$301,$H303)&amp;""&amp;" is already in Inventory_Ledger. The ledger row was not changed.","date is empty.","date "&amp;""""&amp;INDEX(Import_Staging!$B$2:$B$301,$H303)&amp;""&amp;""""&amp;" is not a real date in yyyy-mm-dd format.","date "&amp;TEXT(INDEX(Import_Staging!$M$2:$M$301,$H303),"yyyy-mm-dd")&amp;" is after the as-of date "&amp;TEXT(Config!$B$4,"yyyy-mm-dd")&amp;".","type is empty.","type "&amp;""""&amp;INDEX(Import_Staging!$C$2:$C$301,$H303)&amp;""&amp;""""&amp;" is not a movement type listed on Config.","sku is empty.","SKU "&amp;INDEX(Import_Staging!$D$2:$D$301,$H303)&amp;""&amp;" is not in Products.","supplier_id is empty; receipts need the supplier.","Supplier "&amp;INDEX(Import_Staging!$E$2:$E$301,$H303)&amp;""&amp;" is not in Suppliers.","lot is empty; every movement needs its lot code.","Lot "&amp;INDEX(Import_Staging!$F$2:$F$301,$H303)&amp;""&amp;" is not recorded for "&amp;INDEX(Import_Staging!$D$2:$D$301,$H303)&amp;""&amp;" in Batches.","expiry is empty; receipts need the company-supplied expiry date.","expiry "&amp;""""&amp;INDEX(Import_Staging!$G$2:$G$301,$H303)&amp;""&amp;""""&amp;" is not a real date in yyyy-mm-dd format.","qty is empty.","qty "&amp;""""&amp;INDEX(Import_Staging!$H$2:$H$301,$H303)&amp;""&amp;""""&amp;" is not a valid quantity"&amp;IF(INDEX(Import_Staging!$C$2:$C$301,$H303)&amp;""="",""," for a "&amp;LOWER(INDEX(Import_Staging!$C$2:$C$301,$H303)&amp;""))&amp;".","lot_status is empty; receipts need a lot status.","lot_status "&amp;""""&amp;INDEX(Import_Staging!$I$2:$I$301,$H303)&amp;""&amp;""""&amp;" is not a lot status allowed on receipt (Config).","reason is empty; adjustments need a reason.","source_link is empty; every movement needs a link to its source document.","This row would take recorded stock of "&amp;INDEX(Import_Staging!$D$2:$D$301,$H303)&amp;""&amp;" from "&amp;INDEX(Import_Staging!$R$2:$R$301,$H303)&amp;" to "&amp;INDEX(Import_Staging!$S$2:$S$301,$H303)&amp;"."),$E303))</f>
        <v/>
      </c>
      <c r="G303" s="67" t="str">
        <f>IF($A303="","",INDEX(Config!$F$39:$F$61,$J303))</f>
        <v/>
      </c>
      <c r="H303" s="66" t="str">
        <f>IF($A303="","",MATCH(COUNTIF(Import_Staging!$BS$2:$BS$301,"&lt;"&amp;$A303)+1,Import_Staging!$BR$2:$BR$301,0))</f>
        <v/>
      </c>
      <c r="I303" s="66" t="str">
        <f>IF($A303="","",$A303-INDEX(Import_Staging!$BQ$2:$BQ$301,$H303))</f>
        <v/>
      </c>
      <c r="J303" s="66" t="str">
        <f>IF($A303="","",MATCH($I303,INDEX(Import_Staging!$AT$2:$BP$301,$H303,0),0))</f>
        <v/>
      </c>
    </row>
    <row r="304">
      <c r="A304" s="65" t="str">
        <f>IF(299&lt;=$F$4,299,"")</f>
        <v/>
      </c>
      <c r="B304" s="65" t="str">
        <f>IF($A304="","",$H304+1)</f>
        <v/>
      </c>
      <c r="C304" s="66" t="str">
        <f>IF($A304="","",INDEX(Import_Staging!$A$2:$A$301,$H304)&amp;"")</f>
        <v/>
      </c>
      <c r="D304" s="66" t="str">
        <f>IF($A304="","",INDEX(Config!$C$39:$C$61,$J304))</f>
        <v/>
      </c>
      <c r="E304" s="66" t="str">
        <f>IF($A304="","",INDEX(Config!$D$39:$D$61,$J304))</f>
        <v/>
      </c>
      <c r="F304" s="67" t="str">
        <f>IF($A304="","",IFERROR(CHOOSE($J304,"movement_id is empty. Every row needs a unique movement ID.","movement_id "&amp;INDEX(Import_Staging!$A$2:$A$301,$H304)&amp;""&amp;" appears earlier in this file (row "&amp;IFERROR(MATCH(INDEX(Import_Staging!$A$2:$A$301,$H304),Import_Staging!$A$2:$A$301,0)+1,"?")&amp;"). Only the first row can be posted.","movement_id "&amp;INDEX(Import_Staging!$A$2:$A$301,$H304)&amp;""&amp;" is already in Inventory_Ledger. The ledger row was not changed.","date is empty.","date "&amp;""""&amp;INDEX(Import_Staging!$B$2:$B$301,$H304)&amp;""&amp;""""&amp;" is not a real date in yyyy-mm-dd format.","date "&amp;TEXT(INDEX(Import_Staging!$M$2:$M$301,$H304),"yyyy-mm-dd")&amp;" is after the as-of date "&amp;TEXT(Config!$B$4,"yyyy-mm-dd")&amp;".","type is empty.","type "&amp;""""&amp;INDEX(Import_Staging!$C$2:$C$301,$H304)&amp;""&amp;""""&amp;" is not a movement type listed on Config.","sku is empty.","SKU "&amp;INDEX(Import_Staging!$D$2:$D$301,$H304)&amp;""&amp;" is not in Products.","supplier_id is empty; receipts need the supplier.","Supplier "&amp;INDEX(Import_Staging!$E$2:$E$301,$H304)&amp;""&amp;" is not in Suppliers.","lot is empty; every movement needs its lot code.","Lot "&amp;INDEX(Import_Staging!$F$2:$F$301,$H304)&amp;""&amp;" is not recorded for "&amp;INDEX(Import_Staging!$D$2:$D$301,$H304)&amp;""&amp;" in Batches.","expiry is empty; receipts need the company-supplied expiry date.","expiry "&amp;""""&amp;INDEX(Import_Staging!$G$2:$G$301,$H304)&amp;""&amp;""""&amp;" is not a real date in yyyy-mm-dd format.","qty is empty.","qty "&amp;""""&amp;INDEX(Import_Staging!$H$2:$H$301,$H304)&amp;""&amp;""""&amp;" is not a valid quantity"&amp;IF(INDEX(Import_Staging!$C$2:$C$301,$H304)&amp;""="",""," for a "&amp;LOWER(INDEX(Import_Staging!$C$2:$C$301,$H304)&amp;""))&amp;".","lot_status is empty; receipts need a lot status.","lot_status "&amp;""""&amp;INDEX(Import_Staging!$I$2:$I$301,$H304)&amp;""&amp;""""&amp;" is not a lot status allowed on receipt (Config).","reason is empty; adjustments need a reason.","source_link is empty; every movement needs a link to its source document.","This row would take recorded stock of "&amp;INDEX(Import_Staging!$D$2:$D$301,$H304)&amp;""&amp;" from "&amp;INDEX(Import_Staging!$R$2:$R$301,$H304)&amp;" to "&amp;INDEX(Import_Staging!$S$2:$S$301,$H304)&amp;"."),$E304))</f>
        <v/>
      </c>
      <c r="G304" s="67" t="str">
        <f>IF($A304="","",INDEX(Config!$F$39:$F$61,$J304))</f>
        <v/>
      </c>
      <c r="H304" s="66" t="str">
        <f>IF($A304="","",MATCH(COUNTIF(Import_Staging!$BS$2:$BS$301,"&lt;"&amp;$A304)+1,Import_Staging!$BR$2:$BR$301,0))</f>
        <v/>
      </c>
      <c r="I304" s="66" t="str">
        <f>IF($A304="","",$A304-INDEX(Import_Staging!$BQ$2:$BQ$301,$H304))</f>
        <v/>
      </c>
      <c r="J304" s="66" t="str">
        <f>IF($A304="","",MATCH($I304,INDEX(Import_Staging!$AT$2:$BP$301,$H304,0),0))</f>
        <v/>
      </c>
    </row>
    <row r="305">
      <c r="A305" s="65" t="str">
        <f>IF(300&lt;=$F$4,300,"")</f>
        <v/>
      </c>
      <c r="B305" s="65" t="str">
        <f>IF($A305="","",$H305+1)</f>
        <v/>
      </c>
      <c r="C305" s="66" t="str">
        <f>IF($A305="","",INDEX(Import_Staging!$A$2:$A$301,$H305)&amp;"")</f>
        <v/>
      </c>
      <c r="D305" s="66" t="str">
        <f>IF($A305="","",INDEX(Config!$C$39:$C$61,$J305))</f>
        <v/>
      </c>
      <c r="E305" s="66" t="str">
        <f>IF($A305="","",INDEX(Config!$D$39:$D$61,$J305))</f>
        <v/>
      </c>
      <c r="F305" s="67" t="str">
        <f>IF($A305="","",IFERROR(CHOOSE($J305,"movement_id is empty. Every row needs a unique movement ID.","movement_id "&amp;INDEX(Import_Staging!$A$2:$A$301,$H305)&amp;""&amp;" appears earlier in this file (row "&amp;IFERROR(MATCH(INDEX(Import_Staging!$A$2:$A$301,$H305),Import_Staging!$A$2:$A$301,0)+1,"?")&amp;"). Only the first row can be posted.","movement_id "&amp;INDEX(Import_Staging!$A$2:$A$301,$H305)&amp;""&amp;" is already in Inventory_Ledger. The ledger row was not changed.","date is empty.","date "&amp;""""&amp;INDEX(Import_Staging!$B$2:$B$301,$H305)&amp;""&amp;""""&amp;" is not a real date in yyyy-mm-dd format.","date "&amp;TEXT(INDEX(Import_Staging!$M$2:$M$301,$H305),"yyyy-mm-dd")&amp;" is after the as-of date "&amp;TEXT(Config!$B$4,"yyyy-mm-dd")&amp;".","type is empty.","type "&amp;""""&amp;INDEX(Import_Staging!$C$2:$C$301,$H305)&amp;""&amp;""""&amp;" is not a movement type listed on Config.","sku is empty.","SKU "&amp;INDEX(Import_Staging!$D$2:$D$301,$H305)&amp;""&amp;" is not in Products.","supplier_id is empty; receipts need the supplier.","Supplier "&amp;INDEX(Import_Staging!$E$2:$E$301,$H305)&amp;""&amp;" is not in Suppliers.","lot is empty; every movement needs its lot code.","Lot "&amp;INDEX(Import_Staging!$F$2:$F$301,$H305)&amp;""&amp;" is not recorded for "&amp;INDEX(Import_Staging!$D$2:$D$301,$H305)&amp;""&amp;" in Batches.","expiry is empty; receipts need the company-supplied expiry date.","expiry "&amp;""""&amp;INDEX(Import_Staging!$G$2:$G$301,$H305)&amp;""&amp;""""&amp;" is not a real date in yyyy-mm-dd format.","qty is empty.","qty "&amp;""""&amp;INDEX(Import_Staging!$H$2:$H$301,$H305)&amp;""&amp;""""&amp;" is not a valid quantity"&amp;IF(INDEX(Import_Staging!$C$2:$C$301,$H305)&amp;""="",""," for a "&amp;LOWER(INDEX(Import_Staging!$C$2:$C$301,$H305)&amp;""))&amp;".","lot_status is empty; receipts need a lot status.","lot_status "&amp;""""&amp;INDEX(Import_Staging!$I$2:$I$301,$H305)&amp;""&amp;""""&amp;" is not a lot status allowed on receipt (Config).","reason is empty; adjustments need a reason.","source_link is empty; every movement needs a link to its source document.","This row would take recorded stock of "&amp;INDEX(Import_Staging!$D$2:$D$301,$H305)&amp;""&amp;" from "&amp;INDEX(Import_Staging!$R$2:$R$301,$H305)&amp;" to "&amp;INDEX(Import_Staging!$S$2:$S$301,$H305)&amp;"."),$E305))</f>
        <v/>
      </c>
      <c r="G305" s="67" t="str">
        <f>IF($A305="","",INDEX(Config!$F$39:$F$61,$J305))</f>
        <v/>
      </c>
      <c r="H305" s="66" t="str">
        <f>IF($A305="","",MATCH(COUNTIF(Import_Staging!$BS$2:$BS$301,"&lt;"&amp;$A305)+1,Import_Staging!$BR$2:$BR$301,0))</f>
        <v/>
      </c>
      <c r="I305" s="66" t="str">
        <f>IF($A305="","",$A305-INDEX(Import_Staging!$BQ$2:$BQ$301,$H305))</f>
        <v/>
      </c>
      <c r="J305" s="66" t="str">
        <f>IF($A305="","",MATCH($I305,INDEX(Import_Staging!$AT$2:$BP$301,$H305,0),0))</f>
        <v/>
      </c>
    </row>
  </sheetData>
  <sheetProtection selectLockedCells="0" selectUnlockedCells="0" sheet="1" objects="0" insertRows="1" insertHyperlinks="1" autoFilter="0" scenarios="0" formatColumns="0" deleteColumns="1" insertColumns="1" pivotTables="1" deleteRows="1" formatCells="1" formatRows="0" sort="0"/>
  <conditionalFormatting sqref="A6:G305">
    <cfRule type="expression" priority="1" dxfId="6">
      <formula>$A6&lt;&gt;""</formula>
    </cfRule>
  </conditionalFormatting>
  <pageMargins left="0.75" right="0.75" top="1" bottom="1" header="0.5" footer="0.5"/>
</worksheet>
</file>

<file path=xl/worksheets/sheet17.xml><?xml version="1.0" encoding="utf-8"?>
<worksheet xmlns="http://schemas.openxmlformats.org/spreadsheetml/2006/main">
  <sheetPr>
    <tabColor rgb="002E7D4F"/>
    <outlinePr summaryBelow="1" summaryRight="1"/>
    <pageSetUpPr/>
  </sheetPr>
  <dimension ref="A1:Y305"/>
  <sheetViews>
    <sheetView workbookViewId="0">
      <pane ySplit="5" topLeftCell="A6" activePane="bottomLeft" state="frozen"/>
      <selection pane="bottomLeft" activeCell="A1" sqref="A1"/>
    </sheetView>
  </sheetViews>
  <sheetFormatPr baseColWidth="8" defaultRowHeight="15"/>
  <cols>
    <col width="13" customWidth="1" min="1" max="1"/>
    <col width="11" customWidth="1" min="2" max="2"/>
    <col width="11" customWidth="1" min="3" max="3"/>
    <col width="14" customWidth="1" min="4" max="4"/>
    <col width="8" customWidth="1" min="5" max="5"/>
    <col width="11" customWidth="1" min="6" max="6"/>
    <col width="20" customWidth="1" min="7" max="7"/>
    <col width="13" customWidth="1" min="8" max="8"/>
    <col width="36" customWidth="1" min="9" max="9"/>
    <col width="13" customWidth="1" min="10" max="10"/>
    <col width="32" customWidth="1" min="11" max="11"/>
    <col width="34" customWidth="1" min="12" max="12"/>
    <col width="3" customWidth="1" min="13" max="13"/>
    <col width="11" customWidth="1" min="14" max="14"/>
    <col width="14" customWidth="1" min="15" max="15"/>
    <col width="10" customWidth="1" min="16" max="16"/>
    <col width="11" customWidth="1" min="17" max="17"/>
    <col width="11" customWidth="1" min="18" max="18"/>
    <col width="9" customWidth="1" min="19" max="19"/>
    <col width="11" customWidth="1" min="20" max="20"/>
    <col width="32" customWidth="1" min="21" max="21"/>
    <col width="40" customWidth="1" min="22" max="22"/>
    <col hidden="1" width="13" customWidth="1" min="24" max="24"/>
    <col hidden="1" width="13" customWidth="1" min="25" max="25"/>
  </cols>
  <sheetData>
    <row r="1">
      <c r="A1" s="1" t="inlineStr">
        <is>
          <t>Ready to post</t>
        </is>
      </c>
    </row>
    <row r="2">
      <c r="A2" s="16" t="str">
        <f>"Ready rows of "&amp;Config!$B$11&amp;", laid out in the column order of Inventory_Ledger (left) and Batches (right). Copy the filled rows and paste them as values below the last row of each sheet."</f>
        <v>Ready rows of warehouse-movements-2026-10-14.csv, laid out in the column order of Inventory_Ledger (left) and Batches (right). Copy the filled rows and paste them as values below the last row of each sheet.</v>
      </c>
    </row>
    <row r="3">
      <c r="A3" s="34" t="inlineStr">
        <is>
          <t>Rows for Inventory_Ledger</t>
        </is>
      </c>
      <c r="D3" s="64">
        <f>COUNTIF(Import_Staging!$U$2:$U$301,"Ready")</f>
        <v>8</v>
      </c>
      <c r="N3" s="34" t="inlineStr">
        <is>
          <t>New lots for Batches</t>
        </is>
      </c>
      <c r="Q3" s="64">
        <f>SUM(Import_Staging!$BU$2:$BU$301)</f>
        <v>1</v>
      </c>
    </row>
    <row r="5" ht="30" customHeight="1">
      <c r="A5" s="23" t="inlineStr">
        <is>
          <t>Entry ID</t>
        </is>
      </c>
      <c r="B5" s="23" t="inlineStr">
        <is>
          <t>Date</t>
        </is>
      </c>
      <c r="C5" s="23" t="inlineStr">
        <is>
          <t>Type</t>
        </is>
      </c>
      <c r="D5" s="23" t="inlineStr">
        <is>
          <t>SKU</t>
        </is>
      </c>
      <c r="E5" s="23" t="inlineStr">
        <is>
          <t>Qty</t>
        </is>
      </c>
      <c r="F5" s="23" t="inlineStr">
        <is>
          <t>Lot</t>
        </is>
      </c>
      <c r="G5" s="23" t="inlineStr">
        <is>
          <t>Reason (adjustments)</t>
        </is>
      </c>
      <c r="H5" s="23" t="inlineStr">
        <is>
          <t>Reference</t>
        </is>
      </c>
      <c r="I5" s="23" t="inlineStr">
        <is>
          <t>Source link</t>
        </is>
      </c>
      <c r="J5" s="23" t="inlineStr">
        <is>
          <t>Entered by</t>
        </is>
      </c>
      <c r="K5" s="23" t="inlineStr">
        <is>
          <t>Import batch</t>
        </is>
      </c>
      <c r="L5" s="23" t="inlineStr">
        <is>
          <t>Notes</t>
        </is>
      </c>
      <c r="N5" s="23" t="inlineStr">
        <is>
          <t>Lot</t>
        </is>
      </c>
      <c r="O5" s="23" t="inlineStr">
        <is>
          <t>SKU</t>
        </is>
      </c>
      <c r="P5" s="23" t="inlineStr">
        <is>
          <t>Supplier ID</t>
        </is>
      </c>
      <c r="Q5" s="23" t="inlineStr">
        <is>
          <t>Manufacture date</t>
        </is>
      </c>
      <c r="R5" s="23" t="inlineStr">
        <is>
          <t>Expiry date</t>
        </is>
      </c>
      <c r="S5" s="23" t="inlineStr">
        <is>
          <t>Opening qty</t>
        </is>
      </c>
      <c r="T5" s="23" t="inlineStr">
        <is>
          <t>Status</t>
        </is>
      </c>
      <c r="U5" s="23" t="inlineStr">
        <is>
          <t>CoA link</t>
        </is>
      </c>
      <c r="V5" s="23" t="inlineStr">
        <is>
          <t>Notes</t>
        </is>
      </c>
      <c r="X5" s="68" t="inlineStr">
        <is>
          <t>pos (ledger)</t>
        </is>
      </c>
      <c r="Y5" s="68" t="inlineStr">
        <is>
          <t>pos (lots)</t>
        </is>
      </c>
    </row>
    <row r="6">
      <c r="A6" s="24" t="str">
        <f>IF($X6="","",INDEX(Import_Staging!$A$2:$A$301,$X6)&amp;"")</f>
        <v>MV-2610-014</v>
      </c>
      <c r="B6" s="27">
        <f>IF($X6="","",INDEX(Import_Staging!$M$2:$M$301,$X6))</f>
        <v>46304</v>
      </c>
      <c r="C6" s="24" t="str">
        <f>IF($X6="","",INDEX(Import_Staging!$C$2:$C$301,$X6)&amp;"")</f>
        <v>Shipment</v>
      </c>
      <c r="D6" s="24" t="str">
        <f>IF($X6="","",INDEX(Import_Staging!$D$2:$D$301,$X6)&amp;"")</f>
        <v>WPI-CHO-2LB</v>
      </c>
      <c r="E6" s="69">
        <f>IF($X6="","",INDEX(Import_Staging!$O$2:$O$301,$X6))</f>
        <v>64</v>
      </c>
      <c r="F6" s="24" t="str">
        <f>IF($X6="","",INDEX(Import_Staging!$F$2:$F$301,$X6)&amp;"")</f>
        <v>WCH2607A</v>
      </c>
      <c r="G6" s="24" t="str">
        <f>IF($X6="","",INDEX(Import_Staging!$J$2:$J$301,$X6)&amp;"")</f>
        <v/>
      </c>
      <c r="H6" s="24" t="str">
        <f>IF($X6="","",INDEX(Import_Staging!$K$2:$K$301,$X6)&amp;"")</f>
        <v>OB-1009</v>
      </c>
      <c r="I6" s="24" t="str">
        <f>IF($X6="","",INDEX(Import_Staging!$L$2:$L$301,$X6)&amp;"")</f>
        <v>https://example.com/3pl/movements/MV-2610-014</v>
      </c>
      <c r="J6" s="24" t="str">
        <f>IF($X6="","","3PL import")</f>
        <v>3PL import</v>
      </c>
      <c r="K6" s="24" t="str">
        <f>IF($X6="","",Config!$B$11)</f>
        <v>warehouse-movements-2026-10-14.csv</v>
      </c>
      <c r="L6" s="24" t="str">
        <f>IF($X6="","","CSV row "&amp;($X6+1))</f>
        <v>CSV row 2</v>
      </c>
      <c r="N6" s="24" t="str">
        <f>IF($Y6="","",INDEX(Import_Staging!$F$2:$F$301,$Y6)&amp;"")</f>
        <v>PWM2609A</v>
      </c>
      <c r="O6" s="24" t="str">
        <f>IF($Y6="","",INDEX(Import_Staging!$D$2:$D$301,$Y6)&amp;"")</f>
        <v>PRE-WTM-30</v>
      </c>
      <c r="P6" s="24" t="str">
        <f>IF($Y6="","",INDEX(Import_Staging!$E$2:$E$301,$Y6)&amp;"")</f>
        <v>SUP-04</v>
      </c>
      <c r="Q6" s="27" t="n"/>
      <c r="R6" s="27">
        <f>IF($Y6="","",INDEX(Import_Staging!$N$2:$N$301,$Y6))</f>
        <v>47024</v>
      </c>
      <c r="S6" s="70">
        <f>IF($Y6="","",0)</f>
        <v>0</v>
      </c>
      <c r="T6" s="24" t="str">
        <f>IF($Y6="","",INDEX(Import_Staging!$I$2:$I$301,$Y6)&amp;"")</f>
        <v>Quarantine</v>
      </c>
      <c r="U6" s="24" t="n"/>
      <c r="V6" s="24" t="str">
        <f>IF($Y6="","","Received "&amp;TEXT(INDEX(Import_Staging!$M$2:$M$301,$Y6),"yyyy-mm-dd")&amp;" (CSV row "&amp;($Y6+1)&amp;")")</f>
        <v>Received 2026-10-13 (CSV row 5)</v>
      </c>
      <c r="X6">
        <f>IFERROR(MATCH(1,Import_Staging!$BT$2:$BT$301,0),"")</f>
        <v>1</v>
      </c>
      <c r="Y6">
        <f>IFERROR(MATCH(1,Import_Staging!$BV$2:$BV$301,0),"")</f>
        <v>4</v>
      </c>
    </row>
    <row r="7">
      <c r="A7" s="24" t="str">
        <f>IF($X7="","",INDEX(Import_Staging!$A$2:$A$301,$X7)&amp;"")</f>
        <v>MV-2610-015</v>
      </c>
      <c r="B7" s="27">
        <f>IF($X7="","",INDEX(Import_Staging!$M$2:$M$301,$X7))</f>
        <v>46305</v>
      </c>
      <c r="C7" s="24" t="str">
        <f>IF($X7="","",INDEX(Import_Staging!$C$2:$C$301,$X7)&amp;"")</f>
        <v>Shipment</v>
      </c>
      <c r="D7" s="24" t="str">
        <f>IF($X7="","",INDEX(Import_Staging!$D$2:$D$301,$X7)&amp;"")</f>
        <v>BAR-PBC-12</v>
      </c>
      <c r="E7" s="69">
        <f>IF($X7="","",INDEX(Import_Staging!$O$2:$O$301,$X7))</f>
        <v>120</v>
      </c>
      <c r="F7" s="24" t="str">
        <f>IF($X7="","",INDEX(Import_Staging!$F$2:$F$301,$X7)&amp;"")</f>
        <v>PBC2511A</v>
      </c>
      <c r="G7" s="24" t="str">
        <f>IF($X7="","",INDEX(Import_Staging!$J$2:$J$301,$X7)&amp;"")</f>
        <v/>
      </c>
      <c r="H7" s="24" t="str">
        <f>IF($X7="","",INDEX(Import_Staging!$K$2:$K$301,$X7)&amp;"")</f>
        <v>OB-1010</v>
      </c>
      <c r="I7" s="24" t="str">
        <f>IF($X7="","",INDEX(Import_Staging!$L$2:$L$301,$X7)&amp;"")</f>
        <v>https://example.com/3pl/movements/MV-2610-015</v>
      </c>
      <c r="J7" s="24" t="str">
        <f>IF($X7="","","3PL import")</f>
        <v>3PL import</v>
      </c>
      <c r="K7" s="24" t="str">
        <f>IF($X7="","",Config!$B$11)</f>
        <v>warehouse-movements-2026-10-14.csv</v>
      </c>
      <c r="L7" s="24" t="str">
        <f>IF($X7="","","CSV row "&amp;($X7+1))</f>
        <v>CSV row 3</v>
      </c>
      <c r="N7" s="24" t="str">
        <f>IF($Y7="","",INDEX(Import_Staging!$F$2:$F$301,$Y7)&amp;"")</f>
        <v/>
      </c>
      <c r="O7" s="24" t="str">
        <f>IF($Y7="","",INDEX(Import_Staging!$D$2:$D$301,$Y7)&amp;"")</f>
        <v/>
      </c>
      <c r="P7" s="24" t="str">
        <f>IF($Y7="","",INDEX(Import_Staging!$E$2:$E$301,$Y7)&amp;"")</f>
        <v/>
      </c>
      <c r="Q7" s="27" t="n"/>
      <c r="R7" s="27" t="str">
        <f>IF($Y7="","",INDEX(Import_Staging!$N$2:$N$301,$Y7))</f>
        <v/>
      </c>
      <c r="S7" s="70" t="str">
        <f>IF($Y7="","",0)</f>
        <v/>
      </c>
      <c r="T7" s="24" t="str">
        <f>IF($Y7="","",INDEX(Import_Staging!$I$2:$I$301,$Y7)&amp;"")</f>
        <v/>
      </c>
      <c r="U7" s="24" t="n"/>
      <c r="V7" s="24" t="str">
        <f>IF($Y7="","","Received "&amp;TEXT(INDEX(Import_Staging!$M$2:$M$301,$Y7),"yyyy-mm-dd")&amp;" (CSV row "&amp;($Y7+1)&amp;")")</f>
        <v/>
      </c>
      <c r="X7">
        <f>IFERROR(MATCH(2,Import_Staging!$BT$2:$BT$301,0),"")</f>
        <v>2</v>
      </c>
      <c r="Y7" t="str">
        <f>IFERROR(MATCH(2,Import_Staging!$BV$2:$BV$301,0),"")</f>
        <v/>
      </c>
    </row>
    <row r="8">
      <c r="A8" s="24" t="str">
        <f>IF($X8="","",INDEX(Import_Staging!$A$2:$A$301,$X8)&amp;"")</f>
        <v>MV-2610-016</v>
      </c>
      <c r="B8" s="27">
        <f>IF($X8="","",INDEX(Import_Staging!$M$2:$M$301,$X8))</f>
        <v>46307</v>
      </c>
      <c r="C8" s="24" t="str">
        <f>IF($X8="","",INDEX(Import_Staging!$C$2:$C$301,$X8)&amp;"")</f>
        <v>Shipment</v>
      </c>
      <c r="D8" s="24" t="str">
        <f>IF($X8="","",INDEX(Import_Staging!$D$2:$D$301,$X8)&amp;"")</f>
        <v>CRE-UNF-300G</v>
      </c>
      <c r="E8" s="69">
        <f>IF($X8="","",INDEX(Import_Staging!$O$2:$O$301,$X8))</f>
        <v>75</v>
      </c>
      <c r="F8" s="24" t="str">
        <f>IF($X8="","",INDEX(Import_Staging!$F$2:$F$301,$X8)&amp;"")</f>
        <v>CRT2505A</v>
      </c>
      <c r="G8" s="24" t="str">
        <f>IF($X8="","",INDEX(Import_Staging!$J$2:$J$301,$X8)&amp;"")</f>
        <v/>
      </c>
      <c r="H8" s="24" t="str">
        <f>IF($X8="","",INDEX(Import_Staging!$K$2:$K$301,$X8)&amp;"")</f>
        <v>OB-1012</v>
      </c>
      <c r="I8" s="24" t="str">
        <f>IF($X8="","",INDEX(Import_Staging!$L$2:$L$301,$X8)&amp;"")</f>
        <v>https://example.com/3pl/movements/MV-2610-016</v>
      </c>
      <c r="J8" s="24" t="str">
        <f>IF($X8="","","3PL import")</f>
        <v>3PL import</v>
      </c>
      <c r="K8" s="24" t="str">
        <f>IF($X8="","",Config!$B$11)</f>
        <v>warehouse-movements-2026-10-14.csv</v>
      </c>
      <c r="L8" s="24" t="str">
        <f>IF($X8="","","CSV row "&amp;($X8+1))</f>
        <v>CSV row 4</v>
      </c>
      <c r="N8" s="24" t="str">
        <f>IF($Y8="","",INDEX(Import_Staging!$F$2:$F$301,$Y8)&amp;"")</f>
        <v/>
      </c>
      <c r="O8" s="24" t="str">
        <f>IF($Y8="","",INDEX(Import_Staging!$D$2:$D$301,$Y8)&amp;"")</f>
        <v/>
      </c>
      <c r="P8" s="24" t="str">
        <f>IF($Y8="","",INDEX(Import_Staging!$E$2:$E$301,$Y8)&amp;"")</f>
        <v/>
      </c>
      <c r="Q8" s="27" t="n"/>
      <c r="R8" s="27" t="str">
        <f>IF($Y8="","",INDEX(Import_Staging!$N$2:$N$301,$Y8))</f>
        <v/>
      </c>
      <c r="S8" s="70" t="str">
        <f>IF($Y8="","",0)</f>
        <v/>
      </c>
      <c r="T8" s="24" t="str">
        <f>IF($Y8="","",INDEX(Import_Staging!$I$2:$I$301,$Y8)&amp;"")</f>
        <v/>
      </c>
      <c r="U8" s="24" t="n"/>
      <c r="V8" s="24" t="str">
        <f>IF($Y8="","","Received "&amp;TEXT(INDEX(Import_Staging!$M$2:$M$301,$Y8),"yyyy-mm-dd")&amp;" (CSV row "&amp;($Y8+1)&amp;")")</f>
        <v/>
      </c>
      <c r="X8">
        <f>IFERROR(MATCH(3,Import_Staging!$BT$2:$BT$301,0),"")</f>
        <v>3</v>
      </c>
      <c r="Y8" t="str">
        <f>IFERROR(MATCH(3,Import_Staging!$BV$2:$BV$301,0),"")</f>
        <v/>
      </c>
    </row>
    <row r="9">
      <c r="A9" s="24" t="str">
        <f>IF($X9="","",INDEX(Import_Staging!$A$2:$A$301,$X9)&amp;"")</f>
        <v>MV-2610-017</v>
      </c>
      <c r="B9" s="27">
        <f>IF($X9="","",INDEX(Import_Staging!$M$2:$M$301,$X9))</f>
        <v>46308</v>
      </c>
      <c r="C9" s="24" t="str">
        <f>IF($X9="","",INDEX(Import_Staging!$C$2:$C$301,$X9)&amp;"")</f>
        <v>Receipt</v>
      </c>
      <c r="D9" s="24" t="str">
        <f>IF($X9="","",INDEX(Import_Staging!$D$2:$D$301,$X9)&amp;"")</f>
        <v>PRE-WTM-30</v>
      </c>
      <c r="E9" s="69">
        <f>IF($X9="","",INDEX(Import_Staging!$O$2:$O$301,$X9))</f>
        <v>600</v>
      </c>
      <c r="F9" s="24" t="str">
        <f>IF($X9="","",INDEX(Import_Staging!$F$2:$F$301,$X9)&amp;"")</f>
        <v>PWM2609A</v>
      </c>
      <c r="G9" s="24" t="str">
        <f>IF($X9="","",INDEX(Import_Staging!$J$2:$J$301,$X9)&amp;"")</f>
        <v/>
      </c>
      <c r="H9" s="24" t="str">
        <f>IF($X9="","",INDEX(Import_Staging!$K$2:$K$301,$X9)&amp;"")</f>
        <v>PO-2026-031</v>
      </c>
      <c r="I9" s="24" t="str">
        <f>IF($X9="","",INDEX(Import_Staging!$L$2:$L$301,$X9)&amp;"")</f>
        <v>https://example.com/3pl/movements/MV-2610-017</v>
      </c>
      <c r="J9" s="24" t="str">
        <f>IF($X9="","","3PL import")</f>
        <v>3PL import</v>
      </c>
      <c r="K9" s="24" t="str">
        <f>IF($X9="","",Config!$B$11)</f>
        <v>warehouse-movements-2026-10-14.csv</v>
      </c>
      <c r="L9" s="24" t="str">
        <f>IF($X9="","","CSV row "&amp;($X9+1))</f>
        <v>CSV row 5</v>
      </c>
      <c r="N9" s="24" t="str">
        <f>IF($Y9="","",INDEX(Import_Staging!$F$2:$F$301,$Y9)&amp;"")</f>
        <v/>
      </c>
      <c r="O9" s="24" t="str">
        <f>IF($Y9="","",INDEX(Import_Staging!$D$2:$D$301,$Y9)&amp;"")</f>
        <v/>
      </c>
      <c r="P9" s="24" t="str">
        <f>IF($Y9="","",INDEX(Import_Staging!$E$2:$E$301,$Y9)&amp;"")</f>
        <v/>
      </c>
      <c r="Q9" s="27" t="n"/>
      <c r="R9" s="27" t="str">
        <f>IF($Y9="","",INDEX(Import_Staging!$N$2:$N$301,$Y9))</f>
        <v/>
      </c>
      <c r="S9" s="70" t="str">
        <f>IF($Y9="","",0)</f>
        <v/>
      </c>
      <c r="T9" s="24" t="str">
        <f>IF($Y9="","",INDEX(Import_Staging!$I$2:$I$301,$Y9)&amp;"")</f>
        <v/>
      </c>
      <c r="U9" s="24" t="n"/>
      <c r="V9" s="24" t="str">
        <f>IF($Y9="","","Received "&amp;TEXT(INDEX(Import_Staging!$M$2:$M$301,$Y9),"yyyy-mm-dd")&amp;" (CSV row "&amp;($Y9+1)&amp;")")</f>
        <v/>
      </c>
      <c r="X9">
        <f>IFERROR(MATCH(4,Import_Staging!$BT$2:$BT$301,0),"")</f>
        <v>4</v>
      </c>
      <c r="Y9" t="str">
        <f>IFERROR(MATCH(4,Import_Staging!$BV$2:$BV$301,0),"")</f>
        <v/>
      </c>
    </row>
    <row r="10">
      <c r="A10" s="24" t="str">
        <f>IF($X10="","",INDEX(Import_Staging!$A$2:$A$301,$X10)&amp;"")</f>
        <v>MV-2610-025</v>
      </c>
      <c r="B10" s="27">
        <f>IF($X10="","",INDEX(Import_Staging!$M$2:$M$301,$X10))</f>
        <v>46309</v>
      </c>
      <c r="C10" s="24" t="str">
        <f>IF($X10="","",INDEX(Import_Staging!$C$2:$C$301,$X10)&amp;"")</f>
        <v>Shipment</v>
      </c>
      <c r="D10" s="24" t="str">
        <f>IF($X10="","",INDEX(Import_Staging!$D$2:$D$301,$X10)&amp;"")</f>
        <v>BAR-CKD-12</v>
      </c>
      <c r="E10" s="69">
        <f>IF($X10="","",INDEX(Import_Staging!$O$2:$O$301,$X10))</f>
        <v>96</v>
      </c>
      <c r="F10" s="24" t="str">
        <f>IF($X10="","",INDEX(Import_Staging!$F$2:$F$301,$X10)&amp;"")</f>
        <v>CKD2511A</v>
      </c>
      <c r="G10" s="24" t="str">
        <f>IF($X10="","",INDEX(Import_Staging!$J$2:$J$301,$X10)&amp;"")</f>
        <v/>
      </c>
      <c r="H10" s="24" t="str">
        <f>IF($X10="","",INDEX(Import_Staging!$K$2:$K$301,$X10)&amp;"")</f>
        <v>OB-1014</v>
      </c>
      <c r="I10" s="24" t="str">
        <f>IF($X10="","",INDEX(Import_Staging!$L$2:$L$301,$X10)&amp;"")</f>
        <v>https://example.com/3pl/movements/MV-2610-025</v>
      </c>
      <c r="J10" s="24" t="str">
        <f>IF($X10="","","3PL import")</f>
        <v>3PL import</v>
      </c>
      <c r="K10" s="24" t="str">
        <f>IF($X10="","",Config!$B$11)</f>
        <v>warehouse-movements-2026-10-14.csv</v>
      </c>
      <c r="L10" s="24" t="str">
        <f>IF($X10="","","CSV row "&amp;($X10+1))</f>
        <v>CSV row 15</v>
      </c>
      <c r="N10" s="24" t="str">
        <f>IF($Y10="","",INDEX(Import_Staging!$F$2:$F$301,$Y10)&amp;"")</f>
        <v/>
      </c>
      <c r="O10" s="24" t="str">
        <f>IF($Y10="","",INDEX(Import_Staging!$D$2:$D$301,$Y10)&amp;"")</f>
        <v/>
      </c>
      <c r="P10" s="24" t="str">
        <f>IF($Y10="","",INDEX(Import_Staging!$E$2:$E$301,$Y10)&amp;"")</f>
        <v/>
      </c>
      <c r="Q10" s="27" t="n"/>
      <c r="R10" s="27" t="str">
        <f>IF($Y10="","",INDEX(Import_Staging!$N$2:$N$301,$Y10))</f>
        <v/>
      </c>
      <c r="S10" s="70" t="str">
        <f>IF($Y10="","",0)</f>
        <v/>
      </c>
      <c r="T10" s="24" t="str">
        <f>IF($Y10="","",INDEX(Import_Staging!$I$2:$I$301,$Y10)&amp;"")</f>
        <v/>
      </c>
      <c r="U10" s="24" t="n"/>
      <c r="V10" s="24" t="str">
        <f>IF($Y10="","","Received "&amp;TEXT(INDEX(Import_Staging!$M$2:$M$301,$Y10),"yyyy-mm-dd")&amp;" (CSV row "&amp;($Y10+1)&amp;")")</f>
        <v/>
      </c>
      <c r="X10">
        <f>IFERROR(MATCH(5,Import_Staging!$BT$2:$BT$301,0),"")</f>
        <v>14</v>
      </c>
      <c r="Y10" t="str">
        <f>IFERROR(MATCH(5,Import_Staging!$BV$2:$BV$301,0),"")</f>
        <v/>
      </c>
    </row>
    <row r="11">
      <c r="A11" s="24" t="str">
        <f>IF($X11="","",INDEX(Import_Staging!$A$2:$A$301,$X11)&amp;"")</f>
        <v>MV-2610-026</v>
      </c>
      <c r="B11" s="27">
        <f>IF($X11="","",INDEX(Import_Staging!$M$2:$M$301,$X11))</f>
        <v>46309</v>
      </c>
      <c r="C11" s="24" t="str">
        <f>IF($X11="","",INDEX(Import_Staging!$C$2:$C$301,$X11)&amp;"")</f>
        <v>Adjustment</v>
      </c>
      <c r="D11" s="24" t="str">
        <f>IF($X11="","",INDEX(Import_Staging!$D$2:$D$301,$X11)&amp;"")</f>
        <v>WPI-CHO-5LB</v>
      </c>
      <c r="E11" s="69">
        <f>IF($X11="","",INDEX(Import_Staging!$O$2:$O$301,$X11))</f>
        <v>-3</v>
      </c>
      <c r="F11" s="24" t="str">
        <f>IF($X11="","",INDEX(Import_Staging!$F$2:$F$301,$X11)&amp;"")</f>
        <v>W5C2501A</v>
      </c>
      <c r="G11" s="24" t="str">
        <f>IF($X11="","",INDEX(Import_Staging!$J$2:$J$301,$X11)&amp;"")</f>
        <v>Damaged in warehouse</v>
      </c>
      <c r="H11" s="24" t="str">
        <f>IF($X11="","",INDEX(Import_Staging!$K$2:$K$301,$X11)&amp;"")</f>
        <v>CC-1014</v>
      </c>
      <c r="I11" s="24" t="str">
        <f>IF($X11="","",INDEX(Import_Staging!$L$2:$L$301,$X11)&amp;"")</f>
        <v>https://example.com/3pl/movements/MV-2610-026</v>
      </c>
      <c r="J11" s="24" t="str">
        <f>IF($X11="","","3PL import")</f>
        <v>3PL import</v>
      </c>
      <c r="K11" s="24" t="str">
        <f>IF($X11="","",Config!$B$11)</f>
        <v>warehouse-movements-2026-10-14.csv</v>
      </c>
      <c r="L11" s="24" t="str">
        <f>IF($X11="","","CSV row "&amp;($X11+1))</f>
        <v>CSV row 16</v>
      </c>
      <c r="N11" s="24" t="str">
        <f>IF($Y11="","",INDEX(Import_Staging!$F$2:$F$301,$Y11)&amp;"")</f>
        <v/>
      </c>
      <c r="O11" s="24" t="str">
        <f>IF($Y11="","",INDEX(Import_Staging!$D$2:$D$301,$Y11)&amp;"")</f>
        <v/>
      </c>
      <c r="P11" s="24" t="str">
        <f>IF($Y11="","",INDEX(Import_Staging!$E$2:$E$301,$Y11)&amp;"")</f>
        <v/>
      </c>
      <c r="Q11" s="27" t="n"/>
      <c r="R11" s="27" t="str">
        <f>IF($Y11="","",INDEX(Import_Staging!$N$2:$N$301,$Y11))</f>
        <v/>
      </c>
      <c r="S11" s="70" t="str">
        <f>IF($Y11="","",0)</f>
        <v/>
      </c>
      <c r="T11" s="24" t="str">
        <f>IF($Y11="","",INDEX(Import_Staging!$I$2:$I$301,$Y11)&amp;"")</f>
        <v/>
      </c>
      <c r="U11" s="24" t="n"/>
      <c r="V11" s="24" t="str">
        <f>IF($Y11="","","Received "&amp;TEXT(INDEX(Import_Staging!$M$2:$M$301,$Y11),"yyyy-mm-dd")&amp;" (CSV row "&amp;($Y11+1)&amp;")")</f>
        <v/>
      </c>
      <c r="X11">
        <f>IFERROR(MATCH(6,Import_Staging!$BT$2:$BT$301,0),"")</f>
        <v>15</v>
      </c>
      <c r="Y11" t="str">
        <f>IFERROR(MATCH(6,Import_Staging!$BV$2:$BV$301,0),"")</f>
        <v/>
      </c>
    </row>
    <row r="12">
      <c r="A12" s="24" t="str">
        <f>IF($X12="","",INDEX(Import_Staging!$A$2:$A$301,$X12)&amp;"")</f>
        <v>MV-2610-027</v>
      </c>
      <c r="B12" s="27">
        <f>IF($X12="","",INDEX(Import_Staging!$M$2:$M$301,$X12))</f>
        <v>46309</v>
      </c>
      <c r="C12" s="24" t="str">
        <f>IF($X12="","",INDEX(Import_Staging!$C$2:$C$301,$X12)&amp;"")</f>
        <v>Shipment</v>
      </c>
      <c r="D12" s="24" t="str">
        <f>IF($X12="","",INDEX(Import_Staging!$D$2:$D$301,$X12)&amp;"")</f>
        <v>CAS-CHO-2LB</v>
      </c>
      <c r="E12" s="69">
        <f>IF($X12="","",INDEX(Import_Staging!$O$2:$O$301,$X12))</f>
        <v>18</v>
      </c>
      <c r="F12" s="24" t="str">
        <f>IF($X12="","",INDEX(Import_Staging!$F$2:$F$301,$X12)&amp;"")</f>
        <v>CCA2412A</v>
      </c>
      <c r="G12" s="24" t="str">
        <f>IF($X12="","",INDEX(Import_Staging!$J$2:$J$301,$X12)&amp;"")</f>
        <v/>
      </c>
      <c r="H12" s="24" t="str">
        <f>IF($X12="","",INDEX(Import_Staging!$K$2:$K$301,$X12)&amp;"")</f>
        <v>OB-1014</v>
      </c>
      <c r="I12" s="24" t="str">
        <f>IF($X12="","",INDEX(Import_Staging!$L$2:$L$301,$X12)&amp;"")</f>
        <v>https://example.com/3pl/movements/MV-2610-027</v>
      </c>
      <c r="J12" s="24" t="str">
        <f>IF($X12="","","3PL import")</f>
        <v>3PL import</v>
      </c>
      <c r="K12" s="24" t="str">
        <f>IF($X12="","",Config!$B$11)</f>
        <v>warehouse-movements-2026-10-14.csv</v>
      </c>
      <c r="L12" s="24" t="str">
        <f>IF($X12="","","CSV row "&amp;($X12+1))</f>
        <v>CSV row 17</v>
      </c>
      <c r="N12" s="24" t="str">
        <f>IF($Y12="","",INDEX(Import_Staging!$F$2:$F$301,$Y12)&amp;"")</f>
        <v/>
      </c>
      <c r="O12" s="24" t="str">
        <f>IF($Y12="","",INDEX(Import_Staging!$D$2:$D$301,$Y12)&amp;"")</f>
        <v/>
      </c>
      <c r="P12" s="24" t="str">
        <f>IF($Y12="","",INDEX(Import_Staging!$E$2:$E$301,$Y12)&amp;"")</f>
        <v/>
      </c>
      <c r="Q12" s="27" t="n"/>
      <c r="R12" s="27" t="str">
        <f>IF($Y12="","",INDEX(Import_Staging!$N$2:$N$301,$Y12))</f>
        <v/>
      </c>
      <c r="S12" s="70" t="str">
        <f>IF($Y12="","",0)</f>
        <v/>
      </c>
      <c r="T12" s="24" t="str">
        <f>IF($Y12="","",INDEX(Import_Staging!$I$2:$I$301,$Y12)&amp;"")</f>
        <v/>
      </c>
      <c r="U12" s="24" t="n"/>
      <c r="V12" s="24" t="str">
        <f>IF($Y12="","","Received "&amp;TEXT(INDEX(Import_Staging!$M$2:$M$301,$Y12),"yyyy-mm-dd")&amp;" (CSV row "&amp;($Y12+1)&amp;")")</f>
        <v/>
      </c>
      <c r="X12">
        <f>IFERROR(MATCH(7,Import_Staging!$BT$2:$BT$301,0),"")</f>
        <v>16</v>
      </c>
      <c r="Y12" t="str">
        <f>IFERROR(MATCH(7,Import_Staging!$BV$2:$BV$301,0),"")</f>
        <v/>
      </c>
    </row>
    <row r="13">
      <c r="A13" s="24" t="str">
        <f>IF($X13="","",INDEX(Import_Staging!$A$2:$A$301,$X13)&amp;"")</f>
        <v>MV-2610-029</v>
      </c>
      <c r="B13" s="27">
        <f>IF($X13="","",INDEX(Import_Staging!$M$2:$M$301,$X13))</f>
        <v>46309</v>
      </c>
      <c r="C13" s="24" t="str">
        <f>IF($X13="","",INDEX(Import_Staging!$C$2:$C$301,$X13)&amp;"")</f>
        <v>Shipment</v>
      </c>
      <c r="D13" s="24" t="str">
        <f>IF($X13="","",INDEX(Import_Staging!$D$2:$D$301,$X13)&amp;"")</f>
        <v>WPI-VAN-2LB</v>
      </c>
      <c r="E13" s="69">
        <f>IF($X13="","",INDEX(Import_Staging!$O$2:$O$301,$X13))</f>
        <v>40</v>
      </c>
      <c r="F13" s="24" t="str">
        <f>IF($X13="","",INDEX(Import_Staging!$F$2:$F$301,$X13)&amp;"")</f>
        <v>WVA2411A</v>
      </c>
      <c r="G13" s="24" t="str">
        <f>IF($X13="","",INDEX(Import_Staging!$J$2:$J$301,$X13)&amp;"")</f>
        <v/>
      </c>
      <c r="H13" s="24" t="str">
        <f>IF($X13="","",INDEX(Import_Staging!$K$2:$K$301,$X13)&amp;"")</f>
        <v>OB-1014</v>
      </c>
      <c r="I13" s="24" t="str">
        <f>IF($X13="","",INDEX(Import_Staging!$L$2:$L$301,$X13)&amp;"")</f>
        <v>https://example.com/3pl/movements/MV-2610-029</v>
      </c>
      <c r="J13" s="24" t="str">
        <f>IF($X13="","","3PL import")</f>
        <v>3PL import</v>
      </c>
      <c r="K13" s="24" t="str">
        <f>IF($X13="","",Config!$B$11)</f>
        <v>warehouse-movements-2026-10-14.csv</v>
      </c>
      <c r="L13" s="24" t="str">
        <f>IF($X13="","","CSV row "&amp;($X13+1))</f>
        <v>CSV row 19</v>
      </c>
      <c r="N13" s="24" t="str">
        <f>IF($Y13="","",INDEX(Import_Staging!$F$2:$F$301,$Y13)&amp;"")</f>
        <v/>
      </c>
      <c r="O13" s="24" t="str">
        <f>IF($Y13="","",INDEX(Import_Staging!$D$2:$D$301,$Y13)&amp;"")</f>
        <v/>
      </c>
      <c r="P13" s="24" t="str">
        <f>IF($Y13="","",INDEX(Import_Staging!$E$2:$E$301,$Y13)&amp;"")</f>
        <v/>
      </c>
      <c r="Q13" s="27" t="n"/>
      <c r="R13" s="27" t="str">
        <f>IF($Y13="","",INDEX(Import_Staging!$N$2:$N$301,$Y13))</f>
        <v/>
      </c>
      <c r="S13" s="70" t="str">
        <f>IF($Y13="","",0)</f>
        <v/>
      </c>
      <c r="T13" s="24" t="str">
        <f>IF($Y13="","",INDEX(Import_Staging!$I$2:$I$301,$Y13)&amp;"")</f>
        <v/>
      </c>
      <c r="U13" s="24" t="n"/>
      <c r="V13" s="24" t="str">
        <f>IF($Y13="","","Received "&amp;TEXT(INDEX(Import_Staging!$M$2:$M$301,$Y13),"yyyy-mm-dd")&amp;" (CSV row "&amp;($Y13+1)&amp;")")</f>
        <v/>
      </c>
      <c r="X13">
        <f>IFERROR(MATCH(8,Import_Staging!$BT$2:$BT$301,0),"")</f>
        <v>18</v>
      </c>
      <c r="Y13" t="str">
        <f>IFERROR(MATCH(8,Import_Staging!$BV$2:$BV$301,0),"")</f>
        <v/>
      </c>
    </row>
    <row r="14">
      <c r="A14" s="24" t="str">
        <f>IF($X14="","",INDEX(Import_Staging!$A$2:$A$301,$X14)&amp;"")</f>
        <v/>
      </c>
      <c r="B14" s="27" t="str">
        <f>IF($X14="","",INDEX(Import_Staging!$M$2:$M$301,$X14))</f>
        <v/>
      </c>
      <c r="C14" s="24" t="str">
        <f>IF($X14="","",INDEX(Import_Staging!$C$2:$C$301,$X14)&amp;"")</f>
        <v/>
      </c>
      <c r="D14" s="24" t="str">
        <f>IF($X14="","",INDEX(Import_Staging!$D$2:$D$301,$X14)&amp;"")</f>
        <v/>
      </c>
      <c r="E14" s="69" t="str">
        <f>IF($X14="","",INDEX(Import_Staging!$O$2:$O$301,$X14))</f>
        <v/>
      </c>
      <c r="F14" s="24" t="str">
        <f>IF($X14="","",INDEX(Import_Staging!$F$2:$F$301,$X14)&amp;"")</f>
        <v/>
      </c>
      <c r="G14" s="24" t="str">
        <f>IF($X14="","",INDEX(Import_Staging!$J$2:$J$301,$X14)&amp;"")</f>
        <v/>
      </c>
      <c r="H14" s="24" t="str">
        <f>IF($X14="","",INDEX(Import_Staging!$K$2:$K$301,$X14)&amp;"")</f>
        <v/>
      </c>
      <c r="I14" s="24" t="str">
        <f>IF($X14="","",INDEX(Import_Staging!$L$2:$L$301,$X14)&amp;"")</f>
        <v/>
      </c>
      <c r="J14" s="24" t="str">
        <f>IF($X14="","","3PL import")</f>
        <v/>
      </c>
      <c r="K14" s="24" t="str">
        <f>IF($X14="","",Config!$B$11)</f>
        <v/>
      </c>
      <c r="L14" s="24" t="str">
        <f>IF($X14="","","CSV row "&amp;($X14+1))</f>
        <v/>
      </c>
      <c r="N14" s="24" t="str">
        <f>IF($Y14="","",INDEX(Import_Staging!$F$2:$F$301,$Y14)&amp;"")</f>
        <v/>
      </c>
      <c r="O14" s="24" t="str">
        <f>IF($Y14="","",INDEX(Import_Staging!$D$2:$D$301,$Y14)&amp;"")</f>
        <v/>
      </c>
      <c r="P14" s="24" t="str">
        <f>IF($Y14="","",INDEX(Import_Staging!$E$2:$E$301,$Y14)&amp;"")</f>
        <v/>
      </c>
      <c r="Q14" s="27" t="n"/>
      <c r="R14" s="27" t="str">
        <f>IF($Y14="","",INDEX(Import_Staging!$N$2:$N$301,$Y14))</f>
        <v/>
      </c>
      <c r="S14" s="70" t="str">
        <f>IF($Y14="","",0)</f>
        <v/>
      </c>
      <c r="T14" s="24" t="str">
        <f>IF($Y14="","",INDEX(Import_Staging!$I$2:$I$301,$Y14)&amp;"")</f>
        <v/>
      </c>
      <c r="U14" s="24" t="n"/>
      <c r="V14" s="24" t="str">
        <f>IF($Y14="","","Received "&amp;TEXT(INDEX(Import_Staging!$M$2:$M$301,$Y14),"yyyy-mm-dd")&amp;" (CSV row "&amp;($Y14+1)&amp;")")</f>
        <v/>
      </c>
      <c r="X14" t="str">
        <f>IFERROR(MATCH(9,Import_Staging!$BT$2:$BT$301,0),"")</f>
        <v/>
      </c>
      <c r="Y14" t="str">
        <f>IFERROR(MATCH(9,Import_Staging!$BV$2:$BV$301,0),"")</f>
        <v/>
      </c>
    </row>
    <row r="15">
      <c r="A15" s="24" t="str">
        <f>IF($X15="","",INDEX(Import_Staging!$A$2:$A$301,$X15)&amp;"")</f>
        <v/>
      </c>
      <c r="B15" s="27" t="str">
        <f>IF($X15="","",INDEX(Import_Staging!$M$2:$M$301,$X15))</f>
        <v/>
      </c>
      <c r="C15" s="24" t="str">
        <f>IF($X15="","",INDEX(Import_Staging!$C$2:$C$301,$X15)&amp;"")</f>
        <v/>
      </c>
      <c r="D15" s="24" t="str">
        <f>IF($X15="","",INDEX(Import_Staging!$D$2:$D$301,$X15)&amp;"")</f>
        <v/>
      </c>
      <c r="E15" s="69" t="str">
        <f>IF($X15="","",INDEX(Import_Staging!$O$2:$O$301,$X15))</f>
        <v/>
      </c>
      <c r="F15" s="24" t="str">
        <f>IF($X15="","",INDEX(Import_Staging!$F$2:$F$301,$X15)&amp;"")</f>
        <v/>
      </c>
      <c r="G15" s="24" t="str">
        <f>IF($X15="","",INDEX(Import_Staging!$J$2:$J$301,$X15)&amp;"")</f>
        <v/>
      </c>
      <c r="H15" s="24" t="str">
        <f>IF($X15="","",INDEX(Import_Staging!$K$2:$K$301,$X15)&amp;"")</f>
        <v/>
      </c>
      <c r="I15" s="24" t="str">
        <f>IF($X15="","",INDEX(Import_Staging!$L$2:$L$301,$X15)&amp;"")</f>
        <v/>
      </c>
      <c r="J15" s="24" t="str">
        <f>IF($X15="","","3PL import")</f>
        <v/>
      </c>
      <c r="K15" s="24" t="str">
        <f>IF($X15="","",Config!$B$11)</f>
        <v/>
      </c>
      <c r="L15" s="24" t="str">
        <f>IF($X15="","","CSV row "&amp;($X15+1))</f>
        <v/>
      </c>
      <c r="N15" s="24" t="str">
        <f>IF($Y15="","",INDEX(Import_Staging!$F$2:$F$301,$Y15)&amp;"")</f>
        <v/>
      </c>
      <c r="O15" s="24" t="str">
        <f>IF($Y15="","",INDEX(Import_Staging!$D$2:$D$301,$Y15)&amp;"")</f>
        <v/>
      </c>
      <c r="P15" s="24" t="str">
        <f>IF($Y15="","",INDEX(Import_Staging!$E$2:$E$301,$Y15)&amp;"")</f>
        <v/>
      </c>
      <c r="Q15" s="27" t="n"/>
      <c r="R15" s="27" t="str">
        <f>IF($Y15="","",INDEX(Import_Staging!$N$2:$N$301,$Y15))</f>
        <v/>
      </c>
      <c r="S15" s="70" t="str">
        <f>IF($Y15="","",0)</f>
        <v/>
      </c>
      <c r="T15" s="24" t="str">
        <f>IF($Y15="","",INDEX(Import_Staging!$I$2:$I$301,$Y15)&amp;"")</f>
        <v/>
      </c>
      <c r="U15" s="24" t="n"/>
      <c r="V15" s="24" t="str">
        <f>IF($Y15="","","Received "&amp;TEXT(INDEX(Import_Staging!$M$2:$M$301,$Y15),"yyyy-mm-dd")&amp;" (CSV row "&amp;($Y15+1)&amp;")")</f>
        <v/>
      </c>
      <c r="X15" t="str">
        <f>IFERROR(MATCH(10,Import_Staging!$BT$2:$BT$301,0),"")</f>
        <v/>
      </c>
      <c r="Y15" t="str">
        <f>IFERROR(MATCH(10,Import_Staging!$BV$2:$BV$301,0),"")</f>
        <v/>
      </c>
    </row>
    <row r="16">
      <c r="A16" s="24" t="str">
        <f>IF($X16="","",INDEX(Import_Staging!$A$2:$A$301,$X16)&amp;"")</f>
        <v/>
      </c>
      <c r="B16" s="27" t="str">
        <f>IF($X16="","",INDEX(Import_Staging!$M$2:$M$301,$X16))</f>
        <v/>
      </c>
      <c r="C16" s="24" t="str">
        <f>IF($X16="","",INDEX(Import_Staging!$C$2:$C$301,$X16)&amp;"")</f>
        <v/>
      </c>
      <c r="D16" s="24" t="str">
        <f>IF($X16="","",INDEX(Import_Staging!$D$2:$D$301,$X16)&amp;"")</f>
        <v/>
      </c>
      <c r="E16" s="69" t="str">
        <f>IF($X16="","",INDEX(Import_Staging!$O$2:$O$301,$X16))</f>
        <v/>
      </c>
      <c r="F16" s="24" t="str">
        <f>IF($X16="","",INDEX(Import_Staging!$F$2:$F$301,$X16)&amp;"")</f>
        <v/>
      </c>
      <c r="G16" s="24" t="str">
        <f>IF($X16="","",INDEX(Import_Staging!$J$2:$J$301,$X16)&amp;"")</f>
        <v/>
      </c>
      <c r="H16" s="24" t="str">
        <f>IF($X16="","",INDEX(Import_Staging!$K$2:$K$301,$X16)&amp;"")</f>
        <v/>
      </c>
      <c r="I16" s="24" t="str">
        <f>IF($X16="","",INDEX(Import_Staging!$L$2:$L$301,$X16)&amp;"")</f>
        <v/>
      </c>
      <c r="J16" s="24" t="str">
        <f>IF($X16="","","3PL import")</f>
        <v/>
      </c>
      <c r="K16" s="24" t="str">
        <f>IF($X16="","",Config!$B$11)</f>
        <v/>
      </c>
      <c r="L16" s="24" t="str">
        <f>IF($X16="","","CSV row "&amp;($X16+1))</f>
        <v/>
      </c>
      <c r="N16" s="24" t="str">
        <f>IF($Y16="","",INDEX(Import_Staging!$F$2:$F$301,$Y16)&amp;"")</f>
        <v/>
      </c>
      <c r="O16" s="24" t="str">
        <f>IF($Y16="","",INDEX(Import_Staging!$D$2:$D$301,$Y16)&amp;"")</f>
        <v/>
      </c>
      <c r="P16" s="24" t="str">
        <f>IF($Y16="","",INDEX(Import_Staging!$E$2:$E$301,$Y16)&amp;"")</f>
        <v/>
      </c>
      <c r="Q16" s="27" t="n"/>
      <c r="R16" s="27" t="str">
        <f>IF($Y16="","",INDEX(Import_Staging!$N$2:$N$301,$Y16))</f>
        <v/>
      </c>
      <c r="S16" s="70" t="str">
        <f>IF($Y16="","",0)</f>
        <v/>
      </c>
      <c r="T16" s="24" t="str">
        <f>IF($Y16="","",INDEX(Import_Staging!$I$2:$I$301,$Y16)&amp;"")</f>
        <v/>
      </c>
      <c r="U16" s="24" t="n"/>
      <c r="V16" s="24" t="str">
        <f>IF($Y16="","","Received "&amp;TEXT(INDEX(Import_Staging!$M$2:$M$301,$Y16),"yyyy-mm-dd")&amp;" (CSV row "&amp;($Y16+1)&amp;")")</f>
        <v/>
      </c>
      <c r="X16" t="str">
        <f>IFERROR(MATCH(11,Import_Staging!$BT$2:$BT$301,0),"")</f>
        <v/>
      </c>
      <c r="Y16" t="str">
        <f>IFERROR(MATCH(11,Import_Staging!$BV$2:$BV$301,0),"")</f>
        <v/>
      </c>
    </row>
    <row r="17">
      <c r="A17" s="24" t="str">
        <f>IF($X17="","",INDEX(Import_Staging!$A$2:$A$301,$X17)&amp;"")</f>
        <v/>
      </c>
      <c r="B17" s="27" t="str">
        <f>IF($X17="","",INDEX(Import_Staging!$M$2:$M$301,$X17))</f>
        <v/>
      </c>
      <c r="C17" s="24" t="str">
        <f>IF($X17="","",INDEX(Import_Staging!$C$2:$C$301,$X17)&amp;"")</f>
        <v/>
      </c>
      <c r="D17" s="24" t="str">
        <f>IF($X17="","",INDEX(Import_Staging!$D$2:$D$301,$X17)&amp;"")</f>
        <v/>
      </c>
      <c r="E17" s="69" t="str">
        <f>IF($X17="","",INDEX(Import_Staging!$O$2:$O$301,$X17))</f>
        <v/>
      </c>
      <c r="F17" s="24" t="str">
        <f>IF($X17="","",INDEX(Import_Staging!$F$2:$F$301,$X17)&amp;"")</f>
        <v/>
      </c>
      <c r="G17" s="24" t="str">
        <f>IF($X17="","",INDEX(Import_Staging!$J$2:$J$301,$X17)&amp;"")</f>
        <v/>
      </c>
      <c r="H17" s="24" t="str">
        <f>IF($X17="","",INDEX(Import_Staging!$K$2:$K$301,$X17)&amp;"")</f>
        <v/>
      </c>
      <c r="I17" s="24" t="str">
        <f>IF($X17="","",INDEX(Import_Staging!$L$2:$L$301,$X17)&amp;"")</f>
        <v/>
      </c>
      <c r="J17" s="24" t="str">
        <f>IF($X17="","","3PL import")</f>
        <v/>
      </c>
      <c r="K17" s="24" t="str">
        <f>IF($X17="","",Config!$B$11)</f>
        <v/>
      </c>
      <c r="L17" s="24" t="str">
        <f>IF($X17="","","CSV row "&amp;($X17+1))</f>
        <v/>
      </c>
      <c r="N17" s="24" t="str">
        <f>IF($Y17="","",INDEX(Import_Staging!$F$2:$F$301,$Y17)&amp;"")</f>
        <v/>
      </c>
      <c r="O17" s="24" t="str">
        <f>IF($Y17="","",INDEX(Import_Staging!$D$2:$D$301,$Y17)&amp;"")</f>
        <v/>
      </c>
      <c r="P17" s="24" t="str">
        <f>IF($Y17="","",INDEX(Import_Staging!$E$2:$E$301,$Y17)&amp;"")</f>
        <v/>
      </c>
      <c r="Q17" s="27" t="n"/>
      <c r="R17" s="27" t="str">
        <f>IF($Y17="","",INDEX(Import_Staging!$N$2:$N$301,$Y17))</f>
        <v/>
      </c>
      <c r="S17" s="70" t="str">
        <f>IF($Y17="","",0)</f>
        <v/>
      </c>
      <c r="T17" s="24" t="str">
        <f>IF($Y17="","",INDEX(Import_Staging!$I$2:$I$301,$Y17)&amp;"")</f>
        <v/>
      </c>
      <c r="U17" s="24" t="n"/>
      <c r="V17" s="24" t="str">
        <f>IF($Y17="","","Received "&amp;TEXT(INDEX(Import_Staging!$M$2:$M$301,$Y17),"yyyy-mm-dd")&amp;" (CSV row "&amp;($Y17+1)&amp;")")</f>
        <v/>
      </c>
      <c r="X17" t="str">
        <f>IFERROR(MATCH(12,Import_Staging!$BT$2:$BT$301,0),"")</f>
        <v/>
      </c>
      <c r="Y17" t="str">
        <f>IFERROR(MATCH(12,Import_Staging!$BV$2:$BV$301,0),"")</f>
        <v/>
      </c>
    </row>
    <row r="18">
      <c r="A18" s="24" t="str">
        <f>IF($X18="","",INDEX(Import_Staging!$A$2:$A$301,$X18)&amp;"")</f>
        <v/>
      </c>
      <c r="B18" s="27" t="str">
        <f>IF($X18="","",INDEX(Import_Staging!$M$2:$M$301,$X18))</f>
        <v/>
      </c>
      <c r="C18" s="24" t="str">
        <f>IF($X18="","",INDEX(Import_Staging!$C$2:$C$301,$X18)&amp;"")</f>
        <v/>
      </c>
      <c r="D18" s="24" t="str">
        <f>IF($X18="","",INDEX(Import_Staging!$D$2:$D$301,$X18)&amp;"")</f>
        <v/>
      </c>
      <c r="E18" s="69" t="str">
        <f>IF($X18="","",INDEX(Import_Staging!$O$2:$O$301,$X18))</f>
        <v/>
      </c>
      <c r="F18" s="24" t="str">
        <f>IF($X18="","",INDEX(Import_Staging!$F$2:$F$301,$X18)&amp;"")</f>
        <v/>
      </c>
      <c r="G18" s="24" t="str">
        <f>IF($X18="","",INDEX(Import_Staging!$J$2:$J$301,$X18)&amp;"")</f>
        <v/>
      </c>
      <c r="H18" s="24" t="str">
        <f>IF($X18="","",INDEX(Import_Staging!$K$2:$K$301,$X18)&amp;"")</f>
        <v/>
      </c>
      <c r="I18" s="24" t="str">
        <f>IF($X18="","",INDEX(Import_Staging!$L$2:$L$301,$X18)&amp;"")</f>
        <v/>
      </c>
      <c r="J18" s="24" t="str">
        <f>IF($X18="","","3PL import")</f>
        <v/>
      </c>
      <c r="K18" s="24" t="str">
        <f>IF($X18="","",Config!$B$11)</f>
        <v/>
      </c>
      <c r="L18" s="24" t="str">
        <f>IF($X18="","","CSV row "&amp;($X18+1))</f>
        <v/>
      </c>
      <c r="N18" s="24" t="str">
        <f>IF($Y18="","",INDEX(Import_Staging!$F$2:$F$301,$Y18)&amp;"")</f>
        <v/>
      </c>
      <c r="O18" s="24" t="str">
        <f>IF($Y18="","",INDEX(Import_Staging!$D$2:$D$301,$Y18)&amp;"")</f>
        <v/>
      </c>
      <c r="P18" s="24" t="str">
        <f>IF($Y18="","",INDEX(Import_Staging!$E$2:$E$301,$Y18)&amp;"")</f>
        <v/>
      </c>
      <c r="Q18" s="27" t="n"/>
      <c r="R18" s="27" t="str">
        <f>IF($Y18="","",INDEX(Import_Staging!$N$2:$N$301,$Y18))</f>
        <v/>
      </c>
      <c r="S18" s="70" t="str">
        <f>IF($Y18="","",0)</f>
        <v/>
      </c>
      <c r="T18" s="24" t="str">
        <f>IF($Y18="","",INDEX(Import_Staging!$I$2:$I$301,$Y18)&amp;"")</f>
        <v/>
      </c>
      <c r="U18" s="24" t="n"/>
      <c r="V18" s="24" t="str">
        <f>IF($Y18="","","Received "&amp;TEXT(INDEX(Import_Staging!$M$2:$M$301,$Y18),"yyyy-mm-dd")&amp;" (CSV row "&amp;($Y18+1)&amp;")")</f>
        <v/>
      </c>
      <c r="X18" t="str">
        <f>IFERROR(MATCH(13,Import_Staging!$BT$2:$BT$301,0),"")</f>
        <v/>
      </c>
      <c r="Y18" t="str">
        <f>IFERROR(MATCH(13,Import_Staging!$BV$2:$BV$301,0),"")</f>
        <v/>
      </c>
    </row>
    <row r="19">
      <c r="A19" s="24" t="str">
        <f>IF($X19="","",INDEX(Import_Staging!$A$2:$A$301,$X19)&amp;"")</f>
        <v/>
      </c>
      <c r="B19" s="27" t="str">
        <f>IF($X19="","",INDEX(Import_Staging!$M$2:$M$301,$X19))</f>
        <v/>
      </c>
      <c r="C19" s="24" t="str">
        <f>IF($X19="","",INDEX(Import_Staging!$C$2:$C$301,$X19)&amp;"")</f>
        <v/>
      </c>
      <c r="D19" s="24" t="str">
        <f>IF($X19="","",INDEX(Import_Staging!$D$2:$D$301,$X19)&amp;"")</f>
        <v/>
      </c>
      <c r="E19" s="69" t="str">
        <f>IF($X19="","",INDEX(Import_Staging!$O$2:$O$301,$X19))</f>
        <v/>
      </c>
      <c r="F19" s="24" t="str">
        <f>IF($X19="","",INDEX(Import_Staging!$F$2:$F$301,$X19)&amp;"")</f>
        <v/>
      </c>
      <c r="G19" s="24" t="str">
        <f>IF($X19="","",INDEX(Import_Staging!$J$2:$J$301,$X19)&amp;"")</f>
        <v/>
      </c>
      <c r="H19" s="24" t="str">
        <f>IF($X19="","",INDEX(Import_Staging!$K$2:$K$301,$X19)&amp;"")</f>
        <v/>
      </c>
      <c r="I19" s="24" t="str">
        <f>IF($X19="","",INDEX(Import_Staging!$L$2:$L$301,$X19)&amp;"")</f>
        <v/>
      </c>
      <c r="J19" s="24" t="str">
        <f>IF($X19="","","3PL import")</f>
        <v/>
      </c>
      <c r="K19" s="24" t="str">
        <f>IF($X19="","",Config!$B$11)</f>
        <v/>
      </c>
      <c r="L19" s="24" t="str">
        <f>IF($X19="","","CSV row "&amp;($X19+1))</f>
        <v/>
      </c>
      <c r="N19" s="24" t="str">
        <f>IF($Y19="","",INDEX(Import_Staging!$F$2:$F$301,$Y19)&amp;"")</f>
        <v/>
      </c>
      <c r="O19" s="24" t="str">
        <f>IF($Y19="","",INDEX(Import_Staging!$D$2:$D$301,$Y19)&amp;"")</f>
        <v/>
      </c>
      <c r="P19" s="24" t="str">
        <f>IF($Y19="","",INDEX(Import_Staging!$E$2:$E$301,$Y19)&amp;"")</f>
        <v/>
      </c>
      <c r="Q19" s="27" t="n"/>
      <c r="R19" s="27" t="str">
        <f>IF($Y19="","",INDEX(Import_Staging!$N$2:$N$301,$Y19))</f>
        <v/>
      </c>
      <c r="S19" s="70" t="str">
        <f>IF($Y19="","",0)</f>
        <v/>
      </c>
      <c r="T19" s="24" t="str">
        <f>IF($Y19="","",INDEX(Import_Staging!$I$2:$I$301,$Y19)&amp;"")</f>
        <v/>
      </c>
      <c r="U19" s="24" t="n"/>
      <c r="V19" s="24" t="str">
        <f>IF($Y19="","","Received "&amp;TEXT(INDEX(Import_Staging!$M$2:$M$301,$Y19),"yyyy-mm-dd")&amp;" (CSV row "&amp;($Y19+1)&amp;")")</f>
        <v/>
      </c>
      <c r="X19" t="str">
        <f>IFERROR(MATCH(14,Import_Staging!$BT$2:$BT$301,0),"")</f>
        <v/>
      </c>
      <c r="Y19" t="str">
        <f>IFERROR(MATCH(14,Import_Staging!$BV$2:$BV$301,0),"")</f>
        <v/>
      </c>
    </row>
    <row r="20">
      <c r="A20" s="24" t="str">
        <f>IF($X20="","",INDEX(Import_Staging!$A$2:$A$301,$X20)&amp;"")</f>
        <v/>
      </c>
      <c r="B20" s="27" t="str">
        <f>IF($X20="","",INDEX(Import_Staging!$M$2:$M$301,$X20))</f>
        <v/>
      </c>
      <c r="C20" s="24" t="str">
        <f>IF($X20="","",INDEX(Import_Staging!$C$2:$C$301,$X20)&amp;"")</f>
        <v/>
      </c>
      <c r="D20" s="24" t="str">
        <f>IF($X20="","",INDEX(Import_Staging!$D$2:$D$301,$X20)&amp;"")</f>
        <v/>
      </c>
      <c r="E20" s="69" t="str">
        <f>IF($X20="","",INDEX(Import_Staging!$O$2:$O$301,$X20))</f>
        <v/>
      </c>
      <c r="F20" s="24" t="str">
        <f>IF($X20="","",INDEX(Import_Staging!$F$2:$F$301,$X20)&amp;"")</f>
        <v/>
      </c>
      <c r="G20" s="24" t="str">
        <f>IF($X20="","",INDEX(Import_Staging!$J$2:$J$301,$X20)&amp;"")</f>
        <v/>
      </c>
      <c r="H20" s="24" t="str">
        <f>IF($X20="","",INDEX(Import_Staging!$K$2:$K$301,$X20)&amp;"")</f>
        <v/>
      </c>
      <c r="I20" s="24" t="str">
        <f>IF($X20="","",INDEX(Import_Staging!$L$2:$L$301,$X20)&amp;"")</f>
        <v/>
      </c>
      <c r="J20" s="24" t="str">
        <f>IF($X20="","","3PL import")</f>
        <v/>
      </c>
      <c r="K20" s="24" t="str">
        <f>IF($X20="","",Config!$B$11)</f>
        <v/>
      </c>
      <c r="L20" s="24" t="str">
        <f>IF($X20="","","CSV row "&amp;($X20+1))</f>
        <v/>
      </c>
      <c r="N20" s="24" t="str">
        <f>IF($Y20="","",INDEX(Import_Staging!$F$2:$F$301,$Y20)&amp;"")</f>
        <v/>
      </c>
      <c r="O20" s="24" t="str">
        <f>IF($Y20="","",INDEX(Import_Staging!$D$2:$D$301,$Y20)&amp;"")</f>
        <v/>
      </c>
      <c r="P20" s="24" t="str">
        <f>IF($Y20="","",INDEX(Import_Staging!$E$2:$E$301,$Y20)&amp;"")</f>
        <v/>
      </c>
      <c r="Q20" s="27" t="n"/>
      <c r="R20" s="27" t="str">
        <f>IF($Y20="","",INDEX(Import_Staging!$N$2:$N$301,$Y20))</f>
        <v/>
      </c>
      <c r="S20" s="70" t="str">
        <f>IF($Y20="","",0)</f>
        <v/>
      </c>
      <c r="T20" s="24" t="str">
        <f>IF($Y20="","",INDEX(Import_Staging!$I$2:$I$301,$Y20)&amp;"")</f>
        <v/>
      </c>
      <c r="U20" s="24" t="n"/>
      <c r="V20" s="24" t="str">
        <f>IF($Y20="","","Received "&amp;TEXT(INDEX(Import_Staging!$M$2:$M$301,$Y20),"yyyy-mm-dd")&amp;" (CSV row "&amp;($Y20+1)&amp;")")</f>
        <v/>
      </c>
      <c r="X20" t="str">
        <f>IFERROR(MATCH(15,Import_Staging!$BT$2:$BT$301,0),"")</f>
        <v/>
      </c>
      <c r="Y20" t="str">
        <f>IFERROR(MATCH(15,Import_Staging!$BV$2:$BV$301,0),"")</f>
        <v/>
      </c>
    </row>
    <row r="21">
      <c r="A21" s="24" t="str">
        <f>IF($X21="","",INDEX(Import_Staging!$A$2:$A$301,$X21)&amp;"")</f>
        <v/>
      </c>
      <c r="B21" s="27" t="str">
        <f>IF($X21="","",INDEX(Import_Staging!$M$2:$M$301,$X21))</f>
        <v/>
      </c>
      <c r="C21" s="24" t="str">
        <f>IF($X21="","",INDEX(Import_Staging!$C$2:$C$301,$X21)&amp;"")</f>
        <v/>
      </c>
      <c r="D21" s="24" t="str">
        <f>IF($X21="","",INDEX(Import_Staging!$D$2:$D$301,$X21)&amp;"")</f>
        <v/>
      </c>
      <c r="E21" s="69" t="str">
        <f>IF($X21="","",INDEX(Import_Staging!$O$2:$O$301,$X21))</f>
        <v/>
      </c>
      <c r="F21" s="24" t="str">
        <f>IF($X21="","",INDEX(Import_Staging!$F$2:$F$301,$X21)&amp;"")</f>
        <v/>
      </c>
      <c r="G21" s="24" t="str">
        <f>IF($X21="","",INDEX(Import_Staging!$J$2:$J$301,$X21)&amp;"")</f>
        <v/>
      </c>
      <c r="H21" s="24" t="str">
        <f>IF($X21="","",INDEX(Import_Staging!$K$2:$K$301,$X21)&amp;"")</f>
        <v/>
      </c>
      <c r="I21" s="24" t="str">
        <f>IF($X21="","",INDEX(Import_Staging!$L$2:$L$301,$X21)&amp;"")</f>
        <v/>
      </c>
      <c r="J21" s="24" t="str">
        <f>IF($X21="","","3PL import")</f>
        <v/>
      </c>
      <c r="K21" s="24" t="str">
        <f>IF($X21="","",Config!$B$11)</f>
        <v/>
      </c>
      <c r="L21" s="24" t="str">
        <f>IF($X21="","","CSV row "&amp;($X21+1))</f>
        <v/>
      </c>
      <c r="N21" s="24" t="str">
        <f>IF($Y21="","",INDEX(Import_Staging!$F$2:$F$301,$Y21)&amp;"")</f>
        <v/>
      </c>
      <c r="O21" s="24" t="str">
        <f>IF($Y21="","",INDEX(Import_Staging!$D$2:$D$301,$Y21)&amp;"")</f>
        <v/>
      </c>
      <c r="P21" s="24" t="str">
        <f>IF($Y21="","",INDEX(Import_Staging!$E$2:$E$301,$Y21)&amp;"")</f>
        <v/>
      </c>
      <c r="Q21" s="27" t="n"/>
      <c r="R21" s="27" t="str">
        <f>IF($Y21="","",INDEX(Import_Staging!$N$2:$N$301,$Y21))</f>
        <v/>
      </c>
      <c r="S21" s="70" t="str">
        <f>IF($Y21="","",0)</f>
        <v/>
      </c>
      <c r="T21" s="24" t="str">
        <f>IF($Y21="","",INDEX(Import_Staging!$I$2:$I$301,$Y21)&amp;"")</f>
        <v/>
      </c>
      <c r="U21" s="24" t="n"/>
      <c r="V21" s="24" t="str">
        <f>IF($Y21="","","Received "&amp;TEXT(INDEX(Import_Staging!$M$2:$M$301,$Y21),"yyyy-mm-dd")&amp;" (CSV row "&amp;($Y21+1)&amp;")")</f>
        <v/>
      </c>
      <c r="X21" t="str">
        <f>IFERROR(MATCH(16,Import_Staging!$BT$2:$BT$301,0),"")</f>
        <v/>
      </c>
      <c r="Y21" t="str">
        <f>IFERROR(MATCH(16,Import_Staging!$BV$2:$BV$301,0),"")</f>
        <v/>
      </c>
    </row>
    <row r="22">
      <c r="A22" s="24" t="str">
        <f>IF($X22="","",INDEX(Import_Staging!$A$2:$A$301,$X22)&amp;"")</f>
        <v/>
      </c>
      <c r="B22" s="27" t="str">
        <f>IF($X22="","",INDEX(Import_Staging!$M$2:$M$301,$X22))</f>
        <v/>
      </c>
      <c r="C22" s="24" t="str">
        <f>IF($X22="","",INDEX(Import_Staging!$C$2:$C$301,$X22)&amp;"")</f>
        <v/>
      </c>
      <c r="D22" s="24" t="str">
        <f>IF($X22="","",INDEX(Import_Staging!$D$2:$D$301,$X22)&amp;"")</f>
        <v/>
      </c>
      <c r="E22" s="69" t="str">
        <f>IF($X22="","",INDEX(Import_Staging!$O$2:$O$301,$X22))</f>
        <v/>
      </c>
      <c r="F22" s="24" t="str">
        <f>IF($X22="","",INDEX(Import_Staging!$F$2:$F$301,$X22)&amp;"")</f>
        <v/>
      </c>
      <c r="G22" s="24" t="str">
        <f>IF($X22="","",INDEX(Import_Staging!$J$2:$J$301,$X22)&amp;"")</f>
        <v/>
      </c>
      <c r="H22" s="24" t="str">
        <f>IF($X22="","",INDEX(Import_Staging!$K$2:$K$301,$X22)&amp;"")</f>
        <v/>
      </c>
      <c r="I22" s="24" t="str">
        <f>IF($X22="","",INDEX(Import_Staging!$L$2:$L$301,$X22)&amp;"")</f>
        <v/>
      </c>
      <c r="J22" s="24" t="str">
        <f>IF($X22="","","3PL import")</f>
        <v/>
      </c>
      <c r="K22" s="24" t="str">
        <f>IF($X22="","",Config!$B$11)</f>
        <v/>
      </c>
      <c r="L22" s="24" t="str">
        <f>IF($X22="","","CSV row "&amp;($X22+1))</f>
        <v/>
      </c>
      <c r="N22" s="24" t="str">
        <f>IF($Y22="","",INDEX(Import_Staging!$F$2:$F$301,$Y22)&amp;"")</f>
        <v/>
      </c>
      <c r="O22" s="24" t="str">
        <f>IF($Y22="","",INDEX(Import_Staging!$D$2:$D$301,$Y22)&amp;"")</f>
        <v/>
      </c>
      <c r="P22" s="24" t="str">
        <f>IF($Y22="","",INDEX(Import_Staging!$E$2:$E$301,$Y22)&amp;"")</f>
        <v/>
      </c>
      <c r="Q22" s="27" t="n"/>
      <c r="R22" s="27" t="str">
        <f>IF($Y22="","",INDEX(Import_Staging!$N$2:$N$301,$Y22))</f>
        <v/>
      </c>
      <c r="S22" s="70" t="str">
        <f>IF($Y22="","",0)</f>
        <v/>
      </c>
      <c r="T22" s="24" t="str">
        <f>IF($Y22="","",INDEX(Import_Staging!$I$2:$I$301,$Y22)&amp;"")</f>
        <v/>
      </c>
      <c r="U22" s="24" t="n"/>
      <c r="V22" s="24" t="str">
        <f>IF($Y22="","","Received "&amp;TEXT(INDEX(Import_Staging!$M$2:$M$301,$Y22),"yyyy-mm-dd")&amp;" (CSV row "&amp;($Y22+1)&amp;")")</f>
        <v/>
      </c>
      <c r="X22" t="str">
        <f>IFERROR(MATCH(17,Import_Staging!$BT$2:$BT$301,0),"")</f>
        <v/>
      </c>
      <c r="Y22" t="str">
        <f>IFERROR(MATCH(17,Import_Staging!$BV$2:$BV$301,0),"")</f>
        <v/>
      </c>
    </row>
    <row r="23">
      <c r="A23" s="24" t="str">
        <f>IF($X23="","",INDEX(Import_Staging!$A$2:$A$301,$X23)&amp;"")</f>
        <v/>
      </c>
      <c r="B23" s="27" t="str">
        <f>IF($X23="","",INDEX(Import_Staging!$M$2:$M$301,$X23))</f>
        <v/>
      </c>
      <c r="C23" s="24" t="str">
        <f>IF($X23="","",INDEX(Import_Staging!$C$2:$C$301,$X23)&amp;"")</f>
        <v/>
      </c>
      <c r="D23" s="24" t="str">
        <f>IF($X23="","",INDEX(Import_Staging!$D$2:$D$301,$X23)&amp;"")</f>
        <v/>
      </c>
      <c r="E23" s="69" t="str">
        <f>IF($X23="","",INDEX(Import_Staging!$O$2:$O$301,$X23))</f>
        <v/>
      </c>
      <c r="F23" s="24" t="str">
        <f>IF($X23="","",INDEX(Import_Staging!$F$2:$F$301,$X23)&amp;"")</f>
        <v/>
      </c>
      <c r="G23" s="24" t="str">
        <f>IF($X23="","",INDEX(Import_Staging!$J$2:$J$301,$X23)&amp;"")</f>
        <v/>
      </c>
      <c r="H23" s="24" t="str">
        <f>IF($X23="","",INDEX(Import_Staging!$K$2:$K$301,$X23)&amp;"")</f>
        <v/>
      </c>
      <c r="I23" s="24" t="str">
        <f>IF($X23="","",INDEX(Import_Staging!$L$2:$L$301,$X23)&amp;"")</f>
        <v/>
      </c>
      <c r="J23" s="24" t="str">
        <f>IF($X23="","","3PL import")</f>
        <v/>
      </c>
      <c r="K23" s="24" t="str">
        <f>IF($X23="","",Config!$B$11)</f>
        <v/>
      </c>
      <c r="L23" s="24" t="str">
        <f>IF($X23="","","CSV row "&amp;($X23+1))</f>
        <v/>
      </c>
      <c r="N23" s="24" t="str">
        <f>IF($Y23="","",INDEX(Import_Staging!$F$2:$F$301,$Y23)&amp;"")</f>
        <v/>
      </c>
      <c r="O23" s="24" t="str">
        <f>IF($Y23="","",INDEX(Import_Staging!$D$2:$D$301,$Y23)&amp;"")</f>
        <v/>
      </c>
      <c r="P23" s="24" t="str">
        <f>IF($Y23="","",INDEX(Import_Staging!$E$2:$E$301,$Y23)&amp;"")</f>
        <v/>
      </c>
      <c r="Q23" s="27" t="n"/>
      <c r="R23" s="27" t="str">
        <f>IF($Y23="","",INDEX(Import_Staging!$N$2:$N$301,$Y23))</f>
        <v/>
      </c>
      <c r="S23" s="70" t="str">
        <f>IF($Y23="","",0)</f>
        <v/>
      </c>
      <c r="T23" s="24" t="str">
        <f>IF($Y23="","",INDEX(Import_Staging!$I$2:$I$301,$Y23)&amp;"")</f>
        <v/>
      </c>
      <c r="U23" s="24" t="n"/>
      <c r="V23" s="24" t="str">
        <f>IF($Y23="","","Received "&amp;TEXT(INDEX(Import_Staging!$M$2:$M$301,$Y23),"yyyy-mm-dd")&amp;" (CSV row "&amp;($Y23+1)&amp;")")</f>
        <v/>
      </c>
      <c r="X23" t="str">
        <f>IFERROR(MATCH(18,Import_Staging!$BT$2:$BT$301,0),"")</f>
        <v/>
      </c>
      <c r="Y23" t="str">
        <f>IFERROR(MATCH(18,Import_Staging!$BV$2:$BV$301,0),"")</f>
        <v/>
      </c>
    </row>
    <row r="24">
      <c r="A24" s="24" t="str">
        <f>IF($X24="","",INDEX(Import_Staging!$A$2:$A$301,$X24)&amp;"")</f>
        <v/>
      </c>
      <c r="B24" s="27" t="str">
        <f>IF($X24="","",INDEX(Import_Staging!$M$2:$M$301,$X24))</f>
        <v/>
      </c>
      <c r="C24" s="24" t="str">
        <f>IF($X24="","",INDEX(Import_Staging!$C$2:$C$301,$X24)&amp;"")</f>
        <v/>
      </c>
      <c r="D24" s="24" t="str">
        <f>IF($X24="","",INDEX(Import_Staging!$D$2:$D$301,$X24)&amp;"")</f>
        <v/>
      </c>
      <c r="E24" s="69" t="str">
        <f>IF($X24="","",INDEX(Import_Staging!$O$2:$O$301,$X24))</f>
        <v/>
      </c>
      <c r="F24" s="24" t="str">
        <f>IF($X24="","",INDEX(Import_Staging!$F$2:$F$301,$X24)&amp;"")</f>
        <v/>
      </c>
      <c r="G24" s="24" t="str">
        <f>IF($X24="","",INDEX(Import_Staging!$J$2:$J$301,$X24)&amp;"")</f>
        <v/>
      </c>
      <c r="H24" s="24" t="str">
        <f>IF($X24="","",INDEX(Import_Staging!$K$2:$K$301,$X24)&amp;"")</f>
        <v/>
      </c>
      <c r="I24" s="24" t="str">
        <f>IF($X24="","",INDEX(Import_Staging!$L$2:$L$301,$X24)&amp;"")</f>
        <v/>
      </c>
      <c r="J24" s="24" t="str">
        <f>IF($X24="","","3PL import")</f>
        <v/>
      </c>
      <c r="K24" s="24" t="str">
        <f>IF($X24="","",Config!$B$11)</f>
        <v/>
      </c>
      <c r="L24" s="24" t="str">
        <f>IF($X24="","","CSV row "&amp;($X24+1))</f>
        <v/>
      </c>
      <c r="N24" s="24" t="str">
        <f>IF($Y24="","",INDEX(Import_Staging!$F$2:$F$301,$Y24)&amp;"")</f>
        <v/>
      </c>
      <c r="O24" s="24" t="str">
        <f>IF($Y24="","",INDEX(Import_Staging!$D$2:$D$301,$Y24)&amp;"")</f>
        <v/>
      </c>
      <c r="P24" s="24" t="str">
        <f>IF($Y24="","",INDEX(Import_Staging!$E$2:$E$301,$Y24)&amp;"")</f>
        <v/>
      </c>
      <c r="Q24" s="27" t="n"/>
      <c r="R24" s="27" t="str">
        <f>IF($Y24="","",INDEX(Import_Staging!$N$2:$N$301,$Y24))</f>
        <v/>
      </c>
      <c r="S24" s="70" t="str">
        <f>IF($Y24="","",0)</f>
        <v/>
      </c>
      <c r="T24" s="24" t="str">
        <f>IF($Y24="","",INDEX(Import_Staging!$I$2:$I$301,$Y24)&amp;"")</f>
        <v/>
      </c>
      <c r="U24" s="24" t="n"/>
      <c r="V24" s="24" t="str">
        <f>IF($Y24="","","Received "&amp;TEXT(INDEX(Import_Staging!$M$2:$M$301,$Y24),"yyyy-mm-dd")&amp;" (CSV row "&amp;($Y24+1)&amp;")")</f>
        <v/>
      </c>
      <c r="X24" t="str">
        <f>IFERROR(MATCH(19,Import_Staging!$BT$2:$BT$301,0),"")</f>
        <v/>
      </c>
      <c r="Y24" t="str">
        <f>IFERROR(MATCH(19,Import_Staging!$BV$2:$BV$301,0),"")</f>
        <v/>
      </c>
    </row>
    <row r="25">
      <c r="A25" s="24" t="str">
        <f>IF($X25="","",INDEX(Import_Staging!$A$2:$A$301,$X25)&amp;"")</f>
        <v/>
      </c>
      <c r="B25" s="27" t="str">
        <f>IF($X25="","",INDEX(Import_Staging!$M$2:$M$301,$X25))</f>
        <v/>
      </c>
      <c r="C25" s="24" t="str">
        <f>IF($X25="","",INDEX(Import_Staging!$C$2:$C$301,$X25)&amp;"")</f>
        <v/>
      </c>
      <c r="D25" s="24" t="str">
        <f>IF($X25="","",INDEX(Import_Staging!$D$2:$D$301,$X25)&amp;"")</f>
        <v/>
      </c>
      <c r="E25" s="69" t="str">
        <f>IF($X25="","",INDEX(Import_Staging!$O$2:$O$301,$X25))</f>
        <v/>
      </c>
      <c r="F25" s="24" t="str">
        <f>IF($X25="","",INDEX(Import_Staging!$F$2:$F$301,$X25)&amp;"")</f>
        <v/>
      </c>
      <c r="G25" s="24" t="str">
        <f>IF($X25="","",INDEX(Import_Staging!$J$2:$J$301,$X25)&amp;"")</f>
        <v/>
      </c>
      <c r="H25" s="24" t="str">
        <f>IF($X25="","",INDEX(Import_Staging!$K$2:$K$301,$X25)&amp;"")</f>
        <v/>
      </c>
      <c r="I25" s="24" t="str">
        <f>IF($X25="","",INDEX(Import_Staging!$L$2:$L$301,$X25)&amp;"")</f>
        <v/>
      </c>
      <c r="J25" s="24" t="str">
        <f>IF($X25="","","3PL import")</f>
        <v/>
      </c>
      <c r="K25" s="24" t="str">
        <f>IF($X25="","",Config!$B$11)</f>
        <v/>
      </c>
      <c r="L25" s="24" t="str">
        <f>IF($X25="","","CSV row "&amp;($X25+1))</f>
        <v/>
      </c>
      <c r="N25" s="24" t="str">
        <f>IF($Y25="","",INDEX(Import_Staging!$F$2:$F$301,$Y25)&amp;"")</f>
        <v/>
      </c>
      <c r="O25" s="24" t="str">
        <f>IF($Y25="","",INDEX(Import_Staging!$D$2:$D$301,$Y25)&amp;"")</f>
        <v/>
      </c>
      <c r="P25" s="24" t="str">
        <f>IF($Y25="","",INDEX(Import_Staging!$E$2:$E$301,$Y25)&amp;"")</f>
        <v/>
      </c>
      <c r="Q25" s="27" t="n"/>
      <c r="R25" s="27" t="str">
        <f>IF($Y25="","",INDEX(Import_Staging!$N$2:$N$301,$Y25))</f>
        <v/>
      </c>
      <c r="S25" s="70" t="str">
        <f>IF($Y25="","",0)</f>
        <v/>
      </c>
      <c r="T25" s="24" t="str">
        <f>IF($Y25="","",INDEX(Import_Staging!$I$2:$I$301,$Y25)&amp;"")</f>
        <v/>
      </c>
      <c r="U25" s="24" t="n"/>
      <c r="V25" s="24" t="str">
        <f>IF($Y25="","","Received "&amp;TEXT(INDEX(Import_Staging!$M$2:$M$301,$Y25),"yyyy-mm-dd")&amp;" (CSV row "&amp;($Y25+1)&amp;")")</f>
        <v/>
      </c>
      <c r="X25" t="str">
        <f>IFERROR(MATCH(20,Import_Staging!$BT$2:$BT$301,0),"")</f>
        <v/>
      </c>
      <c r="Y25" t="str">
        <f>IFERROR(MATCH(20,Import_Staging!$BV$2:$BV$301,0),"")</f>
        <v/>
      </c>
    </row>
    <row r="26">
      <c r="A26" s="24" t="str">
        <f>IF($X26="","",INDEX(Import_Staging!$A$2:$A$301,$X26)&amp;"")</f>
        <v/>
      </c>
      <c r="B26" s="27" t="str">
        <f>IF($X26="","",INDEX(Import_Staging!$M$2:$M$301,$X26))</f>
        <v/>
      </c>
      <c r="C26" s="24" t="str">
        <f>IF($X26="","",INDEX(Import_Staging!$C$2:$C$301,$X26)&amp;"")</f>
        <v/>
      </c>
      <c r="D26" s="24" t="str">
        <f>IF($X26="","",INDEX(Import_Staging!$D$2:$D$301,$X26)&amp;"")</f>
        <v/>
      </c>
      <c r="E26" s="69" t="str">
        <f>IF($X26="","",INDEX(Import_Staging!$O$2:$O$301,$X26))</f>
        <v/>
      </c>
      <c r="F26" s="24" t="str">
        <f>IF($X26="","",INDEX(Import_Staging!$F$2:$F$301,$X26)&amp;"")</f>
        <v/>
      </c>
      <c r="G26" s="24" t="str">
        <f>IF($X26="","",INDEX(Import_Staging!$J$2:$J$301,$X26)&amp;"")</f>
        <v/>
      </c>
      <c r="H26" s="24" t="str">
        <f>IF($X26="","",INDEX(Import_Staging!$K$2:$K$301,$X26)&amp;"")</f>
        <v/>
      </c>
      <c r="I26" s="24" t="str">
        <f>IF($X26="","",INDEX(Import_Staging!$L$2:$L$301,$X26)&amp;"")</f>
        <v/>
      </c>
      <c r="J26" s="24" t="str">
        <f>IF($X26="","","3PL import")</f>
        <v/>
      </c>
      <c r="K26" s="24" t="str">
        <f>IF($X26="","",Config!$B$11)</f>
        <v/>
      </c>
      <c r="L26" s="24" t="str">
        <f>IF($X26="","","CSV row "&amp;($X26+1))</f>
        <v/>
      </c>
      <c r="N26" s="24" t="str">
        <f>IF($Y26="","",INDEX(Import_Staging!$F$2:$F$301,$Y26)&amp;"")</f>
        <v/>
      </c>
      <c r="O26" s="24" t="str">
        <f>IF($Y26="","",INDEX(Import_Staging!$D$2:$D$301,$Y26)&amp;"")</f>
        <v/>
      </c>
      <c r="P26" s="24" t="str">
        <f>IF($Y26="","",INDEX(Import_Staging!$E$2:$E$301,$Y26)&amp;"")</f>
        <v/>
      </c>
      <c r="Q26" s="27" t="n"/>
      <c r="R26" s="27" t="str">
        <f>IF($Y26="","",INDEX(Import_Staging!$N$2:$N$301,$Y26))</f>
        <v/>
      </c>
      <c r="S26" s="70" t="str">
        <f>IF($Y26="","",0)</f>
        <v/>
      </c>
      <c r="T26" s="24" t="str">
        <f>IF($Y26="","",INDEX(Import_Staging!$I$2:$I$301,$Y26)&amp;"")</f>
        <v/>
      </c>
      <c r="U26" s="24" t="n"/>
      <c r="V26" s="24" t="str">
        <f>IF($Y26="","","Received "&amp;TEXT(INDEX(Import_Staging!$M$2:$M$301,$Y26),"yyyy-mm-dd")&amp;" (CSV row "&amp;($Y26+1)&amp;")")</f>
        <v/>
      </c>
      <c r="X26" t="str">
        <f>IFERROR(MATCH(21,Import_Staging!$BT$2:$BT$301,0),"")</f>
        <v/>
      </c>
      <c r="Y26" t="str">
        <f>IFERROR(MATCH(21,Import_Staging!$BV$2:$BV$301,0),"")</f>
        <v/>
      </c>
    </row>
    <row r="27">
      <c r="A27" s="24" t="str">
        <f>IF($X27="","",INDEX(Import_Staging!$A$2:$A$301,$X27)&amp;"")</f>
        <v/>
      </c>
      <c r="B27" s="27" t="str">
        <f>IF($X27="","",INDEX(Import_Staging!$M$2:$M$301,$X27))</f>
        <v/>
      </c>
      <c r="C27" s="24" t="str">
        <f>IF($X27="","",INDEX(Import_Staging!$C$2:$C$301,$X27)&amp;"")</f>
        <v/>
      </c>
      <c r="D27" s="24" t="str">
        <f>IF($X27="","",INDEX(Import_Staging!$D$2:$D$301,$X27)&amp;"")</f>
        <v/>
      </c>
      <c r="E27" s="69" t="str">
        <f>IF($X27="","",INDEX(Import_Staging!$O$2:$O$301,$X27))</f>
        <v/>
      </c>
      <c r="F27" s="24" t="str">
        <f>IF($X27="","",INDEX(Import_Staging!$F$2:$F$301,$X27)&amp;"")</f>
        <v/>
      </c>
      <c r="G27" s="24" t="str">
        <f>IF($X27="","",INDEX(Import_Staging!$J$2:$J$301,$X27)&amp;"")</f>
        <v/>
      </c>
      <c r="H27" s="24" t="str">
        <f>IF($X27="","",INDEX(Import_Staging!$K$2:$K$301,$X27)&amp;"")</f>
        <v/>
      </c>
      <c r="I27" s="24" t="str">
        <f>IF($X27="","",INDEX(Import_Staging!$L$2:$L$301,$X27)&amp;"")</f>
        <v/>
      </c>
      <c r="J27" s="24" t="str">
        <f>IF($X27="","","3PL import")</f>
        <v/>
      </c>
      <c r="K27" s="24" t="str">
        <f>IF($X27="","",Config!$B$11)</f>
        <v/>
      </c>
      <c r="L27" s="24" t="str">
        <f>IF($X27="","","CSV row "&amp;($X27+1))</f>
        <v/>
      </c>
      <c r="N27" s="24" t="str">
        <f>IF($Y27="","",INDEX(Import_Staging!$F$2:$F$301,$Y27)&amp;"")</f>
        <v/>
      </c>
      <c r="O27" s="24" t="str">
        <f>IF($Y27="","",INDEX(Import_Staging!$D$2:$D$301,$Y27)&amp;"")</f>
        <v/>
      </c>
      <c r="P27" s="24" t="str">
        <f>IF($Y27="","",INDEX(Import_Staging!$E$2:$E$301,$Y27)&amp;"")</f>
        <v/>
      </c>
      <c r="Q27" s="27" t="n"/>
      <c r="R27" s="27" t="str">
        <f>IF($Y27="","",INDEX(Import_Staging!$N$2:$N$301,$Y27))</f>
        <v/>
      </c>
      <c r="S27" s="70" t="str">
        <f>IF($Y27="","",0)</f>
        <v/>
      </c>
      <c r="T27" s="24" t="str">
        <f>IF($Y27="","",INDEX(Import_Staging!$I$2:$I$301,$Y27)&amp;"")</f>
        <v/>
      </c>
      <c r="U27" s="24" t="n"/>
      <c r="V27" s="24" t="str">
        <f>IF($Y27="","","Received "&amp;TEXT(INDEX(Import_Staging!$M$2:$M$301,$Y27),"yyyy-mm-dd")&amp;" (CSV row "&amp;($Y27+1)&amp;")")</f>
        <v/>
      </c>
      <c r="X27" t="str">
        <f>IFERROR(MATCH(22,Import_Staging!$BT$2:$BT$301,0),"")</f>
        <v/>
      </c>
      <c r="Y27" t="str">
        <f>IFERROR(MATCH(22,Import_Staging!$BV$2:$BV$301,0),"")</f>
        <v/>
      </c>
    </row>
    <row r="28">
      <c r="A28" s="24" t="str">
        <f>IF($X28="","",INDEX(Import_Staging!$A$2:$A$301,$X28)&amp;"")</f>
        <v/>
      </c>
      <c r="B28" s="27" t="str">
        <f>IF($X28="","",INDEX(Import_Staging!$M$2:$M$301,$X28))</f>
        <v/>
      </c>
      <c r="C28" s="24" t="str">
        <f>IF($X28="","",INDEX(Import_Staging!$C$2:$C$301,$X28)&amp;"")</f>
        <v/>
      </c>
      <c r="D28" s="24" t="str">
        <f>IF($X28="","",INDEX(Import_Staging!$D$2:$D$301,$X28)&amp;"")</f>
        <v/>
      </c>
      <c r="E28" s="69" t="str">
        <f>IF($X28="","",INDEX(Import_Staging!$O$2:$O$301,$X28))</f>
        <v/>
      </c>
      <c r="F28" s="24" t="str">
        <f>IF($X28="","",INDEX(Import_Staging!$F$2:$F$301,$X28)&amp;"")</f>
        <v/>
      </c>
      <c r="G28" s="24" t="str">
        <f>IF($X28="","",INDEX(Import_Staging!$J$2:$J$301,$X28)&amp;"")</f>
        <v/>
      </c>
      <c r="H28" s="24" t="str">
        <f>IF($X28="","",INDEX(Import_Staging!$K$2:$K$301,$X28)&amp;"")</f>
        <v/>
      </c>
      <c r="I28" s="24" t="str">
        <f>IF($X28="","",INDEX(Import_Staging!$L$2:$L$301,$X28)&amp;"")</f>
        <v/>
      </c>
      <c r="J28" s="24" t="str">
        <f>IF($X28="","","3PL import")</f>
        <v/>
      </c>
      <c r="K28" s="24" t="str">
        <f>IF($X28="","",Config!$B$11)</f>
        <v/>
      </c>
      <c r="L28" s="24" t="str">
        <f>IF($X28="","","CSV row "&amp;($X28+1))</f>
        <v/>
      </c>
      <c r="N28" s="24" t="str">
        <f>IF($Y28="","",INDEX(Import_Staging!$F$2:$F$301,$Y28)&amp;"")</f>
        <v/>
      </c>
      <c r="O28" s="24" t="str">
        <f>IF($Y28="","",INDEX(Import_Staging!$D$2:$D$301,$Y28)&amp;"")</f>
        <v/>
      </c>
      <c r="P28" s="24" t="str">
        <f>IF($Y28="","",INDEX(Import_Staging!$E$2:$E$301,$Y28)&amp;"")</f>
        <v/>
      </c>
      <c r="Q28" s="27" t="n"/>
      <c r="R28" s="27" t="str">
        <f>IF($Y28="","",INDEX(Import_Staging!$N$2:$N$301,$Y28))</f>
        <v/>
      </c>
      <c r="S28" s="70" t="str">
        <f>IF($Y28="","",0)</f>
        <v/>
      </c>
      <c r="T28" s="24" t="str">
        <f>IF($Y28="","",INDEX(Import_Staging!$I$2:$I$301,$Y28)&amp;"")</f>
        <v/>
      </c>
      <c r="U28" s="24" t="n"/>
      <c r="V28" s="24" t="str">
        <f>IF($Y28="","","Received "&amp;TEXT(INDEX(Import_Staging!$M$2:$M$301,$Y28),"yyyy-mm-dd")&amp;" (CSV row "&amp;($Y28+1)&amp;")")</f>
        <v/>
      </c>
      <c r="X28" t="str">
        <f>IFERROR(MATCH(23,Import_Staging!$BT$2:$BT$301,0),"")</f>
        <v/>
      </c>
      <c r="Y28" t="str">
        <f>IFERROR(MATCH(23,Import_Staging!$BV$2:$BV$301,0),"")</f>
        <v/>
      </c>
    </row>
    <row r="29">
      <c r="A29" s="24" t="str">
        <f>IF($X29="","",INDEX(Import_Staging!$A$2:$A$301,$X29)&amp;"")</f>
        <v/>
      </c>
      <c r="B29" s="27" t="str">
        <f>IF($X29="","",INDEX(Import_Staging!$M$2:$M$301,$X29))</f>
        <v/>
      </c>
      <c r="C29" s="24" t="str">
        <f>IF($X29="","",INDEX(Import_Staging!$C$2:$C$301,$X29)&amp;"")</f>
        <v/>
      </c>
      <c r="D29" s="24" t="str">
        <f>IF($X29="","",INDEX(Import_Staging!$D$2:$D$301,$X29)&amp;"")</f>
        <v/>
      </c>
      <c r="E29" s="69" t="str">
        <f>IF($X29="","",INDEX(Import_Staging!$O$2:$O$301,$X29))</f>
        <v/>
      </c>
      <c r="F29" s="24" t="str">
        <f>IF($X29="","",INDEX(Import_Staging!$F$2:$F$301,$X29)&amp;"")</f>
        <v/>
      </c>
      <c r="G29" s="24" t="str">
        <f>IF($X29="","",INDEX(Import_Staging!$J$2:$J$301,$X29)&amp;"")</f>
        <v/>
      </c>
      <c r="H29" s="24" t="str">
        <f>IF($X29="","",INDEX(Import_Staging!$K$2:$K$301,$X29)&amp;"")</f>
        <v/>
      </c>
      <c r="I29" s="24" t="str">
        <f>IF($X29="","",INDEX(Import_Staging!$L$2:$L$301,$X29)&amp;"")</f>
        <v/>
      </c>
      <c r="J29" s="24" t="str">
        <f>IF($X29="","","3PL import")</f>
        <v/>
      </c>
      <c r="K29" s="24" t="str">
        <f>IF($X29="","",Config!$B$11)</f>
        <v/>
      </c>
      <c r="L29" s="24" t="str">
        <f>IF($X29="","","CSV row "&amp;($X29+1))</f>
        <v/>
      </c>
      <c r="N29" s="24" t="str">
        <f>IF($Y29="","",INDEX(Import_Staging!$F$2:$F$301,$Y29)&amp;"")</f>
        <v/>
      </c>
      <c r="O29" s="24" t="str">
        <f>IF($Y29="","",INDEX(Import_Staging!$D$2:$D$301,$Y29)&amp;"")</f>
        <v/>
      </c>
      <c r="P29" s="24" t="str">
        <f>IF($Y29="","",INDEX(Import_Staging!$E$2:$E$301,$Y29)&amp;"")</f>
        <v/>
      </c>
      <c r="Q29" s="27" t="n"/>
      <c r="R29" s="27" t="str">
        <f>IF($Y29="","",INDEX(Import_Staging!$N$2:$N$301,$Y29))</f>
        <v/>
      </c>
      <c r="S29" s="70" t="str">
        <f>IF($Y29="","",0)</f>
        <v/>
      </c>
      <c r="T29" s="24" t="str">
        <f>IF($Y29="","",INDEX(Import_Staging!$I$2:$I$301,$Y29)&amp;"")</f>
        <v/>
      </c>
      <c r="U29" s="24" t="n"/>
      <c r="V29" s="24" t="str">
        <f>IF($Y29="","","Received "&amp;TEXT(INDEX(Import_Staging!$M$2:$M$301,$Y29),"yyyy-mm-dd")&amp;" (CSV row "&amp;($Y29+1)&amp;")")</f>
        <v/>
      </c>
      <c r="X29" t="str">
        <f>IFERROR(MATCH(24,Import_Staging!$BT$2:$BT$301,0),"")</f>
        <v/>
      </c>
      <c r="Y29" t="str">
        <f>IFERROR(MATCH(24,Import_Staging!$BV$2:$BV$301,0),"")</f>
        <v/>
      </c>
    </row>
    <row r="30">
      <c r="A30" s="24" t="str">
        <f>IF($X30="","",INDEX(Import_Staging!$A$2:$A$301,$X30)&amp;"")</f>
        <v/>
      </c>
      <c r="B30" s="27" t="str">
        <f>IF($X30="","",INDEX(Import_Staging!$M$2:$M$301,$X30))</f>
        <v/>
      </c>
      <c r="C30" s="24" t="str">
        <f>IF($X30="","",INDEX(Import_Staging!$C$2:$C$301,$X30)&amp;"")</f>
        <v/>
      </c>
      <c r="D30" s="24" t="str">
        <f>IF($X30="","",INDEX(Import_Staging!$D$2:$D$301,$X30)&amp;"")</f>
        <v/>
      </c>
      <c r="E30" s="69" t="str">
        <f>IF($X30="","",INDEX(Import_Staging!$O$2:$O$301,$X30))</f>
        <v/>
      </c>
      <c r="F30" s="24" t="str">
        <f>IF($X30="","",INDEX(Import_Staging!$F$2:$F$301,$X30)&amp;"")</f>
        <v/>
      </c>
      <c r="G30" s="24" t="str">
        <f>IF($X30="","",INDEX(Import_Staging!$J$2:$J$301,$X30)&amp;"")</f>
        <v/>
      </c>
      <c r="H30" s="24" t="str">
        <f>IF($X30="","",INDEX(Import_Staging!$K$2:$K$301,$X30)&amp;"")</f>
        <v/>
      </c>
      <c r="I30" s="24" t="str">
        <f>IF($X30="","",INDEX(Import_Staging!$L$2:$L$301,$X30)&amp;"")</f>
        <v/>
      </c>
      <c r="J30" s="24" t="str">
        <f>IF($X30="","","3PL import")</f>
        <v/>
      </c>
      <c r="K30" s="24" t="str">
        <f>IF($X30="","",Config!$B$11)</f>
        <v/>
      </c>
      <c r="L30" s="24" t="str">
        <f>IF($X30="","","CSV row "&amp;($X30+1))</f>
        <v/>
      </c>
      <c r="N30" s="24" t="str">
        <f>IF($Y30="","",INDEX(Import_Staging!$F$2:$F$301,$Y30)&amp;"")</f>
        <v/>
      </c>
      <c r="O30" s="24" t="str">
        <f>IF($Y30="","",INDEX(Import_Staging!$D$2:$D$301,$Y30)&amp;"")</f>
        <v/>
      </c>
      <c r="P30" s="24" t="str">
        <f>IF($Y30="","",INDEX(Import_Staging!$E$2:$E$301,$Y30)&amp;"")</f>
        <v/>
      </c>
      <c r="Q30" s="27" t="n"/>
      <c r="R30" s="27" t="str">
        <f>IF($Y30="","",INDEX(Import_Staging!$N$2:$N$301,$Y30))</f>
        <v/>
      </c>
      <c r="S30" s="70" t="str">
        <f>IF($Y30="","",0)</f>
        <v/>
      </c>
      <c r="T30" s="24" t="str">
        <f>IF($Y30="","",INDEX(Import_Staging!$I$2:$I$301,$Y30)&amp;"")</f>
        <v/>
      </c>
      <c r="U30" s="24" t="n"/>
      <c r="V30" s="24" t="str">
        <f>IF($Y30="","","Received "&amp;TEXT(INDEX(Import_Staging!$M$2:$M$301,$Y30),"yyyy-mm-dd")&amp;" (CSV row "&amp;($Y30+1)&amp;")")</f>
        <v/>
      </c>
      <c r="X30" t="str">
        <f>IFERROR(MATCH(25,Import_Staging!$BT$2:$BT$301,0),"")</f>
        <v/>
      </c>
      <c r="Y30" t="str">
        <f>IFERROR(MATCH(25,Import_Staging!$BV$2:$BV$301,0),"")</f>
        <v/>
      </c>
    </row>
    <row r="31">
      <c r="A31" s="24" t="str">
        <f>IF($X31="","",INDEX(Import_Staging!$A$2:$A$301,$X31)&amp;"")</f>
        <v/>
      </c>
      <c r="B31" s="27" t="str">
        <f>IF($X31="","",INDEX(Import_Staging!$M$2:$M$301,$X31))</f>
        <v/>
      </c>
      <c r="C31" s="24" t="str">
        <f>IF($X31="","",INDEX(Import_Staging!$C$2:$C$301,$X31)&amp;"")</f>
        <v/>
      </c>
      <c r="D31" s="24" t="str">
        <f>IF($X31="","",INDEX(Import_Staging!$D$2:$D$301,$X31)&amp;"")</f>
        <v/>
      </c>
      <c r="E31" s="69" t="str">
        <f>IF($X31="","",INDEX(Import_Staging!$O$2:$O$301,$X31))</f>
        <v/>
      </c>
      <c r="F31" s="24" t="str">
        <f>IF($X31="","",INDEX(Import_Staging!$F$2:$F$301,$X31)&amp;"")</f>
        <v/>
      </c>
      <c r="G31" s="24" t="str">
        <f>IF($X31="","",INDEX(Import_Staging!$J$2:$J$301,$X31)&amp;"")</f>
        <v/>
      </c>
      <c r="H31" s="24" t="str">
        <f>IF($X31="","",INDEX(Import_Staging!$K$2:$K$301,$X31)&amp;"")</f>
        <v/>
      </c>
      <c r="I31" s="24" t="str">
        <f>IF($X31="","",INDEX(Import_Staging!$L$2:$L$301,$X31)&amp;"")</f>
        <v/>
      </c>
      <c r="J31" s="24" t="str">
        <f>IF($X31="","","3PL import")</f>
        <v/>
      </c>
      <c r="K31" s="24" t="str">
        <f>IF($X31="","",Config!$B$11)</f>
        <v/>
      </c>
      <c r="L31" s="24" t="str">
        <f>IF($X31="","","CSV row "&amp;($X31+1))</f>
        <v/>
      </c>
      <c r="N31" s="24" t="str">
        <f>IF($Y31="","",INDEX(Import_Staging!$F$2:$F$301,$Y31)&amp;"")</f>
        <v/>
      </c>
      <c r="O31" s="24" t="str">
        <f>IF($Y31="","",INDEX(Import_Staging!$D$2:$D$301,$Y31)&amp;"")</f>
        <v/>
      </c>
      <c r="P31" s="24" t="str">
        <f>IF($Y31="","",INDEX(Import_Staging!$E$2:$E$301,$Y31)&amp;"")</f>
        <v/>
      </c>
      <c r="Q31" s="27" t="n"/>
      <c r="R31" s="27" t="str">
        <f>IF($Y31="","",INDEX(Import_Staging!$N$2:$N$301,$Y31))</f>
        <v/>
      </c>
      <c r="S31" s="70" t="str">
        <f>IF($Y31="","",0)</f>
        <v/>
      </c>
      <c r="T31" s="24" t="str">
        <f>IF($Y31="","",INDEX(Import_Staging!$I$2:$I$301,$Y31)&amp;"")</f>
        <v/>
      </c>
      <c r="U31" s="24" t="n"/>
      <c r="V31" s="24" t="str">
        <f>IF($Y31="","","Received "&amp;TEXT(INDEX(Import_Staging!$M$2:$M$301,$Y31),"yyyy-mm-dd")&amp;" (CSV row "&amp;($Y31+1)&amp;")")</f>
        <v/>
      </c>
      <c r="X31" t="str">
        <f>IFERROR(MATCH(26,Import_Staging!$BT$2:$BT$301,0),"")</f>
        <v/>
      </c>
      <c r="Y31" t="str">
        <f>IFERROR(MATCH(26,Import_Staging!$BV$2:$BV$301,0),"")</f>
        <v/>
      </c>
    </row>
    <row r="32">
      <c r="A32" s="24" t="str">
        <f>IF($X32="","",INDEX(Import_Staging!$A$2:$A$301,$X32)&amp;"")</f>
        <v/>
      </c>
      <c r="B32" s="27" t="str">
        <f>IF($X32="","",INDEX(Import_Staging!$M$2:$M$301,$X32))</f>
        <v/>
      </c>
      <c r="C32" s="24" t="str">
        <f>IF($X32="","",INDEX(Import_Staging!$C$2:$C$301,$X32)&amp;"")</f>
        <v/>
      </c>
      <c r="D32" s="24" t="str">
        <f>IF($X32="","",INDEX(Import_Staging!$D$2:$D$301,$X32)&amp;"")</f>
        <v/>
      </c>
      <c r="E32" s="69" t="str">
        <f>IF($X32="","",INDEX(Import_Staging!$O$2:$O$301,$X32))</f>
        <v/>
      </c>
      <c r="F32" s="24" t="str">
        <f>IF($X32="","",INDEX(Import_Staging!$F$2:$F$301,$X32)&amp;"")</f>
        <v/>
      </c>
      <c r="G32" s="24" t="str">
        <f>IF($X32="","",INDEX(Import_Staging!$J$2:$J$301,$X32)&amp;"")</f>
        <v/>
      </c>
      <c r="H32" s="24" t="str">
        <f>IF($X32="","",INDEX(Import_Staging!$K$2:$K$301,$X32)&amp;"")</f>
        <v/>
      </c>
      <c r="I32" s="24" t="str">
        <f>IF($X32="","",INDEX(Import_Staging!$L$2:$L$301,$X32)&amp;"")</f>
        <v/>
      </c>
      <c r="J32" s="24" t="str">
        <f>IF($X32="","","3PL import")</f>
        <v/>
      </c>
      <c r="K32" s="24" t="str">
        <f>IF($X32="","",Config!$B$11)</f>
        <v/>
      </c>
      <c r="L32" s="24" t="str">
        <f>IF($X32="","","CSV row "&amp;($X32+1))</f>
        <v/>
      </c>
      <c r="N32" s="24" t="str">
        <f>IF($Y32="","",INDEX(Import_Staging!$F$2:$F$301,$Y32)&amp;"")</f>
        <v/>
      </c>
      <c r="O32" s="24" t="str">
        <f>IF($Y32="","",INDEX(Import_Staging!$D$2:$D$301,$Y32)&amp;"")</f>
        <v/>
      </c>
      <c r="P32" s="24" t="str">
        <f>IF($Y32="","",INDEX(Import_Staging!$E$2:$E$301,$Y32)&amp;"")</f>
        <v/>
      </c>
      <c r="Q32" s="27" t="n"/>
      <c r="R32" s="27" t="str">
        <f>IF($Y32="","",INDEX(Import_Staging!$N$2:$N$301,$Y32))</f>
        <v/>
      </c>
      <c r="S32" s="70" t="str">
        <f>IF($Y32="","",0)</f>
        <v/>
      </c>
      <c r="T32" s="24" t="str">
        <f>IF($Y32="","",INDEX(Import_Staging!$I$2:$I$301,$Y32)&amp;"")</f>
        <v/>
      </c>
      <c r="U32" s="24" t="n"/>
      <c r="V32" s="24" t="str">
        <f>IF($Y32="","","Received "&amp;TEXT(INDEX(Import_Staging!$M$2:$M$301,$Y32),"yyyy-mm-dd")&amp;" (CSV row "&amp;($Y32+1)&amp;")")</f>
        <v/>
      </c>
      <c r="X32" t="str">
        <f>IFERROR(MATCH(27,Import_Staging!$BT$2:$BT$301,0),"")</f>
        <v/>
      </c>
      <c r="Y32" t="str">
        <f>IFERROR(MATCH(27,Import_Staging!$BV$2:$BV$301,0),"")</f>
        <v/>
      </c>
    </row>
    <row r="33">
      <c r="A33" s="24" t="str">
        <f>IF($X33="","",INDEX(Import_Staging!$A$2:$A$301,$X33)&amp;"")</f>
        <v/>
      </c>
      <c r="B33" s="27" t="str">
        <f>IF($X33="","",INDEX(Import_Staging!$M$2:$M$301,$X33))</f>
        <v/>
      </c>
      <c r="C33" s="24" t="str">
        <f>IF($X33="","",INDEX(Import_Staging!$C$2:$C$301,$X33)&amp;"")</f>
        <v/>
      </c>
      <c r="D33" s="24" t="str">
        <f>IF($X33="","",INDEX(Import_Staging!$D$2:$D$301,$X33)&amp;"")</f>
        <v/>
      </c>
      <c r="E33" s="69" t="str">
        <f>IF($X33="","",INDEX(Import_Staging!$O$2:$O$301,$X33))</f>
        <v/>
      </c>
      <c r="F33" s="24" t="str">
        <f>IF($X33="","",INDEX(Import_Staging!$F$2:$F$301,$X33)&amp;"")</f>
        <v/>
      </c>
      <c r="G33" s="24" t="str">
        <f>IF($X33="","",INDEX(Import_Staging!$J$2:$J$301,$X33)&amp;"")</f>
        <v/>
      </c>
      <c r="H33" s="24" t="str">
        <f>IF($X33="","",INDEX(Import_Staging!$K$2:$K$301,$X33)&amp;"")</f>
        <v/>
      </c>
      <c r="I33" s="24" t="str">
        <f>IF($X33="","",INDEX(Import_Staging!$L$2:$L$301,$X33)&amp;"")</f>
        <v/>
      </c>
      <c r="J33" s="24" t="str">
        <f>IF($X33="","","3PL import")</f>
        <v/>
      </c>
      <c r="K33" s="24" t="str">
        <f>IF($X33="","",Config!$B$11)</f>
        <v/>
      </c>
      <c r="L33" s="24" t="str">
        <f>IF($X33="","","CSV row "&amp;($X33+1))</f>
        <v/>
      </c>
      <c r="N33" s="24" t="str">
        <f>IF($Y33="","",INDEX(Import_Staging!$F$2:$F$301,$Y33)&amp;"")</f>
        <v/>
      </c>
      <c r="O33" s="24" t="str">
        <f>IF($Y33="","",INDEX(Import_Staging!$D$2:$D$301,$Y33)&amp;"")</f>
        <v/>
      </c>
      <c r="P33" s="24" t="str">
        <f>IF($Y33="","",INDEX(Import_Staging!$E$2:$E$301,$Y33)&amp;"")</f>
        <v/>
      </c>
      <c r="Q33" s="27" t="n"/>
      <c r="R33" s="27" t="str">
        <f>IF($Y33="","",INDEX(Import_Staging!$N$2:$N$301,$Y33))</f>
        <v/>
      </c>
      <c r="S33" s="70" t="str">
        <f>IF($Y33="","",0)</f>
        <v/>
      </c>
      <c r="T33" s="24" t="str">
        <f>IF($Y33="","",INDEX(Import_Staging!$I$2:$I$301,$Y33)&amp;"")</f>
        <v/>
      </c>
      <c r="U33" s="24" t="n"/>
      <c r="V33" s="24" t="str">
        <f>IF($Y33="","","Received "&amp;TEXT(INDEX(Import_Staging!$M$2:$M$301,$Y33),"yyyy-mm-dd")&amp;" (CSV row "&amp;($Y33+1)&amp;")")</f>
        <v/>
      </c>
      <c r="X33" t="str">
        <f>IFERROR(MATCH(28,Import_Staging!$BT$2:$BT$301,0),"")</f>
        <v/>
      </c>
      <c r="Y33" t="str">
        <f>IFERROR(MATCH(28,Import_Staging!$BV$2:$BV$301,0),"")</f>
        <v/>
      </c>
    </row>
    <row r="34">
      <c r="A34" s="24" t="str">
        <f>IF($X34="","",INDEX(Import_Staging!$A$2:$A$301,$X34)&amp;"")</f>
        <v/>
      </c>
      <c r="B34" s="27" t="str">
        <f>IF($X34="","",INDEX(Import_Staging!$M$2:$M$301,$X34))</f>
        <v/>
      </c>
      <c r="C34" s="24" t="str">
        <f>IF($X34="","",INDEX(Import_Staging!$C$2:$C$301,$X34)&amp;"")</f>
        <v/>
      </c>
      <c r="D34" s="24" t="str">
        <f>IF($X34="","",INDEX(Import_Staging!$D$2:$D$301,$X34)&amp;"")</f>
        <v/>
      </c>
      <c r="E34" s="69" t="str">
        <f>IF($X34="","",INDEX(Import_Staging!$O$2:$O$301,$X34))</f>
        <v/>
      </c>
      <c r="F34" s="24" t="str">
        <f>IF($X34="","",INDEX(Import_Staging!$F$2:$F$301,$X34)&amp;"")</f>
        <v/>
      </c>
      <c r="G34" s="24" t="str">
        <f>IF($X34="","",INDEX(Import_Staging!$J$2:$J$301,$X34)&amp;"")</f>
        <v/>
      </c>
      <c r="H34" s="24" t="str">
        <f>IF($X34="","",INDEX(Import_Staging!$K$2:$K$301,$X34)&amp;"")</f>
        <v/>
      </c>
      <c r="I34" s="24" t="str">
        <f>IF($X34="","",INDEX(Import_Staging!$L$2:$L$301,$X34)&amp;"")</f>
        <v/>
      </c>
      <c r="J34" s="24" t="str">
        <f>IF($X34="","","3PL import")</f>
        <v/>
      </c>
      <c r="K34" s="24" t="str">
        <f>IF($X34="","",Config!$B$11)</f>
        <v/>
      </c>
      <c r="L34" s="24" t="str">
        <f>IF($X34="","","CSV row "&amp;($X34+1))</f>
        <v/>
      </c>
      <c r="N34" s="24" t="str">
        <f>IF($Y34="","",INDEX(Import_Staging!$F$2:$F$301,$Y34)&amp;"")</f>
        <v/>
      </c>
      <c r="O34" s="24" t="str">
        <f>IF($Y34="","",INDEX(Import_Staging!$D$2:$D$301,$Y34)&amp;"")</f>
        <v/>
      </c>
      <c r="P34" s="24" t="str">
        <f>IF($Y34="","",INDEX(Import_Staging!$E$2:$E$301,$Y34)&amp;"")</f>
        <v/>
      </c>
      <c r="Q34" s="27" t="n"/>
      <c r="R34" s="27" t="str">
        <f>IF($Y34="","",INDEX(Import_Staging!$N$2:$N$301,$Y34))</f>
        <v/>
      </c>
      <c r="S34" s="70" t="str">
        <f>IF($Y34="","",0)</f>
        <v/>
      </c>
      <c r="T34" s="24" t="str">
        <f>IF($Y34="","",INDEX(Import_Staging!$I$2:$I$301,$Y34)&amp;"")</f>
        <v/>
      </c>
      <c r="U34" s="24" t="n"/>
      <c r="V34" s="24" t="str">
        <f>IF($Y34="","","Received "&amp;TEXT(INDEX(Import_Staging!$M$2:$M$301,$Y34),"yyyy-mm-dd")&amp;" (CSV row "&amp;($Y34+1)&amp;")")</f>
        <v/>
      </c>
      <c r="X34" t="str">
        <f>IFERROR(MATCH(29,Import_Staging!$BT$2:$BT$301,0),"")</f>
        <v/>
      </c>
      <c r="Y34" t="str">
        <f>IFERROR(MATCH(29,Import_Staging!$BV$2:$BV$301,0),"")</f>
        <v/>
      </c>
    </row>
    <row r="35">
      <c r="A35" s="24" t="str">
        <f>IF($X35="","",INDEX(Import_Staging!$A$2:$A$301,$X35)&amp;"")</f>
        <v/>
      </c>
      <c r="B35" s="27" t="str">
        <f>IF($X35="","",INDEX(Import_Staging!$M$2:$M$301,$X35))</f>
        <v/>
      </c>
      <c r="C35" s="24" t="str">
        <f>IF($X35="","",INDEX(Import_Staging!$C$2:$C$301,$X35)&amp;"")</f>
        <v/>
      </c>
      <c r="D35" s="24" t="str">
        <f>IF($X35="","",INDEX(Import_Staging!$D$2:$D$301,$X35)&amp;"")</f>
        <v/>
      </c>
      <c r="E35" s="69" t="str">
        <f>IF($X35="","",INDEX(Import_Staging!$O$2:$O$301,$X35))</f>
        <v/>
      </c>
      <c r="F35" s="24" t="str">
        <f>IF($X35="","",INDEX(Import_Staging!$F$2:$F$301,$X35)&amp;"")</f>
        <v/>
      </c>
      <c r="G35" s="24" t="str">
        <f>IF($X35="","",INDEX(Import_Staging!$J$2:$J$301,$X35)&amp;"")</f>
        <v/>
      </c>
      <c r="H35" s="24" t="str">
        <f>IF($X35="","",INDEX(Import_Staging!$K$2:$K$301,$X35)&amp;"")</f>
        <v/>
      </c>
      <c r="I35" s="24" t="str">
        <f>IF($X35="","",INDEX(Import_Staging!$L$2:$L$301,$X35)&amp;"")</f>
        <v/>
      </c>
      <c r="J35" s="24" t="str">
        <f>IF($X35="","","3PL import")</f>
        <v/>
      </c>
      <c r="K35" s="24" t="str">
        <f>IF($X35="","",Config!$B$11)</f>
        <v/>
      </c>
      <c r="L35" s="24" t="str">
        <f>IF($X35="","","CSV row "&amp;($X35+1))</f>
        <v/>
      </c>
      <c r="N35" s="24" t="str">
        <f>IF($Y35="","",INDEX(Import_Staging!$F$2:$F$301,$Y35)&amp;"")</f>
        <v/>
      </c>
      <c r="O35" s="24" t="str">
        <f>IF($Y35="","",INDEX(Import_Staging!$D$2:$D$301,$Y35)&amp;"")</f>
        <v/>
      </c>
      <c r="P35" s="24" t="str">
        <f>IF($Y35="","",INDEX(Import_Staging!$E$2:$E$301,$Y35)&amp;"")</f>
        <v/>
      </c>
      <c r="Q35" s="27" t="n"/>
      <c r="R35" s="27" t="str">
        <f>IF($Y35="","",INDEX(Import_Staging!$N$2:$N$301,$Y35))</f>
        <v/>
      </c>
      <c r="S35" s="70" t="str">
        <f>IF($Y35="","",0)</f>
        <v/>
      </c>
      <c r="T35" s="24" t="str">
        <f>IF($Y35="","",INDEX(Import_Staging!$I$2:$I$301,$Y35)&amp;"")</f>
        <v/>
      </c>
      <c r="U35" s="24" t="n"/>
      <c r="V35" s="24" t="str">
        <f>IF($Y35="","","Received "&amp;TEXT(INDEX(Import_Staging!$M$2:$M$301,$Y35),"yyyy-mm-dd")&amp;" (CSV row "&amp;($Y35+1)&amp;")")</f>
        <v/>
      </c>
      <c r="X35" t="str">
        <f>IFERROR(MATCH(30,Import_Staging!$BT$2:$BT$301,0),"")</f>
        <v/>
      </c>
      <c r="Y35" t="str">
        <f>IFERROR(MATCH(30,Import_Staging!$BV$2:$BV$301,0),"")</f>
        <v/>
      </c>
    </row>
    <row r="36">
      <c r="A36" s="24" t="str">
        <f>IF($X36="","",INDEX(Import_Staging!$A$2:$A$301,$X36)&amp;"")</f>
        <v/>
      </c>
      <c r="B36" s="27" t="str">
        <f>IF($X36="","",INDEX(Import_Staging!$M$2:$M$301,$X36))</f>
        <v/>
      </c>
      <c r="C36" s="24" t="str">
        <f>IF($X36="","",INDEX(Import_Staging!$C$2:$C$301,$X36)&amp;"")</f>
        <v/>
      </c>
      <c r="D36" s="24" t="str">
        <f>IF($X36="","",INDEX(Import_Staging!$D$2:$D$301,$X36)&amp;"")</f>
        <v/>
      </c>
      <c r="E36" s="69" t="str">
        <f>IF($X36="","",INDEX(Import_Staging!$O$2:$O$301,$X36))</f>
        <v/>
      </c>
      <c r="F36" s="24" t="str">
        <f>IF($X36="","",INDEX(Import_Staging!$F$2:$F$301,$X36)&amp;"")</f>
        <v/>
      </c>
      <c r="G36" s="24" t="str">
        <f>IF($X36="","",INDEX(Import_Staging!$J$2:$J$301,$X36)&amp;"")</f>
        <v/>
      </c>
      <c r="H36" s="24" t="str">
        <f>IF($X36="","",INDEX(Import_Staging!$K$2:$K$301,$X36)&amp;"")</f>
        <v/>
      </c>
      <c r="I36" s="24" t="str">
        <f>IF($X36="","",INDEX(Import_Staging!$L$2:$L$301,$X36)&amp;"")</f>
        <v/>
      </c>
      <c r="J36" s="24" t="str">
        <f>IF($X36="","","3PL import")</f>
        <v/>
      </c>
      <c r="K36" s="24" t="str">
        <f>IF($X36="","",Config!$B$11)</f>
        <v/>
      </c>
      <c r="L36" s="24" t="str">
        <f>IF($X36="","","CSV row "&amp;($X36+1))</f>
        <v/>
      </c>
      <c r="N36" s="24" t="str">
        <f>IF($Y36="","",INDEX(Import_Staging!$F$2:$F$301,$Y36)&amp;"")</f>
        <v/>
      </c>
      <c r="O36" s="24" t="str">
        <f>IF($Y36="","",INDEX(Import_Staging!$D$2:$D$301,$Y36)&amp;"")</f>
        <v/>
      </c>
      <c r="P36" s="24" t="str">
        <f>IF($Y36="","",INDEX(Import_Staging!$E$2:$E$301,$Y36)&amp;"")</f>
        <v/>
      </c>
      <c r="Q36" s="27" t="n"/>
      <c r="R36" s="27" t="str">
        <f>IF($Y36="","",INDEX(Import_Staging!$N$2:$N$301,$Y36))</f>
        <v/>
      </c>
      <c r="S36" s="70" t="str">
        <f>IF($Y36="","",0)</f>
        <v/>
      </c>
      <c r="T36" s="24" t="str">
        <f>IF($Y36="","",INDEX(Import_Staging!$I$2:$I$301,$Y36)&amp;"")</f>
        <v/>
      </c>
      <c r="U36" s="24" t="n"/>
      <c r="V36" s="24" t="str">
        <f>IF($Y36="","","Received "&amp;TEXT(INDEX(Import_Staging!$M$2:$M$301,$Y36),"yyyy-mm-dd")&amp;" (CSV row "&amp;($Y36+1)&amp;")")</f>
        <v/>
      </c>
      <c r="X36" t="str">
        <f>IFERROR(MATCH(31,Import_Staging!$BT$2:$BT$301,0),"")</f>
        <v/>
      </c>
      <c r="Y36" t="str">
        <f>IFERROR(MATCH(31,Import_Staging!$BV$2:$BV$301,0),"")</f>
        <v/>
      </c>
    </row>
    <row r="37">
      <c r="A37" s="24" t="str">
        <f>IF($X37="","",INDEX(Import_Staging!$A$2:$A$301,$X37)&amp;"")</f>
        <v/>
      </c>
      <c r="B37" s="27" t="str">
        <f>IF($X37="","",INDEX(Import_Staging!$M$2:$M$301,$X37))</f>
        <v/>
      </c>
      <c r="C37" s="24" t="str">
        <f>IF($X37="","",INDEX(Import_Staging!$C$2:$C$301,$X37)&amp;"")</f>
        <v/>
      </c>
      <c r="D37" s="24" t="str">
        <f>IF($X37="","",INDEX(Import_Staging!$D$2:$D$301,$X37)&amp;"")</f>
        <v/>
      </c>
      <c r="E37" s="69" t="str">
        <f>IF($X37="","",INDEX(Import_Staging!$O$2:$O$301,$X37))</f>
        <v/>
      </c>
      <c r="F37" s="24" t="str">
        <f>IF($X37="","",INDEX(Import_Staging!$F$2:$F$301,$X37)&amp;"")</f>
        <v/>
      </c>
      <c r="G37" s="24" t="str">
        <f>IF($X37="","",INDEX(Import_Staging!$J$2:$J$301,$X37)&amp;"")</f>
        <v/>
      </c>
      <c r="H37" s="24" t="str">
        <f>IF($X37="","",INDEX(Import_Staging!$K$2:$K$301,$X37)&amp;"")</f>
        <v/>
      </c>
      <c r="I37" s="24" t="str">
        <f>IF($X37="","",INDEX(Import_Staging!$L$2:$L$301,$X37)&amp;"")</f>
        <v/>
      </c>
      <c r="J37" s="24" t="str">
        <f>IF($X37="","","3PL import")</f>
        <v/>
      </c>
      <c r="K37" s="24" t="str">
        <f>IF($X37="","",Config!$B$11)</f>
        <v/>
      </c>
      <c r="L37" s="24" t="str">
        <f>IF($X37="","","CSV row "&amp;($X37+1))</f>
        <v/>
      </c>
      <c r="N37" s="24" t="str">
        <f>IF($Y37="","",INDEX(Import_Staging!$F$2:$F$301,$Y37)&amp;"")</f>
        <v/>
      </c>
      <c r="O37" s="24" t="str">
        <f>IF($Y37="","",INDEX(Import_Staging!$D$2:$D$301,$Y37)&amp;"")</f>
        <v/>
      </c>
      <c r="P37" s="24" t="str">
        <f>IF($Y37="","",INDEX(Import_Staging!$E$2:$E$301,$Y37)&amp;"")</f>
        <v/>
      </c>
      <c r="Q37" s="27" t="n"/>
      <c r="R37" s="27" t="str">
        <f>IF($Y37="","",INDEX(Import_Staging!$N$2:$N$301,$Y37))</f>
        <v/>
      </c>
      <c r="S37" s="70" t="str">
        <f>IF($Y37="","",0)</f>
        <v/>
      </c>
      <c r="T37" s="24" t="str">
        <f>IF($Y37="","",INDEX(Import_Staging!$I$2:$I$301,$Y37)&amp;"")</f>
        <v/>
      </c>
      <c r="U37" s="24" t="n"/>
      <c r="V37" s="24" t="str">
        <f>IF($Y37="","","Received "&amp;TEXT(INDEX(Import_Staging!$M$2:$M$301,$Y37),"yyyy-mm-dd")&amp;" (CSV row "&amp;($Y37+1)&amp;")")</f>
        <v/>
      </c>
      <c r="X37" t="str">
        <f>IFERROR(MATCH(32,Import_Staging!$BT$2:$BT$301,0),"")</f>
        <v/>
      </c>
      <c r="Y37" t="str">
        <f>IFERROR(MATCH(32,Import_Staging!$BV$2:$BV$301,0),"")</f>
        <v/>
      </c>
    </row>
    <row r="38">
      <c r="A38" s="24" t="str">
        <f>IF($X38="","",INDEX(Import_Staging!$A$2:$A$301,$X38)&amp;"")</f>
        <v/>
      </c>
      <c r="B38" s="27" t="str">
        <f>IF($X38="","",INDEX(Import_Staging!$M$2:$M$301,$X38))</f>
        <v/>
      </c>
      <c r="C38" s="24" t="str">
        <f>IF($X38="","",INDEX(Import_Staging!$C$2:$C$301,$X38)&amp;"")</f>
        <v/>
      </c>
      <c r="D38" s="24" t="str">
        <f>IF($X38="","",INDEX(Import_Staging!$D$2:$D$301,$X38)&amp;"")</f>
        <v/>
      </c>
      <c r="E38" s="69" t="str">
        <f>IF($X38="","",INDEX(Import_Staging!$O$2:$O$301,$X38))</f>
        <v/>
      </c>
      <c r="F38" s="24" t="str">
        <f>IF($X38="","",INDEX(Import_Staging!$F$2:$F$301,$X38)&amp;"")</f>
        <v/>
      </c>
      <c r="G38" s="24" t="str">
        <f>IF($X38="","",INDEX(Import_Staging!$J$2:$J$301,$X38)&amp;"")</f>
        <v/>
      </c>
      <c r="H38" s="24" t="str">
        <f>IF($X38="","",INDEX(Import_Staging!$K$2:$K$301,$X38)&amp;"")</f>
        <v/>
      </c>
      <c r="I38" s="24" t="str">
        <f>IF($X38="","",INDEX(Import_Staging!$L$2:$L$301,$X38)&amp;"")</f>
        <v/>
      </c>
      <c r="J38" s="24" t="str">
        <f>IF($X38="","","3PL import")</f>
        <v/>
      </c>
      <c r="K38" s="24" t="str">
        <f>IF($X38="","",Config!$B$11)</f>
        <v/>
      </c>
      <c r="L38" s="24" t="str">
        <f>IF($X38="","","CSV row "&amp;($X38+1))</f>
        <v/>
      </c>
      <c r="N38" s="24" t="str">
        <f>IF($Y38="","",INDEX(Import_Staging!$F$2:$F$301,$Y38)&amp;"")</f>
        <v/>
      </c>
      <c r="O38" s="24" t="str">
        <f>IF($Y38="","",INDEX(Import_Staging!$D$2:$D$301,$Y38)&amp;"")</f>
        <v/>
      </c>
      <c r="P38" s="24" t="str">
        <f>IF($Y38="","",INDEX(Import_Staging!$E$2:$E$301,$Y38)&amp;"")</f>
        <v/>
      </c>
      <c r="Q38" s="27" t="n"/>
      <c r="R38" s="27" t="str">
        <f>IF($Y38="","",INDEX(Import_Staging!$N$2:$N$301,$Y38))</f>
        <v/>
      </c>
      <c r="S38" s="70" t="str">
        <f>IF($Y38="","",0)</f>
        <v/>
      </c>
      <c r="T38" s="24" t="str">
        <f>IF($Y38="","",INDEX(Import_Staging!$I$2:$I$301,$Y38)&amp;"")</f>
        <v/>
      </c>
      <c r="U38" s="24" t="n"/>
      <c r="V38" s="24" t="str">
        <f>IF($Y38="","","Received "&amp;TEXT(INDEX(Import_Staging!$M$2:$M$301,$Y38),"yyyy-mm-dd")&amp;" (CSV row "&amp;($Y38+1)&amp;")")</f>
        <v/>
      </c>
      <c r="X38" t="str">
        <f>IFERROR(MATCH(33,Import_Staging!$BT$2:$BT$301,0),"")</f>
        <v/>
      </c>
      <c r="Y38" t="str">
        <f>IFERROR(MATCH(33,Import_Staging!$BV$2:$BV$301,0),"")</f>
        <v/>
      </c>
    </row>
    <row r="39">
      <c r="A39" s="24" t="str">
        <f>IF($X39="","",INDEX(Import_Staging!$A$2:$A$301,$X39)&amp;"")</f>
        <v/>
      </c>
      <c r="B39" s="27" t="str">
        <f>IF($X39="","",INDEX(Import_Staging!$M$2:$M$301,$X39))</f>
        <v/>
      </c>
      <c r="C39" s="24" t="str">
        <f>IF($X39="","",INDEX(Import_Staging!$C$2:$C$301,$X39)&amp;"")</f>
        <v/>
      </c>
      <c r="D39" s="24" t="str">
        <f>IF($X39="","",INDEX(Import_Staging!$D$2:$D$301,$X39)&amp;"")</f>
        <v/>
      </c>
      <c r="E39" s="69" t="str">
        <f>IF($X39="","",INDEX(Import_Staging!$O$2:$O$301,$X39))</f>
        <v/>
      </c>
      <c r="F39" s="24" t="str">
        <f>IF($X39="","",INDEX(Import_Staging!$F$2:$F$301,$X39)&amp;"")</f>
        <v/>
      </c>
      <c r="G39" s="24" t="str">
        <f>IF($X39="","",INDEX(Import_Staging!$J$2:$J$301,$X39)&amp;"")</f>
        <v/>
      </c>
      <c r="H39" s="24" t="str">
        <f>IF($X39="","",INDEX(Import_Staging!$K$2:$K$301,$X39)&amp;"")</f>
        <v/>
      </c>
      <c r="I39" s="24" t="str">
        <f>IF($X39="","",INDEX(Import_Staging!$L$2:$L$301,$X39)&amp;"")</f>
        <v/>
      </c>
      <c r="J39" s="24" t="str">
        <f>IF($X39="","","3PL import")</f>
        <v/>
      </c>
      <c r="K39" s="24" t="str">
        <f>IF($X39="","",Config!$B$11)</f>
        <v/>
      </c>
      <c r="L39" s="24" t="str">
        <f>IF($X39="","","CSV row "&amp;($X39+1))</f>
        <v/>
      </c>
      <c r="N39" s="24" t="str">
        <f>IF($Y39="","",INDEX(Import_Staging!$F$2:$F$301,$Y39)&amp;"")</f>
        <v/>
      </c>
      <c r="O39" s="24" t="str">
        <f>IF($Y39="","",INDEX(Import_Staging!$D$2:$D$301,$Y39)&amp;"")</f>
        <v/>
      </c>
      <c r="P39" s="24" t="str">
        <f>IF($Y39="","",INDEX(Import_Staging!$E$2:$E$301,$Y39)&amp;"")</f>
        <v/>
      </c>
      <c r="Q39" s="27" t="n"/>
      <c r="R39" s="27" t="str">
        <f>IF($Y39="","",INDEX(Import_Staging!$N$2:$N$301,$Y39))</f>
        <v/>
      </c>
      <c r="S39" s="70" t="str">
        <f>IF($Y39="","",0)</f>
        <v/>
      </c>
      <c r="T39" s="24" t="str">
        <f>IF($Y39="","",INDEX(Import_Staging!$I$2:$I$301,$Y39)&amp;"")</f>
        <v/>
      </c>
      <c r="U39" s="24" t="n"/>
      <c r="V39" s="24" t="str">
        <f>IF($Y39="","","Received "&amp;TEXT(INDEX(Import_Staging!$M$2:$M$301,$Y39),"yyyy-mm-dd")&amp;" (CSV row "&amp;($Y39+1)&amp;")")</f>
        <v/>
      </c>
      <c r="X39" t="str">
        <f>IFERROR(MATCH(34,Import_Staging!$BT$2:$BT$301,0),"")</f>
        <v/>
      </c>
      <c r="Y39" t="str">
        <f>IFERROR(MATCH(34,Import_Staging!$BV$2:$BV$301,0),"")</f>
        <v/>
      </c>
    </row>
    <row r="40">
      <c r="A40" s="24" t="str">
        <f>IF($X40="","",INDEX(Import_Staging!$A$2:$A$301,$X40)&amp;"")</f>
        <v/>
      </c>
      <c r="B40" s="27" t="str">
        <f>IF($X40="","",INDEX(Import_Staging!$M$2:$M$301,$X40))</f>
        <v/>
      </c>
      <c r="C40" s="24" t="str">
        <f>IF($X40="","",INDEX(Import_Staging!$C$2:$C$301,$X40)&amp;"")</f>
        <v/>
      </c>
      <c r="D40" s="24" t="str">
        <f>IF($X40="","",INDEX(Import_Staging!$D$2:$D$301,$X40)&amp;"")</f>
        <v/>
      </c>
      <c r="E40" s="69" t="str">
        <f>IF($X40="","",INDEX(Import_Staging!$O$2:$O$301,$X40))</f>
        <v/>
      </c>
      <c r="F40" s="24" t="str">
        <f>IF($X40="","",INDEX(Import_Staging!$F$2:$F$301,$X40)&amp;"")</f>
        <v/>
      </c>
      <c r="G40" s="24" t="str">
        <f>IF($X40="","",INDEX(Import_Staging!$J$2:$J$301,$X40)&amp;"")</f>
        <v/>
      </c>
      <c r="H40" s="24" t="str">
        <f>IF($X40="","",INDEX(Import_Staging!$K$2:$K$301,$X40)&amp;"")</f>
        <v/>
      </c>
      <c r="I40" s="24" t="str">
        <f>IF($X40="","",INDEX(Import_Staging!$L$2:$L$301,$X40)&amp;"")</f>
        <v/>
      </c>
      <c r="J40" s="24" t="str">
        <f>IF($X40="","","3PL import")</f>
        <v/>
      </c>
      <c r="K40" s="24" t="str">
        <f>IF($X40="","",Config!$B$11)</f>
        <v/>
      </c>
      <c r="L40" s="24" t="str">
        <f>IF($X40="","","CSV row "&amp;($X40+1))</f>
        <v/>
      </c>
      <c r="N40" s="24" t="str">
        <f>IF($Y40="","",INDEX(Import_Staging!$F$2:$F$301,$Y40)&amp;"")</f>
        <v/>
      </c>
      <c r="O40" s="24" t="str">
        <f>IF($Y40="","",INDEX(Import_Staging!$D$2:$D$301,$Y40)&amp;"")</f>
        <v/>
      </c>
      <c r="P40" s="24" t="str">
        <f>IF($Y40="","",INDEX(Import_Staging!$E$2:$E$301,$Y40)&amp;"")</f>
        <v/>
      </c>
      <c r="Q40" s="27" t="n"/>
      <c r="R40" s="27" t="str">
        <f>IF($Y40="","",INDEX(Import_Staging!$N$2:$N$301,$Y40))</f>
        <v/>
      </c>
      <c r="S40" s="70" t="str">
        <f>IF($Y40="","",0)</f>
        <v/>
      </c>
      <c r="T40" s="24" t="str">
        <f>IF($Y40="","",INDEX(Import_Staging!$I$2:$I$301,$Y40)&amp;"")</f>
        <v/>
      </c>
      <c r="U40" s="24" t="n"/>
      <c r="V40" s="24" t="str">
        <f>IF($Y40="","","Received "&amp;TEXT(INDEX(Import_Staging!$M$2:$M$301,$Y40),"yyyy-mm-dd")&amp;" (CSV row "&amp;($Y40+1)&amp;")")</f>
        <v/>
      </c>
      <c r="X40" t="str">
        <f>IFERROR(MATCH(35,Import_Staging!$BT$2:$BT$301,0),"")</f>
        <v/>
      </c>
      <c r="Y40" t="str">
        <f>IFERROR(MATCH(35,Import_Staging!$BV$2:$BV$301,0),"")</f>
        <v/>
      </c>
    </row>
    <row r="41">
      <c r="A41" s="24" t="str">
        <f>IF($X41="","",INDEX(Import_Staging!$A$2:$A$301,$X41)&amp;"")</f>
        <v/>
      </c>
      <c r="B41" s="27" t="str">
        <f>IF($X41="","",INDEX(Import_Staging!$M$2:$M$301,$X41))</f>
        <v/>
      </c>
      <c r="C41" s="24" t="str">
        <f>IF($X41="","",INDEX(Import_Staging!$C$2:$C$301,$X41)&amp;"")</f>
        <v/>
      </c>
      <c r="D41" s="24" t="str">
        <f>IF($X41="","",INDEX(Import_Staging!$D$2:$D$301,$X41)&amp;"")</f>
        <v/>
      </c>
      <c r="E41" s="69" t="str">
        <f>IF($X41="","",INDEX(Import_Staging!$O$2:$O$301,$X41))</f>
        <v/>
      </c>
      <c r="F41" s="24" t="str">
        <f>IF($X41="","",INDEX(Import_Staging!$F$2:$F$301,$X41)&amp;"")</f>
        <v/>
      </c>
      <c r="G41" s="24" t="str">
        <f>IF($X41="","",INDEX(Import_Staging!$J$2:$J$301,$X41)&amp;"")</f>
        <v/>
      </c>
      <c r="H41" s="24" t="str">
        <f>IF($X41="","",INDEX(Import_Staging!$K$2:$K$301,$X41)&amp;"")</f>
        <v/>
      </c>
      <c r="I41" s="24" t="str">
        <f>IF($X41="","",INDEX(Import_Staging!$L$2:$L$301,$X41)&amp;"")</f>
        <v/>
      </c>
      <c r="J41" s="24" t="str">
        <f>IF($X41="","","3PL import")</f>
        <v/>
      </c>
      <c r="K41" s="24" t="str">
        <f>IF($X41="","",Config!$B$11)</f>
        <v/>
      </c>
      <c r="L41" s="24" t="str">
        <f>IF($X41="","","CSV row "&amp;($X41+1))</f>
        <v/>
      </c>
      <c r="N41" s="24" t="str">
        <f>IF($Y41="","",INDEX(Import_Staging!$F$2:$F$301,$Y41)&amp;"")</f>
        <v/>
      </c>
      <c r="O41" s="24" t="str">
        <f>IF($Y41="","",INDEX(Import_Staging!$D$2:$D$301,$Y41)&amp;"")</f>
        <v/>
      </c>
      <c r="P41" s="24" t="str">
        <f>IF($Y41="","",INDEX(Import_Staging!$E$2:$E$301,$Y41)&amp;"")</f>
        <v/>
      </c>
      <c r="Q41" s="27" t="n"/>
      <c r="R41" s="27" t="str">
        <f>IF($Y41="","",INDEX(Import_Staging!$N$2:$N$301,$Y41))</f>
        <v/>
      </c>
      <c r="S41" s="70" t="str">
        <f>IF($Y41="","",0)</f>
        <v/>
      </c>
      <c r="T41" s="24" t="str">
        <f>IF($Y41="","",INDEX(Import_Staging!$I$2:$I$301,$Y41)&amp;"")</f>
        <v/>
      </c>
      <c r="U41" s="24" t="n"/>
      <c r="V41" s="24" t="str">
        <f>IF($Y41="","","Received "&amp;TEXT(INDEX(Import_Staging!$M$2:$M$301,$Y41),"yyyy-mm-dd")&amp;" (CSV row "&amp;($Y41+1)&amp;")")</f>
        <v/>
      </c>
      <c r="X41" t="str">
        <f>IFERROR(MATCH(36,Import_Staging!$BT$2:$BT$301,0),"")</f>
        <v/>
      </c>
      <c r="Y41" t="str">
        <f>IFERROR(MATCH(36,Import_Staging!$BV$2:$BV$301,0),"")</f>
        <v/>
      </c>
    </row>
    <row r="42">
      <c r="A42" s="24" t="str">
        <f>IF($X42="","",INDEX(Import_Staging!$A$2:$A$301,$X42)&amp;"")</f>
        <v/>
      </c>
      <c r="B42" s="27" t="str">
        <f>IF($X42="","",INDEX(Import_Staging!$M$2:$M$301,$X42))</f>
        <v/>
      </c>
      <c r="C42" s="24" t="str">
        <f>IF($X42="","",INDEX(Import_Staging!$C$2:$C$301,$X42)&amp;"")</f>
        <v/>
      </c>
      <c r="D42" s="24" t="str">
        <f>IF($X42="","",INDEX(Import_Staging!$D$2:$D$301,$X42)&amp;"")</f>
        <v/>
      </c>
      <c r="E42" s="69" t="str">
        <f>IF($X42="","",INDEX(Import_Staging!$O$2:$O$301,$X42))</f>
        <v/>
      </c>
      <c r="F42" s="24" t="str">
        <f>IF($X42="","",INDEX(Import_Staging!$F$2:$F$301,$X42)&amp;"")</f>
        <v/>
      </c>
      <c r="G42" s="24" t="str">
        <f>IF($X42="","",INDEX(Import_Staging!$J$2:$J$301,$X42)&amp;"")</f>
        <v/>
      </c>
      <c r="H42" s="24" t="str">
        <f>IF($X42="","",INDEX(Import_Staging!$K$2:$K$301,$X42)&amp;"")</f>
        <v/>
      </c>
      <c r="I42" s="24" t="str">
        <f>IF($X42="","",INDEX(Import_Staging!$L$2:$L$301,$X42)&amp;"")</f>
        <v/>
      </c>
      <c r="J42" s="24" t="str">
        <f>IF($X42="","","3PL import")</f>
        <v/>
      </c>
      <c r="K42" s="24" t="str">
        <f>IF($X42="","",Config!$B$11)</f>
        <v/>
      </c>
      <c r="L42" s="24" t="str">
        <f>IF($X42="","","CSV row "&amp;($X42+1))</f>
        <v/>
      </c>
      <c r="N42" s="24" t="str">
        <f>IF($Y42="","",INDEX(Import_Staging!$F$2:$F$301,$Y42)&amp;"")</f>
        <v/>
      </c>
      <c r="O42" s="24" t="str">
        <f>IF($Y42="","",INDEX(Import_Staging!$D$2:$D$301,$Y42)&amp;"")</f>
        <v/>
      </c>
      <c r="P42" s="24" t="str">
        <f>IF($Y42="","",INDEX(Import_Staging!$E$2:$E$301,$Y42)&amp;"")</f>
        <v/>
      </c>
      <c r="Q42" s="27" t="n"/>
      <c r="R42" s="27" t="str">
        <f>IF($Y42="","",INDEX(Import_Staging!$N$2:$N$301,$Y42))</f>
        <v/>
      </c>
      <c r="S42" s="70" t="str">
        <f>IF($Y42="","",0)</f>
        <v/>
      </c>
      <c r="T42" s="24" t="str">
        <f>IF($Y42="","",INDEX(Import_Staging!$I$2:$I$301,$Y42)&amp;"")</f>
        <v/>
      </c>
      <c r="U42" s="24" t="n"/>
      <c r="V42" s="24" t="str">
        <f>IF($Y42="","","Received "&amp;TEXT(INDEX(Import_Staging!$M$2:$M$301,$Y42),"yyyy-mm-dd")&amp;" (CSV row "&amp;($Y42+1)&amp;")")</f>
        <v/>
      </c>
      <c r="X42" t="str">
        <f>IFERROR(MATCH(37,Import_Staging!$BT$2:$BT$301,0),"")</f>
        <v/>
      </c>
      <c r="Y42" t="str">
        <f>IFERROR(MATCH(37,Import_Staging!$BV$2:$BV$301,0),"")</f>
        <v/>
      </c>
    </row>
    <row r="43">
      <c r="A43" s="24" t="str">
        <f>IF($X43="","",INDEX(Import_Staging!$A$2:$A$301,$X43)&amp;"")</f>
        <v/>
      </c>
      <c r="B43" s="27" t="str">
        <f>IF($X43="","",INDEX(Import_Staging!$M$2:$M$301,$X43))</f>
        <v/>
      </c>
      <c r="C43" s="24" t="str">
        <f>IF($X43="","",INDEX(Import_Staging!$C$2:$C$301,$X43)&amp;"")</f>
        <v/>
      </c>
      <c r="D43" s="24" t="str">
        <f>IF($X43="","",INDEX(Import_Staging!$D$2:$D$301,$X43)&amp;"")</f>
        <v/>
      </c>
      <c r="E43" s="69" t="str">
        <f>IF($X43="","",INDEX(Import_Staging!$O$2:$O$301,$X43))</f>
        <v/>
      </c>
      <c r="F43" s="24" t="str">
        <f>IF($X43="","",INDEX(Import_Staging!$F$2:$F$301,$X43)&amp;"")</f>
        <v/>
      </c>
      <c r="G43" s="24" t="str">
        <f>IF($X43="","",INDEX(Import_Staging!$J$2:$J$301,$X43)&amp;"")</f>
        <v/>
      </c>
      <c r="H43" s="24" t="str">
        <f>IF($X43="","",INDEX(Import_Staging!$K$2:$K$301,$X43)&amp;"")</f>
        <v/>
      </c>
      <c r="I43" s="24" t="str">
        <f>IF($X43="","",INDEX(Import_Staging!$L$2:$L$301,$X43)&amp;"")</f>
        <v/>
      </c>
      <c r="J43" s="24" t="str">
        <f>IF($X43="","","3PL import")</f>
        <v/>
      </c>
      <c r="K43" s="24" t="str">
        <f>IF($X43="","",Config!$B$11)</f>
        <v/>
      </c>
      <c r="L43" s="24" t="str">
        <f>IF($X43="","","CSV row "&amp;($X43+1))</f>
        <v/>
      </c>
      <c r="N43" s="24" t="str">
        <f>IF($Y43="","",INDEX(Import_Staging!$F$2:$F$301,$Y43)&amp;"")</f>
        <v/>
      </c>
      <c r="O43" s="24" t="str">
        <f>IF($Y43="","",INDEX(Import_Staging!$D$2:$D$301,$Y43)&amp;"")</f>
        <v/>
      </c>
      <c r="P43" s="24" t="str">
        <f>IF($Y43="","",INDEX(Import_Staging!$E$2:$E$301,$Y43)&amp;"")</f>
        <v/>
      </c>
      <c r="Q43" s="27" t="n"/>
      <c r="R43" s="27" t="str">
        <f>IF($Y43="","",INDEX(Import_Staging!$N$2:$N$301,$Y43))</f>
        <v/>
      </c>
      <c r="S43" s="70" t="str">
        <f>IF($Y43="","",0)</f>
        <v/>
      </c>
      <c r="T43" s="24" t="str">
        <f>IF($Y43="","",INDEX(Import_Staging!$I$2:$I$301,$Y43)&amp;"")</f>
        <v/>
      </c>
      <c r="U43" s="24" t="n"/>
      <c r="V43" s="24" t="str">
        <f>IF($Y43="","","Received "&amp;TEXT(INDEX(Import_Staging!$M$2:$M$301,$Y43),"yyyy-mm-dd")&amp;" (CSV row "&amp;($Y43+1)&amp;")")</f>
        <v/>
      </c>
      <c r="X43" t="str">
        <f>IFERROR(MATCH(38,Import_Staging!$BT$2:$BT$301,0),"")</f>
        <v/>
      </c>
      <c r="Y43" t="str">
        <f>IFERROR(MATCH(38,Import_Staging!$BV$2:$BV$301,0),"")</f>
        <v/>
      </c>
    </row>
    <row r="44">
      <c r="A44" s="24" t="str">
        <f>IF($X44="","",INDEX(Import_Staging!$A$2:$A$301,$X44)&amp;"")</f>
        <v/>
      </c>
      <c r="B44" s="27" t="str">
        <f>IF($X44="","",INDEX(Import_Staging!$M$2:$M$301,$X44))</f>
        <v/>
      </c>
      <c r="C44" s="24" t="str">
        <f>IF($X44="","",INDEX(Import_Staging!$C$2:$C$301,$X44)&amp;"")</f>
        <v/>
      </c>
      <c r="D44" s="24" t="str">
        <f>IF($X44="","",INDEX(Import_Staging!$D$2:$D$301,$X44)&amp;"")</f>
        <v/>
      </c>
      <c r="E44" s="69" t="str">
        <f>IF($X44="","",INDEX(Import_Staging!$O$2:$O$301,$X44))</f>
        <v/>
      </c>
      <c r="F44" s="24" t="str">
        <f>IF($X44="","",INDEX(Import_Staging!$F$2:$F$301,$X44)&amp;"")</f>
        <v/>
      </c>
      <c r="G44" s="24" t="str">
        <f>IF($X44="","",INDEX(Import_Staging!$J$2:$J$301,$X44)&amp;"")</f>
        <v/>
      </c>
      <c r="H44" s="24" t="str">
        <f>IF($X44="","",INDEX(Import_Staging!$K$2:$K$301,$X44)&amp;"")</f>
        <v/>
      </c>
      <c r="I44" s="24" t="str">
        <f>IF($X44="","",INDEX(Import_Staging!$L$2:$L$301,$X44)&amp;"")</f>
        <v/>
      </c>
      <c r="J44" s="24" t="str">
        <f>IF($X44="","","3PL import")</f>
        <v/>
      </c>
      <c r="K44" s="24" t="str">
        <f>IF($X44="","",Config!$B$11)</f>
        <v/>
      </c>
      <c r="L44" s="24" t="str">
        <f>IF($X44="","","CSV row "&amp;($X44+1))</f>
        <v/>
      </c>
      <c r="N44" s="24" t="str">
        <f>IF($Y44="","",INDEX(Import_Staging!$F$2:$F$301,$Y44)&amp;"")</f>
        <v/>
      </c>
      <c r="O44" s="24" t="str">
        <f>IF($Y44="","",INDEX(Import_Staging!$D$2:$D$301,$Y44)&amp;"")</f>
        <v/>
      </c>
      <c r="P44" s="24" t="str">
        <f>IF($Y44="","",INDEX(Import_Staging!$E$2:$E$301,$Y44)&amp;"")</f>
        <v/>
      </c>
      <c r="Q44" s="27" t="n"/>
      <c r="R44" s="27" t="str">
        <f>IF($Y44="","",INDEX(Import_Staging!$N$2:$N$301,$Y44))</f>
        <v/>
      </c>
      <c r="S44" s="70" t="str">
        <f>IF($Y44="","",0)</f>
        <v/>
      </c>
      <c r="T44" s="24" t="str">
        <f>IF($Y44="","",INDEX(Import_Staging!$I$2:$I$301,$Y44)&amp;"")</f>
        <v/>
      </c>
      <c r="U44" s="24" t="n"/>
      <c r="V44" s="24" t="str">
        <f>IF($Y44="","","Received "&amp;TEXT(INDEX(Import_Staging!$M$2:$M$301,$Y44),"yyyy-mm-dd")&amp;" (CSV row "&amp;($Y44+1)&amp;")")</f>
        <v/>
      </c>
      <c r="X44" t="str">
        <f>IFERROR(MATCH(39,Import_Staging!$BT$2:$BT$301,0),"")</f>
        <v/>
      </c>
      <c r="Y44" t="str">
        <f>IFERROR(MATCH(39,Import_Staging!$BV$2:$BV$301,0),"")</f>
        <v/>
      </c>
    </row>
    <row r="45">
      <c r="A45" s="24" t="str">
        <f>IF($X45="","",INDEX(Import_Staging!$A$2:$A$301,$X45)&amp;"")</f>
        <v/>
      </c>
      <c r="B45" s="27" t="str">
        <f>IF($X45="","",INDEX(Import_Staging!$M$2:$M$301,$X45))</f>
        <v/>
      </c>
      <c r="C45" s="24" t="str">
        <f>IF($X45="","",INDEX(Import_Staging!$C$2:$C$301,$X45)&amp;"")</f>
        <v/>
      </c>
      <c r="D45" s="24" t="str">
        <f>IF($X45="","",INDEX(Import_Staging!$D$2:$D$301,$X45)&amp;"")</f>
        <v/>
      </c>
      <c r="E45" s="69" t="str">
        <f>IF($X45="","",INDEX(Import_Staging!$O$2:$O$301,$X45))</f>
        <v/>
      </c>
      <c r="F45" s="24" t="str">
        <f>IF($X45="","",INDEX(Import_Staging!$F$2:$F$301,$X45)&amp;"")</f>
        <v/>
      </c>
      <c r="G45" s="24" t="str">
        <f>IF($X45="","",INDEX(Import_Staging!$J$2:$J$301,$X45)&amp;"")</f>
        <v/>
      </c>
      <c r="H45" s="24" t="str">
        <f>IF($X45="","",INDEX(Import_Staging!$K$2:$K$301,$X45)&amp;"")</f>
        <v/>
      </c>
      <c r="I45" s="24" t="str">
        <f>IF($X45="","",INDEX(Import_Staging!$L$2:$L$301,$X45)&amp;"")</f>
        <v/>
      </c>
      <c r="J45" s="24" t="str">
        <f>IF($X45="","","3PL import")</f>
        <v/>
      </c>
      <c r="K45" s="24" t="str">
        <f>IF($X45="","",Config!$B$11)</f>
        <v/>
      </c>
      <c r="L45" s="24" t="str">
        <f>IF($X45="","","CSV row "&amp;($X45+1))</f>
        <v/>
      </c>
      <c r="N45" s="24" t="str">
        <f>IF($Y45="","",INDEX(Import_Staging!$F$2:$F$301,$Y45)&amp;"")</f>
        <v/>
      </c>
      <c r="O45" s="24" t="str">
        <f>IF($Y45="","",INDEX(Import_Staging!$D$2:$D$301,$Y45)&amp;"")</f>
        <v/>
      </c>
      <c r="P45" s="24" t="str">
        <f>IF($Y45="","",INDEX(Import_Staging!$E$2:$E$301,$Y45)&amp;"")</f>
        <v/>
      </c>
      <c r="Q45" s="27" t="n"/>
      <c r="R45" s="27" t="str">
        <f>IF($Y45="","",INDEX(Import_Staging!$N$2:$N$301,$Y45))</f>
        <v/>
      </c>
      <c r="S45" s="70" t="str">
        <f>IF($Y45="","",0)</f>
        <v/>
      </c>
      <c r="T45" s="24" t="str">
        <f>IF($Y45="","",INDEX(Import_Staging!$I$2:$I$301,$Y45)&amp;"")</f>
        <v/>
      </c>
      <c r="U45" s="24" t="n"/>
      <c r="V45" s="24" t="str">
        <f>IF($Y45="","","Received "&amp;TEXT(INDEX(Import_Staging!$M$2:$M$301,$Y45),"yyyy-mm-dd")&amp;" (CSV row "&amp;($Y45+1)&amp;")")</f>
        <v/>
      </c>
      <c r="X45" t="str">
        <f>IFERROR(MATCH(40,Import_Staging!$BT$2:$BT$301,0),"")</f>
        <v/>
      </c>
      <c r="Y45" t="str">
        <f>IFERROR(MATCH(40,Import_Staging!$BV$2:$BV$301,0),"")</f>
        <v/>
      </c>
    </row>
    <row r="46">
      <c r="A46" s="24" t="str">
        <f>IF($X46="","",INDEX(Import_Staging!$A$2:$A$301,$X46)&amp;"")</f>
        <v/>
      </c>
      <c r="B46" s="27" t="str">
        <f>IF($X46="","",INDEX(Import_Staging!$M$2:$M$301,$X46))</f>
        <v/>
      </c>
      <c r="C46" s="24" t="str">
        <f>IF($X46="","",INDEX(Import_Staging!$C$2:$C$301,$X46)&amp;"")</f>
        <v/>
      </c>
      <c r="D46" s="24" t="str">
        <f>IF($X46="","",INDEX(Import_Staging!$D$2:$D$301,$X46)&amp;"")</f>
        <v/>
      </c>
      <c r="E46" s="69" t="str">
        <f>IF($X46="","",INDEX(Import_Staging!$O$2:$O$301,$X46))</f>
        <v/>
      </c>
      <c r="F46" s="24" t="str">
        <f>IF($X46="","",INDEX(Import_Staging!$F$2:$F$301,$X46)&amp;"")</f>
        <v/>
      </c>
      <c r="G46" s="24" t="str">
        <f>IF($X46="","",INDEX(Import_Staging!$J$2:$J$301,$X46)&amp;"")</f>
        <v/>
      </c>
      <c r="H46" s="24" t="str">
        <f>IF($X46="","",INDEX(Import_Staging!$K$2:$K$301,$X46)&amp;"")</f>
        <v/>
      </c>
      <c r="I46" s="24" t="str">
        <f>IF($X46="","",INDEX(Import_Staging!$L$2:$L$301,$X46)&amp;"")</f>
        <v/>
      </c>
      <c r="J46" s="24" t="str">
        <f>IF($X46="","","3PL import")</f>
        <v/>
      </c>
      <c r="K46" s="24" t="str">
        <f>IF($X46="","",Config!$B$11)</f>
        <v/>
      </c>
      <c r="L46" s="24" t="str">
        <f>IF($X46="","","CSV row "&amp;($X46+1))</f>
        <v/>
      </c>
      <c r="N46" s="24" t="str">
        <f>IF($Y46="","",INDEX(Import_Staging!$F$2:$F$301,$Y46)&amp;"")</f>
        <v/>
      </c>
      <c r="O46" s="24" t="str">
        <f>IF($Y46="","",INDEX(Import_Staging!$D$2:$D$301,$Y46)&amp;"")</f>
        <v/>
      </c>
      <c r="P46" s="24" t="str">
        <f>IF($Y46="","",INDEX(Import_Staging!$E$2:$E$301,$Y46)&amp;"")</f>
        <v/>
      </c>
      <c r="Q46" s="27" t="n"/>
      <c r="R46" s="27" t="str">
        <f>IF($Y46="","",INDEX(Import_Staging!$N$2:$N$301,$Y46))</f>
        <v/>
      </c>
      <c r="S46" s="70" t="str">
        <f>IF($Y46="","",0)</f>
        <v/>
      </c>
      <c r="T46" s="24" t="str">
        <f>IF($Y46="","",INDEX(Import_Staging!$I$2:$I$301,$Y46)&amp;"")</f>
        <v/>
      </c>
      <c r="U46" s="24" t="n"/>
      <c r="V46" s="24" t="str">
        <f>IF($Y46="","","Received "&amp;TEXT(INDEX(Import_Staging!$M$2:$M$301,$Y46),"yyyy-mm-dd")&amp;" (CSV row "&amp;($Y46+1)&amp;")")</f>
        <v/>
      </c>
      <c r="X46" t="str">
        <f>IFERROR(MATCH(41,Import_Staging!$BT$2:$BT$301,0),"")</f>
        <v/>
      </c>
      <c r="Y46" t="str">
        <f>IFERROR(MATCH(41,Import_Staging!$BV$2:$BV$301,0),"")</f>
        <v/>
      </c>
    </row>
    <row r="47">
      <c r="A47" s="24" t="str">
        <f>IF($X47="","",INDEX(Import_Staging!$A$2:$A$301,$X47)&amp;"")</f>
        <v/>
      </c>
      <c r="B47" s="27" t="str">
        <f>IF($X47="","",INDEX(Import_Staging!$M$2:$M$301,$X47))</f>
        <v/>
      </c>
      <c r="C47" s="24" t="str">
        <f>IF($X47="","",INDEX(Import_Staging!$C$2:$C$301,$X47)&amp;"")</f>
        <v/>
      </c>
      <c r="D47" s="24" t="str">
        <f>IF($X47="","",INDEX(Import_Staging!$D$2:$D$301,$X47)&amp;"")</f>
        <v/>
      </c>
      <c r="E47" s="69" t="str">
        <f>IF($X47="","",INDEX(Import_Staging!$O$2:$O$301,$X47))</f>
        <v/>
      </c>
      <c r="F47" s="24" t="str">
        <f>IF($X47="","",INDEX(Import_Staging!$F$2:$F$301,$X47)&amp;"")</f>
        <v/>
      </c>
      <c r="G47" s="24" t="str">
        <f>IF($X47="","",INDEX(Import_Staging!$J$2:$J$301,$X47)&amp;"")</f>
        <v/>
      </c>
      <c r="H47" s="24" t="str">
        <f>IF($X47="","",INDEX(Import_Staging!$K$2:$K$301,$X47)&amp;"")</f>
        <v/>
      </c>
      <c r="I47" s="24" t="str">
        <f>IF($X47="","",INDEX(Import_Staging!$L$2:$L$301,$X47)&amp;"")</f>
        <v/>
      </c>
      <c r="J47" s="24" t="str">
        <f>IF($X47="","","3PL import")</f>
        <v/>
      </c>
      <c r="K47" s="24" t="str">
        <f>IF($X47="","",Config!$B$11)</f>
        <v/>
      </c>
      <c r="L47" s="24" t="str">
        <f>IF($X47="","","CSV row "&amp;($X47+1))</f>
        <v/>
      </c>
      <c r="N47" s="24" t="str">
        <f>IF($Y47="","",INDEX(Import_Staging!$F$2:$F$301,$Y47)&amp;"")</f>
        <v/>
      </c>
      <c r="O47" s="24" t="str">
        <f>IF($Y47="","",INDEX(Import_Staging!$D$2:$D$301,$Y47)&amp;"")</f>
        <v/>
      </c>
      <c r="P47" s="24" t="str">
        <f>IF($Y47="","",INDEX(Import_Staging!$E$2:$E$301,$Y47)&amp;"")</f>
        <v/>
      </c>
      <c r="Q47" s="27" t="n"/>
      <c r="R47" s="27" t="str">
        <f>IF($Y47="","",INDEX(Import_Staging!$N$2:$N$301,$Y47))</f>
        <v/>
      </c>
      <c r="S47" s="70" t="str">
        <f>IF($Y47="","",0)</f>
        <v/>
      </c>
      <c r="T47" s="24" t="str">
        <f>IF($Y47="","",INDEX(Import_Staging!$I$2:$I$301,$Y47)&amp;"")</f>
        <v/>
      </c>
      <c r="U47" s="24" t="n"/>
      <c r="V47" s="24" t="str">
        <f>IF($Y47="","","Received "&amp;TEXT(INDEX(Import_Staging!$M$2:$M$301,$Y47),"yyyy-mm-dd")&amp;" (CSV row "&amp;($Y47+1)&amp;")")</f>
        <v/>
      </c>
      <c r="X47" t="str">
        <f>IFERROR(MATCH(42,Import_Staging!$BT$2:$BT$301,0),"")</f>
        <v/>
      </c>
      <c r="Y47" t="str">
        <f>IFERROR(MATCH(42,Import_Staging!$BV$2:$BV$301,0),"")</f>
        <v/>
      </c>
    </row>
    <row r="48">
      <c r="A48" s="24" t="str">
        <f>IF($X48="","",INDEX(Import_Staging!$A$2:$A$301,$X48)&amp;"")</f>
        <v/>
      </c>
      <c r="B48" s="27" t="str">
        <f>IF($X48="","",INDEX(Import_Staging!$M$2:$M$301,$X48))</f>
        <v/>
      </c>
      <c r="C48" s="24" t="str">
        <f>IF($X48="","",INDEX(Import_Staging!$C$2:$C$301,$X48)&amp;"")</f>
        <v/>
      </c>
      <c r="D48" s="24" t="str">
        <f>IF($X48="","",INDEX(Import_Staging!$D$2:$D$301,$X48)&amp;"")</f>
        <v/>
      </c>
      <c r="E48" s="69" t="str">
        <f>IF($X48="","",INDEX(Import_Staging!$O$2:$O$301,$X48))</f>
        <v/>
      </c>
      <c r="F48" s="24" t="str">
        <f>IF($X48="","",INDEX(Import_Staging!$F$2:$F$301,$X48)&amp;"")</f>
        <v/>
      </c>
      <c r="G48" s="24" t="str">
        <f>IF($X48="","",INDEX(Import_Staging!$J$2:$J$301,$X48)&amp;"")</f>
        <v/>
      </c>
      <c r="H48" s="24" t="str">
        <f>IF($X48="","",INDEX(Import_Staging!$K$2:$K$301,$X48)&amp;"")</f>
        <v/>
      </c>
      <c r="I48" s="24" t="str">
        <f>IF($X48="","",INDEX(Import_Staging!$L$2:$L$301,$X48)&amp;"")</f>
        <v/>
      </c>
      <c r="J48" s="24" t="str">
        <f>IF($X48="","","3PL import")</f>
        <v/>
      </c>
      <c r="K48" s="24" t="str">
        <f>IF($X48="","",Config!$B$11)</f>
        <v/>
      </c>
      <c r="L48" s="24" t="str">
        <f>IF($X48="","","CSV row "&amp;($X48+1))</f>
        <v/>
      </c>
      <c r="N48" s="24" t="str">
        <f>IF($Y48="","",INDEX(Import_Staging!$F$2:$F$301,$Y48)&amp;"")</f>
        <v/>
      </c>
      <c r="O48" s="24" t="str">
        <f>IF($Y48="","",INDEX(Import_Staging!$D$2:$D$301,$Y48)&amp;"")</f>
        <v/>
      </c>
      <c r="P48" s="24" t="str">
        <f>IF($Y48="","",INDEX(Import_Staging!$E$2:$E$301,$Y48)&amp;"")</f>
        <v/>
      </c>
      <c r="Q48" s="27" t="n"/>
      <c r="R48" s="27" t="str">
        <f>IF($Y48="","",INDEX(Import_Staging!$N$2:$N$301,$Y48))</f>
        <v/>
      </c>
      <c r="S48" s="70" t="str">
        <f>IF($Y48="","",0)</f>
        <v/>
      </c>
      <c r="T48" s="24" t="str">
        <f>IF($Y48="","",INDEX(Import_Staging!$I$2:$I$301,$Y48)&amp;"")</f>
        <v/>
      </c>
      <c r="U48" s="24" t="n"/>
      <c r="V48" s="24" t="str">
        <f>IF($Y48="","","Received "&amp;TEXT(INDEX(Import_Staging!$M$2:$M$301,$Y48),"yyyy-mm-dd")&amp;" (CSV row "&amp;($Y48+1)&amp;")")</f>
        <v/>
      </c>
      <c r="X48" t="str">
        <f>IFERROR(MATCH(43,Import_Staging!$BT$2:$BT$301,0),"")</f>
        <v/>
      </c>
      <c r="Y48" t="str">
        <f>IFERROR(MATCH(43,Import_Staging!$BV$2:$BV$301,0),"")</f>
        <v/>
      </c>
    </row>
    <row r="49">
      <c r="A49" s="24" t="str">
        <f>IF($X49="","",INDEX(Import_Staging!$A$2:$A$301,$X49)&amp;"")</f>
        <v/>
      </c>
      <c r="B49" s="27" t="str">
        <f>IF($X49="","",INDEX(Import_Staging!$M$2:$M$301,$X49))</f>
        <v/>
      </c>
      <c r="C49" s="24" t="str">
        <f>IF($X49="","",INDEX(Import_Staging!$C$2:$C$301,$X49)&amp;"")</f>
        <v/>
      </c>
      <c r="D49" s="24" t="str">
        <f>IF($X49="","",INDEX(Import_Staging!$D$2:$D$301,$X49)&amp;"")</f>
        <v/>
      </c>
      <c r="E49" s="69" t="str">
        <f>IF($X49="","",INDEX(Import_Staging!$O$2:$O$301,$X49))</f>
        <v/>
      </c>
      <c r="F49" s="24" t="str">
        <f>IF($X49="","",INDEX(Import_Staging!$F$2:$F$301,$X49)&amp;"")</f>
        <v/>
      </c>
      <c r="G49" s="24" t="str">
        <f>IF($X49="","",INDEX(Import_Staging!$J$2:$J$301,$X49)&amp;"")</f>
        <v/>
      </c>
      <c r="H49" s="24" t="str">
        <f>IF($X49="","",INDEX(Import_Staging!$K$2:$K$301,$X49)&amp;"")</f>
        <v/>
      </c>
      <c r="I49" s="24" t="str">
        <f>IF($X49="","",INDEX(Import_Staging!$L$2:$L$301,$X49)&amp;"")</f>
        <v/>
      </c>
      <c r="J49" s="24" t="str">
        <f>IF($X49="","","3PL import")</f>
        <v/>
      </c>
      <c r="K49" s="24" t="str">
        <f>IF($X49="","",Config!$B$11)</f>
        <v/>
      </c>
      <c r="L49" s="24" t="str">
        <f>IF($X49="","","CSV row "&amp;($X49+1))</f>
        <v/>
      </c>
      <c r="N49" s="24" t="str">
        <f>IF($Y49="","",INDEX(Import_Staging!$F$2:$F$301,$Y49)&amp;"")</f>
        <v/>
      </c>
      <c r="O49" s="24" t="str">
        <f>IF($Y49="","",INDEX(Import_Staging!$D$2:$D$301,$Y49)&amp;"")</f>
        <v/>
      </c>
      <c r="P49" s="24" t="str">
        <f>IF($Y49="","",INDEX(Import_Staging!$E$2:$E$301,$Y49)&amp;"")</f>
        <v/>
      </c>
      <c r="Q49" s="27" t="n"/>
      <c r="R49" s="27" t="str">
        <f>IF($Y49="","",INDEX(Import_Staging!$N$2:$N$301,$Y49))</f>
        <v/>
      </c>
      <c r="S49" s="70" t="str">
        <f>IF($Y49="","",0)</f>
        <v/>
      </c>
      <c r="T49" s="24" t="str">
        <f>IF($Y49="","",INDEX(Import_Staging!$I$2:$I$301,$Y49)&amp;"")</f>
        <v/>
      </c>
      <c r="U49" s="24" t="n"/>
      <c r="V49" s="24" t="str">
        <f>IF($Y49="","","Received "&amp;TEXT(INDEX(Import_Staging!$M$2:$M$301,$Y49),"yyyy-mm-dd")&amp;" (CSV row "&amp;($Y49+1)&amp;")")</f>
        <v/>
      </c>
      <c r="X49" t="str">
        <f>IFERROR(MATCH(44,Import_Staging!$BT$2:$BT$301,0),"")</f>
        <v/>
      </c>
      <c r="Y49" t="str">
        <f>IFERROR(MATCH(44,Import_Staging!$BV$2:$BV$301,0),"")</f>
        <v/>
      </c>
    </row>
    <row r="50">
      <c r="A50" s="24" t="str">
        <f>IF($X50="","",INDEX(Import_Staging!$A$2:$A$301,$X50)&amp;"")</f>
        <v/>
      </c>
      <c r="B50" s="27" t="str">
        <f>IF($X50="","",INDEX(Import_Staging!$M$2:$M$301,$X50))</f>
        <v/>
      </c>
      <c r="C50" s="24" t="str">
        <f>IF($X50="","",INDEX(Import_Staging!$C$2:$C$301,$X50)&amp;"")</f>
        <v/>
      </c>
      <c r="D50" s="24" t="str">
        <f>IF($X50="","",INDEX(Import_Staging!$D$2:$D$301,$X50)&amp;"")</f>
        <v/>
      </c>
      <c r="E50" s="69" t="str">
        <f>IF($X50="","",INDEX(Import_Staging!$O$2:$O$301,$X50))</f>
        <v/>
      </c>
      <c r="F50" s="24" t="str">
        <f>IF($X50="","",INDEX(Import_Staging!$F$2:$F$301,$X50)&amp;"")</f>
        <v/>
      </c>
      <c r="G50" s="24" t="str">
        <f>IF($X50="","",INDEX(Import_Staging!$J$2:$J$301,$X50)&amp;"")</f>
        <v/>
      </c>
      <c r="H50" s="24" t="str">
        <f>IF($X50="","",INDEX(Import_Staging!$K$2:$K$301,$X50)&amp;"")</f>
        <v/>
      </c>
      <c r="I50" s="24" t="str">
        <f>IF($X50="","",INDEX(Import_Staging!$L$2:$L$301,$X50)&amp;"")</f>
        <v/>
      </c>
      <c r="J50" s="24" t="str">
        <f>IF($X50="","","3PL import")</f>
        <v/>
      </c>
      <c r="K50" s="24" t="str">
        <f>IF($X50="","",Config!$B$11)</f>
        <v/>
      </c>
      <c r="L50" s="24" t="str">
        <f>IF($X50="","","CSV row "&amp;($X50+1))</f>
        <v/>
      </c>
      <c r="N50" s="24" t="str">
        <f>IF($Y50="","",INDEX(Import_Staging!$F$2:$F$301,$Y50)&amp;"")</f>
        <v/>
      </c>
      <c r="O50" s="24" t="str">
        <f>IF($Y50="","",INDEX(Import_Staging!$D$2:$D$301,$Y50)&amp;"")</f>
        <v/>
      </c>
      <c r="P50" s="24" t="str">
        <f>IF($Y50="","",INDEX(Import_Staging!$E$2:$E$301,$Y50)&amp;"")</f>
        <v/>
      </c>
      <c r="Q50" s="27" t="n"/>
      <c r="R50" s="27" t="str">
        <f>IF($Y50="","",INDEX(Import_Staging!$N$2:$N$301,$Y50))</f>
        <v/>
      </c>
      <c r="S50" s="70" t="str">
        <f>IF($Y50="","",0)</f>
        <v/>
      </c>
      <c r="T50" s="24" t="str">
        <f>IF($Y50="","",INDEX(Import_Staging!$I$2:$I$301,$Y50)&amp;"")</f>
        <v/>
      </c>
      <c r="U50" s="24" t="n"/>
      <c r="V50" s="24" t="str">
        <f>IF($Y50="","","Received "&amp;TEXT(INDEX(Import_Staging!$M$2:$M$301,$Y50),"yyyy-mm-dd")&amp;" (CSV row "&amp;($Y50+1)&amp;")")</f>
        <v/>
      </c>
      <c r="X50" t="str">
        <f>IFERROR(MATCH(45,Import_Staging!$BT$2:$BT$301,0),"")</f>
        <v/>
      </c>
      <c r="Y50" t="str">
        <f>IFERROR(MATCH(45,Import_Staging!$BV$2:$BV$301,0),"")</f>
        <v/>
      </c>
    </row>
    <row r="51">
      <c r="A51" s="24" t="str">
        <f>IF($X51="","",INDEX(Import_Staging!$A$2:$A$301,$X51)&amp;"")</f>
        <v/>
      </c>
      <c r="B51" s="27" t="str">
        <f>IF($X51="","",INDEX(Import_Staging!$M$2:$M$301,$X51))</f>
        <v/>
      </c>
      <c r="C51" s="24" t="str">
        <f>IF($X51="","",INDEX(Import_Staging!$C$2:$C$301,$X51)&amp;"")</f>
        <v/>
      </c>
      <c r="D51" s="24" t="str">
        <f>IF($X51="","",INDEX(Import_Staging!$D$2:$D$301,$X51)&amp;"")</f>
        <v/>
      </c>
      <c r="E51" s="69" t="str">
        <f>IF($X51="","",INDEX(Import_Staging!$O$2:$O$301,$X51))</f>
        <v/>
      </c>
      <c r="F51" s="24" t="str">
        <f>IF($X51="","",INDEX(Import_Staging!$F$2:$F$301,$X51)&amp;"")</f>
        <v/>
      </c>
      <c r="G51" s="24" t="str">
        <f>IF($X51="","",INDEX(Import_Staging!$J$2:$J$301,$X51)&amp;"")</f>
        <v/>
      </c>
      <c r="H51" s="24" t="str">
        <f>IF($X51="","",INDEX(Import_Staging!$K$2:$K$301,$X51)&amp;"")</f>
        <v/>
      </c>
      <c r="I51" s="24" t="str">
        <f>IF($X51="","",INDEX(Import_Staging!$L$2:$L$301,$X51)&amp;"")</f>
        <v/>
      </c>
      <c r="J51" s="24" t="str">
        <f>IF($X51="","","3PL import")</f>
        <v/>
      </c>
      <c r="K51" s="24" t="str">
        <f>IF($X51="","",Config!$B$11)</f>
        <v/>
      </c>
      <c r="L51" s="24" t="str">
        <f>IF($X51="","","CSV row "&amp;($X51+1))</f>
        <v/>
      </c>
      <c r="N51" s="24" t="str">
        <f>IF($Y51="","",INDEX(Import_Staging!$F$2:$F$301,$Y51)&amp;"")</f>
        <v/>
      </c>
      <c r="O51" s="24" t="str">
        <f>IF($Y51="","",INDEX(Import_Staging!$D$2:$D$301,$Y51)&amp;"")</f>
        <v/>
      </c>
      <c r="P51" s="24" t="str">
        <f>IF($Y51="","",INDEX(Import_Staging!$E$2:$E$301,$Y51)&amp;"")</f>
        <v/>
      </c>
      <c r="Q51" s="27" t="n"/>
      <c r="R51" s="27" t="str">
        <f>IF($Y51="","",INDEX(Import_Staging!$N$2:$N$301,$Y51))</f>
        <v/>
      </c>
      <c r="S51" s="70" t="str">
        <f>IF($Y51="","",0)</f>
        <v/>
      </c>
      <c r="T51" s="24" t="str">
        <f>IF($Y51="","",INDEX(Import_Staging!$I$2:$I$301,$Y51)&amp;"")</f>
        <v/>
      </c>
      <c r="U51" s="24" t="n"/>
      <c r="V51" s="24" t="str">
        <f>IF($Y51="","","Received "&amp;TEXT(INDEX(Import_Staging!$M$2:$M$301,$Y51),"yyyy-mm-dd")&amp;" (CSV row "&amp;($Y51+1)&amp;")")</f>
        <v/>
      </c>
      <c r="X51" t="str">
        <f>IFERROR(MATCH(46,Import_Staging!$BT$2:$BT$301,0),"")</f>
        <v/>
      </c>
      <c r="Y51" t="str">
        <f>IFERROR(MATCH(46,Import_Staging!$BV$2:$BV$301,0),"")</f>
        <v/>
      </c>
    </row>
    <row r="52">
      <c r="A52" s="24" t="str">
        <f>IF($X52="","",INDEX(Import_Staging!$A$2:$A$301,$X52)&amp;"")</f>
        <v/>
      </c>
      <c r="B52" s="27" t="str">
        <f>IF($X52="","",INDEX(Import_Staging!$M$2:$M$301,$X52))</f>
        <v/>
      </c>
      <c r="C52" s="24" t="str">
        <f>IF($X52="","",INDEX(Import_Staging!$C$2:$C$301,$X52)&amp;"")</f>
        <v/>
      </c>
      <c r="D52" s="24" t="str">
        <f>IF($X52="","",INDEX(Import_Staging!$D$2:$D$301,$X52)&amp;"")</f>
        <v/>
      </c>
      <c r="E52" s="69" t="str">
        <f>IF($X52="","",INDEX(Import_Staging!$O$2:$O$301,$X52))</f>
        <v/>
      </c>
      <c r="F52" s="24" t="str">
        <f>IF($X52="","",INDEX(Import_Staging!$F$2:$F$301,$X52)&amp;"")</f>
        <v/>
      </c>
      <c r="G52" s="24" t="str">
        <f>IF($X52="","",INDEX(Import_Staging!$J$2:$J$301,$X52)&amp;"")</f>
        <v/>
      </c>
      <c r="H52" s="24" t="str">
        <f>IF($X52="","",INDEX(Import_Staging!$K$2:$K$301,$X52)&amp;"")</f>
        <v/>
      </c>
      <c r="I52" s="24" t="str">
        <f>IF($X52="","",INDEX(Import_Staging!$L$2:$L$301,$X52)&amp;"")</f>
        <v/>
      </c>
      <c r="J52" s="24" t="str">
        <f>IF($X52="","","3PL import")</f>
        <v/>
      </c>
      <c r="K52" s="24" t="str">
        <f>IF($X52="","",Config!$B$11)</f>
        <v/>
      </c>
      <c r="L52" s="24" t="str">
        <f>IF($X52="","","CSV row "&amp;($X52+1))</f>
        <v/>
      </c>
      <c r="N52" s="24" t="str">
        <f>IF($Y52="","",INDEX(Import_Staging!$F$2:$F$301,$Y52)&amp;"")</f>
        <v/>
      </c>
      <c r="O52" s="24" t="str">
        <f>IF($Y52="","",INDEX(Import_Staging!$D$2:$D$301,$Y52)&amp;"")</f>
        <v/>
      </c>
      <c r="P52" s="24" t="str">
        <f>IF($Y52="","",INDEX(Import_Staging!$E$2:$E$301,$Y52)&amp;"")</f>
        <v/>
      </c>
      <c r="Q52" s="27" t="n"/>
      <c r="R52" s="27" t="str">
        <f>IF($Y52="","",INDEX(Import_Staging!$N$2:$N$301,$Y52))</f>
        <v/>
      </c>
      <c r="S52" s="70" t="str">
        <f>IF($Y52="","",0)</f>
        <v/>
      </c>
      <c r="T52" s="24" t="str">
        <f>IF($Y52="","",INDEX(Import_Staging!$I$2:$I$301,$Y52)&amp;"")</f>
        <v/>
      </c>
      <c r="U52" s="24" t="n"/>
      <c r="V52" s="24" t="str">
        <f>IF($Y52="","","Received "&amp;TEXT(INDEX(Import_Staging!$M$2:$M$301,$Y52),"yyyy-mm-dd")&amp;" (CSV row "&amp;($Y52+1)&amp;")")</f>
        <v/>
      </c>
      <c r="X52" t="str">
        <f>IFERROR(MATCH(47,Import_Staging!$BT$2:$BT$301,0),"")</f>
        <v/>
      </c>
      <c r="Y52" t="str">
        <f>IFERROR(MATCH(47,Import_Staging!$BV$2:$BV$301,0),"")</f>
        <v/>
      </c>
    </row>
    <row r="53">
      <c r="A53" s="24" t="str">
        <f>IF($X53="","",INDEX(Import_Staging!$A$2:$A$301,$X53)&amp;"")</f>
        <v/>
      </c>
      <c r="B53" s="27" t="str">
        <f>IF($X53="","",INDEX(Import_Staging!$M$2:$M$301,$X53))</f>
        <v/>
      </c>
      <c r="C53" s="24" t="str">
        <f>IF($X53="","",INDEX(Import_Staging!$C$2:$C$301,$X53)&amp;"")</f>
        <v/>
      </c>
      <c r="D53" s="24" t="str">
        <f>IF($X53="","",INDEX(Import_Staging!$D$2:$D$301,$X53)&amp;"")</f>
        <v/>
      </c>
      <c r="E53" s="69" t="str">
        <f>IF($X53="","",INDEX(Import_Staging!$O$2:$O$301,$X53))</f>
        <v/>
      </c>
      <c r="F53" s="24" t="str">
        <f>IF($X53="","",INDEX(Import_Staging!$F$2:$F$301,$X53)&amp;"")</f>
        <v/>
      </c>
      <c r="G53" s="24" t="str">
        <f>IF($X53="","",INDEX(Import_Staging!$J$2:$J$301,$X53)&amp;"")</f>
        <v/>
      </c>
      <c r="H53" s="24" t="str">
        <f>IF($X53="","",INDEX(Import_Staging!$K$2:$K$301,$X53)&amp;"")</f>
        <v/>
      </c>
      <c r="I53" s="24" t="str">
        <f>IF($X53="","",INDEX(Import_Staging!$L$2:$L$301,$X53)&amp;"")</f>
        <v/>
      </c>
      <c r="J53" s="24" t="str">
        <f>IF($X53="","","3PL import")</f>
        <v/>
      </c>
      <c r="K53" s="24" t="str">
        <f>IF($X53="","",Config!$B$11)</f>
        <v/>
      </c>
      <c r="L53" s="24" t="str">
        <f>IF($X53="","","CSV row "&amp;($X53+1))</f>
        <v/>
      </c>
      <c r="N53" s="24" t="str">
        <f>IF($Y53="","",INDEX(Import_Staging!$F$2:$F$301,$Y53)&amp;"")</f>
        <v/>
      </c>
      <c r="O53" s="24" t="str">
        <f>IF($Y53="","",INDEX(Import_Staging!$D$2:$D$301,$Y53)&amp;"")</f>
        <v/>
      </c>
      <c r="P53" s="24" t="str">
        <f>IF($Y53="","",INDEX(Import_Staging!$E$2:$E$301,$Y53)&amp;"")</f>
        <v/>
      </c>
      <c r="Q53" s="27" t="n"/>
      <c r="R53" s="27" t="str">
        <f>IF($Y53="","",INDEX(Import_Staging!$N$2:$N$301,$Y53))</f>
        <v/>
      </c>
      <c r="S53" s="70" t="str">
        <f>IF($Y53="","",0)</f>
        <v/>
      </c>
      <c r="T53" s="24" t="str">
        <f>IF($Y53="","",INDEX(Import_Staging!$I$2:$I$301,$Y53)&amp;"")</f>
        <v/>
      </c>
      <c r="U53" s="24" t="n"/>
      <c r="V53" s="24" t="str">
        <f>IF($Y53="","","Received "&amp;TEXT(INDEX(Import_Staging!$M$2:$M$301,$Y53),"yyyy-mm-dd")&amp;" (CSV row "&amp;($Y53+1)&amp;")")</f>
        <v/>
      </c>
      <c r="X53" t="str">
        <f>IFERROR(MATCH(48,Import_Staging!$BT$2:$BT$301,0),"")</f>
        <v/>
      </c>
      <c r="Y53" t="str">
        <f>IFERROR(MATCH(48,Import_Staging!$BV$2:$BV$301,0),"")</f>
        <v/>
      </c>
    </row>
    <row r="54">
      <c r="A54" s="24" t="str">
        <f>IF($X54="","",INDEX(Import_Staging!$A$2:$A$301,$X54)&amp;"")</f>
        <v/>
      </c>
      <c r="B54" s="27" t="str">
        <f>IF($X54="","",INDEX(Import_Staging!$M$2:$M$301,$X54))</f>
        <v/>
      </c>
      <c r="C54" s="24" t="str">
        <f>IF($X54="","",INDEX(Import_Staging!$C$2:$C$301,$X54)&amp;"")</f>
        <v/>
      </c>
      <c r="D54" s="24" t="str">
        <f>IF($X54="","",INDEX(Import_Staging!$D$2:$D$301,$X54)&amp;"")</f>
        <v/>
      </c>
      <c r="E54" s="69" t="str">
        <f>IF($X54="","",INDEX(Import_Staging!$O$2:$O$301,$X54))</f>
        <v/>
      </c>
      <c r="F54" s="24" t="str">
        <f>IF($X54="","",INDEX(Import_Staging!$F$2:$F$301,$X54)&amp;"")</f>
        <v/>
      </c>
      <c r="G54" s="24" t="str">
        <f>IF($X54="","",INDEX(Import_Staging!$J$2:$J$301,$X54)&amp;"")</f>
        <v/>
      </c>
      <c r="H54" s="24" t="str">
        <f>IF($X54="","",INDEX(Import_Staging!$K$2:$K$301,$X54)&amp;"")</f>
        <v/>
      </c>
      <c r="I54" s="24" t="str">
        <f>IF($X54="","",INDEX(Import_Staging!$L$2:$L$301,$X54)&amp;"")</f>
        <v/>
      </c>
      <c r="J54" s="24" t="str">
        <f>IF($X54="","","3PL import")</f>
        <v/>
      </c>
      <c r="K54" s="24" t="str">
        <f>IF($X54="","",Config!$B$11)</f>
        <v/>
      </c>
      <c r="L54" s="24" t="str">
        <f>IF($X54="","","CSV row "&amp;($X54+1))</f>
        <v/>
      </c>
      <c r="N54" s="24" t="str">
        <f>IF($Y54="","",INDEX(Import_Staging!$F$2:$F$301,$Y54)&amp;"")</f>
        <v/>
      </c>
      <c r="O54" s="24" t="str">
        <f>IF($Y54="","",INDEX(Import_Staging!$D$2:$D$301,$Y54)&amp;"")</f>
        <v/>
      </c>
      <c r="P54" s="24" t="str">
        <f>IF($Y54="","",INDEX(Import_Staging!$E$2:$E$301,$Y54)&amp;"")</f>
        <v/>
      </c>
      <c r="Q54" s="27" t="n"/>
      <c r="R54" s="27" t="str">
        <f>IF($Y54="","",INDEX(Import_Staging!$N$2:$N$301,$Y54))</f>
        <v/>
      </c>
      <c r="S54" s="70" t="str">
        <f>IF($Y54="","",0)</f>
        <v/>
      </c>
      <c r="T54" s="24" t="str">
        <f>IF($Y54="","",INDEX(Import_Staging!$I$2:$I$301,$Y54)&amp;"")</f>
        <v/>
      </c>
      <c r="U54" s="24" t="n"/>
      <c r="V54" s="24" t="str">
        <f>IF($Y54="","","Received "&amp;TEXT(INDEX(Import_Staging!$M$2:$M$301,$Y54),"yyyy-mm-dd")&amp;" (CSV row "&amp;($Y54+1)&amp;")")</f>
        <v/>
      </c>
      <c r="X54" t="str">
        <f>IFERROR(MATCH(49,Import_Staging!$BT$2:$BT$301,0),"")</f>
        <v/>
      </c>
      <c r="Y54" t="str">
        <f>IFERROR(MATCH(49,Import_Staging!$BV$2:$BV$301,0),"")</f>
        <v/>
      </c>
    </row>
    <row r="55">
      <c r="A55" s="24" t="str">
        <f>IF($X55="","",INDEX(Import_Staging!$A$2:$A$301,$X55)&amp;"")</f>
        <v/>
      </c>
      <c r="B55" s="27" t="str">
        <f>IF($X55="","",INDEX(Import_Staging!$M$2:$M$301,$X55))</f>
        <v/>
      </c>
      <c r="C55" s="24" t="str">
        <f>IF($X55="","",INDEX(Import_Staging!$C$2:$C$301,$X55)&amp;"")</f>
        <v/>
      </c>
      <c r="D55" s="24" t="str">
        <f>IF($X55="","",INDEX(Import_Staging!$D$2:$D$301,$X55)&amp;"")</f>
        <v/>
      </c>
      <c r="E55" s="69" t="str">
        <f>IF($X55="","",INDEX(Import_Staging!$O$2:$O$301,$X55))</f>
        <v/>
      </c>
      <c r="F55" s="24" t="str">
        <f>IF($X55="","",INDEX(Import_Staging!$F$2:$F$301,$X55)&amp;"")</f>
        <v/>
      </c>
      <c r="G55" s="24" t="str">
        <f>IF($X55="","",INDEX(Import_Staging!$J$2:$J$301,$X55)&amp;"")</f>
        <v/>
      </c>
      <c r="H55" s="24" t="str">
        <f>IF($X55="","",INDEX(Import_Staging!$K$2:$K$301,$X55)&amp;"")</f>
        <v/>
      </c>
      <c r="I55" s="24" t="str">
        <f>IF($X55="","",INDEX(Import_Staging!$L$2:$L$301,$X55)&amp;"")</f>
        <v/>
      </c>
      <c r="J55" s="24" t="str">
        <f>IF($X55="","","3PL import")</f>
        <v/>
      </c>
      <c r="K55" s="24" t="str">
        <f>IF($X55="","",Config!$B$11)</f>
        <v/>
      </c>
      <c r="L55" s="24" t="str">
        <f>IF($X55="","","CSV row "&amp;($X55+1))</f>
        <v/>
      </c>
      <c r="N55" s="24" t="str">
        <f>IF($Y55="","",INDEX(Import_Staging!$F$2:$F$301,$Y55)&amp;"")</f>
        <v/>
      </c>
      <c r="O55" s="24" t="str">
        <f>IF($Y55="","",INDEX(Import_Staging!$D$2:$D$301,$Y55)&amp;"")</f>
        <v/>
      </c>
      <c r="P55" s="24" t="str">
        <f>IF($Y55="","",INDEX(Import_Staging!$E$2:$E$301,$Y55)&amp;"")</f>
        <v/>
      </c>
      <c r="Q55" s="27" t="n"/>
      <c r="R55" s="27" t="str">
        <f>IF($Y55="","",INDEX(Import_Staging!$N$2:$N$301,$Y55))</f>
        <v/>
      </c>
      <c r="S55" s="70" t="str">
        <f>IF($Y55="","",0)</f>
        <v/>
      </c>
      <c r="T55" s="24" t="str">
        <f>IF($Y55="","",INDEX(Import_Staging!$I$2:$I$301,$Y55)&amp;"")</f>
        <v/>
      </c>
      <c r="U55" s="24" t="n"/>
      <c r="V55" s="24" t="str">
        <f>IF($Y55="","","Received "&amp;TEXT(INDEX(Import_Staging!$M$2:$M$301,$Y55),"yyyy-mm-dd")&amp;" (CSV row "&amp;($Y55+1)&amp;")")</f>
        <v/>
      </c>
      <c r="X55" t="str">
        <f>IFERROR(MATCH(50,Import_Staging!$BT$2:$BT$301,0),"")</f>
        <v/>
      </c>
      <c r="Y55" t="str">
        <f>IFERROR(MATCH(50,Import_Staging!$BV$2:$BV$301,0),"")</f>
        <v/>
      </c>
    </row>
    <row r="56">
      <c r="A56" s="24" t="str">
        <f>IF($X56="","",INDEX(Import_Staging!$A$2:$A$301,$X56)&amp;"")</f>
        <v/>
      </c>
      <c r="B56" s="27" t="str">
        <f>IF($X56="","",INDEX(Import_Staging!$M$2:$M$301,$X56))</f>
        <v/>
      </c>
      <c r="C56" s="24" t="str">
        <f>IF($X56="","",INDEX(Import_Staging!$C$2:$C$301,$X56)&amp;"")</f>
        <v/>
      </c>
      <c r="D56" s="24" t="str">
        <f>IF($X56="","",INDEX(Import_Staging!$D$2:$D$301,$X56)&amp;"")</f>
        <v/>
      </c>
      <c r="E56" s="69" t="str">
        <f>IF($X56="","",INDEX(Import_Staging!$O$2:$O$301,$X56))</f>
        <v/>
      </c>
      <c r="F56" s="24" t="str">
        <f>IF($X56="","",INDEX(Import_Staging!$F$2:$F$301,$X56)&amp;"")</f>
        <v/>
      </c>
      <c r="G56" s="24" t="str">
        <f>IF($X56="","",INDEX(Import_Staging!$J$2:$J$301,$X56)&amp;"")</f>
        <v/>
      </c>
      <c r="H56" s="24" t="str">
        <f>IF($X56="","",INDEX(Import_Staging!$K$2:$K$301,$X56)&amp;"")</f>
        <v/>
      </c>
      <c r="I56" s="24" t="str">
        <f>IF($X56="","",INDEX(Import_Staging!$L$2:$L$301,$X56)&amp;"")</f>
        <v/>
      </c>
      <c r="J56" s="24" t="str">
        <f>IF($X56="","","3PL import")</f>
        <v/>
      </c>
      <c r="K56" s="24" t="str">
        <f>IF($X56="","",Config!$B$11)</f>
        <v/>
      </c>
      <c r="L56" s="24" t="str">
        <f>IF($X56="","","CSV row "&amp;($X56+1))</f>
        <v/>
      </c>
      <c r="N56" s="24" t="str">
        <f>IF($Y56="","",INDEX(Import_Staging!$F$2:$F$301,$Y56)&amp;"")</f>
        <v/>
      </c>
      <c r="O56" s="24" t="str">
        <f>IF($Y56="","",INDEX(Import_Staging!$D$2:$D$301,$Y56)&amp;"")</f>
        <v/>
      </c>
      <c r="P56" s="24" t="str">
        <f>IF($Y56="","",INDEX(Import_Staging!$E$2:$E$301,$Y56)&amp;"")</f>
        <v/>
      </c>
      <c r="Q56" s="27" t="n"/>
      <c r="R56" s="27" t="str">
        <f>IF($Y56="","",INDEX(Import_Staging!$N$2:$N$301,$Y56))</f>
        <v/>
      </c>
      <c r="S56" s="70" t="str">
        <f>IF($Y56="","",0)</f>
        <v/>
      </c>
      <c r="T56" s="24" t="str">
        <f>IF($Y56="","",INDEX(Import_Staging!$I$2:$I$301,$Y56)&amp;"")</f>
        <v/>
      </c>
      <c r="U56" s="24" t="n"/>
      <c r="V56" s="24" t="str">
        <f>IF($Y56="","","Received "&amp;TEXT(INDEX(Import_Staging!$M$2:$M$301,$Y56),"yyyy-mm-dd")&amp;" (CSV row "&amp;($Y56+1)&amp;")")</f>
        <v/>
      </c>
      <c r="X56" t="str">
        <f>IFERROR(MATCH(51,Import_Staging!$BT$2:$BT$301,0),"")</f>
        <v/>
      </c>
      <c r="Y56" t="str">
        <f>IFERROR(MATCH(51,Import_Staging!$BV$2:$BV$301,0),"")</f>
        <v/>
      </c>
    </row>
    <row r="57">
      <c r="A57" s="24" t="str">
        <f>IF($X57="","",INDEX(Import_Staging!$A$2:$A$301,$X57)&amp;"")</f>
        <v/>
      </c>
      <c r="B57" s="27" t="str">
        <f>IF($X57="","",INDEX(Import_Staging!$M$2:$M$301,$X57))</f>
        <v/>
      </c>
      <c r="C57" s="24" t="str">
        <f>IF($X57="","",INDEX(Import_Staging!$C$2:$C$301,$X57)&amp;"")</f>
        <v/>
      </c>
      <c r="D57" s="24" t="str">
        <f>IF($X57="","",INDEX(Import_Staging!$D$2:$D$301,$X57)&amp;"")</f>
        <v/>
      </c>
      <c r="E57" s="69" t="str">
        <f>IF($X57="","",INDEX(Import_Staging!$O$2:$O$301,$X57))</f>
        <v/>
      </c>
      <c r="F57" s="24" t="str">
        <f>IF($X57="","",INDEX(Import_Staging!$F$2:$F$301,$X57)&amp;"")</f>
        <v/>
      </c>
      <c r="G57" s="24" t="str">
        <f>IF($X57="","",INDEX(Import_Staging!$J$2:$J$301,$X57)&amp;"")</f>
        <v/>
      </c>
      <c r="H57" s="24" t="str">
        <f>IF($X57="","",INDEX(Import_Staging!$K$2:$K$301,$X57)&amp;"")</f>
        <v/>
      </c>
      <c r="I57" s="24" t="str">
        <f>IF($X57="","",INDEX(Import_Staging!$L$2:$L$301,$X57)&amp;"")</f>
        <v/>
      </c>
      <c r="J57" s="24" t="str">
        <f>IF($X57="","","3PL import")</f>
        <v/>
      </c>
      <c r="K57" s="24" t="str">
        <f>IF($X57="","",Config!$B$11)</f>
        <v/>
      </c>
      <c r="L57" s="24" t="str">
        <f>IF($X57="","","CSV row "&amp;($X57+1))</f>
        <v/>
      </c>
      <c r="N57" s="24" t="str">
        <f>IF($Y57="","",INDEX(Import_Staging!$F$2:$F$301,$Y57)&amp;"")</f>
        <v/>
      </c>
      <c r="O57" s="24" t="str">
        <f>IF($Y57="","",INDEX(Import_Staging!$D$2:$D$301,$Y57)&amp;"")</f>
        <v/>
      </c>
      <c r="P57" s="24" t="str">
        <f>IF($Y57="","",INDEX(Import_Staging!$E$2:$E$301,$Y57)&amp;"")</f>
        <v/>
      </c>
      <c r="Q57" s="27" t="n"/>
      <c r="R57" s="27" t="str">
        <f>IF($Y57="","",INDEX(Import_Staging!$N$2:$N$301,$Y57))</f>
        <v/>
      </c>
      <c r="S57" s="70" t="str">
        <f>IF($Y57="","",0)</f>
        <v/>
      </c>
      <c r="T57" s="24" t="str">
        <f>IF($Y57="","",INDEX(Import_Staging!$I$2:$I$301,$Y57)&amp;"")</f>
        <v/>
      </c>
      <c r="U57" s="24" t="n"/>
      <c r="V57" s="24" t="str">
        <f>IF($Y57="","","Received "&amp;TEXT(INDEX(Import_Staging!$M$2:$M$301,$Y57),"yyyy-mm-dd")&amp;" (CSV row "&amp;($Y57+1)&amp;")")</f>
        <v/>
      </c>
      <c r="X57" t="str">
        <f>IFERROR(MATCH(52,Import_Staging!$BT$2:$BT$301,0),"")</f>
        <v/>
      </c>
      <c r="Y57" t="str">
        <f>IFERROR(MATCH(52,Import_Staging!$BV$2:$BV$301,0),"")</f>
        <v/>
      </c>
    </row>
    <row r="58">
      <c r="A58" s="24" t="str">
        <f>IF($X58="","",INDEX(Import_Staging!$A$2:$A$301,$X58)&amp;"")</f>
        <v/>
      </c>
      <c r="B58" s="27" t="str">
        <f>IF($X58="","",INDEX(Import_Staging!$M$2:$M$301,$X58))</f>
        <v/>
      </c>
      <c r="C58" s="24" t="str">
        <f>IF($X58="","",INDEX(Import_Staging!$C$2:$C$301,$X58)&amp;"")</f>
        <v/>
      </c>
      <c r="D58" s="24" t="str">
        <f>IF($X58="","",INDEX(Import_Staging!$D$2:$D$301,$X58)&amp;"")</f>
        <v/>
      </c>
      <c r="E58" s="69" t="str">
        <f>IF($X58="","",INDEX(Import_Staging!$O$2:$O$301,$X58))</f>
        <v/>
      </c>
      <c r="F58" s="24" t="str">
        <f>IF($X58="","",INDEX(Import_Staging!$F$2:$F$301,$X58)&amp;"")</f>
        <v/>
      </c>
      <c r="G58" s="24" t="str">
        <f>IF($X58="","",INDEX(Import_Staging!$J$2:$J$301,$X58)&amp;"")</f>
        <v/>
      </c>
      <c r="H58" s="24" t="str">
        <f>IF($X58="","",INDEX(Import_Staging!$K$2:$K$301,$X58)&amp;"")</f>
        <v/>
      </c>
      <c r="I58" s="24" t="str">
        <f>IF($X58="","",INDEX(Import_Staging!$L$2:$L$301,$X58)&amp;"")</f>
        <v/>
      </c>
      <c r="J58" s="24" t="str">
        <f>IF($X58="","","3PL import")</f>
        <v/>
      </c>
      <c r="K58" s="24" t="str">
        <f>IF($X58="","",Config!$B$11)</f>
        <v/>
      </c>
      <c r="L58" s="24" t="str">
        <f>IF($X58="","","CSV row "&amp;($X58+1))</f>
        <v/>
      </c>
      <c r="N58" s="24" t="str">
        <f>IF($Y58="","",INDEX(Import_Staging!$F$2:$F$301,$Y58)&amp;"")</f>
        <v/>
      </c>
      <c r="O58" s="24" t="str">
        <f>IF($Y58="","",INDEX(Import_Staging!$D$2:$D$301,$Y58)&amp;"")</f>
        <v/>
      </c>
      <c r="P58" s="24" t="str">
        <f>IF($Y58="","",INDEX(Import_Staging!$E$2:$E$301,$Y58)&amp;"")</f>
        <v/>
      </c>
      <c r="Q58" s="27" t="n"/>
      <c r="R58" s="27" t="str">
        <f>IF($Y58="","",INDEX(Import_Staging!$N$2:$N$301,$Y58))</f>
        <v/>
      </c>
      <c r="S58" s="70" t="str">
        <f>IF($Y58="","",0)</f>
        <v/>
      </c>
      <c r="T58" s="24" t="str">
        <f>IF($Y58="","",INDEX(Import_Staging!$I$2:$I$301,$Y58)&amp;"")</f>
        <v/>
      </c>
      <c r="U58" s="24" t="n"/>
      <c r="V58" s="24" t="str">
        <f>IF($Y58="","","Received "&amp;TEXT(INDEX(Import_Staging!$M$2:$M$301,$Y58),"yyyy-mm-dd")&amp;" (CSV row "&amp;($Y58+1)&amp;")")</f>
        <v/>
      </c>
      <c r="X58" t="str">
        <f>IFERROR(MATCH(53,Import_Staging!$BT$2:$BT$301,0),"")</f>
        <v/>
      </c>
      <c r="Y58" t="str">
        <f>IFERROR(MATCH(53,Import_Staging!$BV$2:$BV$301,0),"")</f>
        <v/>
      </c>
    </row>
    <row r="59">
      <c r="A59" s="24" t="str">
        <f>IF($X59="","",INDEX(Import_Staging!$A$2:$A$301,$X59)&amp;"")</f>
        <v/>
      </c>
      <c r="B59" s="27" t="str">
        <f>IF($X59="","",INDEX(Import_Staging!$M$2:$M$301,$X59))</f>
        <v/>
      </c>
      <c r="C59" s="24" t="str">
        <f>IF($X59="","",INDEX(Import_Staging!$C$2:$C$301,$X59)&amp;"")</f>
        <v/>
      </c>
      <c r="D59" s="24" t="str">
        <f>IF($X59="","",INDEX(Import_Staging!$D$2:$D$301,$X59)&amp;"")</f>
        <v/>
      </c>
      <c r="E59" s="69" t="str">
        <f>IF($X59="","",INDEX(Import_Staging!$O$2:$O$301,$X59))</f>
        <v/>
      </c>
      <c r="F59" s="24" t="str">
        <f>IF($X59="","",INDEX(Import_Staging!$F$2:$F$301,$X59)&amp;"")</f>
        <v/>
      </c>
      <c r="G59" s="24" t="str">
        <f>IF($X59="","",INDEX(Import_Staging!$J$2:$J$301,$X59)&amp;"")</f>
        <v/>
      </c>
      <c r="H59" s="24" t="str">
        <f>IF($X59="","",INDEX(Import_Staging!$K$2:$K$301,$X59)&amp;"")</f>
        <v/>
      </c>
      <c r="I59" s="24" t="str">
        <f>IF($X59="","",INDEX(Import_Staging!$L$2:$L$301,$X59)&amp;"")</f>
        <v/>
      </c>
      <c r="J59" s="24" t="str">
        <f>IF($X59="","","3PL import")</f>
        <v/>
      </c>
      <c r="K59" s="24" t="str">
        <f>IF($X59="","",Config!$B$11)</f>
        <v/>
      </c>
      <c r="L59" s="24" t="str">
        <f>IF($X59="","","CSV row "&amp;($X59+1))</f>
        <v/>
      </c>
      <c r="N59" s="24" t="str">
        <f>IF($Y59="","",INDEX(Import_Staging!$F$2:$F$301,$Y59)&amp;"")</f>
        <v/>
      </c>
      <c r="O59" s="24" t="str">
        <f>IF($Y59="","",INDEX(Import_Staging!$D$2:$D$301,$Y59)&amp;"")</f>
        <v/>
      </c>
      <c r="P59" s="24" t="str">
        <f>IF($Y59="","",INDEX(Import_Staging!$E$2:$E$301,$Y59)&amp;"")</f>
        <v/>
      </c>
      <c r="Q59" s="27" t="n"/>
      <c r="R59" s="27" t="str">
        <f>IF($Y59="","",INDEX(Import_Staging!$N$2:$N$301,$Y59))</f>
        <v/>
      </c>
      <c r="S59" s="70" t="str">
        <f>IF($Y59="","",0)</f>
        <v/>
      </c>
      <c r="T59" s="24" t="str">
        <f>IF($Y59="","",INDEX(Import_Staging!$I$2:$I$301,$Y59)&amp;"")</f>
        <v/>
      </c>
      <c r="U59" s="24" t="n"/>
      <c r="V59" s="24" t="str">
        <f>IF($Y59="","","Received "&amp;TEXT(INDEX(Import_Staging!$M$2:$M$301,$Y59),"yyyy-mm-dd")&amp;" (CSV row "&amp;($Y59+1)&amp;")")</f>
        <v/>
      </c>
      <c r="X59" t="str">
        <f>IFERROR(MATCH(54,Import_Staging!$BT$2:$BT$301,0),"")</f>
        <v/>
      </c>
      <c r="Y59" t="str">
        <f>IFERROR(MATCH(54,Import_Staging!$BV$2:$BV$301,0),"")</f>
        <v/>
      </c>
    </row>
    <row r="60">
      <c r="A60" s="24" t="str">
        <f>IF($X60="","",INDEX(Import_Staging!$A$2:$A$301,$X60)&amp;"")</f>
        <v/>
      </c>
      <c r="B60" s="27" t="str">
        <f>IF($X60="","",INDEX(Import_Staging!$M$2:$M$301,$X60))</f>
        <v/>
      </c>
      <c r="C60" s="24" t="str">
        <f>IF($X60="","",INDEX(Import_Staging!$C$2:$C$301,$X60)&amp;"")</f>
        <v/>
      </c>
      <c r="D60" s="24" t="str">
        <f>IF($X60="","",INDEX(Import_Staging!$D$2:$D$301,$X60)&amp;"")</f>
        <v/>
      </c>
      <c r="E60" s="69" t="str">
        <f>IF($X60="","",INDEX(Import_Staging!$O$2:$O$301,$X60))</f>
        <v/>
      </c>
      <c r="F60" s="24" t="str">
        <f>IF($X60="","",INDEX(Import_Staging!$F$2:$F$301,$X60)&amp;"")</f>
        <v/>
      </c>
      <c r="G60" s="24" t="str">
        <f>IF($X60="","",INDEX(Import_Staging!$J$2:$J$301,$X60)&amp;"")</f>
        <v/>
      </c>
      <c r="H60" s="24" t="str">
        <f>IF($X60="","",INDEX(Import_Staging!$K$2:$K$301,$X60)&amp;"")</f>
        <v/>
      </c>
      <c r="I60" s="24" t="str">
        <f>IF($X60="","",INDEX(Import_Staging!$L$2:$L$301,$X60)&amp;"")</f>
        <v/>
      </c>
      <c r="J60" s="24" t="str">
        <f>IF($X60="","","3PL import")</f>
        <v/>
      </c>
      <c r="K60" s="24" t="str">
        <f>IF($X60="","",Config!$B$11)</f>
        <v/>
      </c>
      <c r="L60" s="24" t="str">
        <f>IF($X60="","","CSV row "&amp;($X60+1))</f>
        <v/>
      </c>
      <c r="N60" s="24" t="str">
        <f>IF($Y60="","",INDEX(Import_Staging!$F$2:$F$301,$Y60)&amp;"")</f>
        <v/>
      </c>
      <c r="O60" s="24" t="str">
        <f>IF($Y60="","",INDEX(Import_Staging!$D$2:$D$301,$Y60)&amp;"")</f>
        <v/>
      </c>
      <c r="P60" s="24" t="str">
        <f>IF($Y60="","",INDEX(Import_Staging!$E$2:$E$301,$Y60)&amp;"")</f>
        <v/>
      </c>
      <c r="Q60" s="27" t="n"/>
      <c r="R60" s="27" t="str">
        <f>IF($Y60="","",INDEX(Import_Staging!$N$2:$N$301,$Y60))</f>
        <v/>
      </c>
      <c r="S60" s="70" t="str">
        <f>IF($Y60="","",0)</f>
        <v/>
      </c>
      <c r="T60" s="24" t="str">
        <f>IF($Y60="","",INDEX(Import_Staging!$I$2:$I$301,$Y60)&amp;"")</f>
        <v/>
      </c>
      <c r="U60" s="24" t="n"/>
      <c r="V60" s="24" t="str">
        <f>IF($Y60="","","Received "&amp;TEXT(INDEX(Import_Staging!$M$2:$M$301,$Y60),"yyyy-mm-dd")&amp;" (CSV row "&amp;($Y60+1)&amp;")")</f>
        <v/>
      </c>
      <c r="X60" t="str">
        <f>IFERROR(MATCH(55,Import_Staging!$BT$2:$BT$301,0),"")</f>
        <v/>
      </c>
      <c r="Y60" t="str">
        <f>IFERROR(MATCH(55,Import_Staging!$BV$2:$BV$301,0),"")</f>
        <v/>
      </c>
    </row>
    <row r="61">
      <c r="A61" s="24" t="str">
        <f>IF($X61="","",INDEX(Import_Staging!$A$2:$A$301,$X61)&amp;"")</f>
        <v/>
      </c>
      <c r="B61" s="27" t="str">
        <f>IF($X61="","",INDEX(Import_Staging!$M$2:$M$301,$X61))</f>
        <v/>
      </c>
      <c r="C61" s="24" t="str">
        <f>IF($X61="","",INDEX(Import_Staging!$C$2:$C$301,$X61)&amp;"")</f>
        <v/>
      </c>
      <c r="D61" s="24" t="str">
        <f>IF($X61="","",INDEX(Import_Staging!$D$2:$D$301,$X61)&amp;"")</f>
        <v/>
      </c>
      <c r="E61" s="69" t="str">
        <f>IF($X61="","",INDEX(Import_Staging!$O$2:$O$301,$X61))</f>
        <v/>
      </c>
      <c r="F61" s="24" t="str">
        <f>IF($X61="","",INDEX(Import_Staging!$F$2:$F$301,$X61)&amp;"")</f>
        <v/>
      </c>
      <c r="G61" s="24" t="str">
        <f>IF($X61="","",INDEX(Import_Staging!$J$2:$J$301,$X61)&amp;"")</f>
        <v/>
      </c>
      <c r="H61" s="24" t="str">
        <f>IF($X61="","",INDEX(Import_Staging!$K$2:$K$301,$X61)&amp;"")</f>
        <v/>
      </c>
      <c r="I61" s="24" t="str">
        <f>IF($X61="","",INDEX(Import_Staging!$L$2:$L$301,$X61)&amp;"")</f>
        <v/>
      </c>
      <c r="J61" s="24" t="str">
        <f>IF($X61="","","3PL import")</f>
        <v/>
      </c>
      <c r="K61" s="24" t="str">
        <f>IF($X61="","",Config!$B$11)</f>
        <v/>
      </c>
      <c r="L61" s="24" t="str">
        <f>IF($X61="","","CSV row "&amp;($X61+1))</f>
        <v/>
      </c>
      <c r="N61" s="24" t="str">
        <f>IF($Y61="","",INDEX(Import_Staging!$F$2:$F$301,$Y61)&amp;"")</f>
        <v/>
      </c>
      <c r="O61" s="24" t="str">
        <f>IF($Y61="","",INDEX(Import_Staging!$D$2:$D$301,$Y61)&amp;"")</f>
        <v/>
      </c>
      <c r="P61" s="24" t="str">
        <f>IF($Y61="","",INDEX(Import_Staging!$E$2:$E$301,$Y61)&amp;"")</f>
        <v/>
      </c>
      <c r="Q61" s="27" t="n"/>
      <c r="R61" s="27" t="str">
        <f>IF($Y61="","",INDEX(Import_Staging!$N$2:$N$301,$Y61))</f>
        <v/>
      </c>
      <c r="S61" s="70" t="str">
        <f>IF($Y61="","",0)</f>
        <v/>
      </c>
      <c r="T61" s="24" t="str">
        <f>IF($Y61="","",INDEX(Import_Staging!$I$2:$I$301,$Y61)&amp;"")</f>
        <v/>
      </c>
      <c r="U61" s="24" t="n"/>
      <c r="V61" s="24" t="str">
        <f>IF($Y61="","","Received "&amp;TEXT(INDEX(Import_Staging!$M$2:$M$301,$Y61),"yyyy-mm-dd")&amp;" (CSV row "&amp;($Y61+1)&amp;")")</f>
        <v/>
      </c>
      <c r="X61" t="str">
        <f>IFERROR(MATCH(56,Import_Staging!$BT$2:$BT$301,0),"")</f>
        <v/>
      </c>
      <c r="Y61" t="str">
        <f>IFERROR(MATCH(56,Import_Staging!$BV$2:$BV$301,0),"")</f>
        <v/>
      </c>
    </row>
    <row r="62">
      <c r="A62" s="24" t="str">
        <f>IF($X62="","",INDEX(Import_Staging!$A$2:$A$301,$X62)&amp;"")</f>
        <v/>
      </c>
      <c r="B62" s="27" t="str">
        <f>IF($X62="","",INDEX(Import_Staging!$M$2:$M$301,$X62))</f>
        <v/>
      </c>
      <c r="C62" s="24" t="str">
        <f>IF($X62="","",INDEX(Import_Staging!$C$2:$C$301,$X62)&amp;"")</f>
        <v/>
      </c>
      <c r="D62" s="24" t="str">
        <f>IF($X62="","",INDEX(Import_Staging!$D$2:$D$301,$X62)&amp;"")</f>
        <v/>
      </c>
      <c r="E62" s="69" t="str">
        <f>IF($X62="","",INDEX(Import_Staging!$O$2:$O$301,$X62))</f>
        <v/>
      </c>
      <c r="F62" s="24" t="str">
        <f>IF($X62="","",INDEX(Import_Staging!$F$2:$F$301,$X62)&amp;"")</f>
        <v/>
      </c>
      <c r="G62" s="24" t="str">
        <f>IF($X62="","",INDEX(Import_Staging!$J$2:$J$301,$X62)&amp;"")</f>
        <v/>
      </c>
      <c r="H62" s="24" t="str">
        <f>IF($X62="","",INDEX(Import_Staging!$K$2:$K$301,$X62)&amp;"")</f>
        <v/>
      </c>
      <c r="I62" s="24" t="str">
        <f>IF($X62="","",INDEX(Import_Staging!$L$2:$L$301,$X62)&amp;"")</f>
        <v/>
      </c>
      <c r="J62" s="24" t="str">
        <f>IF($X62="","","3PL import")</f>
        <v/>
      </c>
      <c r="K62" s="24" t="str">
        <f>IF($X62="","",Config!$B$11)</f>
        <v/>
      </c>
      <c r="L62" s="24" t="str">
        <f>IF($X62="","","CSV row "&amp;($X62+1))</f>
        <v/>
      </c>
      <c r="N62" s="24" t="str">
        <f>IF($Y62="","",INDEX(Import_Staging!$F$2:$F$301,$Y62)&amp;"")</f>
        <v/>
      </c>
      <c r="O62" s="24" t="str">
        <f>IF($Y62="","",INDEX(Import_Staging!$D$2:$D$301,$Y62)&amp;"")</f>
        <v/>
      </c>
      <c r="P62" s="24" t="str">
        <f>IF($Y62="","",INDEX(Import_Staging!$E$2:$E$301,$Y62)&amp;"")</f>
        <v/>
      </c>
      <c r="Q62" s="27" t="n"/>
      <c r="R62" s="27" t="str">
        <f>IF($Y62="","",INDEX(Import_Staging!$N$2:$N$301,$Y62))</f>
        <v/>
      </c>
      <c r="S62" s="70" t="str">
        <f>IF($Y62="","",0)</f>
        <v/>
      </c>
      <c r="T62" s="24" t="str">
        <f>IF($Y62="","",INDEX(Import_Staging!$I$2:$I$301,$Y62)&amp;"")</f>
        <v/>
      </c>
      <c r="U62" s="24" t="n"/>
      <c r="V62" s="24" t="str">
        <f>IF($Y62="","","Received "&amp;TEXT(INDEX(Import_Staging!$M$2:$M$301,$Y62),"yyyy-mm-dd")&amp;" (CSV row "&amp;($Y62+1)&amp;")")</f>
        <v/>
      </c>
      <c r="X62" t="str">
        <f>IFERROR(MATCH(57,Import_Staging!$BT$2:$BT$301,0),"")</f>
        <v/>
      </c>
      <c r="Y62" t="str">
        <f>IFERROR(MATCH(57,Import_Staging!$BV$2:$BV$301,0),"")</f>
        <v/>
      </c>
    </row>
    <row r="63">
      <c r="A63" s="24" t="str">
        <f>IF($X63="","",INDEX(Import_Staging!$A$2:$A$301,$X63)&amp;"")</f>
        <v/>
      </c>
      <c r="B63" s="27" t="str">
        <f>IF($X63="","",INDEX(Import_Staging!$M$2:$M$301,$X63))</f>
        <v/>
      </c>
      <c r="C63" s="24" t="str">
        <f>IF($X63="","",INDEX(Import_Staging!$C$2:$C$301,$X63)&amp;"")</f>
        <v/>
      </c>
      <c r="D63" s="24" t="str">
        <f>IF($X63="","",INDEX(Import_Staging!$D$2:$D$301,$X63)&amp;"")</f>
        <v/>
      </c>
      <c r="E63" s="69" t="str">
        <f>IF($X63="","",INDEX(Import_Staging!$O$2:$O$301,$X63))</f>
        <v/>
      </c>
      <c r="F63" s="24" t="str">
        <f>IF($X63="","",INDEX(Import_Staging!$F$2:$F$301,$X63)&amp;"")</f>
        <v/>
      </c>
      <c r="G63" s="24" t="str">
        <f>IF($X63="","",INDEX(Import_Staging!$J$2:$J$301,$X63)&amp;"")</f>
        <v/>
      </c>
      <c r="H63" s="24" t="str">
        <f>IF($X63="","",INDEX(Import_Staging!$K$2:$K$301,$X63)&amp;"")</f>
        <v/>
      </c>
      <c r="I63" s="24" t="str">
        <f>IF($X63="","",INDEX(Import_Staging!$L$2:$L$301,$X63)&amp;"")</f>
        <v/>
      </c>
      <c r="J63" s="24" t="str">
        <f>IF($X63="","","3PL import")</f>
        <v/>
      </c>
      <c r="K63" s="24" t="str">
        <f>IF($X63="","",Config!$B$11)</f>
        <v/>
      </c>
      <c r="L63" s="24" t="str">
        <f>IF($X63="","","CSV row "&amp;($X63+1))</f>
        <v/>
      </c>
      <c r="N63" s="24" t="str">
        <f>IF($Y63="","",INDEX(Import_Staging!$F$2:$F$301,$Y63)&amp;"")</f>
        <v/>
      </c>
      <c r="O63" s="24" t="str">
        <f>IF($Y63="","",INDEX(Import_Staging!$D$2:$D$301,$Y63)&amp;"")</f>
        <v/>
      </c>
      <c r="P63" s="24" t="str">
        <f>IF($Y63="","",INDEX(Import_Staging!$E$2:$E$301,$Y63)&amp;"")</f>
        <v/>
      </c>
      <c r="Q63" s="27" t="n"/>
      <c r="R63" s="27" t="str">
        <f>IF($Y63="","",INDEX(Import_Staging!$N$2:$N$301,$Y63))</f>
        <v/>
      </c>
      <c r="S63" s="70" t="str">
        <f>IF($Y63="","",0)</f>
        <v/>
      </c>
      <c r="T63" s="24" t="str">
        <f>IF($Y63="","",INDEX(Import_Staging!$I$2:$I$301,$Y63)&amp;"")</f>
        <v/>
      </c>
      <c r="U63" s="24" t="n"/>
      <c r="V63" s="24" t="str">
        <f>IF($Y63="","","Received "&amp;TEXT(INDEX(Import_Staging!$M$2:$M$301,$Y63),"yyyy-mm-dd")&amp;" (CSV row "&amp;($Y63+1)&amp;")")</f>
        <v/>
      </c>
      <c r="X63" t="str">
        <f>IFERROR(MATCH(58,Import_Staging!$BT$2:$BT$301,0),"")</f>
        <v/>
      </c>
      <c r="Y63" t="str">
        <f>IFERROR(MATCH(58,Import_Staging!$BV$2:$BV$301,0),"")</f>
        <v/>
      </c>
    </row>
    <row r="64">
      <c r="A64" s="24" t="str">
        <f>IF($X64="","",INDEX(Import_Staging!$A$2:$A$301,$X64)&amp;"")</f>
        <v/>
      </c>
      <c r="B64" s="27" t="str">
        <f>IF($X64="","",INDEX(Import_Staging!$M$2:$M$301,$X64))</f>
        <v/>
      </c>
      <c r="C64" s="24" t="str">
        <f>IF($X64="","",INDEX(Import_Staging!$C$2:$C$301,$X64)&amp;"")</f>
        <v/>
      </c>
      <c r="D64" s="24" t="str">
        <f>IF($X64="","",INDEX(Import_Staging!$D$2:$D$301,$X64)&amp;"")</f>
        <v/>
      </c>
      <c r="E64" s="69" t="str">
        <f>IF($X64="","",INDEX(Import_Staging!$O$2:$O$301,$X64))</f>
        <v/>
      </c>
      <c r="F64" s="24" t="str">
        <f>IF($X64="","",INDEX(Import_Staging!$F$2:$F$301,$X64)&amp;"")</f>
        <v/>
      </c>
      <c r="G64" s="24" t="str">
        <f>IF($X64="","",INDEX(Import_Staging!$J$2:$J$301,$X64)&amp;"")</f>
        <v/>
      </c>
      <c r="H64" s="24" t="str">
        <f>IF($X64="","",INDEX(Import_Staging!$K$2:$K$301,$X64)&amp;"")</f>
        <v/>
      </c>
      <c r="I64" s="24" t="str">
        <f>IF($X64="","",INDEX(Import_Staging!$L$2:$L$301,$X64)&amp;"")</f>
        <v/>
      </c>
      <c r="J64" s="24" t="str">
        <f>IF($X64="","","3PL import")</f>
        <v/>
      </c>
      <c r="K64" s="24" t="str">
        <f>IF($X64="","",Config!$B$11)</f>
        <v/>
      </c>
      <c r="L64" s="24" t="str">
        <f>IF($X64="","","CSV row "&amp;($X64+1))</f>
        <v/>
      </c>
      <c r="N64" s="24" t="str">
        <f>IF($Y64="","",INDEX(Import_Staging!$F$2:$F$301,$Y64)&amp;"")</f>
        <v/>
      </c>
      <c r="O64" s="24" t="str">
        <f>IF($Y64="","",INDEX(Import_Staging!$D$2:$D$301,$Y64)&amp;"")</f>
        <v/>
      </c>
      <c r="P64" s="24" t="str">
        <f>IF($Y64="","",INDEX(Import_Staging!$E$2:$E$301,$Y64)&amp;"")</f>
        <v/>
      </c>
      <c r="Q64" s="27" t="n"/>
      <c r="R64" s="27" t="str">
        <f>IF($Y64="","",INDEX(Import_Staging!$N$2:$N$301,$Y64))</f>
        <v/>
      </c>
      <c r="S64" s="70" t="str">
        <f>IF($Y64="","",0)</f>
        <v/>
      </c>
      <c r="T64" s="24" t="str">
        <f>IF($Y64="","",INDEX(Import_Staging!$I$2:$I$301,$Y64)&amp;"")</f>
        <v/>
      </c>
      <c r="U64" s="24" t="n"/>
      <c r="V64" s="24" t="str">
        <f>IF($Y64="","","Received "&amp;TEXT(INDEX(Import_Staging!$M$2:$M$301,$Y64),"yyyy-mm-dd")&amp;" (CSV row "&amp;($Y64+1)&amp;")")</f>
        <v/>
      </c>
      <c r="X64" t="str">
        <f>IFERROR(MATCH(59,Import_Staging!$BT$2:$BT$301,0),"")</f>
        <v/>
      </c>
      <c r="Y64" t="str">
        <f>IFERROR(MATCH(59,Import_Staging!$BV$2:$BV$301,0),"")</f>
        <v/>
      </c>
    </row>
    <row r="65">
      <c r="A65" s="24" t="str">
        <f>IF($X65="","",INDEX(Import_Staging!$A$2:$A$301,$X65)&amp;"")</f>
        <v/>
      </c>
      <c r="B65" s="27" t="str">
        <f>IF($X65="","",INDEX(Import_Staging!$M$2:$M$301,$X65))</f>
        <v/>
      </c>
      <c r="C65" s="24" t="str">
        <f>IF($X65="","",INDEX(Import_Staging!$C$2:$C$301,$X65)&amp;"")</f>
        <v/>
      </c>
      <c r="D65" s="24" t="str">
        <f>IF($X65="","",INDEX(Import_Staging!$D$2:$D$301,$X65)&amp;"")</f>
        <v/>
      </c>
      <c r="E65" s="69" t="str">
        <f>IF($X65="","",INDEX(Import_Staging!$O$2:$O$301,$X65))</f>
        <v/>
      </c>
      <c r="F65" s="24" t="str">
        <f>IF($X65="","",INDEX(Import_Staging!$F$2:$F$301,$X65)&amp;"")</f>
        <v/>
      </c>
      <c r="G65" s="24" t="str">
        <f>IF($X65="","",INDEX(Import_Staging!$J$2:$J$301,$X65)&amp;"")</f>
        <v/>
      </c>
      <c r="H65" s="24" t="str">
        <f>IF($X65="","",INDEX(Import_Staging!$K$2:$K$301,$X65)&amp;"")</f>
        <v/>
      </c>
      <c r="I65" s="24" t="str">
        <f>IF($X65="","",INDEX(Import_Staging!$L$2:$L$301,$X65)&amp;"")</f>
        <v/>
      </c>
      <c r="J65" s="24" t="str">
        <f>IF($X65="","","3PL import")</f>
        <v/>
      </c>
      <c r="K65" s="24" t="str">
        <f>IF($X65="","",Config!$B$11)</f>
        <v/>
      </c>
      <c r="L65" s="24" t="str">
        <f>IF($X65="","","CSV row "&amp;($X65+1))</f>
        <v/>
      </c>
      <c r="N65" s="24" t="str">
        <f>IF($Y65="","",INDEX(Import_Staging!$F$2:$F$301,$Y65)&amp;"")</f>
        <v/>
      </c>
      <c r="O65" s="24" t="str">
        <f>IF($Y65="","",INDEX(Import_Staging!$D$2:$D$301,$Y65)&amp;"")</f>
        <v/>
      </c>
      <c r="P65" s="24" t="str">
        <f>IF($Y65="","",INDEX(Import_Staging!$E$2:$E$301,$Y65)&amp;"")</f>
        <v/>
      </c>
      <c r="Q65" s="27" t="n"/>
      <c r="R65" s="27" t="str">
        <f>IF($Y65="","",INDEX(Import_Staging!$N$2:$N$301,$Y65))</f>
        <v/>
      </c>
      <c r="S65" s="70" t="str">
        <f>IF($Y65="","",0)</f>
        <v/>
      </c>
      <c r="T65" s="24" t="str">
        <f>IF($Y65="","",INDEX(Import_Staging!$I$2:$I$301,$Y65)&amp;"")</f>
        <v/>
      </c>
      <c r="U65" s="24" t="n"/>
      <c r="V65" s="24" t="str">
        <f>IF($Y65="","","Received "&amp;TEXT(INDEX(Import_Staging!$M$2:$M$301,$Y65),"yyyy-mm-dd")&amp;" (CSV row "&amp;($Y65+1)&amp;")")</f>
        <v/>
      </c>
      <c r="X65" t="str">
        <f>IFERROR(MATCH(60,Import_Staging!$BT$2:$BT$301,0),"")</f>
        <v/>
      </c>
      <c r="Y65" t="str">
        <f>IFERROR(MATCH(60,Import_Staging!$BV$2:$BV$301,0),"")</f>
        <v/>
      </c>
    </row>
    <row r="66">
      <c r="A66" s="24" t="str">
        <f>IF($X66="","",INDEX(Import_Staging!$A$2:$A$301,$X66)&amp;"")</f>
        <v/>
      </c>
      <c r="B66" s="27" t="str">
        <f>IF($X66="","",INDEX(Import_Staging!$M$2:$M$301,$X66))</f>
        <v/>
      </c>
      <c r="C66" s="24" t="str">
        <f>IF($X66="","",INDEX(Import_Staging!$C$2:$C$301,$X66)&amp;"")</f>
        <v/>
      </c>
      <c r="D66" s="24" t="str">
        <f>IF($X66="","",INDEX(Import_Staging!$D$2:$D$301,$X66)&amp;"")</f>
        <v/>
      </c>
      <c r="E66" s="69" t="str">
        <f>IF($X66="","",INDEX(Import_Staging!$O$2:$O$301,$X66))</f>
        <v/>
      </c>
      <c r="F66" s="24" t="str">
        <f>IF($X66="","",INDEX(Import_Staging!$F$2:$F$301,$X66)&amp;"")</f>
        <v/>
      </c>
      <c r="G66" s="24" t="str">
        <f>IF($X66="","",INDEX(Import_Staging!$J$2:$J$301,$X66)&amp;"")</f>
        <v/>
      </c>
      <c r="H66" s="24" t="str">
        <f>IF($X66="","",INDEX(Import_Staging!$K$2:$K$301,$X66)&amp;"")</f>
        <v/>
      </c>
      <c r="I66" s="24" t="str">
        <f>IF($X66="","",INDEX(Import_Staging!$L$2:$L$301,$X66)&amp;"")</f>
        <v/>
      </c>
      <c r="J66" s="24" t="str">
        <f>IF($X66="","","3PL import")</f>
        <v/>
      </c>
      <c r="K66" s="24" t="str">
        <f>IF($X66="","",Config!$B$11)</f>
        <v/>
      </c>
      <c r="L66" s="24" t="str">
        <f>IF($X66="","","CSV row "&amp;($X66+1))</f>
        <v/>
      </c>
      <c r="N66" s="24" t="str">
        <f>IF($Y66="","",INDEX(Import_Staging!$F$2:$F$301,$Y66)&amp;"")</f>
        <v/>
      </c>
      <c r="O66" s="24" t="str">
        <f>IF($Y66="","",INDEX(Import_Staging!$D$2:$D$301,$Y66)&amp;"")</f>
        <v/>
      </c>
      <c r="P66" s="24" t="str">
        <f>IF($Y66="","",INDEX(Import_Staging!$E$2:$E$301,$Y66)&amp;"")</f>
        <v/>
      </c>
      <c r="Q66" s="27" t="n"/>
      <c r="R66" s="27" t="str">
        <f>IF($Y66="","",INDEX(Import_Staging!$N$2:$N$301,$Y66))</f>
        <v/>
      </c>
      <c r="S66" s="70" t="str">
        <f>IF($Y66="","",0)</f>
        <v/>
      </c>
      <c r="T66" s="24" t="str">
        <f>IF($Y66="","",INDEX(Import_Staging!$I$2:$I$301,$Y66)&amp;"")</f>
        <v/>
      </c>
      <c r="U66" s="24" t="n"/>
      <c r="V66" s="24" t="str">
        <f>IF($Y66="","","Received "&amp;TEXT(INDEX(Import_Staging!$M$2:$M$301,$Y66),"yyyy-mm-dd")&amp;" (CSV row "&amp;($Y66+1)&amp;")")</f>
        <v/>
      </c>
      <c r="X66" t="str">
        <f>IFERROR(MATCH(61,Import_Staging!$BT$2:$BT$301,0),"")</f>
        <v/>
      </c>
      <c r="Y66" t="str">
        <f>IFERROR(MATCH(61,Import_Staging!$BV$2:$BV$301,0),"")</f>
        <v/>
      </c>
    </row>
    <row r="67">
      <c r="A67" s="24" t="str">
        <f>IF($X67="","",INDEX(Import_Staging!$A$2:$A$301,$X67)&amp;"")</f>
        <v/>
      </c>
      <c r="B67" s="27" t="str">
        <f>IF($X67="","",INDEX(Import_Staging!$M$2:$M$301,$X67))</f>
        <v/>
      </c>
      <c r="C67" s="24" t="str">
        <f>IF($X67="","",INDEX(Import_Staging!$C$2:$C$301,$X67)&amp;"")</f>
        <v/>
      </c>
      <c r="D67" s="24" t="str">
        <f>IF($X67="","",INDEX(Import_Staging!$D$2:$D$301,$X67)&amp;"")</f>
        <v/>
      </c>
      <c r="E67" s="69" t="str">
        <f>IF($X67="","",INDEX(Import_Staging!$O$2:$O$301,$X67))</f>
        <v/>
      </c>
      <c r="F67" s="24" t="str">
        <f>IF($X67="","",INDEX(Import_Staging!$F$2:$F$301,$X67)&amp;"")</f>
        <v/>
      </c>
      <c r="G67" s="24" t="str">
        <f>IF($X67="","",INDEX(Import_Staging!$J$2:$J$301,$X67)&amp;"")</f>
        <v/>
      </c>
      <c r="H67" s="24" t="str">
        <f>IF($X67="","",INDEX(Import_Staging!$K$2:$K$301,$X67)&amp;"")</f>
        <v/>
      </c>
      <c r="I67" s="24" t="str">
        <f>IF($X67="","",INDEX(Import_Staging!$L$2:$L$301,$X67)&amp;"")</f>
        <v/>
      </c>
      <c r="J67" s="24" t="str">
        <f>IF($X67="","","3PL import")</f>
        <v/>
      </c>
      <c r="K67" s="24" t="str">
        <f>IF($X67="","",Config!$B$11)</f>
        <v/>
      </c>
      <c r="L67" s="24" t="str">
        <f>IF($X67="","","CSV row "&amp;($X67+1))</f>
        <v/>
      </c>
      <c r="N67" s="24" t="str">
        <f>IF($Y67="","",INDEX(Import_Staging!$F$2:$F$301,$Y67)&amp;"")</f>
        <v/>
      </c>
      <c r="O67" s="24" t="str">
        <f>IF($Y67="","",INDEX(Import_Staging!$D$2:$D$301,$Y67)&amp;"")</f>
        <v/>
      </c>
      <c r="P67" s="24" t="str">
        <f>IF($Y67="","",INDEX(Import_Staging!$E$2:$E$301,$Y67)&amp;"")</f>
        <v/>
      </c>
      <c r="Q67" s="27" t="n"/>
      <c r="R67" s="27" t="str">
        <f>IF($Y67="","",INDEX(Import_Staging!$N$2:$N$301,$Y67))</f>
        <v/>
      </c>
      <c r="S67" s="70" t="str">
        <f>IF($Y67="","",0)</f>
        <v/>
      </c>
      <c r="T67" s="24" t="str">
        <f>IF($Y67="","",INDEX(Import_Staging!$I$2:$I$301,$Y67)&amp;"")</f>
        <v/>
      </c>
      <c r="U67" s="24" t="n"/>
      <c r="V67" s="24" t="str">
        <f>IF($Y67="","","Received "&amp;TEXT(INDEX(Import_Staging!$M$2:$M$301,$Y67),"yyyy-mm-dd")&amp;" (CSV row "&amp;($Y67+1)&amp;")")</f>
        <v/>
      </c>
      <c r="X67" t="str">
        <f>IFERROR(MATCH(62,Import_Staging!$BT$2:$BT$301,0),"")</f>
        <v/>
      </c>
      <c r="Y67" t="str">
        <f>IFERROR(MATCH(62,Import_Staging!$BV$2:$BV$301,0),"")</f>
        <v/>
      </c>
    </row>
    <row r="68">
      <c r="A68" s="24" t="str">
        <f>IF($X68="","",INDEX(Import_Staging!$A$2:$A$301,$X68)&amp;"")</f>
        <v/>
      </c>
      <c r="B68" s="27" t="str">
        <f>IF($X68="","",INDEX(Import_Staging!$M$2:$M$301,$X68))</f>
        <v/>
      </c>
      <c r="C68" s="24" t="str">
        <f>IF($X68="","",INDEX(Import_Staging!$C$2:$C$301,$X68)&amp;"")</f>
        <v/>
      </c>
      <c r="D68" s="24" t="str">
        <f>IF($X68="","",INDEX(Import_Staging!$D$2:$D$301,$X68)&amp;"")</f>
        <v/>
      </c>
      <c r="E68" s="69" t="str">
        <f>IF($X68="","",INDEX(Import_Staging!$O$2:$O$301,$X68))</f>
        <v/>
      </c>
      <c r="F68" s="24" t="str">
        <f>IF($X68="","",INDEX(Import_Staging!$F$2:$F$301,$X68)&amp;"")</f>
        <v/>
      </c>
      <c r="G68" s="24" t="str">
        <f>IF($X68="","",INDEX(Import_Staging!$J$2:$J$301,$X68)&amp;"")</f>
        <v/>
      </c>
      <c r="H68" s="24" t="str">
        <f>IF($X68="","",INDEX(Import_Staging!$K$2:$K$301,$X68)&amp;"")</f>
        <v/>
      </c>
      <c r="I68" s="24" t="str">
        <f>IF($X68="","",INDEX(Import_Staging!$L$2:$L$301,$X68)&amp;"")</f>
        <v/>
      </c>
      <c r="J68" s="24" t="str">
        <f>IF($X68="","","3PL import")</f>
        <v/>
      </c>
      <c r="K68" s="24" t="str">
        <f>IF($X68="","",Config!$B$11)</f>
        <v/>
      </c>
      <c r="L68" s="24" t="str">
        <f>IF($X68="","","CSV row "&amp;($X68+1))</f>
        <v/>
      </c>
      <c r="N68" s="24" t="str">
        <f>IF($Y68="","",INDEX(Import_Staging!$F$2:$F$301,$Y68)&amp;"")</f>
        <v/>
      </c>
      <c r="O68" s="24" t="str">
        <f>IF($Y68="","",INDEX(Import_Staging!$D$2:$D$301,$Y68)&amp;"")</f>
        <v/>
      </c>
      <c r="P68" s="24" t="str">
        <f>IF($Y68="","",INDEX(Import_Staging!$E$2:$E$301,$Y68)&amp;"")</f>
        <v/>
      </c>
      <c r="Q68" s="27" t="n"/>
      <c r="R68" s="27" t="str">
        <f>IF($Y68="","",INDEX(Import_Staging!$N$2:$N$301,$Y68))</f>
        <v/>
      </c>
      <c r="S68" s="70" t="str">
        <f>IF($Y68="","",0)</f>
        <v/>
      </c>
      <c r="T68" s="24" t="str">
        <f>IF($Y68="","",INDEX(Import_Staging!$I$2:$I$301,$Y68)&amp;"")</f>
        <v/>
      </c>
      <c r="U68" s="24" t="n"/>
      <c r="V68" s="24" t="str">
        <f>IF($Y68="","","Received "&amp;TEXT(INDEX(Import_Staging!$M$2:$M$301,$Y68),"yyyy-mm-dd")&amp;" (CSV row "&amp;($Y68+1)&amp;")")</f>
        <v/>
      </c>
      <c r="X68" t="str">
        <f>IFERROR(MATCH(63,Import_Staging!$BT$2:$BT$301,0),"")</f>
        <v/>
      </c>
      <c r="Y68" t="str">
        <f>IFERROR(MATCH(63,Import_Staging!$BV$2:$BV$301,0),"")</f>
        <v/>
      </c>
    </row>
    <row r="69">
      <c r="A69" s="24" t="str">
        <f>IF($X69="","",INDEX(Import_Staging!$A$2:$A$301,$X69)&amp;"")</f>
        <v/>
      </c>
      <c r="B69" s="27" t="str">
        <f>IF($X69="","",INDEX(Import_Staging!$M$2:$M$301,$X69))</f>
        <v/>
      </c>
      <c r="C69" s="24" t="str">
        <f>IF($X69="","",INDEX(Import_Staging!$C$2:$C$301,$X69)&amp;"")</f>
        <v/>
      </c>
      <c r="D69" s="24" t="str">
        <f>IF($X69="","",INDEX(Import_Staging!$D$2:$D$301,$X69)&amp;"")</f>
        <v/>
      </c>
      <c r="E69" s="69" t="str">
        <f>IF($X69="","",INDEX(Import_Staging!$O$2:$O$301,$X69))</f>
        <v/>
      </c>
      <c r="F69" s="24" t="str">
        <f>IF($X69="","",INDEX(Import_Staging!$F$2:$F$301,$X69)&amp;"")</f>
        <v/>
      </c>
      <c r="G69" s="24" t="str">
        <f>IF($X69="","",INDEX(Import_Staging!$J$2:$J$301,$X69)&amp;"")</f>
        <v/>
      </c>
      <c r="H69" s="24" t="str">
        <f>IF($X69="","",INDEX(Import_Staging!$K$2:$K$301,$X69)&amp;"")</f>
        <v/>
      </c>
      <c r="I69" s="24" t="str">
        <f>IF($X69="","",INDEX(Import_Staging!$L$2:$L$301,$X69)&amp;"")</f>
        <v/>
      </c>
      <c r="J69" s="24" t="str">
        <f>IF($X69="","","3PL import")</f>
        <v/>
      </c>
      <c r="K69" s="24" t="str">
        <f>IF($X69="","",Config!$B$11)</f>
        <v/>
      </c>
      <c r="L69" s="24" t="str">
        <f>IF($X69="","","CSV row "&amp;($X69+1))</f>
        <v/>
      </c>
      <c r="N69" s="24" t="str">
        <f>IF($Y69="","",INDEX(Import_Staging!$F$2:$F$301,$Y69)&amp;"")</f>
        <v/>
      </c>
      <c r="O69" s="24" t="str">
        <f>IF($Y69="","",INDEX(Import_Staging!$D$2:$D$301,$Y69)&amp;"")</f>
        <v/>
      </c>
      <c r="P69" s="24" t="str">
        <f>IF($Y69="","",INDEX(Import_Staging!$E$2:$E$301,$Y69)&amp;"")</f>
        <v/>
      </c>
      <c r="Q69" s="27" t="n"/>
      <c r="R69" s="27" t="str">
        <f>IF($Y69="","",INDEX(Import_Staging!$N$2:$N$301,$Y69))</f>
        <v/>
      </c>
      <c r="S69" s="70" t="str">
        <f>IF($Y69="","",0)</f>
        <v/>
      </c>
      <c r="T69" s="24" t="str">
        <f>IF($Y69="","",INDEX(Import_Staging!$I$2:$I$301,$Y69)&amp;"")</f>
        <v/>
      </c>
      <c r="U69" s="24" t="n"/>
      <c r="V69" s="24" t="str">
        <f>IF($Y69="","","Received "&amp;TEXT(INDEX(Import_Staging!$M$2:$M$301,$Y69),"yyyy-mm-dd")&amp;" (CSV row "&amp;($Y69+1)&amp;")")</f>
        <v/>
      </c>
      <c r="X69" t="str">
        <f>IFERROR(MATCH(64,Import_Staging!$BT$2:$BT$301,0),"")</f>
        <v/>
      </c>
      <c r="Y69" t="str">
        <f>IFERROR(MATCH(64,Import_Staging!$BV$2:$BV$301,0),"")</f>
        <v/>
      </c>
    </row>
    <row r="70">
      <c r="A70" s="24" t="str">
        <f>IF($X70="","",INDEX(Import_Staging!$A$2:$A$301,$X70)&amp;"")</f>
        <v/>
      </c>
      <c r="B70" s="27" t="str">
        <f>IF($X70="","",INDEX(Import_Staging!$M$2:$M$301,$X70))</f>
        <v/>
      </c>
      <c r="C70" s="24" t="str">
        <f>IF($X70="","",INDEX(Import_Staging!$C$2:$C$301,$X70)&amp;"")</f>
        <v/>
      </c>
      <c r="D70" s="24" t="str">
        <f>IF($X70="","",INDEX(Import_Staging!$D$2:$D$301,$X70)&amp;"")</f>
        <v/>
      </c>
      <c r="E70" s="69" t="str">
        <f>IF($X70="","",INDEX(Import_Staging!$O$2:$O$301,$X70))</f>
        <v/>
      </c>
      <c r="F70" s="24" t="str">
        <f>IF($X70="","",INDEX(Import_Staging!$F$2:$F$301,$X70)&amp;"")</f>
        <v/>
      </c>
      <c r="G70" s="24" t="str">
        <f>IF($X70="","",INDEX(Import_Staging!$J$2:$J$301,$X70)&amp;"")</f>
        <v/>
      </c>
      <c r="H70" s="24" t="str">
        <f>IF($X70="","",INDEX(Import_Staging!$K$2:$K$301,$X70)&amp;"")</f>
        <v/>
      </c>
      <c r="I70" s="24" t="str">
        <f>IF($X70="","",INDEX(Import_Staging!$L$2:$L$301,$X70)&amp;"")</f>
        <v/>
      </c>
      <c r="J70" s="24" t="str">
        <f>IF($X70="","","3PL import")</f>
        <v/>
      </c>
      <c r="K70" s="24" t="str">
        <f>IF($X70="","",Config!$B$11)</f>
        <v/>
      </c>
      <c r="L70" s="24" t="str">
        <f>IF($X70="","","CSV row "&amp;($X70+1))</f>
        <v/>
      </c>
      <c r="N70" s="24" t="str">
        <f>IF($Y70="","",INDEX(Import_Staging!$F$2:$F$301,$Y70)&amp;"")</f>
        <v/>
      </c>
      <c r="O70" s="24" t="str">
        <f>IF($Y70="","",INDEX(Import_Staging!$D$2:$D$301,$Y70)&amp;"")</f>
        <v/>
      </c>
      <c r="P70" s="24" t="str">
        <f>IF($Y70="","",INDEX(Import_Staging!$E$2:$E$301,$Y70)&amp;"")</f>
        <v/>
      </c>
      <c r="Q70" s="27" t="n"/>
      <c r="R70" s="27" t="str">
        <f>IF($Y70="","",INDEX(Import_Staging!$N$2:$N$301,$Y70))</f>
        <v/>
      </c>
      <c r="S70" s="70" t="str">
        <f>IF($Y70="","",0)</f>
        <v/>
      </c>
      <c r="T70" s="24" t="str">
        <f>IF($Y70="","",INDEX(Import_Staging!$I$2:$I$301,$Y70)&amp;"")</f>
        <v/>
      </c>
      <c r="U70" s="24" t="n"/>
      <c r="V70" s="24" t="str">
        <f>IF($Y70="","","Received "&amp;TEXT(INDEX(Import_Staging!$M$2:$M$301,$Y70),"yyyy-mm-dd")&amp;" (CSV row "&amp;($Y70+1)&amp;")")</f>
        <v/>
      </c>
      <c r="X70" t="str">
        <f>IFERROR(MATCH(65,Import_Staging!$BT$2:$BT$301,0),"")</f>
        <v/>
      </c>
      <c r="Y70" t="str">
        <f>IFERROR(MATCH(65,Import_Staging!$BV$2:$BV$301,0),"")</f>
        <v/>
      </c>
    </row>
    <row r="71">
      <c r="A71" s="24" t="str">
        <f>IF($X71="","",INDEX(Import_Staging!$A$2:$A$301,$X71)&amp;"")</f>
        <v/>
      </c>
      <c r="B71" s="27" t="str">
        <f>IF($X71="","",INDEX(Import_Staging!$M$2:$M$301,$X71))</f>
        <v/>
      </c>
      <c r="C71" s="24" t="str">
        <f>IF($X71="","",INDEX(Import_Staging!$C$2:$C$301,$X71)&amp;"")</f>
        <v/>
      </c>
      <c r="D71" s="24" t="str">
        <f>IF($X71="","",INDEX(Import_Staging!$D$2:$D$301,$X71)&amp;"")</f>
        <v/>
      </c>
      <c r="E71" s="69" t="str">
        <f>IF($X71="","",INDEX(Import_Staging!$O$2:$O$301,$X71))</f>
        <v/>
      </c>
      <c r="F71" s="24" t="str">
        <f>IF($X71="","",INDEX(Import_Staging!$F$2:$F$301,$X71)&amp;"")</f>
        <v/>
      </c>
      <c r="G71" s="24" t="str">
        <f>IF($X71="","",INDEX(Import_Staging!$J$2:$J$301,$X71)&amp;"")</f>
        <v/>
      </c>
      <c r="H71" s="24" t="str">
        <f>IF($X71="","",INDEX(Import_Staging!$K$2:$K$301,$X71)&amp;"")</f>
        <v/>
      </c>
      <c r="I71" s="24" t="str">
        <f>IF($X71="","",INDEX(Import_Staging!$L$2:$L$301,$X71)&amp;"")</f>
        <v/>
      </c>
      <c r="J71" s="24" t="str">
        <f>IF($X71="","","3PL import")</f>
        <v/>
      </c>
      <c r="K71" s="24" t="str">
        <f>IF($X71="","",Config!$B$11)</f>
        <v/>
      </c>
      <c r="L71" s="24" t="str">
        <f>IF($X71="","","CSV row "&amp;($X71+1))</f>
        <v/>
      </c>
      <c r="N71" s="24" t="str">
        <f>IF($Y71="","",INDEX(Import_Staging!$F$2:$F$301,$Y71)&amp;"")</f>
        <v/>
      </c>
      <c r="O71" s="24" t="str">
        <f>IF($Y71="","",INDEX(Import_Staging!$D$2:$D$301,$Y71)&amp;"")</f>
        <v/>
      </c>
      <c r="P71" s="24" t="str">
        <f>IF($Y71="","",INDEX(Import_Staging!$E$2:$E$301,$Y71)&amp;"")</f>
        <v/>
      </c>
      <c r="Q71" s="27" t="n"/>
      <c r="R71" s="27" t="str">
        <f>IF($Y71="","",INDEX(Import_Staging!$N$2:$N$301,$Y71))</f>
        <v/>
      </c>
      <c r="S71" s="70" t="str">
        <f>IF($Y71="","",0)</f>
        <v/>
      </c>
      <c r="T71" s="24" t="str">
        <f>IF($Y71="","",INDEX(Import_Staging!$I$2:$I$301,$Y71)&amp;"")</f>
        <v/>
      </c>
      <c r="U71" s="24" t="n"/>
      <c r="V71" s="24" t="str">
        <f>IF($Y71="","","Received "&amp;TEXT(INDEX(Import_Staging!$M$2:$M$301,$Y71),"yyyy-mm-dd")&amp;" (CSV row "&amp;($Y71+1)&amp;")")</f>
        <v/>
      </c>
      <c r="X71" t="str">
        <f>IFERROR(MATCH(66,Import_Staging!$BT$2:$BT$301,0),"")</f>
        <v/>
      </c>
      <c r="Y71" t="str">
        <f>IFERROR(MATCH(66,Import_Staging!$BV$2:$BV$301,0),"")</f>
        <v/>
      </c>
    </row>
    <row r="72">
      <c r="A72" s="24" t="str">
        <f>IF($X72="","",INDEX(Import_Staging!$A$2:$A$301,$X72)&amp;"")</f>
        <v/>
      </c>
      <c r="B72" s="27" t="str">
        <f>IF($X72="","",INDEX(Import_Staging!$M$2:$M$301,$X72))</f>
        <v/>
      </c>
      <c r="C72" s="24" t="str">
        <f>IF($X72="","",INDEX(Import_Staging!$C$2:$C$301,$X72)&amp;"")</f>
        <v/>
      </c>
      <c r="D72" s="24" t="str">
        <f>IF($X72="","",INDEX(Import_Staging!$D$2:$D$301,$X72)&amp;"")</f>
        <v/>
      </c>
      <c r="E72" s="69" t="str">
        <f>IF($X72="","",INDEX(Import_Staging!$O$2:$O$301,$X72))</f>
        <v/>
      </c>
      <c r="F72" s="24" t="str">
        <f>IF($X72="","",INDEX(Import_Staging!$F$2:$F$301,$X72)&amp;"")</f>
        <v/>
      </c>
      <c r="G72" s="24" t="str">
        <f>IF($X72="","",INDEX(Import_Staging!$J$2:$J$301,$X72)&amp;"")</f>
        <v/>
      </c>
      <c r="H72" s="24" t="str">
        <f>IF($X72="","",INDEX(Import_Staging!$K$2:$K$301,$X72)&amp;"")</f>
        <v/>
      </c>
      <c r="I72" s="24" t="str">
        <f>IF($X72="","",INDEX(Import_Staging!$L$2:$L$301,$X72)&amp;"")</f>
        <v/>
      </c>
      <c r="J72" s="24" t="str">
        <f>IF($X72="","","3PL import")</f>
        <v/>
      </c>
      <c r="K72" s="24" t="str">
        <f>IF($X72="","",Config!$B$11)</f>
        <v/>
      </c>
      <c r="L72" s="24" t="str">
        <f>IF($X72="","","CSV row "&amp;($X72+1))</f>
        <v/>
      </c>
      <c r="N72" s="24" t="str">
        <f>IF($Y72="","",INDEX(Import_Staging!$F$2:$F$301,$Y72)&amp;"")</f>
        <v/>
      </c>
      <c r="O72" s="24" t="str">
        <f>IF($Y72="","",INDEX(Import_Staging!$D$2:$D$301,$Y72)&amp;"")</f>
        <v/>
      </c>
      <c r="P72" s="24" t="str">
        <f>IF($Y72="","",INDEX(Import_Staging!$E$2:$E$301,$Y72)&amp;"")</f>
        <v/>
      </c>
      <c r="Q72" s="27" t="n"/>
      <c r="R72" s="27" t="str">
        <f>IF($Y72="","",INDEX(Import_Staging!$N$2:$N$301,$Y72))</f>
        <v/>
      </c>
      <c r="S72" s="70" t="str">
        <f>IF($Y72="","",0)</f>
        <v/>
      </c>
      <c r="T72" s="24" t="str">
        <f>IF($Y72="","",INDEX(Import_Staging!$I$2:$I$301,$Y72)&amp;"")</f>
        <v/>
      </c>
      <c r="U72" s="24" t="n"/>
      <c r="V72" s="24" t="str">
        <f>IF($Y72="","","Received "&amp;TEXT(INDEX(Import_Staging!$M$2:$M$301,$Y72),"yyyy-mm-dd")&amp;" (CSV row "&amp;($Y72+1)&amp;")")</f>
        <v/>
      </c>
      <c r="X72" t="str">
        <f>IFERROR(MATCH(67,Import_Staging!$BT$2:$BT$301,0),"")</f>
        <v/>
      </c>
      <c r="Y72" t="str">
        <f>IFERROR(MATCH(67,Import_Staging!$BV$2:$BV$301,0),"")</f>
        <v/>
      </c>
    </row>
    <row r="73">
      <c r="A73" s="24" t="str">
        <f>IF($X73="","",INDEX(Import_Staging!$A$2:$A$301,$X73)&amp;"")</f>
        <v/>
      </c>
      <c r="B73" s="27" t="str">
        <f>IF($X73="","",INDEX(Import_Staging!$M$2:$M$301,$X73))</f>
        <v/>
      </c>
      <c r="C73" s="24" t="str">
        <f>IF($X73="","",INDEX(Import_Staging!$C$2:$C$301,$X73)&amp;"")</f>
        <v/>
      </c>
      <c r="D73" s="24" t="str">
        <f>IF($X73="","",INDEX(Import_Staging!$D$2:$D$301,$X73)&amp;"")</f>
        <v/>
      </c>
      <c r="E73" s="69" t="str">
        <f>IF($X73="","",INDEX(Import_Staging!$O$2:$O$301,$X73))</f>
        <v/>
      </c>
      <c r="F73" s="24" t="str">
        <f>IF($X73="","",INDEX(Import_Staging!$F$2:$F$301,$X73)&amp;"")</f>
        <v/>
      </c>
      <c r="G73" s="24" t="str">
        <f>IF($X73="","",INDEX(Import_Staging!$J$2:$J$301,$X73)&amp;"")</f>
        <v/>
      </c>
      <c r="H73" s="24" t="str">
        <f>IF($X73="","",INDEX(Import_Staging!$K$2:$K$301,$X73)&amp;"")</f>
        <v/>
      </c>
      <c r="I73" s="24" t="str">
        <f>IF($X73="","",INDEX(Import_Staging!$L$2:$L$301,$X73)&amp;"")</f>
        <v/>
      </c>
      <c r="J73" s="24" t="str">
        <f>IF($X73="","","3PL import")</f>
        <v/>
      </c>
      <c r="K73" s="24" t="str">
        <f>IF($X73="","",Config!$B$11)</f>
        <v/>
      </c>
      <c r="L73" s="24" t="str">
        <f>IF($X73="","","CSV row "&amp;($X73+1))</f>
        <v/>
      </c>
      <c r="N73" s="24" t="str">
        <f>IF($Y73="","",INDEX(Import_Staging!$F$2:$F$301,$Y73)&amp;"")</f>
        <v/>
      </c>
      <c r="O73" s="24" t="str">
        <f>IF($Y73="","",INDEX(Import_Staging!$D$2:$D$301,$Y73)&amp;"")</f>
        <v/>
      </c>
      <c r="P73" s="24" t="str">
        <f>IF($Y73="","",INDEX(Import_Staging!$E$2:$E$301,$Y73)&amp;"")</f>
        <v/>
      </c>
      <c r="Q73" s="27" t="n"/>
      <c r="R73" s="27" t="str">
        <f>IF($Y73="","",INDEX(Import_Staging!$N$2:$N$301,$Y73))</f>
        <v/>
      </c>
      <c r="S73" s="70" t="str">
        <f>IF($Y73="","",0)</f>
        <v/>
      </c>
      <c r="T73" s="24" t="str">
        <f>IF($Y73="","",INDEX(Import_Staging!$I$2:$I$301,$Y73)&amp;"")</f>
        <v/>
      </c>
      <c r="U73" s="24" t="n"/>
      <c r="V73" s="24" t="str">
        <f>IF($Y73="","","Received "&amp;TEXT(INDEX(Import_Staging!$M$2:$M$301,$Y73),"yyyy-mm-dd")&amp;" (CSV row "&amp;($Y73+1)&amp;")")</f>
        <v/>
      </c>
      <c r="X73" t="str">
        <f>IFERROR(MATCH(68,Import_Staging!$BT$2:$BT$301,0),"")</f>
        <v/>
      </c>
      <c r="Y73" t="str">
        <f>IFERROR(MATCH(68,Import_Staging!$BV$2:$BV$301,0),"")</f>
        <v/>
      </c>
    </row>
    <row r="74">
      <c r="A74" s="24" t="str">
        <f>IF($X74="","",INDEX(Import_Staging!$A$2:$A$301,$X74)&amp;"")</f>
        <v/>
      </c>
      <c r="B74" s="27" t="str">
        <f>IF($X74="","",INDEX(Import_Staging!$M$2:$M$301,$X74))</f>
        <v/>
      </c>
      <c r="C74" s="24" t="str">
        <f>IF($X74="","",INDEX(Import_Staging!$C$2:$C$301,$X74)&amp;"")</f>
        <v/>
      </c>
      <c r="D74" s="24" t="str">
        <f>IF($X74="","",INDEX(Import_Staging!$D$2:$D$301,$X74)&amp;"")</f>
        <v/>
      </c>
      <c r="E74" s="69" t="str">
        <f>IF($X74="","",INDEX(Import_Staging!$O$2:$O$301,$X74))</f>
        <v/>
      </c>
      <c r="F74" s="24" t="str">
        <f>IF($X74="","",INDEX(Import_Staging!$F$2:$F$301,$X74)&amp;"")</f>
        <v/>
      </c>
      <c r="G74" s="24" t="str">
        <f>IF($X74="","",INDEX(Import_Staging!$J$2:$J$301,$X74)&amp;"")</f>
        <v/>
      </c>
      <c r="H74" s="24" t="str">
        <f>IF($X74="","",INDEX(Import_Staging!$K$2:$K$301,$X74)&amp;"")</f>
        <v/>
      </c>
      <c r="I74" s="24" t="str">
        <f>IF($X74="","",INDEX(Import_Staging!$L$2:$L$301,$X74)&amp;"")</f>
        <v/>
      </c>
      <c r="J74" s="24" t="str">
        <f>IF($X74="","","3PL import")</f>
        <v/>
      </c>
      <c r="K74" s="24" t="str">
        <f>IF($X74="","",Config!$B$11)</f>
        <v/>
      </c>
      <c r="L74" s="24" t="str">
        <f>IF($X74="","","CSV row "&amp;($X74+1))</f>
        <v/>
      </c>
      <c r="N74" s="24" t="str">
        <f>IF($Y74="","",INDEX(Import_Staging!$F$2:$F$301,$Y74)&amp;"")</f>
        <v/>
      </c>
      <c r="O74" s="24" t="str">
        <f>IF($Y74="","",INDEX(Import_Staging!$D$2:$D$301,$Y74)&amp;"")</f>
        <v/>
      </c>
      <c r="P74" s="24" t="str">
        <f>IF($Y74="","",INDEX(Import_Staging!$E$2:$E$301,$Y74)&amp;"")</f>
        <v/>
      </c>
      <c r="Q74" s="27" t="n"/>
      <c r="R74" s="27" t="str">
        <f>IF($Y74="","",INDEX(Import_Staging!$N$2:$N$301,$Y74))</f>
        <v/>
      </c>
      <c r="S74" s="70" t="str">
        <f>IF($Y74="","",0)</f>
        <v/>
      </c>
      <c r="T74" s="24" t="str">
        <f>IF($Y74="","",INDEX(Import_Staging!$I$2:$I$301,$Y74)&amp;"")</f>
        <v/>
      </c>
      <c r="U74" s="24" t="n"/>
      <c r="V74" s="24" t="str">
        <f>IF($Y74="","","Received "&amp;TEXT(INDEX(Import_Staging!$M$2:$M$301,$Y74),"yyyy-mm-dd")&amp;" (CSV row "&amp;($Y74+1)&amp;")")</f>
        <v/>
      </c>
      <c r="X74" t="str">
        <f>IFERROR(MATCH(69,Import_Staging!$BT$2:$BT$301,0),"")</f>
        <v/>
      </c>
      <c r="Y74" t="str">
        <f>IFERROR(MATCH(69,Import_Staging!$BV$2:$BV$301,0),"")</f>
        <v/>
      </c>
    </row>
    <row r="75">
      <c r="A75" s="24" t="str">
        <f>IF($X75="","",INDEX(Import_Staging!$A$2:$A$301,$X75)&amp;"")</f>
        <v/>
      </c>
      <c r="B75" s="27" t="str">
        <f>IF($X75="","",INDEX(Import_Staging!$M$2:$M$301,$X75))</f>
        <v/>
      </c>
      <c r="C75" s="24" t="str">
        <f>IF($X75="","",INDEX(Import_Staging!$C$2:$C$301,$X75)&amp;"")</f>
        <v/>
      </c>
      <c r="D75" s="24" t="str">
        <f>IF($X75="","",INDEX(Import_Staging!$D$2:$D$301,$X75)&amp;"")</f>
        <v/>
      </c>
      <c r="E75" s="69" t="str">
        <f>IF($X75="","",INDEX(Import_Staging!$O$2:$O$301,$X75))</f>
        <v/>
      </c>
      <c r="F75" s="24" t="str">
        <f>IF($X75="","",INDEX(Import_Staging!$F$2:$F$301,$X75)&amp;"")</f>
        <v/>
      </c>
      <c r="G75" s="24" t="str">
        <f>IF($X75="","",INDEX(Import_Staging!$J$2:$J$301,$X75)&amp;"")</f>
        <v/>
      </c>
      <c r="H75" s="24" t="str">
        <f>IF($X75="","",INDEX(Import_Staging!$K$2:$K$301,$X75)&amp;"")</f>
        <v/>
      </c>
      <c r="I75" s="24" t="str">
        <f>IF($X75="","",INDEX(Import_Staging!$L$2:$L$301,$X75)&amp;"")</f>
        <v/>
      </c>
      <c r="J75" s="24" t="str">
        <f>IF($X75="","","3PL import")</f>
        <v/>
      </c>
      <c r="K75" s="24" t="str">
        <f>IF($X75="","",Config!$B$11)</f>
        <v/>
      </c>
      <c r="L75" s="24" t="str">
        <f>IF($X75="","","CSV row "&amp;($X75+1))</f>
        <v/>
      </c>
      <c r="N75" s="24" t="str">
        <f>IF($Y75="","",INDEX(Import_Staging!$F$2:$F$301,$Y75)&amp;"")</f>
        <v/>
      </c>
      <c r="O75" s="24" t="str">
        <f>IF($Y75="","",INDEX(Import_Staging!$D$2:$D$301,$Y75)&amp;"")</f>
        <v/>
      </c>
      <c r="P75" s="24" t="str">
        <f>IF($Y75="","",INDEX(Import_Staging!$E$2:$E$301,$Y75)&amp;"")</f>
        <v/>
      </c>
      <c r="Q75" s="27" t="n"/>
      <c r="R75" s="27" t="str">
        <f>IF($Y75="","",INDEX(Import_Staging!$N$2:$N$301,$Y75))</f>
        <v/>
      </c>
      <c r="S75" s="70" t="str">
        <f>IF($Y75="","",0)</f>
        <v/>
      </c>
      <c r="T75" s="24" t="str">
        <f>IF($Y75="","",INDEX(Import_Staging!$I$2:$I$301,$Y75)&amp;"")</f>
        <v/>
      </c>
      <c r="U75" s="24" t="n"/>
      <c r="V75" s="24" t="str">
        <f>IF($Y75="","","Received "&amp;TEXT(INDEX(Import_Staging!$M$2:$M$301,$Y75),"yyyy-mm-dd")&amp;" (CSV row "&amp;($Y75+1)&amp;")")</f>
        <v/>
      </c>
      <c r="X75" t="str">
        <f>IFERROR(MATCH(70,Import_Staging!$BT$2:$BT$301,0),"")</f>
        <v/>
      </c>
      <c r="Y75" t="str">
        <f>IFERROR(MATCH(70,Import_Staging!$BV$2:$BV$301,0),"")</f>
        <v/>
      </c>
    </row>
    <row r="76">
      <c r="A76" s="24" t="str">
        <f>IF($X76="","",INDEX(Import_Staging!$A$2:$A$301,$X76)&amp;"")</f>
        <v/>
      </c>
      <c r="B76" s="27" t="str">
        <f>IF($X76="","",INDEX(Import_Staging!$M$2:$M$301,$X76))</f>
        <v/>
      </c>
      <c r="C76" s="24" t="str">
        <f>IF($X76="","",INDEX(Import_Staging!$C$2:$C$301,$X76)&amp;"")</f>
        <v/>
      </c>
      <c r="D76" s="24" t="str">
        <f>IF($X76="","",INDEX(Import_Staging!$D$2:$D$301,$X76)&amp;"")</f>
        <v/>
      </c>
      <c r="E76" s="69" t="str">
        <f>IF($X76="","",INDEX(Import_Staging!$O$2:$O$301,$X76))</f>
        <v/>
      </c>
      <c r="F76" s="24" t="str">
        <f>IF($X76="","",INDEX(Import_Staging!$F$2:$F$301,$X76)&amp;"")</f>
        <v/>
      </c>
      <c r="G76" s="24" t="str">
        <f>IF($X76="","",INDEX(Import_Staging!$J$2:$J$301,$X76)&amp;"")</f>
        <v/>
      </c>
      <c r="H76" s="24" t="str">
        <f>IF($X76="","",INDEX(Import_Staging!$K$2:$K$301,$X76)&amp;"")</f>
        <v/>
      </c>
      <c r="I76" s="24" t="str">
        <f>IF($X76="","",INDEX(Import_Staging!$L$2:$L$301,$X76)&amp;"")</f>
        <v/>
      </c>
      <c r="J76" s="24" t="str">
        <f>IF($X76="","","3PL import")</f>
        <v/>
      </c>
      <c r="K76" s="24" t="str">
        <f>IF($X76="","",Config!$B$11)</f>
        <v/>
      </c>
      <c r="L76" s="24" t="str">
        <f>IF($X76="","","CSV row "&amp;($X76+1))</f>
        <v/>
      </c>
      <c r="N76" s="24" t="str">
        <f>IF($Y76="","",INDEX(Import_Staging!$F$2:$F$301,$Y76)&amp;"")</f>
        <v/>
      </c>
      <c r="O76" s="24" t="str">
        <f>IF($Y76="","",INDEX(Import_Staging!$D$2:$D$301,$Y76)&amp;"")</f>
        <v/>
      </c>
      <c r="P76" s="24" t="str">
        <f>IF($Y76="","",INDEX(Import_Staging!$E$2:$E$301,$Y76)&amp;"")</f>
        <v/>
      </c>
      <c r="Q76" s="27" t="n"/>
      <c r="R76" s="27" t="str">
        <f>IF($Y76="","",INDEX(Import_Staging!$N$2:$N$301,$Y76))</f>
        <v/>
      </c>
      <c r="S76" s="70" t="str">
        <f>IF($Y76="","",0)</f>
        <v/>
      </c>
      <c r="T76" s="24" t="str">
        <f>IF($Y76="","",INDEX(Import_Staging!$I$2:$I$301,$Y76)&amp;"")</f>
        <v/>
      </c>
      <c r="U76" s="24" t="n"/>
      <c r="V76" s="24" t="str">
        <f>IF($Y76="","","Received "&amp;TEXT(INDEX(Import_Staging!$M$2:$M$301,$Y76),"yyyy-mm-dd")&amp;" (CSV row "&amp;($Y76+1)&amp;")")</f>
        <v/>
      </c>
      <c r="X76" t="str">
        <f>IFERROR(MATCH(71,Import_Staging!$BT$2:$BT$301,0),"")</f>
        <v/>
      </c>
      <c r="Y76" t="str">
        <f>IFERROR(MATCH(71,Import_Staging!$BV$2:$BV$301,0),"")</f>
        <v/>
      </c>
    </row>
    <row r="77">
      <c r="A77" s="24" t="str">
        <f>IF($X77="","",INDEX(Import_Staging!$A$2:$A$301,$X77)&amp;"")</f>
        <v/>
      </c>
      <c r="B77" s="27" t="str">
        <f>IF($X77="","",INDEX(Import_Staging!$M$2:$M$301,$X77))</f>
        <v/>
      </c>
      <c r="C77" s="24" t="str">
        <f>IF($X77="","",INDEX(Import_Staging!$C$2:$C$301,$X77)&amp;"")</f>
        <v/>
      </c>
      <c r="D77" s="24" t="str">
        <f>IF($X77="","",INDEX(Import_Staging!$D$2:$D$301,$X77)&amp;"")</f>
        <v/>
      </c>
      <c r="E77" s="69" t="str">
        <f>IF($X77="","",INDEX(Import_Staging!$O$2:$O$301,$X77))</f>
        <v/>
      </c>
      <c r="F77" s="24" t="str">
        <f>IF($X77="","",INDEX(Import_Staging!$F$2:$F$301,$X77)&amp;"")</f>
        <v/>
      </c>
      <c r="G77" s="24" t="str">
        <f>IF($X77="","",INDEX(Import_Staging!$J$2:$J$301,$X77)&amp;"")</f>
        <v/>
      </c>
      <c r="H77" s="24" t="str">
        <f>IF($X77="","",INDEX(Import_Staging!$K$2:$K$301,$X77)&amp;"")</f>
        <v/>
      </c>
      <c r="I77" s="24" t="str">
        <f>IF($X77="","",INDEX(Import_Staging!$L$2:$L$301,$X77)&amp;"")</f>
        <v/>
      </c>
      <c r="J77" s="24" t="str">
        <f>IF($X77="","","3PL import")</f>
        <v/>
      </c>
      <c r="K77" s="24" t="str">
        <f>IF($X77="","",Config!$B$11)</f>
        <v/>
      </c>
      <c r="L77" s="24" t="str">
        <f>IF($X77="","","CSV row "&amp;($X77+1))</f>
        <v/>
      </c>
      <c r="N77" s="24" t="str">
        <f>IF($Y77="","",INDEX(Import_Staging!$F$2:$F$301,$Y77)&amp;"")</f>
        <v/>
      </c>
      <c r="O77" s="24" t="str">
        <f>IF($Y77="","",INDEX(Import_Staging!$D$2:$D$301,$Y77)&amp;"")</f>
        <v/>
      </c>
      <c r="P77" s="24" t="str">
        <f>IF($Y77="","",INDEX(Import_Staging!$E$2:$E$301,$Y77)&amp;"")</f>
        <v/>
      </c>
      <c r="Q77" s="27" t="n"/>
      <c r="R77" s="27" t="str">
        <f>IF($Y77="","",INDEX(Import_Staging!$N$2:$N$301,$Y77))</f>
        <v/>
      </c>
      <c r="S77" s="70" t="str">
        <f>IF($Y77="","",0)</f>
        <v/>
      </c>
      <c r="T77" s="24" t="str">
        <f>IF($Y77="","",INDEX(Import_Staging!$I$2:$I$301,$Y77)&amp;"")</f>
        <v/>
      </c>
      <c r="U77" s="24" t="n"/>
      <c r="V77" s="24" t="str">
        <f>IF($Y77="","","Received "&amp;TEXT(INDEX(Import_Staging!$M$2:$M$301,$Y77),"yyyy-mm-dd")&amp;" (CSV row "&amp;($Y77+1)&amp;")")</f>
        <v/>
      </c>
      <c r="X77" t="str">
        <f>IFERROR(MATCH(72,Import_Staging!$BT$2:$BT$301,0),"")</f>
        <v/>
      </c>
      <c r="Y77" t="str">
        <f>IFERROR(MATCH(72,Import_Staging!$BV$2:$BV$301,0),"")</f>
        <v/>
      </c>
    </row>
    <row r="78">
      <c r="A78" s="24" t="str">
        <f>IF($X78="","",INDEX(Import_Staging!$A$2:$A$301,$X78)&amp;"")</f>
        <v/>
      </c>
      <c r="B78" s="27" t="str">
        <f>IF($X78="","",INDEX(Import_Staging!$M$2:$M$301,$X78))</f>
        <v/>
      </c>
      <c r="C78" s="24" t="str">
        <f>IF($X78="","",INDEX(Import_Staging!$C$2:$C$301,$X78)&amp;"")</f>
        <v/>
      </c>
      <c r="D78" s="24" t="str">
        <f>IF($X78="","",INDEX(Import_Staging!$D$2:$D$301,$X78)&amp;"")</f>
        <v/>
      </c>
      <c r="E78" s="69" t="str">
        <f>IF($X78="","",INDEX(Import_Staging!$O$2:$O$301,$X78))</f>
        <v/>
      </c>
      <c r="F78" s="24" t="str">
        <f>IF($X78="","",INDEX(Import_Staging!$F$2:$F$301,$X78)&amp;"")</f>
        <v/>
      </c>
      <c r="G78" s="24" t="str">
        <f>IF($X78="","",INDEX(Import_Staging!$J$2:$J$301,$X78)&amp;"")</f>
        <v/>
      </c>
      <c r="H78" s="24" t="str">
        <f>IF($X78="","",INDEX(Import_Staging!$K$2:$K$301,$X78)&amp;"")</f>
        <v/>
      </c>
      <c r="I78" s="24" t="str">
        <f>IF($X78="","",INDEX(Import_Staging!$L$2:$L$301,$X78)&amp;"")</f>
        <v/>
      </c>
      <c r="J78" s="24" t="str">
        <f>IF($X78="","","3PL import")</f>
        <v/>
      </c>
      <c r="K78" s="24" t="str">
        <f>IF($X78="","",Config!$B$11)</f>
        <v/>
      </c>
      <c r="L78" s="24" t="str">
        <f>IF($X78="","","CSV row "&amp;($X78+1))</f>
        <v/>
      </c>
      <c r="N78" s="24" t="str">
        <f>IF($Y78="","",INDEX(Import_Staging!$F$2:$F$301,$Y78)&amp;"")</f>
        <v/>
      </c>
      <c r="O78" s="24" t="str">
        <f>IF($Y78="","",INDEX(Import_Staging!$D$2:$D$301,$Y78)&amp;"")</f>
        <v/>
      </c>
      <c r="P78" s="24" t="str">
        <f>IF($Y78="","",INDEX(Import_Staging!$E$2:$E$301,$Y78)&amp;"")</f>
        <v/>
      </c>
      <c r="Q78" s="27" t="n"/>
      <c r="R78" s="27" t="str">
        <f>IF($Y78="","",INDEX(Import_Staging!$N$2:$N$301,$Y78))</f>
        <v/>
      </c>
      <c r="S78" s="70" t="str">
        <f>IF($Y78="","",0)</f>
        <v/>
      </c>
      <c r="T78" s="24" t="str">
        <f>IF($Y78="","",INDEX(Import_Staging!$I$2:$I$301,$Y78)&amp;"")</f>
        <v/>
      </c>
      <c r="U78" s="24" t="n"/>
      <c r="V78" s="24" t="str">
        <f>IF($Y78="","","Received "&amp;TEXT(INDEX(Import_Staging!$M$2:$M$301,$Y78),"yyyy-mm-dd")&amp;" (CSV row "&amp;($Y78+1)&amp;")")</f>
        <v/>
      </c>
      <c r="X78" t="str">
        <f>IFERROR(MATCH(73,Import_Staging!$BT$2:$BT$301,0),"")</f>
        <v/>
      </c>
      <c r="Y78" t="str">
        <f>IFERROR(MATCH(73,Import_Staging!$BV$2:$BV$301,0),"")</f>
        <v/>
      </c>
    </row>
    <row r="79">
      <c r="A79" s="24" t="str">
        <f>IF($X79="","",INDEX(Import_Staging!$A$2:$A$301,$X79)&amp;"")</f>
        <v/>
      </c>
      <c r="B79" s="27" t="str">
        <f>IF($X79="","",INDEX(Import_Staging!$M$2:$M$301,$X79))</f>
        <v/>
      </c>
      <c r="C79" s="24" t="str">
        <f>IF($X79="","",INDEX(Import_Staging!$C$2:$C$301,$X79)&amp;"")</f>
        <v/>
      </c>
      <c r="D79" s="24" t="str">
        <f>IF($X79="","",INDEX(Import_Staging!$D$2:$D$301,$X79)&amp;"")</f>
        <v/>
      </c>
      <c r="E79" s="69" t="str">
        <f>IF($X79="","",INDEX(Import_Staging!$O$2:$O$301,$X79))</f>
        <v/>
      </c>
      <c r="F79" s="24" t="str">
        <f>IF($X79="","",INDEX(Import_Staging!$F$2:$F$301,$X79)&amp;"")</f>
        <v/>
      </c>
      <c r="G79" s="24" t="str">
        <f>IF($X79="","",INDEX(Import_Staging!$J$2:$J$301,$X79)&amp;"")</f>
        <v/>
      </c>
      <c r="H79" s="24" t="str">
        <f>IF($X79="","",INDEX(Import_Staging!$K$2:$K$301,$X79)&amp;"")</f>
        <v/>
      </c>
      <c r="I79" s="24" t="str">
        <f>IF($X79="","",INDEX(Import_Staging!$L$2:$L$301,$X79)&amp;"")</f>
        <v/>
      </c>
      <c r="J79" s="24" t="str">
        <f>IF($X79="","","3PL import")</f>
        <v/>
      </c>
      <c r="K79" s="24" t="str">
        <f>IF($X79="","",Config!$B$11)</f>
        <v/>
      </c>
      <c r="L79" s="24" t="str">
        <f>IF($X79="","","CSV row "&amp;($X79+1))</f>
        <v/>
      </c>
      <c r="N79" s="24" t="str">
        <f>IF($Y79="","",INDEX(Import_Staging!$F$2:$F$301,$Y79)&amp;"")</f>
        <v/>
      </c>
      <c r="O79" s="24" t="str">
        <f>IF($Y79="","",INDEX(Import_Staging!$D$2:$D$301,$Y79)&amp;"")</f>
        <v/>
      </c>
      <c r="P79" s="24" t="str">
        <f>IF($Y79="","",INDEX(Import_Staging!$E$2:$E$301,$Y79)&amp;"")</f>
        <v/>
      </c>
      <c r="Q79" s="27" t="n"/>
      <c r="R79" s="27" t="str">
        <f>IF($Y79="","",INDEX(Import_Staging!$N$2:$N$301,$Y79))</f>
        <v/>
      </c>
      <c r="S79" s="70" t="str">
        <f>IF($Y79="","",0)</f>
        <v/>
      </c>
      <c r="T79" s="24" t="str">
        <f>IF($Y79="","",INDEX(Import_Staging!$I$2:$I$301,$Y79)&amp;"")</f>
        <v/>
      </c>
      <c r="U79" s="24" t="n"/>
      <c r="V79" s="24" t="str">
        <f>IF($Y79="","","Received "&amp;TEXT(INDEX(Import_Staging!$M$2:$M$301,$Y79),"yyyy-mm-dd")&amp;" (CSV row "&amp;($Y79+1)&amp;")")</f>
        <v/>
      </c>
      <c r="X79" t="str">
        <f>IFERROR(MATCH(74,Import_Staging!$BT$2:$BT$301,0),"")</f>
        <v/>
      </c>
      <c r="Y79" t="str">
        <f>IFERROR(MATCH(74,Import_Staging!$BV$2:$BV$301,0),"")</f>
        <v/>
      </c>
    </row>
    <row r="80">
      <c r="A80" s="24" t="str">
        <f>IF($X80="","",INDEX(Import_Staging!$A$2:$A$301,$X80)&amp;"")</f>
        <v/>
      </c>
      <c r="B80" s="27" t="str">
        <f>IF($X80="","",INDEX(Import_Staging!$M$2:$M$301,$X80))</f>
        <v/>
      </c>
      <c r="C80" s="24" t="str">
        <f>IF($X80="","",INDEX(Import_Staging!$C$2:$C$301,$X80)&amp;"")</f>
        <v/>
      </c>
      <c r="D80" s="24" t="str">
        <f>IF($X80="","",INDEX(Import_Staging!$D$2:$D$301,$X80)&amp;"")</f>
        <v/>
      </c>
      <c r="E80" s="69" t="str">
        <f>IF($X80="","",INDEX(Import_Staging!$O$2:$O$301,$X80))</f>
        <v/>
      </c>
      <c r="F80" s="24" t="str">
        <f>IF($X80="","",INDEX(Import_Staging!$F$2:$F$301,$X80)&amp;"")</f>
        <v/>
      </c>
      <c r="G80" s="24" t="str">
        <f>IF($X80="","",INDEX(Import_Staging!$J$2:$J$301,$X80)&amp;"")</f>
        <v/>
      </c>
      <c r="H80" s="24" t="str">
        <f>IF($X80="","",INDEX(Import_Staging!$K$2:$K$301,$X80)&amp;"")</f>
        <v/>
      </c>
      <c r="I80" s="24" t="str">
        <f>IF($X80="","",INDEX(Import_Staging!$L$2:$L$301,$X80)&amp;"")</f>
        <v/>
      </c>
      <c r="J80" s="24" t="str">
        <f>IF($X80="","","3PL import")</f>
        <v/>
      </c>
      <c r="K80" s="24" t="str">
        <f>IF($X80="","",Config!$B$11)</f>
        <v/>
      </c>
      <c r="L80" s="24" t="str">
        <f>IF($X80="","","CSV row "&amp;($X80+1))</f>
        <v/>
      </c>
      <c r="N80" s="24" t="str">
        <f>IF($Y80="","",INDEX(Import_Staging!$F$2:$F$301,$Y80)&amp;"")</f>
        <v/>
      </c>
      <c r="O80" s="24" t="str">
        <f>IF($Y80="","",INDEX(Import_Staging!$D$2:$D$301,$Y80)&amp;"")</f>
        <v/>
      </c>
      <c r="P80" s="24" t="str">
        <f>IF($Y80="","",INDEX(Import_Staging!$E$2:$E$301,$Y80)&amp;"")</f>
        <v/>
      </c>
      <c r="Q80" s="27" t="n"/>
      <c r="R80" s="27" t="str">
        <f>IF($Y80="","",INDEX(Import_Staging!$N$2:$N$301,$Y80))</f>
        <v/>
      </c>
      <c r="S80" s="70" t="str">
        <f>IF($Y80="","",0)</f>
        <v/>
      </c>
      <c r="T80" s="24" t="str">
        <f>IF($Y80="","",INDEX(Import_Staging!$I$2:$I$301,$Y80)&amp;"")</f>
        <v/>
      </c>
      <c r="U80" s="24" t="n"/>
      <c r="V80" s="24" t="str">
        <f>IF($Y80="","","Received "&amp;TEXT(INDEX(Import_Staging!$M$2:$M$301,$Y80),"yyyy-mm-dd")&amp;" (CSV row "&amp;($Y80+1)&amp;")")</f>
        <v/>
      </c>
      <c r="X80" t="str">
        <f>IFERROR(MATCH(75,Import_Staging!$BT$2:$BT$301,0),"")</f>
        <v/>
      </c>
      <c r="Y80" t="str">
        <f>IFERROR(MATCH(75,Import_Staging!$BV$2:$BV$301,0),"")</f>
        <v/>
      </c>
    </row>
    <row r="81">
      <c r="A81" s="24" t="str">
        <f>IF($X81="","",INDEX(Import_Staging!$A$2:$A$301,$X81)&amp;"")</f>
        <v/>
      </c>
      <c r="B81" s="27" t="str">
        <f>IF($X81="","",INDEX(Import_Staging!$M$2:$M$301,$X81))</f>
        <v/>
      </c>
      <c r="C81" s="24" t="str">
        <f>IF($X81="","",INDEX(Import_Staging!$C$2:$C$301,$X81)&amp;"")</f>
        <v/>
      </c>
      <c r="D81" s="24" t="str">
        <f>IF($X81="","",INDEX(Import_Staging!$D$2:$D$301,$X81)&amp;"")</f>
        <v/>
      </c>
      <c r="E81" s="69" t="str">
        <f>IF($X81="","",INDEX(Import_Staging!$O$2:$O$301,$X81))</f>
        <v/>
      </c>
      <c r="F81" s="24" t="str">
        <f>IF($X81="","",INDEX(Import_Staging!$F$2:$F$301,$X81)&amp;"")</f>
        <v/>
      </c>
      <c r="G81" s="24" t="str">
        <f>IF($X81="","",INDEX(Import_Staging!$J$2:$J$301,$X81)&amp;"")</f>
        <v/>
      </c>
      <c r="H81" s="24" t="str">
        <f>IF($X81="","",INDEX(Import_Staging!$K$2:$K$301,$X81)&amp;"")</f>
        <v/>
      </c>
      <c r="I81" s="24" t="str">
        <f>IF($X81="","",INDEX(Import_Staging!$L$2:$L$301,$X81)&amp;"")</f>
        <v/>
      </c>
      <c r="J81" s="24" t="str">
        <f>IF($X81="","","3PL import")</f>
        <v/>
      </c>
      <c r="K81" s="24" t="str">
        <f>IF($X81="","",Config!$B$11)</f>
        <v/>
      </c>
      <c r="L81" s="24" t="str">
        <f>IF($X81="","","CSV row "&amp;($X81+1))</f>
        <v/>
      </c>
      <c r="N81" s="24" t="str">
        <f>IF($Y81="","",INDEX(Import_Staging!$F$2:$F$301,$Y81)&amp;"")</f>
        <v/>
      </c>
      <c r="O81" s="24" t="str">
        <f>IF($Y81="","",INDEX(Import_Staging!$D$2:$D$301,$Y81)&amp;"")</f>
        <v/>
      </c>
      <c r="P81" s="24" t="str">
        <f>IF($Y81="","",INDEX(Import_Staging!$E$2:$E$301,$Y81)&amp;"")</f>
        <v/>
      </c>
      <c r="Q81" s="27" t="n"/>
      <c r="R81" s="27" t="str">
        <f>IF($Y81="","",INDEX(Import_Staging!$N$2:$N$301,$Y81))</f>
        <v/>
      </c>
      <c r="S81" s="70" t="str">
        <f>IF($Y81="","",0)</f>
        <v/>
      </c>
      <c r="T81" s="24" t="str">
        <f>IF($Y81="","",INDEX(Import_Staging!$I$2:$I$301,$Y81)&amp;"")</f>
        <v/>
      </c>
      <c r="U81" s="24" t="n"/>
      <c r="V81" s="24" t="str">
        <f>IF($Y81="","","Received "&amp;TEXT(INDEX(Import_Staging!$M$2:$M$301,$Y81),"yyyy-mm-dd")&amp;" (CSV row "&amp;($Y81+1)&amp;")")</f>
        <v/>
      </c>
      <c r="X81" t="str">
        <f>IFERROR(MATCH(76,Import_Staging!$BT$2:$BT$301,0),"")</f>
        <v/>
      </c>
      <c r="Y81" t="str">
        <f>IFERROR(MATCH(76,Import_Staging!$BV$2:$BV$301,0),"")</f>
        <v/>
      </c>
    </row>
    <row r="82">
      <c r="A82" s="24" t="str">
        <f>IF($X82="","",INDEX(Import_Staging!$A$2:$A$301,$X82)&amp;"")</f>
        <v/>
      </c>
      <c r="B82" s="27" t="str">
        <f>IF($X82="","",INDEX(Import_Staging!$M$2:$M$301,$X82))</f>
        <v/>
      </c>
      <c r="C82" s="24" t="str">
        <f>IF($X82="","",INDEX(Import_Staging!$C$2:$C$301,$X82)&amp;"")</f>
        <v/>
      </c>
      <c r="D82" s="24" t="str">
        <f>IF($X82="","",INDEX(Import_Staging!$D$2:$D$301,$X82)&amp;"")</f>
        <v/>
      </c>
      <c r="E82" s="69" t="str">
        <f>IF($X82="","",INDEX(Import_Staging!$O$2:$O$301,$X82))</f>
        <v/>
      </c>
      <c r="F82" s="24" t="str">
        <f>IF($X82="","",INDEX(Import_Staging!$F$2:$F$301,$X82)&amp;"")</f>
        <v/>
      </c>
      <c r="G82" s="24" t="str">
        <f>IF($X82="","",INDEX(Import_Staging!$J$2:$J$301,$X82)&amp;"")</f>
        <v/>
      </c>
      <c r="H82" s="24" t="str">
        <f>IF($X82="","",INDEX(Import_Staging!$K$2:$K$301,$X82)&amp;"")</f>
        <v/>
      </c>
      <c r="I82" s="24" t="str">
        <f>IF($X82="","",INDEX(Import_Staging!$L$2:$L$301,$X82)&amp;"")</f>
        <v/>
      </c>
      <c r="J82" s="24" t="str">
        <f>IF($X82="","","3PL import")</f>
        <v/>
      </c>
      <c r="K82" s="24" t="str">
        <f>IF($X82="","",Config!$B$11)</f>
        <v/>
      </c>
      <c r="L82" s="24" t="str">
        <f>IF($X82="","","CSV row "&amp;($X82+1))</f>
        <v/>
      </c>
      <c r="N82" s="24" t="str">
        <f>IF($Y82="","",INDEX(Import_Staging!$F$2:$F$301,$Y82)&amp;"")</f>
        <v/>
      </c>
      <c r="O82" s="24" t="str">
        <f>IF($Y82="","",INDEX(Import_Staging!$D$2:$D$301,$Y82)&amp;"")</f>
        <v/>
      </c>
      <c r="P82" s="24" t="str">
        <f>IF($Y82="","",INDEX(Import_Staging!$E$2:$E$301,$Y82)&amp;"")</f>
        <v/>
      </c>
      <c r="Q82" s="27" t="n"/>
      <c r="R82" s="27" t="str">
        <f>IF($Y82="","",INDEX(Import_Staging!$N$2:$N$301,$Y82))</f>
        <v/>
      </c>
      <c r="S82" s="70" t="str">
        <f>IF($Y82="","",0)</f>
        <v/>
      </c>
      <c r="T82" s="24" t="str">
        <f>IF($Y82="","",INDEX(Import_Staging!$I$2:$I$301,$Y82)&amp;"")</f>
        <v/>
      </c>
      <c r="U82" s="24" t="n"/>
      <c r="V82" s="24" t="str">
        <f>IF($Y82="","","Received "&amp;TEXT(INDEX(Import_Staging!$M$2:$M$301,$Y82),"yyyy-mm-dd")&amp;" (CSV row "&amp;($Y82+1)&amp;")")</f>
        <v/>
      </c>
      <c r="X82" t="str">
        <f>IFERROR(MATCH(77,Import_Staging!$BT$2:$BT$301,0),"")</f>
        <v/>
      </c>
      <c r="Y82" t="str">
        <f>IFERROR(MATCH(77,Import_Staging!$BV$2:$BV$301,0),"")</f>
        <v/>
      </c>
    </row>
    <row r="83">
      <c r="A83" s="24" t="str">
        <f>IF($X83="","",INDEX(Import_Staging!$A$2:$A$301,$X83)&amp;"")</f>
        <v/>
      </c>
      <c r="B83" s="27" t="str">
        <f>IF($X83="","",INDEX(Import_Staging!$M$2:$M$301,$X83))</f>
        <v/>
      </c>
      <c r="C83" s="24" t="str">
        <f>IF($X83="","",INDEX(Import_Staging!$C$2:$C$301,$X83)&amp;"")</f>
        <v/>
      </c>
      <c r="D83" s="24" t="str">
        <f>IF($X83="","",INDEX(Import_Staging!$D$2:$D$301,$X83)&amp;"")</f>
        <v/>
      </c>
      <c r="E83" s="69" t="str">
        <f>IF($X83="","",INDEX(Import_Staging!$O$2:$O$301,$X83))</f>
        <v/>
      </c>
      <c r="F83" s="24" t="str">
        <f>IF($X83="","",INDEX(Import_Staging!$F$2:$F$301,$X83)&amp;"")</f>
        <v/>
      </c>
      <c r="G83" s="24" t="str">
        <f>IF($X83="","",INDEX(Import_Staging!$J$2:$J$301,$X83)&amp;"")</f>
        <v/>
      </c>
      <c r="H83" s="24" t="str">
        <f>IF($X83="","",INDEX(Import_Staging!$K$2:$K$301,$X83)&amp;"")</f>
        <v/>
      </c>
      <c r="I83" s="24" t="str">
        <f>IF($X83="","",INDEX(Import_Staging!$L$2:$L$301,$X83)&amp;"")</f>
        <v/>
      </c>
      <c r="J83" s="24" t="str">
        <f>IF($X83="","","3PL import")</f>
        <v/>
      </c>
      <c r="K83" s="24" t="str">
        <f>IF($X83="","",Config!$B$11)</f>
        <v/>
      </c>
      <c r="L83" s="24" t="str">
        <f>IF($X83="","","CSV row "&amp;($X83+1))</f>
        <v/>
      </c>
      <c r="N83" s="24" t="str">
        <f>IF($Y83="","",INDEX(Import_Staging!$F$2:$F$301,$Y83)&amp;"")</f>
        <v/>
      </c>
      <c r="O83" s="24" t="str">
        <f>IF($Y83="","",INDEX(Import_Staging!$D$2:$D$301,$Y83)&amp;"")</f>
        <v/>
      </c>
      <c r="P83" s="24" t="str">
        <f>IF($Y83="","",INDEX(Import_Staging!$E$2:$E$301,$Y83)&amp;"")</f>
        <v/>
      </c>
      <c r="Q83" s="27" t="n"/>
      <c r="R83" s="27" t="str">
        <f>IF($Y83="","",INDEX(Import_Staging!$N$2:$N$301,$Y83))</f>
        <v/>
      </c>
      <c r="S83" s="70" t="str">
        <f>IF($Y83="","",0)</f>
        <v/>
      </c>
      <c r="T83" s="24" t="str">
        <f>IF($Y83="","",INDEX(Import_Staging!$I$2:$I$301,$Y83)&amp;"")</f>
        <v/>
      </c>
      <c r="U83" s="24" t="n"/>
      <c r="V83" s="24" t="str">
        <f>IF($Y83="","","Received "&amp;TEXT(INDEX(Import_Staging!$M$2:$M$301,$Y83),"yyyy-mm-dd")&amp;" (CSV row "&amp;($Y83+1)&amp;")")</f>
        <v/>
      </c>
      <c r="X83" t="str">
        <f>IFERROR(MATCH(78,Import_Staging!$BT$2:$BT$301,0),"")</f>
        <v/>
      </c>
      <c r="Y83" t="str">
        <f>IFERROR(MATCH(78,Import_Staging!$BV$2:$BV$301,0),"")</f>
        <v/>
      </c>
    </row>
    <row r="84">
      <c r="A84" s="24" t="str">
        <f>IF($X84="","",INDEX(Import_Staging!$A$2:$A$301,$X84)&amp;"")</f>
        <v/>
      </c>
      <c r="B84" s="27" t="str">
        <f>IF($X84="","",INDEX(Import_Staging!$M$2:$M$301,$X84))</f>
        <v/>
      </c>
      <c r="C84" s="24" t="str">
        <f>IF($X84="","",INDEX(Import_Staging!$C$2:$C$301,$X84)&amp;"")</f>
        <v/>
      </c>
      <c r="D84" s="24" t="str">
        <f>IF($X84="","",INDEX(Import_Staging!$D$2:$D$301,$X84)&amp;"")</f>
        <v/>
      </c>
      <c r="E84" s="69" t="str">
        <f>IF($X84="","",INDEX(Import_Staging!$O$2:$O$301,$X84))</f>
        <v/>
      </c>
      <c r="F84" s="24" t="str">
        <f>IF($X84="","",INDEX(Import_Staging!$F$2:$F$301,$X84)&amp;"")</f>
        <v/>
      </c>
      <c r="G84" s="24" t="str">
        <f>IF($X84="","",INDEX(Import_Staging!$J$2:$J$301,$X84)&amp;"")</f>
        <v/>
      </c>
      <c r="H84" s="24" t="str">
        <f>IF($X84="","",INDEX(Import_Staging!$K$2:$K$301,$X84)&amp;"")</f>
        <v/>
      </c>
      <c r="I84" s="24" t="str">
        <f>IF($X84="","",INDEX(Import_Staging!$L$2:$L$301,$X84)&amp;"")</f>
        <v/>
      </c>
      <c r="J84" s="24" t="str">
        <f>IF($X84="","","3PL import")</f>
        <v/>
      </c>
      <c r="K84" s="24" t="str">
        <f>IF($X84="","",Config!$B$11)</f>
        <v/>
      </c>
      <c r="L84" s="24" t="str">
        <f>IF($X84="","","CSV row "&amp;($X84+1))</f>
        <v/>
      </c>
      <c r="N84" s="24" t="str">
        <f>IF($Y84="","",INDEX(Import_Staging!$F$2:$F$301,$Y84)&amp;"")</f>
        <v/>
      </c>
      <c r="O84" s="24" t="str">
        <f>IF($Y84="","",INDEX(Import_Staging!$D$2:$D$301,$Y84)&amp;"")</f>
        <v/>
      </c>
      <c r="P84" s="24" t="str">
        <f>IF($Y84="","",INDEX(Import_Staging!$E$2:$E$301,$Y84)&amp;"")</f>
        <v/>
      </c>
      <c r="Q84" s="27" t="n"/>
      <c r="R84" s="27" t="str">
        <f>IF($Y84="","",INDEX(Import_Staging!$N$2:$N$301,$Y84))</f>
        <v/>
      </c>
      <c r="S84" s="70" t="str">
        <f>IF($Y84="","",0)</f>
        <v/>
      </c>
      <c r="T84" s="24" t="str">
        <f>IF($Y84="","",INDEX(Import_Staging!$I$2:$I$301,$Y84)&amp;"")</f>
        <v/>
      </c>
      <c r="U84" s="24" t="n"/>
      <c r="V84" s="24" t="str">
        <f>IF($Y84="","","Received "&amp;TEXT(INDEX(Import_Staging!$M$2:$M$301,$Y84),"yyyy-mm-dd")&amp;" (CSV row "&amp;($Y84+1)&amp;")")</f>
        <v/>
      </c>
      <c r="X84" t="str">
        <f>IFERROR(MATCH(79,Import_Staging!$BT$2:$BT$301,0),"")</f>
        <v/>
      </c>
      <c r="Y84" t="str">
        <f>IFERROR(MATCH(79,Import_Staging!$BV$2:$BV$301,0),"")</f>
        <v/>
      </c>
    </row>
    <row r="85">
      <c r="A85" s="24" t="str">
        <f>IF($X85="","",INDEX(Import_Staging!$A$2:$A$301,$X85)&amp;"")</f>
        <v/>
      </c>
      <c r="B85" s="27" t="str">
        <f>IF($X85="","",INDEX(Import_Staging!$M$2:$M$301,$X85))</f>
        <v/>
      </c>
      <c r="C85" s="24" t="str">
        <f>IF($X85="","",INDEX(Import_Staging!$C$2:$C$301,$X85)&amp;"")</f>
        <v/>
      </c>
      <c r="D85" s="24" t="str">
        <f>IF($X85="","",INDEX(Import_Staging!$D$2:$D$301,$X85)&amp;"")</f>
        <v/>
      </c>
      <c r="E85" s="69" t="str">
        <f>IF($X85="","",INDEX(Import_Staging!$O$2:$O$301,$X85))</f>
        <v/>
      </c>
      <c r="F85" s="24" t="str">
        <f>IF($X85="","",INDEX(Import_Staging!$F$2:$F$301,$X85)&amp;"")</f>
        <v/>
      </c>
      <c r="G85" s="24" t="str">
        <f>IF($X85="","",INDEX(Import_Staging!$J$2:$J$301,$X85)&amp;"")</f>
        <v/>
      </c>
      <c r="H85" s="24" t="str">
        <f>IF($X85="","",INDEX(Import_Staging!$K$2:$K$301,$X85)&amp;"")</f>
        <v/>
      </c>
      <c r="I85" s="24" t="str">
        <f>IF($X85="","",INDEX(Import_Staging!$L$2:$L$301,$X85)&amp;"")</f>
        <v/>
      </c>
      <c r="J85" s="24" t="str">
        <f>IF($X85="","","3PL import")</f>
        <v/>
      </c>
      <c r="K85" s="24" t="str">
        <f>IF($X85="","",Config!$B$11)</f>
        <v/>
      </c>
      <c r="L85" s="24" t="str">
        <f>IF($X85="","","CSV row "&amp;($X85+1))</f>
        <v/>
      </c>
      <c r="N85" s="24" t="str">
        <f>IF($Y85="","",INDEX(Import_Staging!$F$2:$F$301,$Y85)&amp;"")</f>
        <v/>
      </c>
      <c r="O85" s="24" t="str">
        <f>IF($Y85="","",INDEX(Import_Staging!$D$2:$D$301,$Y85)&amp;"")</f>
        <v/>
      </c>
      <c r="P85" s="24" t="str">
        <f>IF($Y85="","",INDEX(Import_Staging!$E$2:$E$301,$Y85)&amp;"")</f>
        <v/>
      </c>
      <c r="Q85" s="27" t="n"/>
      <c r="R85" s="27" t="str">
        <f>IF($Y85="","",INDEX(Import_Staging!$N$2:$N$301,$Y85))</f>
        <v/>
      </c>
      <c r="S85" s="70" t="str">
        <f>IF($Y85="","",0)</f>
        <v/>
      </c>
      <c r="T85" s="24" t="str">
        <f>IF($Y85="","",INDEX(Import_Staging!$I$2:$I$301,$Y85)&amp;"")</f>
        <v/>
      </c>
      <c r="U85" s="24" t="n"/>
      <c r="V85" s="24" t="str">
        <f>IF($Y85="","","Received "&amp;TEXT(INDEX(Import_Staging!$M$2:$M$301,$Y85),"yyyy-mm-dd")&amp;" (CSV row "&amp;($Y85+1)&amp;")")</f>
        <v/>
      </c>
      <c r="X85" t="str">
        <f>IFERROR(MATCH(80,Import_Staging!$BT$2:$BT$301,0),"")</f>
        <v/>
      </c>
      <c r="Y85" t="str">
        <f>IFERROR(MATCH(80,Import_Staging!$BV$2:$BV$301,0),"")</f>
        <v/>
      </c>
    </row>
    <row r="86">
      <c r="A86" s="24" t="str">
        <f>IF($X86="","",INDEX(Import_Staging!$A$2:$A$301,$X86)&amp;"")</f>
        <v/>
      </c>
      <c r="B86" s="27" t="str">
        <f>IF($X86="","",INDEX(Import_Staging!$M$2:$M$301,$X86))</f>
        <v/>
      </c>
      <c r="C86" s="24" t="str">
        <f>IF($X86="","",INDEX(Import_Staging!$C$2:$C$301,$X86)&amp;"")</f>
        <v/>
      </c>
      <c r="D86" s="24" t="str">
        <f>IF($X86="","",INDEX(Import_Staging!$D$2:$D$301,$X86)&amp;"")</f>
        <v/>
      </c>
      <c r="E86" s="69" t="str">
        <f>IF($X86="","",INDEX(Import_Staging!$O$2:$O$301,$X86))</f>
        <v/>
      </c>
      <c r="F86" s="24" t="str">
        <f>IF($X86="","",INDEX(Import_Staging!$F$2:$F$301,$X86)&amp;"")</f>
        <v/>
      </c>
      <c r="G86" s="24" t="str">
        <f>IF($X86="","",INDEX(Import_Staging!$J$2:$J$301,$X86)&amp;"")</f>
        <v/>
      </c>
      <c r="H86" s="24" t="str">
        <f>IF($X86="","",INDEX(Import_Staging!$K$2:$K$301,$X86)&amp;"")</f>
        <v/>
      </c>
      <c r="I86" s="24" t="str">
        <f>IF($X86="","",INDEX(Import_Staging!$L$2:$L$301,$X86)&amp;"")</f>
        <v/>
      </c>
      <c r="J86" s="24" t="str">
        <f>IF($X86="","","3PL import")</f>
        <v/>
      </c>
      <c r="K86" s="24" t="str">
        <f>IF($X86="","",Config!$B$11)</f>
        <v/>
      </c>
      <c r="L86" s="24" t="str">
        <f>IF($X86="","","CSV row "&amp;($X86+1))</f>
        <v/>
      </c>
      <c r="N86" s="24" t="str">
        <f>IF($Y86="","",INDEX(Import_Staging!$F$2:$F$301,$Y86)&amp;"")</f>
        <v/>
      </c>
      <c r="O86" s="24" t="str">
        <f>IF($Y86="","",INDEX(Import_Staging!$D$2:$D$301,$Y86)&amp;"")</f>
        <v/>
      </c>
      <c r="P86" s="24" t="str">
        <f>IF($Y86="","",INDEX(Import_Staging!$E$2:$E$301,$Y86)&amp;"")</f>
        <v/>
      </c>
      <c r="Q86" s="27" t="n"/>
      <c r="R86" s="27" t="str">
        <f>IF($Y86="","",INDEX(Import_Staging!$N$2:$N$301,$Y86))</f>
        <v/>
      </c>
      <c r="S86" s="70" t="str">
        <f>IF($Y86="","",0)</f>
        <v/>
      </c>
      <c r="T86" s="24" t="str">
        <f>IF($Y86="","",INDEX(Import_Staging!$I$2:$I$301,$Y86)&amp;"")</f>
        <v/>
      </c>
      <c r="U86" s="24" t="n"/>
      <c r="V86" s="24" t="str">
        <f>IF($Y86="","","Received "&amp;TEXT(INDEX(Import_Staging!$M$2:$M$301,$Y86),"yyyy-mm-dd")&amp;" (CSV row "&amp;($Y86+1)&amp;")")</f>
        <v/>
      </c>
      <c r="X86" t="str">
        <f>IFERROR(MATCH(81,Import_Staging!$BT$2:$BT$301,0),"")</f>
        <v/>
      </c>
      <c r="Y86" t="str">
        <f>IFERROR(MATCH(81,Import_Staging!$BV$2:$BV$301,0),"")</f>
        <v/>
      </c>
    </row>
    <row r="87">
      <c r="A87" s="24" t="str">
        <f>IF($X87="","",INDEX(Import_Staging!$A$2:$A$301,$X87)&amp;"")</f>
        <v/>
      </c>
      <c r="B87" s="27" t="str">
        <f>IF($X87="","",INDEX(Import_Staging!$M$2:$M$301,$X87))</f>
        <v/>
      </c>
      <c r="C87" s="24" t="str">
        <f>IF($X87="","",INDEX(Import_Staging!$C$2:$C$301,$X87)&amp;"")</f>
        <v/>
      </c>
      <c r="D87" s="24" t="str">
        <f>IF($X87="","",INDEX(Import_Staging!$D$2:$D$301,$X87)&amp;"")</f>
        <v/>
      </c>
      <c r="E87" s="69" t="str">
        <f>IF($X87="","",INDEX(Import_Staging!$O$2:$O$301,$X87))</f>
        <v/>
      </c>
      <c r="F87" s="24" t="str">
        <f>IF($X87="","",INDEX(Import_Staging!$F$2:$F$301,$X87)&amp;"")</f>
        <v/>
      </c>
      <c r="G87" s="24" t="str">
        <f>IF($X87="","",INDEX(Import_Staging!$J$2:$J$301,$X87)&amp;"")</f>
        <v/>
      </c>
      <c r="H87" s="24" t="str">
        <f>IF($X87="","",INDEX(Import_Staging!$K$2:$K$301,$X87)&amp;"")</f>
        <v/>
      </c>
      <c r="I87" s="24" t="str">
        <f>IF($X87="","",INDEX(Import_Staging!$L$2:$L$301,$X87)&amp;"")</f>
        <v/>
      </c>
      <c r="J87" s="24" t="str">
        <f>IF($X87="","","3PL import")</f>
        <v/>
      </c>
      <c r="K87" s="24" t="str">
        <f>IF($X87="","",Config!$B$11)</f>
        <v/>
      </c>
      <c r="L87" s="24" t="str">
        <f>IF($X87="","","CSV row "&amp;($X87+1))</f>
        <v/>
      </c>
      <c r="N87" s="24" t="str">
        <f>IF($Y87="","",INDEX(Import_Staging!$F$2:$F$301,$Y87)&amp;"")</f>
        <v/>
      </c>
      <c r="O87" s="24" t="str">
        <f>IF($Y87="","",INDEX(Import_Staging!$D$2:$D$301,$Y87)&amp;"")</f>
        <v/>
      </c>
      <c r="P87" s="24" t="str">
        <f>IF($Y87="","",INDEX(Import_Staging!$E$2:$E$301,$Y87)&amp;"")</f>
        <v/>
      </c>
      <c r="Q87" s="27" t="n"/>
      <c r="R87" s="27" t="str">
        <f>IF($Y87="","",INDEX(Import_Staging!$N$2:$N$301,$Y87))</f>
        <v/>
      </c>
      <c r="S87" s="70" t="str">
        <f>IF($Y87="","",0)</f>
        <v/>
      </c>
      <c r="T87" s="24" t="str">
        <f>IF($Y87="","",INDEX(Import_Staging!$I$2:$I$301,$Y87)&amp;"")</f>
        <v/>
      </c>
      <c r="U87" s="24" t="n"/>
      <c r="V87" s="24" t="str">
        <f>IF($Y87="","","Received "&amp;TEXT(INDEX(Import_Staging!$M$2:$M$301,$Y87),"yyyy-mm-dd")&amp;" (CSV row "&amp;($Y87+1)&amp;")")</f>
        <v/>
      </c>
      <c r="X87" t="str">
        <f>IFERROR(MATCH(82,Import_Staging!$BT$2:$BT$301,0),"")</f>
        <v/>
      </c>
      <c r="Y87" t="str">
        <f>IFERROR(MATCH(82,Import_Staging!$BV$2:$BV$301,0),"")</f>
        <v/>
      </c>
    </row>
    <row r="88">
      <c r="A88" s="24" t="str">
        <f>IF($X88="","",INDEX(Import_Staging!$A$2:$A$301,$X88)&amp;"")</f>
        <v/>
      </c>
      <c r="B88" s="27" t="str">
        <f>IF($X88="","",INDEX(Import_Staging!$M$2:$M$301,$X88))</f>
        <v/>
      </c>
      <c r="C88" s="24" t="str">
        <f>IF($X88="","",INDEX(Import_Staging!$C$2:$C$301,$X88)&amp;"")</f>
        <v/>
      </c>
      <c r="D88" s="24" t="str">
        <f>IF($X88="","",INDEX(Import_Staging!$D$2:$D$301,$X88)&amp;"")</f>
        <v/>
      </c>
      <c r="E88" s="69" t="str">
        <f>IF($X88="","",INDEX(Import_Staging!$O$2:$O$301,$X88))</f>
        <v/>
      </c>
      <c r="F88" s="24" t="str">
        <f>IF($X88="","",INDEX(Import_Staging!$F$2:$F$301,$X88)&amp;"")</f>
        <v/>
      </c>
      <c r="G88" s="24" t="str">
        <f>IF($X88="","",INDEX(Import_Staging!$J$2:$J$301,$X88)&amp;"")</f>
        <v/>
      </c>
      <c r="H88" s="24" t="str">
        <f>IF($X88="","",INDEX(Import_Staging!$K$2:$K$301,$X88)&amp;"")</f>
        <v/>
      </c>
      <c r="I88" s="24" t="str">
        <f>IF($X88="","",INDEX(Import_Staging!$L$2:$L$301,$X88)&amp;"")</f>
        <v/>
      </c>
      <c r="J88" s="24" t="str">
        <f>IF($X88="","","3PL import")</f>
        <v/>
      </c>
      <c r="K88" s="24" t="str">
        <f>IF($X88="","",Config!$B$11)</f>
        <v/>
      </c>
      <c r="L88" s="24" t="str">
        <f>IF($X88="","","CSV row "&amp;($X88+1))</f>
        <v/>
      </c>
      <c r="N88" s="24" t="str">
        <f>IF($Y88="","",INDEX(Import_Staging!$F$2:$F$301,$Y88)&amp;"")</f>
        <v/>
      </c>
      <c r="O88" s="24" t="str">
        <f>IF($Y88="","",INDEX(Import_Staging!$D$2:$D$301,$Y88)&amp;"")</f>
        <v/>
      </c>
      <c r="P88" s="24" t="str">
        <f>IF($Y88="","",INDEX(Import_Staging!$E$2:$E$301,$Y88)&amp;"")</f>
        <v/>
      </c>
      <c r="Q88" s="27" t="n"/>
      <c r="R88" s="27" t="str">
        <f>IF($Y88="","",INDEX(Import_Staging!$N$2:$N$301,$Y88))</f>
        <v/>
      </c>
      <c r="S88" s="70" t="str">
        <f>IF($Y88="","",0)</f>
        <v/>
      </c>
      <c r="T88" s="24" t="str">
        <f>IF($Y88="","",INDEX(Import_Staging!$I$2:$I$301,$Y88)&amp;"")</f>
        <v/>
      </c>
      <c r="U88" s="24" t="n"/>
      <c r="V88" s="24" t="str">
        <f>IF($Y88="","","Received "&amp;TEXT(INDEX(Import_Staging!$M$2:$M$301,$Y88),"yyyy-mm-dd")&amp;" (CSV row "&amp;($Y88+1)&amp;")")</f>
        <v/>
      </c>
      <c r="X88" t="str">
        <f>IFERROR(MATCH(83,Import_Staging!$BT$2:$BT$301,0),"")</f>
        <v/>
      </c>
      <c r="Y88" t="str">
        <f>IFERROR(MATCH(83,Import_Staging!$BV$2:$BV$301,0),"")</f>
        <v/>
      </c>
    </row>
    <row r="89">
      <c r="A89" s="24" t="str">
        <f>IF($X89="","",INDEX(Import_Staging!$A$2:$A$301,$X89)&amp;"")</f>
        <v/>
      </c>
      <c r="B89" s="27" t="str">
        <f>IF($X89="","",INDEX(Import_Staging!$M$2:$M$301,$X89))</f>
        <v/>
      </c>
      <c r="C89" s="24" t="str">
        <f>IF($X89="","",INDEX(Import_Staging!$C$2:$C$301,$X89)&amp;"")</f>
        <v/>
      </c>
      <c r="D89" s="24" t="str">
        <f>IF($X89="","",INDEX(Import_Staging!$D$2:$D$301,$X89)&amp;"")</f>
        <v/>
      </c>
      <c r="E89" s="69" t="str">
        <f>IF($X89="","",INDEX(Import_Staging!$O$2:$O$301,$X89))</f>
        <v/>
      </c>
      <c r="F89" s="24" t="str">
        <f>IF($X89="","",INDEX(Import_Staging!$F$2:$F$301,$X89)&amp;"")</f>
        <v/>
      </c>
      <c r="G89" s="24" t="str">
        <f>IF($X89="","",INDEX(Import_Staging!$J$2:$J$301,$X89)&amp;"")</f>
        <v/>
      </c>
      <c r="H89" s="24" t="str">
        <f>IF($X89="","",INDEX(Import_Staging!$K$2:$K$301,$X89)&amp;"")</f>
        <v/>
      </c>
      <c r="I89" s="24" t="str">
        <f>IF($X89="","",INDEX(Import_Staging!$L$2:$L$301,$X89)&amp;"")</f>
        <v/>
      </c>
      <c r="J89" s="24" t="str">
        <f>IF($X89="","","3PL import")</f>
        <v/>
      </c>
      <c r="K89" s="24" t="str">
        <f>IF($X89="","",Config!$B$11)</f>
        <v/>
      </c>
      <c r="L89" s="24" t="str">
        <f>IF($X89="","","CSV row "&amp;($X89+1))</f>
        <v/>
      </c>
      <c r="N89" s="24" t="str">
        <f>IF($Y89="","",INDEX(Import_Staging!$F$2:$F$301,$Y89)&amp;"")</f>
        <v/>
      </c>
      <c r="O89" s="24" t="str">
        <f>IF($Y89="","",INDEX(Import_Staging!$D$2:$D$301,$Y89)&amp;"")</f>
        <v/>
      </c>
      <c r="P89" s="24" t="str">
        <f>IF($Y89="","",INDEX(Import_Staging!$E$2:$E$301,$Y89)&amp;"")</f>
        <v/>
      </c>
      <c r="Q89" s="27" t="n"/>
      <c r="R89" s="27" t="str">
        <f>IF($Y89="","",INDEX(Import_Staging!$N$2:$N$301,$Y89))</f>
        <v/>
      </c>
      <c r="S89" s="70" t="str">
        <f>IF($Y89="","",0)</f>
        <v/>
      </c>
      <c r="T89" s="24" t="str">
        <f>IF($Y89="","",INDEX(Import_Staging!$I$2:$I$301,$Y89)&amp;"")</f>
        <v/>
      </c>
      <c r="U89" s="24" t="n"/>
      <c r="V89" s="24" t="str">
        <f>IF($Y89="","","Received "&amp;TEXT(INDEX(Import_Staging!$M$2:$M$301,$Y89),"yyyy-mm-dd")&amp;" (CSV row "&amp;($Y89+1)&amp;")")</f>
        <v/>
      </c>
      <c r="X89" t="str">
        <f>IFERROR(MATCH(84,Import_Staging!$BT$2:$BT$301,0),"")</f>
        <v/>
      </c>
      <c r="Y89" t="str">
        <f>IFERROR(MATCH(84,Import_Staging!$BV$2:$BV$301,0),"")</f>
        <v/>
      </c>
    </row>
    <row r="90">
      <c r="A90" s="24" t="str">
        <f>IF($X90="","",INDEX(Import_Staging!$A$2:$A$301,$X90)&amp;"")</f>
        <v/>
      </c>
      <c r="B90" s="27" t="str">
        <f>IF($X90="","",INDEX(Import_Staging!$M$2:$M$301,$X90))</f>
        <v/>
      </c>
      <c r="C90" s="24" t="str">
        <f>IF($X90="","",INDEX(Import_Staging!$C$2:$C$301,$X90)&amp;"")</f>
        <v/>
      </c>
      <c r="D90" s="24" t="str">
        <f>IF($X90="","",INDEX(Import_Staging!$D$2:$D$301,$X90)&amp;"")</f>
        <v/>
      </c>
      <c r="E90" s="69" t="str">
        <f>IF($X90="","",INDEX(Import_Staging!$O$2:$O$301,$X90))</f>
        <v/>
      </c>
      <c r="F90" s="24" t="str">
        <f>IF($X90="","",INDEX(Import_Staging!$F$2:$F$301,$X90)&amp;"")</f>
        <v/>
      </c>
      <c r="G90" s="24" t="str">
        <f>IF($X90="","",INDEX(Import_Staging!$J$2:$J$301,$X90)&amp;"")</f>
        <v/>
      </c>
      <c r="H90" s="24" t="str">
        <f>IF($X90="","",INDEX(Import_Staging!$K$2:$K$301,$X90)&amp;"")</f>
        <v/>
      </c>
      <c r="I90" s="24" t="str">
        <f>IF($X90="","",INDEX(Import_Staging!$L$2:$L$301,$X90)&amp;"")</f>
        <v/>
      </c>
      <c r="J90" s="24" t="str">
        <f>IF($X90="","","3PL import")</f>
        <v/>
      </c>
      <c r="K90" s="24" t="str">
        <f>IF($X90="","",Config!$B$11)</f>
        <v/>
      </c>
      <c r="L90" s="24" t="str">
        <f>IF($X90="","","CSV row "&amp;($X90+1))</f>
        <v/>
      </c>
      <c r="N90" s="24" t="str">
        <f>IF($Y90="","",INDEX(Import_Staging!$F$2:$F$301,$Y90)&amp;"")</f>
        <v/>
      </c>
      <c r="O90" s="24" t="str">
        <f>IF($Y90="","",INDEX(Import_Staging!$D$2:$D$301,$Y90)&amp;"")</f>
        <v/>
      </c>
      <c r="P90" s="24" t="str">
        <f>IF($Y90="","",INDEX(Import_Staging!$E$2:$E$301,$Y90)&amp;"")</f>
        <v/>
      </c>
      <c r="Q90" s="27" t="n"/>
      <c r="R90" s="27" t="str">
        <f>IF($Y90="","",INDEX(Import_Staging!$N$2:$N$301,$Y90))</f>
        <v/>
      </c>
      <c r="S90" s="70" t="str">
        <f>IF($Y90="","",0)</f>
        <v/>
      </c>
      <c r="T90" s="24" t="str">
        <f>IF($Y90="","",INDEX(Import_Staging!$I$2:$I$301,$Y90)&amp;"")</f>
        <v/>
      </c>
      <c r="U90" s="24" t="n"/>
      <c r="V90" s="24" t="str">
        <f>IF($Y90="","","Received "&amp;TEXT(INDEX(Import_Staging!$M$2:$M$301,$Y90),"yyyy-mm-dd")&amp;" (CSV row "&amp;($Y90+1)&amp;")")</f>
        <v/>
      </c>
      <c r="X90" t="str">
        <f>IFERROR(MATCH(85,Import_Staging!$BT$2:$BT$301,0),"")</f>
        <v/>
      </c>
      <c r="Y90" t="str">
        <f>IFERROR(MATCH(85,Import_Staging!$BV$2:$BV$301,0),"")</f>
        <v/>
      </c>
    </row>
    <row r="91">
      <c r="A91" s="24" t="str">
        <f>IF($X91="","",INDEX(Import_Staging!$A$2:$A$301,$X91)&amp;"")</f>
        <v/>
      </c>
      <c r="B91" s="27" t="str">
        <f>IF($X91="","",INDEX(Import_Staging!$M$2:$M$301,$X91))</f>
        <v/>
      </c>
      <c r="C91" s="24" t="str">
        <f>IF($X91="","",INDEX(Import_Staging!$C$2:$C$301,$X91)&amp;"")</f>
        <v/>
      </c>
      <c r="D91" s="24" t="str">
        <f>IF($X91="","",INDEX(Import_Staging!$D$2:$D$301,$X91)&amp;"")</f>
        <v/>
      </c>
      <c r="E91" s="69" t="str">
        <f>IF($X91="","",INDEX(Import_Staging!$O$2:$O$301,$X91))</f>
        <v/>
      </c>
      <c r="F91" s="24" t="str">
        <f>IF($X91="","",INDEX(Import_Staging!$F$2:$F$301,$X91)&amp;"")</f>
        <v/>
      </c>
      <c r="G91" s="24" t="str">
        <f>IF($X91="","",INDEX(Import_Staging!$J$2:$J$301,$X91)&amp;"")</f>
        <v/>
      </c>
      <c r="H91" s="24" t="str">
        <f>IF($X91="","",INDEX(Import_Staging!$K$2:$K$301,$X91)&amp;"")</f>
        <v/>
      </c>
      <c r="I91" s="24" t="str">
        <f>IF($X91="","",INDEX(Import_Staging!$L$2:$L$301,$X91)&amp;"")</f>
        <v/>
      </c>
      <c r="J91" s="24" t="str">
        <f>IF($X91="","","3PL import")</f>
        <v/>
      </c>
      <c r="K91" s="24" t="str">
        <f>IF($X91="","",Config!$B$11)</f>
        <v/>
      </c>
      <c r="L91" s="24" t="str">
        <f>IF($X91="","","CSV row "&amp;($X91+1))</f>
        <v/>
      </c>
      <c r="N91" s="24" t="str">
        <f>IF($Y91="","",INDEX(Import_Staging!$F$2:$F$301,$Y91)&amp;"")</f>
        <v/>
      </c>
      <c r="O91" s="24" t="str">
        <f>IF($Y91="","",INDEX(Import_Staging!$D$2:$D$301,$Y91)&amp;"")</f>
        <v/>
      </c>
      <c r="P91" s="24" t="str">
        <f>IF($Y91="","",INDEX(Import_Staging!$E$2:$E$301,$Y91)&amp;"")</f>
        <v/>
      </c>
      <c r="Q91" s="27" t="n"/>
      <c r="R91" s="27" t="str">
        <f>IF($Y91="","",INDEX(Import_Staging!$N$2:$N$301,$Y91))</f>
        <v/>
      </c>
      <c r="S91" s="70" t="str">
        <f>IF($Y91="","",0)</f>
        <v/>
      </c>
      <c r="T91" s="24" t="str">
        <f>IF($Y91="","",INDEX(Import_Staging!$I$2:$I$301,$Y91)&amp;"")</f>
        <v/>
      </c>
      <c r="U91" s="24" t="n"/>
      <c r="V91" s="24" t="str">
        <f>IF($Y91="","","Received "&amp;TEXT(INDEX(Import_Staging!$M$2:$M$301,$Y91),"yyyy-mm-dd")&amp;" (CSV row "&amp;($Y91+1)&amp;")")</f>
        <v/>
      </c>
      <c r="X91" t="str">
        <f>IFERROR(MATCH(86,Import_Staging!$BT$2:$BT$301,0),"")</f>
        <v/>
      </c>
      <c r="Y91" t="str">
        <f>IFERROR(MATCH(86,Import_Staging!$BV$2:$BV$301,0),"")</f>
        <v/>
      </c>
    </row>
    <row r="92">
      <c r="A92" s="24" t="str">
        <f>IF($X92="","",INDEX(Import_Staging!$A$2:$A$301,$X92)&amp;"")</f>
        <v/>
      </c>
      <c r="B92" s="27" t="str">
        <f>IF($X92="","",INDEX(Import_Staging!$M$2:$M$301,$X92))</f>
        <v/>
      </c>
      <c r="C92" s="24" t="str">
        <f>IF($X92="","",INDEX(Import_Staging!$C$2:$C$301,$X92)&amp;"")</f>
        <v/>
      </c>
      <c r="D92" s="24" t="str">
        <f>IF($X92="","",INDEX(Import_Staging!$D$2:$D$301,$X92)&amp;"")</f>
        <v/>
      </c>
      <c r="E92" s="69" t="str">
        <f>IF($X92="","",INDEX(Import_Staging!$O$2:$O$301,$X92))</f>
        <v/>
      </c>
      <c r="F92" s="24" t="str">
        <f>IF($X92="","",INDEX(Import_Staging!$F$2:$F$301,$X92)&amp;"")</f>
        <v/>
      </c>
      <c r="G92" s="24" t="str">
        <f>IF($X92="","",INDEX(Import_Staging!$J$2:$J$301,$X92)&amp;"")</f>
        <v/>
      </c>
      <c r="H92" s="24" t="str">
        <f>IF($X92="","",INDEX(Import_Staging!$K$2:$K$301,$X92)&amp;"")</f>
        <v/>
      </c>
      <c r="I92" s="24" t="str">
        <f>IF($X92="","",INDEX(Import_Staging!$L$2:$L$301,$X92)&amp;"")</f>
        <v/>
      </c>
      <c r="J92" s="24" t="str">
        <f>IF($X92="","","3PL import")</f>
        <v/>
      </c>
      <c r="K92" s="24" t="str">
        <f>IF($X92="","",Config!$B$11)</f>
        <v/>
      </c>
      <c r="L92" s="24" t="str">
        <f>IF($X92="","","CSV row "&amp;($X92+1))</f>
        <v/>
      </c>
      <c r="N92" s="24" t="str">
        <f>IF($Y92="","",INDEX(Import_Staging!$F$2:$F$301,$Y92)&amp;"")</f>
        <v/>
      </c>
      <c r="O92" s="24" t="str">
        <f>IF($Y92="","",INDEX(Import_Staging!$D$2:$D$301,$Y92)&amp;"")</f>
        <v/>
      </c>
      <c r="P92" s="24" t="str">
        <f>IF($Y92="","",INDEX(Import_Staging!$E$2:$E$301,$Y92)&amp;"")</f>
        <v/>
      </c>
      <c r="Q92" s="27" t="n"/>
      <c r="R92" s="27" t="str">
        <f>IF($Y92="","",INDEX(Import_Staging!$N$2:$N$301,$Y92))</f>
        <v/>
      </c>
      <c r="S92" s="70" t="str">
        <f>IF($Y92="","",0)</f>
        <v/>
      </c>
      <c r="T92" s="24" t="str">
        <f>IF($Y92="","",INDEX(Import_Staging!$I$2:$I$301,$Y92)&amp;"")</f>
        <v/>
      </c>
      <c r="U92" s="24" t="n"/>
      <c r="V92" s="24" t="str">
        <f>IF($Y92="","","Received "&amp;TEXT(INDEX(Import_Staging!$M$2:$M$301,$Y92),"yyyy-mm-dd")&amp;" (CSV row "&amp;($Y92+1)&amp;")")</f>
        <v/>
      </c>
      <c r="X92" t="str">
        <f>IFERROR(MATCH(87,Import_Staging!$BT$2:$BT$301,0),"")</f>
        <v/>
      </c>
      <c r="Y92" t="str">
        <f>IFERROR(MATCH(87,Import_Staging!$BV$2:$BV$301,0),"")</f>
        <v/>
      </c>
    </row>
    <row r="93">
      <c r="A93" s="24" t="str">
        <f>IF($X93="","",INDEX(Import_Staging!$A$2:$A$301,$X93)&amp;"")</f>
        <v/>
      </c>
      <c r="B93" s="27" t="str">
        <f>IF($X93="","",INDEX(Import_Staging!$M$2:$M$301,$X93))</f>
        <v/>
      </c>
      <c r="C93" s="24" t="str">
        <f>IF($X93="","",INDEX(Import_Staging!$C$2:$C$301,$X93)&amp;"")</f>
        <v/>
      </c>
      <c r="D93" s="24" t="str">
        <f>IF($X93="","",INDEX(Import_Staging!$D$2:$D$301,$X93)&amp;"")</f>
        <v/>
      </c>
      <c r="E93" s="69" t="str">
        <f>IF($X93="","",INDEX(Import_Staging!$O$2:$O$301,$X93))</f>
        <v/>
      </c>
      <c r="F93" s="24" t="str">
        <f>IF($X93="","",INDEX(Import_Staging!$F$2:$F$301,$X93)&amp;"")</f>
        <v/>
      </c>
      <c r="G93" s="24" t="str">
        <f>IF($X93="","",INDEX(Import_Staging!$J$2:$J$301,$X93)&amp;"")</f>
        <v/>
      </c>
      <c r="H93" s="24" t="str">
        <f>IF($X93="","",INDEX(Import_Staging!$K$2:$K$301,$X93)&amp;"")</f>
        <v/>
      </c>
      <c r="I93" s="24" t="str">
        <f>IF($X93="","",INDEX(Import_Staging!$L$2:$L$301,$X93)&amp;"")</f>
        <v/>
      </c>
      <c r="J93" s="24" t="str">
        <f>IF($X93="","","3PL import")</f>
        <v/>
      </c>
      <c r="K93" s="24" t="str">
        <f>IF($X93="","",Config!$B$11)</f>
        <v/>
      </c>
      <c r="L93" s="24" t="str">
        <f>IF($X93="","","CSV row "&amp;($X93+1))</f>
        <v/>
      </c>
      <c r="N93" s="24" t="str">
        <f>IF($Y93="","",INDEX(Import_Staging!$F$2:$F$301,$Y93)&amp;"")</f>
        <v/>
      </c>
      <c r="O93" s="24" t="str">
        <f>IF($Y93="","",INDEX(Import_Staging!$D$2:$D$301,$Y93)&amp;"")</f>
        <v/>
      </c>
      <c r="P93" s="24" t="str">
        <f>IF($Y93="","",INDEX(Import_Staging!$E$2:$E$301,$Y93)&amp;"")</f>
        <v/>
      </c>
      <c r="Q93" s="27" t="n"/>
      <c r="R93" s="27" t="str">
        <f>IF($Y93="","",INDEX(Import_Staging!$N$2:$N$301,$Y93))</f>
        <v/>
      </c>
      <c r="S93" s="70" t="str">
        <f>IF($Y93="","",0)</f>
        <v/>
      </c>
      <c r="T93" s="24" t="str">
        <f>IF($Y93="","",INDEX(Import_Staging!$I$2:$I$301,$Y93)&amp;"")</f>
        <v/>
      </c>
      <c r="U93" s="24" t="n"/>
      <c r="V93" s="24" t="str">
        <f>IF($Y93="","","Received "&amp;TEXT(INDEX(Import_Staging!$M$2:$M$301,$Y93),"yyyy-mm-dd")&amp;" (CSV row "&amp;($Y93+1)&amp;")")</f>
        <v/>
      </c>
      <c r="X93" t="str">
        <f>IFERROR(MATCH(88,Import_Staging!$BT$2:$BT$301,0),"")</f>
        <v/>
      </c>
      <c r="Y93" t="str">
        <f>IFERROR(MATCH(88,Import_Staging!$BV$2:$BV$301,0),"")</f>
        <v/>
      </c>
    </row>
    <row r="94">
      <c r="A94" s="24" t="str">
        <f>IF($X94="","",INDEX(Import_Staging!$A$2:$A$301,$X94)&amp;"")</f>
        <v/>
      </c>
      <c r="B94" s="27" t="str">
        <f>IF($X94="","",INDEX(Import_Staging!$M$2:$M$301,$X94))</f>
        <v/>
      </c>
      <c r="C94" s="24" t="str">
        <f>IF($X94="","",INDEX(Import_Staging!$C$2:$C$301,$X94)&amp;"")</f>
        <v/>
      </c>
      <c r="D94" s="24" t="str">
        <f>IF($X94="","",INDEX(Import_Staging!$D$2:$D$301,$X94)&amp;"")</f>
        <v/>
      </c>
      <c r="E94" s="69" t="str">
        <f>IF($X94="","",INDEX(Import_Staging!$O$2:$O$301,$X94))</f>
        <v/>
      </c>
      <c r="F94" s="24" t="str">
        <f>IF($X94="","",INDEX(Import_Staging!$F$2:$F$301,$X94)&amp;"")</f>
        <v/>
      </c>
      <c r="G94" s="24" t="str">
        <f>IF($X94="","",INDEX(Import_Staging!$J$2:$J$301,$X94)&amp;"")</f>
        <v/>
      </c>
      <c r="H94" s="24" t="str">
        <f>IF($X94="","",INDEX(Import_Staging!$K$2:$K$301,$X94)&amp;"")</f>
        <v/>
      </c>
      <c r="I94" s="24" t="str">
        <f>IF($X94="","",INDEX(Import_Staging!$L$2:$L$301,$X94)&amp;"")</f>
        <v/>
      </c>
      <c r="J94" s="24" t="str">
        <f>IF($X94="","","3PL import")</f>
        <v/>
      </c>
      <c r="K94" s="24" t="str">
        <f>IF($X94="","",Config!$B$11)</f>
        <v/>
      </c>
      <c r="L94" s="24" t="str">
        <f>IF($X94="","","CSV row "&amp;($X94+1))</f>
        <v/>
      </c>
      <c r="N94" s="24" t="str">
        <f>IF($Y94="","",INDEX(Import_Staging!$F$2:$F$301,$Y94)&amp;"")</f>
        <v/>
      </c>
      <c r="O94" s="24" t="str">
        <f>IF($Y94="","",INDEX(Import_Staging!$D$2:$D$301,$Y94)&amp;"")</f>
        <v/>
      </c>
      <c r="P94" s="24" t="str">
        <f>IF($Y94="","",INDEX(Import_Staging!$E$2:$E$301,$Y94)&amp;"")</f>
        <v/>
      </c>
      <c r="Q94" s="27" t="n"/>
      <c r="R94" s="27" t="str">
        <f>IF($Y94="","",INDEX(Import_Staging!$N$2:$N$301,$Y94))</f>
        <v/>
      </c>
      <c r="S94" s="70" t="str">
        <f>IF($Y94="","",0)</f>
        <v/>
      </c>
      <c r="T94" s="24" t="str">
        <f>IF($Y94="","",INDEX(Import_Staging!$I$2:$I$301,$Y94)&amp;"")</f>
        <v/>
      </c>
      <c r="U94" s="24" t="n"/>
      <c r="V94" s="24" t="str">
        <f>IF($Y94="","","Received "&amp;TEXT(INDEX(Import_Staging!$M$2:$M$301,$Y94),"yyyy-mm-dd")&amp;" (CSV row "&amp;($Y94+1)&amp;")")</f>
        <v/>
      </c>
      <c r="X94" t="str">
        <f>IFERROR(MATCH(89,Import_Staging!$BT$2:$BT$301,0),"")</f>
        <v/>
      </c>
      <c r="Y94" t="str">
        <f>IFERROR(MATCH(89,Import_Staging!$BV$2:$BV$301,0),"")</f>
        <v/>
      </c>
    </row>
    <row r="95">
      <c r="A95" s="24" t="str">
        <f>IF($X95="","",INDEX(Import_Staging!$A$2:$A$301,$X95)&amp;"")</f>
        <v/>
      </c>
      <c r="B95" s="27" t="str">
        <f>IF($X95="","",INDEX(Import_Staging!$M$2:$M$301,$X95))</f>
        <v/>
      </c>
      <c r="C95" s="24" t="str">
        <f>IF($X95="","",INDEX(Import_Staging!$C$2:$C$301,$X95)&amp;"")</f>
        <v/>
      </c>
      <c r="D95" s="24" t="str">
        <f>IF($X95="","",INDEX(Import_Staging!$D$2:$D$301,$X95)&amp;"")</f>
        <v/>
      </c>
      <c r="E95" s="69" t="str">
        <f>IF($X95="","",INDEX(Import_Staging!$O$2:$O$301,$X95))</f>
        <v/>
      </c>
      <c r="F95" s="24" t="str">
        <f>IF($X95="","",INDEX(Import_Staging!$F$2:$F$301,$X95)&amp;"")</f>
        <v/>
      </c>
      <c r="G95" s="24" t="str">
        <f>IF($X95="","",INDEX(Import_Staging!$J$2:$J$301,$X95)&amp;"")</f>
        <v/>
      </c>
      <c r="H95" s="24" t="str">
        <f>IF($X95="","",INDEX(Import_Staging!$K$2:$K$301,$X95)&amp;"")</f>
        <v/>
      </c>
      <c r="I95" s="24" t="str">
        <f>IF($X95="","",INDEX(Import_Staging!$L$2:$L$301,$X95)&amp;"")</f>
        <v/>
      </c>
      <c r="J95" s="24" t="str">
        <f>IF($X95="","","3PL import")</f>
        <v/>
      </c>
      <c r="K95" s="24" t="str">
        <f>IF($X95="","",Config!$B$11)</f>
        <v/>
      </c>
      <c r="L95" s="24" t="str">
        <f>IF($X95="","","CSV row "&amp;($X95+1))</f>
        <v/>
      </c>
      <c r="N95" s="24" t="str">
        <f>IF($Y95="","",INDEX(Import_Staging!$F$2:$F$301,$Y95)&amp;"")</f>
        <v/>
      </c>
      <c r="O95" s="24" t="str">
        <f>IF($Y95="","",INDEX(Import_Staging!$D$2:$D$301,$Y95)&amp;"")</f>
        <v/>
      </c>
      <c r="P95" s="24" t="str">
        <f>IF($Y95="","",INDEX(Import_Staging!$E$2:$E$301,$Y95)&amp;"")</f>
        <v/>
      </c>
      <c r="Q95" s="27" t="n"/>
      <c r="R95" s="27" t="str">
        <f>IF($Y95="","",INDEX(Import_Staging!$N$2:$N$301,$Y95))</f>
        <v/>
      </c>
      <c r="S95" s="70" t="str">
        <f>IF($Y95="","",0)</f>
        <v/>
      </c>
      <c r="T95" s="24" t="str">
        <f>IF($Y95="","",INDEX(Import_Staging!$I$2:$I$301,$Y95)&amp;"")</f>
        <v/>
      </c>
      <c r="U95" s="24" t="n"/>
      <c r="V95" s="24" t="str">
        <f>IF($Y95="","","Received "&amp;TEXT(INDEX(Import_Staging!$M$2:$M$301,$Y95),"yyyy-mm-dd")&amp;" (CSV row "&amp;($Y95+1)&amp;")")</f>
        <v/>
      </c>
      <c r="X95" t="str">
        <f>IFERROR(MATCH(90,Import_Staging!$BT$2:$BT$301,0),"")</f>
        <v/>
      </c>
      <c r="Y95" t="str">
        <f>IFERROR(MATCH(90,Import_Staging!$BV$2:$BV$301,0),"")</f>
        <v/>
      </c>
    </row>
    <row r="96">
      <c r="A96" s="24" t="str">
        <f>IF($X96="","",INDEX(Import_Staging!$A$2:$A$301,$X96)&amp;"")</f>
        <v/>
      </c>
      <c r="B96" s="27" t="str">
        <f>IF($X96="","",INDEX(Import_Staging!$M$2:$M$301,$X96))</f>
        <v/>
      </c>
      <c r="C96" s="24" t="str">
        <f>IF($X96="","",INDEX(Import_Staging!$C$2:$C$301,$X96)&amp;"")</f>
        <v/>
      </c>
      <c r="D96" s="24" t="str">
        <f>IF($X96="","",INDEX(Import_Staging!$D$2:$D$301,$X96)&amp;"")</f>
        <v/>
      </c>
      <c r="E96" s="69" t="str">
        <f>IF($X96="","",INDEX(Import_Staging!$O$2:$O$301,$X96))</f>
        <v/>
      </c>
      <c r="F96" s="24" t="str">
        <f>IF($X96="","",INDEX(Import_Staging!$F$2:$F$301,$X96)&amp;"")</f>
        <v/>
      </c>
      <c r="G96" s="24" t="str">
        <f>IF($X96="","",INDEX(Import_Staging!$J$2:$J$301,$X96)&amp;"")</f>
        <v/>
      </c>
      <c r="H96" s="24" t="str">
        <f>IF($X96="","",INDEX(Import_Staging!$K$2:$K$301,$X96)&amp;"")</f>
        <v/>
      </c>
      <c r="I96" s="24" t="str">
        <f>IF($X96="","",INDEX(Import_Staging!$L$2:$L$301,$X96)&amp;"")</f>
        <v/>
      </c>
      <c r="J96" s="24" t="str">
        <f>IF($X96="","","3PL import")</f>
        <v/>
      </c>
      <c r="K96" s="24" t="str">
        <f>IF($X96="","",Config!$B$11)</f>
        <v/>
      </c>
      <c r="L96" s="24" t="str">
        <f>IF($X96="","","CSV row "&amp;($X96+1))</f>
        <v/>
      </c>
      <c r="N96" s="24" t="str">
        <f>IF($Y96="","",INDEX(Import_Staging!$F$2:$F$301,$Y96)&amp;"")</f>
        <v/>
      </c>
      <c r="O96" s="24" t="str">
        <f>IF($Y96="","",INDEX(Import_Staging!$D$2:$D$301,$Y96)&amp;"")</f>
        <v/>
      </c>
      <c r="P96" s="24" t="str">
        <f>IF($Y96="","",INDEX(Import_Staging!$E$2:$E$301,$Y96)&amp;"")</f>
        <v/>
      </c>
      <c r="Q96" s="27" t="n"/>
      <c r="R96" s="27" t="str">
        <f>IF($Y96="","",INDEX(Import_Staging!$N$2:$N$301,$Y96))</f>
        <v/>
      </c>
      <c r="S96" s="70" t="str">
        <f>IF($Y96="","",0)</f>
        <v/>
      </c>
      <c r="T96" s="24" t="str">
        <f>IF($Y96="","",INDEX(Import_Staging!$I$2:$I$301,$Y96)&amp;"")</f>
        <v/>
      </c>
      <c r="U96" s="24" t="n"/>
      <c r="V96" s="24" t="str">
        <f>IF($Y96="","","Received "&amp;TEXT(INDEX(Import_Staging!$M$2:$M$301,$Y96),"yyyy-mm-dd")&amp;" (CSV row "&amp;($Y96+1)&amp;")")</f>
        <v/>
      </c>
      <c r="X96" t="str">
        <f>IFERROR(MATCH(91,Import_Staging!$BT$2:$BT$301,0),"")</f>
        <v/>
      </c>
      <c r="Y96" t="str">
        <f>IFERROR(MATCH(91,Import_Staging!$BV$2:$BV$301,0),"")</f>
        <v/>
      </c>
    </row>
    <row r="97">
      <c r="A97" s="24" t="str">
        <f>IF($X97="","",INDEX(Import_Staging!$A$2:$A$301,$X97)&amp;"")</f>
        <v/>
      </c>
      <c r="B97" s="27" t="str">
        <f>IF($X97="","",INDEX(Import_Staging!$M$2:$M$301,$X97))</f>
        <v/>
      </c>
      <c r="C97" s="24" t="str">
        <f>IF($X97="","",INDEX(Import_Staging!$C$2:$C$301,$X97)&amp;"")</f>
        <v/>
      </c>
      <c r="D97" s="24" t="str">
        <f>IF($X97="","",INDEX(Import_Staging!$D$2:$D$301,$X97)&amp;"")</f>
        <v/>
      </c>
      <c r="E97" s="69" t="str">
        <f>IF($X97="","",INDEX(Import_Staging!$O$2:$O$301,$X97))</f>
        <v/>
      </c>
      <c r="F97" s="24" t="str">
        <f>IF($X97="","",INDEX(Import_Staging!$F$2:$F$301,$X97)&amp;"")</f>
        <v/>
      </c>
      <c r="G97" s="24" t="str">
        <f>IF($X97="","",INDEX(Import_Staging!$J$2:$J$301,$X97)&amp;"")</f>
        <v/>
      </c>
      <c r="H97" s="24" t="str">
        <f>IF($X97="","",INDEX(Import_Staging!$K$2:$K$301,$X97)&amp;"")</f>
        <v/>
      </c>
      <c r="I97" s="24" t="str">
        <f>IF($X97="","",INDEX(Import_Staging!$L$2:$L$301,$X97)&amp;"")</f>
        <v/>
      </c>
      <c r="J97" s="24" t="str">
        <f>IF($X97="","","3PL import")</f>
        <v/>
      </c>
      <c r="K97" s="24" t="str">
        <f>IF($X97="","",Config!$B$11)</f>
        <v/>
      </c>
      <c r="L97" s="24" t="str">
        <f>IF($X97="","","CSV row "&amp;($X97+1))</f>
        <v/>
      </c>
      <c r="N97" s="24" t="str">
        <f>IF($Y97="","",INDEX(Import_Staging!$F$2:$F$301,$Y97)&amp;"")</f>
        <v/>
      </c>
      <c r="O97" s="24" t="str">
        <f>IF($Y97="","",INDEX(Import_Staging!$D$2:$D$301,$Y97)&amp;"")</f>
        <v/>
      </c>
      <c r="P97" s="24" t="str">
        <f>IF($Y97="","",INDEX(Import_Staging!$E$2:$E$301,$Y97)&amp;"")</f>
        <v/>
      </c>
      <c r="Q97" s="27" t="n"/>
      <c r="R97" s="27" t="str">
        <f>IF($Y97="","",INDEX(Import_Staging!$N$2:$N$301,$Y97))</f>
        <v/>
      </c>
      <c r="S97" s="70" t="str">
        <f>IF($Y97="","",0)</f>
        <v/>
      </c>
      <c r="T97" s="24" t="str">
        <f>IF($Y97="","",INDEX(Import_Staging!$I$2:$I$301,$Y97)&amp;"")</f>
        <v/>
      </c>
      <c r="U97" s="24" t="n"/>
      <c r="V97" s="24" t="str">
        <f>IF($Y97="","","Received "&amp;TEXT(INDEX(Import_Staging!$M$2:$M$301,$Y97),"yyyy-mm-dd")&amp;" (CSV row "&amp;($Y97+1)&amp;")")</f>
        <v/>
      </c>
      <c r="X97" t="str">
        <f>IFERROR(MATCH(92,Import_Staging!$BT$2:$BT$301,0),"")</f>
        <v/>
      </c>
      <c r="Y97" t="str">
        <f>IFERROR(MATCH(92,Import_Staging!$BV$2:$BV$301,0),"")</f>
        <v/>
      </c>
    </row>
    <row r="98">
      <c r="A98" s="24" t="str">
        <f>IF($X98="","",INDEX(Import_Staging!$A$2:$A$301,$X98)&amp;"")</f>
        <v/>
      </c>
      <c r="B98" s="27" t="str">
        <f>IF($X98="","",INDEX(Import_Staging!$M$2:$M$301,$X98))</f>
        <v/>
      </c>
      <c r="C98" s="24" t="str">
        <f>IF($X98="","",INDEX(Import_Staging!$C$2:$C$301,$X98)&amp;"")</f>
        <v/>
      </c>
      <c r="D98" s="24" t="str">
        <f>IF($X98="","",INDEX(Import_Staging!$D$2:$D$301,$X98)&amp;"")</f>
        <v/>
      </c>
      <c r="E98" s="69" t="str">
        <f>IF($X98="","",INDEX(Import_Staging!$O$2:$O$301,$X98))</f>
        <v/>
      </c>
      <c r="F98" s="24" t="str">
        <f>IF($X98="","",INDEX(Import_Staging!$F$2:$F$301,$X98)&amp;"")</f>
        <v/>
      </c>
      <c r="G98" s="24" t="str">
        <f>IF($X98="","",INDEX(Import_Staging!$J$2:$J$301,$X98)&amp;"")</f>
        <v/>
      </c>
      <c r="H98" s="24" t="str">
        <f>IF($X98="","",INDEX(Import_Staging!$K$2:$K$301,$X98)&amp;"")</f>
        <v/>
      </c>
      <c r="I98" s="24" t="str">
        <f>IF($X98="","",INDEX(Import_Staging!$L$2:$L$301,$X98)&amp;"")</f>
        <v/>
      </c>
      <c r="J98" s="24" t="str">
        <f>IF($X98="","","3PL import")</f>
        <v/>
      </c>
      <c r="K98" s="24" t="str">
        <f>IF($X98="","",Config!$B$11)</f>
        <v/>
      </c>
      <c r="L98" s="24" t="str">
        <f>IF($X98="","","CSV row "&amp;($X98+1))</f>
        <v/>
      </c>
      <c r="N98" s="24" t="str">
        <f>IF($Y98="","",INDEX(Import_Staging!$F$2:$F$301,$Y98)&amp;"")</f>
        <v/>
      </c>
      <c r="O98" s="24" t="str">
        <f>IF($Y98="","",INDEX(Import_Staging!$D$2:$D$301,$Y98)&amp;"")</f>
        <v/>
      </c>
      <c r="P98" s="24" t="str">
        <f>IF($Y98="","",INDEX(Import_Staging!$E$2:$E$301,$Y98)&amp;"")</f>
        <v/>
      </c>
      <c r="Q98" s="27" t="n"/>
      <c r="R98" s="27" t="str">
        <f>IF($Y98="","",INDEX(Import_Staging!$N$2:$N$301,$Y98))</f>
        <v/>
      </c>
      <c r="S98" s="70" t="str">
        <f>IF($Y98="","",0)</f>
        <v/>
      </c>
      <c r="T98" s="24" t="str">
        <f>IF($Y98="","",INDEX(Import_Staging!$I$2:$I$301,$Y98)&amp;"")</f>
        <v/>
      </c>
      <c r="U98" s="24" t="n"/>
      <c r="V98" s="24" t="str">
        <f>IF($Y98="","","Received "&amp;TEXT(INDEX(Import_Staging!$M$2:$M$301,$Y98),"yyyy-mm-dd")&amp;" (CSV row "&amp;($Y98+1)&amp;")")</f>
        <v/>
      </c>
      <c r="X98" t="str">
        <f>IFERROR(MATCH(93,Import_Staging!$BT$2:$BT$301,0),"")</f>
        <v/>
      </c>
      <c r="Y98" t="str">
        <f>IFERROR(MATCH(93,Import_Staging!$BV$2:$BV$301,0),"")</f>
        <v/>
      </c>
    </row>
    <row r="99">
      <c r="A99" s="24" t="str">
        <f>IF($X99="","",INDEX(Import_Staging!$A$2:$A$301,$X99)&amp;"")</f>
        <v/>
      </c>
      <c r="B99" s="27" t="str">
        <f>IF($X99="","",INDEX(Import_Staging!$M$2:$M$301,$X99))</f>
        <v/>
      </c>
      <c r="C99" s="24" t="str">
        <f>IF($X99="","",INDEX(Import_Staging!$C$2:$C$301,$X99)&amp;"")</f>
        <v/>
      </c>
      <c r="D99" s="24" t="str">
        <f>IF($X99="","",INDEX(Import_Staging!$D$2:$D$301,$X99)&amp;"")</f>
        <v/>
      </c>
      <c r="E99" s="69" t="str">
        <f>IF($X99="","",INDEX(Import_Staging!$O$2:$O$301,$X99))</f>
        <v/>
      </c>
      <c r="F99" s="24" t="str">
        <f>IF($X99="","",INDEX(Import_Staging!$F$2:$F$301,$X99)&amp;"")</f>
        <v/>
      </c>
      <c r="G99" s="24" t="str">
        <f>IF($X99="","",INDEX(Import_Staging!$J$2:$J$301,$X99)&amp;"")</f>
        <v/>
      </c>
      <c r="H99" s="24" t="str">
        <f>IF($X99="","",INDEX(Import_Staging!$K$2:$K$301,$X99)&amp;"")</f>
        <v/>
      </c>
      <c r="I99" s="24" t="str">
        <f>IF($X99="","",INDEX(Import_Staging!$L$2:$L$301,$X99)&amp;"")</f>
        <v/>
      </c>
      <c r="J99" s="24" t="str">
        <f>IF($X99="","","3PL import")</f>
        <v/>
      </c>
      <c r="K99" s="24" t="str">
        <f>IF($X99="","",Config!$B$11)</f>
        <v/>
      </c>
      <c r="L99" s="24" t="str">
        <f>IF($X99="","","CSV row "&amp;($X99+1))</f>
        <v/>
      </c>
      <c r="N99" s="24" t="str">
        <f>IF($Y99="","",INDEX(Import_Staging!$F$2:$F$301,$Y99)&amp;"")</f>
        <v/>
      </c>
      <c r="O99" s="24" t="str">
        <f>IF($Y99="","",INDEX(Import_Staging!$D$2:$D$301,$Y99)&amp;"")</f>
        <v/>
      </c>
      <c r="P99" s="24" t="str">
        <f>IF($Y99="","",INDEX(Import_Staging!$E$2:$E$301,$Y99)&amp;"")</f>
        <v/>
      </c>
      <c r="Q99" s="27" t="n"/>
      <c r="R99" s="27" t="str">
        <f>IF($Y99="","",INDEX(Import_Staging!$N$2:$N$301,$Y99))</f>
        <v/>
      </c>
      <c r="S99" s="70" t="str">
        <f>IF($Y99="","",0)</f>
        <v/>
      </c>
      <c r="T99" s="24" t="str">
        <f>IF($Y99="","",INDEX(Import_Staging!$I$2:$I$301,$Y99)&amp;"")</f>
        <v/>
      </c>
      <c r="U99" s="24" t="n"/>
      <c r="V99" s="24" t="str">
        <f>IF($Y99="","","Received "&amp;TEXT(INDEX(Import_Staging!$M$2:$M$301,$Y99),"yyyy-mm-dd")&amp;" (CSV row "&amp;($Y99+1)&amp;")")</f>
        <v/>
      </c>
      <c r="X99" t="str">
        <f>IFERROR(MATCH(94,Import_Staging!$BT$2:$BT$301,0),"")</f>
        <v/>
      </c>
      <c r="Y99" t="str">
        <f>IFERROR(MATCH(94,Import_Staging!$BV$2:$BV$301,0),"")</f>
        <v/>
      </c>
    </row>
    <row r="100">
      <c r="A100" s="24" t="str">
        <f>IF($X100="","",INDEX(Import_Staging!$A$2:$A$301,$X100)&amp;"")</f>
        <v/>
      </c>
      <c r="B100" s="27" t="str">
        <f>IF($X100="","",INDEX(Import_Staging!$M$2:$M$301,$X100))</f>
        <v/>
      </c>
      <c r="C100" s="24" t="str">
        <f>IF($X100="","",INDEX(Import_Staging!$C$2:$C$301,$X100)&amp;"")</f>
        <v/>
      </c>
      <c r="D100" s="24" t="str">
        <f>IF($X100="","",INDEX(Import_Staging!$D$2:$D$301,$X100)&amp;"")</f>
        <v/>
      </c>
      <c r="E100" s="69" t="str">
        <f>IF($X100="","",INDEX(Import_Staging!$O$2:$O$301,$X100))</f>
        <v/>
      </c>
      <c r="F100" s="24" t="str">
        <f>IF($X100="","",INDEX(Import_Staging!$F$2:$F$301,$X100)&amp;"")</f>
        <v/>
      </c>
      <c r="G100" s="24" t="str">
        <f>IF($X100="","",INDEX(Import_Staging!$J$2:$J$301,$X100)&amp;"")</f>
        <v/>
      </c>
      <c r="H100" s="24" t="str">
        <f>IF($X100="","",INDEX(Import_Staging!$K$2:$K$301,$X100)&amp;"")</f>
        <v/>
      </c>
      <c r="I100" s="24" t="str">
        <f>IF($X100="","",INDEX(Import_Staging!$L$2:$L$301,$X100)&amp;"")</f>
        <v/>
      </c>
      <c r="J100" s="24" t="str">
        <f>IF($X100="","","3PL import")</f>
        <v/>
      </c>
      <c r="K100" s="24" t="str">
        <f>IF($X100="","",Config!$B$11)</f>
        <v/>
      </c>
      <c r="L100" s="24" t="str">
        <f>IF($X100="","","CSV row "&amp;($X100+1))</f>
        <v/>
      </c>
      <c r="N100" s="24" t="str">
        <f>IF($Y100="","",INDEX(Import_Staging!$F$2:$F$301,$Y100)&amp;"")</f>
        <v/>
      </c>
      <c r="O100" s="24" t="str">
        <f>IF($Y100="","",INDEX(Import_Staging!$D$2:$D$301,$Y100)&amp;"")</f>
        <v/>
      </c>
      <c r="P100" s="24" t="str">
        <f>IF($Y100="","",INDEX(Import_Staging!$E$2:$E$301,$Y100)&amp;"")</f>
        <v/>
      </c>
      <c r="Q100" s="27" t="n"/>
      <c r="R100" s="27" t="str">
        <f>IF($Y100="","",INDEX(Import_Staging!$N$2:$N$301,$Y100))</f>
        <v/>
      </c>
      <c r="S100" s="70" t="str">
        <f>IF($Y100="","",0)</f>
        <v/>
      </c>
      <c r="T100" s="24" t="str">
        <f>IF($Y100="","",INDEX(Import_Staging!$I$2:$I$301,$Y100)&amp;"")</f>
        <v/>
      </c>
      <c r="U100" s="24" t="n"/>
      <c r="V100" s="24" t="str">
        <f>IF($Y100="","","Received "&amp;TEXT(INDEX(Import_Staging!$M$2:$M$301,$Y100),"yyyy-mm-dd")&amp;" (CSV row "&amp;($Y100+1)&amp;")")</f>
        <v/>
      </c>
      <c r="X100" t="str">
        <f>IFERROR(MATCH(95,Import_Staging!$BT$2:$BT$301,0),"")</f>
        <v/>
      </c>
      <c r="Y100" t="str">
        <f>IFERROR(MATCH(95,Import_Staging!$BV$2:$BV$301,0),"")</f>
        <v/>
      </c>
    </row>
    <row r="101">
      <c r="A101" s="24" t="str">
        <f>IF($X101="","",INDEX(Import_Staging!$A$2:$A$301,$X101)&amp;"")</f>
        <v/>
      </c>
      <c r="B101" s="27" t="str">
        <f>IF($X101="","",INDEX(Import_Staging!$M$2:$M$301,$X101))</f>
        <v/>
      </c>
      <c r="C101" s="24" t="str">
        <f>IF($X101="","",INDEX(Import_Staging!$C$2:$C$301,$X101)&amp;"")</f>
        <v/>
      </c>
      <c r="D101" s="24" t="str">
        <f>IF($X101="","",INDEX(Import_Staging!$D$2:$D$301,$X101)&amp;"")</f>
        <v/>
      </c>
      <c r="E101" s="69" t="str">
        <f>IF($X101="","",INDEX(Import_Staging!$O$2:$O$301,$X101))</f>
        <v/>
      </c>
      <c r="F101" s="24" t="str">
        <f>IF($X101="","",INDEX(Import_Staging!$F$2:$F$301,$X101)&amp;"")</f>
        <v/>
      </c>
      <c r="G101" s="24" t="str">
        <f>IF($X101="","",INDEX(Import_Staging!$J$2:$J$301,$X101)&amp;"")</f>
        <v/>
      </c>
      <c r="H101" s="24" t="str">
        <f>IF($X101="","",INDEX(Import_Staging!$K$2:$K$301,$X101)&amp;"")</f>
        <v/>
      </c>
      <c r="I101" s="24" t="str">
        <f>IF($X101="","",INDEX(Import_Staging!$L$2:$L$301,$X101)&amp;"")</f>
        <v/>
      </c>
      <c r="J101" s="24" t="str">
        <f>IF($X101="","","3PL import")</f>
        <v/>
      </c>
      <c r="K101" s="24" t="str">
        <f>IF($X101="","",Config!$B$11)</f>
        <v/>
      </c>
      <c r="L101" s="24" t="str">
        <f>IF($X101="","","CSV row "&amp;($X101+1))</f>
        <v/>
      </c>
      <c r="N101" s="24" t="str">
        <f>IF($Y101="","",INDEX(Import_Staging!$F$2:$F$301,$Y101)&amp;"")</f>
        <v/>
      </c>
      <c r="O101" s="24" t="str">
        <f>IF($Y101="","",INDEX(Import_Staging!$D$2:$D$301,$Y101)&amp;"")</f>
        <v/>
      </c>
      <c r="P101" s="24" t="str">
        <f>IF($Y101="","",INDEX(Import_Staging!$E$2:$E$301,$Y101)&amp;"")</f>
        <v/>
      </c>
      <c r="Q101" s="27" t="n"/>
      <c r="R101" s="27" t="str">
        <f>IF($Y101="","",INDEX(Import_Staging!$N$2:$N$301,$Y101))</f>
        <v/>
      </c>
      <c r="S101" s="70" t="str">
        <f>IF($Y101="","",0)</f>
        <v/>
      </c>
      <c r="T101" s="24" t="str">
        <f>IF($Y101="","",INDEX(Import_Staging!$I$2:$I$301,$Y101)&amp;"")</f>
        <v/>
      </c>
      <c r="U101" s="24" t="n"/>
      <c r="V101" s="24" t="str">
        <f>IF($Y101="","","Received "&amp;TEXT(INDEX(Import_Staging!$M$2:$M$301,$Y101),"yyyy-mm-dd")&amp;" (CSV row "&amp;($Y101+1)&amp;")")</f>
        <v/>
      </c>
      <c r="X101" t="str">
        <f>IFERROR(MATCH(96,Import_Staging!$BT$2:$BT$301,0),"")</f>
        <v/>
      </c>
      <c r="Y101" t="str">
        <f>IFERROR(MATCH(96,Import_Staging!$BV$2:$BV$301,0),"")</f>
        <v/>
      </c>
    </row>
    <row r="102">
      <c r="A102" s="24" t="str">
        <f>IF($X102="","",INDEX(Import_Staging!$A$2:$A$301,$X102)&amp;"")</f>
        <v/>
      </c>
      <c r="B102" s="27" t="str">
        <f>IF($X102="","",INDEX(Import_Staging!$M$2:$M$301,$X102))</f>
        <v/>
      </c>
      <c r="C102" s="24" t="str">
        <f>IF($X102="","",INDEX(Import_Staging!$C$2:$C$301,$X102)&amp;"")</f>
        <v/>
      </c>
      <c r="D102" s="24" t="str">
        <f>IF($X102="","",INDEX(Import_Staging!$D$2:$D$301,$X102)&amp;"")</f>
        <v/>
      </c>
      <c r="E102" s="69" t="str">
        <f>IF($X102="","",INDEX(Import_Staging!$O$2:$O$301,$X102))</f>
        <v/>
      </c>
      <c r="F102" s="24" t="str">
        <f>IF($X102="","",INDEX(Import_Staging!$F$2:$F$301,$X102)&amp;"")</f>
        <v/>
      </c>
      <c r="G102" s="24" t="str">
        <f>IF($X102="","",INDEX(Import_Staging!$J$2:$J$301,$X102)&amp;"")</f>
        <v/>
      </c>
      <c r="H102" s="24" t="str">
        <f>IF($X102="","",INDEX(Import_Staging!$K$2:$K$301,$X102)&amp;"")</f>
        <v/>
      </c>
      <c r="I102" s="24" t="str">
        <f>IF($X102="","",INDEX(Import_Staging!$L$2:$L$301,$X102)&amp;"")</f>
        <v/>
      </c>
      <c r="J102" s="24" t="str">
        <f>IF($X102="","","3PL import")</f>
        <v/>
      </c>
      <c r="K102" s="24" t="str">
        <f>IF($X102="","",Config!$B$11)</f>
        <v/>
      </c>
      <c r="L102" s="24" t="str">
        <f>IF($X102="","","CSV row "&amp;($X102+1))</f>
        <v/>
      </c>
      <c r="N102" s="24" t="str">
        <f>IF($Y102="","",INDEX(Import_Staging!$F$2:$F$301,$Y102)&amp;"")</f>
        <v/>
      </c>
      <c r="O102" s="24" t="str">
        <f>IF($Y102="","",INDEX(Import_Staging!$D$2:$D$301,$Y102)&amp;"")</f>
        <v/>
      </c>
      <c r="P102" s="24" t="str">
        <f>IF($Y102="","",INDEX(Import_Staging!$E$2:$E$301,$Y102)&amp;"")</f>
        <v/>
      </c>
      <c r="Q102" s="27" t="n"/>
      <c r="R102" s="27" t="str">
        <f>IF($Y102="","",INDEX(Import_Staging!$N$2:$N$301,$Y102))</f>
        <v/>
      </c>
      <c r="S102" s="70" t="str">
        <f>IF($Y102="","",0)</f>
        <v/>
      </c>
      <c r="T102" s="24" t="str">
        <f>IF($Y102="","",INDEX(Import_Staging!$I$2:$I$301,$Y102)&amp;"")</f>
        <v/>
      </c>
      <c r="U102" s="24" t="n"/>
      <c r="V102" s="24" t="str">
        <f>IF($Y102="","","Received "&amp;TEXT(INDEX(Import_Staging!$M$2:$M$301,$Y102),"yyyy-mm-dd")&amp;" (CSV row "&amp;($Y102+1)&amp;")")</f>
        <v/>
      </c>
      <c r="X102" t="str">
        <f>IFERROR(MATCH(97,Import_Staging!$BT$2:$BT$301,0),"")</f>
        <v/>
      </c>
      <c r="Y102" t="str">
        <f>IFERROR(MATCH(97,Import_Staging!$BV$2:$BV$301,0),"")</f>
        <v/>
      </c>
    </row>
    <row r="103">
      <c r="A103" s="24" t="str">
        <f>IF($X103="","",INDEX(Import_Staging!$A$2:$A$301,$X103)&amp;"")</f>
        <v/>
      </c>
      <c r="B103" s="27" t="str">
        <f>IF($X103="","",INDEX(Import_Staging!$M$2:$M$301,$X103))</f>
        <v/>
      </c>
      <c r="C103" s="24" t="str">
        <f>IF($X103="","",INDEX(Import_Staging!$C$2:$C$301,$X103)&amp;"")</f>
        <v/>
      </c>
      <c r="D103" s="24" t="str">
        <f>IF($X103="","",INDEX(Import_Staging!$D$2:$D$301,$X103)&amp;"")</f>
        <v/>
      </c>
      <c r="E103" s="69" t="str">
        <f>IF($X103="","",INDEX(Import_Staging!$O$2:$O$301,$X103))</f>
        <v/>
      </c>
      <c r="F103" s="24" t="str">
        <f>IF($X103="","",INDEX(Import_Staging!$F$2:$F$301,$X103)&amp;"")</f>
        <v/>
      </c>
      <c r="G103" s="24" t="str">
        <f>IF($X103="","",INDEX(Import_Staging!$J$2:$J$301,$X103)&amp;"")</f>
        <v/>
      </c>
      <c r="H103" s="24" t="str">
        <f>IF($X103="","",INDEX(Import_Staging!$K$2:$K$301,$X103)&amp;"")</f>
        <v/>
      </c>
      <c r="I103" s="24" t="str">
        <f>IF($X103="","",INDEX(Import_Staging!$L$2:$L$301,$X103)&amp;"")</f>
        <v/>
      </c>
      <c r="J103" s="24" t="str">
        <f>IF($X103="","","3PL import")</f>
        <v/>
      </c>
      <c r="K103" s="24" t="str">
        <f>IF($X103="","",Config!$B$11)</f>
        <v/>
      </c>
      <c r="L103" s="24" t="str">
        <f>IF($X103="","","CSV row "&amp;($X103+1))</f>
        <v/>
      </c>
      <c r="N103" s="24" t="str">
        <f>IF($Y103="","",INDEX(Import_Staging!$F$2:$F$301,$Y103)&amp;"")</f>
        <v/>
      </c>
      <c r="O103" s="24" t="str">
        <f>IF($Y103="","",INDEX(Import_Staging!$D$2:$D$301,$Y103)&amp;"")</f>
        <v/>
      </c>
      <c r="P103" s="24" t="str">
        <f>IF($Y103="","",INDEX(Import_Staging!$E$2:$E$301,$Y103)&amp;"")</f>
        <v/>
      </c>
      <c r="Q103" s="27" t="n"/>
      <c r="R103" s="27" t="str">
        <f>IF($Y103="","",INDEX(Import_Staging!$N$2:$N$301,$Y103))</f>
        <v/>
      </c>
      <c r="S103" s="70" t="str">
        <f>IF($Y103="","",0)</f>
        <v/>
      </c>
      <c r="T103" s="24" t="str">
        <f>IF($Y103="","",INDEX(Import_Staging!$I$2:$I$301,$Y103)&amp;"")</f>
        <v/>
      </c>
      <c r="U103" s="24" t="n"/>
      <c r="V103" s="24" t="str">
        <f>IF($Y103="","","Received "&amp;TEXT(INDEX(Import_Staging!$M$2:$M$301,$Y103),"yyyy-mm-dd")&amp;" (CSV row "&amp;($Y103+1)&amp;")")</f>
        <v/>
      </c>
      <c r="X103" t="str">
        <f>IFERROR(MATCH(98,Import_Staging!$BT$2:$BT$301,0),"")</f>
        <v/>
      </c>
      <c r="Y103" t="str">
        <f>IFERROR(MATCH(98,Import_Staging!$BV$2:$BV$301,0),"")</f>
        <v/>
      </c>
    </row>
    <row r="104">
      <c r="A104" s="24" t="str">
        <f>IF($X104="","",INDEX(Import_Staging!$A$2:$A$301,$X104)&amp;"")</f>
        <v/>
      </c>
      <c r="B104" s="27" t="str">
        <f>IF($X104="","",INDEX(Import_Staging!$M$2:$M$301,$X104))</f>
        <v/>
      </c>
      <c r="C104" s="24" t="str">
        <f>IF($X104="","",INDEX(Import_Staging!$C$2:$C$301,$X104)&amp;"")</f>
        <v/>
      </c>
      <c r="D104" s="24" t="str">
        <f>IF($X104="","",INDEX(Import_Staging!$D$2:$D$301,$X104)&amp;"")</f>
        <v/>
      </c>
      <c r="E104" s="69" t="str">
        <f>IF($X104="","",INDEX(Import_Staging!$O$2:$O$301,$X104))</f>
        <v/>
      </c>
      <c r="F104" s="24" t="str">
        <f>IF($X104="","",INDEX(Import_Staging!$F$2:$F$301,$X104)&amp;"")</f>
        <v/>
      </c>
      <c r="G104" s="24" t="str">
        <f>IF($X104="","",INDEX(Import_Staging!$J$2:$J$301,$X104)&amp;"")</f>
        <v/>
      </c>
      <c r="H104" s="24" t="str">
        <f>IF($X104="","",INDEX(Import_Staging!$K$2:$K$301,$X104)&amp;"")</f>
        <v/>
      </c>
      <c r="I104" s="24" t="str">
        <f>IF($X104="","",INDEX(Import_Staging!$L$2:$L$301,$X104)&amp;"")</f>
        <v/>
      </c>
      <c r="J104" s="24" t="str">
        <f>IF($X104="","","3PL import")</f>
        <v/>
      </c>
      <c r="K104" s="24" t="str">
        <f>IF($X104="","",Config!$B$11)</f>
        <v/>
      </c>
      <c r="L104" s="24" t="str">
        <f>IF($X104="","","CSV row "&amp;($X104+1))</f>
        <v/>
      </c>
      <c r="N104" s="24" t="str">
        <f>IF($Y104="","",INDEX(Import_Staging!$F$2:$F$301,$Y104)&amp;"")</f>
        <v/>
      </c>
      <c r="O104" s="24" t="str">
        <f>IF($Y104="","",INDEX(Import_Staging!$D$2:$D$301,$Y104)&amp;"")</f>
        <v/>
      </c>
      <c r="P104" s="24" t="str">
        <f>IF($Y104="","",INDEX(Import_Staging!$E$2:$E$301,$Y104)&amp;"")</f>
        <v/>
      </c>
      <c r="Q104" s="27" t="n"/>
      <c r="R104" s="27" t="str">
        <f>IF($Y104="","",INDEX(Import_Staging!$N$2:$N$301,$Y104))</f>
        <v/>
      </c>
      <c r="S104" s="70" t="str">
        <f>IF($Y104="","",0)</f>
        <v/>
      </c>
      <c r="T104" s="24" t="str">
        <f>IF($Y104="","",INDEX(Import_Staging!$I$2:$I$301,$Y104)&amp;"")</f>
        <v/>
      </c>
      <c r="U104" s="24" t="n"/>
      <c r="V104" s="24" t="str">
        <f>IF($Y104="","","Received "&amp;TEXT(INDEX(Import_Staging!$M$2:$M$301,$Y104),"yyyy-mm-dd")&amp;" (CSV row "&amp;($Y104+1)&amp;")")</f>
        <v/>
      </c>
      <c r="X104" t="str">
        <f>IFERROR(MATCH(99,Import_Staging!$BT$2:$BT$301,0),"")</f>
        <v/>
      </c>
      <c r="Y104" t="str">
        <f>IFERROR(MATCH(99,Import_Staging!$BV$2:$BV$301,0),"")</f>
        <v/>
      </c>
    </row>
    <row r="105">
      <c r="A105" s="24" t="str">
        <f>IF($X105="","",INDEX(Import_Staging!$A$2:$A$301,$X105)&amp;"")</f>
        <v/>
      </c>
      <c r="B105" s="27" t="str">
        <f>IF($X105="","",INDEX(Import_Staging!$M$2:$M$301,$X105))</f>
        <v/>
      </c>
      <c r="C105" s="24" t="str">
        <f>IF($X105="","",INDEX(Import_Staging!$C$2:$C$301,$X105)&amp;"")</f>
        <v/>
      </c>
      <c r="D105" s="24" t="str">
        <f>IF($X105="","",INDEX(Import_Staging!$D$2:$D$301,$X105)&amp;"")</f>
        <v/>
      </c>
      <c r="E105" s="69" t="str">
        <f>IF($X105="","",INDEX(Import_Staging!$O$2:$O$301,$X105))</f>
        <v/>
      </c>
      <c r="F105" s="24" t="str">
        <f>IF($X105="","",INDEX(Import_Staging!$F$2:$F$301,$X105)&amp;"")</f>
        <v/>
      </c>
      <c r="G105" s="24" t="str">
        <f>IF($X105="","",INDEX(Import_Staging!$J$2:$J$301,$X105)&amp;"")</f>
        <v/>
      </c>
      <c r="H105" s="24" t="str">
        <f>IF($X105="","",INDEX(Import_Staging!$K$2:$K$301,$X105)&amp;"")</f>
        <v/>
      </c>
      <c r="I105" s="24" t="str">
        <f>IF($X105="","",INDEX(Import_Staging!$L$2:$L$301,$X105)&amp;"")</f>
        <v/>
      </c>
      <c r="J105" s="24" t="str">
        <f>IF($X105="","","3PL import")</f>
        <v/>
      </c>
      <c r="K105" s="24" t="str">
        <f>IF($X105="","",Config!$B$11)</f>
        <v/>
      </c>
      <c r="L105" s="24" t="str">
        <f>IF($X105="","","CSV row "&amp;($X105+1))</f>
        <v/>
      </c>
      <c r="N105" s="24" t="str">
        <f>IF($Y105="","",INDEX(Import_Staging!$F$2:$F$301,$Y105)&amp;"")</f>
        <v/>
      </c>
      <c r="O105" s="24" t="str">
        <f>IF($Y105="","",INDEX(Import_Staging!$D$2:$D$301,$Y105)&amp;"")</f>
        <v/>
      </c>
      <c r="P105" s="24" t="str">
        <f>IF($Y105="","",INDEX(Import_Staging!$E$2:$E$301,$Y105)&amp;"")</f>
        <v/>
      </c>
      <c r="Q105" s="27" t="n"/>
      <c r="R105" s="27" t="str">
        <f>IF($Y105="","",INDEX(Import_Staging!$N$2:$N$301,$Y105))</f>
        <v/>
      </c>
      <c r="S105" s="70" t="str">
        <f>IF($Y105="","",0)</f>
        <v/>
      </c>
      <c r="T105" s="24" t="str">
        <f>IF($Y105="","",INDEX(Import_Staging!$I$2:$I$301,$Y105)&amp;"")</f>
        <v/>
      </c>
      <c r="U105" s="24" t="n"/>
      <c r="V105" s="24" t="str">
        <f>IF($Y105="","","Received "&amp;TEXT(INDEX(Import_Staging!$M$2:$M$301,$Y105),"yyyy-mm-dd")&amp;" (CSV row "&amp;($Y105+1)&amp;")")</f>
        <v/>
      </c>
      <c r="X105" t="str">
        <f>IFERROR(MATCH(100,Import_Staging!$BT$2:$BT$301,0),"")</f>
        <v/>
      </c>
      <c r="Y105" t="str">
        <f>IFERROR(MATCH(100,Import_Staging!$BV$2:$BV$301,0),"")</f>
        <v/>
      </c>
    </row>
    <row r="106">
      <c r="A106" s="24" t="str">
        <f>IF($X106="","",INDEX(Import_Staging!$A$2:$A$301,$X106)&amp;"")</f>
        <v/>
      </c>
      <c r="B106" s="27" t="str">
        <f>IF($X106="","",INDEX(Import_Staging!$M$2:$M$301,$X106))</f>
        <v/>
      </c>
      <c r="C106" s="24" t="str">
        <f>IF($X106="","",INDEX(Import_Staging!$C$2:$C$301,$X106)&amp;"")</f>
        <v/>
      </c>
      <c r="D106" s="24" t="str">
        <f>IF($X106="","",INDEX(Import_Staging!$D$2:$D$301,$X106)&amp;"")</f>
        <v/>
      </c>
      <c r="E106" s="69" t="str">
        <f>IF($X106="","",INDEX(Import_Staging!$O$2:$O$301,$X106))</f>
        <v/>
      </c>
      <c r="F106" s="24" t="str">
        <f>IF($X106="","",INDEX(Import_Staging!$F$2:$F$301,$X106)&amp;"")</f>
        <v/>
      </c>
      <c r="G106" s="24" t="str">
        <f>IF($X106="","",INDEX(Import_Staging!$J$2:$J$301,$X106)&amp;"")</f>
        <v/>
      </c>
      <c r="H106" s="24" t="str">
        <f>IF($X106="","",INDEX(Import_Staging!$K$2:$K$301,$X106)&amp;"")</f>
        <v/>
      </c>
      <c r="I106" s="24" t="str">
        <f>IF($X106="","",INDEX(Import_Staging!$L$2:$L$301,$X106)&amp;"")</f>
        <v/>
      </c>
      <c r="J106" s="24" t="str">
        <f>IF($X106="","","3PL import")</f>
        <v/>
      </c>
      <c r="K106" s="24" t="str">
        <f>IF($X106="","",Config!$B$11)</f>
        <v/>
      </c>
      <c r="L106" s="24" t="str">
        <f>IF($X106="","","CSV row "&amp;($X106+1))</f>
        <v/>
      </c>
      <c r="N106" s="24" t="str">
        <f>IF($Y106="","",INDEX(Import_Staging!$F$2:$F$301,$Y106)&amp;"")</f>
        <v/>
      </c>
      <c r="O106" s="24" t="str">
        <f>IF($Y106="","",INDEX(Import_Staging!$D$2:$D$301,$Y106)&amp;"")</f>
        <v/>
      </c>
      <c r="P106" s="24" t="str">
        <f>IF($Y106="","",INDEX(Import_Staging!$E$2:$E$301,$Y106)&amp;"")</f>
        <v/>
      </c>
      <c r="Q106" s="27" t="n"/>
      <c r="R106" s="27" t="str">
        <f>IF($Y106="","",INDEX(Import_Staging!$N$2:$N$301,$Y106))</f>
        <v/>
      </c>
      <c r="S106" s="70" t="str">
        <f>IF($Y106="","",0)</f>
        <v/>
      </c>
      <c r="T106" s="24" t="str">
        <f>IF($Y106="","",INDEX(Import_Staging!$I$2:$I$301,$Y106)&amp;"")</f>
        <v/>
      </c>
      <c r="U106" s="24" t="n"/>
      <c r="V106" s="24" t="str">
        <f>IF($Y106="","","Received "&amp;TEXT(INDEX(Import_Staging!$M$2:$M$301,$Y106),"yyyy-mm-dd")&amp;" (CSV row "&amp;($Y106+1)&amp;")")</f>
        <v/>
      </c>
      <c r="X106" t="str">
        <f>IFERROR(MATCH(101,Import_Staging!$BT$2:$BT$301,0),"")</f>
        <v/>
      </c>
      <c r="Y106" t="str">
        <f>IFERROR(MATCH(101,Import_Staging!$BV$2:$BV$301,0),"")</f>
        <v/>
      </c>
    </row>
    <row r="107">
      <c r="A107" s="24" t="str">
        <f>IF($X107="","",INDEX(Import_Staging!$A$2:$A$301,$X107)&amp;"")</f>
        <v/>
      </c>
      <c r="B107" s="27" t="str">
        <f>IF($X107="","",INDEX(Import_Staging!$M$2:$M$301,$X107))</f>
        <v/>
      </c>
      <c r="C107" s="24" t="str">
        <f>IF($X107="","",INDEX(Import_Staging!$C$2:$C$301,$X107)&amp;"")</f>
        <v/>
      </c>
      <c r="D107" s="24" t="str">
        <f>IF($X107="","",INDEX(Import_Staging!$D$2:$D$301,$X107)&amp;"")</f>
        <v/>
      </c>
      <c r="E107" s="69" t="str">
        <f>IF($X107="","",INDEX(Import_Staging!$O$2:$O$301,$X107))</f>
        <v/>
      </c>
      <c r="F107" s="24" t="str">
        <f>IF($X107="","",INDEX(Import_Staging!$F$2:$F$301,$X107)&amp;"")</f>
        <v/>
      </c>
      <c r="G107" s="24" t="str">
        <f>IF($X107="","",INDEX(Import_Staging!$J$2:$J$301,$X107)&amp;"")</f>
        <v/>
      </c>
      <c r="H107" s="24" t="str">
        <f>IF($X107="","",INDEX(Import_Staging!$K$2:$K$301,$X107)&amp;"")</f>
        <v/>
      </c>
      <c r="I107" s="24" t="str">
        <f>IF($X107="","",INDEX(Import_Staging!$L$2:$L$301,$X107)&amp;"")</f>
        <v/>
      </c>
      <c r="J107" s="24" t="str">
        <f>IF($X107="","","3PL import")</f>
        <v/>
      </c>
      <c r="K107" s="24" t="str">
        <f>IF($X107="","",Config!$B$11)</f>
        <v/>
      </c>
      <c r="L107" s="24" t="str">
        <f>IF($X107="","","CSV row "&amp;($X107+1))</f>
        <v/>
      </c>
      <c r="N107" s="24" t="str">
        <f>IF($Y107="","",INDEX(Import_Staging!$F$2:$F$301,$Y107)&amp;"")</f>
        <v/>
      </c>
      <c r="O107" s="24" t="str">
        <f>IF($Y107="","",INDEX(Import_Staging!$D$2:$D$301,$Y107)&amp;"")</f>
        <v/>
      </c>
      <c r="P107" s="24" t="str">
        <f>IF($Y107="","",INDEX(Import_Staging!$E$2:$E$301,$Y107)&amp;"")</f>
        <v/>
      </c>
      <c r="Q107" s="27" t="n"/>
      <c r="R107" s="27" t="str">
        <f>IF($Y107="","",INDEX(Import_Staging!$N$2:$N$301,$Y107))</f>
        <v/>
      </c>
      <c r="S107" s="70" t="str">
        <f>IF($Y107="","",0)</f>
        <v/>
      </c>
      <c r="T107" s="24" t="str">
        <f>IF($Y107="","",INDEX(Import_Staging!$I$2:$I$301,$Y107)&amp;"")</f>
        <v/>
      </c>
      <c r="U107" s="24" t="n"/>
      <c r="V107" s="24" t="str">
        <f>IF($Y107="","","Received "&amp;TEXT(INDEX(Import_Staging!$M$2:$M$301,$Y107),"yyyy-mm-dd")&amp;" (CSV row "&amp;($Y107+1)&amp;")")</f>
        <v/>
      </c>
      <c r="X107" t="str">
        <f>IFERROR(MATCH(102,Import_Staging!$BT$2:$BT$301,0),"")</f>
        <v/>
      </c>
      <c r="Y107" t="str">
        <f>IFERROR(MATCH(102,Import_Staging!$BV$2:$BV$301,0),"")</f>
        <v/>
      </c>
    </row>
    <row r="108">
      <c r="A108" s="24" t="str">
        <f>IF($X108="","",INDEX(Import_Staging!$A$2:$A$301,$X108)&amp;"")</f>
        <v/>
      </c>
      <c r="B108" s="27" t="str">
        <f>IF($X108="","",INDEX(Import_Staging!$M$2:$M$301,$X108))</f>
        <v/>
      </c>
      <c r="C108" s="24" t="str">
        <f>IF($X108="","",INDEX(Import_Staging!$C$2:$C$301,$X108)&amp;"")</f>
        <v/>
      </c>
      <c r="D108" s="24" t="str">
        <f>IF($X108="","",INDEX(Import_Staging!$D$2:$D$301,$X108)&amp;"")</f>
        <v/>
      </c>
      <c r="E108" s="69" t="str">
        <f>IF($X108="","",INDEX(Import_Staging!$O$2:$O$301,$X108))</f>
        <v/>
      </c>
      <c r="F108" s="24" t="str">
        <f>IF($X108="","",INDEX(Import_Staging!$F$2:$F$301,$X108)&amp;"")</f>
        <v/>
      </c>
      <c r="G108" s="24" t="str">
        <f>IF($X108="","",INDEX(Import_Staging!$J$2:$J$301,$X108)&amp;"")</f>
        <v/>
      </c>
      <c r="H108" s="24" t="str">
        <f>IF($X108="","",INDEX(Import_Staging!$K$2:$K$301,$X108)&amp;"")</f>
        <v/>
      </c>
      <c r="I108" s="24" t="str">
        <f>IF($X108="","",INDEX(Import_Staging!$L$2:$L$301,$X108)&amp;"")</f>
        <v/>
      </c>
      <c r="J108" s="24" t="str">
        <f>IF($X108="","","3PL import")</f>
        <v/>
      </c>
      <c r="K108" s="24" t="str">
        <f>IF($X108="","",Config!$B$11)</f>
        <v/>
      </c>
      <c r="L108" s="24" t="str">
        <f>IF($X108="","","CSV row "&amp;($X108+1))</f>
        <v/>
      </c>
      <c r="N108" s="24" t="str">
        <f>IF($Y108="","",INDEX(Import_Staging!$F$2:$F$301,$Y108)&amp;"")</f>
        <v/>
      </c>
      <c r="O108" s="24" t="str">
        <f>IF($Y108="","",INDEX(Import_Staging!$D$2:$D$301,$Y108)&amp;"")</f>
        <v/>
      </c>
      <c r="P108" s="24" t="str">
        <f>IF($Y108="","",INDEX(Import_Staging!$E$2:$E$301,$Y108)&amp;"")</f>
        <v/>
      </c>
      <c r="Q108" s="27" t="n"/>
      <c r="R108" s="27" t="str">
        <f>IF($Y108="","",INDEX(Import_Staging!$N$2:$N$301,$Y108))</f>
        <v/>
      </c>
      <c r="S108" s="70" t="str">
        <f>IF($Y108="","",0)</f>
        <v/>
      </c>
      <c r="T108" s="24" t="str">
        <f>IF($Y108="","",INDEX(Import_Staging!$I$2:$I$301,$Y108)&amp;"")</f>
        <v/>
      </c>
      <c r="U108" s="24" t="n"/>
      <c r="V108" s="24" t="str">
        <f>IF($Y108="","","Received "&amp;TEXT(INDEX(Import_Staging!$M$2:$M$301,$Y108),"yyyy-mm-dd")&amp;" (CSV row "&amp;($Y108+1)&amp;")")</f>
        <v/>
      </c>
      <c r="X108" t="str">
        <f>IFERROR(MATCH(103,Import_Staging!$BT$2:$BT$301,0),"")</f>
        <v/>
      </c>
      <c r="Y108" t="str">
        <f>IFERROR(MATCH(103,Import_Staging!$BV$2:$BV$301,0),"")</f>
        <v/>
      </c>
    </row>
    <row r="109">
      <c r="A109" s="24" t="str">
        <f>IF($X109="","",INDEX(Import_Staging!$A$2:$A$301,$X109)&amp;"")</f>
        <v/>
      </c>
      <c r="B109" s="27" t="str">
        <f>IF($X109="","",INDEX(Import_Staging!$M$2:$M$301,$X109))</f>
        <v/>
      </c>
      <c r="C109" s="24" t="str">
        <f>IF($X109="","",INDEX(Import_Staging!$C$2:$C$301,$X109)&amp;"")</f>
        <v/>
      </c>
      <c r="D109" s="24" t="str">
        <f>IF($X109="","",INDEX(Import_Staging!$D$2:$D$301,$X109)&amp;"")</f>
        <v/>
      </c>
      <c r="E109" s="69" t="str">
        <f>IF($X109="","",INDEX(Import_Staging!$O$2:$O$301,$X109))</f>
        <v/>
      </c>
      <c r="F109" s="24" t="str">
        <f>IF($X109="","",INDEX(Import_Staging!$F$2:$F$301,$X109)&amp;"")</f>
        <v/>
      </c>
      <c r="G109" s="24" t="str">
        <f>IF($X109="","",INDEX(Import_Staging!$J$2:$J$301,$X109)&amp;"")</f>
        <v/>
      </c>
      <c r="H109" s="24" t="str">
        <f>IF($X109="","",INDEX(Import_Staging!$K$2:$K$301,$X109)&amp;"")</f>
        <v/>
      </c>
      <c r="I109" s="24" t="str">
        <f>IF($X109="","",INDEX(Import_Staging!$L$2:$L$301,$X109)&amp;"")</f>
        <v/>
      </c>
      <c r="J109" s="24" t="str">
        <f>IF($X109="","","3PL import")</f>
        <v/>
      </c>
      <c r="K109" s="24" t="str">
        <f>IF($X109="","",Config!$B$11)</f>
        <v/>
      </c>
      <c r="L109" s="24" t="str">
        <f>IF($X109="","","CSV row "&amp;($X109+1))</f>
        <v/>
      </c>
      <c r="N109" s="24" t="str">
        <f>IF($Y109="","",INDEX(Import_Staging!$F$2:$F$301,$Y109)&amp;"")</f>
        <v/>
      </c>
      <c r="O109" s="24" t="str">
        <f>IF($Y109="","",INDEX(Import_Staging!$D$2:$D$301,$Y109)&amp;"")</f>
        <v/>
      </c>
      <c r="P109" s="24" t="str">
        <f>IF($Y109="","",INDEX(Import_Staging!$E$2:$E$301,$Y109)&amp;"")</f>
        <v/>
      </c>
      <c r="Q109" s="27" t="n"/>
      <c r="R109" s="27" t="str">
        <f>IF($Y109="","",INDEX(Import_Staging!$N$2:$N$301,$Y109))</f>
        <v/>
      </c>
      <c r="S109" s="70" t="str">
        <f>IF($Y109="","",0)</f>
        <v/>
      </c>
      <c r="T109" s="24" t="str">
        <f>IF($Y109="","",INDEX(Import_Staging!$I$2:$I$301,$Y109)&amp;"")</f>
        <v/>
      </c>
      <c r="U109" s="24" t="n"/>
      <c r="V109" s="24" t="str">
        <f>IF($Y109="","","Received "&amp;TEXT(INDEX(Import_Staging!$M$2:$M$301,$Y109),"yyyy-mm-dd")&amp;" (CSV row "&amp;($Y109+1)&amp;")")</f>
        <v/>
      </c>
      <c r="X109" t="str">
        <f>IFERROR(MATCH(104,Import_Staging!$BT$2:$BT$301,0),"")</f>
        <v/>
      </c>
      <c r="Y109" t="str">
        <f>IFERROR(MATCH(104,Import_Staging!$BV$2:$BV$301,0),"")</f>
        <v/>
      </c>
    </row>
    <row r="110">
      <c r="A110" s="24" t="str">
        <f>IF($X110="","",INDEX(Import_Staging!$A$2:$A$301,$X110)&amp;"")</f>
        <v/>
      </c>
      <c r="B110" s="27" t="str">
        <f>IF($X110="","",INDEX(Import_Staging!$M$2:$M$301,$X110))</f>
        <v/>
      </c>
      <c r="C110" s="24" t="str">
        <f>IF($X110="","",INDEX(Import_Staging!$C$2:$C$301,$X110)&amp;"")</f>
        <v/>
      </c>
      <c r="D110" s="24" t="str">
        <f>IF($X110="","",INDEX(Import_Staging!$D$2:$D$301,$X110)&amp;"")</f>
        <v/>
      </c>
      <c r="E110" s="69" t="str">
        <f>IF($X110="","",INDEX(Import_Staging!$O$2:$O$301,$X110))</f>
        <v/>
      </c>
      <c r="F110" s="24" t="str">
        <f>IF($X110="","",INDEX(Import_Staging!$F$2:$F$301,$X110)&amp;"")</f>
        <v/>
      </c>
      <c r="G110" s="24" t="str">
        <f>IF($X110="","",INDEX(Import_Staging!$J$2:$J$301,$X110)&amp;"")</f>
        <v/>
      </c>
      <c r="H110" s="24" t="str">
        <f>IF($X110="","",INDEX(Import_Staging!$K$2:$K$301,$X110)&amp;"")</f>
        <v/>
      </c>
      <c r="I110" s="24" t="str">
        <f>IF($X110="","",INDEX(Import_Staging!$L$2:$L$301,$X110)&amp;"")</f>
        <v/>
      </c>
      <c r="J110" s="24" t="str">
        <f>IF($X110="","","3PL import")</f>
        <v/>
      </c>
      <c r="K110" s="24" t="str">
        <f>IF($X110="","",Config!$B$11)</f>
        <v/>
      </c>
      <c r="L110" s="24" t="str">
        <f>IF($X110="","","CSV row "&amp;($X110+1))</f>
        <v/>
      </c>
      <c r="N110" s="24" t="str">
        <f>IF($Y110="","",INDEX(Import_Staging!$F$2:$F$301,$Y110)&amp;"")</f>
        <v/>
      </c>
      <c r="O110" s="24" t="str">
        <f>IF($Y110="","",INDEX(Import_Staging!$D$2:$D$301,$Y110)&amp;"")</f>
        <v/>
      </c>
      <c r="P110" s="24" t="str">
        <f>IF($Y110="","",INDEX(Import_Staging!$E$2:$E$301,$Y110)&amp;"")</f>
        <v/>
      </c>
      <c r="Q110" s="27" t="n"/>
      <c r="R110" s="27" t="str">
        <f>IF($Y110="","",INDEX(Import_Staging!$N$2:$N$301,$Y110))</f>
        <v/>
      </c>
      <c r="S110" s="70" t="str">
        <f>IF($Y110="","",0)</f>
        <v/>
      </c>
      <c r="T110" s="24" t="str">
        <f>IF($Y110="","",INDEX(Import_Staging!$I$2:$I$301,$Y110)&amp;"")</f>
        <v/>
      </c>
      <c r="U110" s="24" t="n"/>
      <c r="V110" s="24" t="str">
        <f>IF($Y110="","","Received "&amp;TEXT(INDEX(Import_Staging!$M$2:$M$301,$Y110),"yyyy-mm-dd")&amp;" (CSV row "&amp;($Y110+1)&amp;")")</f>
        <v/>
      </c>
      <c r="X110" t="str">
        <f>IFERROR(MATCH(105,Import_Staging!$BT$2:$BT$301,0),"")</f>
        <v/>
      </c>
      <c r="Y110" t="str">
        <f>IFERROR(MATCH(105,Import_Staging!$BV$2:$BV$301,0),"")</f>
        <v/>
      </c>
    </row>
    <row r="111">
      <c r="A111" s="24" t="str">
        <f>IF($X111="","",INDEX(Import_Staging!$A$2:$A$301,$X111)&amp;"")</f>
        <v/>
      </c>
      <c r="B111" s="27" t="str">
        <f>IF($X111="","",INDEX(Import_Staging!$M$2:$M$301,$X111))</f>
        <v/>
      </c>
      <c r="C111" s="24" t="str">
        <f>IF($X111="","",INDEX(Import_Staging!$C$2:$C$301,$X111)&amp;"")</f>
        <v/>
      </c>
      <c r="D111" s="24" t="str">
        <f>IF($X111="","",INDEX(Import_Staging!$D$2:$D$301,$X111)&amp;"")</f>
        <v/>
      </c>
      <c r="E111" s="69" t="str">
        <f>IF($X111="","",INDEX(Import_Staging!$O$2:$O$301,$X111))</f>
        <v/>
      </c>
      <c r="F111" s="24" t="str">
        <f>IF($X111="","",INDEX(Import_Staging!$F$2:$F$301,$X111)&amp;"")</f>
        <v/>
      </c>
      <c r="G111" s="24" t="str">
        <f>IF($X111="","",INDEX(Import_Staging!$J$2:$J$301,$X111)&amp;"")</f>
        <v/>
      </c>
      <c r="H111" s="24" t="str">
        <f>IF($X111="","",INDEX(Import_Staging!$K$2:$K$301,$X111)&amp;"")</f>
        <v/>
      </c>
      <c r="I111" s="24" t="str">
        <f>IF($X111="","",INDEX(Import_Staging!$L$2:$L$301,$X111)&amp;"")</f>
        <v/>
      </c>
      <c r="J111" s="24" t="str">
        <f>IF($X111="","","3PL import")</f>
        <v/>
      </c>
      <c r="K111" s="24" t="str">
        <f>IF($X111="","",Config!$B$11)</f>
        <v/>
      </c>
      <c r="L111" s="24" t="str">
        <f>IF($X111="","","CSV row "&amp;($X111+1))</f>
        <v/>
      </c>
      <c r="N111" s="24" t="str">
        <f>IF($Y111="","",INDEX(Import_Staging!$F$2:$F$301,$Y111)&amp;"")</f>
        <v/>
      </c>
      <c r="O111" s="24" t="str">
        <f>IF($Y111="","",INDEX(Import_Staging!$D$2:$D$301,$Y111)&amp;"")</f>
        <v/>
      </c>
      <c r="P111" s="24" t="str">
        <f>IF($Y111="","",INDEX(Import_Staging!$E$2:$E$301,$Y111)&amp;"")</f>
        <v/>
      </c>
      <c r="Q111" s="27" t="n"/>
      <c r="R111" s="27" t="str">
        <f>IF($Y111="","",INDEX(Import_Staging!$N$2:$N$301,$Y111))</f>
        <v/>
      </c>
      <c r="S111" s="70" t="str">
        <f>IF($Y111="","",0)</f>
        <v/>
      </c>
      <c r="T111" s="24" t="str">
        <f>IF($Y111="","",INDEX(Import_Staging!$I$2:$I$301,$Y111)&amp;"")</f>
        <v/>
      </c>
      <c r="U111" s="24" t="n"/>
      <c r="V111" s="24" t="str">
        <f>IF($Y111="","","Received "&amp;TEXT(INDEX(Import_Staging!$M$2:$M$301,$Y111),"yyyy-mm-dd")&amp;" (CSV row "&amp;($Y111+1)&amp;")")</f>
        <v/>
      </c>
      <c r="X111" t="str">
        <f>IFERROR(MATCH(106,Import_Staging!$BT$2:$BT$301,0),"")</f>
        <v/>
      </c>
      <c r="Y111" t="str">
        <f>IFERROR(MATCH(106,Import_Staging!$BV$2:$BV$301,0),"")</f>
        <v/>
      </c>
    </row>
    <row r="112">
      <c r="A112" s="24" t="str">
        <f>IF($X112="","",INDEX(Import_Staging!$A$2:$A$301,$X112)&amp;"")</f>
        <v/>
      </c>
      <c r="B112" s="27" t="str">
        <f>IF($X112="","",INDEX(Import_Staging!$M$2:$M$301,$X112))</f>
        <v/>
      </c>
      <c r="C112" s="24" t="str">
        <f>IF($X112="","",INDEX(Import_Staging!$C$2:$C$301,$X112)&amp;"")</f>
        <v/>
      </c>
      <c r="D112" s="24" t="str">
        <f>IF($X112="","",INDEX(Import_Staging!$D$2:$D$301,$X112)&amp;"")</f>
        <v/>
      </c>
      <c r="E112" s="69" t="str">
        <f>IF($X112="","",INDEX(Import_Staging!$O$2:$O$301,$X112))</f>
        <v/>
      </c>
      <c r="F112" s="24" t="str">
        <f>IF($X112="","",INDEX(Import_Staging!$F$2:$F$301,$X112)&amp;"")</f>
        <v/>
      </c>
      <c r="G112" s="24" t="str">
        <f>IF($X112="","",INDEX(Import_Staging!$J$2:$J$301,$X112)&amp;"")</f>
        <v/>
      </c>
      <c r="H112" s="24" t="str">
        <f>IF($X112="","",INDEX(Import_Staging!$K$2:$K$301,$X112)&amp;"")</f>
        <v/>
      </c>
      <c r="I112" s="24" t="str">
        <f>IF($X112="","",INDEX(Import_Staging!$L$2:$L$301,$X112)&amp;"")</f>
        <v/>
      </c>
      <c r="J112" s="24" t="str">
        <f>IF($X112="","","3PL import")</f>
        <v/>
      </c>
      <c r="K112" s="24" t="str">
        <f>IF($X112="","",Config!$B$11)</f>
        <v/>
      </c>
      <c r="L112" s="24" t="str">
        <f>IF($X112="","","CSV row "&amp;($X112+1))</f>
        <v/>
      </c>
      <c r="N112" s="24" t="str">
        <f>IF($Y112="","",INDEX(Import_Staging!$F$2:$F$301,$Y112)&amp;"")</f>
        <v/>
      </c>
      <c r="O112" s="24" t="str">
        <f>IF($Y112="","",INDEX(Import_Staging!$D$2:$D$301,$Y112)&amp;"")</f>
        <v/>
      </c>
      <c r="P112" s="24" t="str">
        <f>IF($Y112="","",INDEX(Import_Staging!$E$2:$E$301,$Y112)&amp;"")</f>
        <v/>
      </c>
      <c r="Q112" s="27" t="n"/>
      <c r="R112" s="27" t="str">
        <f>IF($Y112="","",INDEX(Import_Staging!$N$2:$N$301,$Y112))</f>
        <v/>
      </c>
      <c r="S112" s="70" t="str">
        <f>IF($Y112="","",0)</f>
        <v/>
      </c>
      <c r="T112" s="24" t="str">
        <f>IF($Y112="","",INDEX(Import_Staging!$I$2:$I$301,$Y112)&amp;"")</f>
        <v/>
      </c>
      <c r="U112" s="24" t="n"/>
      <c r="V112" s="24" t="str">
        <f>IF($Y112="","","Received "&amp;TEXT(INDEX(Import_Staging!$M$2:$M$301,$Y112),"yyyy-mm-dd")&amp;" (CSV row "&amp;($Y112+1)&amp;")")</f>
        <v/>
      </c>
      <c r="X112" t="str">
        <f>IFERROR(MATCH(107,Import_Staging!$BT$2:$BT$301,0),"")</f>
        <v/>
      </c>
      <c r="Y112" t="str">
        <f>IFERROR(MATCH(107,Import_Staging!$BV$2:$BV$301,0),"")</f>
        <v/>
      </c>
    </row>
    <row r="113">
      <c r="A113" s="24" t="str">
        <f>IF($X113="","",INDEX(Import_Staging!$A$2:$A$301,$X113)&amp;"")</f>
        <v/>
      </c>
      <c r="B113" s="27" t="str">
        <f>IF($X113="","",INDEX(Import_Staging!$M$2:$M$301,$X113))</f>
        <v/>
      </c>
      <c r="C113" s="24" t="str">
        <f>IF($X113="","",INDEX(Import_Staging!$C$2:$C$301,$X113)&amp;"")</f>
        <v/>
      </c>
      <c r="D113" s="24" t="str">
        <f>IF($X113="","",INDEX(Import_Staging!$D$2:$D$301,$X113)&amp;"")</f>
        <v/>
      </c>
      <c r="E113" s="69" t="str">
        <f>IF($X113="","",INDEX(Import_Staging!$O$2:$O$301,$X113))</f>
        <v/>
      </c>
      <c r="F113" s="24" t="str">
        <f>IF($X113="","",INDEX(Import_Staging!$F$2:$F$301,$X113)&amp;"")</f>
        <v/>
      </c>
      <c r="G113" s="24" t="str">
        <f>IF($X113="","",INDEX(Import_Staging!$J$2:$J$301,$X113)&amp;"")</f>
        <v/>
      </c>
      <c r="H113" s="24" t="str">
        <f>IF($X113="","",INDEX(Import_Staging!$K$2:$K$301,$X113)&amp;"")</f>
        <v/>
      </c>
      <c r="I113" s="24" t="str">
        <f>IF($X113="","",INDEX(Import_Staging!$L$2:$L$301,$X113)&amp;"")</f>
        <v/>
      </c>
      <c r="J113" s="24" t="str">
        <f>IF($X113="","","3PL import")</f>
        <v/>
      </c>
      <c r="K113" s="24" t="str">
        <f>IF($X113="","",Config!$B$11)</f>
        <v/>
      </c>
      <c r="L113" s="24" t="str">
        <f>IF($X113="","","CSV row "&amp;($X113+1))</f>
        <v/>
      </c>
      <c r="N113" s="24" t="str">
        <f>IF($Y113="","",INDEX(Import_Staging!$F$2:$F$301,$Y113)&amp;"")</f>
        <v/>
      </c>
      <c r="O113" s="24" t="str">
        <f>IF($Y113="","",INDEX(Import_Staging!$D$2:$D$301,$Y113)&amp;"")</f>
        <v/>
      </c>
      <c r="P113" s="24" t="str">
        <f>IF($Y113="","",INDEX(Import_Staging!$E$2:$E$301,$Y113)&amp;"")</f>
        <v/>
      </c>
      <c r="Q113" s="27" t="n"/>
      <c r="R113" s="27" t="str">
        <f>IF($Y113="","",INDEX(Import_Staging!$N$2:$N$301,$Y113))</f>
        <v/>
      </c>
      <c r="S113" s="70" t="str">
        <f>IF($Y113="","",0)</f>
        <v/>
      </c>
      <c r="T113" s="24" t="str">
        <f>IF($Y113="","",INDEX(Import_Staging!$I$2:$I$301,$Y113)&amp;"")</f>
        <v/>
      </c>
      <c r="U113" s="24" t="n"/>
      <c r="V113" s="24" t="str">
        <f>IF($Y113="","","Received "&amp;TEXT(INDEX(Import_Staging!$M$2:$M$301,$Y113),"yyyy-mm-dd")&amp;" (CSV row "&amp;($Y113+1)&amp;")")</f>
        <v/>
      </c>
      <c r="X113" t="str">
        <f>IFERROR(MATCH(108,Import_Staging!$BT$2:$BT$301,0),"")</f>
        <v/>
      </c>
      <c r="Y113" t="str">
        <f>IFERROR(MATCH(108,Import_Staging!$BV$2:$BV$301,0),"")</f>
        <v/>
      </c>
    </row>
    <row r="114">
      <c r="A114" s="24" t="str">
        <f>IF($X114="","",INDEX(Import_Staging!$A$2:$A$301,$X114)&amp;"")</f>
        <v/>
      </c>
      <c r="B114" s="27" t="str">
        <f>IF($X114="","",INDEX(Import_Staging!$M$2:$M$301,$X114))</f>
        <v/>
      </c>
      <c r="C114" s="24" t="str">
        <f>IF($X114="","",INDEX(Import_Staging!$C$2:$C$301,$X114)&amp;"")</f>
        <v/>
      </c>
      <c r="D114" s="24" t="str">
        <f>IF($X114="","",INDEX(Import_Staging!$D$2:$D$301,$X114)&amp;"")</f>
        <v/>
      </c>
      <c r="E114" s="69" t="str">
        <f>IF($X114="","",INDEX(Import_Staging!$O$2:$O$301,$X114))</f>
        <v/>
      </c>
      <c r="F114" s="24" t="str">
        <f>IF($X114="","",INDEX(Import_Staging!$F$2:$F$301,$X114)&amp;"")</f>
        <v/>
      </c>
      <c r="G114" s="24" t="str">
        <f>IF($X114="","",INDEX(Import_Staging!$J$2:$J$301,$X114)&amp;"")</f>
        <v/>
      </c>
      <c r="H114" s="24" t="str">
        <f>IF($X114="","",INDEX(Import_Staging!$K$2:$K$301,$X114)&amp;"")</f>
        <v/>
      </c>
      <c r="I114" s="24" t="str">
        <f>IF($X114="","",INDEX(Import_Staging!$L$2:$L$301,$X114)&amp;"")</f>
        <v/>
      </c>
      <c r="J114" s="24" t="str">
        <f>IF($X114="","","3PL import")</f>
        <v/>
      </c>
      <c r="K114" s="24" t="str">
        <f>IF($X114="","",Config!$B$11)</f>
        <v/>
      </c>
      <c r="L114" s="24" t="str">
        <f>IF($X114="","","CSV row "&amp;($X114+1))</f>
        <v/>
      </c>
      <c r="N114" s="24" t="str">
        <f>IF($Y114="","",INDEX(Import_Staging!$F$2:$F$301,$Y114)&amp;"")</f>
        <v/>
      </c>
      <c r="O114" s="24" t="str">
        <f>IF($Y114="","",INDEX(Import_Staging!$D$2:$D$301,$Y114)&amp;"")</f>
        <v/>
      </c>
      <c r="P114" s="24" t="str">
        <f>IF($Y114="","",INDEX(Import_Staging!$E$2:$E$301,$Y114)&amp;"")</f>
        <v/>
      </c>
      <c r="Q114" s="27" t="n"/>
      <c r="R114" s="27" t="str">
        <f>IF($Y114="","",INDEX(Import_Staging!$N$2:$N$301,$Y114))</f>
        <v/>
      </c>
      <c r="S114" s="70" t="str">
        <f>IF($Y114="","",0)</f>
        <v/>
      </c>
      <c r="T114" s="24" t="str">
        <f>IF($Y114="","",INDEX(Import_Staging!$I$2:$I$301,$Y114)&amp;"")</f>
        <v/>
      </c>
      <c r="U114" s="24" t="n"/>
      <c r="V114" s="24" t="str">
        <f>IF($Y114="","","Received "&amp;TEXT(INDEX(Import_Staging!$M$2:$M$301,$Y114),"yyyy-mm-dd")&amp;" (CSV row "&amp;($Y114+1)&amp;")")</f>
        <v/>
      </c>
      <c r="X114" t="str">
        <f>IFERROR(MATCH(109,Import_Staging!$BT$2:$BT$301,0),"")</f>
        <v/>
      </c>
      <c r="Y114" t="str">
        <f>IFERROR(MATCH(109,Import_Staging!$BV$2:$BV$301,0),"")</f>
        <v/>
      </c>
    </row>
    <row r="115">
      <c r="A115" s="24" t="str">
        <f>IF($X115="","",INDEX(Import_Staging!$A$2:$A$301,$X115)&amp;"")</f>
        <v/>
      </c>
      <c r="B115" s="27" t="str">
        <f>IF($X115="","",INDEX(Import_Staging!$M$2:$M$301,$X115))</f>
        <v/>
      </c>
      <c r="C115" s="24" t="str">
        <f>IF($X115="","",INDEX(Import_Staging!$C$2:$C$301,$X115)&amp;"")</f>
        <v/>
      </c>
      <c r="D115" s="24" t="str">
        <f>IF($X115="","",INDEX(Import_Staging!$D$2:$D$301,$X115)&amp;"")</f>
        <v/>
      </c>
      <c r="E115" s="69" t="str">
        <f>IF($X115="","",INDEX(Import_Staging!$O$2:$O$301,$X115))</f>
        <v/>
      </c>
      <c r="F115" s="24" t="str">
        <f>IF($X115="","",INDEX(Import_Staging!$F$2:$F$301,$X115)&amp;"")</f>
        <v/>
      </c>
      <c r="G115" s="24" t="str">
        <f>IF($X115="","",INDEX(Import_Staging!$J$2:$J$301,$X115)&amp;"")</f>
        <v/>
      </c>
      <c r="H115" s="24" t="str">
        <f>IF($X115="","",INDEX(Import_Staging!$K$2:$K$301,$X115)&amp;"")</f>
        <v/>
      </c>
      <c r="I115" s="24" t="str">
        <f>IF($X115="","",INDEX(Import_Staging!$L$2:$L$301,$X115)&amp;"")</f>
        <v/>
      </c>
      <c r="J115" s="24" t="str">
        <f>IF($X115="","","3PL import")</f>
        <v/>
      </c>
      <c r="K115" s="24" t="str">
        <f>IF($X115="","",Config!$B$11)</f>
        <v/>
      </c>
      <c r="L115" s="24" t="str">
        <f>IF($X115="","","CSV row "&amp;($X115+1))</f>
        <v/>
      </c>
      <c r="N115" s="24" t="str">
        <f>IF($Y115="","",INDEX(Import_Staging!$F$2:$F$301,$Y115)&amp;"")</f>
        <v/>
      </c>
      <c r="O115" s="24" t="str">
        <f>IF($Y115="","",INDEX(Import_Staging!$D$2:$D$301,$Y115)&amp;"")</f>
        <v/>
      </c>
      <c r="P115" s="24" t="str">
        <f>IF($Y115="","",INDEX(Import_Staging!$E$2:$E$301,$Y115)&amp;"")</f>
        <v/>
      </c>
      <c r="Q115" s="27" t="n"/>
      <c r="R115" s="27" t="str">
        <f>IF($Y115="","",INDEX(Import_Staging!$N$2:$N$301,$Y115))</f>
        <v/>
      </c>
      <c r="S115" s="70" t="str">
        <f>IF($Y115="","",0)</f>
        <v/>
      </c>
      <c r="T115" s="24" t="str">
        <f>IF($Y115="","",INDEX(Import_Staging!$I$2:$I$301,$Y115)&amp;"")</f>
        <v/>
      </c>
      <c r="U115" s="24" t="n"/>
      <c r="V115" s="24" t="str">
        <f>IF($Y115="","","Received "&amp;TEXT(INDEX(Import_Staging!$M$2:$M$301,$Y115),"yyyy-mm-dd")&amp;" (CSV row "&amp;($Y115+1)&amp;")")</f>
        <v/>
      </c>
      <c r="X115" t="str">
        <f>IFERROR(MATCH(110,Import_Staging!$BT$2:$BT$301,0),"")</f>
        <v/>
      </c>
      <c r="Y115" t="str">
        <f>IFERROR(MATCH(110,Import_Staging!$BV$2:$BV$301,0),"")</f>
        <v/>
      </c>
    </row>
    <row r="116">
      <c r="A116" s="24" t="str">
        <f>IF($X116="","",INDEX(Import_Staging!$A$2:$A$301,$X116)&amp;"")</f>
        <v/>
      </c>
      <c r="B116" s="27" t="str">
        <f>IF($X116="","",INDEX(Import_Staging!$M$2:$M$301,$X116))</f>
        <v/>
      </c>
      <c r="C116" s="24" t="str">
        <f>IF($X116="","",INDEX(Import_Staging!$C$2:$C$301,$X116)&amp;"")</f>
        <v/>
      </c>
      <c r="D116" s="24" t="str">
        <f>IF($X116="","",INDEX(Import_Staging!$D$2:$D$301,$X116)&amp;"")</f>
        <v/>
      </c>
      <c r="E116" s="69" t="str">
        <f>IF($X116="","",INDEX(Import_Staging!$O$2:$O$301,$X116))</f>
        <v/>
      </c>
      <c r="F116" s="24" t="str">
        <f>IF($X116="","",INDEX(Import_Staging!$F$2:$F$301,$X116)&amp;"")</f>
        <v/>
      </c>
      <c r="G116" s="24" t="str">
        <f>IF($X116="","",INDEX(Import_Staging!$J$2:$J$301,$X116)&amp;"")</f>
        <v/>
      </c>
      <c r="H116" s="24" t="str">
        <f>IF($X116="","",INDEX(Import_Staging!$K$2:$K$301,$X116)&amp;"")</f>
        <v/>
      </c>
      <c r="I116" s="24" t="str">
        <f>IF($X116="","",INDEX(Import_Staging!$L$2:$L$301,$X116)&amp;"")</f>
        <v/>
      </c>
      <c r="J116" s="24" t="str">
        <f>IF($X116="","","3PL import")</f>
        <v/>
      </c>
      <c r="K116" s="24" t="str">
        <f>IF($X116="","",Config!$B$11)</f>
        <v/>
      </c>
      <c r="L116" s="24" t="str">
        <f>IF($X116="","","CSV row "&amp;($X116+1))</f>
        <v/>
      </c>
      <c r="N116" s="24" t="str">
        <f>IF($Y116="","",INDEX(Import_Staging!$F$2:$F$301,$Y116)&amp;"")</f>
        <v/>
      </c>
      <c r="O116" s="24" t="str">
        <f>IF($Y116="","",INDEX(Import_Staging!$D$2:$D$301,$Y116)&amp;"")</f>
        <v/>
      </c>
      <c r="P116" s="24" t="str">
        <f>IF($Y116="","",INDEX(Import_Staging!$E$2:$E$301,$Y116)&amp;"")</f>
        <v/>
      </c>
      <c r="Q116" s="27" t="n"/>
      <c r="R116" s="27" t="str">
        <f>IF($Y116="","",INDEX(Import_Staging!$N$2:$N$301,$Y116))</f>
        <v/>
      </c>
      <c r="S116" s="70" t="str">
        <f>IF($Y116="","",0)</f>
        <v/>
      </c>
      <c r="T116" s="24" t="str">
        <f>IF($Y116="","",INDEX(Import_Staging!$I$2:$I$301,$Y116)&amp;"")</f>
        <v/>
      </c>
      <c r="U116" s="24" t="n"/>
      <c r="V116" s="24" t="str">
        <f>IF($Y116="","","Received "&amp;TEXT(INDEX(Import_Staging!$M$2:$M$301,$Y116),"yyyy-mm-dd")&amp;" (CSV row "&amp;($Y116+1)&amp;")")</f>
        <v/>
      </c>
      <c r="X116" t="str">
        <f>IFERROR(MATCH(111,Import_Staging!$BT$2:$BT$301,0),"")</f>
        <v/>
      </c>
      <c r="Y116" t="str">
        <f>IFERROR(MATCH(111,Import_Staging!$BV$2:$BV$301,0),"")</f>
        <v/>
      </c>
    </row>
    <row r="117">
      <c r="A117" s="24" t="str">
        <f>IF($X117="","",INDEX(Import_Staging!$A$2:$A$301,$X117)&amp;"")</f>
        <v/>
      </c>
      <c r="B117" s="27" t="str">
        <f>IF($X117="","",INDEX(Import_Staging!$M$2:$M$301,$X117))</f>
        <v/>
      </c>
      <c r="C117" s="24" t="str">
        <f>IF($X117="","",INDEX(Import_Staging!$C$2:$C$301,$X117)&amp;"")</f>
        <v/>
      </c>
      <c r="D117" s="24" t="str">
        <f>IF($X117="","",INDEX(Import_Staging!$D$2:$D$301,$X117)&amp;"")</f>
        <v/>
      </c>
      <c r="E117" s="69" t="str">
        <f>IF($X117="","",INDEX(Import_Staging!$O$2:$O$301,$X117))</f>
        <v/>
      </c>
      <c r="F117" s="24" t="str">
        <f>IF($X117="","",INDEX(Import_Staging!$F$2:$F$301,$X117)&amp;"")</f>
        <v/>
      </c>
      <c r="G117" s="24" t="str">
        <f>IF($X117="","",INDEX(Import_Staging!$J$2:$J$301,$X117)&amp;"")</f>
        <v/>
      </c>
      <c r="H117" s="24" t="str">
        <f>IF($X117="","",INDEX(Import_Staging!$K$2:$K$301,$X117)&amp;"")</f>
        <v/>
      </c>
      <c r="I117" s="24" t="str">
        <f>IF($X117="","",INDEX(Import_Staging!$L$2:$L$301,$X117)&amp;"")</f>
        <v/>
      </c>
      <c r="J117" s="24" t="str">
        <f>IF($X117="","","3PL import")</f>
        <v/>
      </c>
      <c r="K117" s="24" t="str">
        <f>IF($X117="","",Config!$B$11)</f>
        <v/>
      </c>
      <c r="L117" s="24" t="str">
        <f>IF($X117="","","CSV row "&amp;($X117+1))</f>
        <v/>
      </c>
      <c r="N117" s="24" t="str">
        <f>IF($Y117="","",INDEX(Import_Staging!$F$2:$F$301,$Y117)&amp;"")</f>
        <v/>
      </c>
      <c r="O117" s="24" t="str">
        <f>IF($Y117="","",INDEX(Import_Staging!$D$2:$D$301,$Y117)&amp;"")</f>
        <v/>
      </c>
      <c r="P117" s="24" t="str">
        <f>IF($Y117="","",INDEX(Import_Staging!$E$2:$E$301,$Y117)&amp;"")</f>
        <v/>
      </c>
      <c r="Q117" s="27" t="n"/>
      <c r="R117" s="27" t="str">
        <f>IF($Y117="","",INDEX(Import_Staging!$N$2:$N$301,$Y117))</f>
        <v/>
      </c>
      <c r="S117" s="70" t="str">
        <f>IF($Y117="","",0)</f>
        <v/>
      </c>
      <c r="T117" s="24" t="str">
        <f>IF($Y117="","",INDEX(Import_Staging!$I$2:$I$301,$Y117)&amp;"")</f>
        <v/>
      </c>
      <c r="U117" s="24" t="n"/>
      <c r="V117" s="24" t="str">
        <f>IF($Y117="","","Received "&amp;TEXT(INDEX(Import_Staging!$M$2:$M$301,$Y117),"yyyy-mm-dd")&amp;" (CSV row "&amp;($Y117+1)&amp;")")</f>
        <v/>
      </c>
      <c r="X117" t="str">
        <f>IFERROR(MATCH(112,Import_Staging!$BT$2:$BT$301,0),"")</f>
        <v/>
      </c>
      <c r="Y117" t="str">
        <f>IFERROR(MATCH(112,Import_Staging!$BV$2:$BV$301,0),"")</f>
        <v/>
      </c>
    </row>
    <row r="118">
      <c r="A118" s="24" t="str">
        <f>IF($X118="","",INDEX(Import_Staging!$A$2:$A$301,$X118)&amp;"")</f>
        <v/>
      </c>
      <c r="B118" s="27" t="str">
        <f>IF($X118="","",INDEX(Import_Staging!$M$2:$M$301,$X118))</f>
        <v/>
      </c>
      <c r="C118" s="24" t="str">
        <f>IF($X118="","",INDEX(Import_Staging!$C$2:$C$301,$X118)&amp;"")</f>
        <v/>
      </c>
      <c r="D118" s="24" t="str">
        <f>IF($X118="","",INDEX(Import_Staging!$D$2:$D$301,$X118)&amp;"")</f>
        <v/>
      </c>
      <c r="E118" s="69" t="str">
        <f>IF($X118="","",INDEX(Import_Staging!$O$2:$O$301,$X118))</f>
        <v/>
      </c>
      <c r="F118" s="24" t="str">
        <f>IF($X118="","",INDEX(Import_Staging!$F$2:$F$301,$X118)&amp;"")</f>
        <v/>
      </c>
      <c r="G118" s="24" t="str">
        <f>IF($X118="","",INDEX(Import_Staging!$J$2:$J$301,$X118)&amp;"")</f>
        <v/>
      </c>
      <c r="H118" s="24" t="str">
        <f>IF($X118="","",INDEX(Import_Staging!$K$2:$K$301,$X118)&amp;"")</f>
        <v/>
      </c>
      <c r="I118" s="24" t="str">
        <f>IF($X118="","",INDEX(Import_Staging!$L$2:$L$301,$X118)&amp;"")</f>
        <v/>
      </c>
      <c r="J118" s="24" t="str">
        <f>IF($X118="","","3PL import")</f>
        <v/>
      </c>
      <c r="K118" s="24" t="str">
        <f>IF($X118="","",Config!$B$11)</f>
        <v/>
      </c>
      <c r="L118" s="24" t="str">
        <f>IF($X118="","","CSV row "&amp;($X118+1))</f>
        <v/>
      </c>
      <c r="N118" s="24" t="str">
        <f>IF($Y118="","",INDEX(Import_Staging!$F$2:$F$301,$Y118)&amp;"")</f>
        <v/>
      </c>
      <c r="O118" s="24" t="str">
        <f>IF($Y118="","",INDEX(Import_Staging!$D$2:$D$301,$Y118)&amp;"")</f>
        <v/>
      </c>
      <c r="P118" s="24" t="str">
        <f>IF($Y118="","",INDEX(Import_Staging!$E$2:$E$301,$Y118)&amp;"")</f>
        <v/>
      </c>
      <c r="Q118" s="27" t="n"/>
      <c r="R118" s="27" t="str">
        <f>IF($Y118="","",INDEX(Import_Staging!$N$2:$N$301,$Y118))</f>
        <v/>
      </c>
      <c r="S118" s="70" t="str">
        <f>IF($Y118="","",0)</f>
        <v/>
      </c>
      <c r="T118" s="24" t="str">
        <f>IF($Y118="","",INDEX(Import_Staging!$I$2:$I$301,$Y118)&amp;"")</f>
        <v/>
      </c>
      <c r="U118" s="24" t="n"/>
      <c r="V118" s="24" t="str">
        <f>IF($Y118="","","Received "&amp;TEXT(INDEX(Import_Staging!$M$2:$M$301,$Y118),"yyyy-mm-dd")&amp;" (CSV row "&amp;($Y118+1)&amp;")")</f>
        <v/>
      </c>
      <c r="X118" t="str">
        <f>IFERROR(MATCH(113,Import_Staging!$BT$2:$BT$301,0),"")</f>
        <v/>
      </c>
      <c r="Y118" t="str">
        <f>IFERROR(MATCH(113,Import_Staging!$BV$2:$BV$301,0),"")</f>
        <v/>
      </c>
    </row>
    <row r="119">
      <c r="A119" s="24" t="str">
        <f>IF($X119="","",INDEX(Import_Staging!$A$2:$A$301,$X119)&amp;"")</f>
        <v/>
      </c>
      <c r="B119" s="27" t="str">
        <f>IF($X119="","",INDEX(Import_Staging!$M$2:$M$301,$X119))</f>
        <v/>
      </c>
      <c r="C119" s="24" t="str">
        <f>IF($X119="","",INDEX(Import_Staging!$C$2:$C$301,$X119)&amp;"")</f>
        <v/>
      </c>
      <c r="D119" s="24" t="str">
        <f>IF($X119="","",INDEX(Import_Staging!$D$2:$D$301,$X119)&amp;"")</f>
        <v/>
      </c>
      <c r="E119" s="69" t="str">
        <f>IF($X119="","",INDEX(Import_Staging!$O$2:$O$301,$X119))</f>
        <v/>
      </c>
      <c r="F119" s="24" t="str">
        <f>IF($X119="","",INDEX(Import_Staging!$F$2:$F$301,$X119)&amp;"")</f>
        <v/>
      </c>
      <c r="G119" s="24" t="str">
        <f>IF($X119="","",INDEX(Import_Staging!$J$2:$J$301,$X119)&amp;"")</f>
        <v/>
      </c>
      <c r="H119" s="24" t="str">
        <f>IF($X119="","",INDEX(Import_Staging!$K$2:$K$301,$X119)&amp;"")</f>
        <v/>
      </c>
      <c r="I119" s="24" t="str">
        <f>IF($X119="","",INDEX(Import_Staging!$L$2:$L$301,$X119)&amp;"")</f>
        <v/>
      </c>
      <c r="J119" s="24" t="str">
        <f>IF($X119="","","3PL import")</f>
        <v/>
      </c>
      <c r="K119" s="24" t="str">
        <f>IF($X119="","",Config!$B$11)</f>
        <v/>
      </c>
      <c r="L119" s="24" t="str">
        <f>IF($X119="","","CSV row "&amp;($X119+1))</f>
        <v/>
      </c>
      <c r="N119" s="24" t="str">
        <f>IF($Y119="","",INDEX(Import_Staging!$F$2:$F$301,$Y119)&amp;"")</f>
        <v/>
      </c>
      <c r="O119" s="24" t="str">
        <f>IF($Y119="","",INDEX(Import_Staging!$D$2:$D$301,$Y119)&amp;"")</f>
        <v/>
      </c>
      <c r="P119" s="24" t="str">
        <f>IF($Y119="","",INDEX(Import_Staging!$E$2:$E$301,$Y119)&amp;"")</f>
        <v/>
      </c>
      <c r="Q119" s="27" t="n"/>
      <c r="R119" s="27" t="str">
        <f>IF($Y119="","",INDEX(Import_Staging!$N$2:$N$301,$Y119))</f>
        <v/>
      </c>
      <c r="S119" s="70" t="str">
        <f>IF($Y119="","",0)</f>
        <v/>
      </c>
      <c r="T119" s="24" t="str">
        <f>IF($Y119="","",INDEX(Import_Staging!$I$2:$I$301,$Y119)&amp;"")</f>
        <v/>
      </c>
      <c r="U119" s="24" t="n"/>
      <c r="V119" s="24" t="str">
        <f>IF($Y119="","","Received "&amp;TEXT(INDEX(Import_Staging!$M$2:$M$301,$Y119),"yyyy-mm-dd")&amp;" (CSV row "&amp;($Y119+1)&amp;")")</f>
        <v/>
      </c>
      <c r="X119" t="str">
        <f>IFERROR(MATCH(114,Import_Staging!$BT$2:$BT$301,0),"")</f>
        <v/>
      </c>
      <c r="Y119" t="str">
        <f>IFERROR(MATCH(114,Import_Staging!$BV$2:$BV$301,0),"")</f>
        <v/>
      </c>
    </row>
    <row r="120">
      <c r="A120" s="24" t="str">
        <f>IF($X120="","",INDEX(Import_Staging!$A$2:$A$301,$X120)&amp;"")</f>
        <v/>
      </c>
      <c r="B120" s="27" t="str">
        <f>IF($X120="","",INDEX(Import_Staging!$M$2:$M$301,$X120))</f>
        <v/>
      </c>
      <c r="C120" s="24" t="str">
        <f>IF($X120="","",INDEX(Import_Staging!$C$2:$C$301,$X120)&amp;"")</f>
        <v/>
      </c>
      <c r="D120" s="24" t="str">
        <f>IF($X120="","",INDEX(Import_Staging!$D$2:$D$301,$X120)&amp;"")</f>
        <v/>
      </c>
      <c r="E120" s="69" t="str">
        <f>IF($X120="","",INDEX(Import_Staging!$O$2:$O$301,$X120))</f>
        <v/>
      </c>
      <c r="F120" s="24" t="str">
        <f>IF($X120="","",INDEX(Import_Staging!$F$2:$F$301,$X120)&amp;"")</f>
        <v/>
      </c>
      <c r="G120" s="24" t="str">
        <f>IF($X120="","",INDEX(Import_Staging!$J$2:$J$301,$X120)&amp;"")</f>
        <v/>
      </c>
      <c r="H120" s="24" t="str">
        <f>IF($X120="","",INDEX(Import_Staging!$K$2:$K$301,$X120)&amp;"")</f>
        <v/>
      </c>
      <c r="I120" s="24" t="str">
        <f>IF($X120="","",INDEX(Import_Staging!$L$2:$L$301,$X120)&amp;"")</f>
        <v/>
      </c>
      <c r="J120" s="24" t="str">
        <f>IF($X120="","","3PL import")</f>
        <v/>
      </c>
      <c r="K120" s="24" t="str">
        <f>IF($X120="","",Config!$B$11)</f>
        <v/>
      </c>
      <c r="L120" s="24" t="str">
        <f>IF($X120="","","CSV row "&amp;($X120+1))</f>
        <v/>
      </c>
      <c r="N120" s="24" t="str">
        <f>IF($Y120="","",INDEX(Import_Staging!$F$2:$F$301,$Y120)&amp;"")</f>
        <v/>
      </c>
      <c r="O120" s="24" t="str">
        <f>IF($Y120="","",INDEX(Import_Staging!$D$2:$D$301,$Y120)&amp;"")</f>
        <v/>
      </c>
      <c r="P120" s="24" t="str">
        <f>IF($Y120="","",INDEX(Import_Staging!$E$2:$E$301,$Y120)&amp;"")</f>
        <v/>
      </c>
      <c r="Q120" s="27" t="n"/>
      <c r="R120" s="27" t="str">
        <f>IF($Y120="","",INDEX(Import_Staging!$N$2:$N$301,$Y120))</f>
        <v/>
      </c>
      <c r="S120" s="70" t="str">
        <f>IF($Y120="","",0)</f>
        <v/>
      </c>
      <c r="T120" s="24" t="str">
        <f>IF($Y120="","",INDEX(Import_Staging!$I$2:$I$301,$Y120)&amp;"")</f>
        <v/>
      </c>
      <c r="U120" s="24" t="n"/>
      <c r="V120" s="24" t="str">
        <f>IF($Y120="","","Received "&amp;TEXT(INDEX(Import_Staging!$M$2:$M$301,$Y120),"yyyy-mm-dd")&amp;" (CSV row "&amp;($Y120+1)&amp;")")</f>
        <v/>
      </c>
      <c r="X120" t="str">
        <f>IFERROR(MATCH(115,Import_Staging!$BT$2:$BT$301,0),"")</f>
        <v/>
      </c>
      <c r="Y120" t="str">
        <f>IFERROR(MATCH(115,Import_Staging!$BV$2:$BV$301,0),"")</f>
        <v/>
      </c>
    </row>
    <row r="121">
      <c r="A121" s="24" t="str">
        <f>IF($X121="","",INDEX(Import_Staging!$A$2:$A$301,$X121)&amp;"")</f>
        <v/>
      </c>
      <c r="B121" s="27" t="str">
        <f>IF($X121="","",INDEX(Import_Staging!$M$2:$M$301,$X121))</f>
        <v/>
      </c>
      <c r="C121" s="24" t="str">
        <f>IF($X121="","",INDEX(Import_Staging!$C$2:$C$301,$X121)&amp;"")</f>
        <v/>
      </c>
      <c r="D121" s="24" t="str">
        <f>IF($X121="","",INDEX(Import_Staging!$D$2:$D$301,$X121)&amp;"")</f>
        <v/>
      </c>
      <c r="E121" s="69" t="str">
        <f>IF($X121="","",INDEX(Import_Staging!$O$2:$O$301,$X121))</f>
        <v/>
      </c>
      <c r="F121" s="24" t="str">
        <f>IF($X121="","",INDEX(Import_Staging!$F$2:$F$301,$X121)&amp;"")</f>
        <v/>
      </c>
      <c r="G121" s="24" t="str">
        <f>IF($X121="","",INDEX(Import_Staging!$J$2:$J$301,$X121)&amp;"")</f>
        <v/>
      </c>
      <c r="H121" s="24" t="str">
        <f>IF($X121="","",INDEX(Import_Staging!$K$2:$K$301,$X121)&amp;"")</f>
        <v/>
      </c>
      <c r="I121" s="24" t="str">
        <f>IF($X121="","",INDEX(Import_Staging!$L$2:$L$301,$X121)&amp;"")</f>
        <v/>
      </c>
      <c r="J121" s="24" t="str">
        <f>IF($X121="","","3PL import")</f>
        <v/>
      </c>
      <c r="K121" s="24" t="str">
        <f>IF($X121="","",Config!$B$11)</f>
        <v/>
      </c>
      <c r="L121" s="24" t="str">
        <f>IF($X121="","","CSV row "&amp;($X121+1))</f>
        <v/>
      </c>
      <c r="N121" s="24" t="str">
        <f>IF($Y121="","",INDEX(Import_Staging!$F$2:$F$301,$Y121)&amp;"")</f>
        <v/>
      </c>
      <c r="O121" s="24" t="str">
        <f>IF($Y121="","",INDEX(Import_Staging!$D$2:$D$301,$Y121)&amp;"")</f>
        <v/>
      </c>
      <c r="P121" s="24" t="str">
        <f>IF($Y121="","",INDEX(Import_Staging!$E$2:$E$301,$Y121)&amp;"")</f>
        <v/>
      </c>
      <c r="Q121" s="27" t="n"/>
      <c r="R121" s="27" t="str">
        <f>IF($Y121="","",INDEX(Import_Staging!$N$2:$N$301,$Y121))</f>
        <v/>
      </c>
      <c r="S121" s="70" t="str">
        <f>IF($Y121="","",0)</f>
        <v/>
      </c>
      <c r="T121" s="24" t="str">
        <f>IF($Y121="","",INDEX(Import_Staging!$I$2:$I$301,$Y121)&amp;"")</f>
        <v/>
      </c>
      <c r="U121" s="24" t="n"/>
      <c r="V121" s="24" t="str">
        <f>IF($Y121="","","Received "&amp;TEXT(INDEX(Import_Staging!$M$2:$M$301,$Y121),"yyyy-mm-dd")&amp;" (CSV row "&amp;($Y121+1)&amp;")")</f>
        <v/>
      </c>
      <c r="X121" t="str">
        <f>IFERROR(MATCH(116,Import_Staging!$BT$2:$BT$301,0),"")</f>
        <v/>
      </c>
      <c r="Y121" t="str">
        <f>IFERROR(MATCH(116,Import_Staging!$BV$2:$BV$301,0),"")</f>
        <v/>
      </c>
    </row>
    <row r="122">
      <c r="A122" s="24" t="str">
        <f>IF($X122="","",INDEX(Import_Staging!$A$2:$A$301,$X122)&amp;"")</f>
        <v/>
      </c>
      <c r="B122" s="27" t="str">
        <f>IF($X122="","",INDEX(Import_Staging!$M$2:$M$301,$X122))</f>
        <v/>
      </c>
      <c r="C122" s="24" t="str">
        <f>IF($X122="","",INDEX(Import_Staging!$C$2:$C$301,$X122)&amp;"")</f>
        <v/>
      </c>
      <c r="D122" s="24" t="str">
        <f>IF($X122="","",INDEX(Import_Staging!$D$2:$D$301,$X122)&amp;"")</f>
        <v/>
      </c>
      <c r="E122" s="69" t="str">
        <f>IF($X122="","",INDEX(Import_Staging!$O$2:$O$301,$X122))</f>
        <v/>
      </c>
      <c r="F122" s="24" t="str">
        <f>IF($X122="","",INDEX(Import_Staging!$F$2:$F$301,$X122)&amp;"")</f>
        <v/>
      </c>
      <c r="G122" s="24" t="str">
        <f>IF($X122="","",INDEX(Import_Staging!$J$2:$J$301,$X122)&amp;"")</f>
        <v/>
      </c>
      <c r="H122" s="24" t="str">
        <f>IF($X122="","",INDEX(Import_Staging!$K$2:$K$301,$X122)&amp;"")</f>
        <v/>
      </c>
      <c r="I122" s="24" t="str">
        <f>IF($X122="","",INDEX(Import_Staging!$L$2:$L$301,$X122)&amp;"")</f>
        <v/>
      </c>
      <c r="J122" s="24" t="str">
        <f>IF($X122="","","3PL import")</f>
        <v/>
      </c>
      <c r="K122" s="24" t="str">
        <f>IF($X122="","",Config!$B$11)</f>
        <v/>
      </c>
      <c r="L122" s="24" t="str">
        <f>IF($X122="","","CSV row "&amp;($X122+1))</f>
        <v/>
      </c>
      <c r="N122" s="24" t="str">
        <f>IF($Y122="","",INDEX(Import_Staging!$F$2:$F$301,$Y122)&amp;"")</f>
        <v/>
      </c>
      <c r="O122" s="24" t="str">
        <f>IF($Y122="","",INDEX(Import_Staging!$D$2:$D$301,$Y122)&amp;"")</f>
        <v/>
      </c>
      <c r="P122" s="24" t="str">
        <f>IF($Y122="","",INDEX(Import_Staging!$E$2:$E$301,$Y122)&amp;"")</f>
        <v/>
      </c>
      <c r="Q122" s="27" t="n"/>
      <c r="R122" s="27" t="str">
        <f>IF($Y122="","",INDEX(Import_Staging!$N$2:$N$301,$Y122))</f>
        <v/>
      </c>
      <c r="S122" s="70" t="str">
        <f>IF($Y122="","",0)</f>
        <v/>
      </c>
      <c r="T122" s="24" t="str">
        <f>IF($Y122="","",INDEX(Import_Staging!$I$2:$I$301,$Y122)&amp;"")</f>
        <v/>
      </c>
      <c r="U122" s="24" t="n"/>
      <c r="V122" s="24" t="str">
        <f>IF($Y122="","","Received "&amp;TEXT(INDEX(Import_Staging!$M$2:$M$301,$Y122),"yyyy-mm-dd")&amp;" (CSV row "&amp;($Y122+1)&amp;")")</f>
        <v/>
      </c>
      <c r="X122" t="str">
        <f>IFERROR(MATCH(117,Import_Staging!$BT$2:$BT$301,0),"")</f>
        <v/>
      </c>
      <c r="Y122" t="str">
        <f>IFERROR(MATCH(117,Import_Staging!$BV$2:$BV$301,0),"")</f>
        <v/>
      </c>
    </row>
    <row r="123">
      <c r="A123" s="24" t="str">
        <f>IF($X123="","",INDEX(Import_Staging!$A$2:$A$301,$X123)&amp;"")</f>
        <v/>
      </c>
      <c r="B123" s="27" t="str">
        <f>IF($X123="","",INDEX(Import_Staging!$M$2:$M$301,$X123))</f>
        <v/>
      </c>
      <c r="C123" s="24" t="str">
        <f>IF($X123="","",INDEX(Import_Staging!$C$2:$C$301,$X123)&amp;"")</f>
        <v/>
      </c>
      <c r="D123" s="24" t="str">
        <f>IF($X123="","",INDEX(Import_Staging!$D$2:$D$301,$X123)&amp;"")</f>
        <v/>
      </c>
      <c r="E123" s="69" t="str">
        <f>IF($X123="","",INDEX(Import_Staging!$O$2:$O$301,$X123))</f>
        <v/>
      </c>
      <c r="F123" s="24" t="str">
        <f>IF($X123="","",INDEX(Import_Staging!$F$2:$F$301,$X123)&amp;"")</f>
        <v/>
      </c>
      <c r="G123" s="24" t="str">
        <f>IF($X123="","",INDEX(Import_Staging!$J$2:$J$301,$X123)&amp;"")</f>
        <v/>
      </c>
      <c r="H123" s="24" t="str">
        <f>IF($X123="","",INDEX(Import_Staging!$K$2:$K$301,$X123)&amp;"")</f>
        <v/>
      </c>
      <c r="I123" s="24" t="str">
        <f>IF($X123="","",INDEX(Import_Staging!$L$2:$L$301,$X123)&amp;"")</f>
        <v/>
      </c>
      <c r="J123" s="24" t="str">
        <f>IF($X123="","","3PL import")</f>
        <v/>
      </c>
      <c r="K123" s="24" t="str">
        <f>IF($X123="","",Config!$B$11)</f>
        <v/>
      </c>
      <c r="L123" s="24" t="str">
        <f>IF($X123="","","CSV row "&amp;($X123+1))</f>
        <v/>
      </c>
      <c r="N123" s="24" t="str">
        <f>IF($Y123="","",INDEX(Import_Staging!$F$2:$F$301,$Y123)&amp;"")</f>
        <v/>
      </c>
      <c r="O123" s="24" t="str">
        <f>IF($Y123="","",INDEX(Import_Staging!$D$2:$D$301,$Y123)&amp;"")</f>
        <v/>
      </c>
      <c r="P123" s="24" t="str">
        <f>IF($Y123="","",INDEX(Import_Staging!$E$2:$E$301,$Y123)&amp;"")</f>
        <v/>
      </c>
      <c r="Q123" s="27" t="n"/>
      <c r="R123" s="27" t="str">
        <f>IF($Y123="","",INDEX(Import_Staging!$N$2:$N$301,$Y123))</f>
        <v/>
      </c>
      <c r="S123" s="70" t="str">
        <f>IF($Y123="","",0)</f>
        <v/>
      </c>
      <c r="T123" s="24" t="str">
        <f>IF($Y123="","",INDEX(Import_Staging!$I$2:$I$301,$Y123)&amp;"")</f>
        <v/>
      </c>
      <c r="U123" s="24" t="n"/>
      <c r="V123" s="24" t="str">
        <f>IF($Y123="","","Received "&amp;TEXT(INDEX(Import_Staging!$M$2:$M$301,$Y123),"yyyy-mm-dd")&amp;" (CSV row "&amp;($Y123+1)&amp;")")</f>
        <v/>
      </c>
      <c r="X123" t="str">
        <f>IFERROR(MATCH(118,Import_Staging!$BT$2:$BT$301,0),"")</f>
        <v/>
      </c>
      <c r="Y123" t="str">
        <f>IFERROR(MATCH(118,Import_Staging!$BV$2:$BV$301,0),"")</f>
        <v/>
      </c>
    </row>
    <row r="124">
      <c r="A124" s="24" t="str">
        <f>IF($X124="","",INDEX(Import_Staging!$A$2:$A$301,$X124)&amp;"")</f>
        <v/>
      </c>
      <c r="B124" s="27" t="str">
        <f>IF($X124="","",INDEX(Import_Staging!$M$2:$M$301,$X124))</f>
        <v/>
      </c>
      <c r="C124" s="24" t="str">
        <f>IF($X124="","",INDEX(Import_Staging!$C$2:$C$301,$X124)&amp;"")</f>
        <v/>
      </c>
      <c r="D124" s="24" t="str">
        <f>IF($X124="","",INDEX(Import_Staging!$D$2:$D$301,$X124)&amp;"")</f>
        <v/>
      </c>
      <c r="E124" s="69" t="str">
        <f>IF($X124="","",INDEX(Import_Staging!$O$2:$O$301,$X124))</f>
        <v/>
      </c>
      <c r="F124" s="24" t="str">
        <f>IF($X124="","",INDEX(Import_Staging!$F$2:$F$301,$X124)&amp;"")</f>
        <v/>
      </c>
      <c r="G124" s="24" t="str">
        <f>IF($X124="","",INDEX(Import_Staging!$J$2:$J$301,$X124)&amp;"")</f>
        <v/>
      </c>
      <c r="H124" s="24" t="str">
        <f>IF($X124="","",INDEX(Import_Staging!$K$2:$K$301,$X124)&amp;"")</f>
        <v/>
      </c>
      <c r="I124" s="24" t="str">
        <f>IF($X124="","",INDEX(Import_Staging!$L$2:$L$301,$X124)&amp;"")</f>
        <v/>
      </c>
      <c r="J124" s="24" t="str">
        <f>IF($X124="","","3PL import")</f>
        <v/>
      </c>
      <c r="K124" s="24" t="str">
        <f>IF($X124="","",Config!$B$11)</f>
        <v/>
      </c>
      <c r="L124" s="24" t="str">
        <f>IF($X124="","","CSV row "&amp;($X124+1))</f>
        <v/>
      </c>
      <c r="N124" s="24" t="str">
        <f>IF($Y124="","",INDEX(Import_Staging!$F$2:$F$301,$Y124)&amp;"")</f>
        <v/>
      </c>
      <c r="O124" s="24" t="str">
        <f>IF($Y124="","",INDEX(Import_Staging!$D$2:$D$301,$Y124)&amp;"")</f>
        <v/>
      </c>
      <c r="P124" s="24" t="str">
        <f>IF($Y124="","",INDEX(Import_Staging!$E$2:$E$301,$Y124)&amp;"")</f>
        <v/>
      </c>
      <c r="Q124" s="27" t="n"/>
      <c r="R124" s="27" t="str">
        <f>IF($Y124="","",INDEX(Import_Staging!$N$2:$N$301,$Y124))</f>
        <v/>
      </c>
      <c r="S124" s="70" t="str">
        <f>IF($Y124="","",0)</f>
        <v/>
      </c>
      <c r="T124" s="24" t="str">
        <f>IF($Y124="","",INDEX(Import_Staging!$I$2:$I$301,$Y124)&amp;"")</f>
        <v/>
      </c>
      <c r="U124" s="24" t="n"/>
      <c r="V124" s="24" t="str">
        <f>IF($Y124="","","Received "&amp;TEXT(INDEX(Import_Staging!$M$2:$M$301,$Y124),"yyyy-mm-dd")&amp;" (CSV row "&amp;($Y124+1)&amp;")")</f>
        <v/>
      </c>
      <c r="X124" t="str">
        <f>IFERROR(MATCH(119,Import_Staging!$BT$2:$BT$301,0),"")</f>
        <v/>
      </c>
      <c r="Y124" t="str">
        <f>IFERROR(MATCH(119,Import_Staging!$BV$2:$BV$301,0),"")</f>
        <v/>
      </c>
    </row>
    <row r="125">
      <c r="A125" s="24" t="str">
        <f>IF($X125="","",INDEX(Import_Staging!$A$2:$A$301,$X125)&amp;"")</f>
        <v/>
      </c>
      <c r="B125" s="27" t="str">
        <f>IF($X125="","",INDEX(Import_Staging!$M$2:$M$301,$X125))</f>
        <v/>
      </c>
      <c r="C125" s="24" t="str">
        <f>IF($X125="","",INDEX(Import_Staging!$C$2:$C$301,$X125)&amp;"")</f>
        <v/>
      </c>
      <c r="D125" s="24" t="str">
        <f>IF($X125="","",INDEX(Import_Staging!$D$2:$D$301,$X125)&amp;"")</f>
        <v/>
      </c>
      <c r="E125" s="69" t="str">
        <f>IF($X125="","",INDEX(Import_Staging!$O$2:$O$301,$X125))</f>
        <v/>
      </c>
      <c r="F125" s="24" t="str">
        <f>IF($X125="","",INDEX(Import_Staging!$F$2:$F$301,$X125)&amp;"")</f>
        <v/>
      </c>
      <c r="G125" s="24" t="str">
        <f>IF($X125="","",INDEX(Import_Staging!$J$2:$J$301,$X125)&amp;"")</f>
        <v/>
      </c>
      <c r="H125" s="24" t="str">
        <f>IF($X125="","",INDEX(Import_Staging!$K$2:$K$301,$X125)&amp;"")</f>
        <v/>
      </c>
      <c r="I125" s="24" t="str">
        <f>IF($X125="","",INDEX(Import_Staging!$L$2:$L$301,$X125)&amp;"")</f>
        <v/>
      </c>
      <c r="J125" s="24" t="str">
        <f>IF($X125="","","3PL import")</f>
        <v/>
      </c>
      <c r="K125" s="24" t="str">
        <f>IF($X125="","",Config!$B$11)</f>
        <v/>
      </c>
      <c r="L125" s="24" t="str">
        <f>IF($X125="","","CSV row "&amp;($X125+1))</f>
        <v/>
      </c>
      <c r="N125" s="24" t="str">
        <f>IF($Y125="","",INDEX(Import_Staging!$F$2:$F$301,$Y125)&amp;"")</f>
        <v/>
      </c>
      <c r="O125" s="24" t="str">
        <f>IF($Y125="","",INDEX(Import_Staging!$D$2:$D$301,$Y125)&amp;"")</f>
        <v/>
      </c>
      <c r="P125" s="24" t="str">
        <f>IF($Y125="","",INDEX(Import_Staging!$E$2:$E$301,$Y125)&amp;"")</f>
        <v/>
      </c>
      <c r="Q125" s="27" t="n"/>
      <c r="R125" s="27" t="str">
        <f>IF($Y125="","",INDEX(Import_Staging!$N$2:$N$301,$Y125))</f>
        <v/>
      </c>
      <c r="S125" s="70" t="str">
        <f>IF($Y125="","",0)</f>
        <v/>
      </c>
      <c r="T125" s="24" t="str">
        <f>IF($Y125="","",INDEX(Import_Staging!$I$2:$I$301,$Y125)&amp;"")</f>
        <v/>
      </c>
      <c r="U125" s="24" t="n"/>
      <c r="V125" s="24" t="str">
        <f>IF($Y125="","","Received "&amp;TEXT(INDEX(Import_Staging!$M$2:$M$301,$Y125),"yyyy-mm-dd")&amp;" (CSV row "&amp;($Y125+1)&amp;")")</f>
        <v/>
      </c>
      <c r="X125" t="str">
        <f>IFERROR(MATCH(120,Import_Staging!$BT$2:$BT$301,0),"")</f>
        <v/>
      </c>
      <c r="Y125" t="str">
        <f>IFERROR(MATCH(120,Import_Staging!$BV$2:$BV$301,0),"")</f>
        <v/>
      </c>
    </row>
    <row r="126">
      <c r="A126" s="24" t="str">
        <f>IF($X126="","",INDEX(Import_Staging!$A$2:$A$301,$X126)&amp;"")</f>
        <v/>
      </c>
      <c r="B126" s="27" t="str">
        <f>IF($X126="","",INDEX(Import_Staging!$M$2:$M$301,$X126))</f>
        <v/>
      </c>
      <c r="C126" s="24" t="str">
        <f>IF($X126="","",INDEX(Import_Staging!$C$2:$C$301,$X126)&amp;"")</f>
        <v/>
      </c>
      <c r="D126" s="24" t="str">
        <f>IF($X126="","",INDEX(Import_Staging!$D$2:$D$301,$X126)&amp;"")</f>
        <v/>
      </c>
      <c r="E126" s="69" t="str">
        <f>IF($X126="","",INDEX(Import_Staging!$O$2:$O$301,$X126))</f>
        <v/>
      </c>
      <c r="F126" s="24" t="str">
        <f>IF($X126="","",INDEX(Import_Staging!$F$2:$F$301,$X126)&amp;"")</f>
        <v/>
      </c>
      <c r="G126" s="24" t="str">
        <f>IF($X126="","",INDEX(Import_Staging!$J$2:$J$301,$X126)&amp;"")</f>
        <v/>
      </c>
      <c r="H126" s="24" t="str">
        <f>IF($X126="","",INDEX(Import_Staging!$K$2:$K$301,$X126)&amp;"")</f>
        <v/>
      </c>
      <c r="I126" s="24" t="str">
        <f>IF($X126="","",INDEX(Import_Staging!$L$2:$L$301,$X126)&amp;"")</f>
        <v/>
      </c>
      <c r="J126" s="24" t="str">
        <f>IF($X126="","","3PL import")</f>
        <v/>
      </c>
      <c r="K126" s="24" t="str">
        <f>IF($X126="","",Config!$B$11)</f>
        <v/>
      </c>
      <c r="L126" s="24" t="str">
        <f>IF($X126="","","CSV row "&amp;($X126+1))</f>
        <v/>
      </c>
      <c r="N126" s="24" t="str">
        <f>IF($Y126="","",INDEX(Import_Staging!$F$2:$F$301,$Y126)&amp;"")</f>
        <v/>
      </c>
      <c r="O126" s="24" t="str">
        <f>IF($Y126="","",INDEX(Import_Staging!$D$2:$D$301,$Y126)&amp;"")</f>
        <v/>
      </c>
      <c r="P126" s="24" t="str">
        <f>IF($Y126="","",INDEX(Import_Staging!$E$2:$E$301,$Y126)&amp;"")</f>
        <v/>
      </c>
      <c r="Q126" s="27" t="n"/>
      <c r="R126" s="27" t="str">
        <f>IF($Y126="","",INDEX(Import_Staging!$N$2:$N$301,$Y126))</f>
        <v/>
      </c>
      <c r="S126" s="70" t="str">
        <f>IF($Y126="","",0)</f>
        <v/>
      </c>
      <c r="T126" s="24" t="str">
        <f>IF($Y126="","",INDEX(Import_Staging!$I$2:$I$301,$Y126)&amp;"")</f>
        <v/>
      </c>
      <c r="U126" s="24" t="n"/>
      <c r="V126" s="24" t="str">
        <f>IF($Y126="","","Received "&amp;TEXT(INDEX(Import_Staging!$M$2:$M$301,$Y126),"yyyy-mm-dd")&amp;" (CSV row "&amp;($Y126+1)&amp;")")</f>
        <v/>
      </c>
      <c r="X126" t="str">
        <f>IFERROR(MATCH(121,Import_Staging!$BT$2:$BT$301,0),"")</f>
        <v/>
      </c>
      <c r="Y126" t="str">
        <f>IFERROR(MATCH(121,Import_Staging!$BV$2:$BV$301,0),"")</f>
        <v/>
      </c>
    </row>
    <row r="127">
      <c r="A127" s="24" t="str">
        <f>IF($X127="","",INDEX(Import_Staging!$A$2:$A$301,$X127)&amp;"")</f>
        <v/>
      </c>
      <c r="B127" s="27" t="str">
        <f>IF($X127="","",INDEX(Import_Staging!$M$2:$M$301,$X127))</f>
        <v/>
      </c>
      <c r="C127" s="24" t="str">
        <f>IF($X127="","",INDEX(Import_Staging!$C$2:$C$301,$X127)&amp;"")</f>
        <v/>
      </c>
      <c r="D127" s="24" t="str">
        <f>IF($X127="","",INDEX(Import_Staging!$D$2:$D$301,$X127)&amp;"")</f>
        <v/>
      </c>
      <c r="E127" s="69" t="str">
        <f>IF($X127="","",INDEX(Import_Staging!$O$2:$O$301,$X127))</f>
        <v/>
      </c>
      <c r="F127" s="24" t="str">
        <f>IF($X127="","",INDEX(Import_Staging!$F$2:$F$301,$X127)&amp;"")</f>
        <v/>
      </c>
      <c r="G127" s="24" t="str">
        <f>IF($X127="","",INDEX(Import_Staging!$J$2:$J$301,$X127)&amp;"")</f>
        <v/>
      </c>
      <c r="H127" s="24" t="str">
        <f>IF($X127="","",INDEX(Import_Staging!$K$2:$K$301,$X127)&amp;"")</f>
        <v/>
      </c>
      <c r="I127" s="24" t="str">
        <f>IF($X127="","",INDEX(Import_Staging!$L$2:$L$301,$X127)&amp;"")</f>
        <v/>
      </c>
      <c r="J127" s="24" t="str">
        <f>IF($X127="","","3PL import")</f>
        <v/>
      </c>
      <c r="K127" s="24" t="str">
        <f>IF($X127="","",Config!$B$11)</f>
        <v/>
      </c>
      <c r="L127" s="24" t="str">
        <f>IF($X127="","","CSV row "&amp;($X127+1))</f>
        <v/>
      </c>
      <c r="N127" s="24" t="str">
        <f>IF($Y127="","",INDEX(Import_Staging!$F$2:$F$301,$Y127)&amp;"")</f>
        <v/>
      </c>
      <c r="O127" s="24" t="str">
        <f>IF($Y127="","",INDEX(Import_Staging!$D$2:$D$301,$Y127)&amp;"")</f>
        <v/>
      </c>
      <c r="P127" s="24" t="str">
        <f>IF($Y127="","",INDEX(Import_Staging!$E$2:$E$301,$Y127)&amp;"")</f>
        <v/>
      </c>
      <c r="Q127" s="27" t="n"/>
      <c r="R127" s="27" t="str">
        <f>IF($Y127="","",INDEX(Import_Staging!$N$2:$N$301,$Y127))</f>
        <v/>
      </c>
      <c r="S127" s="70" t="str">
        <f>IF($Y127="","",0)</f>
        <v/>
      </c>
      <c r="T127" s="24" t="str">
        <f>IF($Y127="","",INDEX(Import_Staging!$I$2:$I$301,$Y127)&amp;"")</f>
        <v/>
      </c>
      <c r="U127" s="24" t="n"/>
      <c r="V127" s="24" t="str">
        <f>IF($Y127="","","Received "&amp;TEXT(INDEX(Import_Staging!$M$2:$M$301,$Y127),"yyyy-mm-dd")&amp;" (CSV row "&amp;($Y127+1)&amp;")")</f>
        <v/>
      </c>
      <c r="X127" t="str">
        <f>IFERROR(MATCH(122,Import_Staging!$BT$2:$BT$301,0),"")</f>
        <v/>
      </c>
      <c r="Y127" t="str">
        <f>IFERROR(MATCH(122,Import_Staging!$BV$2:$BV$301,0),"")</f>
        <v/>
      </c>
    </row>
    <row r="128">
      <c r="A128" s="24" t="str">
        <f>IF($X128="","",INDEX(Import_Staging!$A$2:$A$301,$X128)&amp;"")</f>
        <v/>
      </c>
      <c r="B128" s="27" t="str">
        <f>IF($X128="","",INDEX(Import_Staging!$M$2:$M$301,$X128))</f>
        <v/>
      </c>
      <c r="C128" s="24" t="str">
        <f>IF($X128="","",INDEX(Import_Staging!$C$2:$C$301,$X128)&amp;"")</f>
        <v/>
      </c>
      <c r="D128" s="24" t="str">
        <f>IF($X128="","",INDEX(Import_Staging!$D$2:$D$301,$X128)&amp;"")</f>
        <v/>
      </c>
      <c r="E128" s="69" t="str">
        <f>IF($X128="","",INDEX(Import_Staging!$O$2:$O$301,$X128))</f>
        <v/>
      </c>
      <c r="F128" s="24" t="str">
        <f>IF($X128="","",INDEX(Import_Staging!$F$2:$F$301,$X128)&amp;"")</f>
        <v/>
      </c>
      <c r="G128" s="24" t="str">
        <f>IF($X128="","",INDEX(Import_Staging!$J$2:$J$301,$X128)&amp;"")</f>
        <v/>
      </c>
      <c r="H128" s="24" t="str">
        <f>IF($X128="","",INDEX(Import_Staging!$K$2:$K$301,$X128)&amp;"")</f>
        <v/>
      </c>
      <c r="I128" s="24" t="str">
        <f>IF($X128="","",INDEX(Import_Staging!$L$2:$L$301,$X128)&amp;"")</f>
        <v/>
      </c>
      <c r="J128" s="24" t="str">
        <f>IF($X128="","","3PL import")</f>
        <v/>
      </c>
      <c r="K128" s="24" t="str">
        <f>IF($X128="","",Config!$B$11)</f>
        <v/>
      </c>
      <c r="L128" s="24" t="str">
        <f>IF($X128="","","CSV row "&amp;($X128+1))</f>
        <v/>
      </c>
      <c r="N128" s="24" t="str">
        <f>IF($Y128="","",INDEX(Import_Staging!$F$2:$F$301,$Y128)&amp;"")</f>
        <v/>
      </c>
      <c r="O128" s="24" t="str">
        <f>IF($Y128="","",INDEX(Import_Staging!$D$2:$D$301,$Y128)&amp;"")</f>
        <v/>
      </c>
      <c r="P128" s="24" t="str">
        <f>IF($Y128="","",INDEX(Import_Staging!$E$2:$E$301,$Y128)&amp;"")</f>
        <v/>
      </c>
      <c r="Q128" s="27" t="n"/>
      <c r="R128" s="27" t="str">
        <f>IF($Y128="","",INDEX(Import_Staging!$N$2:$N$301,$Y128))</f>
        <v/>
      </c>
      <c r="S128" s="70" t="str">
        <f>IF($Y128="","",0)</f>
        <v/>
      </c>
      <c r="T128" s="24" t="str">
        <f>IF($Y128="","",INDEX(Import_Staging!$I$2:$I$301,$Y128)&amp;"")</f>
        <v/>
      </c>
      <c r="U128" s="24" t="n"/>
      <c r="V128" s="24" t="str">
        <f>IF($Y128="","","Received "&amp;TEXT(INDEX(Import_Staging!$M$2:$M$301,$Y128),"yyyy-mm-dd")&amp;" (CSV row "&amp;($Y128+1)&amp;")")</f>
        <v/>
      </c>
      <c r="X128" t="str">
        <f>IFERROR(MATCH(123,Import_Staging!$BT$2:$BT$301,0),"")</f>
        <v/>
      </c>
      <c r="Y128" t="str">
        <f>IFERROR(MATCH(123,Import_Staging!$BV$2:$BV$301,0),"")</f>
        <v/>
      </c>
    </row>
    <row r="129">
      <c r="A129" s="24" t="str">
        <f>IF($X129="","",INDEX(Import_Staging!$A$2:$A$301,$X129)&amp;"")</f>
        <v/>
      </c>
      <c r="B129" s="27" t="str">
        <f>IF($X129="","",INDEX(Import_Staging!$M$2:$M$301,$X129))</f>
        <v/>
      </c>
      <c r="C129" s="24" t="str">
        <f>IF($X129="","",INDEX(Import_Staging!$C$2:$C$301,$X129)&amp;"")</f>
        <v/>
      </c>
      <c r="D129" s="24" t="str">
        <f>IF($X129="","",INDEX(Import_Staging!$D$2:$D$301,$X129)&amp;"")</f>
        <v/>
      </c>
      <c r="E129" s="69" t="str">
        <f>IF($X129="","",INDEX(Import_Staging!$O$2:$O$301,$X129))</f>
        <v/>
      </c>
      <c r="F129" s="24" t="str">
        <f>IF($X129="","",INDEX(Import_Staging!$F$2:$F$301,$X129)&amp;"")</f>
        <v/>
      </c>
      <c r="G129" s="24" t="str">
        <f>IF($X129="","",INDEX(Import_Staging!$J$2:$J$301,$X129)&amp;"")</f>
        <v/>
      </c>
      <c r="H129" s="24" t="str">
        <f>IF($X129="","",INDEX(Import_Staging!$K$2:$K$301,$X129)&amp;"")</f>
        <v/>
      </c>
      <c r="I129" s="24" t="str">
        <f>IF($X129="","",INDEX(Import_Staging!$L$2:$L$301,$X129)&amp;"")</f>
        <v/>
      </c>
      <c r="J129" s="24" t="str">
        <f>IF($X129="","","3PL import")</f>
        <v/>
      </c>
      <c r="K129" s="24" t="str">
        <f>IF($X129="","",Config!$B$11)</f>
        <v/>
      </c>
      <c r="L129" s="24" t="str">
        <f>IF($X129="","","CSV row "&amp;($X129+1))</f>
        <v/>
      </c>
      <c r="N129" s="24" t="str">
        <f>IF($Y129="","",INDEX(Import_Staging!$F$2:$F$301,$Y129)&amp;"")</f>
        <v/>
      </c>
      <c r="O129" s="24" t="str">
        <f>IF($Y129="","",INDEX(Import_Staging!$D$2:$D$301,$Y129)&amp;"")</f>
        <v/>
      </c>
      <c r="P129" s="24" t="str">
        <f>IF($Y129="","",INDEX(Import_Staging!$E$2:$E$301,$Y129)&amp;"")</f>
        <v/>
      </c>
      <c r="Q129" s="27" t="n"/>
      <c r="R129" s="27" t="str">
        <f>IF($Y129="","",INDEX(Import_Staging!$N$2:$N$301,$Y129))</f>
        <v/>
      </c>
      <c r="S129" s="70" t="str">
        <f>IF($Y129="","",0)</f>
        <v/>
      </c>
      <c r="T129" s="24" t="str">
        <f>IF($Y129="","",INDEX(Import_Staging!$I$2:$I$301,$Y129)&amp;"")</f>
        <v/>
      </c>
      <c r="U129" s="24" t="n"/>
      <c r="V129" s="24" t="str">
        <f>IF($Y129="","","Received "&amp;TEXT(INDEX(Import_Staging!$M$2:$M$301,$Y129),"yyyy-mm-dd")&amp;" (CSV row "&amp;($Y129+1)&amp;")")</f>
        <v/>
      </c>
      <c r="X129" t="str">
        <f>IFERROR(MATCH(124,Import_Staging!$BT$2:$BT$301,0),"")</f>
        <v/>
      </c>
      <c r="Y129" t="str">
        <f>IFERROR(MATCH(124,Import_Staging!$BV$2:$BV$301,0),"")</f>
        <v/>
      </c>
    </row>
    <row r="130">
      <c r="A130" s="24" t="str">
        <f>IF($X130="","",INDEX(Import_Staging!$A$2:$A$301,$X130)&amp;"")</f>
        <v/>
      </c>
      <c r="B130" s="27" t="str">
        <f>IF($X130="","",INDEX(Import_Staging!$M$2:$M$301,$X130))</f>
        <v/>
      </c>
      <c r="C130" s="24" t="str">
        <f>IF($X130="","",INDEX(Import_Staging!$C$2:$C$301,$X130)&amp;"")</f>
        <v/>
      </c>
      <c r="D130" s="24" t="str">
        <f>IF($X130="","",INDEX(Import_Staging!$D$2:$D$301,$X130)&amp;"")</f>
        <v/>
      </c>
      <c r="E130" s="69" t="str">
        <f>IF($X130="","",INDEX(Import_Staging!$O$2:$O$301,$X130))</f>
        <v/>
      </c>
      <c r="F130" s="24" t="str">
        <f>IF($X130="","",INDEX(Import_Staging!$F$2:$F$301,$X130)&amp;"")</f>
        <v/>
      </c>
      <c r="G130" s="24" t="str">
        <f>IF($X130="","",INDEX(Import_Staging!$J$2:$J$301,$X130)&amp;"")</f>
        <v/>
      </c>
      <c r="H130" s="24" t="str">
        <f>IF($X130="","",INDEX(Import_Staging!$K$2:$K$301,$X130)&amp;"")</f>
        <v/>
      </c>
      <c r="I130" s="24" t="str">
        <f>IF($X130="","",INDEX(Import_Staging!$L$2:$L$301,$X130)&amp;"")</f>
        <v/>
      </c>
      <c r="J130" s="24" t="str">
        <f>IF($X130="","","3PL import")</f>
        <v/>
      </c>
      <c r="K130" s="24" t="str">
        <f>IF($X130="","",Config!$B$11)</f>
        <v/>
      </c>
      <c r="L130" s="24" t="str">
        <f>IF($X130="","","CSV row "&amp;($X130+1))</f>
        <v/>
      </c>
      <c r="N130" s="24" t="str">
        <f>IF($Y130="","",INDEX(Import_Staging!$F$2:$F$301,$Y130)&amp;"")</f>
        <v/>
      </c>
      <c r="O130" s="24" t="str">
        <f>IF($Y130="","",INDEX(Import_Staging!$D$2:$D$301,$Y130)&amp;"")</f>
        <v/>
      </c>
      <c r="P130" s="24" t="str">
        <f>IF($Y130="","",INDEX(Import_Staging!$E$2:$E$301,$Y130)&amp;"")</f>
        <v/>
      </c>
      <c r="Q130" s="27" t="n"/>
      <c r="R130" s="27" t="str">
        <f>IF($Y130="","",INDEX(Import_Staging!$N$2:$N$301,$Y130))</f>
        <v/>
      </c>
      <c r="S130" s="70" t="str">
        <f>IF($Y130="","",0)</f>
        <v/>
      </c>
      <c r="T130" s="24" t="str">
        <f>IF($Y130="","",INDEX(Import_Staging!$I$2:$I$301,$Y130)&amp;"")</f>
        <v/>
      </c>
      <c r="U130" s="24" t="n"/>
      <c r="V130" s="24" t="str">
        <f>IF($Y130="","","Received "&amp;TEXT(INDEX(Import_Staging!$M$2:$M$301,$Y130),"yyyy-mm-dd")&amp;" (CSV row "&amp;($Y130+1)&amp;")")</f>
        <v/>
      </c>
      <c r="X130" t="str">
        <f>IFERROR(MATCH(125,Import_Staging!$BT$2:$BT$301,0),"")</f>
        <v/>
      </c>
      <c r="Y130" t="str">
        <f>IFERROR(MATCH(125,Import_Staging!$BV$2:$BV$301,0),"")</f>
        <v/>
      </c>
    </row>
    <row r="131">
      <c r="A131" s="24" t="str">
        <f>IF($X131="","",INDEX(Import_Staging!$A$2:$A$301,$X131)&amp;"")</f>
        <v/>
      </c>
      <c r="B131" s="27" t="str">
        <f>IF($X131="","",INDEX(Import_Staging!$M$2:$M$301,$X131))</f>
        <v/>
      </c>
      <c r="C131" s="24" t="str">
        <f>IF($X131="","",INDEX(Import_Staging!$C$2:$C$301,$X131)&amp;"")</f>
        <v/>
      </c>
      <c r="D131" s="24" t="str">
        <f>IF($X131="","",INDEX(Import_Staging!$D$2:$D$301,$X131)&amp;"")</f>
        <v/>
      </c>
      <c r="E131" s="69" t="str">
        <f>IF($X131="","",INDEX(Import_Staging!$O$2:$O$301,$X131))</f>
        <v/>
      </c>
      <c r="F131" s="24" t="str">
        <f>IF($X131="","",INDEX(Import_Staging!$F$2:$F$301,$X131)&amp;"")</f>
        <v/>
      </c>
      <c r="G131" s="24" t="str">
        <f>IF($X131="","",INDEX(Import_Staging!$J$2:$J$301,$X131)&amp;"")</f>
        <v/>
      </c>
      <c r="H131" s="24" t="str">
        <f>IF($X131="","",INDEX(Import_Staging!$K$2:$K$301,$X131)&amp;"")</f>
        <v/>
      </c>
      <c r="I131" s="24" t="str">
        <f>IF($X131="","",INDEX(Import_Staging!$L$2:$L$301,$X131)&amp;"")</f>
        <v/>
      </c>
      <c r="J131" s="24" t="str">
        <f>IF($X131="","","3PL import")</f>
        <v/>
      </c>
      <c r="K131" s="24" t="str">
        <f>IF($X131="","",Config!$B$11)</f>
        <v/>
      </c>
      <c r="L131" s="24" t="str">
        <f>IF($X131="","","CSV row "&amp;($X131+1))</f>
        <v/>
      </c>
      <c r="N131" s="24" t="str">
        <f>IF($Y131="","",INDEX(Import_Staging!$F$2:$F$301,$Y131)&amp;"")</f>
        <v/>
      </c>
      <c r="O131" s="24" t="str">
        <f>IF($Y131="","",INDEX(Import_Staging!$D$2:$D$301,$Y131)&amp;"")</f>
        <v/>
      </c>
      <c r="P131" s="24" t="str">
        <f>IF($Y131="","",INDEX(Import_Staging!$E$2:$E$301,$Y131)&amp;"")</f>
        <v/>
      </c>
      <c r="Q131" s="27" t="n"/>
      <c r="R131" s="27" t="str">
        <f>IF($Y131="","",INDEX(Import_Staging!$N$2:$N$301,$Y131))</f>
        <v/>
      </c>
      <c r="S131" s="70" t="str">
        <f>IF($Y131="","",0)</f>
        <v/>
      </c>
      <c r="T131" s="24" t="str">
        <f>IF($Y131="","",INDEX(Import_Staging!$I$2:$I$301,$Y131)&amp;"")</f>
        <v/>
      </c>
      <c r="U131" s="24" t="n"/>
      <c r="V131" s="24" t="str">
        <f>IF($Y131="","","Received "&amp;TEXT(INDEX(Import_Staging!$M$2:$M$301,$Y131),"yyyy-mm-dd")&amp;" (CSV row "&amp;($Y131+1)&amp;")")</f>
        <v/>
      </c>
      <c r="X131" t="str">
        <f>IFERROR(MATCH(126,Import_Staging!$BT$2:$BT$301,0),"")</f>
        <v/>
      </c>
      <c r="Y131" t="str">
        <f>IFERROR(MATCH(126,Import_Staging!$BV$2:$BV$301,0),"")</f>
        <v/>
      </c>
    </row>
    <row r="132">
      <c r="A132" s="24" t="str">
        <f>IF($X132="","",INDEX(Import_Staging!$A$2:$A$301,$X132)&amp;"")</f>
        <v/>
      </c>
      <c r="B132" s="27" t="str">
        <f>IF($X132="","",INDEX(Import_Staging!$M$2:$M$301,$X132))</f>
        <v/>
      </c>
      <c r="C132" s="24" t="str">
        <f>IF($X132="","",INDEX(Import_Staging!$C$2:$C$301,$X132)&amp;"")</f>
        <v/>
      </c>
      <c r="D132" s="24" t="str">
        <f>IF($X132="","",INDEX(Import_Staging!$D$2:$D$301,$X132)&amp;"")</f>
        <v/>
      </c>
      <c r="E132" s="69" t="str">
        <f>IF($X132="","",INDEX(Import_Staging!$O$2:$O$301,$X132))</f>
        <v/>
      </c>
      <c r="F132" s="24" t="str">
        <f>IF($X132="","",INDEX(Import_Staging!$F$2:$F$301,$X132)&amp;"")</f>
        <v/>
      </c>
      <c r="G132" s="24" t="str">
        <f>IF($X132="","",INDEX(Import_Staging!$J$2:$J$301,$X132)&amp;"")</f>
        <v/>
      </c>
      <c r="H132" s="24" t="str">
        <f>IF($X132="","",INDEX(Import_Staging!$K$2:$K$301,$X132)&amp;"")</f>
        <v/>
      </c>
      <c r="I132" s="24" t="str">
        <f>IF($X132="","",INDEX(Import_Staging!$L$2:$L$301,$X132)&amp;"")</f>
        <v/>
      </c>
      <c r="J132" s="24" t="str">
        <f>IF($X132="","","3PL import")</f>
        <v/>
      </c>
      <c r="K132" s="24" t="str">
        <f>IF($X132="","",Config!$B$11)</f>
        <v/>
      </c>
      <c r="L132" s="24" t="str">
        <f>IF($X132="","","CSV row "&amp;($X132+1))</f>
        <v/>
      </c>
      <c r="N132" s="24" t="str">
        <f>IF($Y132="","",INDEX(Import_Staging!$F$2:$F$301,$Y132)&amp;"")</f>
        <v/>
      </c>
      <c r="O132" s="24" t="str">
        <f>IF($Y132="","",INDEX(Import_Staging!$D$2:$D$301,$Y132)&amp;"")</f>
        <v/>
      </c>
      <c r="P132" s="24" t="str">
        <f>IF($Y132="","",INDEX(Import_Staging!$E$2:$E$301,$Y132)&amp;"")</f>
        <v/>
      </c>
      <c r="Q132" s="27" t="n"/>
      <c r="R132" s="27" t="str">
        <f>IF($Y132="","",INDEX(Import_Staging!$N$2:$N$301,$Y132))</f>
        <v/>
      </c>
      <c r="S132" s="70" t="str">
        <f>IF($Y132="","",0)</f>
        <v/>
      </c>
      <c r="T132" s="24" t="str">
        <f>IF($Y132="","",INDEX(Import_Staging!$I$2:$I$301,$Y132)&amp;"")</f>
        <v/>
      </c>
      <c r="U132" s="24" t="n"/>
      <c r="V132" s="24" t="str">
        <f>IF($Y132="","","Received "&amp;TEXT(INDEX(Import_Staging!$M$2:$M$301,$Y132),"yyyy-mm-dd")&amp;" (CSV row "&amp;($Y132+1)&amp;")")</f>
        <v/>
      </c>
      <c r="X132" t="str">
        <f>IFERROR(MATCH(127,Import_Staging!$BT$2:$BT$301,0),"")</f>
        <v/>
      </c>
      <c r="Y132" t="str">
        <f>IFERROR(MATCH(127,Import_Staging!$BV$2:$BV$301,0),"")</f>
        <v/>
      </c>
    </row>
    <row r="133">
      <c r="A133" s="24" t="str">
        <f>IF($X133="","",INDEX(Import_Staging!$A$2:$A$301,$X133)&amp;"")</f>
        <v/>
      </c>
      <c r="B133" s="27" t="str">
        <f>IF($X133="","",INDEX(Import_Staging!$M$2:$M$301,$X133))</f>
        <v/>
      </c>
      <c r="C133" s="24" t="str">
        <f>IF($X133="","",INDEX(Import_Staging!$C$2:$C$301,$X133)&amp;"")</f>
        <v/>
      </c>
      <c r="D133" s="24" t="str">
        <f>IF($X133="","",INDEX(Import_Staging!$D$2:$D$301,$X133)&amp;"")</f>
        <v/>
      </c>
      <c r="E133" s="69" t="str">
        <f>IF($X133="","",INDEX(Import_Staging!$O$2:$O$301,$X133))</f>
        <v/>
      </c>
      <c r="F133" s="24" t="str">
        <f>IF($X133="","",INDEX(Import_Staging!$F$2:$F$301,$X133)&amp;"")</f>
        <v/>
      </c>
      <c r="G133" s="24" t="str">
        <f>IF($X133="","",INDEX(Import_Staging!$J$2:$J$301,$X133)&amp;"")</f>
        <v/>
      </c>
      <c r="H133" s="24" t="str">
        <f>IF($X133="","",INDEX(Import_Staging!$K$2:$K$301,$X133)&amp;"")</f>
        <v/>
      </c>
      <c r="I133" s="24" t="str">
        <f>IF($X133="","",INDEX(Import_Staging!$L$2:$L$301,$X133)&amp;"")</f>
        <v/>
      </c>
      <c r="J133" s="24" t="str">
        <f>IF($X133="","","3PL import")</f>
        <v/>
      </c>
      <c r="K133" s="24" t="str">
        <f>IF($X133="","",Config!$B$11)</f>
        <v/>
      </c>
      <c r="L133" s="24" t="str">
        <f>IF($X133="","","CSV row "&amp;($X133+1))</f>
        <v/>
      </c>
      <c r="N133" s="24" t="str">
        <f>IF($Y133="","",INDEX(Import_Staging!$F$2:$F$301,$Y133)&amp;"")</f>
        <v/>
      </c>
      <c r="O133" s="24" t="str">
        <f>IF($Y133="","",INDEX(Import_Staging!$D$2:$D$301,$Y133)&amp;"")</f>
        <v/>
      </c>
      <c r="P133" s="24" t="str">
        <f>IF($Y133="","",INDEX(Import_Staging!$E$2:$E$301,$Y133)&amp;"")</f>
        <v/>
      </c>
      <c r="Q133" s="27" t="n"/>
      <c r="R133" s="27" t="str">
        <f>IF($Y133="","",INDEX(Import_Staging!$N$2:$N$301,$Y133))</f>
        <v/>
      </c>
      <c r="S133" s="70" t="str">
        <f>IF($Y133="","",0)</f>
        <v/>
      </c>
      <c r="T133" s="24" t="str">
        <f>IF($Y133="","",INDEX(Import_Staging!$I$2:$I$301,$Y133)&amp;"")</f>
        <v/>
      </c>
      <c r="U133" s="24" t="n"/>
      <c r="V133" s="24" t="str">
        <f>IF($Y133="","","Received "&amp;TEXT(INDEX(Import_Staging!$M$2:$M$301,$Y133),"yyyy-mm-dd")&amp;" (CSV row "&amp;($Y133+1)&amp;")")</f>
        <v/>
      </c>
      <c r="X133" t="str">
        <f>IFERROR(MATCH(128,Import_Staging!$BT$2:$BT$301,0),"")</f>
        <v/>
      </c>
      <c r="Y133" t="str">
        <f>IFERROR(MATCH(128,Import_Staging!$BV$2:$BV$301,0),"")</f>
        <v/>
      </c>
    </row>
    <row r="134">
      <c r="A134" s="24" t="str">
        <f>IF($X134="","",INDEX(Import_Staging!$A$2:$A$301,$X134)&amp;"")</f>
        <v/>
      </c>
      <c r="B134" s="27" t="str">
        <f>IF($X134="","",INDEX(Import_Staging!$M$2:$M$301,$X134))</f>
        <v/>
      </c>
      <c r="C134" s="24" t="str">
        <f>IF($X134="","",INDEX(Import_Staging!$C$2:$C$301,$X134)&amp;"")</f>
        <v/>
      </c>
      <c r="D134" s="24" t="str">
        <f>IF($X134="","",INDEX(Import_Staging!$D$2:$D$301,$X134)&amp;"")</f>
        <v/>
      </c>
      <c r="E134" s="69" t="str">
        <f>IF($X134="","",INDEX(Import_Staging!$O$2:$O$301,$X134))</f>
        <v/>
      </c>
      <c r="F134" s="24" t="str">
        <f>IF($X134="","",INDEX(Import_Staging!$F$2:$F$301,$X134)&amp;"")</f>
        <v/>
      </c>
      <c r="G134" s="24" t="str">
        <f>IF($X134="","",INDEX(Import_Staging!$J$2:$J$301,$X134)&amp;"")</f>
        <v/>
      </c>
      <c r="H134" s="24" t="str">
        <f>IF($X134="","",INDEX(Import_Staging!$K$2:$K$301,$X134)&amp;"")</f>
        <v/>
      </c>
      <c r="I134" s="24" t="str">
        <f>IF($X134="","",INDEX(Import_Staging!$L$2:$L$301,$X134)&amp;"")</f>
        <v/>
      </c>
      <c r="J134" s="24" t="str">
        <f>IF($X134="","","3PL import")</f>
        <v/>
      </c>
      <c r="K134" s="24" t="str">
        <f>IF($X134="","",Config!$B$11)</f>
        <v/>
      </c>
      <c r="L134" s="24" t="str">
        <f>IF($X134="","","CSV row "&amp;($X134+1))</f>
        <v/>
      </c>
      <c r="N134" s="24" t="str">
        <f>IF($Y134="","",INDEX(Import_Staging!$F$2:$F$301,$Y134)&amp;"")</f>
        <v/>
      </c>
      <c r="O134" s="24" t="str">
        <f>IF($Y134="","",INDEX(Import_Staging!$D$2:$D$301,$Y134)&amp;"")</f>
        <v/>
      </c>
      <c r="P134" s="24" t="str">
        <f>IF($Y134="","",INDEX(Import_Staging!$E$2:$E$301,$Y134)&amp;"")</f>
        <v/>
      </c>
      <c r="Q134" s="27" t="n"/>
      <c r="R134" s="27" t="str">
        <f>IF($Y134="","",INDEX(Import_Staging!$N$2:$N$301,$Y134))</f>
        <v/>
      </c>
      <c r="S134" s="70" t="str">
        <f>IF($Y134="","",0)</f>
        <v/>
      </c>
      <c r="T134" s="24" t="str">
        <f>IF($Y134="","",INDEX(Import_Staging!$I$2:$I$301,$Y134)&amp;"")</f>
        <v/>
      </c>
      <c r="U134" s="24" t="n"/>
      <c r="V134" s="24" t="str">
        <f>IF($Y134="","","Received "&amp;TEXT(INDEX(Import_Staging!$M$2:$M$301,$Y134),"yyyy-mm-dd")&amp;" (CSV row "&amp;($Y134+1)&amp;")")</f>
        <v/>
      </c>
      <c r="X134" t="str">
        <f>IFERROR(MATCH(129,Import_Staging!$BT$2:$BT$301,0),"")</f>
        <v/>
      </c>
      <c r="Y134" t="str">
        <f>IFERROR(MATCH(129,Import_Staging!$BV$2:$BV$301,0),"")</f>
        <v/>
      </c>
    </row>
    <row r="135">
      <c r="A135" s="24" t="str">
        <f>IF($X135="","",INDEX(Import_Staging!$A$2:$A$301,$X135)&amp;"")</f>
        <v/>
      </c>
      <c r="B135" s="27" t="str">
        <f>IF($X135="","",INDEX(Import_Staging!$M$2:$M$301,$X135))</f>
        <v/>
      </c>
      <c r="C135" s="24" t="str">
        <f>IF($X135="","",INDEX(Import_Staging!$C$2:$C$301,$X135)&amp;"")</f>
        <v/>
      </c>
      <c r="D135" s="24" t="str">
        <f>IF($X135="","",INDEX(Import_Staging!$D$2:$D$301,$X135)&amp;"")</f>
        <v/>
      </c>
      <c r="E135" s="69" t="str">
        <f>IF($X135="","",INDEX(Import_Staging!$O$2:$O$301,$X135))</f>
        <v/>
      </c>
      <c r="F135" s="24" t="str">
        <f>IF($X135="","",INDEX(Import_Staging!$F$2:$F$301,$X135)&amp;"")</f>
        <v/>
      </c>
      <c r="G135" s="24" t="str">
        <f>IF($X135="","",INDEX(Import_Staging!$J$2:$J$301,$X135)&amp;"")</f>
        <v/>
      </c>
      <c r="H135" s="24" t="str">
        <f>IF($X135="","",INDEX(Import_Staging!$K$2:$K$301,$X135)&amp;"")</f>
        <v/>
      </c>
      <c r="I135" s="24" t="str">
        <f>IF($X135="","",INDEX(Import_Staging!$L$2:$L$301,$X135)&amp;"")</f>
        <v/>
      </c>
      <c r="J135" s="24" t="str">
        <f>IF($X135="","","3PL import")</f>
        <v/>
      </c>
      <c r="K135" s="24" t="str">
        <f>IF($X135="","",Config!$B$11)</f>
        <v/>
      </c>
      <c r="L135" s="24" t="str">
        <f>IF($X135="","","CSV row "&amp;($X135+1))</f>
        <v/>
      </c>
      <c r="N135" s="24" t="str">
        <f>IF($Y135="","",INDEX(Import_Staging!$F$2:$F$301,$Y135)&amp;"")</f>
        <v/>
      </c>
      <c r="O135" s="24" t="str">
        <f>IF($Y135="","",INDEX(Import_Staging!$D$2:$D$301,$Y135)&amp;"")</f>
        <v/>
      </c>
      <c r="P135" s="24" t="str">
        <f>IF($Y135="","",INDEX(Import_Staging!$E$2:$E$301,$Y135)&amp;"")</f>
        <v/>
      </c>
      <c r="Q135" s="27" t="n"/>
      <c r="R135" s="27" t="str">
        <f>IF($Y135="","",INDEX(Import_Staging!$N$2:$N$301,$Y135))</f>
        <v/>
      </c>
      <c r="S135" s="70" t="str">
        <f>IF($Y135="","",0)</f>
        <v/>
      </c>
      <c r="T135" s="24" t="str">
        <f>IF($Y135="","",INDEX(Import_Staging!$I$2:$I$301,$Y135)&amp;"")</f>
        <v/>
      </c>
      <c r="U135" s="24" t="n"/>
      <c r="V135" s="24" t="str">
        <f>IF($Y135="","","Received "&amp;TEXT(INDEX(Import_Staging!$M$2:$M$301,$Y135),"yyyy-mm-dd")&amp;" (CSV row "&amp;($Y135+1)&amp;")")</f>
        <v/>
      </c>
      <c r="X135" t="str">
        <f>IFERROR(MATCH(130,Import_Staging!$BT$2:$BT$301,0),"")</f>
        <v/>
      </c>
      <c r="Y135" t="str">
        <f>IFERROR(MATCH(130,Import_Staging!$BV$2:$BV$301,0),"")</f>
        <v/>
      </c>
    </row>
    <row r="136">
      <c r="A136" s="24" t="str">
        <f>IF($X136="","",INDEX(Import_Staging!$A$2:$A$301,$X136)&amp;"")</f>
        <v/>
      </c>
      <c r="B136" s="27" t="str">
        <f>IF($X136="","",INDEX(Import_Staging!$M$2:$M$301,$X136))</f>
        <v/>
      </c>
      <c r="C136" s="24" t="str">
        <f>IF($X136="","",INDEX(Import_Staging!$C$2:$C$301,$X136)&amp;"")</f>
        <v/>
      </c>
      <c r="D136" s="24" t="str">
        <f>IF($X136="","",INDEX(Import_Staging!$D$2:$D$301,$X136)&amp;"")</f>
        <v/>
      </c>
      <c r="E136" s="69" t="str">
        <f>IF($X136="","",INDEX(Import_Staging!$O$2:$O$301,$X136))</f>
        <v/>
      </c>
      <c r="F136" s="24" t="str">
        <f>IF($X136="","",INDEX(Import_Staging!$F$2:$F$301,$X136)&amp;"")</f>
        <v/>
      </c>
      <c r="G136" s="24" t="str">
        <f>IF($X136="","",INDEX(Import_Staging!$J$2:$J$301,$X136)&amp;"")</f>
        <v/>
      </c>
      <c r="H136" s="24" t="str">
        <f>IF($X136="","",INDEX(Import_Staging!$K$2:$K$301,$X136)&amp;"")</f>
        <v/>
      </c>
      <c r="I136" s="24" t="str">
        <f>IF($X136="","",INDEX(Import_Staging!$L$2:$L$301,$X136)&amp;"")</f>
        <v/>
      </c>
      <c r="J136" s="24" t="str">
        <f>IF($X136="","","3PL import")</f>
        <v/>
      </c>
      <c r="K136" s="24" t="str">
        <f>IF($X136="","",Config!$B$11)</f>
        <v/>
      </c>
      <c r="L136" s="24" t="str">
        <f>IF($X136="","","CSV row "&amp;($X136+1))</f>
        <v/>
      </c>
      <c r="N136" s="24" t="str">
        <f>IF($Y136="","",INDEX(Import_Staging!$F$2:$F$301,$Y136)&amp;"")</f>
        <v/>
      </c>
      <c r="O136" s="24" t="str">
        <f>IF($Y136="","",INDEX(Import_Staging!$D$2:$D$301,$Y136)&amp;"")</f>
        <v/>
      </c>
      <c r="P136" s="24" t="str">
        <f>IF($Y136="","",INDEX(Import_Staging!$E$2:$E$301,$Y136)&amp;"")</f>
        <v/>
      </c>
      <c r="Q136" s="27" t="n"/>
      <c r="R136" s="27" t="str">
        <f>IF($Y136="","",INDEX(Import_Staging!$N$2:$N$301,$Y136))</f>
        <v/>
      </c>
      <c r="S136" s="70" t="str">
        <f>IF($Y136="","",0)</f>
        <v/>
      </c>
      <c r="T136" s="24" t="str">
        <f>IF($Y136="","",INDEX(Import_Staging!$I$2:$I$301,$Y136)&amp;"")</f>
        <v/>
      </c>
      <c r="U136" s="24" t="n"/>
      <c r="V136" s="24" t="str">
        <f>IF($Y136="","","Received "&amp;TEXT(INDEX(Import_Staging!$M$2:$M$301,$Y136),"yyyy-mm-dd")&amp;" (CSV row "&amp;($Y136+1)&amp;")")</f>
        <v/>
      </c>
      <c r="X136" t="str">
        <f>IFERROR(MATCH(131,Import_Staging!$BT$2:$BT$301,0),"")</f>
        <v/>
      </c>
      <c r="Y136" t="str">
        <f>IFERROR(MATCH(131,Import_Staging!$BV$2:$BV$301,0),"")</f>
        <v/>
      </c>
    </row>
    <row r="137">
      <c r="A137" s="24" t="str">
        <f>IF($X137="","",INDEX(Import_Staging!$A$2:$A$301,$X137)&amp;"")</f>
        <v/>
      </c>
      <c r="B137" s="27" t="str">
        <f>IF($X137="","",INDEX(Import_Staging!$M$2:$M$301,$X137))</f>
        <v/>
      </c>
      <c r="C137" s="24" t="str">
        <f>IF($X137="","",INDEX(Import_Staging!$C$2:$C$301,$X137)&amp;"")</f>
        <v/>
      </c>
      <c r="D137" s="24" t="str">
        <f>IF($X137="","",INDEX(Import_Staging!$D$2:$D$301,$X137)&amp;"")</f>
        <v/>
      </c>
      <c r="E137" s="69" t="str">
        <f>IF($X137="","",INDEX(Import_Staging!$O$2:$O$301,$X137))</f>
        <v/>
      </c>
      <c r="F137" s="24" t="str">
        <f>IF($X137="","",INDEX(Import_Staging!$F$2:$F$301,$X137)&amp;"")</f>
        <v/>
      </c>
      <c r="G137" s="24" t="str">
        <f>IF($X137="","",INDEX(Import_Staging!$J$2:$J$301,$X137)&amp;"")</f>
        <v/>
      </c>
      <c r="H137" s="24" t="str">
        <f>IF($X137="","",INDEX(Import_Staging!$K$2:$K$301,$X137)&amp;"")</f>
        <v/>
      </c>
      <c r="I137" s="24" t="str">
        <f>IF($X137="","",INDEX(Import_Staging!$L$2:$L$301,$X137)&amp;"")</f>
        <v/>
      </c>
      <c r="J137" s="24" t="str">
        <f>IF($X137="","","3PL import")</f>
        <v/>
      </c>
      <c r="K137" s="24" t="str">
        <f>IF($X137="","",Config!$B$11)</f>
        <v/>
      </c>
      <c r="L137" s="24" t="str">
        <f>IF($X137="","","CSV row "&amp;($X137+1))</f>
        <v/>
      </c>
      <c r="N137" s="24" t="str">
        <f>IF($Y137="","",INDEX(Import_Staging!$F$2:$F$301,$Y137)&amp;"")</f>
        <v/>
      </c>
      <c r="O137" s="24" t="str">
        <f>IF($Y137="","",INDEX(Import_Staging!$D$2:$D$301,$Y137)&amp;"")</f>
        <v/>
      </c>
      <c r="P137" s="24" t="str">
        <f>IF($Y137="","",INDEX(Import_Staging!$E$2:$E$301,$Y137)&amp;"")</f>
        <v/>
      </c>
      <c r="Q137" s="27" t="n"/>
      <c r="R137" s="27" t="str">
        <f>IF($Y137="","",INDEX(Import_Staging!$N$2:$N$301,$Y137))</f>
        <v/>
      </c>
      <c r="S137" s="70" t="str">
        <f>IF($Y137="","",0)</f>
        <v/>
      </c>
      <c r="T137" s="24" t="str">
        <f>IF($Y137="","",INDEX(Import_Staging!$I$2:$I$301,$Y137)&amp;"")</f>
        <v/>
      </c>
      <c r="U137" s="24" t="n"/>
      <c r="V137" s="24" t="str">
        <f>IF($Y137="","","Received "&amp;TEXT(INDEX(Import_Staging!$M$2:$M$301,$Y137),"yyyy-mm-dd")&amp;" (CSV row "&amp;($Y137+1)&amp;")")</f>
        <v/>
      </c>
      <c r="X137" t="str">
        <f>IFERROR(MATCH(132,Import_Staging!$BT$2:$BT$301,0),"")</f>
        <v/>
      </c>
      <c r="Y137" t="str">
        <f>IFERROR(MATCH(132,Import_Staging!$BV$2:$BV$301,0),"")</f>
        <v/>
      </c>
    </row>
    <row r="138">
      <c r="A138" s="24" t="str">
        <f>IF($X138="","",INDEX(Import_Staging!$A$2:$A$301,$X138)&amp;"")</f>
        <v/>
      </c>
      <c r="B138" s="27" t="str">
        <f>IF($X138="","",INDEX(Import_Staging!$M$2:$M$301,$X138))</f>
        <v/>
      </c>
      <c r="C138" s="24" t="str">
        <f>IF($X138="","",INDEX(Import_Staging!$C$2:$C$301,$X138)&amp;"")</f>
        <v/>
      </c>
      <c r="D138" s="24" t="str">
        <f>IF($X138="","",INDEX(Import_Staging!$D$2:$D$301,$X138)&amp;"")</f>
        <v/>
      </c>
      <c r="E138" s="69" t="str">
        <f>IF($X138="","",INDEX(Import_Staging!$O$2:$O$301,$X138))</f>
        <v/>
      </c>
      <c r="F138" s="24" t="str">
        <f>IF($X138="","",INDEX(Import_Staging!$F$2:$F$301,$X138)&amp;"")</f>
        <v/>
      </c>
      <c r="G138" s="24" t="str">
        <f>IF($X138="","",INDEX(Import_Staging!$J$2:$J$301,$X138)&amp;"")</f>
        <v/>
      </c>
      <c r="H138" s="24" t="str">
        <f>IF($X138="","",INDEX(Import_Staging!$K$2:$K$301,$X138)&amp;"")</f>
        <v/>
      </c>
      <c r="I138" s="24" t="str">
        <f>IF($X138="","",INDEX(Import_Staging!$L$2:$L$301,$X138)&amp;"")</f>
        <v/>
      </c>
      <c r="J138" s="24" t="str">
        <f>IF($X138="","","3PL import")</f>
        <v/>
      </c>
      <c r="K138" s="24" t="str">
        <f>IF($X138="","",Config!$B$11)</f>
        <v/>
      </c>
      <c r="L138" s="24" t="str">
        <f>IF($X138="","","CSV row "&amp;($X138+1))</f>
        <v/>
      </c>
      <c r="N138" s="24" t="str">
        <f>IF($Y138="","",INDEX(Import_Staging!$F$2:$F$301,$Y138)&amp;"")</f>
        <v/>
      </c>
      <c r="O138" s="24" t="str">
        <f>IF($Y138="","",INDEX(Import_Staging!$D$2:$D$301,$Y138)&amp;"")</f>
        <v/>
      </c>
      <c r="P138" s="24" t="str">
        <f>IF($Y138="","",INDEX(Import_Staging!$E$2:$E$301,$Y138)&amp;"")</f>
        <v/>
      </c>
      <c r="Q138" s="27" t="n"/>
      <c r="R138" s="27" t="str">
        <f>IF($Y138="","",INDEX(Import_Staging!$N$2:$N$301,$Y138))</f>
        <v/>
      </c>
      <c r="S138" s="70" t="str">
        <f>IF($Y138="","",0)</f>
        <v/>
      </c>
      <c r="T138" s="24" t="str">
        <f>IF($Y138="","",INDEX(Import_Staging!$I$2:$I$301,$Y138)&amp;"")</f>
        <v/>
      </c>
      <c r="U138" s="24" t="n"/>
      <c r="V138" s="24" t="str">
        <f>IF($Y138="","","Received "&amp;TEXT(INDEX(Import_Staging!$M$2:$M$301,$Y138),"yyyy-mm-dd")&amp;" (CSV row "&amp;($Y138+1)&amp;")")</f>
        <v/>
      </c>
      <c r="X138" t="str">
        <f>IFERROR(MATCH(133,Import_Staging!$BT$2:$BT$301,0),"")</f>
        <v/>
      </c>
      <c r="Y138" t="str">
        <f>IFERROR(MATCH(133,Import_Staging!$BV$2:$BV$301,0),"")</f>
        <v/>
      </c>
    </row>
    <row r="139">
      <c r="A139" s="24" t="str">
        <f>IF($X139="","",INDEX(Import_Staging!$A$2:$A$301,$X139)&amp;"")</f>
        <v/>
      </c>
      <c r="B139" s="27" t="str">
        <f>IF($X139="","",INDEX(Import_Staging!$M$2:$M$301,$X139))</f>
        <v/>
      </c>
      <c r="C139" s="24" t="str">
        <f>IF($X139="","",INDEX(Import_Staging!$C$2:$C$301,$X139)&amp;"")</f>
        <v/>
      </c>
      <c r="D139" s="24" t="str">
        <f>IF($X139="","",INDEX(Import_Staging!$D$2:$D$301,$X139)&amp;"")</f>
        <v/>
      </c>
      <c r="E139" s="69" t="str">
        <f>IF($X139="","",INDEX(Import_Staging!$O$2:$O$301,$X139))</f>
        <v/>
      </c>
      <c r="F139" s="24" t="str">
        <f>IF($X139="","",INDEX(Import_Staging!$F$2:$F$301,$X139)&amp;"")</f>
        <v/>
      </c>
      <c r="G139" s="24" t="str">
        <f>IF($X139="","",INDEX(Import_Staging!$J$2:$J$301,$X139)&amp;"")</f>
        <v/>
      </c>
      <c r="H139" s="24" t="str">
        <f>IF($X139="","",INDEX(Import_Staging!$K$2:$K$301,$X139)&amp;"")</f>
        <v/>
      </c>
      <c r="I139" s="24" t="str">
        <f>IF($X139="","",INDEX(Import_Staging!$L$2:$L$301,$X139)&amp;"")</f>
        <v/>
      </c>
      <c r="J139" s="24" t="str">
        <f>IF($X139="","","3PL import")</f>
        <v/>
      </c>
      <c r="K139" s="24" t="str">
        <f>IF($X139="","",Config!$B$11)</f>
        <v/>
      </c>
      <c r="L139" s="24" t="str">
        <f>IF($X139="","","CSV row "&amp;($X139+1))</f>
        <v/>
      </c>
      <c r="N139" s="24" t="str">
        <f>IF($Y139="","",INDEX(Import_Staging!$F$2:$F$301,$Y139)&amp;"")</f>
        <v/>
      </c>
      <c r="O139" s="24" t="str">
        <f>IF($Y139="","",INDEX(Import_Staging!$D$2:$D$301,$Y139)&amp;"")</f>
        <v/>
      </c>
      <c r="P139" s="24" t="str">
        <f>IF($Y139="","",INDEX(Import_Staging!$E$2:$E$301,$Y139)&amp;"")</f>
        <v/>
      </c>
      <c r="Q139" s="27" t="n"/>
      <c r="R139" s="27" t="str">
        <f>IF($Y139="","",INDEX(Import_Staging!$N$2:$N$301,$Y139))</f>
        <v/>
      </c>
      <c r="S139" s="70" t="str">
        <f>IF($Y139="","",0)</f>
        <v/>
      </c>
      <c r="T139" s="24" t="str">
        <f>IF($Y139="","",INDEX(Import_Staging!$I$2:$I$301,$Y139)&amp;"")</f>
        <v/>
      </c>
      <c r="U139" s="24" t="n"/>
      <c r="V139" s="24" t="str">
        <f>IF($Y139="","","Received "&amp;TEXT(INDEX(Import_Staging!$M$2:$M$301,$Y139),"yyyy-mm-dd")&amp;" (CSV row "&amp;($Y139+1)&amp;")")</f>
        <v/>
      </c>
      <c r="X139" t="str">
        <f>IFERROR(MATCH(134,Import_Staging!$BT$2:$BT$301,0),"")</f>
        <v/>
      </c>
      <c r="Y139" t="str">
        <f>IFERROR(MATCH(134,Import_Staging!$BV$2:$BV$301,0),"")</f>
        <v/>
      </c>
    </row>
    <row r="140">
      <c r="A140" s="24" t="str">
        <f>IF($X140="","",INDEX(Import_Staging!$A$2:$A$301,$X140)&amp;"")</f>
        <v/>
      </c>
      <c r="B140" s="27" t="str">
        <f>IF($X140="","",INDEX(Import_Staging!$M$2:$M$301,$X140))</f>
        <v/>
      </c>
      <c r="C140" s="24" t="str">
        <f>IF($X140="","",INDEX(Import_Staging!$C$2:$C$301,$X140)&amp;"")</f>
        <v/>
      </c>
      <c r="D140" s="24" t="str">
        <f>IF($X140="","",INDEX(Import_Staging!$D$2:$D$301,$X140)&amp;"")</f>
        <v/>
      </c>
      <c r="E140" s="69" t="str">
        <f>IF($X140="","",INDEX(Import_Staging!$O$2:$O$301,$X140))</f>
        <v/>
      </c>
      <c r="F140" s="24" t="str">
        <f>IF($X140="","",INDEX(Import_Staging!$F$2:$F$301,$X140)&amp;"")</f>
        <v/>
      </c>
      <c r="G140" s="24" t="str">
        <f>IF($X140="","",INDEX(Import_Staging!$J$2:$J$301,$X140)&amp;"")</f>
        <v/>
      </c>
      <c r="H140" s="24" t="str">
        <f>IF($X140="","",INDEX(Import_Staging!$K$2:$K$301,$X140)&amp;"")</f>
        <v/>
      </c>
      <c r="I140" s="24" t="str">
        <f>IF($X140="","",INDEX(Import_Staging!$L$2:$L$301,$X140)&amp;"")</f>
        <v/>
      </c>
      <c r="J140" s="24" t="str">
        <f>IF($X140="","","3PL import")</f>
        <v/>
      </c>
      <c r="K140" s="24" t="str">
        <f>IF($X140="","",Config!$B$11)</f>
        <v/>
      </c>
      <c r="L140" s="24" t="str">
        <f>IF($X140="","","CSV row "&amp;($X140+1))</f>
        <v/>
      </c>
      <c r="N140" s="24" t="str">
        <f>IF($Y140="","",INDEX(Import_Staging!$F$2:$F$301,$Y140)&amp;"")</f>
        <v/>
      </c>
      <c r="O140" s="24" t="str">
        <f>IF($Y140="","",INDEX(Import_Staging!$D$2:$D$301,$Y140)&amp;"")</f>
        <v/>
      </c>
      <c r="P140" s="24" t="str">
        <f>IF($Y140="","",INDEX(Import_Staging!$E$2:$E$301,$Y140)&amp;"")</f>
        <v/>
      </c>
      <c r="Q140" s="27" t="n"/>
      <c r="R140" s="27" t="str">
        <f>IF($Y140="","",INDEX(Import_Staging!$N$2:$N$301,$Y140))</f>
        <v/>
      </c>
      <c r="S140" s="70" t="str">
        <f>IF($Y140="","",0)</f>
        <v/>
      </c>
      <c r="T140" s="24" t="str">
        <f>IF($Y140="","",INDEX(Import_Staging!$I$2:$I$301,$Y140)&amp;"")</f>
        <v/>
      </c>
      <c r="U140" s="24" t="n"/>
      <c r="V140" s="24" t="str">
        <f>IF($Y140="","","Received "&amp;TEXT(INDEX(Import_Staging!$M$2:$M$301,$Y140),"yyyy-mm-dd")&amp;" (CSV row "&amp;($Y140+1)&amp;")")</f>
        <v/>
      </c>
      <c r="X140" t="str">
        <f>IFERROR(MATCH(135,Import_Staging!$BT$2:$BT$301,0),"")</f>
        <v/>
      </c>
      <c r="Y140" t="str">
        <f>IFERROR(MATCH(135,Import_Staging!$BV$2:$BV$301,0),"")</f>
        <v/>
      </c>
    </row>
    <row r="141">
      <c r="A141" s="24" t="str">
        <f>IF($X141="","",INDEX(Import_Staging!$A$2:$A$301,$X141)&amp;"")</f>
        <v/>
      </c>
      <c r="B141" s="27" t="str">
        <f>IF($X141="","",INDEX(Import_Staging!$M$2:$M$301,$X141))</f>
        <v/>
      </c>
      <c r="C141" s="24" t="str">
        <f>IF($X141="","",INDEX(Import_Staging!$C$2:$C$301,$X141)&amp;"")</f>
        <v/>
      </c>
      <c r="D141" s="24" t="str">
        <f>IF($X141="","",INDEX(Import_Staging!$D$2:$D$301,$X141)&amp;"")</f>
        <v/>
      </c>
      <c r="E141" s="69" t="str">
        <f>IF($X141="","",INDEX(Import_Staging!$O$2:$O$301,$X141))</f>
        <v/>
      </c>
      <c r="F141" s="24" t="str">
        <f>IF($X141="","",INDEX(Import_Staging!$F$2:$F$301,$X141)&amp;"")</f>
        <v/>
      </c>
      <c r="G141" s="24" t="str">
        <f>IF($X141="","",INDEX(Import_Staging!$J$2:$J$301,$X141)&amp;"")</f>
        <v/>
      </c>
      <c r="H141" s="24" t="str">
        <f>IF($X141="","",INDEX(Import_Staging!$K$2:$K$301,$X141)&amp;"")</f>
        <v/>
      </c>
      <c r="I141" s="24" t="str">
        <f>IF($X141="","",INDEX(Import_Staging!$L$2:$L$301,$X141)&amp;"")</f>
        <v/>
      </c>
      <c r="J141" s="24" t="str">
        <f>IF($X141="","","3PL import")</f>
        <v/>
      </c>
      <c r="K141" s="24" t="str">
        <f>IF($X141="","",Config!$B$11)</f>
        <v/>
      </c>
      <c r="L141" s="24" t="str">
        <f>IF($X141="","","CSV row "&amp;($X141+1))</f>
        <v/>
      </c>
      <c r="N141" s="24" t="str">
        <f>IF($Y141="","",INDEX(Import_Staging!$F$2:$F$301,$Y141)&amp;"")</f>
        <v/>
      </c>
      <c r="O141" s="24" t="str">
        <f>IF($Y141="","",INDEX(Import_Staging!$D$2:$D$301,$Y141)&amp;"")</f>
        <v/>
      </c>
      <c r="P141" s="24" t="str">
        <f>IF($Y141="","",INDEX(Import_Staging!$E$2:$E$301,$Y141)&amp;"")</f>
        <v/>
      </c>
      <c r="Q141" s="27" t="n"/>
      <c r="R141" s="27" t="str">
        <f>IF($Y141="","",INDEX(Import_Staging!$N$2:$N$301,$Y141))</f>
        <v/>
      </c>
      <c r="S141" s="70" t="str">
        <f>IF($Y141="","",0)</f>
        <v/>
      </c>
      <c r="T141" s="24" t="str">
        <f>IF($Y141="","",INDEX(Import_Staging!$I$2:$I$301,$Y141)&amp;"")</f>
        <v/>
      </c>
      <c r="U141" s="24" t="n"/>
      <c r="V141" s="24" t="str">
        <f>IF($Y141="","","Received "&amp;TEXT(INDEX(Import_Staging!$M$2:$M$301,$Y141),"yyyy-mm-dd")&amp;" (CSV row "&amp;($Y141+1)&amp;")")</f>
        <v/>
      </c>
      <c r="X141" t="str">
        <f>IFERROR(MATCH(136,Import_Staging!$BT$2:$BT$301,0),"")</f>
        <v/>
      </c>
      <c r="Y141" t="str">
        <f>IFERROR(MATCH(136,Import_Staging!$BV$2:$BV$301,0),"")</f>
        <v/>
      </c>
    </row>
    <row r="142">
      <c r="A142" s="24" t="str">
        <f>IF($X142="","",INDEX(Import_Staging!$A$2:$A$301,$X142)&amp;"")</f>
        <v/>
      </c>
      <c r="B142" s="27" t="str">
        <f>IF($X142="","",INDEX(Import_Staging!$M$2:$M$301,$X142))</f>
        <v/>
      </c>
      <c r="C142" s="24" t="str">
        <f>IF($X142="","",INDEX(Import_Staging!$C$2:$C$301,$X142)&amp;"")</f>
        <v/>
      </c>
      <c r="D142" s="24" t="str">
        <f>IF($X142="","",INDEX(Import_Staging!$D$2:$D$301,$X142)&amp;"")</f>
        <v/>
      </c>
      <c r="E142" s="69" t="str">
        <f>IF($X142="","",INDEX(Import_Staging!$O$2:$O$301,$X142))</f>
        <v/>
      </c>
      <c r="F142" s="24" t="str">
        <f>IF($X142="","",INDEX(Import_Staging!$F$2:$F$301,$X142)&amp;"")</f>
        <v/>
      </c>
      <c r="G142" s="24" t="str">
        <f>IF($X142="","",INDEX(Import_Staging!$J$2:$J$301,$X142)&amp;"")</f>
        <v/>
      </c>
      <c r="H142" s="24" t="str">
        <f>IF($X142="","",INDEX(Import_Staging!$K$2:$K$301,$X142)&amp;"")</f>
        <v/>
      </c>
      <c r="I142" s="24" t="str">
        <f>IF($X142="","",INDEX(Import_Staging!$L$2:$L$301,$X142)&amp;"")</f>
        <v/>
      </c>
      <c r="J142" s="24" t="str">
        <f>IF($X142="","","3PL import")</f>
        <v/>
      </c>
      <c r="K142" s="24" t="str">
        <f>IF($X142="","",Config!$B$11)</f>
        <v/>
      </c>
      <c r="L142" s="24" t="str">
        <f>IF($X142="","","CSV row "&amp;($X142+1))</f>
        <v/>
      </c>
      <c r="N142" s="24" t="str">
        <f>IF($Y142="","",INDEX(Import_Staging!$F$2:$F$301,$Y142)&amp;"")</f>
        <v/>
      </c>
      <c r="O142" s="24" t="str">
        <f>IF($Y142="","",INDEX(Import_Staging!$D$2:$D$301,$Y142)&amp;"")</f>
        <v/>
      </c>
      <c r="P142" s="24" t="str">
        <f>IF($Y142="","",INDEX(Import_Staging!$E$2:$E$301,$Y142)&amp;"")</f>
        <v/>
      </c>
      <c r="Q142" s="27" t="n"/>
      <c r="R142" s="27" t="str">
        <f>IF($Y142="","",INDEX(Import_Staging!$N$2:$N$301,$Y142))</f>
        <v/>
      </c>
      <c r="S142" s="70" t="str">
        <f>IF($Y142="","",0)</f>
        <v/>
      </c>
      <c r="T142" s="24" t="str">
        <f>IF($Y142="","",INDEX(Import_Staging!$I$2:$I$301,$Y142)&amp;"")</f>
        <v/>
      </c>
      <c r="U142" s="24" t="n"/>
      <c r="V142" s="24" t="str">
        <f>IF($Y142="","","Received "&amp;TEXT(INDEX(Import_Staging!$M$2:$M$301,$Y142),"yyyy-mm-dd")&amp;" (CSV row "&amp;($Y142+1)&amp;")")</f>
        <v/>
      </c>
      <c r="X142" t="str">
        <f>IFERROR(MATCH(137,Import_Staging!$BT$2:$BT$301,0),"")</f>
        <v/>
      </c>
      <c r="Y142" t="str">
        <f>IFERROR(MATCH(137,Import_Staging!$BV$2:$BV$301,0),"")</f>
        <v/>
      </c>
    </row>
    <row r="143">
      <c r="A143" s="24" t="str">
        <f>IF($X143="","",INDEX(Import_Staging!$A$2:$A$301,$X143)&amp;"")</f>
        <v/>
      </c>
      <c r="B143" s="27" t="str">
        <f>IF($X143="","",INDEX(Import_Staging!$M$2:$M$301,$X143))</f>
        <v/>
      </c>
      <c r="C143" s="24" t="str">
        <f>IF($X143="","",INDEX(Import_Staging!$C$2:$C$301,$X143)&amp;"")</f>
        <v/>
      </c>
      <c r="D143" s="24" t="str">
        <f>IF($X143="","",INDEX(Import_Staging!$D$2:$D$301,$X143)&amp;"")</f>
        <v/>
      </c>
      <c r="E143" s="69" t="str">
        <f>IF($X143="","",INDEX(Import_Staging!$O$2:$O$301,$X143))</f>
        <v/>
      </c>
      <c r="F143" s="24" t="str">
        <f>IF($X143="","",INDEX(Import_Staging!$F$2:$F$301,$X143)&amp;"")</f>
        <v/>
      </c>
      <c r="G143" s="24" t="str">
        <f>IF($X143="","",INDEX(Import_Staging!$J$2:$J$301,$X143)&amp;"")</f>
        <v/>
      </c>
      <c r="H143" s="24" t="str">
        <f>IF($X143="","",INDEX(Import_Staging!$K$2:$K$301,$X143)&amp;"")</f>
        <v/>
      </c>
      <c r="I143" s="24" t="str">
        <f>IF($X143="","",INDEX(Import_Staging!$L$2:$L$301,$X143)&amp;"")</f>
        <v/>
      </c>
      <c r="J143" s="24" t="str">
        <f>IF($X143="","","3PL import")</f>
        <v/>
      </c>
      <c r="K143" s="24" t="str">
        <f>IF($X143="","",Config!$B$11)</f>
        <v/>
      </c>
      <c r="L143" s="24" t="str">
        <f>IF($X143="","","CSV row "&amp;($X143+1))</f>
        <v/>
      </c>
      <c r="N143" s="24" t="str">
        <f>IF($Y143="","",INDEX(Import_Staging!$F$2:$F$301,$Y143)&amp;"")</f>
        <v/>
      </c>
      <c r="O143" s="24" t="str">
        <f>IF($Y143="","",INDEX(Import_Staging!$D$2:$D$301,$Y143)&amp;"")</f>
        <v/>
      </c>
      <c r="P143" s="24" t="str">
        <f>IF($Y143="","",INDEX(Import_Staging!$E$2:$E$301,$Y143)&amp;"")</f>
        <v/>
      </c>
      <c r="Q143" s="27" t="n"/>
      <c r="R143" s="27" t="str">
        <f>IF($Y143="","",INDEX(Import_Staging!$N$2:$N$301,$Y143))</f>
        <v/>
      </c>
      <c r="S143" s="70" t="str">
        <f>IF($Y143="","",0)</f>
        <v/>
      </c>
      <c r="T143" s="24" t="str">
        <f>IF($Y143="","",INDEX(Import_Staging!$I$2:$I$301,$Y143)&amp;"")</f>
        <v/>
      </c>
      <c r="U143" s="24" t="n"/>
      <c r="V143" s="24" t="str">
        <f>IF($Y143="","","Received "&amp;TEXT(INDEX(Import_Staging!$M$2:$M$301,$Y143),"yyyy-mm-dd")&amp;" (CSV row "&amp;($Y143+1)&amp;")")</f>
        <v/>
      </c>
      <c r="X143" t="str">
        <f>IFERROR(MATCH(138,Import_Staging!$BT$2:$BT$301,0),"")</f>
        <v/>
      </c>
      <c r="Y143" t="str">
        <f>IFERROR(MATCH(138,Import_Staging!$BV$2:$BV$301,0),"")</f>
        <v/>
      </c>
    </row>
    <row r="144">
      <c r="A144" s="24" t="str">
        <f>IF($X144="","",INDEX(Import_Staging!$A$2:$A$301,$X144)&amp;"")</f>
        <v/>
      </c>
      <c r="B144" s="27" t="str">
        <f>IF($X144="","",INDEX(Import_Staging!$M$2:$M$301,$X144))</f>
        <v/>
      </c>
      <c r="C144" s="24" t="str">
        <f>IF($X144="","",INDEX(Import_Staging!$C$2:$C$301,$X144)&amp;"")</f>
        <v/>
      </c>
      <c r="D144" s="24" t="str">
        <f>IF($X144="","",INDEX(Import_Staging!$D$2:$D$301,$X144)&amp;"")</f>
        <v/>
      </c>
      <c r="E144" s="69" t="str">
        <f>IF($X144="","",INDEX(Import_Staging!$O$2:$O$301,$X144))</f>
        <v/>
      </c>
      <c r="F144" s="24" t="str">
        <f>IF($X144="","",INDEX(Import_Staging!$F$2:$F$301,$X144)&amp;"")</f>
        <v/>
      </c>
      <c r="G144" s="24" t="str">
        <f>IF($X144="","",INDEX(Import_Staging!$J$2:$J$301,$X144)&amp;"")</f>
        <v/>
      </c>
      <c r="H144" s="24" t="str">
        <f>IF($X144="","",INDEX(Import_Staging!$K$2:$K$301,$X144)&amp;"")</f>
        <v/>
      </c>
      <c r="I144" s="24" t="str">
        <f>IF($X144="","",INDEX(Import_Staging!$L$2:$L$301,$X144)&amp;"")</f>
        <v/>
      </c>
      <c r="J144" s="24" t="str">
        <f>IF($X144="","","3PL import")</f>
        <v/>
      </c>
      <c r="K144" s="24" t="str">
        <f>IF($X144="","",Config!$B$11)</f>
        <v/>
      </c>
      <c r="L144" s="24" t="str">
        <f>IF($X144="","","CSV row "&amp;($X144+1))</f>
        <v/>
      </c>
      <c r="N144" s="24" t="str">
        <f>IF($Y144="","",INDEX(Import_Staging!$F$2:$F$301,$Y144)&amp;"")</f>
        <v/>
      </c>
      <c r="O144" s="24" t="str">
        <f>IF($Y144="","",INDEX(Import_Staging!$D$2:$D$301,$Y144)&amp;"")</f>
        <v/>
      </c>
      <c r="P144" s="24" t="str">
        <f>IF($Y144="","",INDEX(Import_Staging!$E$2:$E$301,$Y144)&amp;"")</f>
        <v/>
      </c>
      <c r="Q144" s="27" t="n"/>
      <c r="R144" s="27" t="str">
        <f>IF($Y144="","",INDEX(Import_Staging!$N$2:$N$301,$Y144))</f>
        <v/>
      </c>
      <c r="S144" s="70" t="str">
        <f>IF($Y144="","",0)</f>
        <v/>
      </c>
      <c r="T144" s="24" t="str">
        <f>IF($Y144="","",INDEX(Import_Staging!$I$2:$I$301,$Y144)&amp;"")</f>
        <v/>
      </c>
      <c r="U144" s="24" t="n"/>
      <c r="V144" s="24" t="str">
        <f>IF($Y144="","","Received "&amp;TEXT(INDEX(Import_Staging!$M$2:$M$301,$Y144),"yyyy-mm-dd")&amp;" (CSV row "&amp;($Y144+1)&amp;")")</f>
        <v/>
      </c>
      <c r="X144" t="str">
        <f>IFERROR(MATCH(139,Import_Staging!$BT$2:$BT$301,0),"")</f>
        <v/>
      </c>
      <c r="Y144" t="str">
        <f>IFERROR(MATCH(139,Import_Staging!$BV$2:$BV$301,0),"")</f>
        <v/>
      </c>
    </row>
    <row r="145">
      <c r="A145" s="24" t="str">
        <f>IF($X145="","",INDEX(Import_Staging!$A$2:$A$301,$X145)&amp;"")</f>
        <v/>
      </c>
      <c r="B145" s="27" t="str">
        <f>IF($X145="","",INDEX(Import_Staging!$M$2:$M$301,$X145))</f>
        <v/>
      </c>
      <c r="C145" s="24" t="str">
        <f>IF($X145="","",INDEX(Import_Staging!$C$2:$C$301,$X145)&amp;"")</f>
        <v/>
      </c>
      <c r="D145" s="24" t="str">
        <f>IF($X145="","",INDEX(Import_Staging!$D$2:$D$301,$X145)&amp;"")</f>
        <v/>
      </c>
      <c r="E145" s="69" t="str">
        <f>IF($X145="","",INDEX(Import_Staging!$O$2:$O$301,$X145))</f>
        <v/>
      </c>
      <c r="F145" s="24" t="str">
        <f>IF($X145="","",INDEX(Import_Staging!$F$2:$F$301,$X145)&amp;"")</f>
        <v/>
      </c>
      <c r="G145" s="24" t="str">
        <f>IF($X145="","",INDEX(Import_Staging!$J$2:$J$301,$X145)&amp;"")</f>
        <v/>
      </c>
      <c r="H145" s="24" t="str">
        <f>IF($X145="","",INDEX(Import_Staging!$K$2:$K$301,$X145)&amp;"")</f>
        <v/>
      </c>
      <c r="I145" s="24" t="str">
        <f>IF($X145="","",INDEX(Import_Staging!$L$2:$L$301,$X145)&amp;"")</f>
        <v/>
      </c>
      <c r="J145" s="24" t="str">
        <f>IF($X145="","","3PL import")</f>
        <v/>
      </c>
      <c r="K145" s="24" t="str">
        <f>IF($X145="","",Config!$B$11)</f>
        <v/>
      </c>
      <c r="L145" s="24" t="str">
        <f>IF($X145="","","CSV row "&amp;($X145+1))</f>
        <v/>
      </c>
      <c r="N145" s="24" t="str">
        <f>IF($Y145="","",INDEX(Import_Staging!$F$2:$F$301,$Y145)&amp;"")</f>
        <v/>
      </c>
      <c r="O145" s="24" t="str">
        <f>IF($Y145="","",INDEX(Import_Staging!$D$2:$D$301,$Y145)&amp;"")</f>
        <v/>
      </c>
      <c r="P145" s="24" t="str">
        <f>IF($Y145="","",INDEX(Import_Staging!$E$2:$E$301,$Y145)&amp;"")</f>
        <v/>
      </c>
      <c r="Q145" s="27" t="n"/>
      <c r="R145" s="27" t="str">
        <f>IF($Y145="","",INDEX(Import_Staging!$N$2:$N$301,$Y145))</f>
        <v/>
      </c>
      <c r="S145" s="70" t="str">
        <f>IF($Y145="","",0)</f>
        <v/>
      </c>
      <c r="T145" s="24" t="str">
        <f>IF($Y145="","",INDEX(Import_Staging!$I$2:$I$301,$Y145)&amp;"")</f>
        <v/>
      </c>
      <c r="U145" s="24" t="n"/>
      <c r="V145" s="24" t="str">
        <f>IF($Y145="","","Received "&amp;TEXT(INDEX(Import_Staging!$M$2:$M$301,$Y145),"yyyy-mm-dd")&amp;" (CSV row "&amp;($Y145+1)&amp;")")</f>
        <v/>
      </c>
      <c r="X145" t="str">
        <f>IFERROR(MATCH(140,Import_Staging!$BT$2:$BT$301,0),"")</f>
        <v/>
      </c>
      <c r="Y145" t="str">
        <f>IFERROR(MATCH(140,Import_Staging!$BV$2:$BV$301,0),"")</f>
        <v/>
      </c>
    </row>
    <row r="146">
      <c r="A146" s="24" t="str">
        <f>IF($X146="","",INDEX(Import_Staging!$A$2:$A$301,$X146)&amp;"")</f>
        <v/>
      </c>
      <c r="B146" s="27" t="str">
        <f>IF($X146="","",INDEX(Import_Staging!$M$2:$M$301,$X146))</f>
        <v/>
      </c>
      <c r="C146" s="24" t="str">
        <f>IF($X146="","",INDEX(Import_Staging!$C$2:$C$301,$X146)&amp;"")</f>
        <v/>
      </c>
      <c r="D146" s="24" t="str">
        <f>IF($X146="","",INDEX(Import_Staging!$D$2:$D$301,$X146)&amp;"")</f>
        <v/>
      </c>
      <c r="E146" s="69" t="str">
        <f>IF($X146="","",INDEX(Import_Staging!$O$2:$O$301,$X146))</f>
        <v/>
      </c>
      <c r="F146" s="24" t="str">
        <f>IF($X146="","",INDEX(Import_Staging!$F$2:$F$301,$X146)&amp;"")</f>
        <v/>
      </c>
      <c r="G146" s="24" t="str">
        <f>IF($X146="","",INDEX(Import_Staging!$J$2:$J$301,$X146)&amp;"")</f>
        <v/>
      </c>
      <c r="H146" s="24" t="str">
        <f>IF($X146="","",INDEX(Import_Staging!$K$2:$K$301,$X146)&amp;"")</f>
        <v/>
      </c>
      <c r="I146" s="24" t="str">
        <f>IF($X146="","",INDEX(Import_Staging!$L$2:$L$301,$X146)&amp;"")</f>
        <v/>
      </c>
      <c r="J146" s="24" t="str">
        <f>IF($X146="","","3PL import")</f>
        <v/>
      </c>
      <c r="K146" s="24" t="str">
        <f>IF($X146="","",Config!$B$11)</f>
        <v/>
      </c>
      <c r="L146" s="24" t="str">
        <f>IF($X146="","","CSV row "&amp;($X146+1))</f>
        <v/>
      </c>
      <c r="N146" s="24" t="str">
        <f>IF($Y146="","",INDEX(Import_Staging!$F$2:$F$301,$Y146)&amp;"")</f>
        <v/>
      </c>
      <c r="O146" s="24" t="str">
        <f>IF($Y146="","",INDEX(Import_Staging!$D$2:$D$301,$Y146)&amp;"")</f>
        <v/>
      </c>
      <c r="P146" s="24" t="str">
        <f>IF($Y146="","",INDEX(Import_Staging!$E$2:$E$301,$Y146)&amp;"")</f>
        <v/>
      </c>
      <c r="Q146" s="27" t="n"/>
      <c r="R146" s="27" t="str">
        <f>IF($Y146="","",INDEX(Import_Staging!$N$2:$N$301,$Y146))</f>
        <v/>
      </c>
      <c r="S146" s="70" t="str">
        <f>IF($Y146="","",0)</f>
        <v/>
      </c>
      <c r="T146" s="24" t="str">
        <f>IF($Y146="","",INDEX(Import_Staging!$I$2:$I$301,$Y146)&amp;"")</f>
        <v/>
      </c>
      <c r="U146" s="24" t="n"/>
      <c r="V146" s="24" t="str">
        <f>IF($Y146="","","Received "&amp;TEXT(INDEX(Import_Staging!$M$2:$M$301,$Y146),"yyyy-mm-dd")&amp;" (CSV row "&amp;($Y146+1)&amp;")")</f>
        <v/>
      </c>
      <c r="X146" t="str">
        <f>IFERROR(MATCH(141,Import_Staging!$BT$2:$BT$301,0),"")</f>
        <v/>
      </c>
      <c r="Y146" t="str">
        <f>IFERROR(MATCH(141,Import_Staging!$BV$2:$BV$301,0),"")</f>
        <v/>
      </c>
    </row>
    <row r="147">
      <c r="A147" s="24" t="str">
        <f>IF($X147="","",INDEX(Import_Staging!$A$2:$A$301,$X147)&amp;"")</f>
        <v/>
      </c>
      <c r="B147" s="27" t="str">
        <f>IF($X147="","",INDEX(Import_Staging!$M$2:$M$301,$X147))</f>
        <v/>
      </c>
      <c r="C147" s="24" t="str">
        <f>IF($X147="","",INDEX(Import_Staging!$C$2:$C$301,$X147)&amp;"")</f>
        <v/>
      </c>
      <c r="D147" s="24" t="str">
        <f>IF($X147="","",INDEX(Import_Staging!$D$2:$D$301,$X147)&amp;"")</f>
        <v/>
      </c>
      <c r="E147" s="69" t="str">
        <f>IF($X147="","",INDEX(Import_Staging!$O$2:$O$301,$X147))</f>
        <v/>
      </c>
      <c r="F147" s="24" t="str">
        <f>IF($X147="","",INDEX(Import_Staging!$F$2:$F$301,$X147)&amp;"")</f>
        <v/>
      </c>
      <c r="G147" s="24" t="str">
        <f>IF($X147="","",INDEX(Import_Staging!$J$2:$J$301,$X147)&amp;"")</f>
        <v/>
      </c>
      <c r="H147" s="24" t="str">
        <f>IF($X147="","",INDEX(Import_Staging!$K$2:$K$301,$X147)&amp;"")</f>
        <v/>
      </c>
      <c r="I147" s="24" t="str">
        <f>IF($X147="","",INDEX(Import_Staging!$L$2:$L$301,$X147)&amp;"")</f>
        <v/>
      </c>
      <c r="J147" s="24" t="str">
        <f>IF($X147="","","3PL import")</f>
        <v/>
      </c>
      <c r="K147" s="24" t="str">
        <f>IF($X147="","",Config!$B$11)</f>
        <v/>
      </c>
      <c r="L147" s="24" t="str">
        <f>IF($X147="","","CSV row "&amp;($X147+1))</f>
        <v/>
      </c>
      <c r="N147" s="24" t="str">
        <f>IF($Y147="","",INDEX(Import_Staging!$F$2:$F$301,$Y147)&amp;"")</f>
        <v/>
      </c>
      <c r="O147" s="24" t="str">
        <f>IF($Y147="","",INDEX(Import_Staging!$D$2:$D$301,$Y147)&amp;"")</f>
        <v/>
      </c>
      <c r="P147" s="24" t="str">
        <f>IF($Y147="","",INDEX(Import_Staging!$E$2:$E$301,$Y147)&amp;"")</f>
        <v/>
      </c>
      <c r="Q147" s="27" t="n"/>
      <c r="R147" s="27" t="str">
        <f>IF($Y147="","",INDEX(Import_Staging!$N$2:$N$301,$Y147))</f>
        <v/>
      </c>
      <c r="S147" s="70" t="str">
        <f>IF($Y147="","",0)</f>
        <v/>
      </c>
      <c r="T147" s="24" t="str">
        <f>IF($Y147="","",INDEX(Import_Staging!$I$2:$I$301,$Y147)&amp;"")</f>
        <v/>
      </c>
      <c r="U147" s="24" t="n"/>
      <c r="V147" s="24" t="str">
        <f>IF($Y147="","","Received "&amp;TEXT(INDEX(Import_Staging!$M$2:$M$301,$Y147),"yyyy-mm-dd")&amp;" (CSV row "&amp;($Y147+1)&amp;")")</f>
        <v/>
      </c>
      <c r="X147" t="str">
        <f>IFERROR(MATCH(142,Import_Staging!$BT$2:$BT$301,0),"")</f>
        <v/>
      </c>
      <c r="Y147" t="str">
        <f>IFERROR(MATCH(142,Import_Staging!$BV$2:$BV$301,0),"")</f>
        <v/>
      </c>
    </row>
    <row r="148">
      <c r="A148" s="24" t="str">
        <f>IF($X148="","",INDEX(Import_Staging!$A$2:$A$301,$X148)&amp;"")</f>
        <v/>
      </c>
      <c r="B148" s="27" t="str">
        <f>IF($X148="","",INDEX(Import_Staging!$M$2:$M$301,$X148))</f>
        <v/>
      </c>
      <c r="C148" s="24" t="str">
        <f>IF($X148="","",INDEX(Import_Staging!$C$2:$C$301,$X148)&amp;"")</f>
        <v/>
      </c>
      <c r="D148" s="24" t="str">
        <f>IF($X148="","",INDEX(Import_Staging!$D$2:$D$301,$X148)&amp;"")</f>
        <v/>
      </c>
      <c r="E148" s="69" t="str">
        <f>IF($X148="","",INDEX(Import_Staging!$O$2:$O$301,$X148))</f>
        <v/>
      </c>
      <c r="F148" s="24" t="str">
        <f>IF($X148="","",INDEX(Import_Staging!$F$2:$F$301,$X148)&amp;"")</f>
        <v/>
      </c>
      <c r="G148" s="24" t="str">
        <f>IF($X148="","",INDEX(Import_Staging!$J$2:$J$301,$X148)&amp;"")</f>
        <v/>
      </c>
      <c r="H148" s="24" t="str">
        <f>IF($X148="","",INDEX(Import_Staging!$K$2:$K$301,$X148)&amp;"")</f>
        <v/>
      </c>
      <c r="I148" s="24" t="str">
        <f>IF($X148="","",INDEX(Import_Staging!$L$2:$L$301,$X148)&amp;"")</f>
        <v/>
      </c>
      <c r="J148" s="24" t="str">
        <f>IF($X148="","","3PL import")</f>
        <v/>
      </c>
      <c r="K148" s="24" t="str">
        <f>IF($X148="","",Config!$B$11)</f>
        <v/>
      </c>
      <c r="L148" s="24" t="str">
        <f>IF($X148="","","CSV row "&amp;($X148+1))</f>
        <v/>
      </c>
      <c r="N148" s="24" t="str">
        <f>IF($Y148="","",INDEX(Import_Staging!$F$2:$F$301,$Y148)&amp;"")</f>
        <v/>
      </c>
      <c r="O148" s="24" t="str">
        <f>IF($Y148="","",INDEX(Import_Staging!$D$2:$D$301,$Y148)&amp;"")</f>
        <v/>
      </c>
      <c r="P148" s="24" t="str">
        <f>IF($Y148="","",INDEX(Import_Staging!$E$2:$E$301,$Y148)&amp;"")</f>
        <v/>
      </c>
      <c r="Q148" s="27" t="n"/>
      <c r="R148" s="27" t="str">
        <f>IF($Y148="","",INDEX(Import_Staging!$N$2:$N$301,$Y148))</f>
        <v/>
      </c>
      <c r="S148" s="70" t="str">
        <f>IF($Y148="","",0)</f>
        <v/>
      </c>
      <c r="T148" s="24" t="str">
        <f>IF($Y148="","",INDEX(Import_Staging!$I$2:$I$301,$Y148)&amp;"")</f>
        <v/>
      </c>
      <c r="U148" s="24" t="n"/>
      <c r="V148" s="24" t="str">
        <f>IF($Y148="","","Received "&amp;TEXT(INDEX(Import_Staging!$M$2:$M$301,$Y148),"yyyy-mm-dd")&amp;" (CSV row "&amp;($Y148+1)&amp;")")</f>
        <v/>
      </c>
      <c r="X148" t="str">
        <f>IFERROR(MATCH(143,Import_Staging!$BT$2:$BT$301,0),"")</f>
        <v/>
      </c>
      <c r="Y148" t="str">
        <f>IFERROR(MATCH(143,Import_Staging!$BV$2:$BV$301,0),"")</f>
        <v/>
      </c>
    </row>
    <row r="149">
      <c r="A149" s="24" t="str">
        <f>IF($X149="","",INDEX(Import_Staging!$A$2:$A$301,$X149)&amp;"")</f>
        <v/>
      </c>
      <c r="B149" s="27" t="str">
        <f>IF($X149="","",INDEX(Import_Staging!$M$2:$M$301,$X149))</f>
        <v/>
      </c>
      <c r="C149" s="24" t="str">
        <f>IF($X149="","",INDEX(Import_Staging!$C$2:$C$301,$X149)&amp;"")</f>
        <v/>
      </c>
      <c r="D149" s="24" t="str">
        <f>IF($X149="","",INDEX(Import_Staging!$D$2:$D$301,$X149)&amp;"")</f>
        <v/>
      </c>
      <c r="E149" s="69" t="str">
        <f>IF($X149="","",INDEX(Import_Staging!$O$2:$O$301,$X149))</f>
        <v/>
      </c>
      <c r="F149" s="24" t="str">
        <f>IF($X149="","",INDEX(Import_Staging!$F$2:$F$301,$X149)&amp;"")</f>
        <v/>
      </c>
      <c r="G149" s="24" t="str">
        <f>IF($X149="","",INDEX(Import_Staging!$J$2:$J$301,$X149)&amp;"")</f>
        <v/>
      </c>
      <c r="H149" s="24" t="str">
        <f>IF($X149="","",INDEX(Import_Staging!$K$2:$K$301,$X149)&amp;"")</f>
        <v/>
      </c>
      <c r="I149" s="24" t="str">
        <f>IF($X149="","",INDEX(Import_Staging!$L$2:$L$301,$X149)&amp;"")</f>
        <v/>
      </c>
      <c r="J149" s="24" t="str">
        <f>IF($X149="","","3PL import")</f>
        <v/>
      </c>
      <c r="K149" s="24" t="str">
        <f>IF($X149="","",Config!$B$11)</f>
        <v/>
      </c>
      <c r="L149" s="24" t="str">
        <f>IF($X149="","","CSV row "&amp;($X149+1))</f>
        <v/>
      </c>
      <c r="N149" s="24" t="str">
        <f>IF($Y149="","",INDEX(Import_Staging!$F$2:$F$301,$Y149)&amp;"")</f>
        <v/>
      </c>
      <c r="O149" s="24" t="str">
        <f>IF($Y149="","",INDEX(Import_Staging!$D$2:$D$301,$Y149)&amp;"")</f>
        <v/>
      </c>
      <c r="P149" s="24" t="str">
        <f>IF($Y149="","",INDEX(Import_Staging!$E$2:$E$301,$Y149)&amp;"")</f>
        <v/>
      </c>
      <c r="Q149" s="27" t="n"/>
      <c r="R149" s="27" t="str">
        <f>IF($Y149="","",INDEX(Import_Staging!$N$2:$N$301,$Y149))</f>
        <v/>
      </c>
      <c r="S149" s="70" t="str">
        <f>IF($Y149="","",0)</f>
        <v/>
      </c>
      <c r="T149" s="24" t="str">
        <f>IF($Y149="","",INDEX(Import_Staging!$I$2:$I$301,$Y149)&amp;"")</f>
        <v/>
      </c>
      <c r="U149" s="24" t="n"/>
      <c r="V149" s="24" t="str">
        <f>IF($Y149="","","Received "&amp;TEXT(INDEX(Import_Staging!$M$2:$M$301,$Y149),"yyyy-mm-dd")&amp;" (CSV row "&amp;($Y149+1)&amp;")")</f>
        <v/>
      </c>
      <c r="X149" t="str">
        <f>IFERROR(MATCH(144,Import_Staging!$BT$2:$BT$301,0),"")</f>
        <v/>
      </c>
      <c r="Y149" t="str">
        <f>IFERROR(MATCH(144,Import_Staging!$BV$2:$BV$301,0),"")</f>
        <v/>
      </c>
    </row>
    <row r="150">
      <c r="A150" s="24" t="str">
        <f>IF($X150="","",INDEX(Import_Staging!$A$2:$A$301,$X150)&amp;"")</f>
        <v/>
      </c>
      <c r="B150" s="27" t="str">
        <f>IF($X150="","",INDEX(Import_Staging!$M$2:$M$301,$X150))</f>
        <v/>
      </c>
      <c r="C150" s="24" t="str">
        <f>IF($X150="","",INDEX(Import_Staging!$C$2:$C$301,$X150)&amp;"")</f>
        <v/>
      </c>
      <c r="D150" s="24" t="str">
        <f>IF($X150="","",INDEX(Import_Staging!$D$2:$D$301,$X150)&amp;"")</f>
        <v/>
      </c>
      <c r="E150" s="69" t="str">
        <f>IF($X150="","",INDEX(Import_Staging!$O$2:$O$301,$X150))</f>
        <v/>
      </c>
      <c r="F150" s="24" t="str">
        <f>IF($X150="","",INDEX(Import_Staging!$F$2:$F$301,$X150)&amp;"")</f>
        <v/>
      </c>
      <c r="G150" s="24" t="str">
        <f>IF($X150="","",INDEX(Import_Staging!$J$2:$J$301,$X150)&amp;"")</f>
        <v/>
      </c>
      <c r="H150" s="24" t="str">
        <f>IF($X150="","",INDEX(Import_Staging!$K$2:$K$301,$X150)&amp;"")</f>
        <v/>
      </c>
      <c r="I150" s="24" t="str">
        <f>IF($X150="","",INDEX(Import_Staging!$L$2:$L$301,$X150)&amp;"")</f>
        <v/>
      </c>
      <c r="J150" s="24" t="str">
        <f>IF($X150="","","3PL import")</f>
        <v/>
      </c>
      <c r="K150" s="24" t="str">
        <f>IF($X150="","",Config!$B$11)</f>
        <v/>
      </c>
      <c r="L150" s="24" t="str">
        <f>IF($X150="","","CSV row "&amp;($X150+1))</f>
        <v/>
      </c>
      <c r="N150" s="24" t="str">
        <f>IF($Y150="","",INDEX(Import_Staging!$F$2:$F$301,$Y150)&amp;"")</f>
        <v/>
      </c>
      <c r="O150" s="24" t="str">
        <f>IF($Y150="","",INDEX(Import_Staging!$D$2:$D$301,$Y150)&amp;"")</f>
        <v/>
      </c>
      <c r="P150" s="24" t="str">
        <f>IF($Y150="","",INDEX(Import_Staging!$E$2:$E$301,$Y150)&amp;"")</f>
        <v/>
      </c>
      <c r="Q150" s="27" t="n"/>
      <c r="R150" s="27" t="str">
        <f>IF($Y150="","",INDEX(Import_Staging!$N$2:$N$301,$Y150))</f>
        <v/>
      </c>
      <c r="S150" s="70" t="str">
        <f>IF($Y150="","",0)</f>
        <v/>
      </c>
      <c r="T150" s="24" t="str">
        <f>IF($Y150="","",INDEX(Import_Staging!$I$2:$I$301,$Y150)&amp;"")</f>
        <v/>
      </c>
      <c r="U150" s="24" t="n"/>
      <c r="V150" s="24" t="str">
        <f>IF($Y150="","","Received "&amp;TEXT(INDEX(Import_Staging!$M$2:$M$301,$Y150),"yyyy-mm-dd")&amp;" (CSV row "&amp;($Y150+1)&amp;")")</f>
        <v/>
      </c>
      <c r="X150" t="str">
        <f>IFERROR(MATCH(145,Import_Staging!$BT$2:$BT$301,0),"")</f>
        <v/>
      </c>
      <c r="Y150" t="str">
        <f>IFERROR(MATCH(145,Import_Staging!$BV$2:$BV$301,0),"")</f>
        <v/>
      </c>
    </row>
    <row r="151">
      <c r="A151" s="24" t="str">
        <f>IF($X151="","",INDEX(Import_Staging!$A$2:$A$301,$X151)&amp;"")</f>
        <v/>
      </c>
      <c r="B151" s="27" t="str">
        <f>IF($X151="","",INDEX(Import_Staging!$M$2:$M$301,$X151))</f>
        <v/>
      </c>
      <c r="C151" s="24" t="str">
        <f>IF($X151="","",INDEX(Import_Staging!$C$2:$C$301,$X151)&amp;"")</f>
        <v/>
      </c>
      <c r="D151" s="24" t="str">
        <f>IF($X151="","",INDEX(Import_Staging!$D$2:$D$301,$X151)&amp;"")</f>
        <v/>
      </c>
      <c r="E151" s="69" t="str">
        <f>IF($X151="","",INDEX(Import_Staging!$O$2:$O$301,$X151))</f>
        <v/>
      </c>
      <c r="F151" s="24" t="str">
        <f>IF($X151="","",INDEX(Import_Staging!$F$2:$F$301,$X151)&amp;"")</f>
        <v/>
      </c>
      <c r="G151" s="24" t="str">
        <f>IF($X151="","",INDEX(Import_Staging!$J$2:$J$301,$X151)&amp;"")</f>
        <v/>
      </c>
      <c r="H151" s="24" t="str">
        <f>IF($X151="","",INDEX(Import_Staging!$K$2:$K$301,$X151)&amp;"")</f>
        <v/>
      </c>
      <c r="I151" s="24" t="str">
        <f>IF($X151="","",INDEX(Import_Staging!$L$2:$L$301,$X151)&amp;"")</f>
        <v/>
      </c>
      <c r="J151" s="24" t="str">
        <f>IF($X151="","","3PL import")</f>
        <v/>
      </c>
      <c r="K151" s="24" t="str">
        <f>IF($X151="","",Config!$B$11)</f>
        <v/>
      </c>
      <c r="L151" s="24" t="str">
        <f>IF($X151="","","CSV row "&amp;($X151+1))</f>
        <v/>
      </c>
      <c r="N151" s="24" t="str">
        <f>IF($Y151="","",INDEX(Import_Staging!$F$2:$F$301,$Y151)&amp;"")</f>
        <v/>
      </c>
      <c r="O151" s="24" t="str">
        <f>IF($Y151="","",INDEX(Import_Staging!$D$2:$D$301,$Y151)&amp;"")</f>
        <v/>
      </c>
      <c r="P151" s="24" t="str">
        <f>IF($Y151="","",INDEX(Import_Staging!$E$2:$E$301,$Y151)&amp;"")</f>
        <v/>
      </c>
      <c r="Q151" s="27" t="n"/>
      <c r="R151" s="27" t="str">
        <f>IF($Y151="","",INDEX(Import_Staging!$N$2:$N$301,$Y151))</f>
        <v/>
      </c>
      <c r="S151" s="70" t="str">
        <f>IF($Y151="","",0)</f>
        <v/>
      </c>
      <c r="T151" s="24" t="str">
        <f>IF($Y151="","",INDEX(Import_Staging!$I$2:$I$301,$Y151)&amp;"")</f>
        <v/>
      </c>
      <c r="U151" s="24" t="n"/>
      <c r="V151" s="24" t="str">
        <f>IF($Y151="","","Received "&amp;TEXT(INDEX(Import_Staging!$M$2:$M$301,$Y151),"yyyy-mm-dd")&amp;" (CSV row "&amp;($Y151+1)&amp;")")</f>
        <v/>
      </c>
      <c r="X151" t="str">
        <f>IFERROR(MATCH(146,Import_Staging!$BT$2:$BT$301,0),"")</f>
        <v/>
      </c>
      <c r="Y151" t="str">
        <f>IFERROR(MATCH(146,Import_Staging!$BV$2:$BV$301,0),"")</f>
        <v/>
      </c>
    </row>
    <row r="152">
      <c r="A152" s="24" t="str">
        <f>IF($X152="","",INDEX(Import_Staging!$A$2:$A$301,$X152)&amp;"")</f>
        <v/>
      </c>
      <c r="B152" s="27" t="str">
        <f>IF($X152="","",INDEX(Import_Staging!$M$2:$M$301,$X152))</f>
        <v/>
      </c>
      <c r="C152" s="24" t="str">
        <f>IF($X152="","",INDEX(Import_Staging!$C$2:$C$301,$X152)&amp;"")</f>
        <v/>
      </c>
      <c r="D152" s="24" t="str">
        <f>IF($X152="","",INDEX(Import_Staging!$D$2:$D$301,$X152)&amp;"")</f>
        <v/>
      </c>
      <c r="E152" s="69" t="str">
        <f>IF($X152="","",INDEX(Import_Staging!$O$2:$O$301,$X152))</f>
        <v/>
      </c>
      <c r="F152" s="24" t="str">
        <f>IF($X152="","",INDEX(Import_Staging!$F$2:$F$301,$X152)&amp;"")</f>
        <v/>
      </c>
      <c r="G152" s="24" t="str">
        <f>IF($X152="","",INDEX(Import_Staging!$J$2:$J$301,$X152)&amp;"")</f>
        <v/>
      </c>
      <c r="H152" s="24" t="str">
        <f>IF($X152="","",INDEX(Import_Staging!$K$2:$K$301,$X152)&amp;"")</f>
        <v/>
      </c>
      <c r="I152" s="24" t="str">
        <f>IF($X152="","",INDEX(Import_Staging!$L$2:$L$301,$X152)&amp;"")</f>
        <v/>
      </c>
      <c r="J152" s="24" t="str">
        <f>IF($X152="","","3PL import")</f>
        <v/>
      </c>
      <c r="K152" s="24" t="str">
        <f>IF($X152="","",Config!$B$11)</f>
        <v/>
      </c>
      <c r="L152" s="24" t="str">
        <f>IF($X152="","","CSV row "&amp;($X152+1))</f>
        <v/>
      </c>
      <c r="N152" s="24" t="str">
        <f>IF($Y152="","",INDEX(Import_Staging!$F$2:$F$301,$Y152)&amp;"")</f>
        <v/>
      </c>
      <c r="O152" s="24" t="str">
        <f>IF($Y152="","",INDEX(Import_Staging!$D$2:$D$301,$Y152)&amp;"")</f>
        <v/>
      </c>
      <c r="P152" s="24" t="str">
        <f>IF($Y152="","",INDEX(Import_Staging!$E$2:$E$301,$Y152)&amp;"")</f>
        <v/>
      </c>
      <c r="Q152" s="27" t="n"/>
      <c r="R152" s="27" t="str">
        <f>IF($Y152="","",INDEX(Import_Staging!$N$2:$N$301,$Y152))</f>
        <v/>
      </c>
      <c r="S152" s="70" t="str">
        <f>IF($Y152="","",0)</f>
        <v/>
      </c>
      <c r="T152" s="24" t="str">
        <f>IF($Y152="","",INDEX(Import_Staging!$I$2:$I$301,$Y152)&amp;"")</f>
        <v/>
      </c>
      <c r="U152" s="24" t="n"/>
      <c r="V152" s="24" t="str">
        <f>IF($Y152="","","Received "&amp;TEXT(INDEX(Import_Staging!$M$2:$M$301,$Y152),"yyyy-mm-dd")&amp;" (CSV row "&amp;($Y152+1)&amp;")")</f>
        <v/>
      </c>
      <c r="X152" t="str">
        <f>IFERROR(MATCH(147,Import_Staging!$BT$2:$BT$301,0),"")</f>
        <v/>
      </c>
      <c r="Y152" t="str">
        <f>IFERROR(MATCH(147,Import_Staging!$BV$2:$BV$301,0),"")</f>
        <v/>
      </c>
    </row>
    <row r="153">
      <c r="A153" s="24" t="str">
        <f>IF($X153="","",INDEX(Import_Staging!$A$2:$A$301,$X153)&amp;"")</f>
        <v/>
      </c>
      <c r="B153" s="27" t="str">
        <f>IF($X153="","",INDEX(Import_Staging!$M$2:$M$301,$X153))</f>
        <v/>
      </c>
      <c r="C153" s="24" t="str">
        <f>IF($X153="","",INDEX(Import_Staging!$C$2:$C$301,$X153)&amp;"")</f>
        <v/>
      </c>
      <c r="D153" s="24" t="str">
        <f>IF($X153="","",INDEX(Import_Staging!$D$2:$D$301,$X153)&amp;"")</f>
        <v/>
      </c>
      <c r="E153" s="69" t="str">
        <f>IF($X153="","",INDEX(Import_Staging!$O$2:$O$301,$X153))</f>
        <v/>
      </c>
      <c r="F153" s="24" t="str">
        <f>IF($X153="","",INDEX(Import_Staging!$F$2:$F$301,$X153)&amp;"")</f>
        <v/>
      </c>
      <c r="G153" s="24" t="str">
        <f>IF($X153="","",INDEX(Import_Staging!$J$2:$J$301,$X153)&amp;"")</f>
        <v/>
      </c>
      <c r="H153" s="24" t="str">
        <f>IF($X153="","",INDEX(Import_Staging!$K$2:$K$301,$X153)&amp;"")</f>
        <v/>
      </c>
      <c r="I153" s="24" t="str">
        <f>IF($X153="","",INDEX(Import_Staging!$L$2:$L$301,$X153)&amp;"")</f>
        <v/>
      </c>
      <c r="J153" s="24" t="str">
        <f>IF($X153="","","3PL import")</f>
        <v/>
      </c>
      <c r="K153" s="24" t="str">
        <f>IF($X153="","",Config!$B$11)</f>
        <v/>
      </c>
      <c r="L153" s="24" t="str">
        <f>IF($X153="","","CSV row "&amp;($X153+1))</f>
        <v/>
      </c>
      <c r="N153" s="24" t="str">
        <f>IF($Y153="","",INDEX(Import_Staging!$F$2:$F$301,$Y153)&amp;"")</f>
        <v/>
      </c>
      <c r="O153" s="24" t="str">
        <f>IF($Y153="","",INDEX(Import_Staging!$D$2:$D$301,$Y153)&amp;"")</f>
        <v/>
      </c>
      <c r="P153" s="24" t="str">
        <f>IF($Y153="","",INDEX(Import_Staging!$E$2:$E$301,$Y153)&amp;"")</f>
        <v/>
      </c>
      <c r="Q153" s="27" t="n"/>
      <c r="R153" s="27" t="str">
        <f>IF($Y153="","",INDEX(Import_Staging!$N$2:$N$301,$Y153))</f>
        <v/>
      </c>
      <c r="S153" s="70" t="str">
        <f>IF($Y153="","",0)</f>
        <v/>
      </c>
      <c r="T153" s="24" t="str">
        <f>IF($Y153="","",INDEX(Import_Staging!$I$2:$I$301,$Y153)&amp;"")</f>
        <v/>
      </c>
      <c r="U153" s="24" t="n"/>
      <c r="V153" s="24" t="str">
        <f>IF($Y153="","","Received "&amp;TEXT(INDEX(Import_Staging!$M$2:$M$301,$Y153),"yyyy-mm-dd")&amp;" (CSV row "&amp;($Y153+1)&amp;")")</f>
        <v/>
      </c>
      <c r="X153" t="str">
        <f>IFERROR(MATCH(148,Import_Staging!$BT$2:$BT$301,0),"")</f>
        <v/>
      </c>
      <c r="Y153" t="str">
        <f>IFERROR(MATCH(148,Import_Staging!$BV$2:$BV$301,0),"")</f>
        <v/>
      </c>
    </row>
    <row r="154">
      <c r="A154" s="24" t="str">
        <f>IF($X154="","",INDEX(Import_Staging!$A$2:$A$301,$X154)&amp;"")</f>
        <v/>
      </c>
      <c r="B154" s="27" t="str">
        <f>IF($X154="","",INDEX(Import_Staging!$M$2:$M$301,$X154))</f>
        <v/>
      </c>
      <c r="C154" s="24" t="str">
        <f>IF($X154="","",INDEX(Import_Staging!$C$2:$C$301,$X154)&amp;"")</f>
        <v/>
      </c>
      <c r="D154" s="24" t="str">
        <f>IF($X154="","",INDEX(Import_Staging!$D$2:$D$301,$X154)&amp;"")</f>
        <v/>
      </c>
      <c r="E154" s="69" t="str">
        <f>IF($X154="","",INDEX(Import_Staging!$O$2:$O$301,$X154))</f>
        <v/>
      </c>
      <c r="F154" s="24" t="str">
        <f>IF($X154="","",INDEX(Import_Staging!$F$2:$F$301,$X154)&amp;"")</f>
        <v/>
      </c>
      <c r="G154" s="24" t="str">
        <f>IF($X154="","",INDEX(Import_Staging!$J$2:$J$301,$X154)&amp;"")</f>
        <v/>
      </c>
      <c r="H154" s="24" t="str">
        <f>IF($X154="","",INDEX(Import_Staging!$K$2:$K$301,$X154)&amp;"")</f>
        <v/>
      </c>
      <c r="I154" s="24" t="str">
        <f>IF($X154="","",INDEX(Import_Staging!$L$2:$L$301,$X154)&amp;"")</f>
        <v/>
      </c>
      <c r="J154" s="24" t="str">
        <f>IF($X154="","","3PL import")</f>
        <v/>
      </c>
      <c r="K154" s="24" t="str">
        <f>IF($X154="","",Config!$B$11)</f>
        <v/>
      </c>
      <c r="L154" s="24" t="str">
        <f>IF($X154="","","CSV row "&amp;($X154+1))</f>
        <v/>
      </c>
      <c r="N154" s="24" t="str">
        <f>IF($Y154="","",INDEX(Import_Staging!$F$2:$F$301,$Y154)&amp;"")</f>
        <v/>
      </c>
      <c r="O154" s="24" t="str">
        <f>IF($Y154="","",INDEX(Import_Staging!$D$2:$D$301,$Y154)&amp;"")</f>
        <v/>
      </c>
      <c r="P154" s="24" t="str">
        <f>IF($Y154="","",INDEX(Import_Staging!$E$2:$E$301,$Y154)&amp;"")</f>
        <v/>
      </c>
      <c r="Q154" s="27" t="n"/>
      <c r="R154" s="27" t="str">
        <f>IF($Y154="","",INDEX(Import_Staging!$N$2:$N$301,$Y154))</f>
        <v/>
      </c>
      <c r="S154" s="70" t="str">
        <f>IF($Y154="","",0)</f>
        <v/>
      </c>
      <c r="T154" s="24" t="str">
        <f>IF($Y154="","",INDEX(Import_Staging!$I$2:$I$301,$Y154)&amp;"")</f>
        <v/>
      </c>
      <c r="U154" s="24" t="n"/>
      <c r="V154" s="24" t="str">
        <f>IF($Y154="","","Received "&amp;TEXT(INDEX(Import_Staging!$M$2:$M$301,$Y154),"yyyy-mm-dd")&amp;" (CSV row "&amp;($Y154+1)&amp;")")</f>
        <v/>
      </c>
      <c r="X154" t="str">
        <f>IFERROR(MATCH(149,Import_Staging!$BT$2:$BT$301,0),"")</f>
        <v/>
      </c>
      <c r="Y154" t="str">
        <f>IFERROR(MATCH(149,Import_Staging!$BV$2:$BV$301,0),"")</f>
        <v/>
      </c>
    </row>
    <row r="155">
      <c r="A155" s="24" t="str">
        <f>IF($X155="","",INDEX(Import_Staging!$A$2:$A$301,$X155)&amp;"")</f>
        <v/>
      </c>
      <c r="B155" s="27" t="str">
        <f>IF($X155="","",INDEX(Import_Staging!$M$2:$M$301,$X155))</f>
        <v/>
      </c>
      <c r="C155" s="24" t="str">
        <f>IF($X155="","",INDEX(Import_Staging!$C$2:$C$301,$X155)&amp;"")</f>
        <v/>
      </c>
      <c r="D155" s="24" t="str">
        <f>IF($X155="","",INDEX(Import_Staging!$D$2:$D$301,$X155)&amp;"")</f>
        <v/>
      </c>
      <c r="E155" s="69" t="str">
        <f>IF($X155="","",INDEX(Import_Staging!$O$2:$O$301,$X155))</f>
        <v/>
      </c>
      <c r="F155" s="24" t="str">
        <f>IF($X155="","",INDEX(Import_Staging!$F$2:$F$301,$X155)&amp;"")</f>
        <v/>
      </c>
      <c r="G155" s="24" t="str">
        <f>IF($X155="","",INDEX(Import_Staging!$J$2:$J$301,$X155)&amp;"")</f>
        <v/>
      </c>
      <c r="H155" s="24" t="str">
        <f>IF($X155="","",INDEX(Import_Staging!$K$2:$K$301,$X155)&amp;"")</f>
        <v/>
      </c>
      <c r="I155" s="24" t="str">
        <f>IF($X155="","",INDEX(Import_Staging!$L$2:$L$301,$X155)&amp;"")</f>
        <v/>
      </c>
      <c r="J155" s="24" t="str">
        <f>IF($X155="","","3PL import")</f>
        <v/>
      </c>
      <c r="K155" s="24" t="str">
        <f>IF($X155="","",Config!$B$11)</f>
        <v/>
      </c>
      <c r="L155" s="24" t="str">
        <f>IF($X155="","","CSV row "&amp;($X155+1))</f>
        <v/>
      </c>
      <c r="N155" s="24" t="str">
        <f>IF($Y155="","",INDEX(Import_Staging!$F$2:$F$301,$Y155)&amp;"")</f>
        <v/>
      </c>
      <c r="O155" s="24" t="str">
        <f>IF($Y155="","",INDEX(Import_Staging!$D$2:$D$301,$Y155)&amp;"")</f>
        <v/>
      </c>
      <c r="P155" s="24" t="str">
        <f>IF($Y155="","",INDEX(Import_Staging!$E$2:$E$301,$Y155)&amp;"")</f>
        <v/>
      </c>
      <c r="Q155" s="27" t="n"/>
      <c r="R155" s="27" t="str">
        <f>IF($Y155="","",INDEX(Import_Staging!$N$2:$N$301,$Y155))</f>
        <v/>
      </c>
      <c r="S155" s="70" t="str">
        <f>IF($Y155="","",0)</f>
        <v/>
      </c>
      <c r="T155" s="24" t="str">
        <f>IF($Y155="","",INDEX(Import_Staging!$I$2:$I$301,$Y155)&amp;"")</f>
        <v/>
      </c>
      <c r="U155" s="24" t="n"/>
      <c r="V155" s="24" t="str">
        <f>IF($Y155="","","Received "&amp;TEXT(INDEX(Import_Staging!$M$2:$M$301,$Y155),"yyyy-mm-dd")&amp;" (CSV row "&amp;($Y155+1)&amp;")")</f>
        <v/>
      </c>
      <c r="X155" t="str">
        <f>IFERROR(MATCH(150,Import_Staging!$BT$2:$BT$301,0),"")</f>
        <v/>
      </c>
      <c r="Y155" t="str">
        <f>IFERROR(MATCH(150,Import_Staging!$BV$2:$BV$301,0),"")</f>
        <v/>
      </c>
    </row>
    <row r="156">
      <c r="A156" s="24" t="str">
        <f>IF($X156="","",INDEX(Import_Staging!$A$2:$A$301,$X156)&amp;"")</f>
        <v/>
      </c>
      <c r="B156" s="27" t="str">
        <f>IF($X156="","",INDEX(Import_Staging!$M$2:$M$301,$X156))</f>
        <v/>
      </c>
      <c r="C156" s="24" t="str">
        <f>IF($X156="","",INDEX(Import_Staging!$C$2:$C$301,$X156)&amp;"")</f>
        <v/>
      </c>
      <c r="D156" s="24" t="str">
        <f>IF($X156="","",INDEX(Import_Staging!$D$2:$D$301,$X156)&amp;"")</f>
        <v/>
      </c>
      <c r="E156" s="69" t="str">
        <f>IF($X156="","",INDEX(Import_Staging!$O$2:$O$301,$X156))</f>
        <v/>
      </c>
      <c r="F156" s="24" t="str">
        <f>IF($X156="","",INDEX(Import_Staging!$F$2:$F$301,$X156)&amp;"")</f>
        <v/>
      </c>
      <c r="G156" s="24" t="str">
        <f>IF($X156="","",INDEX(Import_Staging!$J$2:$J$301,$X156)&amp;"")</f>
        <v/>
      </c>
      <c r="H156" s="24" t="str">
        <f>IF($X156="","",INDEX(Import_Staging!$K$2:$K$301,$X156)&amp;"")</f>
        <v/>
      </c>
      <c r="I156" s="24" t="str">
        <f>IF($X156="","",INDEX(Import_Staging!$L$2:$L$301,$X156)&amp;"")</f>
        <v/>
      </c>
      <c r="J156" s="24" t="str">
        <f>IF($X156="","","3PL import")</f>
        <v/>
      </c>
      <c r="K156" s="24" t="str">
        <f>IF($X156="","",Config!$B$11)</f>
        <v/>
      </c>
      <c r="L156" s="24" t="str">
        <f>IF($X156="","","CSV row "&amp;($X156+1))</f>
        <v/>
      </c>
      <c r="N156" s="24" t="str">
        <f>IF($Y156="","",INDEX(Import_Staging!$F$2:$F$301,$Y156)&amp;"")</f>
        <v/>
      </c>
      <c r="O156" s="24" t="str">
        <f>IF($Y156="","",INDEX(Import_Staging!$D$2:$D$301,$Y156)&amp;"")</f>
        <v/>
      </c>
      <c r="P156" s="24" t="str">
        <f>IF($Y156="","",INDEX(Import_Staging!$E$2:$E$301,$Y156)&amp;"")</f>
        <v/>
      </c>
      <c r="Q156" s="27" t="n"/>
      <c r="R156" s="27" t="str">
        <f>IF($Y156="","",INDEX(Import_Staging!$N$2:$N$301,$Y156))</f>
        <v/>
      </c>
      <c r="S156" s="70" t="str">
        <f>IF($Y156="","",0)</f>
        <v/>
      </c>
      <c r="T156" s="24" t="str">
        <f>IF($Y156="","",INDEX(Import_Staging!$I$2:$I$301,$Y156)&amp;"")</f>
        <v/>
      </c>
      <c r="U156" s="24" t="n"/>
      <c r="V156" s="24" t="str">
        <f>IF($Y156="","","Received "&amp;TEXT(INDEX(Import_Staging!$M$2:$M$301,$Y156),"yyyy-mm-dd")&amp;" (CSV row "&amp;($Y156+1)&amp;")")</f>
        <v/>
      </c>
      <c r="X156" t="str">
        <f>IFERROR(MATCH(151,Import_Staging!$BT$2:$BT$301,0),"")</f>
        <v/>
      </c>
      <c r="Y156" t="str">
        <f>IFERROR(MATCH(151,Import_Staging!$BV$2:$BV$301,0),"")</f>
        <v/>
      </c>
    </row>
    <row r="157">
      <c r="A157" s="24" t="str">
        <f>IF($X157="","",INDEX(Import_Staging!$A$2:$A$301,$X157)&amp;"")</f>
        <v/>
      </c>
      <c r="B157" s="27" t="str">
        <f>IF($X157="","",INDEX(Import_Staging!$M$2:$M$301,$X157))</f>
        <v/>
      </c>
      <c r="C157" s="24" t="str">
        <f>IF($X157="","",INDEX(Import_Staging!$C$2:$C$301,$X157)&amp;"")</f>
        <v/>
      </c>
      <c r="D157" s="24" t="str">
        <f>IF($X157="","",INDEX(Import_Staging!$D$2:$D$301,$X157)&amp;"")</f>
        <v/>
      </c>
      <c r="E157" s="69" t="str">
        <f>IF($X157="","",INDEX(Import_Staging!$O$2:$O$301,$X157))</f>
        <v/>
      </c>
      <c r="F157" s="24" t="str">
        <f>IF($X157="","",INDEX(Import_Staging!$F$2:$F$301,$X157)&amp;"")</f>
        <v/>
      </c>
      <c r="G157" s="24" t="str">
        <f>IF($X157="","",INDEX(Import_Staging!$J$2:$J$301,$X157)&amp;"")</f>
        <v/>
      </c>
      <c r="H157" s="24" t="str">
        <f>IF($X157="","",INDEX(Import_Staging!$K$2:$K$301,$X157)&amp;"")</f>
        <v/>
      </c>
      <c r="I157" s="24" t="str">
        <f>IF($X157="","",INDEX(Import_Staging!$L$2:$L$301,$X157)&amp;"")</f>
        <v/>
      </c>
      <c r="J157" s="24" t="str">
        <f>IF($X157="","","3PL import")</f>
        <v/>
      </c>
      <c r="K157" s="24" t="str">
        <f>IF($X157="","",Config!$B$11)</f>
        <v/>
      </c>
      <c r="L157" s="24" t="str">
        <f>IF($X157="","","CSV row "&amp;($X157+1))</f>
        <v/>
      </c>
      <c r="N157" s="24" t="str">
        <f>IF($Y157="","",INDEX(Import_Staging!$F$2:$F$301,$Y157)&amp;"")</f>
        <v/>
      </c>
      <c r="O157" s="24" t="str">
        <f>IF($Y157="","",INDEX(Import_Staging!$D$2:$D$301,$Y157)&amp;"")</f>
        <v/>
      </c>
      <c r="P157" s="24" t="str">
        <f>IF($Y157="","",INDEX(Import_Staging!$E$2:$E$301,$Y157)&amp;"")</f>
        <v/>
      </c>
      <c r="Q157" s="27" t="n"/>
      <c r="R157" s="27" t="str">
        <f>IF($Y157="","",INDEX(Import_Staging!$N$2:$N$301,$Y157))</f>
        <v/>
      </c>
      <c r="S157" s="70" t="str">
        <f>IF($Y157="","",0)</f>
        <v/>
      </c>
      <c r="T157" s="24" t="str">
        <f>IF($Y157="","",INDEX(Import_Staging!$I$2:$I$301,$Y157)&amp;"")</f>
        <v/>
      </c>
      <c r="U157" s="24" t="n"/>
      <c r="V157" s="24" t="str">
        <f>IF($Y157="","","Received "&amp;TEXT(INDEX(Import_Staging!$M$2:$M$301,$Y157),"yyyy-mm-dd")&amp;" (CSV row "&amp;($Y157+1)&amp;")")</f>
        <v/>
      </c>
      <c r="X157" t="str">
        <f>IFERROR(MATCH(152,Import_Staging!$BT$2:$BT$301,0),"")</f>
        <v/>
      </c>
      <c r="Y157" t="str">
        <f>IFERROR(MATCH(152,Import_Staging!$BV$2:$BV$301,0),"")</f>
        <v/>
      </c>
    </row>
    <row r="158">
      <c r="A158" s="24" t="str">
        <f>IF($X158="","",INDEX(Import_Staging!$A$2:$A$301,$X158)&amp;"")</f>
        <v/>
      </c>
      <c r="B158" s="27" t="str">
        <f>IF($X158="","",INDEX(Import_Staging!$M$2:$M$301,$X158))</f>
        <v/>
      </c>
      <c r="C158" s="24" t="str">
        <f>IF($X158="","",INDEX(Import_Staging!$C$2:$C$301,$X158)&amp;"")</f>
        <v/>
      </c>
      <c r="D158" s="24" t="str">
        <f>IF($X158="","",INDEX(Import_Staging!$D$2:$D$301,$X158)&amp;"")</f>
        <v/>
      </c>
      <c r="E158" s="69" t="str">
        <f>IF($X158="","",INDEX(Import_Staging!$O$2:$O$301,$X158))</f>
        <v/>
      </c>
      <c r="F158" s="24" t="str">
        <f>IF($X158="","",INDEX(Import_Staging!$F$2:$F$301,$X158)&amp;"")</f>
        <v/>
      </c>
      <c r="G158" s="24" t="str">
        <f>IF($X158="","",INDEX(Import_Staging!$J$2:$J$301,$X158)&amp;"")</f>
        <v/>
      </c>
      <c r="H158" s="24" t="str">
        <f>IF($X158="","",INDEX(Import_Staging!$K$2:$K$301,$X158)&amp;"")</f>
        <v/>
      </c>
      <c r="I158" s="24" t="str">
        <f>IF($X158="","",INDEX(Import_Staging!$L$2:$L$301,$X158)&amp;"")</f>
        <v/>
      </c>
      <c r="J158" s="24" t="str">
        <f>IF($X158="","","3PL import")</f>
        <v/>
      </c>
      <c r="K158" s="24" t="str">
        <f>IF($X158="","",Config!$B$11)</f>
        <v/>
      </c>
      <c r="L158" s="24" t="str">
        <f>IF($X158="","","CSV row "&amp;($X158+1))</f>
        <v/>
      </c>
      <c r="N158" s="24" t="str">
        <f>IF($Y158="","",INDEX(Import_Staging!$F$2:$F$301,$Y158)&amp;"")</f>
        <v/>
      </c>
      <c r="O158" s="24" t="str">
        <f>IF($Y158="","",INDEX(Import_Staging!$D$2:$D$301,$Y158)&amp;"")</f>
        <v/>
      </c>
      <c r="P158" s="24" t="str">
        <f>IF($Y158="","",INDEX(Import_Staging!$E$2:$E$301,$Y158)&amp;"")</f>
        <v/>
      </c>
      <c r="Q158" s="27" t="n"/>
      <c r="R158" s="27" t="str">
        <f>IF($Y158="","",INDEX(Import_Staging!$N$2:$N$301,$Y158))</f>
        <v/>
      </c>
      <c r="S158" s="70" t="str">
        <f>IF($Y158="","",0)</f>
        <v/>
      </c>
      <c r="T158" s="24" t="str">
        <f>IF($Y158="","",INDEX(Import_Staging!$I$2:$I$301,$Y158)&amp;"")</f>
        <v/>
      </c>
      <c r="U158" s="24" t="n"/>
      <c r="V158" s="24" t="str">
        <f>IF($Y158="","","Received "&amp;TEXT(INDEX(Import_Staging!$M$2:$M$301,$Y158),"yyyy-mm-dd")&amp;" (CSV row "&amp;($Y158+1)&amp;")")</f>
        <v/>
      </c>
      <c r="X158" t="str">
        <f>IFERROR(MATCH(153,Import_Staging!$BT$2:$BT$301,0),"")</f>
        <v/>
      </c>
      <c r="Y158" t="str">
        <f>IFERROR(MATCH(153,Import_Staging!$BV$2:$BV$301,0),"")</f>
        <v/>
      </c>
    </row>
    <row r="159">
      <c r="A159" s="24" t="str">
        <f>IF($X159="","",INDEX(Import_Staging!$A$2:$A$301,$X159)&amp;"")</f>
        <v/>
      </c>
      <c r="B159" s="27" t="str">
        <f>IF($X159="","",INDEX(Import_Staging!$M$2:$M$301,$X159))</f>
        <v/>
      </c>
      <c r="C159" s="24" t="str">
        <f>IF($X159="","",INDEX(Import_Staging!$C$2:$C$301,$X159)&amp;"")</f>
        <v/>
      </c>
      <c r="D159" s="24" t="str">
        <f>IF($X159="","",INDEX(Import_Staging!$D$2:$D$301,$X159)&amp;"")</f>
        <v/>
      </c>
      <c r="E159" s="69" t="str">
        <f>IF($X159="","",INDEX(Import_Staging!$O$2:$O$301,$X159))</f>
        <v/>
      </c>
      <c r="F159" s="24" t="str">
        <f>IF($X159="","",INDEX(Import_Staging!$F$2:$F$301,$X159)&amp;"")</f>
        <v/>
      </c>
      <c r="G159" s="24" t="str">
        <f>IF($X159="","",INDEX(Import_Staging!$J$2:$J$301,$X159)&amp;"")</f>
        <v/>
      </c>
      <c r="H159" s="24" t="str">
        <f>IF($X159="","",INDEX(Import_Staging!$K$2:$K$301,$X159)&amp;"")</f>
        <v/>
      </c>
      <c r="I159" s="24" t="str">
        <f>IF($X159="","",INDEX(Import_Staging!$L$2:$L$301,$X159)&amp;"")</f>
        <v/>
      </c>
      <c r="J159" s="24" t="str">
        <f>IF($X159="","","3PL import")</f>
        <v/>
      </c>
      <c r="K159" s="24" t="str">
        <f>IF($X159="","",Config!$B$11)</f>
        <v/>
      </c>
      <c r="L159" s="24" t="str">
        <f>IF($X159="","","CSV row "&amp;($X159+1))</f>
        <v/>
      </c>
      <c r="N159" s="24" t="str">
        <f>IF($Y159="","",INDEX(Import_Staging!$F$2:$F$301,$Y159)&amp;"")</f>
        <v/>
      </c>
      <c r="O159" s="24" t="str">
        <f>IF($Y159="","",INDEX(Import_Staging!$D$2:$D$301,$Y159)&amp;"")</f>
        <v/>
      </c>
      <c r="P159" s="24" t="str">
        <f>IF($Y159="","",INDEX(Import_Staging!$E$2:$E$301,$Y159)&amp;"")</f>
        <v/>
      </c>
      <c r="Q159" s="27" t="n"/>
      <c r="R159" s="27" t="str">
        <f>IF($Y159="","",INDEX(Import_Staging!$N$2:$N$301,$Y159))</f>
        <v/>
      </c>
      <c r="S159" s="70" t="str">
        <f>IF($Y159="","",0)</f>
        <v/>
      </c>
      <c r="T159" s="24" t="str">
        <f>IF($Y159="","",INDEX(Import_Staging!$I$2:$I$301,$Y159)&amp;"")</f>
        <v/>
      </c>
      <c r="U159" s="24" t="n"/>
      <c r="V159" s="24" t="str">
        <f>IF($Y159="","","Received "&amp;TEXT(INDEX(Import_Staging!$M$2:$M$301,$Y159),"yyyy-mm-dd")&amp;" (CSV row "&amp;($Y159+1)&amp;")")</f>
        <v/>
      </c>
      <c r="X159" t="str">
        <f>IFERROR(MATCH(154,Import_Staging!$BT$2:$BT$301,0),"")</f>
        <v/>
      </c>
      <c r="Y159" t="str">
        <f>IFERROR(MATCH(154,Import_Staging!$BV$2:$BV$301,0),"")</f>
        <v/>
      </c>
    </row>
    <row r="160">
      <c r="A160" s="24" t="str">
        <f>IF($X160="","",INDEX(Import_Staging!$A$2:$A$301,$X160)&amp;"")</f>
        <v/>
      </c>
      <c r="B160" s="27" t="str">
        <f>IF($X160="","",INDEX(Import_Staging!$M$2:$M$301,$X160))</f>
        <v/>
      </c>
      <c r="C160" s="24" t="str">
        <f>IF($X160="","",INDEX(Import_Staging!$C$2:$C$301,$X160)&amp;"")</f>
        <v/>
      </c>
      <c r="D160" s="24" t="str">
        <f>IF($X160="","",INDEX(Import_Staging!$D$2:$D$301,$X160)&amp;"")</f>
        <v/>
      </c>
      <c r="E160" s="69" t="str">
        <f>IF($X160="","",INDEX(Import_Staging!$O$2:$O$301,$X160))</f>
        <v/>
      </c>
      <c r="F160" s="24" t="str">
        <f>IF($X160="","",INDEX(Import_Staging!$F$2:$F$301,$X160)&amp;"")</f>
        <v/>
      </c>
      <c r="G160" s="24" t="str">
        <f>IF($X160="","",INDEX(Import_Staging!$J$2:$J$301,$X160)&amp;"")</f>
        <v/>
      </c>
      <c r="H160" s="24" t="str">
        <f>IF($X160="","",INDEX(Import_Staging!$K$2:$K$301,$X160)&amp;"")</f>
        <v/>
      </c>
      <c r="I160" s="24" t="str">
        <f>IF($X160="","",INDEX(Import_Staging!$L$2:$L$301,$X160)&amp;"")</f>
        <v/>
      </c>
      <c r="J160" s="24" t="str">
        <f>IF($X160="","","3PL import")</f>
        <v/>
      </c>
      <c r="K160" s="24" t="str">
        <f>IF($X160="","",Config!$B$11)</f>
        <v/>
      </c>
      <c r="L160" s="24" t="str">
        <f>IF($X160="","","CSV row "&amp;($X160+1))</f>
        <v/>
      </c>
      <c r="N160" s="24" t="str">
        <f>IF($Y160="","",INDEX(Import_Staging!$F$2:$F$301,$Y160)&amp;"")</f>
        <v/>
      </c>
      <c r="O160" s="24" t="str">
        <f>IF($Y160="","",INDEX(Import_Staging!$D$2:$D$301,$Y160)&amp;"")</f>
        <v/>
      </c>
      <c r="P160" s="24" t="str">
        <f>IF($Y160="","",INDEX(Import_Staging!$E$2:$E$301,$Y160)&amp;"")</f>
        <v/>
      </c>
      <c r="Q160" s="27" t="n"/>
      <c r="R160" s="27" t="str">
        <f>IF($Y160="","",INDEX(Import_Staging!$N$2:$N$301,$Y160))</f>
        <v/>
      </c>
      <c r="S160" s="70" t="str">
        <f>IF($Y160="","",0)</f>
        <v/>
      </c>
      <c r="T160" s="24" t="str">
        <f>IF($Y160="","",INDEX(Import_Staging!$I$2:$I$301,$Y160)&amp;"")</f>
        <v/>
      </c>
      <c r="U160" s="24" t="n"/>
      <c r="V160" s="24" t="str">
        <f>IF($Y160="","","Received "&amp;TEXT(INDEX(Import_Staging!$M$2:$M$301,$Y160),"yyyy-mm-dd")&amp;" (CSV row "&amp;($Y160+1)&amp;")")</f>
        <v/>
      </c>
      <c r="X160" t="str">
        <f>IFERROR(MATCH(155,Import_Staging!$BT$2:$BT$301,0),"")</f>
        <v/>
      </c>
      <c r="Y160" t="str">
        <f>IFERROR(MATCH(155,Import_Staging!$BV$2:$BV$301,0),"")</f>
        <v/>
      </c>
    </row>
    <row r="161">
      <c r="A161" s="24" t="str">
        <f>IF($X161="","",INDEX(Import_Staging!$A$2:$A$301,$X161)&amp;"")</f>
        <v/>
      </c>
      <c r="B161" s="27" t="str">
        <f>IF($X161="","",INDEX(Import_Staging!$M$2:$M$301,$X161))</f>
        <v/>
      </c>
      <c r="C161" s="24" t="str">
        <f>IF($X161="","",INDEX(Import_Staging!$C$2:$C$301,$X161)&amp;"")</f>
        <v/>
      </c>
      <c r="D161" s="24" t="str">
        <f>IF($X161="","",INDEX(Import_Staging!$D$2:$D$301,$X161)&amp;"")</f>
        <v/>
      </c>
      <c r="E161" s="69" t="str">
        <f>IF($X161="","",INDEX(Import_Staging!$O$2:$O$301,$X161))</f>
        <v/>
      </c>
      <c r="F161" s="24" t="str">
        <f>IF($X161="","",INDEX(Import_Staging!$F$2:$F$301,$X161)&amp;"")</f>
        <v/>
      </c>
      <c r="G161" s="24" t="str">
        <f>IF($X161="","",INDEX(Import_Staging!$J$2:$J$301,$X161)&amp;"")</f>
        <v/>
      </c>
      <c r="H161" s="24" t="str">
        <f>IF($X161="","",INDEX(Import_Staging!$K$2:$K$301,$X161)&amp;"")</f>
        <v/>
      </c>
      <c r="I161" s="24" t="str">
        <f>IF($X161="","",INDEX(Import_Staging!$L$2:$L$301,$X161)&amp;"")</f>
        <v/>
      </c>
      <c r="J161" s="24" t="str">
        <f>IF($X161="","","3PL import")</f>
        <v/>
      </c>
      <c r="K161" s="24" t="str">
        <f>IF($X161="","",Config!$B$11)</f>
        <v/>
      </c>
      <c r="L161" s="24" t="str">
        <f>IF($X161="","","CSV row "&amp;($X161+1))</f>
        <v/>
      </c>
      <c r="N161" s="24" t="str">
        <f>IF($Y161="","",INDEX(Import_Staging!$F$2:$F$301,$Y161)&amp;"")</f>
        <v/>
      </c>
      <c r="O161" s="24" t="str">
        <f>IF($Y161="","",INDEX(Import_Staging!$D$2:$D$301,$Y161)&amp;"")</f>
        <v/>
      </c>
      <c r="P161" s="24" t="str">
        <f>IF($Y161="","",INDEX(Import_Staging!$E$2:$E$301,$Y161)&amp;"")</f>
        <v/>
      </c>
      <c r="Q161" s="27" t="n"/>
      <c r="R161" s="27" t="str">
        <f>IF($Y161="","",INDEX(Import_Staging!$N$2:$N$301,$Y161))</f>
        <v/>
      </c>
      <c r="S161" s="70" t="str">
        <f>IF($Y161="","",0)</f>
        <v/>
      </c>
      <c r="T161" s="24" t="str">
        <f>IF($Y161="","",INDEX(Import_Staging!$I$2:$I$301,$Y161)&amp;"")</f>
        <v/>
      </c>
      <c r="U161" s="24" t="n"/>
      <c r="V161" s="24" t="str">
        <f>IF($Y161="","","Received "&amp;TEXT(INDEX(Import_Staging!$M$2:$M$301,$Y161),"yyyy-mm-dd")&amp;" (CSV row "&amp;($Y161+1)&amp;")")</f>
        <v/>
      </c>
      <c r="X161" t="str">
        <f>IFERROR(MATCH(156,Import_Staging!$BT$2:$BT$301,0),"")</f>
        <v/>
      </c>
      <c r="Y161" t="str">
        <f>IFERROR(MATCH(156,Import_Staging!$BV$2:$BV$301,0),"")</f>
        <v/>
      </c>
    </row>
    <row r="162">
      <c r="A162" s="24" t="str">
        <f>IF($X162="","",INDEX(Import_Staging!$A$2:$A$301,$X162)&amp;"")</f>
        <v/>
      </c>
      <c r="B162" s="27" t="str">
        <f>IF($X162="","",INDEX(Import_Staging!$M$2:$M$301,$X162))</f>
        <v/>
      </c>
      <c r="C162" s="24" t="str">
        <f>IF($X162="","",INDEX(Import_Staging!$C$2:$C$301,$X162)&amp;"")</f>
        <v/>
      </c>
      <c r="D162" s="24" t="str">
        <f>IF($X162="","",INDEX(Import_Staging!$D$2:$D$301,$X162)&amp;"")</f>
        <v/>
      </c>
      <c r="E162" s="69" t="str">
        <f>IF($X162="","",INDEX(Import_Staging!$O$2:$O$301,$X162))</f>
        <v/>
      </c>
      <c r="F162" s="24" t="str">
        <f>IF($X162="","",INDEX(Import_Staging!$F$2:$F$301,$X162)&amp;"")</f>
        <v/>
      </c>
      <c r="G162" s="24" t="str">
        <f>IF($X162="","",INDEX(Import_Staging!$J$2:$J$301,$X162)&amp;"")</f>
        <v/>
      </c>
      <c r="H162" s="24" t="str">
        <f>IF($X162="","",INDEX(Import_Staging!$K$2:$K$301,$X162)&amp;"")</f>
        <v/>
      </c>
      <c r="I162" s="24" t="str">
        <f>IF($X162="","",INDEX(Import_Staging!$L$2:$L$301,$X162)&amp;"")</f>
        <v/>
      </c>
      <c r="J162" s="24" t="str">
        <f>IF($X162="","","3PL import")</f>
        <v/>
      </c>
      <c r="K162" s="24" t="str">
        <f>IF($X162="","",Config!$B$11)</f>
        <v/>
      </c>
      <c r="L162" s="24" t="str">
        <f>IF($X162="","","CSV row "&amp;($X162+1))</f>
        <v/>
      </c>
      <c r="N162" s="24" t="str">
        <f>IF($Y162="","",INDEX(Import_Staging!$F$2:$F$301,$Y162)&amp;"")</f>
        <v/>
      </c>
      <c r="O162" s="24" t="str">
        <f>IF($Y162="","",INDEX(Import_Staging!$D$2:$D$301,$Y162)&amp;"")</f>
        <v/>
      </c>
      <c r="P162" s="24" t="str">
        <f>IF($Y162="","",INDEX(Import_Staging!$E$2:$E$301,$Y162)&amp;"")</f>
        <v/>
      </c>
      <c r="Q162" s="27" t="n"/>
      <c r="R162" s="27" t="str">
        <f>IF($Y162="","",INDEX(Import_Staging!$N$2:$N$301,$Y162))</f>
        <v/>
      </c>
      <c r="S162" s="70" t="str">
        <f>IF($Y162="","",0)</f>
        <v/>
      </c>
      <c r="T162" s="24" t="str">
        <f>IF($Y162="","",INDEX(Import_Staging!$I$2:$I$301,$Y162)&amp;"")</f>
        <v/>
      </c>
      <c r="U162" s="24" t="n"/>
      <c r="V162" s="24" t="str">
        <f>IF($Y162="","","Received "&amp;TEXT(INDEX(Import_Staging!$M$2:$M$301,$Y162),"yyyy-mm-dd")&amp;" (CSV row "&amp;($Y162+1)&amp;")")</f>
        <v/>
      </c>
      <c r="X162" t="str">
        <f>IFERROR(MATCH(157,Import_Staging!$BT$2:$BT$301,0),"")</f>
        <v/>
      </c>
      <c r="Y162" t="str">
        <f>IFERROR(MATCH(157,Import_Staging!$BV$2:$BV$301,0),"")</f>
        <v/>
      </c>
    </row>
    <row r="163">
      <c r="A163" s="24" t="str">
        <f>IF($X163="","",INDEX(Import_Staging!$A$2:$A$301,$X163)&amp;"")</f>
        <v/>
      </c>
      <c r="B163" s="27" t="str">
        <f>IF($X163="","",INDEX(Import_Staging!$M$2:$M$301,$X163))</f>
        <v/>
      </c>
      <c r="C163" s="24" t="str">
        <f>IF($X163="","",INDEX(Import_Staging!$C$2:$C$301,$X163)&amp;"")</f>
        <v/>
      </c>
      <c r="D163" s="24" t="str">
        <f>IF($X163="","",INDEX(Import_Staging!$D$2:$D$301,$X163)&amp;"")</f>
        <v/>
      </c>
      <c r="E163" s="69" t="str">
        <f>IF($X163="","",INDEX(Import_Staging!$O$2:$O$301,$X163))</f>
        <v/>
      </c>
      <c r="F163" s="24" t="str">
        <f>IF($X163="","",INDEX(Import_Staging!$F$2:$F$301,$X163)&amp;"")</f>
        <v/>
      </c>
      <c r="G163" s="24" t="str">
        <f>IF($X163="","",INDEX(Import_Staging!$J$2:$J$301,$X163)&amp;"")</f>
        <v/>
      </c>
      <c r="H163" s="24" t="str">
        <f>IF($X163="","",INDEX(Import_Staging!$K$2:$K$301,$X163)&amp;"")</f>
        <v/>
      </c>
      <c r="I163" s="24" t="str">
        <f>IF($X163="","",INDEX(Import_Staging!$L$2:$L$301,$X163)&amp;"")</f>
        <v/>
      </c>
      <c r="J163" s="24" t="str">
        <f>IF($X163="","","3PL import")</f>
        <v/>
      </c>
      <c r="K163" s="24" t="str">
        <f>IF($X163="","",Config!$B$11)</f>
        <v/>
      </c>
      <c r="L163" s="24" t="str">
        <f>IF($X163="","","CSV row "&amp;($X163+1))</f>
        <v/>
      </c>
      <c r="N163" s="24" t="str">
        <f>IF($Y163="","",INDEX(Import_Staging!$F$2:$F$301,$Y163)&amp;"")</f>
        <v/>
      </c>
      <c r="O163" s="24" t="str">
        <f>IF($Y163="","",INDEX(Import_Staging!$D$2:$D$301,$Y163)&amp;"")</f>
        <v/>
      </c>
      <c r="P163" s="24" t="str">
        <f>IF($Y163="","",INDEX(Import_Staging!$E$2:$E$301,$Y163)&amp;"")</f>
        <v/>
      </c>
      <c r="Q163" s="27" t="n"/>
      <c r="R163" s="27" t="str">
        <f>IF($Y163="","",INDEX(Import_Staging!$N$2:$N$301,$Y163))</f>
        <v/>
      </c>
      <c r="S163" s="70" t="str">
        <f>IF($Y163="","",0)</f>
        <v/>
      </c>
      <c r="T163" s="24" t="str">
        <f>IF($Y163="","",INDEX(Import_Staging!$I$2:$I$301,$Y163)&amp;"")</f>
        <v/>
      </c>
      <c r="U163" s="24" t="n"/>
      <c r="V163" s="24" t="str">
        <f>IF($Y163="","","Received "&amp;TEXT(INDEX(Import_Staging!$M$2:$M$301,$Y163),"yyyy-mm-dd")&amp;" (CSV row "&amp;($Y163+1)&amp;")")</f>
        <v/>
      </c>
      <c r="X163" t="str">
        <f>IFERROR(MATCH(158,Import_Staging!$BT$2:$BT$301,0),"")</f>
        <v/>
      </c>
      <c r="Y163" t="str">
        <f>IFERROR(MATCH(158,Import_Staging!$BV$2:$BV$301,0),"")</f>
        <v/>
      </c>
    </row>
    <row r="164">
      <c r="A164" s="24" t="str">
        <f>IF($X164="","",INDEX(Import_Staging!$A$2:$A$301,$X164)&amp;"")</f>
        <v/>
      </c>
      <c r="B164" s="27" t="str">
        <f>IF($X164="","",INDEX(Import_Staging!$M$2:$M$301,$X164))</f>
        <v/>
      </c>
      <c r="C164" s="24" t="str">
        <f>IF($X164="","",INDEX(Import_Staging!$C$2:$C$301,$X164)&amp;"")</f>
        <v/>
      </c>
      <c r="D164" s="24" t="str">
        <f>IF($X164="","",INDEX(Import_Staging!$D$2:$D$301,$X164)&amp;"")</f>
        <v/>
      </c>
      <c r="E164" s="69" t="str">
        <f>IF($X164="","",INDEX(Import_Staging!$O$2:$O$301,$X164))</f>
        <v/>
      </c>
      <c r="F164" s="24" t="str">
        <f>IF($X164="","",INDEX(Import_Staging!$F$2:$F$301,$X164)&amp;"")</f>
        <v/>
      </c>
      <c r="G164" s="24" t="str">
        <f>IF($X164="","",INDEX(Import_Staging!$J$2:$J$301,$X164)&amp;"")</f>
        <v/>
      </c>
      <c r="H164" s="24" t="str">
        <f>IF($X164="","",INDEX(Import_Staging!$K$2:$K$301,$X164)&amp;"")</f>
        <v/>
      </c>
      <c r="I164" s="24" t="str">
        <f>IF($X164="","",INDEX(Import_Staging!$L$2:$L$301,$X164)&amp;"")</f>
        <v/>
      </c>
      <c r="J164" s="24" t="str">
        <f>IF($X164="","","3PL import")</f>
        <v/>
      </c>
      <c r="K164" s="24" t="str">
        <f>IF($X164="","",Config!$B$11)</f>
        <v/>
      </c>
      <c r="L164" s="24" t="str">
        <f>IF($X164="","","CSV row "&amp;($X164+1))</f>
        <v/>
      </c>
      <c r="N164" s="24" t="str">
        <f>IF($Y164="","",INDEX(Import_Staging!$F$2:$F$301,$Y164)&amp;"")</f>
        <v/>
      </c>
      <c r="O164" s="24" t="str">
        <f>IF($Y164="","",INDEX(Import_Staging!$D$2:$D$301,$Y164)&amp;"")</f>
        <v/>
      </c>
      <c r="P164" s="24" t="str">
        <f>IF($Y164="","",INDEX(Import_Staging!$E$2:$E$301,$Y164)&amp;"")</f>
        <v/>
      </c>
      <c r="Q164" s="27" t="n"/>
      <c r="R164" s="27" t="str">
        <f>IF($Y164="","",INDEX(Import_Staging!$N$2:$N$301,$Y164))</f>
        <v/>
      </c>
      <c r="S164" s="70" t="str">
        <f>IF($Y164="","",0)</f>
        <v/>
      </c>
      <c r="T164" s="24" t="str">
        <f>IF($Y164="","",INDEX(Import_Staging!$I$2:$I$301,$Y164)&amp;"")</f>
        <v/>
      </c>
      <c r="U164" s="24" t="n"/>
      <c r="V164" s="24" t="str">
        <f>IF($Y164="","","Received "&amp;TEXT(INDEX(Import_Staging!$M$2:$M$301,$Y164),"yyyy-mm-dd")&amp;" (CSV row "&amp;($Y164+1)&amp;")")</f>
        <v/>
      </c>
      <c r="X164" t="str">
        <f>IFERROR(MATCH(159,Import_Staging!$BT$2:$BT$301,0),"")</f>
        <v/>
      </c>
      <c r="Y164" t="str">
        <f>IFERROR(MATCH(159,Import_Staging!$BV$2:$BV$301,0),"")</f>
        <v/>
      </c>
    </row>
    <row r="165">
      <c r="A165" s="24" t="str">
        <f>IF($X165="","",INDEX(Import_Staging!$A$2:$A$301,$X165)&amp;"")</f>
        <v/>
      </c>
      <c r="B165" s="27" t="str">
        <f>IF($X165="","",INDEX(Import_Staging!$M$2:$M$301,$X165))</f>
        <v/>
      </c>
      <c r="C165" s="24" t="str">
        <f>IF($X165="","",INDEX(Import_Staging!$C$2:$C$301,$X165)&amp;"")</f>
        <v/>
      </c>
      <c r="D165" s="24" t="str">
        <f>IF($X165="","",INDEX(Import_Staging!$D$2:$D$301,$X165)&amp;"")</f>
        <v/>
      </c>
      <c r="E165" s="69" t="str">
        <f>IF($X165="","",INDEX(Import_Staging!$O$2:$O$301,$X165))</f>
        <v/>
      </c>
      <c r="F165" s="24" t="str">
        <f>IF($X165="","",INDEX(Import_Staging!$F$2:$F$301,$X165)&amp;"")</f>
        <v/>
      </c>
      <c r="G165" s="24" t="str">
        <f>IF($X165="","",INDEX(Import_Staging!$J$2:$J$301,$X165)&amp;"")</f>
        <v/>
      </c>
      <c r="H165" s="24" t="str">
        <f>IF($X165="","",INDEX(Import_Staging!$K$2:$K$301,$X165)&amp;"")</f>
        <v/>
      </c>
      <c r="I165" s="24" t="str">
        <f>IF($X165="","",INDEX(Import_Staging!$L$2:$L$301,$X165)&amp;"")</f>
        <v/>
      </c>
      <c r="J165" s="24" t="str">
        <f>IF($X165="","","3PL import")</f>
        <v/>
      </c>
      <c r="K165" s="24" t="str">
        <f>IF($X165="","",Config!$B$11)</f>
        <v/>
      </c>
      <c r="L165" s="24" t="str">
        <f>IF($X165="","","CSV row "&amp;($X165+1))</f>
        <v/>
      </c>
      <c r="N165" s="24" t="str">
        <f>IF($Y165="","",INDEX(Import_Staging!$F$2:$F$301,$Y165)&amp;"")</f>
        <v/>
      </c>
      <c r="O165" s="24" t="str">
        <f>IF($Y165="","",INDEX(Import_Staging!$D$2:$D$301,$Y165)&amp;"")</f>
        <v/>
      </c>
      <c r="P165" s="24" t="str">
        <f>IF($Y165="","",INDEX(Import_Staging!$E$2:$E$301,$Y165)&amp;"")</f>
        <v/>
      </c>
      <c r="Q165" s="27" t="n"/>
      <c r="R165" s="27" t="str">
        <f>IF($Y165="","",INDEX(Import_Staging!$N$2:$N$301,$Y165))</f>
        <v/>
      </c>
      <c r="S165" s="70" t="str">
        <f>IF($Y165="","",0)</f>
        <v/>
      </c>
      <c r="T165" s="24" t="str">
        <f>IF($Y165="","",INDEX(Import_Staging!$I$2:$I$301,$Y165)&amp;"")</f>
        <v/>
      </c>
      <c r="U165" s="24" t="n"/>
      <c r="V165" s="24" t="str">
        <f>IF($Y165="","","Received "&amp;TEXT(INDEX(Import_Staging!$M$2:$M$301,$Y165),"yyyy-mm-dd")&amp;" (CSV row "&amp;($Y165+1)&amp;")")</f>
        <v/>
      </c>
      <c r="X165" t="str">
        <f>IFERROR(MATCH(160,Import_Staging!$BT$2:$BT$301,0),"")</f>
        <v/>
      </c>
      <c r="Y165" t="str">
        <f>IFERROR(MATCH(160,Import_Staging!$BV$2:$BV$301,0),"")</f>
        <v/>
      </c>
    </row>
    <row r="166">
      <c r="A166" s="24" t="str">
        <f>IF($X166="","",INDEX(Import_Staging!$A$2:$A$301,$X166)&amp;"")</f>
        <v/>
      </c>
      <c r="B166" s="27" t="str">
        <f>IF($X166="","",INDEX(Import_Staging!$M$2:$M$301,$X166))</f>
        <v/>
      </c>
      <c r="C166" s="24" t="str">
        <f>IF($X166="","",INDEX(Import_Staging!$C$2:$C$301,$X166)&amp;"")</f>
        <v/>
      </c>
      <c r="D166" s="24" t="str">
        <f>IF($X166="","",INDEX(Import_Staging!$D$2:$D$301,$X166)&amp;"")</f>
        <v/>
      </c>
      <c r="E166" s="69" t="str">
        <f>IF($X166="","",INDEX(Import_Staging!$O$2:$O$301,$X166))</f>
        <v/>
      </c>
      <c r="F166" s="24" t="str">
        <f>IF($X166="","",INDEX(Import_Staging!$F$2:$F$301,$X166)&amp;"")</f>
        <v/>
      </c>
      <c r="G166" s="24" t="str">
        <f>IF($X166="","",INDEX(Import_Staging!$J$2:$J$301,$X166)&amp;"")</f>
        <v/>
      </c>
      <c r="H166" s="24" t="str">
        <f>IF($X166="","",INDEX(Import_Staging!$K$2:$K$301,$X166)&amp;"")</f>
        <v/>
      </c>
      <c r="I166" s="24" t="str">
        <f>IF($X166="","",INDEX(Import_Staging!$L$2:$L$301,$X166)&amp;"")</f>
        <v/>
      </c>
      <c r="J166" s="24" t="str">
        <f>IF($X166="","","3PL import")</f>
        <v/>
      </c>
      <c r="K166" s="24" t="str">
        <f>IF($X166="","",Config!$B$11)</f>
        <v/>
      </c>
      <c r="L166" s="24" t="str">
        <f>IF($X166="","","CSV row "&amp;($X166+1))</f>
        <v/>
      </c>
      <c r="N166" s="24" t="str">
        <f>IF($Y166="","",INDEX(Import_Staging!$F$2:$F$301,$Y166)&amp;"")</f>
        <v/>
      </c>
      <c r="O166" s="24" t="str">
        <f>IF($Y166="","",INDEX(Import_Staging!$D$2:$D$301,$Y166)&amp;"")</f>
        <v/>
      </c>
      <c r="P166" s="24" t="str">
        <f>IF($Y166="","",INDEX(Import_Staging!$E$2:$E$301,$Y166)&amp;"")</f>
        <v/>
      </c>
      <c r="Q166" s="27" t="n"/>
      <c r="R166" s="27" t="str">
        <f>IF($Y166="","",INDEX(Import_Staging!$N$2:$N$301,$Y166))</f>
        <v/>
      </c>
      <c r="S166" s="70" t="str">
        <f>IF($Y166="","",0)</f>
        <v/>
      </c>
      <c r="T166" s="24" t="str">
        <f>IF($Y166="","",INDEX(Import_Staging!$I$2:$I$301,$Y166)&amp;"")</f>
        <v/>
      </c>
      <c r="U166" s="24" t="n"/>
      <c r="V166" s="24" t="str">
        <f>IF($Y166="","","Received "&amp;TEXT(INDEX(Import_Staging!$M$2:$M$301,$Y166),"yyyy-mm-dd")&amp;" (CSV row "&amp;($Y166+1)&amp;")")</f>
        <v/>
      </c>
      <c r="X166" t="str">
        <f>IFERROR(MATCH(161,Import_Staging!$BT$2:$BT$301,0),"")</f>
        <v/>
      </c>
      <c r="Y166" t="str">
        <f>IFERROR(MATCH(161,Import_Staging!$BV$2:$BV$301,0),"")</f>
        <v/>
      </c>
    </row>
    <row r="167">
      <c r="A167" s="24" t="str">
        <f>IF($X167="","",INDEX(Import_Staging!$A$2:$A$301,$X167)&amp;"")</f>
        <v/>
      </c>
      <c r="B167" s="27" t="str">
        <f>IF($X167="","",INDEX(Import_Staging!$M$2:$M$301,$X167))</f>
        <v/>
      </c>
      <c r="C167" s="24" t="str">
        <f>IF($X167="","",INDEX(Import_Staging!$C$2:$C$301,$X167)&amp;"")</f>
        <v/>
      </c>
      <c r="D167" s="24" t="str">
        <f>IF($X167="","",INDEX(Import_Staging!$D$2:$D$301,$X167)&amp;"")</f>
        <v/>
      </c>
      <c r="E167" s="69" t="str">
        <f>IF($X167="","",INDEX(Import_Staging!$O$2:$O$301,$X167))</f>
        <v/>
      </c>
      <c r="F167" s="24" t="str">
        <f>IF($X167="","",INDEX(Import_Staging!$F$2:$F$301,$X167)&amp;"")</f>
        <v/>
      </c>
      <c r="G167" s="24" t="str">
        <f>IF($X167="","",INDEX(Import_Staging!$J$2:$J$301,$X167)&amp;"")</f>
        <v/>
      </c>
      <c r="H167" s="24" t="str">
        <f>IF($X167="","",INDEX(Import_Staging!$K$2:$K$301,$X167)&amp;"")</f>
        <v/>
      </c>
      <c r="I167" s="24" t="str">
        <f>IF($X167="","",INDEX(Import_Staging!$L$2:$L$301,$X167)&amp;"")</f>
        <v/>
      </c>
      <c r="J167" s="24" t="str">
        <f>IF($X167="","","3PL import")</f>
        <v/>
      </c>
      <c r="K167" s="24" t="str">
        <f>IF($X167="","",Config!$B$11)</f>
        <v/>
      </c>
      <c r="L167" s="24" t="str">
        <f>IF($X167="","","CSV row "&amp;($X167+1))</f>
        <v/>
      </c>
      <c r="N167" s="24" t="str">
        <f>IF($Y167="","",INDEX(Import_Staging!$F$2:$F$301,$Y167)&amp;"")</f>
        <v/>
      </c>
      <c r="O167" s="24" t="str">
        <f>IF($Y167="","",INDEX(Import_Staging!$D$2:$D$301,$Y167)&amp;"")</f>
        <v/>
      </c>
      <c r="P167" s="24" t="str">
        <f>IF($Y167="","",INDEX(Import_Staging!$E$2:$E$301,$Y167)&amp;"")</f>
        <v/>
      </c>
      <c r="Q167" s="27" t="n"/>
      <c r="R167" s="27" t="str">
        <f>IF($Y167="","",INDEX(Import_Staging!$N$2:$N$301,$Y167))</f>
        <v/>
      </c>
      <c r="S167" s="70" t="str">
        <f>IF($Y167="","",0)</f>
        <v/>
      </c>
      <c r="T167" s="24" t="str">
        <f>IF($Y167="","",INDEX(Import_Staging!$I$2:$I$301,$Y167)&amp;"")</f>
        <v/>
      </c>
      <c r="U167" s="24" t="n"/>
      <c r="V167" s="24" t="str">
        <f>IF($Y167="","","Received "&amp;TEXT(INDEX(Import_Staging!$M$2:$M$301,$Y167),"yyyy-mm-dd")&amp;" (CSV row "&amp;($Y167+1)&amp;")")</f>
        <v/>
      </c>
      <c r="X167" t="str">
        <f>IFERROR(MATCH(162,Import_Staging!$BT$2:$BT$301,0),"")</f>
        <v/>
      </c>
      <c r="Y167" t="str">
        <f>IFERROR(MATCH(162,Import_Staging!$BV$2:$BV$301,0),"")</f>
        <v/>
      </c>
    </row>
    <row r="168">
      <c r="A168" s="24" t="str">
        <f>IF($X168="","",INDEX(Import_Staging!$A$2:$A$301,$X168)&amp;"")</f>
        <v/>
      </c>
      <c r="B168" s="27" t="str">
        <f>IF($X168="","",INDEX(Import_Staging!$M$2:$M$301,$X168))</f>
        <v/>
      </c>
      <c r="C168" s="24" t="str">
        <f>IF($X168="","",INDEX(Import_Staging!$C$2:$C$301,$X168)&amp;"")</f>
        <v/>
      </c>
      <c r="D168" s="24" t="str">
        <f>IF($X168="","",INDEX(Import_Staging!$D$2:$D$301,$X168)&amp;"")</f>
        <v/>
      </c>
      <c r="E168" s="69" t="str">
        <f>IF($X168="","",INDEX(Import_Staging!$O$2:$O$301,$X168))</f>
        <v/>
      </c>
      <c r="F168" s="24" t="str">
        <f>IF($X168="","",INDEX(Import_Staging!$F$2:$F$301,$X168)&amp;"")</f>
        <v/>
      </c>
      <c r="G168" s="24" t="str">
        <f>IF($X168="","",INDEX(Import_Staging!$J$2:$J$301,$X168)&amp;"")</f>
        <v/>
      </c>
      <c r="H168" s="24" t="str">
        <f>IF($X168="","",INDEX(Import_Staging!$K$2:$K$301,$X168)&amp;"")</f>
        <v/>
      </c>
      <c r="I168" s="24" t="str">
        <f>IF($X168="","",INDEX(Import_Staging!$L$2:$L$301,$X168)&amp;"")</f>
        <v/>
      </c>
      <c r="J168" s="24" t="str">
        <f>IF($X168="","","3PL import")</f>
        <v/>
      </c>
      <c r="K168" s="24" t="str">
        <f>IF($X168="","",Config!$B$11)</f>
        <v/>
      </c>
      <c r="L168" s="24" t="str">
        <f>IF($X168="","","CSV row "&amp;($X168+1))</f>
        <v/>
      </c>
      <c r="N168" s="24" t="str">
        <f>IF($Y168="","",INDEX(Import_Staging!$F$2:$F$301,$Y168)&amp;"")</f>
        <v/>
      </c>
      <c r="O168" s="24" t="str">
        <f>IF($Y168="","",INDEX(Import_Staging!$D$2:$D$301,$Y168)&amp;"")</f>
        <v/>
      </c>
      <c r="P168" s="24" t="str">
        <f>IF($Y168="","",INDEX(Import_Staging!$E$2:$E$301,$Y168)&amp;"")</f>
        <v/>
      </c>
      <c r="Q168" s="27" t="n"/>
      <c r="R168" s="27" t="str">
        <f>IF($Y168="","",INDEX(Import_Staging!$N$2:$N$301,$Y168))</f>
        <v/>
      </c>
      <c r="S168" s="70" t="str">
        <f>IF($Y168="","",0)</f>
        <v/>
      </c>
      <c r="T168" s="24" t="str">
        <f>IF($Y168="","",INDEX(Import_Staging!$I$2:$I$301,$Y168)&amp;"")</f>
        <v/>
      </c>
      <c r="U168" s="24" t="n"/>
      <c r="V168" s="24" t="str">
        <f>IF($Y168="","","Received "&amp;TEXT(INDEX(Import_Staging!$M$2:$M$301,$Y168),"yyyy-mm-dd")&amp;" (CSV row "&amp;($Y168+1)&amp;")")</f>
        <v/>
      </c>
      <c r="X168" t="str">
        <f>IFERROR(MATCH(163,Import_Staging!$BT$2:$BT$301,0),"")</f>
        <v/>
      </c>
      <c r="Y168" t="str">
        <f>IFERROR(MATCH(163,Import_Staging!$BV$2:$BV$301,0),"")</f>
        <v/>
      </c>
    </row>
    <row r="169">
      <c r="A169" s="24" t="str">
        <f>IF($X169="","",INDEX(Import_Staging!$A$2:$A$301,$X169)&amp;"")</f>
        <v/>
      </c>
      <c r="B169" s="27" t="str">
        <f>IF($X169="","",INDEX(Import_Staging!$M$2:$M$301,$X169))</f>
        <v/>
      </c>
      <c r="C169" s="24" t="str">
        <f>IF($X169="","",INDEX(Import_Staging!$C$2:$C$301,$X169)&amp;"")</f>
        <v/>
      </c>
      <c r="D169" s="24" t="str">
        <f>IF($X169="","",INDEX(Import_Staging!$D$2:$D$301,$X169)&amp;"")</f>
        <v/>
      </c>
      <c r="E169" s="69" t="str">
        <f>IF($X169="","",INDEX(Import_Staging!$O$2:$O$301,$X169))</f>
        <v/>
      </c>
      <c r="F169" s="24" t="str">
        <f>IF($X169="","",INDEX(Import_Staging!$F$2:$F$301,$X169)&amp;"")</f>
        <v/>
      </c>
      <c r="G169" s="24" t="str">
        <f>IF($X169="","",INDEX(Import_Staging!$J$2:$J$301,$X169)&amp;"")</f>
        <v/>
      </c>
      <c r="H169" s="24" t="str">
        <f>IF($X169="","",INDEX(Import_Staging!$K$2:$K$301,$X169)&amp;"")</f>
        <v/>
      </c>
      <c r="I169" s="24" t="str">
        <f>IF($X169="","",INDEX(Import_Staging!$L$2:$L$301,$X169)&amp;"")</f>
        <v/>
      </c>
      <c r="J169" s="24" t="str">
        <f>IF($X169="","","3PL import")</f>
        <v/>
      </c>
      <c r="K169" s="24" t="str">
        <f>IF($X169="","",Config!$B$11)</f>
        <v/>
      </c>
      <c r="L169" s="24" t="str">
        <f>IF($X169="","","CSV row "&amp;($X169+1))</f>
        <v/>
      </c>
      <c r="N169" s="24" t="str">
        <f>IF($Y169="","",INDEX(Import_Staging!$F$2:$F$301,$Y169)&amp;"")</f>
        <v/>
      </c>
      <c r="O169" s="24" t="str">
        <f>IF($Y169="","",INDEX(Import_Staging!$D$2:$D$301,$Y169)&amp;"")</f>
        <v/>
      </c>
      <c r="P169" s="24" t="str">
        <f>IF($Y169="","",INDEX(Import_Staging!$E$2:$E$301,$Y169)&amp;"")</f>
        <v/>
      </c>
      <c r="Q169" s="27" t="n"/>
      <c r="R169" s="27" t="str">
        <f>IF($Y169="","",INDEX(Import_Staging!$N$2:$N$301,$Y169))</f>
        <v/>
      </c>
      <c r="S169" s="70" t="str">
        <f>IF($Y169="","",0)</f>
        <v/>
      </c>
      <c r="T169" s="24" t="str">
        <f>IF($Y169="","",INDEX(Import_Staging!$I$2:$I$301,$Y169)&amp;"")</f>
        <v/>
      </c>
      <c r="U169" s="24" t="n"/>
      <c r="V169" s="24" t="str">
        <f>IF($Y169="","","Received "&amp;TEXT(INDEX(Import_Staging!$M$2:$M$301,$Y169),"yyyy-mm-dd")&amp;" (CSV row "&amp;($Y169+1)&amp;")")</f>
        <v/>
      </c>
      <c r="X169" t="str">
        <f>IFERROR(MATCH(164,Import_Staging!$BT$2:$BT$301,0),"")</f>
        <v/>
      </c>
      <c r="Y169" t="str">
        <f>IFERROR(MATCH(164,Import_Staging!$BV$2:$BV$301,0),"")</f>
        <v/>
      </c>
    </row>
    <row r="170">
      <c r="A170" s="24" t="str">
        <f>IF($X170="","",INDEX(Import_Staging!$A$2:$A$301,$X170)&amp;"")</f>
        <v/>
      </c>
      <c r="B170" s="27" t="str">
        <f>IF($X170="","",INDEX(Import_Staging!$M$2:$M$301,$X170))</f>
        <v/>
      </c>
      <c r="C170" s="24" t="str">
        <f>IF($X170="","",INDEX(Import_Staging!$C$2:$C$301,$X170)&amp;"")</f>
        <v/>
      </c>
      <c r="D170" s="24" t="str">
        <f>IF($X170="","",INDEX(Import_Staging!$D$2:$D$301,$X170)&amp;"")</f>
        <v/>
      </c>
      <c r="E170" s="69" t="str">
        <f>IF($X170="","",INDEX(Import_Staging!$O$2:$O$301,$X170))</f>
        <v/>
      </c>
      <c r="F170" s="24" t="str">
        <f>IF($X170="","",INDEX(Import_Staging!$F$2:$F$301,$X170)&amp;"")</f>
        <v/>
      </c>
      <c r="G170" s="24" t="str">
        <f>IF($X170="","",INDEX(Import_Staging!$J$2:$J$301,$X170)&amp;"")</f>
        <v/>
      </c>
      <c r="H170" s="24" t="str">
        <f>IF($X170="","",INDEX(Import_Staging!$K$2:$K$301,$X170)&amp;"")</f>
        <v/>
      </c>
      <c r="I170" s="24" t="str">
        <f>IF($X170="","",INDEX(Import_Staging!$L$2:$L$301,$X170)&amp;"")</f>
        <v/>
      </c>
      <c r="J170" s="24" t="str">
        <f>IF($X170="","","3PL import")</f>
        <v/>
      </c>
      <c r="K170" s="24" t="str">
        <f>IF($X170="","",Config!$B$11)</f>
        <v/>
      </c>
      <c r="L170" s="24" t="str">
        <f>IF($X170="","","CSV row "&amp;($X170+1))</f>
        <v/>
      </c>
      <c r="N170" s="24" t="str">
        <f>IF($Y170="","",INDEX(Import_Staging!$F$2:$F$301,$Y170)&amp;"")</f>
        <v/>
      </c>
      <c r="O170" s="24" t="str">
        <f>IF($Y170="","",INDEX(Import_Staging!$D$2:$D$301,$Y170)&amp;"")</f>
        <v/>
      </c>
      <c r="P170" s="24" t="str">
        <f>IF($Y170="","",INDEX(Import_Staging!$E$2:$E$301,$Y170)&amp;"")</f>
        <v/>
      </c>
      <c r="Q170" s="27" t="n"/>
      <c r="R170" s="27" t="str">
        <f>IF($Y170="","",INDEX(Import_Staging!$N$2:$N$301,$Y170))</f>
        <v/>
      </c>
      <c r="S170" s="70" t="str">
        <f>IF($Y170="","",0)</f>
        <v/>
      </c>
      <c r="T170" s="24" t="str">
        <f>IF($Y170="","",INDEX(Import_Staging!$I$2:$I$301,$Y170)&amp;"")</f>
        <v/>
      </c>
      <c r="U170" s="24" t="n"/>
      <c r="V170" s="24" t="str">
        <f>IF($Y170="","","Received "&amp;TEXT(INDEX(Import_Staging!$M$2:$M$301,$Y170),"yyyy-mm-dd")&amp;" (CSV row "&amp;($Y170+1)&amp;")")</f>
        <v/>
      </c>
      <c r="X170" t="str">
        <f>IFERROR(MATCH(165,Import_Staging!$BT$2:$BT$301,0),"")</f>
        <v/>
      </c>
      <c r="Y170" t="str">
        <f>IFERROR(MATCH(165,Import_Staging!$BV$2:$BV$301,0),"")</f>
        <v/>
      </c>
    </row>
    <row r="171">
      <c r="A171" s="24" t="str">
        <f>IF($X171="","",INDEX(Import_Staging!$A$2:$A$301,$X171)&amp;"")</f>
        <v/>
      </c>
      <c r="B171" s="27" t="str">
        <f>IF($X171="","",INDEX(Import_Staging!$M$2:$M$301,$X171))</f>
        <v/>
      </c>
      <c r="C171" s="24" t="str">
        <f>IF($X171="","",INDEX(Import_Staging!$C$2:$C$301,$X171)&amp;"")</f>
        <v/>
      </c>
      <c r="D171" s="24" t="str">
        <f>IF($X171="","",INDEX(Import_Staging!$D$2:$D$301,$X171)&amp;"")</f>
        <v/>
      </c>
      <c r="E171" s="69" t="str">
        <f>IF($X171="","",INDEX(Import_Staging!$O$2:$O$301,$X171))</f>
        <v/>
      </c>
      <c r="F171" s="24" t="str">
        <f>IF($X171="","",INDEX(Import_Staging!$F$2:$F$301,$X171)&amp;"")</f>
        <v/>
      </c>
      <c r="G171" s="24" t="str">
        <f>IF($X171="","",INDEX(Import_Staging!$J$2:$J$301,$X171)&amp;"")</f>
        <v/>
      </c>
      <c r="H171" s="24" t="str">
        <f>IF($X171="","",INDEX(Import_Staging!$K$2:$K$301,$X171)&amp;"")</f>
        <v/>
      </c>
      <c r="I171" s="24" t="str">
        <f>IF($X171="","",INDEX(Import_Staging!$L$2:$L$301,$X171)&amp;"")</f>
        <v/>
      </c>
      <c r="J171" s="24" t="str">
        <f>IF($X171="","","3PL import")</f>
        <v/>
      </c>
      <c r="K171" s="24" t="str">
        <f>IF($X171="","",Config!$B$11)</f>
        <v/>
      </c>
      <c r="L171" s="24" t="str">
        <f>IF($X171="","","CSV row "&amp;($X171+1))</f>
        <v/>
      </c>
      <c r="N171" s="24" t="str">
        <f>IF($Y171="","",INDEX(Import_Staging!$F$2:$F$301,$Y171)&amp;"")</f>
        <v/>
      </c>
      <c r="O171" s="24" t="str">
        <f>IF($Y171="","",INDEX(Import_Staging!$D$2:$D$301,$Y171)&amp;"")</f>
        <v/>
      </c>
      <c r="P171" s="24" t="str">
        <f>IF($Y171="","",INDEX(Import_Staging!$E$2:$E$301,$Y171)&amp;"")</f>
        <v/>
      </c>
      <c r="Q171" s="27" t="n"/>
      <c r="R171" s="27" t="str">
        <f>IF($Y171="","",INDEX(Import_Staging!$N$2:$N$301,$Y171))</f>
        <v/>
      </c>
      <c r="S171" s="70" t="str">
        <f>IF($Y171="","",0)</f>
        <v/>
      </c>
      <c r="T171" s="24" t="str">
        <f>IF($Y171="","",INDEX(Import_Staging!$I$2:$I$301,$Y171)&amp;"")</f>
        <v/>
      </c>
      <c r="U171" s="24" t="n"/>
      <c r="V171" s="24" t="str">
        <f>IF($Y171="","","Received "&amp;TEXT(INDEX(Import_Staging!$M$2:$M$301,$Y171),"yyyy-mm-dd")&amp;" (CSV row "&amp;($Y171+1)&amp;")")</f>
        <v/>
      </c>
      <c r="X171" t="str">
        <f>IFERROR(MATCH(166,Import_Staging!$BT$2:$BT$301,0),"")</f>
        <v/>
      </c>
      <c r="Y171" t="str">
        <f>IFERROR(MATCH(166,Import_Staging!$BV$2:$BV$301,0),"")</f>
        <v/>
      </c>
    </row>
    <row r="172">
      <c r="A172" s="24" t="str">
        <f>IF($X172="","",INDEX(Import_Staging!$A$2:$A$301,$X172)&amp;"")</f>
        <v/>
      </c>
      <c r="B172" s="27" t="str">
        <f>IF($X172="","",INDEX(Import_Staging!$M$2:$M$301,$X172))</f>
        <v/>
      </c>
      <c r="C172" s="24" t="str">
        <f>IF($X172="","",INDEX(Import_Staging!$C$2:$C$301,$X172)&amp;"")</f>
        <v/>
      </c>
      <c r="D172" s="24" t="str">
        <f>IF($X172="","",INDEX(Import_Staging!$D$2:$D$301,$X172)&amp;"")</f>
        <v/>
      </c>
      <c r="E172" s="69" t="str">
        <f>IF($X172="","",INDEX(Import_Staging!$O$2:$O$301,$X172))</f>
        <v/>
      </c>
      <c r="F172" s="24" t="str">
        <f>IF($X172="","",INDEX(Import_Staging!$F$2:$F$301,$X172)&amp;"")</f>
        <v/>
      </c>
      <c r="G172" s="24" t="str">
        <f>IF($X172="","",INDEX(Import_Staging!$J$2:$J$301,$X172)&amp;"")</f>
        <v/>
      </c>
      <c r="H172" s="24" t="str">
        <f>IF($X172="","",INDEX(Import_Staging!$K$2:$K$301,$X172)&amp;"")</f>
        <v/>
      </c>
      <c r="I172" s="24" t="str">
        <f>IF($X172="","",INDEX(Import_Staging!$L$2:$L$301,$X172)&amp;"")</f>
        <v/>
      </c>
      <c r="J172" s="24" t="str">
        <f>IF($X172="","","3PL import")</f>
        <v/>
      </c>
      <c r="K172" s="24" t="str">
        <f>IF($X172="","",Config!$B$11)</f>
        <v/>
      </c>
      <c r="L172" s="24" t="str">
        <f>IF($X172="","","CSV row "&amp;($X172+1))</f>
        <v/>
      </c>
      <c r="N172" s="24" t="str">
        <f>IF($Y172="","",INDEX(Import_Staging!$F$2:$F$301,$Y172)&amp;"")</f>
        <v/>
      </c>
      <c r="O172" s="24" t="str">
        <f>IF($Y172="","",INDEX(Import_Staging!$D$2:$D$301,$Y172)&amp;"")</f>
        <v/>
      </c>
      <c r="P172" s="24" t="str">
        <f>IF($Y172="","",INDEX(Import_Staging!$E$2:$E$301,$Y172)&amp;"")</f>
        <v/>
      </c>
      <c r="Q172" s="27" t="n"/>
      <c r="R172" s="27" t="str">
        <f>IF($Y172="","",INDEX(Import_Staging!$N$2:$N$301,$Y172))</f>
        <v/>
      </c>
      <c r="S172" s="70" t="str">
        <f>IF($Y172="","",0)</f>
        <v/>
      </c>
      <c r="T172" s="24" t="str">
        <f>IF($Y172="","",INDEX(Import_Staging!$I$2:$I$301,$Y172)&amp;"")</f>
        <v/>
      </c>
      <c r="U172" s="24" t="n"/>
      <c r="V172" s="24" t="str">
        <f>IF($Y172="","","Received "&amp;TEXT(INDEX(Import_Staging!$M$2:$M$301,$Y172),"yyyy-mm-dd")&amp;" (CSV row "&amp;($Y172+1)&amp;")")</f>
        <v/>
      </c>
      <c r="X172" t="str">
        <f>IFERROR(MATCH(167,Import_Staging!$BT$2:$BT$301,0),"")</f>
        <v/>
      </c>
      <c r="Y172" t="str">
        <f>IFERROR(MATCH(167,Import_Staging!$BV$2:$BV$301,0),"")</f>
        <v/>
      </c>
    </row>
    <row r="173">
      <c r="A173" s="24" t="str">
        <f>IF($X173="","",INDEX(Import_Staging!$A$2:$A$301,$X173)&amp;"")</f>
        <v/>
      </c>
      <c r="B173" s="27" t="str">
        <f>IF($X173="","",INDEX(Import_Staging!$M$2:$M$301,$X173))</f>
        <v/>
      </c>
      <c r="C173" s="24" t="str">
        <f>IF($X173="","",INDEX(Import_Staging!$C$2:$C$301,$X173)&amp;"")</f>
        <v/>
      </c>
      <c r="D173" s="24" t="str">
        <f>IF($X173="","",INDEX(Import_Staging!$D$2:$D$301,$X173)&amp;"")</f>
        <v/>
      </c>
      <c r="E173" s="69" t="str">
        <f>IF($X173="","",INDEX(Import_Staging!$O$2:$O$301,$X173))</f>
        <v/>
      </c>
      <c r="F173" s="24" t="str">
        <f>IF($X173="","",INDEX(Import_Staging!$F$2:$F$301,$X173)&amp;"")</f>
        <v/>
      </c>
      <c r="G173" s="24" t="str">
        <f>IF($X173="","",INDEX(Import_Staging!$J$2:$J$301,$X173)&amp;"")</f>
        <v/>
      </c>
      <c r="H173" s="24" t="str">
        <f>IF($X173="","",INDEX(Import_Staging!$K$2:$K$301,$X173)&amp;"")</f>
        <v/>
      </c>
      <c r="I173" s="24" t="str">
        <f>IF($X173="","",INDEX(Import_Staging!$L$2:$L$301,$X173)&amp;"")</f>
        <v/>
      </c>
      <c r="J173" s="24" t="str">
        <f>IF($X173="","","3PL import")</f>
        <v/>
      </c>
      <c r="K173" s="24" t="str">
        <f>IF($X173="","",Config!$B$11)</f>
        <v/>
      </c>
      <c r="L173" s="24" t="str">
        <f>IF($X173="","","CSV row "&amp;($X173+1))</f>
        <v/>
      </c>
      <c r="N173" s="24" t="str">
        <f>IF($Y173="","",INDEX(Import_Staging!$F$2:$F$301,$Y173)&amp;"")</f>
        <v/>
      </c>
      <c r="O173" s="24" t="str">
        <f>IF($Y173="","",INDEX(Import_Staging!$D$2:$D$301,$Y173)&amp;"")</f>
        <v/>
      </c>
      <c r="P173" s="24" t="str">
        <f>IF($Y173="","",INDEX(Import_Staging!$E$2:$E$301,$Y173)&amp;"")</f>
        <v/>
      </c>
      <c r="Q173" s="27" t="n"/>
      <c r="R173" s="27" t="str">
        <f>IF($Y173="","",INDEX(Import_Staging!$N$2:$N$301,$Y173))</f>
        <v/>
      </c>
      <c r="S173" s="70" t="str">
        <f>IF($Y173="","",0)</f>
        <v/>
      </c>
      <c r="T173" s="24" t="str">
        <f>IF($Y173="","",INDEX(Import_Staging!$I$2:$I$301,$Y173)&amp;"")</f>
        <v/>
      </c>
      <c r="U173" s="24" t="n"/>
      <c r="V173" s="24" t="str">
        <f>IF($Y173="","","Received "&amp;TEXT(INDEX(Import_Staging!$M$2:$M$301,$Y173),"yyyy-mm-dd")&amp;" (CSV row "&amp;($Y173+1)&amp;")")</f>
        <v/>
      </c>
      <c r="X173" t="str">
        <f>IFERROR(MATCH(168,Import_Staging!$BT$2:$BT$301,0),"")</f>
        <v/>
      </c>
      <c r="Y173" t="str">
        <f>IFERROR(MATCH(168,Import_Staging!$BV$2:$BV$301,0),"")</f>
        <v/>
      </c>
    </row>
    <row r="174">
      <c r="A174" s="24" t="str">
        <f>IF($X174="","",INDEX(Import_Staging!$A$2:$A$301,$X174)&amp;"")</f>
        <v/>
      </c>
      <c r="B174" s="27" t="str">
        <f>IF($X174="","",INDEX(Import_Staging!$M$2:$M$301,$X174))</f>
        <v/>
      </c>
      <c r="C174" s="24" t="str">
        <f>IF($X174="","",INDEX(Import_Staging!$C$2:$C$301,$X174)&amp;"")</f>
        <v/>
      </c>
      <c r="D174" s="24" t="str">
        <f>IF($X174="","",INDEX(Import_Staging!$D$2:$D$301,$X174)&amp;"")</f>
        <v/>
      </c>
      <c r="E174" s="69" t="str">
        <f>IF($X174="","",INDEX(Import_Staging!$O$2:$O$301,$X174))</f>
        <v/>
      </c>
      <c r="F174" s="24" t="str">
        <f>IF($X174="","",INDEX(Import_Staging!$F$2:$F$301,$X174)&amp;"")</f>
        <v/>
      </c>
      <c r="G174" s="24" t="str">
        <f>IF($X174="","",INDEX(Import_Staging!$J$2:$J$301,$X174)&amp;"")</f>
        <v/>
      </c>
      <c r="H174" s="24" t="str">
        <f>IF($X174="","",INDEX(Import_Staging!$K$2:$K$301,$X174)&amp;"")</f>
        <v/>
      </c>
      <c r="I174" s="24" t="str">
        <f>IF($X174="","",INDEX(Import_Staging!$L$2:$L$301,$X174)&amp;"")</f>
        <v/>
      </c>
      <c r="J174" s="24" t="str">
        <f>IF($X174="","","3PL import")</f>
        <v/>
      </c>
      <c r="K174" s="24" t="str">
        <f>IF($X174="","",Config!$B$11)</f>
        <v/>
      </c>
      <c r="L174" s="24" t="str">
        <f>IF($X174="","","CSV row "&amp;($X174+1))</f>
        <v/>
      </c>
      <c r="N174" s="24" t="str">
        <f>IF($Y174="","",INDEX(Import_Staging!$F$2:$F$301,$Y174)&amp;"")</f>
        <v/>
      </c>
      <c r="O174" s="24" t="str">
        <f>IF($Y174="","",INDEX(Import_Staging!$D$2:$D$301,$Y174)&amp;"")</f>
        <v/>
      </c>
      <c r="P174" s="24" t="str">
        <f>IF($Y174="","",INDEX(Import_Staging!$E$2:$E$301,$Y174)&amp;"")</f>
        <v/>
      </c>
      <c r="Q174" s="27" t="n"/>
      <c r="R174" s="27" t="str">
        <f>IF($Y174="","",INDEX(Import_Staging!$N$2:$N$301,$Y174))</f>
        <v/>
      </c>
      <c r="S174" s="70" t="str">
        <f>IF($Y174="","",0)</f>
        <v/>
      </c>
      <c r="T174" s="24" t="str">
        <f>IF($Y174="","",INDEX(Import_Staging!$I$2:$I$301,$Y174)&amp;"")</f>
        <v/>
      </c>
      <c r="U174" s="24" t="n"/>
      <c r="V174" s="24" t="str">
        <f>IF($Y174="","","Received "&amp;TEXT(INDEX(Import_Staging!$M$2:$M$301,$Y174),"yyyy-mm-dd")&amp;" (CSV row "&amp;($Y174+1)&amp;")")</f>
        <v/>
      </c>
      <c r="X174" t="str">
        <f>IFERROR(MATCH(169,Import_Staging!$BT$2:$BT$301,0),"")</f>
        <v/>
      </c>
      <c r="Y174" t="str">
        <f>IFERROR(MATCH(169,Import_Staging!$BV$2:$BV$301,0),"")</f>
        <v/>
      </c>
    </row>
    <row r="175">
      <c r="A175" s="24" t="str">
        <f>IF($X175="","",INDEX(Import_Staging!$A$2:$A$301,$X175)&amp;"")</f>
        <v/>
      </c>
      <c r="B175" s="27" t="str">
        <f>IF($X175="","",INDEX(Import_Staging!$M$2:$M$301,$X175))</f>
        <v/>
      </c>
      <c r="C175" s="24" t="str">
        <f>IF($X175="","",INDEX(Import_Staging!$C$2:$C$301,$X175)&amp;"")</f>
        <v/>
      </c>
      <c r="D175" s="24" t="str">
        <f>IF($X175="","",INDEX(Import_Staging!$D$2:$D$301,$X175)&amp;"")</f>
        <v/>
      </c>
      <c r="E175" s="69" t="str">
        <f>IF($X175="","",INDEX(Import_Staging!$O$2:$O$301,$X175))</f>
        <v/>
      </c>
      <c r="F175" s="24" t="str">
        <f>IF($X175="","",INDEX(Import_Staging!$F$2:$F$301,$X175)&amp;"")</f>
        <v/>
      </c>
      <c r="G175" s="24" t="str">
        <f>IF($X175="","",INDEX(Import_Staging!$J$2:$J$301,$X175)&amp;"")</f>
        <v/>
      </c>
      <c r="H175" s="24" t="str">
        <f>IF($X175="","",INDEX(Import_Staging!$K$2:$K$301,$X175)&amp;"")</f>
        <v/>
      </c>
      <c r="I175" s="24" t="str">
        <f>IF($X175="","",INDEX(Import_Staging!$L$2:$L$301,$X175)&amp;"")</f>
        <v/>
      </c>
      <c r="J175" s="24" t="str">
        <f>IF($X175="","","3PL import")</f>
        <v/>
      </c>
      <c r="K175" s="24" t="str">
        <f>IF($X175="","",Config!$B$11)</f>
        <v/>
      </c>
      <c r="L175" s="24" t="str">
        <f>IF($X175="","","CSV row "&amp;($X175+1))</f>
        <v/>
      </c>
      <c r="N175" s="24" t="str">
        <f>IF($Y175="","",INDEX(Import_Staging!$F$2:$F$301,$Y175)&amp;"")</f>
        <v/>
      </c>
      <c r="O175" s="24" t="str">
        <f>IF($Y175="","",INDEX(Import_Staging!$D$2:$D$301,$Y175)&amp;"")</f>
        <v/>
      </c>
      <c r="P175" s="24" t="str">
        <f>IF($Y175="","",INDEX(Import_Staging!$E$2:$E$301,$Y175)&amp;"")</f>
        <v/>
      </c>
      <c r="Q175" s="27" t="n"/>
      <c r="R175" s="27" t="str">
        <f>IF($Y175="","",INDEX(Import_Staging!$N$2:$N$301,$Y175))</f>
        <v/>
      </c>
      <c r="S175" s="70" t="str">
        <f>IF($Y175="","",0)</f>
        <v/>
      </c>
      <c r="T175" s="24" t="str">
        <f>IF($Y175="","",INDEX(Import_Staging!$I$2:$I$301,$Y175)&amp;"")</f>
        <v/>
      </c>
      <c r="U175" s="24" t="n"/>
      <c r="V175" s="24" t="str">
        <f>IF($Y175="","","Received "&amp;TEXT(INDEX(Import_Staging!$M$2:$M$301,$Y175),"yyyy-mm-dd")&amp;" (CSV row "&amp;($Y175+1)&amp;")")</f>
        <v/>
      </c>
      <c r="X175" t="str">
        <f>IFERROR(MATCH(170,Import_Staging!$BT$2:$BT$301,0),"")</f>
        <v/>
      </c>
      <c r="Y175" t="str">
        <f>IFERROR(MATCH(170,Import_Staging!$BV$2:$BV$301,0),"")</f>
        <v/>
      </c>
    </row>
    <row r="176">
      <c r="A176" s="24" t="str">
        <f>IF($X176="","",INDEX(Import_Staging!$A$2:$A$301,$X176)&amp;"")</f>
        <v/>
      </c>
      <c r="B176" s="27" t="str">
        <f>IF($X176="","",INDEX(Import_Staging!$M$2:$M$301,$X176))</f>
        <v/>
      </c>
      <c r="C176" s="24" t="str">
        <f>IF($X176="","",INDEX(Import_Staging!$C$2:$C$301,$X176)&amp;"")</f>
        <v/>
      </c>
      <c r="D176" s="24" t="str">
        <f>IF($X176="","",INDEX(Import_Staging!$D$2:$D$301,$X176)&amp;"")</f>
        <v/>
      </c>
      <c r="E176" s="69" t="str">
        <f>IF($X176="","",INDEX(Import_Staging!$O$2:$O$301,$X176))</f>
        <v/>
      </c>
      <c r="F176" s="24" t="str">
        <f>IF($X176="","",INDEX(Import_Staging!$F$2:$F$301,$X176)&amp;"")</f>
        <v/>
      </c>
      <c r="G176" s="24" t="str">
        <f>IF($X176="","",INDEX(Import_Staging!$J$2:$J$301,$X176)&amp;"")</f>
        <v/>
      </c>
      <c r="H176" s="24" t="str">
        <f>IF($X176="","",INDEX(Import_Staging!$K$2:$K$301,$X176)&amp;"")</f>
        <v/>
      </c>
      <c r="I176" s="24" t="str">
        <f>IF($X176="","",INDEX(Import_Staging!$L$2:$L$301,$X176)&amp;"")</f>
        <v/>
      </c>
      <c r="J176" s="24" t="str">
        <f>IF($X176="","","3PL import")</f>
        <v/>
      </c>
      <c r="K176" s="24" t="str">
        <f>IF($X176="","",Config!$B$11)</f>
        <v/>
      </c>
      <c r="L176" s="24" t="str">
        <f>IF($X176="","","CSV row "&amp;($X176+1))</f>
        <v/>
      </c>
      <c r="N176" s="24" t="str">
        <f>IF($Y176="","",INDEX(Import_Staging!$F$2:$F$301,$Y176)&amp;"")</f>
        <v/>
      </c>
      <c r="O176" s="24" t="str">
        <f>IF($Y176="","",INDEX(Import_Staging!$D$2:$D$301,$Y176)&amp;"")</f>
        <v/>
      </c>
      <c r="P176" s="24" t="str">
        <f>IF($Y176="","",INDEX(Import_Staging!$E$2:$E$301,$Y176)&amp;"")</f>
        <v/>
      </c>
      <c r="Q176" s="27" t="n"/>
      <c r="R176" s="27" t="str">
        <f>IF($Y176="","",INDEX(Import_Staging!$N$2:$N$301,$Y176))</f>
        <v/>
      </c>
      <c r="S176" s="70" t="str">
        <f>IF($Y176="","",0)</f>
        <v/>
      </c>
      <c r="T176" s="24" t="str">
        <f>IF($Y176="","",INDEX(Import_Staging!$I$2:$I$301,$Y176)&amp;"")</f>
        <v/>
      </c>
      <c r="U176" s="24" t="n"/>
      <c r="V176" s="24" t="str">
        <f>IF($Y176="","","Received "&amp;TEXT(INDEX(Import_Staging!$M$2:$M$301,$Y176),"yyyy-mm-dd")&amp;" (CSV row "&amp;($Y176+1)&amp;")")</f>
        <v/>
      </c>
      <c r="X176" t="str">
        <f>IFERROR(MATCH(171,Import_Staging!$BT$2:$BT$301,0),"")</f>
        <v/>
      </c>
      <c r="Y176" t="str">
        <f>IFERROR(MATCH(171,Import_Staging!$BV$2:$BV$301,0),"")</f>
        <v/>
      </c>
    </row>
    <row r="177">
      <c r="A177" s="24" t="str">
        <f>IF($X177="","",INDEX(Import_Staging!$A$2:$A$301,$X177)&amp;"")</f>
        <v/>
      </c>
      <c r="B177" s="27" t="str">
        <f>IF($X177="","",INDEX(Import_Staging!$M$2:$M$301,$X177))</f>
        <v/>
      </c>
      <c r="C177" s="24" t="str">
        <f>IF($X177="","",INDEX(Import_Staging!$C$2:$C$301,$X177)&amp;"")</f>
        <v/>
      </c>
      <c r="D177" s="24" t="str">
        <f>IF($X177="","",INDEX(Import_Staging!$D$2:$D$301,$X177)&amp;"")</f>
        <v/>
      </c>
      <c r="E177" s="69" t="str">
        <f>IF($X177="","",INDEX(Import_Staging!$O$2:$O$301,$X177))</f>
        <v/>
      </c>
      <c r="F177" s="24" t="str">
        <f>IF($X177="","",INDEX(Import_Staging!$F$2:$F$301,$X177)&amp;"")</f>
        <v/>
      </c>
      <c r="G177" s="24" t="str">
        <f>IF($X177="","",INDEX(Import_Staging!$J$2:$J$301,$X177)&amp;"")</f>
        <v/>
      </c>
      <c r="H177" s="24" t="str">
        <f>IF($X177="","",INDEX(Import_Staging!$K$2:$K$301,$X177)&amp;"")</f>
        <v/>
      </c>
      <c r="I177" s="24" t="str">
        <f>IF($X177="","",INDEX(Import_Staging!$L$2:$L$301,$X177)&amp;"")</f>
        <v/>
      </c>
      <c r="J177" s="24" t="str">
        <f>IF($X177="","","3PL import")</f>
        <v/>
      </c>
      <c r="K177" s="24" t="str">
        <f>IF($X177="","",Config!$B$11)</f>
        <v/>
      </c>
      <c r="L177" s="24" t="str">
        <f>IF($X177="","","CSV row "&amp;($X177+1))</f>
        <v/>
      </c>
      <c r="N177" s="24" t="str">
        <f>IF($Y177="","",INDEX(Import_Staging!$F$2:$F$301,$Y177)&amp;"")</f>
        <v/>
      </c>
      <c r="O177" s="24" t="str">
        <f>IF($Y177="","",INDEX(Import_Staging!$D$2:$D$301,$Y177)&amp;"")</f>
        <v/>
      </c>
      <c r="P177" s="24" t="str">
        <f>IF($Y177="","",INDEX(Import_Staging!$E$2:$E$301,$Y177)&amp;"")</f>
        <v/>
      </c>
      <c r="Q177" s="27" t="n"/>
      <c r="R177" s="27" t="str">
        <f>IF($Y177="","",INDEX(Import_Staging!$N$2:$N$301,$Y177))</f>
        <v/>
      </c>
      <c r="S177" s="70" t="str">
        <f>IF($Y177="","",0)</f>
        <v/>
      </c>
      <c r="T177" s="24" t="str">
        <f>IF($Y177="","",INDEX(Import_Staging!$I$2:$I$301,$Y177)&amp;"")</f>
        <v/>
      </c>
      <c r="U177" s="24" t="n"/>
      <c r="V177" s="24" t="str">
        <f>IF($Y177="","","Received "&amp;TEXT(INDEX(Import_Staging!$M$2:$M$301,$Y177),"yyyy-mm-dd")&amp;" (CSV row "&amp;($Y177+1)&amp;")")</f>
        <v/>
      </c>
      <c r="X177" t="str">
        <f>IFERROR(MATCH(172,Import_Staging!$BT$2:$BT$301,0),"")</f>
        <v/>
      </c>
      <c r="Y177" t="str">
        <f>IFERROR(MATCH(172,Import_Staging!$BV$2:$BV$301,0),"")</f>
        <v/>
      </c>
    </row>
    <row r="178">
      <c r="A178" s="24" t="str">
        <f>IF($X178="","",INDEX(Import_Staging!$A$2:$A$301,$X178)&amp;"")</f>
        <v/>
      </c>
      <c r="B178" s="27" t="str">
        <f>IF($X178="","",INDEX(Import_Staging!$M$2:$M$301,$X178))</f>
        <v/>
      </c>
      <c r="C178" s="24" t="str">
        <f>IF($X178="","",INDEX(Import_Staging!$C$2:$C$301,$X178)&amp;"")</f>
        <v/>
      </c>
      <c r="D178" s="24" t="str">
        <f>IF($X178="","",INDEX(Import_Staging!$D$2:$D$301,$X178)&amp;"")</f>
        <v/>
      </c>
      <c r="E178" s="69" t="str">
        <f>IF($X178="","",INDEX(Import_Staging!$O$2:$O$301,$X178))</f>
        <v/>
      </c>
      <c r="F178" s="24" t="str">
        <f>IF($X178="","",INDEX(Import_Staging!$F$2:$F$301,$X178)&amp;"")</f>
        <v/>
      </c>
      <c r="G178" s="24" t="str">
        <f>IF($X178="","",INDEX(Import_Staging!$J$2:$J$301,$X178)&amp;"")</f>
        <v/>
      </c>
      <c r="H178" s="24" t="str">
        <f>IF($X178="","",INDEX(Import_Staging!$K$2:$K$301,$X178)&amp;"")</f>
        <v/>
      </c>
      <c r="I178" s="24" t="str">
        <f>IF($X178="","",INDEX(Import_Staging!$L$2:$L$301,$X178)&amp;"")</f>
        <v/>
      </c>
      <c r="J178" s="24" t="str">
        <f>IF($X178="","","3PL import")</f>
        <v/>
      </c>
      <c r="K178" s="24" t="str">
        <f>IF($X178="","",Config!$B$11)</f>
        <v/>
      </c>
      <c r="L178" s="24" t="str">
        <f>IF($X178="","","CSV row "&amp;($X178+1))</f>
        <v/>
      </c>
      <c r="N178" s="24" t="str">
        <f>IF($Y178="","",INDEX(Import_Staging!$F$2:$F$301,$Y178)&amp;"")</f>
        <v/>
      </c>
      <c r="O178" s="24" t="str">
        <f>IF($Y178="","",INDEX(Import_Staging!$D$2:$D$301,$Y178)&amp;"")</f>
        <v/>
      </c>
      <c r="P178" s="24" t="str">
        <f>IF($Y178="","",INDEX(Import_Staging!$E$2:$E$301,$Y178)&amp;"")</f>
        <v/>
      </c>
      <c r="Q178" s="27" t="n"/>
      <c r="R178" s="27" t="str">
        <f>IF($Y178="","",INDEX(Import_Staging!$N$2:$N$301,$Y178))</f>
        <v/>
      </c>
      <c r="S178" s="70" t="str">
        <f>IF($Y178="","",0)</f>
        <v/>
      </c>
      <c r="T178" s="24" t="str">
        <f>IF($Y178="","",INDEX(Import_Staging!$I$2:$I$301,$Y178)&amp;"")</f>
        <v/>
      </c>
      <c r="U178" s="24" t="n"/>
      <c r="V178" s="24" t="str">
        <f>IF($Y178="","","Received "&amp;TEXT(INDEX(Import_Staging!$M$2:$M$301,$Y178),"yyyy-mm-dd")&amp;" (CSV row "&amp;($Y178+1)&amp;")")</f>
        <v/>
      </c>
      <c r="X178" t="str">
        <f>IFERROR(MATCH(173,Import_Staging!$BT$2:$BT$301,0),"")</f>
        <v/>
      </c>
      <c r="Y178" t="str">
        <f>IFERROR(MATCH(173,Import_Staging!$BV$2:$BV$301,0),"")</f>
        <v/>
      </c>
    </row>
    <row r="179">
      <c r="A179" s="24" t="str">
        <f>IF($X179="","",INDEX(Import_Staging!$A$2:$A$301,$X179)&amp;"")</f>
        <v/>
      </c>
      <c r="B179" s="27" t="str">
        <f>IF($X179="","",INDEX(Import_Staging!$M$2:$M$301,$X179))</f>
        <v/>
      </c>
      <c r="C179" s="24" t="str">
        <f>IF($X179="","",INDEX(Import_Staging!$C$2:$C$301,$X179)&amp;"")</f>
        <v/>
      </c>
      <c r="D179" s="24" t="str">
        <f>IF($X179="","",INDEX(Import_Staging!$D$2:$D$301,$X179)&amp;"")</f>
        <v/>
      </c>
      <c r="E179" s="69" t="str">
        <f>IF($X179="","",INDEX(Import_Staging!$O$2:$O$301,$X179))</f>
        <v/>
      </c>
      <c r="F179" s="24" t="str">
        <f>IF($X179="","",INDEX(Import_Staging!$F$2:$F$301,$X179)&amp;"")</f>
        <v/>
      </c>
      <c r="G179" s="24" t="str">
        <f>IF($X179="","",INDEX(Import_Staging!$J$2:$J$301,$X179)&amp;"")</f>
        <v/>
      </c>
      <c r="H179" s="24" t="str">
        <f>IF($X179="","",INDEX(Import_Staging!$K$2:$K$301,$X179)&amp;"")</f>
        <v/>
      </c>
      <c r="I179" s="24" t="str">
        <f>IF($X179="","",INDEX(Import_Staging!$L$2:$L$301,$X179)&amp;"")</f>
        <v/>
      </c>
      <c r="J179" s="24" t="str">
        <f>IF($X179="","","3PL import")</f>
        <v/>
      </c>
      <c r="K179" s="24" t="str">
        <f>IF($X179="","",Config!$B$11)</f>
        <v/>
      </c>
      <c r="L179" s="24" t="str">
        <f>IF($X179="","","CSV row "&amp;($X179+1))</f>
        <v/>
      </c>
      <c r="N179" s="24" t="str">
        <f>IF($Y179="","",INDEX(Import_Staging!$F$2:$F$301,$Y179)&amp;"")</f>
        <v/>
      </c>
      <c r="O179" s="24" t="str">
        <f>IF($Y179="","",INDEX(Import_Staging!$D$2:$D$301,$Y179)&amp;"")</f>
        <v/>
      </c>
      <c r="P179" s="24" t="str">
        <f>IF($Y179="","",INDEX(Import_Staging!$E$2:$E$301,$Y179)&amp;"")</f>
        <v/>
      </c>
      <c r="Q179" s="27" t="n"/>
      <c r="R179" s="27" t="str">
        <f>IF($Y179="","",INDEX(Import_Staging!$N$2:$N$301,$Y179))</f>
        <v/>
      </c>
      <c r="S179" s="70" t="str">
        <f>IF($Y179="","",0)</f>
        <v/>
      </c>
      <c r="T179" s="24" t="str">
        <f>IF($Y179="","",INDEX(Import_Staging!$I$2:$I$301,$Y179)&amp;"")</f>
        <v/>
      </c>
      <c r="U179" s="24" t="n"/>
      <c r="V179" s="24" t="str">
        <f>IF($Y179="","","Received "&amp;TEXT(INDEX(Import_Staging!$M$2:$M$301,$Y179),"yyyy-mm-dd")&amp;" (CSV row "&amp;($Y179+1)&amp;")")</f>
        <v/>
      </c>
      <c r="X179" t="str">
        <f>IFERROR(MATCH(174,Import_Staging!$BT$2:$BT$301,0),"")</f>
        <v/>
      </c>
      <c r="Y179" t="str">
        <f>IFERROR(MATCH(174,Import_Staging!$BV$2:$BV$301,0),"")</f>
        <v/>
      </c>
    </row>
    <row r="180">
      <c r="A180" s="24" t="str">
        <f>IF($X180="","",INDEX(Import_Staging!$A$2:$A$301,$X180)&amp;"")</f>
        <v/>
      </c>
      <c r="B180" s="27" t="str">
        <f>IF($X180="","",INDEX(Import_Staging!$M$2:$M$301,$X180))</f>
        <v/>
      </c>
      <c r="C180" s="24" t="str">
        <f>IF($X180="","",INDEX(Import_Staging!$C$2:$C$301,$X180)&amp;"")</f>
        <v/>
      </c>
      <c r="D180" s="24" t="str">
        <f>IF($X180="","",INDEX(Import_Staging!$D$2:$D$301,$X180)&amp;"")</f>
        <v/>
      </c>
      <c r="E180" s="69" t="str">
        <f>IF($X180="","",INDEX(Import_Staging!$O$2:$O$301,$X180))</f>
        <v/>
      </c>
      <c r="F180" s="24" t="str">
        <f>IF($X180="","",INDEX(Import_Staging!$F$2:$F$301,$X180)&amp;"")</f>
        <v/>
      </c>
      <c r="G180" s="24" t="str">
        <f>IF($X180="","",INDEX(Import_Staging!$J$2:$J$301,$X180)&amp;"")</f>
        <v/>
      </c>
      <c r="H180" s="24" t="str">
        <f>IF($X180="","",INDEX(Import_Staging!$K$2:$K$301,$X180)&amp;"")</f>
        <v/>
      </c>
      <c r="I180" s="24" t="str">
        <f>IF($X180="","",INDEX(Import_Staging!$L$2:$L$301,$X180)&amp;"")</f>
        <v/>
      </c>
      <c r="J180" s="24" t="str">
        <f>IF($X180="","","3PL import")</f>
        <v/>
      </c>
      <c r="K180" s="24" t="str">
        <f>IF($X180="","",Config!$B$11)</f>
        <v/>
      </c>
      <c r="L180" s="24" t="str">
        <f>IF($X180="","","CSV row "&amp;($X180+1))</f>
        <v/>
      </c>
      <c r="N180" s="24" t="str">
        <f>IF($Y180="","",INDEX(Import_Staging!$F$2:$F$301,$Y180)&amp;"")</f>
        <v/>
      </c>
      <c r="O180" s="24" t="str">
        <f>IF($Y180="","",INDEX(Import_Staging!$D$2:$D$301,$Y180)&amp;"")</f>
        <v/>
      </c>
      <c r="P180" s="24" t="str">
        <f>IF($Y180="","",INDEX(Import_Staging!$E$2:$E$301,$Y180)&amp;"")</f>
        <v/>
      </c>
      <c r="Q180" s="27" t="n"/>
      <c r="R180" s="27" t="str">
        <f>IF($Y180="","",INDEX(Import_Staging!$N$2:$N$301,$Y180))</f>
        <v/>
      </c>
      <c r="S180" s="70" t="str">
        <f>IF($Y180="","",0)</f>
        <v/>
      </c>
      <c r="T180" s="24" t="str">
        <f>IF($Y180="","",INDEX(Import_Staging!$I$2:$I$301,$Y180)&amp;"")</f>
        <v/>
      </c>
      <c r="U180" s="24" t="n"/>
      <c r="V180" s="24" t="str">
        <f>IF($Y180="","","Received "&amp;TEXT(INDEX(Import_Staging!$M$2:$M$301,$Y180),"yyyy-mm-dd")&amp;" (CSV row "&amp;($Y180+1)&amp;")")</f>
        <v/>
      </c>
      <c r="X180" t="str">
        <f>IFERROR(MATCH(175,Import_Staging!$BT$2:$BT$301,0),"")</f>
        <v/>
      </c>
      <c r="Y180" t="str">
        <f>IFERROR(MATCH(175,Import_Staging!$BV$2:$BV$301,0),"")</f>
        <v/>
      </c>
    </row>
    <row r="181">
      <c r="A181" s="24" t="str">
        <f>IF($X181="","",INDEX(Import_Staging!$A$2:$A$301,$X181)&amp;"")</f>
        <v/>
      </c>
      <c r="B181" s="27" t="str">
        <f>IF($X181="","",INDEX(Import_Staging!$M$2:$M$301,$X181))</f>
        <v/>
      </c>
      <c r="C181" s="24" t="str">
        <f>IF($X181="","",INDEX(Import_Staging!$C$2:$C$301,$X181)&amp;"")</f>
        <v/>
      </c>
      <c r="D181" s="24" t="str">
        <f>IF($X181="","",INDEX(Import_Staging!$D$2:$D$301,$X181)&amp;"")</f>
        <v/>
      </c>
      <c r="E181" s="69" t="str">
        <f>IF($X181="","",INDEX(Import_Staging!$O$2:$O$301,$X181))</f>
        <v/>
      </c>
      <c r="F181" s="24" t="str">
        <f>IF($X181="","",INDEX(Import_Staging!$F$2:$F$301,$X181)&amp;"")</f>
        <v/>
      </c>
      <c r="G181" s="24" t="str">
        <f>IF($X181="","",INDEX(Import_Staging!$J$2:$J$301,$X181)&amp;"")</f>
        <v/>
      </c>
      <c r="H181" s="24" t="str">
        <f>IF($X181="","",INDEX(Import_Staging!$K$2:$K$301,$X181)&amp;"")</f>
        <v/>
      </c>
      <c r="I181" s="24" t="str">
        <f>IF($X181="","",INDEX(Import_Staging!$L$2:$L$301,$X181)&amp;"")</f>
        <v/>
      </c>
      <c r="J181" s="24" t="str">
        <f>IF($X181="","","3PL import")</f>
        <v/>
      </c>
      <c r="K181" s="24" t="str">
        <f>IF($X181="","",Config!$B$11)</f>
        <v/>
      </c>
      <c r="L181" s="24" t="str">
        <f>IF($X181="","","CSV row "&amp;($X181+1))</f>
        <v/>
      </c>
      <c r="N181" s="24" t="str">
        <f>IF($Y181="","",INDEX(Import_Staging!$F$2:$F$301,$Y181)&amp;"")</f>
        <v/>
      </c>
      <c r="O181" s="24" t="str">
        <f>IF($Y181="","",INDEX(Import_Staging!$D$2:$D$301,$Y181)&amp;"")</f>
        <v/>
      </c>
      <c r="P181" s="24" t="str">
        <f>IF($Y181="","",INDEX(Import_Staging!$E$2:$E$301,$Y181)&amp;"")</f>
        <v/>
      </c>
      <c r="Q181" s="27" t="n"/>
      <c r="R181" s="27" t="str">
        <f>IF($Y181="","",INDEX(Import_Staging!$N$2:$N$301,$Y181))</f>
        <v/>
      </c>
      <c r="S181" s="70" t="str">
        <f>IF($Y181="","",0)</f>
        <v/>
      </c>
      <c r="T181" s="24" t="str">
        <f>IF($Y181="","",INDEX(Import_Staging!$I$2:$I$301,$Y181)&amp;"")</f>
        <v/>
      </c>
      <c r="U181" s="24" t="n"/>
      <c r="V181" s="24" t="str">
        <f>IF($Y181="","","Received "&amp;TEXT(INDEX(Import_Staging!$M$2:$M$301,$Y181),"yyyy-mm-dd")&amp;" (CSV row "&amp;($Y181+1)&amp;")")</f>
        <v/>
      </c>
      <c r="X181" t="str">
        <f>IFERROR(MATCH(176,Import_Staging!$BT$2:$BT$301,0),"")</f>
        <v/>
      </c>
      <c r="Y181" t="str">
        <f>IFERROR(MATCH(176,Import_Staging!$BV$2:$BV$301,0),"")</f>
        <v/>
      </c>
    </row>
    <row r="182">
      <c r="A182" s="24" t="str">
        <f>IF($X182="","",INDEX(Import_Staging!$A$2:$A$301,$X182)&amp;"")</f>
        <v/>
      </c>
      <c r="B182" s="27" t="str">
        <f>IF($X182="","",INDEX(Import_Staging!$M$2:$M$301,$X182))</f>
        <v/>
      </c>
      <c r="C182" s="24" t="str">
        <f>IF($X182="","",INDEX(Import_Staging!$C$2:$C$301,$X182)&amp;"")</f>
        <v/>
      </c>
      <c r="D182" s="24" t="str">
        <f>IF($X182="","",INDEX(Import_Staging!$D$2:$D$301,$X182)&amp;"")</f>
        <v/>
      </c>
      <c r="E182" s="69" t="str">
        <f>IF($X182="","",INDEX(Import_Staging!$O$2:$O$301,$X182))</f>
        <v/>
      </c>
      <c r="F182" s="24" t="str">
        <f>IF($X182="","",INDEX(Import_Staging!$F$2:$F$301,$X182)&amp;"")</f>
        <v/>
      </c>
      <c r="G182" s="24" t="str">
        <f>IF($X182="","",INDEX(Import_Staging!$J$2:$J$301,$X182)&amp;"")</f>
        <v/>
      </c>
      <c r="H182" s="24" t="str">
        <f>IF($X182="","",INDEX(Import_Staging!$K$2:$K$301,$X182)&amp;"")</f>
        <v/>
      </c>
      <c r="I182" s="24" t="str">
        <f>IF($X182="","",INDEX(Import_Staging!$L$2:$L$301,$X182)&amp;"")</f>
        <v/>
      </c>
      <c r="J182" s="24" t="str">
        <f>IF($X182="","","3PL import")</f>
        <v/>
      </c>
      <c r="K182" s="24" t="str">
        <f>IF($X182="","",Config!$B$11)</f>
        <v/>
      </c>
      <c r="L182" s="24" t="str">
        <f>IF($X182="","","CSV row "&amp;($X182+1))</f>
        <v/>
      </c>
      <c r="N182" s="24" t="str">
        <f>IF($Y182="","",INDEX(Import_Staging!$F$2:$F$301,$Y182)&amp;"")</f>
        <v/>
      </c>
      <c r="O182" s="24" t="str">
        <f>IF($Y182="","",INDEX(Import_Staging!$D$2:$D$301,$Y182)&amp;"")</f>
        <v/>
      </c>
      <c r="P182" s="24" t="str">
        <f>IF($Y182="","",INDEX(Import_Staging!$E$2:$E$301,$Y182)&amp;"")</f>
        <v/>
      </c>
      <c r="Q182" s="27" t="n"/>
      <c r="R182" s="27" t="str">
        <f>IF($Y182="","",INDEX(Import_Staging!$N$2:$N$301,$Y182))</f>
        <v/>
      </c>
      <c r="S182" s="70" t="str">
        <f>IF($Y182="","",0)</f>
        <v/>
      </c>
      <c r="T182" s="24" t="str">
        <f>IF($Y182="","",INDEX(Import_Staging!$I$2:$I$301,$Y182)&amp;"")</f>
        <v/>
      </c>
      <c r="U182" s="24" t="n"/>
      <c r="V182" s="24" t="str">
        <f>IF($Y182="","","Received "&amp;TEXT(INDEX(Import_Staging!$M$2:$M$301,$Y182),"yyyy-mm-dd")&amp;" (CSV row "&amp;($Y182+1)&amp;")")</f>
        <v/>
      </c>
      <c r="X182" t="str">
        <f>IFERROR(MATCH(177,Import_Staging!$BT$2:$BT$301,0),"")</f>
        <v/>
      </c>
      <c r="Y182" t="str">
        <f>IFERROR(MATCH(177,Import_Staging!$BV$2:$BV$301,0),"")</f>
        <v/>
      </c>
    </row>
    <row r="183">
      <c r="A183" s="24" t="str">
        <f>IF($X183="","",INDEX(Import_Staging!$A$2:$A$301,$X183)&amp;"")</f>
        <v/>
      </c>
      <c r="B183" s="27" t="str">
        <f>IF($X183="","",INDEX(Import_Staging!$M$2:$M$301,$X183))</f>
        <v/>
      </c>
      <c r="C183" s="24" t="str">
        <f>IF($X183="","",INDEX(Import_Staging!$C$2:$C$301,$X183)&amp;"")</f>
        <v/>
      </c>
      <c r="D183" s="24" t="str">
        <f>IF($X183="","",INDEX(Import_Staging!$D$2:$D$301,$X183)&amp;"")</f>
        <v/>
      </c>
      <c r="E183" s="69" t="str">
        <f>IF($X183="","",INDEX(Import_Staging!$O$2:$O$301,$X183))</f>
        <v/>
      </c>
      <c r="F183" s="24" t="str">
        <f>IF($X183="","",INDEX(Import_Staging!$F$2:$F$301,$X183)&amp;"")</f>
        <v/>
      </c>
      <c r="G183" s="24" t="str">
        <f>IF($X183="","",INDEX(Import_Staging!$J$2:$J$301,$X183)&amp;"")</f>
        <v/>
      </c>
      <c r="H183" s="24" t="str">
        <f>IF($X183="","",INDEX(Import_Staging!$K$2:$K$301,$X183)&amp;"")</f>
        <v/>
      </c>
      <c r="I183" s="24" t="str">
        <f>IF($X183="","",INDEX(Import_Staging!$L$2:$L$301,$X183)&amp;"")</f>
        <v/>
      </c>
      <c r="J183" s="24" t="str">
        <f>IF($X183="","","3PL import")</f>
        <v/>
      </c>
      <c r="K183" s="24" t="str">
        <f>IF($X183="","",Config!$B$11)</f>
        <v/>
      </c>
      <c r="L183" s="24" t="str">
        <f>IF($X183="","","CSV row "&amp;($X183+1))</f>
        <v/>
      </c>
      <c r="N183" s="24" t="str">
        <f>IF($Y183="","",INDEX(Import_Staging!$F$2:$F$301,$Y183)&amp;"")</f>
        <v/>
      </c>
      <c r="O183" s="24" t="str">
        <f>IF($Y183="","",INDEX(Import_Staging!$D$2:$D$301,$Y183)&amp;"")</f>
        <v/>
      </c>
      <c r="P183" s="24" t="str">
        <f>IF($Y183="","",INDEX(Import_Staging!$E$2:$E$301,$Y183)&amp;"")</f>
        <v/>
      </c>
      <c r="Q183" s="27" t="n"/>
      <c r="R183" s="27" t="str">
        <f>IF($Y183="","",INDEX(Import_Staging!$N$2:$N$301,$Y183))</f>
        <v/>
      </c>
      <c r="S183" s="70" t="str">
        <f>IF($Y183="","",0)</f>
        <v/>
      </c>
      <c r="T183" s="24" t="str">
        <f>IF($Y183="","",INDEX(Import_Staging!$I$2:$I$301,$Y183)&amp;"")</f>
        <v/>
      </c>
      <c r="U183" s="24" t="n"/>
      <c r="V183" s="24" t="str">
        <f>IF($Y183="","","Received "&amp;TEXT(INDEX(Import_Staging!$M$2:$M$301,$Y183),"yyyy-mm-dd")&amp;" (CSV row "&amp;($Y183+1)&amp;")")</f>
        <v/>
      </c>
      <c r="X183" t="str">
        <f>IFERROR(MATCH(178,Import_Staging!$BT$2:$BT$301,0),"")</f>
        <v/>
      </c>
      <c r="Y183" t="str">
        <f>IFERROR(MATCH(178,Import_Staging!$BV$2:$BV$301,0),"")</f>
        <v/>
      </c>
    </row>
    <row r="184">
      <c r="A184" s="24" t="str">
        <f>IF($X184="","",INDEX(Import_Staging!$A$2:$A$301,$X184)&amp;"")</f>
        <v/>
      </c>
      <c r="B184" s="27" t="str">
        <f>IF($X184="","",INDEX(Import_Staging!$M$2:$M$301,$X184))</f>
        <v/>
      </c>
      <c r="C184" s="24" t="str">
        <f>IF($X184="","",INDEX(Import_Staging!$C$2:$C$301,$X184)&amp;"")</f>
        <v/>
      </c>
      <c r="D184" s="24" t="str">
        <f>IF($X184="","",INDEX(Import_Staging!$D$2:$D$301,$X184)&amp;"")</f>
        <v/>
      </c>
      <c r="E184" s="69" t="str">
        <f>IF($X184="","",INDEX(Import_Staging!$O$2:$O$301,$X184))</f>
        <v/>
      </c>
      <c r="F184" s="24" t="str">
        <f>IF($X184="","",INDEX(Import_Staging!$F$2:$F$301,$X184)&amp;"")</f>
        <v/>
      </c>
      <c r="G184" s="24" t="str">
        <f>IF($X184="","",INDEX(Import_Staging!$J$2:$J$301,$X184)&amp;"")</f>
        <v/>
      </c>
      <c r="H184" s="24" t="str">
        <f>IF($X184="","",INDEX(Import_Staging!$K$2:$K$301,$X184)&amp;"")</f>
        <v/>
      </c>
      <c r="I184" s="24" t="str">
        <f>IF($X184="","",INDEX(Import_Staging!$L$2:$L$301,$X184)&amp;"")</f>
        <v/>
      </c>
      <c r="J184" s="24" t="str">
        <f>IF($X184="","","3PL import")</f>
        <v/>
      </c>
      <c r="K184" s="24" t="str">
        <f>IF($X184="","",Config!$B$11)</f>
        <v/>
      </c>
      <c r="L184" s="24" t="str">
        <f>IF($X184="","","CSV row "&amp;($X184+1))</f>
        <v/>
      </c>
      <c r="N184" s="24" t="str">
        <f>IF($Y184="","",INDEX(Import_Staging!$F$2:$F$301,$Y184)&amp;"")</f>
        <v/>
      </c>
      <c r="O184" s="24" t="str">
        <f>IF($Y184="","",INDEX(Import_Staging!$D$2:$D$301,$Y184)&amp;"")</f>
        <v/>
      </c>
      <c r="P184" s="24" t="str">
        <f>IF($Y184="","",INDEX(Import_Staging!$E$2:$E$301,$Y184)&amp;"")</f>
        <v/>
      </c>
      <c r="Q184" s="27" t="n"/>
      <c r="R184" s="27" t="str">
        <f>IF($Y184="","",INDEX(Import_Staging!$N$2:$N$301,$Y184))</f>
        <v/>
      </c>
      <c r="S184" s="70" t="str">
        <f>IF($Y184="","",0)</f>
        <v/>
      </c>
      <c r="T184" s="24" t="str">
        <f>IF($Y184="","",INDEX(Import_Staging!$I$2:$I$301,$Y184)&amp;"")</f>
        <v/>
      </c>
      <c r="U184" s="24" t="n"/>
      <c r="V184" s="24" t="str">
        <f>IF($Y184="","","Received "&amp;TEXT(INDEX(Import_Staging!$M$2:$M$301,$Y184),"yyyy-mm-dd")&amp;" (CSV row "&amp;($Y184+1)&amp;")")</f>
        <v/>
      </c>
      <c r="X184" t="str">
        <f>IFERROR(MATCH(179,Import_Staging!$BT$2:$BT$301,0),"")</f>
        <v/>
      </c>
      <c r="Y184" t="str">
        <f>IFERROR(MATCH(179,Import_Staging!$BV$2:$BV$301,0),"")</f>
        <v/>
      </c>
    </row>
    <row r="185">
      <c r="A185" s="24" t="str">
        <f>IF($X185="","",INDEX(Import_Staging!$A$2:$A$301,$X185)&amp;"")</f>
        <v/>
      </c>
      <c r="B185" s="27" t="str">
        <f>IF($X185="","",INDEX(Import_Staging!$M$2:$M$301,$X185))</f>
        <v/>
      </c>
      <c r="C185" s="24" t="str">
        <f>IF($X185="","",INDEX(Import_Staging!$C$2:$C$301,$X185)&amp;"")</f>
        <v/>
      </c>
      <c r="D185" s="24" t="str">
        <f>IF($X185="","",INDEX(Import_Staging!$D$2:$D$301,$X185)&amp;"")</f>
        <v/>
      </c>
      <c r="E185" s="69" t="str">
        <f>IF($X185="","",INDEX(Import_Staging!$O$2:$O$301,$X185))</f>
        <v/>
      </c>
      <c r="F185" s="24" t="str">
        <f>IF($X185="","",INDEX(Import_Staging!$F$2:$F$301,$X185)&amp;"")</f>
        <v/>
      </c>
      <c r="G185" s="24" t="str">
        <f>IF($X185="","",INDEX(Import_Staging!$J$2:$J$301,$X185)&amp;"")</f>
        <v/>
      </c>
      <c r="H185" s="24" t="str">
        <f>IF($X185="","",INDEX(Import_Staging!$K$2:$K$301,$X185)&amp;"")</f>
        <v/>
      </c>
      <c r="I185" s="24" t="str">
        <f>IF($X185="","",INDEX(Import_Staging!$L$2:$L$301,$X185)&amp;"")</f>
        <v/>
      </c>
      <c r="J185" s="24" t="str">
        <f>IF($X185="","","3PL import")</f>
        <v/>
      </c>
      <c r="K185" s="24" t="str">
        <f>IF($X185="","",Config!$B$11)</f>
        <v/>
      </c>
      <c r="L185" s="24" t="str">
        <f>IF($X185="","","CSV row "&amp;($X185+1))</f>
        <v/>
      </c>
      <c r="N185" s="24" t="str">
        <f>IF($Y185="","",INDEX(Import_Staging!$F$2:$F$301,$Y185)&amp;"")</f>
        <v/>
      </c>
      <c r="O185" s="24" t="str">
        <f>IF($Y185="","",INDEX(Import_Staging!$D$2:$D$301,$Y185)&amp;"")</f>
        <v/>
      </c>
      <c r="P185" s="24" t="str">
        <f>IF($Y185="","",INDEX(Import_Staging!$E$2:$E$301,$Y185)&amp;"")</f>
        <v/>
      </c>
      <c r="Q185" s="27" t="n"/>
      <c r="R185" s="27" t="str">
        <f>IF($Y185="","",INDEX(Import_Staging!$N$2:$N$301,$Y185))</f>
        <v/>
      </c>
      <c r="S185" s="70" t="str">
        <f>IF($Y185="","",0)</f>
        <v/>
      </c>
      <c r="T185" s="24" t="str">
        <f>IF($Y185="","",INDEX(Import_Staging!$I$2:$I$301,$Y185)&amp;"")</f>
        <v/>
      </c>
      <c r="U185" s="24" t="n"/>
      <c r="V185" s="24" t="str">
        <f>IF($Y185="","","Received "&amp;TEXT(INDEX(Import_Staging!$M$2:$M$301,$Y185),"yyyy-mm-dd")&amp;" (CSV row "&amp;($Y185+1)&amp;")")</f>
        <v/>
      </c>
      <c r="X185" t="str">
        <f>IFERROR(MATCH(180,Import_Staging!$BT$2:$BT$301,0),"")</f>
        <v/>
      </c>
      <c r="Y185" t="str">
        <f>IFERROR(MATCH(180,Import_Staging!$BV$2:$BV$301,0),"")</f>
        <v/>
      </c>
    </row>
    <row r="186">
      <c r="A186" s="24" t="str">
        <f>IF($X186="","",INDEX(Import_Staging!$A$2:$A$301,$X186)&amp;"")</f>
        <v/>
      </c>
      <c r="B186" s="27" t="str">
        <f>IF($X186="","",INDEX(Import_Staging!$M$2:$M$301,$X186))</f>
        <v/>
      </c>
      <c r="C186" s="24" t="str">
        <f>IF($X186="","",INDEX(Import_Staging!$C$2:$C$301,$X186)&amp;"")</f>
        <v/>
      </c>
      <c r="D186" s="24" t="str">
        <f>IF($X186="","",INDEX(Import_Staging!$D$2:$D$301,$X186)&amp;"")</f>
        <v/>
      </c>
      <c r="E186" s="69" t="str">
        <f>IF($X186="","",INDEX(Import_Staging!$O$2:$O$301,$X186))</f>
        <v/>
      </c>
      <c r="F186" s="24" t="str">
        <f>IF($X186="","",INDEX(Import_Staging!$F$2:$F$301,$X186)&amp;"")</f>
        <v/>
      </c>
      <c r="G186" s="24" t="str">
        <f>IF($X186="","",INDEX(Import_Staging!$J$2:$J$301,$X186)&amp;"")</f>
        <v/>
      </c>
      <c r="H186" s="24" t="str">
        <f>IF($X186="","",INDEX(Import_Staging!$K$2:$K$301,$X186)&amp;"")</f>
        <v/>
      </c>
      <c r="I186" s="24" t="str">
        <f>IF($X186="","",INDEX(Import_Staging!$L$2:$L$301,$X186)&amp;"")</f>
        <v/>
      </c>
      <c r="J186" s="24" t="str">
        <f>IF($X186="","","3PL import")</f>
        <v/>
      </c>
      <c r="K186" s="24" t="str">
        <f>IF($X186="","",Config!$B$11)</f>
        <v/>
      </c>
      <c r="L186" s="24" t="str">
        <f>IF($X186="","","CSV row "&amp;($X186+1))</f>
        <v/>
      </c>
      <c r="N186" s="24" t="str">
        <f>IF($Y186="","",INDEX(Import_Staging!$F$2:$F$301,$Y186)&amp;"")</f>
        <v/>
      </c>
      <c r="O186" s="24" t="str">
        <f>IF($Y186="","",INDEX(Import_Staging!$D$2:$D$301,$Y186)&amp;"")</f>
        <v/>
      </c>
      <c r="P186" s="24" t="str">
        <f>IF($Y186="","",INDEX(Import_Staging!$E$2:$E$301,$Y186)&amp;"")</f>
        <v/>
      </c>
      <c r="Q186" s="27" t="n"/>
      <c r="R186" s="27" t="str">
        <f>IF($Y186="","",INDEX(Import_Staging!$N$2:$N$301,$Y186))</f>
        <v/>
      </c>
      <c r="S186" s="70" t="str">
        <f>IF($Y186="","",0)</f>
        <v/>
      </c>
      <c r="T186" s="24" t="str">
        <f>IF($Y186="","",INDEX(Import_Staging!$I$2:$I$301,$Y186)&amp;"")</f>
        <v/>
      </c>
      <c r="U186" s="24" t="n"/>
      <c r="V186" s="24" t="str">
        <f>IF($Y186="","","Received "&amp;TEXT(INDEX(Import_Staging!$M$2:$M$301,$Y186),"yyyy-mm-dd")&amp;" (CSV row "&amp;($Y186+1)&amp;")")</f>
        <v/>
      </c>
      <c r="X186" t="str">
        <f>IFERROR(MATCH(181,Import_Staging!$BT$2:$BT$301,0),"")</f>
        <v/>
      </c>
      <c r="Y186" t="str">
        <f>IFERROR(MATCH(181,Import_Staging!$BV$2:$BV$301,0),"")</f>
        <v/>
      </c>
    </row>
    <row r="187">
      <c r="A187" s="24" t="str">
        <f>IF($X187="","",INDEX(Import_Staging!$A$2:$A$301,$X187)&amp;"")</f>
        <v/>
      </c>
      <c r="B187" s="27" t="str">
        <f>IF($X187="","",INDEX(Import_Staging!$M$2:$M$301,$X187))</f>
        <v/>
      </c>
      <c r="C187" s="24" t="str">
        <f>IF($X187="","",INDEX(Import_Staging!$C$2:$C$301,$X187)&amp;"")</f>
        <v/>
      </c>
      <c r="D187" s="24" t="str">
        <f>IF($X187="","",INDEX(Import_Staging!$D$2:$D$301,$X187)&amp;"")</f>
        <v/>
      </c>
      <c r="E187" s="69" t="str">
        <f>IF($X187="","",INDEX(Import_Staging!$O$2:$O$301,$X187))</f>
        <v/>
      </c>
      <c r="F187" s="24" t="str">
        <f>IF($X187="","",INDEX(Import_Staging!$F$2:$F$301,$X187)&amp;"")</f>
        <v/>
      </c>
      <c r="G187" s="24" t="str">
        <f>IF($X187="","",INDEX(Import_Staging!$J$2:$J$301,$X187)&amp;"")</f>
        <v/>
      </c>
      <c r="H187" s="24" t="str">
        <f>IF($X187="","",INDEX(Import_Staging!$K$2:$K$301,$X187)&amp;"")</f>
        <v/>
      </c>
      <c r="I187" s="24" t="str">
        <f>IF($X187="","",INDEX(Import_Staging!$L$2:$L$301,$X187)&amp;"")</f>
        <v/>
      </c>
      <c r="J187" s="24" t="str">
        <f>IF($X187="","","3PL import")</f>
        <v/>
      </c>
      <c r="K187" s="24" t="str">
        <f>IF($X187="","",Config!$B$11)</f>
        <v/>
      </c>
      <c r="L187" s="24" t="str">
        <f>IF($X187="","","CSV row "&amp;($X187+1))</f>
        <v/>
      </c>
      <c r="N187" s="24" t="str">
        <f>IF($Y187="","",INDEX(Import_Staging!$F$2:$F$301,$Y187)&amp;"")</f>
        <v/>
      </c>
      <c r="O187" s="24" t="str">
        <f>IF($Y187="","",INDEX(Import_Staging!$D$2:$D$301,$Y187)&amp;"")</f>
        <v/>
      </c>
      <c r="P187" s="24" t="str">
        <f>IF($Y187="","",INDEX(Import_Staging!$E$2:$E$301,$Y187)&amp;"")</f>
        <v/>
      </c>
      <c r="Q187" s="27" t="n"/>
      <c r="R187" s="27" t="str">
        <f>IF($Y187="","",INDEX(Import_Staging!$N$2:$N$301,$Y187))</f>
        <v/>
      </c>
      <c r="S187" s="70" t="str">
        <f>IF($Y187="","",0)</f>
        <v/>
      </c>
      <c r="T187" s="24" t="str">
        <f>IF($Y187="","",INDEX(Import_Staging!$I$2:$I$301,$Y187)&amp;"")</f>
        <v/>
      </c>
      <c r="U187" s="24" t="n"/>
      <c r="V187" s="24" t="str">
        <f>IF($Y187="","","Received "&amp;TEXT(INDEX(Import_Staging!$M$2:$M$301,$Y187),"yyyy-mm-dd")&amp;" (CSV row "&amp;($Y187+1)&amp;")")</f>
        <v/>
      </c>
      <c r="X187" t="str">
        <f>IFERROR(MATCH(182,Import_Staging!$BT$2:$BT$301,0),"")</f>
        <v/>
      </c>
      <c r="Y187" t="str">
        <f>IFERROR(MATCH(182,Import_Staging!$BV$2:$BV$301,0),"")</f>
        <v/>
      </c>
    </row>
    <row r="188">
      <c r="A188" s="24" t="str">
        <f>IF($X188="","",INDEX(Import_Staging!$A$2:$A$301,$X188)&amp;"")</f>
        <v/>
      </c>
      <c r="B188" s="27" t="str">
        <f>IF($X188="","",INDEX(Import_Staging!$M$2:$M$301,$X188))</f>
        <v/>
      </c>
      <c r="C188" s="24" t="str">
        <f>IF($X188="","",INDEX(Import_Staging!$C$2:$C$301,$X188)&amp;"")</f>
        <v/>
      </c>
      <c r="D188" s="24" t="str">
        <f>IF($X188="","",INDEX(Import_Staging!$D$2:$D$301,$X188)&amp;"")</f>
        <v/>
      </c>
      <c r="E188" s="69" t="str">
        <f>IF($X188="","",INDEX(Import_Staging!$O$2:$O$301,$X188))</f>
        <v/>
      </c>
      <c r="F188" s="24" t="str">
        <f>IF($X188="","",INDEX(Import_Staging!$F$2:$F$301,$X188)&amp;"")</f>
        <v/>
      </c>
      <c r="G188" s="24" t="str">
        <f>IF($X188="","",INDEX(Import_Staging!$J$2:$J$301,$X188)&amp;"")</f>
        <v/>
      </c>
      <c r="H188" s="24" t="str">
        <f>IF($X188="","",INDEX(Import_Staging!$K$2:$K$301,$X188)&amp;"")</f>
        <v/>
      </c>
      <c r="I188" s="24" t="str">
        <f>IF($X188="","",INDEX(Import_Staging!$L$2:$L$301,$X188)&amp;"")</f>
        <v/>
      </c>
      <c r="J188" s="24" t="str">
        <f>IF($X188="","","3PL import")</f>
        <v/>
      </c>
      <c r="K188" s="24" t="str">
        <f>IF($X188="","",Config!$B$11)</f>
        <v/>
      </c>
      <c r="L188" s="24" t="str">
        <f>IF($X188="","","CSV row "&amp;($X188+1))</f>
        <v/>
      </c>
      <c r="N188" s="24" t="str">
        <f>IF($Y188="","",INDEX(Import_Staging!$F$2:$F$301,$Y188)&amp;"")</f>
        <v/>
      </c>
      <c r="O188" s="24" t="str">
        <f>IF($Y188="","",INDEX(Import_Staging!$D$2:$D$301,$Y188)&amp;"")</f>
        <v/>
      </c>
      <c r="P188" s="24" t="str">
        <f>IF($Y188="","",INDEX(Import_Staging!$E$2:$E$301,$Y188)&amp;"")</f>
        <v/>
      </c>
      <c r="Q188" s="27" t="n"/>
      <c r="R188" s="27" t="str">
        <f>IF($Y188="","",INDEX(Import_Staging!$N$2:$N$301,$Y188))</f>
        <v/>
      </c>
      <c r="S188" s="70" t="str">
        <f>IF($Y188="","",0)</f>
        <v/>
      </c>
      <c r="T188" s="24" t="str">
        <f>IF($Y188="","",INDEX(Import_Staging!$I$2:$I$301,$Y188)&amp;"")</f>
        <v/>
      </c>
      <c r="U188" s="24" t="n"/>
      <c r="V188" s="24" t="str">
        <f>IF($Y188="","","Received "&amp;TEXT(INDEX(Import_Staging!$M$2:$M$301,$Y188),"yyyy-mm-dd")&amp;" (CSV row "&amp;($Y188+1)&amp;")")</f>
        <v/>
      </c>
      <c r="X188" t="str">
        <f>IFERROR(MATCH(183,Import_Staging!$BT$2:$BT$301,0),"")</f>
        <v/>
      </c>
      <c r="Y188" t="str">
        <f>IFERROR(MATCH(183,Import_Staging!$BV$2:$BV$301,0),"")</f>
        <v/>
      </c>
    </row>
    <row r="189">
      <c r="A189" s="24" t="str">
        <f>IF($X189="","",INDEX(Import_Staging!$A$2:$A$301,$X189)&amp;"")</f>
        <v/>
      </c>
      <c r="B189" s="27" t="str">
        <f>IF($X189="","",INDEX(Import_Staging!$M$2:$M$301,$X189))</f>
        <v/>
      </c>
      <c r="C189" s="24" t="str">
        <f>IF($X189="","",INDEX(Import_Staging!$C$2:$C$301,$X189)&amp;"")</f>
        <v/>
      </c>
      <c r="D189" s="24" t="str">
        <f>IF($X189="","",INDEX(Import_Staging!$D$2:$D$301,$X189)&amp;"")</f>
        <v/>
      </c>
      <c r="E189" s="69" t="str">
        <f>IF($X189="","",INDEX(Import_Staging!$O$2:$O$301,$X189))</f>
        <v/>
      </c>
      <c r="F189" s="24" t="str">
        <f>IF($X189="","",INDEX(Import_Staging!$F$2:$F$301,$X189)&amp;"")</f>
        <v/>
      </c>
      <c r="G189" s="24" t="str">
        <f>IF($X189="","",INDEX(Import_Staging!$J$2:$J$301,$X189)&amp;"")</f>
        <v/>
      </c>
      <c r="H189" s="24" t="str">
        <f>IF($X189="","",INDEX(Import_Staging!$K$2:$K$301,$X189)&amp;"")</f>
        <v/>
      </c>
      <c r="I189" s="24" t="str">
        <f>IF($X189="","",INDEX(Import_Staging!$L$2:$L$301,$X189)&amp;"")</f>
        <v/>
      </c>
      <c r="J189" s="24" t="str">
        <f>IF($X189="","","3PL import")</f>
        <v/>
      </c>
      <c r="K189" s="24" t="str">
        <f>IF($X189="","",Config!$B$11)</f>
        <v/>
      </c>
      <c r="L189" s="24" t="str">
        <f>IF($X189="","","CSV row "&amp;($X189+1))</f>
        <v/>
      </c>
      <c r="N189" s="24" t="str">
        <f>IF($Y189="","",INDEX(Import_Staging!$F$2:$F$301,$Y189)&amp;"")</f>
        <v/>
      </c>
      <c r="O189" s="24" t="str">
        <f>IF($Y189="","",INDEX(Import_Staging!$D$2:$D$301,$Y189)&amp;"")</f>
        <v/>
      </c>
      <c r="P189" s="24" t="str">
        <f>IF($Y189="","",INDEX(Import_Staging!$E$2:$E$301,$Y189)&amp;"")</f>
        <v/>
      </c>
      <c r="Q189" s="27" t="n"/>
      <c r="R189" s="27" t="str">
        <f>IF($Y189="","",INDEX(Import_Staging!$N$2:$N$301,$Y189))</f>
        <v/>
      </c>
      <c r="S189" s="70" t="str">
        <f>IF($Y189="","",0)</f>
        <v/>
      </c>
      <c r="T189" s="24" t="str">
        <f>IF($Y189="","",INDEX(Import_Staging!$I$2:$I$301,$Y189)&amp;"")</f>
        <v/>
      </c>
      <c r="U189" s="24" t="n"/>
      <c r="V189" s="24" t="str">
        <f>IF($Y189="","","Received "&amp;TEXT(INDEX(Import_Staging!$M$2:$M$301,$Y189),"yyyy-mm-dd")&amp;" (CSV row "&amp;($Y189+1)&amp;")")</f>
        <v/>
      </c>
      <c r="X189" t="str">
        <f>IFERROR(MATCH(184,Import_Staging!$BT$2:$BT$301,0),"")</f>
        <v/>
      </c>
      <c r="Y189" t="str">
        <f>IFERROR(MATCH(184,Import_Staging!$BV$2:$BV$301,0),"")</f>
        <v/>
      </c>
    </row>
    <row r="190">
      <c r="A190" s="24" t="str">
        <f>IF($X190="","",INDEX(Import_Staging!$A$2:$A$301,$X190)&amp;"")</f>
        <v/>
      </c>
      <c r="B190" s="27" t="str">
        <f>IF($X190="","",INDEX(Import_Staging!$M$2:$M$301,$X190))</f>
        <v/>
      </c>
      <c r="C190" s="24" t="str">
        <f>IF($X190="","",INDEX(Import_Staging!$C$2:$C$301,$X190)&amp;"")</f>
        <v/>
      </c>
      <c r="D190" s="24" t="str">
        <f>IF($X190="","",INDEX(Import_Staging!$D$2:$D$301,$X190)&amp;"")</f>
        <v/>
      </c>
      <c r="E190" s="69" t="str">
        <f>IF($X190="","",INDEX(Import_Staging!$O$2:$O$301,$X190))</f>
        <v/>
      </c>
      <c r="F190" s="24" t="str">
        <f>IF($X190="","",INDEX(Import_Staging!$F$2:$F$301,$X190)&amp;"")</f>
        <v/>
      </c>
      <c r="G190" s="24" t="str">
        <f>IF($X190="","",INDEX(Import_Staging!$J$2:$J$301,$X190)&amp;"")</f>
        <v/>
      </c>
      <c r="H190" s="24" t="str">
        <f>IF($X190="","",INDEX(Import_Staging!$K$2:$K$301,$X190)&amp;"")</f>
        <v/>
      </c>
      <c r="I190" s="24" t="str">
        <f>IF($X190="","",INDEX(Import_Staging!$L$2:$L$301,$X190)&amp;"")</f>
        <v/>
      </c>
      <c r="J190" s="24" t="str">
        <f>IF($X190="","","3PL import")</f>
        <v/>
      </c>
      <c r="K190" s="24" t="str">
        <f>IF($X190="","",Config!$B$11)</f>
        <v/>
      </c>
      <c r="L190" s="24" t="str">
        <f>IF($X190="","","CSV row "&amp;($X190+1))</f>
        <v/>
      </c>
      <c r="N190" s="24" t="str">
        <f>IF($Y190="","",INDEX(Import_Staging!$F$2:$F$301,$Y190)&amp;"")</f>
        <v/>
      </c>
      <c r="O190" s="24" t="str">
        <f>IF($Y190="","",INDEX(Import_Staging!$D$2:$D$301,$Y190)&amp;"")</f>
        <v/>
      </c>
      <c r="P190" s="24" t="str">
        <f>IF($Y190="","",INDEX(Import_Staging!$E$2:$E$301,$Y190)&amp;"")</f>
        <v/>
      </c>
      <c r="Q190" s="27" t="n"/>
      <c r="R190" s="27" t="str">
        <f>IF($Y190="","",INDEX(Import_Staging!$N$2:$N$301,$Y190))</f>
        <v/>
      </c>
      <c r="S190" s="70" t="str">
        <f>IF($Y190="","",0)</f>
        <v/>
      </c>
      <c r="T190" s="24" t="str">
        <f>IF($Y190="","",INDEX(Import_Staging!$I$2:$I$301,$Y190)&amp;"")</f>
        <v/>
      </c>
      <c r="U190" s="24" t="n"/>
      <c r="V190" s="24" t="str">
        <f>IF($Y190="","","Received "&amp;TEXT(INDEX(Import_Staging!$M$2:$M$301,$Y190),"yyyy-mm-dd")&amp;" (CSV row "&amp;($Y190+1)&amp;")")</f>
        <v/>
      </c>
      <c r="X190" t="str">
        <f>IFERROR(MATCH(185,Import_Staging!$BT$2:$BT$301,0),"")</f>
        <v/>
      </c>
      <c r="Y190" t="str">
        <f>IFERROR(MATCH(185,Import_Staging!$BV$2:$BV$301,0),"")</f>
        <v/>
      </c>
    </row>
    <row r="191">
      <c r="A191" s="24" t="str">
        <f>IF($X191="","",INDEX(Import_Staging!$A$2:$A$301,$X191)&amp;"")</f>
        <v/>
      </c>
      <c r="B191" s="27" t="str">
        <f>IF($X191="","",INDEX(Import_Staging!$M$2:$M$301,$X191))</f>
        <v/>
      </c>
      <c r="C191" s="24" t="str">
        <f>IF($X191="","",INDEX(Import_Staging!$C$2:$C$301,$X191)&amp;"")</f>
        <v/>
      </c>
      <c r="D191" s="24" t="str">
        <f>IF($X191="","",INDEX(Import_Staging!$D$2:$D$301,$X191)&amp;"")</f>
        <v/>
      </c>
      <c r="E191" s="69" t="str">
        <f>IF($X191="","",INDEX(Import_Staging!$O$2:$O$301,$X191))</f>
        <v/>
      </c>
      <c r="F191" s="24" t="str">
        <f>IF($X191="","",INDEX(Import_Staging!$F$2:$F$301,$X191)&amp;"")</f>
        <v/>
      </c>
      <c r="G191" s="24" t="str">
        <f>IF($X191="","",INDEX(Import_Staging!$J$2:$J$301,$X191)&amp;"")</f>
        <v/>
      </c>
      <c r="H191" s="24" t="str">
        <f>IF($X191="","",INDEX(Import_Staging!$K$2:$K$301,$X191)&amp;"")</f>
        <v/>
      </c>
      <c r="I191" s="24" t="str">
        <f>IF($X191="","",INDEX(Import_Staging!$L$2:$L$301,$X191)&amp;"")</f>
        <v/>
      </c>
      <c r="J191" s="24" t="str">
        <f>IF($X191="","","3PL import")</f>
        <v/>
      </c>
      <c r="K191" s="24" t="str">
        <f>IF($X191="","",Config!$B$11)</f>
        <v/>
      </c>
      <c r="L191" s="24" t="str">
        <f>IF($X191="","","CSV row "&amp;($X191+1))</f>
        <v/>
      </c>
      <c r="N191" s="24" t="str">
        <f>IF($Y191="","",INDEX(Import_Staging!$F$2:$F$301,$Y191)&amp;"")</f>
        <v/>
      </c>
      <c r="O191" s="24" t="str">
        <f>IF($Y191="","",INDEX(Import_Staging!$D$2:$D$301,$Y191)&amp;"")</f>
        <v/>
      </c>
      <c r="P191" s="24" t="str">
        <f>IF($Y191="","",INDEX(Import_Staging!$E$2:$E$301,$Y191)&amp;"")</f>
        <v/>
      </c>
      <c r="Q191" s="27" t="n"/>
      <c r="R191" s="27" t="str">
        <f>IF($Y191="","",INDEX(Import_Staging!$N$2:$N$301,$Y191))</f>
        <v/>
      </c>
      <c r="S191" s="70" t="str">
        <f>IF($Y191="","",0)</f>
        <v/>
      </c>
      <c r="T191" s="24" t="str">
        <f>IF($Y191="","",INDEX(Import_Staging!$I$2:$I$301,$Y191)&amp;"")</f>
        <v/>
      </c>
      <c r="U191" s="24" t="n"/>
      <c r="V191" s="24" t="str">
        <f>IF($Y191="","","Received "&amp;TEXT(INDEX(Import_Staging!$M$2:$M$301,$Y191),"yyyy-mm-dd")&amp;" (CSV row "&amp;($Y191+1)&amp;")")</f>
        <v/>
      </c>
      <c r="X191" t="str">
        <f>IFERROR(MATCH(186,Import_Staging!$BT$2:$BT$301,0),"")</f>
        <v/>
      </c>
      <c r="Y191" t="str">
        <f>IFERROR(MATCH(186,Import_Staging!$BV$2:$BV$301,0),"")</f>
        <v/>
      </c>
    </row>
    <row r="192">
      <c r="A192" s="24" t="str">
        <f>IF($X192="","",INDEX(Import_Staging!$A$2:$A$301,$X192)&amp;"")</f>
        <v/>
      </c>
      <c r="B192" s="27" t="str">
        <f>IF($X192="","",INDEX(Import_Staging!$M$2:$M$301,$X192))</f>
        <v/>
      </c>
      <c r="C192" s="24" t="str">
        <f>IF($X192="","",INDEX(Import_Staging!$C$2:$C$301,$X192)&amp;"")</f>
        <v/>
      </c>
      <c r="D192" s="24" t="str">
        <f>IF($X192="","",INDEX(Import_Staging!$D$2:$D$301,$X192)&amp;"")</f>
        <v/>
      </c>
      <c r="E192" s="69" t="str">
        <f>IF($X192="","",INDEX(Import_Staging!$O$2:$O$301,$X192))</f>
        <v/>
      </c>
      <c r="F192" s="24" t="str">
        <f>IF($X192="","",INDEX(Import_Staging!$F$2:$F$301,$X192)&amp;"")</f>
        <v/>
      </c>
      <c r="G192" s="24" t="str">
        <f>IF($X192="","",INDEX(Import_Staging!$J$2:$J$301,$X192)&amp;"")</f>
        <v/>
      </c>
      <c r="H192" s="24" t="str">
        <f>IF($X192="","",INDEX(Import_Staging!$K$2:$K$301,$X192)&amp;"")</f>
        <v/>
      </c>
      <c r="I192" s="24" t="str">
        <f>IF($X192="","",INDEX(Import_Staging!$L$2:$L$301,$X192)&amp;"")</f>
        <v/>
      </c>
      <c r="J192" s="24" t="str">
        <f>IF($X192="","","3PL import")</f>
        <v/>
      </c>
      <c r="K192" s="24" t="str">
        <f>IF($X192="","",Config!$B$11)</f>
        <v/>
      </c>
      <c r="L192" s="24" t="str">
        <f>IF($X192="","","CSV row "&amp;($X192+1))</f>
        <v/>
      </c>
      <c r="N192" s="24" t="str">
        <f>IF($Y192="","",INDEX(Import_Staging!$F$2:$F$301,$Y192)&amp;"")</f>
        <v/>
      </c>
      <c r="O192" s="24" t="str">
        <f>IF($Y192="","",INDEX(Import_Staging!$D$2:$D$301,$Y192)&amp;"")</f>
        <v/>
      </c>
      <c r="P192" s="24" t="str">
        <f>IF($Y192="","",INDEX(Import_Staging!$E$2:$E$301,$Y192)&amp;"")</f>
        <v/>
      </c>
      <c r="Q192" s="27" t="n"/>
      <c r="R192" s="27" t="str">
        <f>IF($Y192="","",INDEX(Import_Staging!$N$2:$N$301,$Y192))</f>
        <v/>
      </c>
      <c r="S192" s="70" t="str">
        <f>IF($Y192="","",0)</f>
        <v/>
      </c>
      <c r="T192" s="24" t="str">
        <f>IF($Y192="","",INDEX(Import_Staging!$I$2:$I$301,$Y192)&amp;"")</f>
        <v/>
      </c>
      <c r="U192" s="24" t="n"/>
      <c r="V192" s="24" t="str">
        <f>IF($Y192="","","Received "&amp;TEXT(INDEX(Import_Staging!$M$2:$M$301,$Y192),"yyyy-mm-dd")&amp;" (CSV row "&amp;($Y192+1)&amp;")")</f>
        <v/>
      </c>
      <c r="X192" t="str">
        <f>IFERROR(MATCH(187,Import_Staging!$BT$2:$BT$301,0),"")</f>
        <v/>
      </c>
      <c r="Y192" t="str">
        <f>IFERROR(MATCH(187,Import_Staging!$BV$2:$BV$301,0),"")</f>
        <v/>
      </c>
    </row>
    <row r="193">
      <c r="A193" s="24" t="str">
        <f>IF($X193="","",INDEX(Import_Staging!$A$2:$A$301,$X193)&amp;"")</f>
        <v/>
      </c>
      <c r="B193" s="27" t="str">
        <f>IF($X193="","",INDEX(Import_Staging!$M$2:$M$301,$X193))</f>
        <v/>
      </c>
      <c r="C193" s="24" t="str">
        <f>IF($X193="","",INDEX(Import_Staging!$C$2:$C$301,$X193)&amp;"")</f>
        <v/>
      </c>
      <c r="D193" s="24" t="str">
        <f>IF($X193="","",INDEX(Import_Staging!$D$2:$D$301,$X193)&amp;"")</f>
        <v/>
      </c>
      <c r="E193" s="69" t="str">
        <f>IF($X193="","",INDEX(Import_Staging!$O$2:$O$301,$X193))</f>
        <v/>
      </c>
      <c r="F193" s="24" t="str">
        <f>IF($X193="","",INDEX(Import_Staging!$F$2:$F$301,$X193)&amp;"")</f>
        <v/>
      </c>
      <c r="G193" s="24" t="str">
        <f>IF($X193="","",INDEX(Import_Staging!$J$2:$J$301,$X193)&amp;"")</f>
        <v/>
      </c>
      <c r="H193" s="24" t="str">
        <f>IF($X193="","",INDEX(Import_Staging!$K$2:$K$301,$X193)&amp;"")</f>
        <v/>
      </c>
      <c r="I193" s="24" t="str">
        <f>IF($X193="","",INDEX(Import_Staging!$L$2:$L$301,$X193)&amp;"")</f>
        <v/>
      </c>
      <c r="J193" s="24" t="str">
        <f>IF($X193="","","3PL import")</f>
        <v/>
      </c>
      <c r="K193" s="24" t="str">
        <f>IF($X193="","",Config!$B$11)</f>
        <v/>
      </c>
      <c r="L193" s="24" t="str">
        <f>IF($X193="","","CSV row "&amp;($X193+1))</f>
        <v/>
      </c>
      <c r="N193" s="24" t="str">
        <f>IF($Y193="","",INDEX(Import_Staging!$F$2:$F$301,$Y193)&amp;"")</f>
        <v/>
      </c>
      <c r="O193" s="24" t="str">
        <f>IF($Y193="","",INDEX(Import_Staging!$D$2:$D$301,$Y193)&amp;"")</f>
        <v/>
      </c>
      <c r="P193" s="24" t="str">
        <f>IF($Y193="","",INDEX(Import_Staging!$E$2:$E$301,$Y193)&amp;"")</f>
        <v/>
      </c>
      <c r="Q193" s="27" t="n"/>
      <c r="R193" s="27" t="str">
        <f>IF($Y193="","",INDEX(Import_Staging!$N$2:$N$301,$Y193))</f>
        <v/>
      </c>
      <c r="S193" s="70" t="str">
        <f>IF($Y193="","",0)</f>
        <v/>
      </c>
      <c r="T193" s="24" t="str">
        <f>IF($Y193="","",INDEX(Import_Staging!$I$2:$I$301,$Y193)&amp;"")</f>
        <v/>
      </c>
      <c r="U193" s="24" t="n"/>
      <c r="V193" s="24" t="str">
        <f>IF($Y193="","","Received "&amp;TEXT(INDEX(Import_Staging!$M$2:$M$301,$Y193),"yyyy-mm-dd")&amp;" (CSV row "&amp;($Y193+1)&amp;")")</f>
        <v/>
      </c>
      <c r="X193" t="str">
        <f>IFERROR(MATCH(188,Import_Staging!$BT$2:$BT$301,0),"")</f>
        <v/>
      </c>
      <c r="Y193" t="str">
        <f>IFERROR(MATCH(188,Import_Staging!$BV$2:$BV$301,0),"")</f>
        <v/>
      </c>
    </row>
    <row r="194">
      <c r="A194" s="24" t="str">
        <f>IF($X194="","",INDEX(Import_Staging!$A$2:$A$301,$X194)&amp;"")</f>
        <v/>
      </c>
      <c r="B194" s="27" t="str">
        <f>IF($X194="","",INDEX(Import_Staging!$M$2:$M$301,$X194))</f>
        <v/>
      </c>
      <c r="C194" s="24" t="str">
        <f>IF($X194="","",INDEX(Import_Staging!$C$2:$C$301,$X194)&amp;"")</f>
        <v/>
      </c>
      <c r="D194" s="24" t="str">
        <f>IF($X194="","",INDEX(Import_Staging!$D$2:$D$301,$X194)&amp;"")</f>
        <v/>
      </c>
      <c r="E194" s="69" t="str">
        <f>IF($X194="","",INDEX(Import_Staging!$O$2:$O$301,$X194))</f>
        <v/>
      </c>
      <c r="F194" s="24" t="str">
        <f>IF($X194="","",INDEX(Import_Staging!$F$2:$F$301,$X194)&amp;"")</f>
        <v/>
      </c>
      <c r="G194" s="24" t="str">
        <f>IF($X194="","",INDEX(Import_Staging!$J$2:$J$301,$X194)&amp;"")</f>
        <v/>
      </c>
      <c r="H194" s="24" t="str">
        <f>IF($X194="","",INDEX(Import_Staging!$K$2:$K$301,$X194)&amp;"")</f>
        <v/>
      </c>
      <c r="I194" s="24" t="str">
        <f>IF($X194="","",INDEX(Import_Staging!$L$2:$L$301,$X194)&amp;"")</f>
        <v/>
      </c>
      <c r="J194" s="24" t="str">
        <f>IF($X194="","","3PL import")</f>
        <v/>
      </c>
      <c r="K194" s="24" t="str">
        <f>IF($X194="","",Config!$B$11)</f>
        <v/>
      </c>
      <c r="L194" s="24" t="str">
        <f>IF($X194="","","CSV row "&amp;($X194+1))</f>
        <v/>
      </c>
      <c r="N194" s="24" t="str">
        <f>IF($Y194="","",INDEX(Import_Staging!$F$2:$F$301,$Y194)&amp;"")</f>
        <v/>
      </c>
      <c r="O194" s="24" t="str">
        <f>IF($Y194="","",INDEX(Import_Staging!$D$2:$D$301,$Y194)&amp;"")</f>
        <v/>
      </c>
      <c r="P194" s="24" t="str">
        <f>IF($Y194="","",INDEX(Import_Staging!$E$2:$E$301,$Y194)&amp;"")</f>
        <v/>
      </c>
      <c r="Q194" s="27" t="n"/>
      <c r="R194" s="27" t="str">
        <f>IF($Y194="","",INDEX(Import_Staging!$N$2:$N$301,$Y194))</f>
        <v/>
      </c>
      <c r="S194" s="70" t="str">
        <f>IF($Y194="","",0)</f>
        <v/>
      </c>
      <c r="T194" s="24" t="str">
        <f>IF($Y194="","",INDEX(Import_Staging!$I$2:$I$301,$Y194)&amp;"")</f>
        <v/>
      </c>
      <c r="U194" s="24" t="n"/>
      <c r="V194" s="24" t="str">
        <f>IF($Y194="","","Received "&amp;TEXT(INDEX(Import_Staging!$M$2:$M$301,$Y194),"yyyy-mm-dd")&amp;" (CSV row "&amp;($Y194+1)&amp;")")</f>
        <v/>
      </c>
      <c r="X194" t="str">
        <f>IFERROR(MATCH(189,Import_Staging!$BT$2:$BT$301,0),"")</f>
        <v/>
      </c>
      <c r="Y194" t="str">
        <f>IFERROR(MATCH(189,Import_Staging!$BV$2:$BV$301,0),"")</f>
        <v/>
      </c>
    </row>
    <row r="195">
      <c r="A195" s="24" t="str">
        <f>IF($X195="","",INDEX(Import_Staging!$A$2:$A$301,$X195)&amp;"")</f>
        <v/>
      </c>
      <c r="B195" s="27" t="str">
        <f>IF($X195="","",INDEX(Import_Staging!$M$2:$M$301,$X195))</f>
        <v/>
      </c>
      <c r="C195" s="24" t="str">
        <f>IF($X195="","",INDEX(Import_Staging!$C$2:$C$301,$X195)&amp;"")</f>
        <v/>
      </c>
      <c r="D195" s="24" t="str">
        <f>IF($X195="","",INDEX(Import_Staging!$D$2:$D$301,$X195)&amp;"")</f>
        <v/>
      </c>
      <c r="E195" s="69" t="str">
        <f>IF($X195="","",INDEX(Import_Staging!$O$2:$O$301,$X195))</f>
        <v/>
      </c>
      <c r="F195" s="24" t="str">
        <f>IF($X195="","",INDEX(Import_Staging!$F$2:$F$301,$X195)&amp;"")</f>
        <v/>
      </c>
      <c r="G195" s="24" t="str">
        <f>IF($X195="","",INDEX(Import_Staging!$J$2:$J$301,$X195)&amp;"")</f>
        <v/>
      </c>
      <c r="H195" s="24" t="str">
        <f>IF($X195="","",INDEX(Import_Staging!$K$2:$K$301,$X195)&amp;"")</f>
        <v/>
      </c>
      <c r="I195" s="24" t="str">
        <f>IF($X195="","",INDEX(Import_Staging!$L$2:$L$301,$X195)&amp;"")</f>
        <v/>
      </c>
      <c r="J195" s="24" t="str">
        <f>IF($X195="","","3PL import")</f>
        <v/>
      </c>
      <c r="K195" s="24" t="str">
        <f>IF($X195="","",Config!$B$11)</f>
        <v/>
      </c>
      <c r="L195" s="24" t="str">
        <f>IF($X195="","","CSV row "&amp;($X195+1))</f>
        <v/>
      </c>
      <c r="N195" s="24" t="str">
        <f>IF($Y195="","",INDEX(Import_Staging!$F$2:$F$301,$Y195)&amp;"")</f>
        <v/>
      </c>
      <c r="O195" s="24" t="str">
        <f>IF($Y195="","",INDEX(Import_Staging!$D$2:$D$301,$Y195)&amp;"")</f>
        <v/>
      </c>
      <c r="P195" s="24" t="str">
        <f>IF($Y195="","",INDEX(Import_Staging!$E$2:$E$301,$Y195)&amp;"")</f>
        <v/>
      </c>
      <c r="Q195" s="27" t="n"/>
      <c r="R195" s="27" t="str">
        <f>IF($Y195="","",INDEX(Import_Staging!$N$2:$N$301,$Y195))</f>
        <v/>
      </c>
      <c r="S195" s="70" t="str">
        <f>IF($Y195="","",0)</f>
        <v/>
      </c>
      <c r="T195" s="24" t="str">
        <f>IF($Y195="","",INDEX(Import_Staging!$I$2:$I$301,$Y195)&amp;"")</f>
        <v/>
      </c>
      <c r="U195" s="24" t="n"/>
      <c r="V195" s="24" t="str">
        <f>IF($Y195="","","Received "&amp;TEXT(INDEX(Import_Staging!$M$2:$M$301,$Y195),"yyyy-mm-dd")&amp;" (CSV row "&amp;($Y195+1)&amp;")")</f>
        <v/>
      </c>
      <c r="X195" t="str">
        <f>IFERROR(MATCH(190,Import_Staging!$BT$2:$BT$301,0),"")</f>
        <v/>
      </c>
      <c r="Y195" t="str">
        <f>IFERROR(MATCH(190,Import_Staging!$BV$2:$BV$301,0),"")</f>
        <v/>
      </c>
    </row>
    <row r="196">
      <c r="A196" s="24" t="str">
        <f>IF($X196="","",INDEX(Import_Staging!$A$2:$A$301,$X196)&amp;"")</f>
        <v/>
      </c>
      <c r="B196" s="27" t="str">
        <f>IF($X196="","",INDEX(Import_Staging!$M$2:$M$301,$X196))</f>
        <v/>
      </c>
      <c r="C196" s="24" t="str">
        <f>IF($X196="","",INDEX(Import_Staging!$C$2:$C$301,$X196)&amp;"")</f>
        <v/>
      </c>
      <c r="D196" s="24" t="str">
        <f>IF($X196="","",INDEX(Import_Staging!$D$2:$D$301,$X196)&amp;"")</f>
        <v/>
      </c>
      <c r="E196" s="69" t="str">
        <f>IF($X196="","",INDEX(Import_Staging!$O$2:$O$301,$X196))</f>
        <v/>
      </c>
      <c r="F196" s="24" t="str">
        <f>IF($X196="","",INDEX(Import_Staging!$F$2:$F$301,$X196)&amp;"")</f>
        <v/>
      </c>
      <c r="G196" s="24" t="str">
        <f>IF($X196="","",INDEX(Import_Staging!$J$2:$J$301,$X196)&amp;"")</f>
        <v/>
      </c>
      <c r="H196" s="24" t="str">
        <f>IF($X196="","",INDEX(Import_Staging!$K$2:$K$301,$X196)&amp;"")</f>
        <v/>
      </c>
      <c r="I196" s="24" t="str">
        <f>IF($X196="","",INDEX(Import_Staging!$L$2:$L$301,$X196)&amp;"")</f>
        <v/>
      </c>
      <c r="J196" s="24" t="str">
        <f>IF($X196="","","3PL import")</f>
        <v/>
      </c>
      <c r="K196" s="24" t="str">
        <f>IF($X196="","",Config!$B$11)</f>
        <v/>
      </c>
      <c r="L196" s="24" t="str">
        <f>IF($X196="","","CSV row "&amp;($X196+1))</f>
        <v/>
      </c>
      <c r="N196" s="24" t="str">
        <f>IF($Y196="","",INDEX(Import_Staging!$F$2:$F$301,$Y196)&amp;"")</f>
        <v/>
      </c>
      <c r="O196" s="24" t="str">
        <f>IF($Y196="","",INDEX(Import_Staging!$D$2:$D$301,$Y196)&amp;"")</f>
        <v/>
      </c>
      <c r="P196" s="24" t="str">
        <f>IF($Y196="","",INDEX(Import_Staging!$E$2:$E$301,$Y196)&amp;"")</f>
        <v/>
      </c>
      <c r="Q196" s="27" t="n"/>
      <c r="R196" s="27" t="str">
        <f>IF($Y196="","",INDEX(Import_Staging!$N$2:$N$301,$Y196))</f>
        <v/>
      </c>
      <c r="S196" s="70" t="str">
        <f>IF($Y196="","",0)</f>
        <v/>
      </c>
      <c r="T196" s="24" t="str">
        <f>IF($Y196="","",INDEX(Import_Staging!$I$2:$I$301,$Y196)&amp;"")</f>
        <v/>
      </c>
      <c r="U196" s="24" t="n"/>
      <c r="V196" s="24" t="str">
        <f>IF($Y196="","","Received "&amp;TEXT(INDEX(Import_Staging!$M$2:$M$301,$Y196),"yyyy-mm-dd")&amp;" (CSV row "&amp;($Y196+1)&amp;")")</f>
        <v/>
      </c>
      <c r="X196" t="str">
        <f>IFERROR(MATCH(191,Import_Staging!$BT$2:$BT$301,0),"")</f>
        <v/>
      </c>
      <c r="Y196" t="str">
        <f>IFERROR(MATCH(191,Import_Staging!$BV$2:$BV$301,0),"")</f>
        <v/>
      </c>
    </row>
    <row r="197">
      <c r="A197" s="24" t="str">
        <f>IF($X197="","",INDEX(Import_Staging!$A$2:$A$301,$X197)&amp;"")</f>
        <v/>
      </c>
      <c r="B197" s="27" t="str">
        <f>IF($X197="","",INDEX(Import_Staging!$M$2:$M$301,$X197))</f>
        <v/>
      </c>
      <c r="C197" s="24" t="str">
        <f>IF($X197="","",INDEX(Import_Staging!$C$2:$C$301,$X197)&amp;"")</f>
        <v/>
      </c>
      <c r="D197" s="24" t="str">
        <f>IF($X197="","",INDEX(Import_Staging!$D$2:$D$301,$X197)&amp;"")</f>
        <v/>
      </c>
      <c r="E197" s="69" t="str">
        <f>IF($X197="","",INDEX(Import_Staging!$O$2:$O$301,$X197))</f>
        <v/>
      </c>
      <c r="F197" s="24" t="str">
        <f>IF($X197="","",INDEX(Import_Staging!$F$2:$F$301,$X197)&amp;"")</f>
        <v/>
      </c>
      <c r="G197" s="24" t="str">
        <f>IF($X197="","",INDEX(Import_Staging!$J$2:$J$301,$X197)&amp;"")</f>
        <v/>
      </c>
      <c r="H197" s="24" t="str">
        <f>IF($X197="","",INDEX(Import_Staging!$K$2:$K$301,$X197)&amp;"")</f>
        <v/>
      </c>
      <c r="I197" s="24" t="str">
        <f>IF($X197="","",INDEX(Import_Staging!$L$2:$L$301,$X197)&amp;"")</f>
        <v/>
      </c>
      <c r="J197" s="24" t="str">
        <f>IF($X197="","","3PL import")</f>
        <v/>
      </c>
      <c r="K197" s="24" t="str">
        <f>IF($X197="","",Config!$B$11)</f>
        <v/>
      </c>
      <c r="L197" s="24" t="str">
        <f>IF($X197="","","CSV row "&amp;($X197+1))</f>
        <v/>
      </c>
      <c r="N197" s="24" t="str">
        <f>IF($Y197="","",INDEX(Import_Staging!$F$2:$F$301,$Y197)&amp;"")</f>
        <v/>
      </c>
      <c r="O197" s="24" t="str">
        <f>IF($Y197="","",INDEX(Import_Staging!$D$2:$D$301,$Y197)&amp;"")</f>
        <v/>
      </c>
      <c r="P197" s="24" t="str">
        <f>IF($Y197="","",INDEX(Import_Staging!$E$2:$E$301,$Y197)&amp;"")</f>
        <v/>
      </c>
      <c r="Q197" s="27" t="n"/>
      <c r="R197" s="27" t="str">
        <f>IF($Y197="","",INDEX(Import_Staging!$N$2:$N$301,$Y197))</f>
        <v/>
      </c>
      <c r="S197" s="70" t="str">
        <f>IF($Y197="","",0)</f>
        <v/>
      </c>
      <c r="T197" s="24" t="str">
        <f>IF($Y197="","",INDEX(Import_Staging!$I$2:$I$301,$Y197)&amp;"")</f>
        <v/>
      </c>
      <c r="U197" s="24" t="n"/>
      <c r="V197" s="24" t="str">
        <f>IF($Y197="","","Received "&amp;TEXT(INDEX(Import_Staging!$M$2:$M$301,$Y197),"yyyy-mm-dd")&amp;" (CSV row "&amp;($Y197+1)&amp;")")</f>
        <v/>
      </c>
      <c r="X197" t="str">
        <f>IFERROR(MATCH(192,Import_Staging!$BT$2:$BT$301,0),"")</f>
        <v/>
      </c>
      <c r="Y197" t="str">
        <f>IFERROR(MATCH(192,Import_Staging!$BV$2:$BV$301,0),"")</f>
        <v/>
      </c>
    </row>
    <row r="198">
      <c r="A198" s="24" t="str">
        <f>IF($X198="","",INDEX(Import_Staging!$A$2:$A$301,$X198)&amp;"")</f>
        <v/>
      </c>
      <c r="B198" s="27" t="str">
        <f>IF($X198="","",INDEX(Import_Staging!$M$2:$M$301,$X198))</f>
        <v/>
      </c>
      <c r="C198" s="24" t="str">
        <f>IF($X198="","",INDEX(Import_Staging!$C$2:$C$301,$X198)&amp;"")</f>
        <v/>
      </c>
      <c r="D198" s="24" t="str">
        <f>IF($X198="","",INDEX(Import_Staging!$D$2:$D$301,$X198)&amp;"")</f>
        <v/>
      </c>
      <c r="E198" s="69" t="str">
        <f>IF($X198="","",INDEX(Import_Staging!$O$2:$O$301,$X198))</f>
        <v/>
      </c>
      <c r="F198" s="24" t="str">
        <f>IF($X198="","",INDEX(Import_Staging!$F$2:$F$301,$X198)&amp;"")</f>
        <v/>
      </c>
      <c r="G198" s="24" t="str">
        <f>IF($X198="","",INDEX(Import_Staging!$J$2:$J$301,$X198)&amp;"")</f>
        <v/>
      </c>
      <c r="H198" s="24" t="str">
        <f>IF($X198="","",INDEX(Import_Staging!$K$2:$K$301,$X198)&amp;"")</f>
        <v/>
      </c>
      <c r="I198" s="24" t="str">
        <f>IF($X198="","",INDEX(Import_Staging!$L$2:$L$301,$X198)&amp;"")</f>
        <v/>
      </c>
      <c r="J198" s="24" t="str">
        <f>IF($X198="","","3PL import")</f>
        <v/>
      </c>
      <c r="K198" s="24" t="str">
        <f>IF($X198="","",Config!$B$11)</f>
        <v/>
      </c>
      <c r="L198" s="24" t="str">
        <f>IF($X198="","","CSV row "&amp;($X198+1))</f>
        <v/>
      </c>
      <c r="N198" s="24" t="str">
        <f>IF($Y198="","",INDEX(Import_Staging!$F$2:$F$301,$Y198)&amp;"")</f>
        <v/>
      </c>
      <c r="O198" s="24" t="str">
        <f>IF($Y198="","",INDEX(Import_Staging!$D$2:$D$301,$Y198)&amp;"")</f>
        <v/>
      </c>
      <c r="P198" s="24" t="str">
        <f>IF($Y198="","",INDEX(Import_Staging!$E$2:$E$301,$Y198)&amp;"")</f>
        <v/>
      </c>
      <c r="Q198" s="27" t="n"/>
      <c r="R198" s="27" t="str">
        <f>IF($Y198="","",INDEX(Import_Staging!$N$2:$N$301,$Y198))</f>
        <v/>
      </c>
      <c r="S198" s="70" t="str">
        <f>IF($Y198="","",0)</f>
        <v/>
      </c>
      <c r="T198" s="24" t="str">
        <f>IF($Y198="","",INDEX(Import_Staging!$I$2:$I$301,$Y198)&amp;"")</f>
        <v/>
      </c>
      <c r="U198" s="24" t="n"/>
      <c r="V198" s="24" t="str">
        <f>IF($Y198="","","Received "&amp;TEXT(INDEX(Import_Staging!$M$2:$M$301,$Y198),"yyyy-mm-dd")&amp;" (CSV row "&amp;($Y198+1)&amp;")")</f>
        <v/>
      </c>
      <c r="X198" t="str">
        <f>IFERROR(MATCH(193,Import_Staging!$BT$2:$BT$301,0),"")</f>
        <v/>
      </c>
      <c r="Y198" t="str">
        <f>IFERROR(MATCH(193,Import_Staging!$BV$2:$BV$301,0),"")</f>
        <v/>
      </c>
    </row>
    <row r="199">
      <c r="A199" s="24" t="str">
        <f>IF($X199="","",INDEX(Import_Staging!$A$2:$A$301,$X199)&amp;"")</f>
        <v/>
      </c>
      <c r="B199" s="27" t="str">
        <f>IF($X199="","",INDEX(Import_Staging!$M$2:$M$301,$X199))</f>
        <v/>
      </c>
      <c r="C199" s="24" t="str">
        <f>IF($X199="","",INDEX(Import_Staging!$C$2:$C$301,$X199)&amp;"")</f>
        <v/>
      </c>
      <c r="D199" s="24" t="str">
        <f>IF($X199="","",INDEX(Import_Staging!$D$2:$D$301,$X199)&amp;"")</f>
        <v/>
      </c>
      <c r="E199" s="69" t="str">
        <f>IF($X199="","",INDEX(Import_Staging!$O$2:$O$301,$X199))</f>
        <v/>
      </c>
      <c r="F199" s="24" t="str">
        <f>IF($X199="","",INDEX(Import_Staging!$F$2:$F$301,$X199)&amp;"")</f>
        <v/>
      </c>
      <c r="G199" s="24" t="str">
        <f>IF($X199="","",INDEX(Import_Staging!$J$2:$J$301,$X199)&amp;"")</f>
        <v/>
      </c>
      <c r="H199" s="24" t="str">
        <f>IF($X199="","",INDEX(Import_Staging!$K$2:$K$301,$X199)&amp;"")</f>
        <v/>
      </c>
      <c r="I199" s="24" t="str">
        <f>IF($X199="","",INDEX(Import_Staging!$L$2:$L$301,$X199)&amp;"")</f>
        <v/>
      </c>
      <c r="J199" s="24" t="str">
        <f>IF($X199="","","3PL import")</f>
        <v/>
      </c>
      <c r="K199" s="24" t="str">
        <f>IF($X199="","",Config!$B$11)</f>
        <v/>
      </c>
      <c r="L199" s="24" t="str">
        <f>IF($X199="","","CSV row "&amp;($X199+1))</f>
        <v/>
      </c>
      <c r="N199" s="24" t="str">
        <f>IF($Y199="","",INDEX(Import_Staging!$F$2:$F$301,$Y199)&amp;"")</f>
        <v/>
      </c>
      <c r="O199" s="24" t="str">
        <f>IF($Y199="","",INDEX(Import_Staging!$D$2:$D$301,$Y199)&amp;"")</f>
        <v/>
      </c>
      <c r="P199" s="24" t="str">
        <f>IF($Y199="","",INDEX(Import_Staging!$E$2:$E$301,$Y199)&amp;"")</f>
        <v/>
      </c>
      <c r="Q199" s="27" t="n"/>
      <c r="R199" s="27" t="str">
        <f>IF($Y199="","",INDEX(Import_Staging!$N$2:$N$301,$Y199))</f>
        <v/>
      </c>
      <c r="S199" s="70" t="str">
        <f>IF($Y199="","",0)</f>
        <v/>
      </c>
      <c r="T199" s="24" t="str">
        <f>IF($Y199="","",INDEX(Import_Staging!$I$2:$I$301,$Y199)&amp;"")</f>
        <v/>
      </c>
      <c r="U199" s="24" t="n"/>
      <c r="V199" s="24" t="str">
        <f>IF($Y199="","","Received "&amp;TEXT(INDEX(Import_Staging!$M$2:$M$301,$Y199),"yyyy-mm-dd")&amp;" (CSV row "&amp;($Y199+1)&amp;")")</f>
        <v/>
      </c>
      <c r="X199" t="str">
        <f>IFERROR(MATCH(194,Import_Staging!$BT$2:$BT$301,0),"")</f>
        <v/>
      </c>
      <c r="Y199" t="str">
        <f>IFERROR(MATCH(194,Import_Staging!$BV$2:$BV$301,0),"")</f>
        <v/>
      </c>
    </row>
    <row r="200">
      <c r="A200" s="24" t="str">
        <f>IF($X200="","",INDEX(Import_Staging!$A$2:$A$301,$X200)&amp;"")</f>
        <v/>
      </c>
      <c r="B200" s="27" t="str">
        <f>IF($X200="","",INDEX(Import_Staging!$M$2:$M$301,$X200))</f>
        <v/>
      </c>
      <c r="C200" s="24" t="str">
        <f>IF($X200="","",INDEX(Import_Staging!$C$2:$C$301,$X200)&amp;"")</f>
        <v/>
      </c>
      <c r="D200" s="24" t="str">
        <f>IF($X200="","",INDEX(Import_Staging!$D$2:$D$301,$X200)&amp;"")</f>
        <v/>
      </c>
      <c r="E200" s="69" t="str">
        <f>IF($X200="","",INDEX(Import_Staging!$O$2:$O$301,$X200))</f>
        <v/>
      </c>
      <c r="F200" s="24" t="str">
        <f>IF($X200="","",INDEX(Import_Staging!$F$2:$F$301,$X200)&amp;"")</f>
        <v/>
      </c>
      <c r="G200" s="24" t="str">
        <f>IF($X200="","",INDEX(Import_Staging!$J$2:$J$301,$X200)&amp;"")</f>
        <v/>
      </c>
      <c r="H200" s="24" t="str">
        <f>IF($X200="","",INDEX(Import_Staging!$K$2:$K$301,$X200)&amp;"")</f>
        <v/>
      </c>
      <c r="I200" s="24" t="str">
        <f>IF($X200="","",INDEX(Import_Staging!$L$2:$L$301,$X200)&amp;"")</f>
        <v/>
      </c>
      <c r="J200" s="24" t="str">
        <f>IF($X200="","","3PL import")</f>
        <v/>
      </c>
      <c r="K200" s="24" t="str">
        <f>IF($X200="","",Config!$B$11)</f>
        <v/>
      </c>
      <c r="L200" s="24" t="str">
        <f>IF($X200="","","CSV row "&amp;($X200+1))</f>
        <v/>
      </c>
      <c r="N200" s="24" t="str">
        <f>IF($Y200="","",INDEX(Import_Staging!$F$2:$F$301,$Y200)&amp;"")</f>
        <v/>
      </c>
      <c r="O200" s="24" t="str">
        <f>IF($Y200="","",INDEX(Import_Staging!$D$2:$D$301,$Y200)&amp;"")</f>
        <v/>
      </c>
      <c r="P200" s="24" t="str">
        <f>IF($Y200="","",INDEX(Import_Staging!$E$2:$E$301,$Y200)&amp;"")</f>
        <v/>
      </c>
      <c r="Q200" s="27" t="n"/>
      <c r="R200" s="27" t="str">
        <f>IF($Y200="","",INDEX(Import_Staging!$N$2:$N$301,$Y200))</f>
        <v/>
      </c>
      <c r="S200" s="70" t="str">
        <f>IF($Y200="","",0)</f>
        <v/>
      </c>
      <c r="T200" s="24" t="str">
        <f>IF($Y200="","",INDEX(Import_Staging!$I$2:$I$301,$Y200)&amp;"")</f>
        <v/>
      </c>
      <c r="U200" s="24" t="n"/>
      <c r="V200" s="24" t="str">
        <f>IF($Y200="","","Received "&amp;TEXT(INDEX(Import_Staging!$M$2:$M$301,$Y200),"yyyy-mm-dd")&amp;" (CSV row "&amp;($Y200+1)&amp;")")</f>
        <v/>
      </c>
      <c r="X200" t="str">
        <f>IFERROR(MATCH(195,Import_Staging!$BT$2:$BT$301,0),"")</f>
        <v/>
      </c>
      <c r="Y200" t="str">
        <f>IFERROR(MATCH(195,Import_Staging!$BV$2:$BV$301,0),"")</f>
        <v/>
      </c>
    </row>
    <row r="201">
      <c r="A201" s="24" t="str">
        <f>IF($X201="","",INDEX(Import_Staging!$A$2:$A$301,$X201)&amp;"")</f>
        <v/>
      </c>
      <c r="B201" s="27" t="str">
        <f>IF($X201="","",INDEX(Import_Staging!$M$2:$M$301,$X201))</f>
        <v/>
      </c>
      <c r="C201" s="24" t="str">
        <f>IF($X201="","",INDEX(Import_Staging!$C$2:$C$301,$X201)&amp;"")</f>
        <v/>
      </c>
      <c r="D201" s="24" t="str">
        <f>IF($X201="","",INDEX(Import_Staging!$D$2:$D$301,$X201)&amp;"")</f>
        <v/>
      </c>
      <c r="E201" s="69" t="str">
        <f>IF($X201="","",INDEX(Import_Staging!$O$2:$O$301,$X201))</f>
        <v/>
      </c>
      <c r="F201" s="24" t="str">
        <f>IF($X201="","",INDEX(Import_Staging!$F$2:$F$301,$X201)&amp;"")</f>
        <v/>
      </c>
      <c r="G201" s="24" t="str">
        <f>IF($X201="","",INDEX(Import_Staging!$J$2:$J$301,$X201)&amp;"")</f>
        <v/>
      </c>
      <c r="H201" s="24" t="str">
        <f>IF($X201="","",INDEX(Import_Staging!$K$2:$K$301,$X201)&amp;"")</f>
        <v/>
      </c>
      <c r="I201" s="24" t="str">
        <f>IF($X201="","",INDEX(Import_Staging!$L$2:$L$301,$X201)&amp;"")</f>
        <v/>
      </c>
      <c r="J201" s="24" t="str">
        <f>IF($X201="","","3PL import")</f>
        <v/>
      </c>
      <c r="K201" s="24" t="str">
        <f>IF($X201="","",Config!$B$11)</f>
        <v/>
      </c>
      <c r="L201" s="24" t="str">
        <f>IF($X201="","","CSV row "&amp;($X201+1))</f>
        <v/>
      </c>
      <c r="N201" s="24" t="str">
        <f>IF($Y201="","",INDEX(Import_Staging!$F$2:$F$301,$Y201)&amp;"")</f>
        <v/>
      </c>
      <c r="O201" s="24" t="str">
        <f>IF($Y201="","",INDEX(Import_Staging!$D$2:$D$301,$Y201)&amp;"")</f>
        <v/>
      </c>
      <c r="P201" s="24" t="str">
        <f>IF($Y201="","",INDEX(Import_Staging!$E$2:$E$301,$Y201)&amp;"")</f>
        <v/>
      </c>
      <c r="Q201" s="27" t="n"/>
      <c r="R201" s="27" t="str">
        <f>IF($Y201="","",INDEX(Import_Staging!$N$2:$N$301,$Y201))</f>
        <v/>
      </c>
      <c r="S201" s="70" t="str">
        <f>IF($Y201="","",0)</f>
        <v/>
      </c>
      <c r="T201" s="24" t="str">
        <f>IF($Y201="","",INDEX(Import_Staging!$I$2:$I$301,$Y201)&amp;"")</f>
        <v/>
      </c>
      <c r="U201" s="24" t="n"/>
      <c r="V201" s="24" t="str">
        <f>IF($Y201="","","Received "&amp;TEXT(INDEX(Import_Staging!$M$2:$M$301,$Y201),"yyyy-mm-dd")&amp;" (CSV row "&amp;($Y201+1)&amp;")")</f>
        <v/>
      </c>
      <c r="X201" t="str">
        <f>IFERROR(MATCH(196,Import_Staging!$BT$2:$BT$301,0),"")</f>
        <v/>
      </c>
      <c r="Y201" t="str">
        <f>IFERROR(MATCH(196,Import_Staging!$BV$2:$BV$301,0),"")</f>
        <v/>
      </c>
    </row>
    <row r="202">
      <c r="A202" s="24" t="str">
        <f>IF($X202="","",INDEX(Import_Staging!$A$2:$A$301,$X202)&amp;"")</f>
        <v/>
      </c>
      <c r="B202" s="27" t="str">
        <f>IF($X202="","",INDEX(Import_Staging!$M$2:$M$301,$X202))</f>
        <v/>
      </c>
      <c r="C202" s="24" t="str">
        <f>IF($X202="","",INDEX(Import_Staging!$C$2:$C$301,$X202)&amp;"")</f>
        <v/>
      </c>
      <c r="D202" s="24" t="str">
        <f>IF($X202="","",INDEX(Import_Staging!$D$2:$D$301,$X202)&amp;"")</f>
        <v/>
      </c>
      <c r="E202" s="69" t="str">
        <f>IF($X202="","",INDEX(Import_Staging!$O$2:$O$301,$X202))</f>
        <v/>
      </c>
      <c r="F202" s="24" t="str">
        <f>IF($X202="","",INDEX(Import_Staging!$F$2:$F$301,$X202)&amp;"")</f>
        <v/>
      </c>
      <c r="G202" s="24" t="str">
        <f>IF($X202="","",INDEX(Import_Staging!$J$2:$J$301,$X202)&amp;"")</f>
        <v/>
      </c>
      <c r="H202" s="24" t="str">
        <f>IF($X202="","",INDEX(Import_Staging!$K$2:$K$301,$X202)&amp;"")</f>
        <v/>
      </c>
      <c r="I202" s="24" t="str">
        <f>IF($X202="","",INDEX(Import_Staging!$L$2:$L$301,$X202)&amp;"")</f>
        <v/>
      </c>
      <c r="J202" s="24" t="str">
        <f>IF($X202="","","3PL import")</f>
        <v/>
      </c>
      <c r="K202" s="24" t="str">
        <f>IF($X202="","",Config!$B$11)</f>
        <v/>
      </c>
      <c r="L202" s="24" t="str">
        <f>IF($X202="","","CSV row "&amp;($X202+1))</f>
        <v/>
      </c>
      <c r="N202" s="24" t="str">
        <f>IF($Y202="","",INDEX(Import_Staging!$F$2:$F$301,$Y202)&amp;"")</f>
        <v/>
      </c>
      <c r="O202" s="24" t="str">
        <f>IF($Y202="","",INDEX(Import_Staging!$D$2:$D$301,$Y202)&amp;"")</f>
        <v/>
      </c>
      <c r="P202" s="24" t="str">
        <f>IF($Y202="","",INDEX(Import_Staging!$E$2:$E$301,$Y202)&amp;"")</f>
        <v/>
      </c>
      <c r="Q202" s="27" t="n"/>
      <c r="R202" s="27" t="str">
        <f>IF($Y202="","",INDEX(Import_Staging!$N$2:$N$301,$Y202))</f>
        <v/>
      </c>
      <c r="S202" s="70" t="str">
        <f>IF($Y202="","",0)</f>
        <v/>
      </c>
      <c r="T202" s="24" t="str">
        <f>IF($Y202="","",INDEX(Import_Staging!$I$2:$I$301,$Y202)&amp;"")</f>
        <v/>
      </c>
      <c r="U202" s="24" t="n"/>
      <c r="V202" s="24" t="str">
        <f>IF($Y202="","","Received "&amp;TEXT(INDEX(Import_Staging!$M$2:$M$301,$Y202),"yyyy-mm-dd")&amp;" (CSV row "&amp;($Y202+1)&amp;")")</f>
        <v/>
      </c>
      <c r="X202" t="str">
        <f>IFERROR(MATCH(197,Import_Staging!$BT$2:$BT$301,0),"")</f>
        <v/>
      </c>
      <c r="Y202" t="str">
        <f>IFERROR(MATCH(197,Import_Staging!$BV$2:$BV$301,0),"")</f>
        <v/>
      </c>
    </row>
    <row r="203">
      <c r="A203" s="24" t="str">
        <f>IF($X203="","",INDEX(Import_Staging!$A$2:$A$301,$X203)&amp;"")</f>
        <v/>
      </c>
      <c r="B203" s="27" t="str">
        <f>IF($X203="","",INDEX(Import_Staging!$M$2:$M$301,$X203))</f>
        <v/>
      </c>
      <c r="C203" s="24" t="str">
        <f>IF($X203="","",INDEX(Import_Staging!$C$2:$C$301,$X203)&amp;"")</f>
        <v/>
      </c>
      <c r="D203" s="24" t="str">
        <f>IF($X203="","",INDEX(Import_Staging!$D$2:$D$301,$X203)&amp;"")</f>
        <v/>
      </c>
      <c r="E203" s="69" t="str">
        <f>IF($X203="","",INDEX(Import_Staging!$O$2:$O$301,$X203))</f>
        <v/>
      </c>
      <c r="F203" s="24" t="str">
        <f>IF($X203="","",INDEX(Import_Staging!$F$2:$F$301,$X203)&amp;"")</f>
        <v/>
      </c>
      <c r="G203" s="24" t="str">
        <f>IF($X203="","",INDEX(Import_Staging!$J$2:$J$301,$X203)&amp;"")</f>
        <v/>
      </c>
      <c r="H203" s="24" t="str">
        <f>IF($X203="","",INDEX(Import_Staging!$K$2:$K$301,$X203)&amp;"")</f>
        <v/>
      </c>
      <c r="I203" s="24" t="str">
        <f>IF($X203="","",INDEX(Import_Staging!$L$2:$L$301,$X203)&amp;"")</f>
        <v/>
      </c>
      <c r="J203" s="24" t="str">
        <f>IF($X203="","","3PL import")</f>
        <v/>
      </c>
      <c r="K203" s="24" t="str">
        <f>IF($X203="","",Config!$B$11)</f>
        <v/>
      </c>
      <c r="L203" s="24" t="str">
        <f>IF($X203="","","CSV row "&amp;($X203+1))</f>
        <v/>
      </c>
      <c r="N203" s="24" t="str">
        <f>IF($Y203="","",INDEX(Import_Staging!$F$2:$F$301,$Y203)&amp;"")</f>
        <v/>
      </c>
      <c r="O203" s="24" t="str">
        <f>IF($Y203="","",INDEX(Import_Staging!$D$2:$D$301,$Y203)&amp;"")</f>
        <v/>
      </c>
      <c r="P203" s="24" t="str">
        <f>IF($Y203="","",INDEX(Import_Staging!$E$2:$E$301,$Y203)&amp;"")</f>
        <v/>
      </c>
      <c r="Q203" s="27" t="n"/>
      <c r="R203" s="27" t="str">
        <f>IF($Y203="","",INDEX(Import_Staging!$N$2:$N$301,$Y203))</f>
        <v/>
      </c>
      <c r="S203" s="70" t="str">
        <f>IF($Y203="","",0)</f>
        <v/>
      </c>
      <c r="T203" s="24" t="str">
        <f>IF($Y203="","",INDEX(Import_Staging!$I$2:$I$301,$Y203)&amp;"")</f>
        <v/>
      </c>
      <c r="U203" s="24" t="n"/>
      <c r="V203" s="24" t="str">
        <f>IF($Y203="","","Received "&amp;TEXT(INDEX(Import_Staging!$M$2:$M$301,$Y203),"yyyy-mm-dd")&amp;" (CSV row "&amp;($Y203+1)&amp;")")</f>
        <v/>
      </c>
      <c r="X203" t="str">
        <f>IFERROR(MATCH(198,Import_Staging!$BT$2:$BT$301,0),"")</f>
        <v/>
      </c>
      <c r="Y203" t="str">
        <f>IFERROR(MATCH(198,Import_Staging!$BV$2:$BV$301,0),"")</f>
        <v/>
      </c>
    </row>
    <row r="204">
      <c r="A204" s="24" t="str">
        <f>IF($X204="","",INDEX(Import_Staging!$A$2:$A$301,$X204)&amp;"")</f>
        <v/>
      </c>
      <c r="B204" s="27" t="str">
        <f>IF($X204="","",INDEX(Import_Staging!$M$2:$M$301,$X204))</f>
        <v/>
      </c>
      <c r="C204" s="24" t="str">
        <f>IF($X204="","",INDEX(Import_Staging!$C$2:$C$301,$X204)&amp;"")</f>
        <v/>
      </c>
      <c r="D204" s="24" t="str">
        <f>IF($X204="","",INDEX(Import_Staging!$D$2:$D$301,$X204)&amp;"")</f>
        <v/>
      </c>
      <c r="E204" s="69" t="str">
        <f>IF($X204="","",INDEX(Import_Staging!$O$2:$O$301,$X204))</f>
        <v/>
      </c>
      <c r="F204" s="24" t="str">
        <f>IF($X204="","",INDEX(Import_Staging!$F$2:$F$301,$X204)&amp;"")</f>
        <v/>
      </c>
      <c r="G204" s="24" t="str">
        <f>IF($X204="","",INDEX(Import_Staging!$J$2:$J$301,$X204)&amp;"")</f>
        <v/>
      </c>
      <c r="H204" s="24" t="str">
        <f>IF($X204="","",INDEX(Import_Staging!$K$2:$K$301,$X204)&amp;"")</f>
        <v/>
      </c>
      <c r="I204" s="24" t="str">
        <f>IF($X204="","",INDEX(Import_Staging!$L$2:$L$301,$X204)&amp;"")</f>
        <v/>
      </c>
      <c r="J204" s="24" t="str">
        <f>IF($X204="","","3PL import")</f>
        <v/>
      </c>
      <c r="K204" s="24" t="str">
        <f>IF($X204="","",Config!$B$11)</f>
        <v/>
      </c>
      <c r="L204" s="24" t="str">
        <f>IF($X204="","","CSV row "&amp;($X204+1))</f>
        <v/>
      </c>
      <c r="N204" s="24" t="str">
        <f>IF($Y204="","",INDEX(Import_Staging!$F$2:$F$301,$Y204)&amp;"")</f>
        <v/>
      </c>
      <c r="O204" s="24" t="str">
        <f>IF($Y204="","",INDEX(Import_Staging!$D$2:$D$301,$Y204)&amp;"")</f>
        <v/>
      </c>
      <c r="P204" s="24" t="str">
        <f>IF($Y204="","",INDEX(Import_Staging!$E$2:$E$301,$Y204)&amp;"")</f>
        <v/>
      </c>
      <c r="Q204" s="27" t="n"/>
      <c r="R204" s="27" t="str">
        <f>IF($Y204="","",INDEX(Import_Staging!$N$2:$N$301,$Y204))</f>
        <v/>
      </c>
      <c r="S204" s="70" t="str">
        <f>IF($Y204="","",0)</f>
        <v/>
      </c>
      <c r="T204" s="24" t="str">
        <f>IF($Y204="","",INDEX(Import_Staging!$I$2:$I$301,$Y204)&amp;"")</f>
        <v/>
      </c>
      <c r="U204" s="24" t="n"/>
      <c r="V204" s="24" t="str">
        <f>IF($Y204="","","Received "&amp;TEXT(INDEX(Import_Staging!$M$2:$M$301,$Y204),"yyyy-mm-dd")&amp;" (CSV row "&amp;($Y204+1)&amp;")")</f>
        <v/>
      </c>
      <c r="X204" t="str">
        <f>IFERROR(MATCH(199,Import_Staging!$BT$2:$BT$301,0),"")</f>
        <v/>
      </c>
      <c r="Y204" t="str">
        <f>IFERROR(MATCH(199,Import_Staging!$BV$2:$BV$301,0),"")</f>
        <v/>
      </c>
    </row>
    <row r="205">
      <c r="A205" s="24" t="str">
        <f>IF($X205="","",INDEX(Import_Staging!$A$2:$A$301,$X205)&amp;"")</f>
        <v/>
      </c>
      <c r="B205" s="27" t="str">
        <f>IF($X205="","",INDEX(Import_Staging!$M$2:$M$301,$X205))</f>
        <v/>
      </c>
      <c r="C205" s="24" t="str">
        <f>IF($X205="","",INDEX(Import_Staging!$C$2:$C$301,$X205)&amp;"")</f>
        <v/>
      </c>
      <c r="D205" s="24" t="str">
        <f>IF($X205="","",INDEX(Import_Staging!$D$2:$D$301,$X205)&amp;"")</f>
        <v/>
      </c>
      <c r="E205" s="69" t="str">
        <f>IF($X205="","",INDEX(Import_Staging!$O$2:$O$301,$X205))</f>
        <v/>
      </c>
      <c r="F205" s="24" t="str">
        <f>IF($X205="","",INDEX(Import_Staging!$F$2:$F$301,$X205)&amp;"")</f>
        <v/>
      </c>
      <c r="G205" s="24" t="str">
        <f>IF($X205="","",INDEX(Import_Staging!$J$2:$J$301,$X205)&amp;"")</f>
        <v/>
      </c>
      <c r="H205" s="24" t="str">
        <f>IF($X205="","",INDEX(Import_Staging!$K$2:$K$301,$X205)&amp;"")</f>
        <v/>
      </c>
      <c r="I205" s="24" t="str">
        <f>IF($X205="","",INDEX(Import_Staging!$L$2:$L$301,$X205)&amp;"")</f>
        <v/>
      </c>
      <c r="J205" s="24" t="str">
        <f>IF($X205="","","3PL import")</f>
        <v/>
      </c>
      <c r="K205" s="24" t="str">
        <f>IF($X205="","",Config!$B$11)</f>
        <v/>
      </c>
      <c r="L205" s="24" t="str">
        <f>IF($X205="","","CSV row "&amp;($X205+1))</f>
        <v/>
      </c>
      <c r="N205" s="24" t="str">
        <f>IF($Y205="","",INDEX(Import_Staging!$F$2:$F$301,$Y205)&amp;"")</f>
        <v/>
      </c>
      <c r="O205" s="24" t="str">
        <f>IF($Y205="","",INDEX(Import_Staging!$D$2:$D$301,$Y205)&amp;"")</f>
        <v/>
      </c>
      <c r="P205" s="24" t="str">
        <f>IF($Y205="","",INDEX(Import_Staging!$E$2:$E$301,$Y205)&amp;"")</f>
        <v/>
      </c>
      <c r="Q205" s="27" t="n"/>
      <c r="R205" s="27" t="str">
        <f>IF($Y205="","",INDEX(Import_Staging!$N$2:$N$301,$Y205))</f>
        <v/>
      </c>
      <c r="S205" s="70" t="str">
        <f>IF($Y205="","",0)</f>
        <v/>
      </c>
      <c r="T205" s="24" t="str">
        <f>IF($Y205="","",INDEX(Import_Staging!$I$2:$I$301,$Y205)&amp;"")</f>
        <v/>
      </c>
      <c r="U205" s="24" t="n"/>
      <c r="V205" s="24" t="str">
        <f>IF($Y205="","","Received "&amp;TEXT(INDEX(Import_Staging!$M$2:$M$301,$Y205),"yyyy-mm-dd")&amp;" (CSV row "&amp;($Y205+1)&amp;")")</f>
        <v/>
      </c>
      <c r="X205" t="str">
        <f>IFERROR(MATCH(200,Import_Staging!$BT$2:$BT$301,0),"")</f>
        <v/>
      </c>
      <c r="Y205" t="str">
        <f>IFERROR(MATCH(200,Import_Staging!$BV$2:$BV$301,0),"")</f>
        <v/>
      </c>
    </row>
    <row r="206">
      <c r="A206" s="24" t="str">
        <f>IF($X206="","",INDEX(Import_Staging!$A$2:$A$301,$X206)&amp;"")</f>
        <v/>
      </c>
      <c r="B206" s="27" t="str">
        <f>IF($X206="","",INDEX(Import_Staging!$M$2:$M$301,$X206))</f>
        <v/>
      </c>
      <c r="C206" s="24" t="str">
        <f>IF($X206="","",INDEX(Import_Staging!$C$2:$C$301,$X206)&amp;"")</f>
        <v/>
      </c>
      <c r="D206" s="24" t="str">
        <f>IF($X206="","",INDEX(Import_Staging!$D$2:$D$301,$X206)&amp;"")</f>
        <v/>
      </c>
      <c r="E206" s="69" t="str">
        <f>IF($X206="","",INDEX(Import_Staging!$O$2:$O$301,$X206))</f>
        <v/>
      </c>
      <c r="F206" s="24" t="str">
        <f>IF($X206="","",INDEX(Import_Staging!$F$2:$F$301,$X206)&amp;"")</f>
        <v/>
      </c>
      <c r="G206" s="24" t="str">
        <f>IF($X206="","",INDEX(Import_Staging!$J$2:$J$301,$X206)&amp;"")</f>
        <v/>
      </c>
      <c r="H206" s="24" t="str">
        <f>IF($X206="","",INDEX(Import_Staging!$K$2:$K$301,$X206)&amp;"")</f>
        <v/>
      </c>
      <c r="I206" s="24" t="str">
        <f>IF($X206="","",INDEX(Import_Staging!$L$2:$L$301,$X206)&amp;"")</f>
        <v/>
      </c>
      <c r="J206" s="24" t="str">
        <f>IF($X206="","","3PL import")</f>
        <v/>
      </c>
      <c r="K206" s="24" t="str">
        <f>IF($X206="","",Config!$B$11)</f>
        <v/>
      </c>
      <c r="L206" s="24" t="str">
        <f>IF($X206="","","CSV row "&amp;($X206+1))</f>
        <v/>
      </c>
      <c r="N206" s="24" t="str">
        <f>IF($Y206="","",INDEX(Import_Staging!$F$2:$F$301,$Y206)&amp;"")</f>
        <v/>
      </c>
      <c r="O206" s="24" t="str">
        <f>IF($Y206="","",INDEX(Import_Staging!$D$2:$D$301,$Y206)&amp;"")</f>
        <v/>
      </c>
      <c r="P206" s="24" t="str">
        <f>IF($Y206="","",INDEX(Import_Staging!$E$2:$E$301,$Y206)&amp;"")</f>
        <v/>
      </c>
      <c r="Q206" s="27" t="n"/>
      <c r="R206" s="27" t="str">
        <f>IF($Y206="","",INDEX(Import_Staging!$N$2:$N$301,$Y206))</f>
        <v/>
      </c>
      <c r="S206" s="70" t="str">
        <f>IF($Y206="","",0)</f>
        <v/>
      </c>
      <c r="T206" s="24" t="str">
        <f>IF($Y206="","",INDEX(Import_Staging!$I$2:$I$301,$Y206)&amp;"")</f>
        <v/>
      </c>
      <c r="U206" s="24" t="n"/>
      <c r="V206" s="24" t="str">
        <f>IF($Y206="","","Received "&amp;TEXT(INDEX(Import_Staging!$M$2:$M$301,$Y206),"yyyy-mm-dd")&amp;" (CSV row "&amp;($Y206+1)&amp;")")</f>
        <v/>
      </c>
      <c r="X206" t="str">
        <f>IFERROR(MATCH(201,Import_Staging!$BT$2:$BT$301,0),"")</f>
        <v/>
      </c>
      <c r="Y206" t="str">
        <f>IFERROR(MATCH(201,Import_Staging!$BV$2:$BV$301,0),"")</f>
        <v/>
      </c>
    </row>
    <row r="207">
      <c r="A207" s="24" t="str">
        <f>IF($X207="","",INDEX(Import_Staging!$A$2:$A$301,$X207)&amp;"")</f>
        <v/>
      </c>
      <c r="B207" s="27" t="str">
        <f>IF($X207="","",INDEX(Import_Staging!$M$2:$M$301,$X207))</f>
        <v/>
      </c>
      <c r="C207" s="24" t="str">
        <f>IF($X207="","",INDEX(Import_Staging!$C$2:$C$301,$X207)&amp;"")</f>
        <v/>
      </c>
      <c r="D207" s="24" t="str">
        <f>IF($X207="","",INDEX(Import_Staging!$D$2:$D$301,$X207)&amp;"")</f>
        <v/>
      </c>
      <c r="E207" s="69" t="str">
        <f>IF($X207="","",INDEX(Import_Staging!$O$2:$O$301,$X207))</f>
        <v/>
      </c>
      <c r="F207" s="24" t="str">
        <f>IF($X207="","",INDEX(Import_Staging!$F$2:$F$301,$X207)&amp;"")</f>
        <v/>
      </c>
      <c r="G207" s="24" t="str">
        <f>IF($X207="","",INDEX(Import_Staging!$J$2:$J$301,$X207)&amp;"")</f>
        <v/>
      </c>
      <c r="H207" s="24" t="str">
        <f>IF($X207="","",INDEX(Import_Staging!$K$2:$K$301,$X207)&amp;"")</f>
        <v/>
      </c>
      <c r="I207" s="24" t="str">
        <f>IF($X207="","",INDEX(Import_Staging!$L$2:$L$301,$X207)&amp;"")</f>
        <v/>
      </c>
      <c r="J207" s="24" t="str">
        <f>IF($X207="","","3PL import")</f>
        <v/>
      </c>
      <c r="K207" s="24" t="str">
        <f>IF($X207="","",Config!$B$11)</f>
        <v/>
      </c>
      <c r="L207" s="24" t="str">
        <f>IF($X207="","","CSV row "&amp;($X207+1))</f>
        <v/>
      </c>
      <c r="N207" s="24" t="str">
        <f>IF($Y207="","",INDEX(Import_Staging!$F$2:$F$301,$Y207)&amp;"")</f>
        <v/>
      </c>
      <c r="O207" s="24" t="str">
        <f>IF($Y207="","",INDEX(Import_Staging!$D$2:$D$301,$Y207)&amp;"")</f>
        <v/>
      </c>
      <c r="P207" s="24" t="str">
        <f>IF($Y207="","",INDEX(Import_Staging!$E$2:$E$301,$Y207)&amp;"")</f>
        <v/>
      </c>
      <c r="Q207" s="27" t="n"/>
      <c r="R207" s="27" t="str">
        <f>IF($Y207="","",INDEX(Import_Staging!$N$2:$N$301,$Y207))</f>
        <v/>
      </c>
      <c r="S207" s="70" t="str">
        <f>IF($Y207="","",0)</f>
        <v/>
      </c>
      <c r="T207" s="24" t="str">
        <f>IF($Y207="","",INDEX(Import_Staging!$I$2:$I$301,$Y207)&amp;"")</f>
        <v/>
      </c>
      <c r="U207" s="24" t="n"/>
      <c r="V207" s="24" t="str">
        <f>IF($Y207="","","Received "&amp;TEXT(INDEX(Import_Staging!$M$2:$M$301,$Y207),"yyyy-mm-dd")&amp;" (CSV row "&amp;($Y207+1)&amp;")")</f>
        <v/>
      </c>
      <c r="X207" t="str">
        <f>IFERROR(MATCH(202,Import_Staging!$BT$2:$BT$301,0),"")</f>
        <v/>
      </c>
      <c r="Y207" t="str">
        <f>IFERROR(MATCH(202,Import_Staging!$BV$2:$BV$301,0),"")</f>
        <v/>
      </c>
    </row>
    <row r="208">
      <c r="A208" s="24" t="str">
        <f>IF($X208="","",INDEX(Import_Staging!$A$2:$A$301,$X208)&amp;"")</f>
        <v/>
      </c>
      <c r="B208" s="27" t="str">
        <f>IF($X208="","",INDEX(Import_Staging!$M$2:$M$301,$X208))</f>
        <v/>
      </c>
      <c r="C208" s="24" t="str">
        <f>IF($X208="","",INDEX(Import_Staging!$C$2:$C$301,$X208)&amp;"")</f>
        <v/>
      </c>
      <c r="D208" s="24" t="str">
        <f>IF($X208="","",INDEX(Import_Staging!$D$2:$D$301,$X208)&amp;"")</f>
        <v/>
      </c>
      <c r="E208" s="69" t="str">
        <f>IF($X208="","",INDEX(Import_Staging!$O$2:$O$301,$X208))</f>
        <v/>
      </c>
      <c r="F208" s="24" t="str">
        <f>IF($X208="","",INDEX(Import_Staging!$F$2:$F$301,$X208)&amp;"")</f>
        <v/>
      </c>
      <c r="G208" s="24" t="str">
        <f>IF($X208="","",INDEX(Import_Staging!$J$2:$J$301,$X208)&amp;"")</f>
        <v/>
      </c>
      <c r="H208" s="24" t="str">
        <f>IF($X208="","",INDEX(Import_Staging!$K$2:$K$301,$X208)&amp;"")</f>
        <v/>
      </c>
      <c r="I208" s="24" t="str">
        <f>IF($X208="","",INDEX(Import_Staging!$L$2:$L$301,$X208)&amp;"")</f>
        <v/>
      </c>
      <c r="J208" s="24" t="str">
        <f>IF($X208="","","3PL import")</f>
        <v/>
      </c>
      <c r="K208" s="24" t="str">
        <f>IF($X208="","",Config!$B$11)</f>
        <v/>
      </c>
      <c r="L208" s="24" t="str">
        <f>IF($X208="","","CSV row "&amp;($X208+1))</f>
        <v/>
      </c>
      <c r="N208" s="24" t="str">
        <f>IF($Y208="","",INDEX(Import_Staging!$F$2:$F$301,$Y208)&amp;"")</f>
        <v/>
      </c>
      <c r="O208" s="24" t="str">
        <f>IF($Y208="","",INDEX(Import_Staging!$D$2:$D$301,$Y208)&amp;"")</f>
        <v/>
      </c>
      <c r="P208" s="24" t="str">
        <f>IF($Y208="","",INDEX(Import_Staging!$E$2:$E$301,$Y208)&amp;"")</f>
        <v/>
      </c>
      <c r="Q208" s="27" t="n"/>
      <c r="R208" s="27" t="str">
        <f>IF($Y208="","",INDEX(Import_Staging!$N$2:$N$301,$Y208))</f>
        <v/>
      </c>
      <c r="S208" s="70" t="str">
        <f>IF($Y208="","",0)</f>
        <v/>
      </c>
      <c r="T208" s="24" t="str">
        <f>IF($Y208="","",INDEX(Import_Staging!$I$2:$I$301,$Y208)&amp;"")</f>
        <v/>
      </c>
      <c r="U208" s="24" t="n"/>
      <c r="V208" s="24" t="str">
        <f>IF($Y208="","","Received "&amp;TEXT(INDEX(Import_Staging!$M$2:$M$301,$Y208),"yyyy-mm-dd")&amp;" (CSV row "&amp;($Y208+1)&amp;")")</f>
        <v/>
      </c>
      <c r="X208" t="str">
        <f>IFERROR(MATCH(203,Import_Staging!$BT$2:$BT$301,0),"")</f>
        <v/>
      </c>
      <c r="Y208" t="str">
        <f>IFERROR(MATCH(203,Import_Staging!$BV$2:$BV$301,0),"")</f>
        <v/>
      </c>
    </row>
    <row r="209">
      <c r="A209" s="24" t="str">
        <f>IF($X209="","",INDEX(Import_Staging!$A$2:$A$301,$X209)&amp;"")</f>
        <v/>
      </c>
      <c r="B209" s="27" t="str">
        <f>IF($X209="","",INDEX(Import_Staging!$M$2:$M$301,$X209))</f>
        <v/>
      </c>
      <c r="C209" s="24" t="str">
        <f>IF($X209="","",INDEX(Import_Staging!$C$2:$C$301,$X209)&amp;"")</f>
        <v/>
      </c>
      <c r="D209" s="24" t="str">
        <f>IF($X209="","",INDEX(Import_Staging!$D$2:$D$301,$X209)&amp;"")</f>
        <v/>
      </c>
      <c r="E209" s="69" t="str">
        <f>IF($X209="","",INDEX(Import_Staging!$O$2:$O$301,$X209))</f>
        <v/>
      </c>
      <c r="F209" s="24" t="str">
        <f>IF($X209="","",INDEX(Import_Staging!$F$2:$F$301,$X209)&amp;"")</f>
        <v/>
      </c>
      <c r="G209" s="24" t="str">
        <f>IF($X209="","",INDEX(Import_Staging!$J$2:$J$301,$X209)&amp;"")</f>
        <v/>
      </c>
      <c r="H209" s="24" t="str">
        <f>IF($X209="","",INDEX(Import_Staging!$K$2:$K$301,$X209)&amp;"")</f>
        <v/>
      </c>
      <c r="I209" s="24" t="str">
        <f>IF($X209="","",INDEX(Import_Staging!$L$2:$L$301,$X209)&amp;"")</f>
        <v/>
      </c>
      <c r="J209" s="24" t="str">
        <f>IF($X209="","","3PL import")</f>
        <v/>
      </c>
      <c r="K209" s="24" t="str">
        <f>IF($X209="","",Config!$B$11)</f>
        <v/>
      </c>
      <c r="L209" s="24" t="str">
        <f>IF($X209="","","CSV row "&amp;($X209+1))</f>
        <v/>
      </c>
      <c r="N209" s="24" t="str">
        <f>IF($Y209="","",INDEX(Import_Staging!$F$2:$F$301,$Y209)&amp;"")</f>
        <v/>
      </c>
      <c r="O209" s="24" t="str">
        <f>IF($Y209="","",INDEX(Import_Staging!$D$2:$D$301,$Y209)&amp;"")</f>
        <v/>
      </c>
      <c r="P209" s="24" t="str">
        <f>IF($Y209="","",INDEX(Import_Staging!$E$2:$E$301,$Y209)&amp;"")</f>
        <v/>
      </c>
      <c r="Q209" s="27" t="n"/>
      <c r="R209" s="27" t="str">
        <f>IF($Y209="","",INDEX(Import_Staging!$N$2:$N$301,$Y209))</f>
        <v/>
      </c>
      <c r="S209" s="70" t="str">
        <f>IF($Y209="","",0)</f>
        <v/>
      </c>
      <c r="T209" s="24" t="str">
        <f>IF($Y209="","",INDEX(Import_Staging!$I$2:$I$301,$Y209)&amp;"")</f>
        <v/>
      </c>
      <c r="U209" s="24" t="n"/>
      <c r="V209" s="24" t="str">
        <f>IF($Y209="","","Received "&amp;TEXT(INDEX(Import_Staging!$M$2:$M$301,$Y209),"yyyy-mm-dd")&amp;" (CSV row "&amp;($Y209+1)&amp;")")</f>
        <v/>
      </c>
      <c r="X209" t="str">
        <f>IFERROR(MATCH(204,Import_Staging!$BT$2:$BT$301,0),"")</f>
        <v/>
      </c>
      <c r="Y209" t="str">
        <f>IFERROR(MATCH(204,Import_Staging!$BV$2:$BV$301,0),"")</f>
        <v/>
      </c>
    </row>
    <row r="210">
      <c r="A210" s="24" t="str">
        <f>IF($X210="","",INDEX(Import_Staging!$A$2:$A$301,$X210)&amp;"")</f>
        <v/>
      </c>
      <c r="B210" s="27" t="str">
        <f>IF($X210="","",INDEX(Import_Staging!$M$2:$M$301,$X210))</f>
        <v/>
      </c>
      <c r="C210" s="24" t="str">
        <f>IF($X210="","",INDEX(Import_Staging!$C$2:$C$301,$X210)&amp;"")</f>
        <v/>
      </c>
      <c r="D210" s="24" t="str">
        <f>IF($X210="","",INDEX(Import_Staging!$D$2:$D$301,$X210)&amp;"")</f>
        <v/>
      </c>
      <c r="E210" s="69" t="str">
        <f>IF($X210="","",INDEX(Import_Staging!$O$2:$O$301,$X210))</f>
        <v/>
      </c>
      <c r="F210" s="24" t="str">
        <f>IF($X210="","",INDEX(Import_Staging!$F$2:$F$301,$X210)&amp;"")</f>
        <v/>
      </c>
      <c r="G210" s="24" t="str">
        <f>IF($X210="","",INDEX(Import_Staging!$J$2:$J$301,$X210)&amp;"")</f>
        <v/>
      </c>
      <c r="H210" s="24" t="str">
        <f>IF($X210="","",INDEX(Import_Staging!$K$2:$K$301,$X210)&amp;"")</f>
        <v/>
      </c>
      <c r="I210" s="24" t="str">
        <f>IF($X210="","",INDEX(Import_Staging!$L$2:$L$301,$X210)&amp;"")</f>
        <v/>
      </c>
      <c r="J210" s="24" t="str">
        <f>IF($X210="","","3PL import")</f>
        <v/>
      </c>
      <c r="K210" s="24" t="str">
        <f>IF($X210="","",Config!$B$11)</f>
        <v/>
      </c>
      <c r="L210" s="24" t="str">
        <f>IF($X210="","","CSV row "&amp;($X210+1))</f>
        <v/>
      </c>
      <c r="N210" s="24" t="str">
        <f>IF($Y210="","",INDEX(Import_Staging!$F$2:$F$301,$Y210)&amp;"")</f>
        <v/>
      </c>
      <c r="O210" s="24" t="str">
        <f>IF($Y210="","",INDEX(Import_Staging!$D$2:$D$301,$Y210)&amp;"")</f>
        <v/>
      </c>
      <c r="P210" s="24" t="str">
        <f>IF($Y210="","",INDEX(Import_Staging!$E$2:$E$301,$Y210)&amp;"")</f>
        <v/>
      </c>
      <c r="Q210" s="27" t="n"/>
      <c r="R210" s="27" t="str">
        <f>IF($Y210="","",INDEX(Import_Staging!$N$2:$N$301,$Y210))</f>
        <v/>
      </c>
      <c r="S210" s="70" t="str">
        <f>IF($Y210="","",0)</f>
        <v/>
      </c>
      <c r="T210" s="24" t="str">
        <f>IF($Y210="","",INDEX(Import_Staging!$I$2:$I$301,$Y210)&amp;"")</f>
        <v/>
      </c>
      <c r="U210" s="24" t="n"/>
      <c r="V210" s="24" t="str">
        <f>IF($Y210="","","Received "&amp;TEXT(INDEX(Import_Staging!$M$2:$M$301,$Y210),"yyyy-mm-dd")&amp;" (CSV row "&amp;($Y210+1)&amp;")")</f>
        <v/>
      </c>
      <c r="X210" t="str">
        <f>IFERROR(MATCH(205,Import_Staging!$BT$2:$BT$301,0),"")</f>
        <v/>
      </c>
      <c r="Y210" t="str">
        <f>IFERROR(MATCH(205,Import_Staging!$BV$2:$BV$301,0),"")</f>
        <v/>
      </c>
    </row>
    <row r="211">
      <c r="A211" s="24" t="str">
        <f>IF($X211="","",INDEX(Import_Staging!$A$2:$A$301,$X211)&amp;"")</f>
        <v/>
      </c>
      <c r="B211" s="27" t="str">
        <f>IF($X211="","",INDEX(Import_Staging!$M$2:$M$301,$X211))</f>
        <v/>
      </c>
      <c r="C211" s="24" t="str">
        <f>IF($X211="","",INDEX(Import_Staging!$C$2:$C$301,$X211)&amp;"")</f>
        <v/>
      </c>
      <c r="D211" s="24" t="str">
        <f>IF($X211="","",INDEX(Import_Staging!$D$2:$D$301,$X211)&amp;"")</f>
        <v/>
      </c>
      <c r="E211" s="69" t="str">
        <f>IF($X211="","",INDEX(Import_Staging!$O$2:$O$301,$X211))</f>
        <v/>
      </c>
      <c r="F211" s="24" t="str">
        <f>IF($X211="","",INDEX(Import_Staging!$F$2:$F$301,$X211)&amp;"")</f>
        <v/>
      </c>
      <c r="G211" s="24" t="str">
        <f>IF($X211="","",INDEX(Import_Staging!$J$2:$J$301,$X211)&amp;"")</f>
        <v/>
      </c>
      <c r="H211" s="24" t="str">
        <f>IF($X211="","",INDEX(Import_Staging!$K$2:$K$301,$X211)&amp;"")</f>
        <v/>
      </c>
      <c r="I211" s="24" t="str">
        <f>IF($X211="","",INDEX(Import_Staging!$L$2:$L$301,$X211)&amp;"")</f>
        <v/>
      </c>
      <c r="J211" s="24" t="str">
        <f>IF($X211="","","3PL import")</f>
        <v/>
      </c>
      <c r="K211" s="24" t="str">
        <f>IF($X211="","",Config!$B$11)</f>
        <v/>
      </c>
      <c r="L211" s="24" t="str">
        <f>IF($X211="","","CSV row "&amp;($X211+1))</f>
        <v/>
      </c>
      <c r="N211" s="24" t="str">
        <f>IF($Y211="","",INDEX(Import_Staging!$F$2:$F$301,$Y211)&amp;"")</f>
        <v/>
      </c>
      <c r="O211" s="24" t="str">
        <f>IF($Y211="","",INDEX(Import_Staging!$D$2:$D$301,$Y211)&amp;"")</f>
        <v/>
      </c>
      <c r="P211" s="24" t="str">
        <f>IF($Y211="","",INDEX(Import_Staging!$E$2:$E$301,$Y211)&amp;"")</f>
        <v/>
      </c>
      <c r="Q211" s="27" t="n"/>
      <c r="R211" s="27" t="str">
        <f>IF($Y211="","",INDEX(Import_Staging!$N$2:$N$301,$Y211))</f>
        <v/>
      </c>
      <c r="S211" s="70" t="str">
        <f>IF($Y211="","",0)</f>
        <v/>
      </c>
      <c r="T211" s="24" t="str">
        <f>IF($Y211="","",INDEX(Import_Staging!$I$2:$I$301,$Y211)&amp;"")</f>
        <v/>
      </c>
      <c r="U211" s="24" t="n"/>
      <c r="V211" s="24" t="str">
        <f>IF($Y211="","","Received "&amp;TEXT(INDEX(Import_Staging!$M$2:$M$301,$Y211),"yyyy-mm-dd")&amp;" (CSV row "&amp;($Y211+1)&amp;")")</f>
        <v/>
      </c>
      <c r="X211" t="str">
        <f>IFERROR(MATCH(206,Import_Staging!$BT$2:$BT$301,0),"")</f>
        <v/>
      </c>
      <c r="Y211" t="str">
        <f>IFERROR(MATCH(206,Import_Staging!$BV$2:$BV$301,0),"")</f>
        <v/>
      </c>
    </row>
    <row r="212">
      <c r="A212" s="24" t="str">
        <f>IF($X212="","",INDEX(Import_Staging!$A$2:$A$301,$X212)&amp;"")</f>
        <v/>
      </c>
      <c r="B212" s="27" t="str">
        <f>IF($X212="","",INDEX(Import_Staging!$M$2:$M$301,$X212))</f>
        <v/>
      </c>
      <c r="C212" s="24" t="str">
        <f>IF($X212="","",INDEX(Import_Staging!$C$2:$C$301,$X212)&amp;"")</f>
        <v/>
      </c>
      <c r="D212" s="24" t="str">
        <f>IF($X212="","",INDEX(Import_Staging!$D$2:$D$301,$X212)&amp;"")</f>
        <v/>
      </c>
      <c r="E212" s="69" t="str">
        <f>IF($X212="","",INDEX(Import_Staging!$O$2:$O$301,$X212))</f>
        <v/>
      </c>
      <c r="F212" s="24" t="str">
        <f>IF($X212="","",INDEX(Import_Staging!$F$2:$F$301,$X212)&amp;"")</f>
        <v/>
      </c>
      <c r="G212" s="24" t="str">
        <f>IF($X212="","",INDEX(Import_Staging!$J$2:$J$301,$X212)&amp;"")</f>
        <v/>
      </c>
      <c r="H212" s="24" t="str">
        <f>IF($X212="","",INDEX(Import_Staging!$K$2:$K$301,$X212)&amp;"")</f>
        <v/>
      </c>
      <c r="I212" s="24" t="str">
        <f>IF($X212="","",INDEX(Import_Staging!$L$2:$L$301,$X212)&amp;"")</f>
        <v/>
      </c>
      <c r="J212" s="24" t="str">
        <f>IF($X212="","","3PL import")</f>
        <v/>
      </c>
      <c r="K212" s="24" t="str">
        <f>IF($X212="","",Config!$B$11)</f>
        <v/>
      </c>
      <c r="L212" s="24" t="str">
        <f>IF($X212="","","CSV row "&amp;($X212+1))</f>
        <v/>
      </c>
      <c r="N212" s="24" t="str">
        <f>IF($Y212="","",INDEX(Import_Staging!$F$2:$F$301,$Y212)&amp;"")</f>
        <v/>
      </c>
      <c r="O212" s="24" t="str">
        <f>IF($Y212="","",INDEX(Import_Staging!$D$2:$D$301,$Y212)&amp;"")</f>
        <v/>
      </c>
      <c r="P212" s="24" t="str">
        <f>IF($Y212="","",INDEX(Import_Staging!$E$2:$E$301,$Y212)&amp;"")</f>
        <v/>
      </c>
      <c r="Q212" s="27" t="n"/>
      <c r="R212" s="27" t="str">
        <f>IF($Y212="","",INDEX(Import_Staging!$N$2:$N$301,$Y212))</f>
        <v/>
      </c>
      <c r="S212" s="70" t="str">
        <f>IF($Y212="","",0)</f>
        <v/>
      </c>
      <c r="T212" s="24" t="str">
        <f>IF($Y212="","",INDEX(Import_Staging!$I$2:$I$301,$Y212)&amp;"")</f>
        <v/>
      </c>
      <c r="U212" s="24" t="n"/>
      <c r="V212" s="24" t="str">
        <f>IF($Y212="","","Received "&amp;TEXT(INDEX(Import_Staging!$M$2:$M$301,$Y212),"yyyy-mm-dd")&amp;" (CSV row "&amp;($Y212+1)&amp;")")</f>
        <v/>
      </c>
      <c r="X212" t="str">
        <f>IFERROR(MATCH(207,Import_Staging!$BT$2:$BT$301,0),"")</f>
        <v/>
      </c>
      <c r="Y212" t="str">
        <f>IFERROR(MATCH(207,Import_Staging!$BV$2:$BV$301,0),"")</f>
        <v/>
      </c>
    </row>
    <row r="213">
      <c r="A213" s="24" t="str">
        <f>IF($X213="","",INDEX(Import_Staging!$A$2:$A$301,$X213)&amp;"")</f>
        <v/>
      </c>
      <c r="B213" s="27" t="str">
        <f>IF($X213="","",INDEX(Import_Staging!$M$2:$M$301,$X213))</f>
        <v/>
      </c>
      <c r="C213" s="24" t="str">
        <f>IF($X213="","",INDEX(Import_Staging!$C$2:$C$301,$X213)&amp;"")</f>
        <v/>
      </c>
      <c r="D213" s="24" t="str">
        <f>IF($X213="","",INDEX(Import_Staging!$D$2:$D$301,$X213)&amp;"")</f>
        <v/>
      </c>
      <c r="E213" s="69" t="str">
        <f>IF($X213="","",INDEX(Import_Staging!$O$2:$O$301,$X213))</f>
        <v/>
      </c>
      <c r="F213" s="24" t="str">
        <f>IF($X213="","",INDEX(Import_Staging!$F$2:$F$301,$X213)&amp;"")</f>
        <v/>
      </c>
      <c r="G213" s="24" t="str">
        <f>IF($X213="","",INDEX(Import_Staging!$J$2:$J$301,$X213)&amp;"")</f>
        <v/>
      </c>
      <c r="H213" s="24" t="str">
        <f>IF($X213="","",INDEX(Import_Staging!$K$2:$K$301,$X213)&amp;"")</f>
        <v/>
      </c>
      <c r="I213" s="24" t="str">
        <f>IF($X213="","",INDEX(Import_Staging!$L$2:$L$301,$X213)&amp;"")</f>
        <v/>
      </c>
      <c r="J213" s="24" t="str">
        <f>IF($X213="","","3PL import")</f>
        <v/>
      </c>
      <c r="K213" s="24" t="str">
        <f>IF($X213="","",Config!$B$11)</f>
        <v/>
      </c>
      <c r="L213" s="24" t="str">
        <f>IF($X213="","","CSV row "&amp;($X213+1))</f>
        <v/>
      </c>
      <c r="N213" s="24" t="str">
        <f>IF($Y213="","",INDEX(Import_Staging!$F$2:$F$301,$Y213)&amp;"")</f>
        <v/>
      </c>
      <c r="O213" s="24" t="str">
        <f>IF($Y213="","",INDEX(Import_Staging!$D$2:$D$301,$Y213)&amp;"")</f>
        <v/>
      </c>
      <c r="P213" s="24" t="str">
        <f>IF($Y213="","",INDEX(Import_Staging!$E$2:$E$301,$Y213)&amp;"")</f>
        <v/>
      </c>
      <c r="Q213" s="27" t="n"/>
      <c r="R213" s="27" t="str">
        <f>IF($Y213="","",INDEX(Import_Staging!$N$2:$N$301,$Y213))</f>
        <v/>
      </c>
      <c r="S213" s="70" t="str">
        <f>IF($Y213="","",0)</f>
        <v/>
      </c>
      <c r="T213" s="24" t="str">
        <f>IF($Y213="","",INDEX(Import_Staging!$I$2:$I$301,$Y213)&amp;"")</f>
        <v/>
      </c>
      <c r="U213" s="24" t="n"/>
      <c r="V213" s="24" t="str">
        <f>IF($Y213="","","Received "&amp;TEXT(INDEX(Import_Staging!$M$2:$M$301,$Y213),"yyyy-mm-dd")&amp;" (CSV row "&amp;($Y213+1)&amp;")")</f>
        <v/>
      </c>
      <c r="X213" t="str">
        <f>IFERROR(MATCH(208,Import_Staging!$BT$2:$BT$301,0),"")</f>
        <v/>
      </c>
      <c r="Y213" t="str">
        <f>IFERROR(MATCH(208,Import_Staging!$BV$2:$BV$301,0),"")</f>
        <v/>
      </c>
    </row>
    <row r="214">
      <c r="A214" s="24" t="str">
        <f>IF($X214="","",INDEX(Import_Staging!$A$2:$A$301,$X214)&amp;"")</f>
        <v/>
      </c>
      <c r="B214" s="27" t="str">
        <f>IF($X214="","",INDEX(Import_Staging!$M$2:$M$301,$X214))</f>
        <v/>
      </c>
      <c r="C214" s="24" t="str">
        <f>IF($X214="","",INDEX(Import_Staging!$C$2:$C$301,$X214)&amp;"")</f>
        <v/>
      </c>
      <c r="D214" s="24" t="str">
        <f>IF($X214="","",INDEX(Import_Staging!$D$2:$D$301,$X214)&amp;"")</f>
        <v/>
      </c>
      <c r="E214" s="69" t="str">
        <f>IF($X214="","",INDEX(Import_Staging!$O$2:$O$301,$X214))</f>
        <v/>
      </c>
      <c r="F214" s="24" t="str">
        <f>IF($X214="","",INDEX(Import_Staging!$F$2:$F$301,$X214)&amp;"")</f>
        <v/>
      </c>
      <c r="G214" s="24" t="str">
        <f>IF($X214="","",INDEX(Import_Staging!$J$2:$J$301,$X214)&amp;"")</f>
        <v/>
      </c>
      <c r="H214" s="24" t="str">
        <f>IF($X214="","",INDEX(Import_Staging!$K$2:$K$301,$X214)&amp;"")</f>
        <v/>
      </c>
      <c r="I214" s="24" t="str">
        <f>IF($X214="","",INDEX(Import_Staging!$L$2:$L$301,$X214)&amp;"")</f>
        <v/>
      </c>
      <c r="J214" s="24" t="str">
        <f>IF($X214="","","3PL import")</f>
        <v/>
      </c>
      <c r="K214" s="24" t="str">
        <f>IF($X214="","",Config!$B$11)</f>
        <v/>
      </c>
      <c r="L214" s="24" t="str">
        <f>IF($X214="","","CSV row "&amp;($X214+1))</f>
        <v/>
      </c>
      <c r="N214" s="24" t="str">
        <f>IF($Y214="","",INDEX(Import_Staging!$F$2:$F$301,$Y214)&amp;"")</f>
        <v/>
      </c>
      <c r="O214" s="24" t="str">
        <f>IF($Y214="","",INDEX(Import_Staging!$D$2:$D$301,$Y214)&amp;"")</f>
        <v/>
      </c>
      <c r="P214" s="24" t="str">
        <f>IF($Y214="","",INDEX(Import_Staging!$E$2:$E$301,$Y214)&amp;"")</f>
        <v/>
      </c>
      <c r="Q214" s="27" t="n"/>
      <c r="R214" s="27" t="str">
        <f>IF($Y214="","",INDEX(Import_Staging!$N$2:$N$301,$Y214))</f>
        <v/>
      </c>
      <c r="S214" s="70" t="str">
        <f>IF($Y214="","",0)</f>
        <v/>
      </c>
      <c r="T214" s="24" t="str">
        <f>IF($Y214="","",INDEX(Import_Staging!$I$2:$I$301,$Y214)&amp;"")</f>
        <v/>
      </c>
      <c r="U214" s="24" t="n"/>
      <c r="V214" s="24" t="str">
        <f>IF($Y214="","","Received "&amp;TEXT(INDEX(Import_Staging!$M$2:$M$301,$Y214),"yyyy-mm-dd")&amp;" (CSV row "&amp;($Y214+1)&amp;")")</f>
        <v/>
      </c>
      <c r="X214" t="str">
        <f>IFERROR(MATCH(209,Import_Staging!$BT$2:$BT$301,0),"")</f>
        <v/>
      </c>
      <c r="Y214" t="str">
        <f>IFERROR(MATCH(209,Import_Staging!$BV$2:$BV$301,0),"")</f>
        <v/>
      </c>
    </row>
    <row r="215">
      <c r="A215" s="24" t="str">
        <f>IF($X215="","",INDEX(Import_Staging!$A$2:$A$301,$X215)&amp;"")</f>
        <v/>
      </c>
      <c r="B215" s="27" t="str">
        <f>IF($X215="","",INDEX(Import_Staging!$M$2:$M$301,$X215))</f>
        <v/>
      </c>
      <c r="C215" s="24" t="str">
        <f>IF($X215="","",INDEX(Import_Staging!$C$2:$C$301,$X215)&amp;"")</f>
        <v/>
      </c>
      <c r="D215" s="24" t="str">
        <f>IF($X215="","",INDEX(Import_Staging!$D$2:$D$301,$X215)&amp;"")</f>
        <v/>
      </c>
      <c r="E215" s="69" t="str">
        <f>IF($X215="","",INDEX(Import_Staging!$O$2:$O$301,$X215))</f>
        <v/>
      </c>
      <c r="F215" s="24" t="str">
        <f>IF($X215="","",INDEX(Import_Staging!$F$2:$F$301,$X215)&amp;"")</f>
        <v/>
      </c>
      <c r="G215" s="24" t="str">
        <f>IF($X215="","",INDEX(Import_Staging!$J$2:$J$301,$X215)&amp;"")</f>
        <v/>
      </c>
      <c r="H215" s="24" t="str">
        <f>IF($X215="","",INDEX(Import_Staging!$K$2:$K$301,$X215)&amp;"")</f>
        <v/>
      </c>
      <c r="I215" s="24" t="str">
        <f>IF($X215="","",INDEX(Import_Staging!$L$2:$L$301,$X215)&amp;"")</f>
        <v/>
      </c>
      <c r="J215" s="24" t="str">
        <f>IF($X215="","","3PL import")</f>
        <v/>
      </c>
      <c r="K215" s="24" t="str">
        <f>IF($X215="","",Config!$B$11)</f>
        <v/>
      </c>
      <c r="L215" s="24" t="str">
        <f>IF($X215="","","CSV row "&amp;($X215+1))</f>
        <v/>
      </c>
      <c r="N215" s="24" t="str">
        <f>IF($Y215="","",INDEX(Import_Staging!$F$2:$F$301,$Y215)&amp;"")</f>
        <v/>
      </c>
      <c r="O215" s="24" t="str">
        <f>IF($Y215="","",INDEX(Import_Staging!$D$2:$D$301,$Y215)&amp;"")</f>
        <v/>
      </c>
      <c r="P215" s="24" t="str">
        <f>IF($Y215="","",INDEX(Import_Staging!$E$2:$E$301,$Y215)&amp;"")</f>
        <v/>
      </c>
      <c r="Q215" s="27" t="n"/>
      <c r="R215" s="27" t="str">
        <f>IF($Y215="","",INDEX(Import_Staging!$N$2:$N$301,$Y215))</f>
        <v/>
      </c>
      <c r="S215" s="70" t="str">
        <f>IF($Y215="","",0)</f>
        <v/>
      </c>
      <c r="T215" s="24" t="str">
        <f>IF($Y215="","",INDEX(Import_Staging!$I$2:$I$301,$Y215)&amp;"")</f>
        <v/>
      </c>
      <c r="U215" s="24" t="n"/>
      <c r="V215" s="24" t="str">
        <f>IF($Y215="","","Received "&amp;TEXT(INDEX(Import_Staging!$M$2:$M$301,$Y215),"yyyy-mm-dd")&amp;" (CSV row "&amp;($Y215+1)&amp;")")</f>
        <v/>
      </c>
      <c r="X215" t="str">
        <f>IFERROR(MATCH(210,Import_Staging!$BT$2:$BT$301,0),"")</f>
        <v/>
      </c>
      <c r="Y215" t="str">
        <f>IFERROR(MATCH(210,Import_Staging!$BV$2:$BV$301,0),"")</f>
        <v/>
      </c>
    </row>
    <row r="216">
      <c r="A216" s="24" t="str">
        <f>IF($X216="","",INDEX(Import_Staging!$A$2:$A$301,$X216)&amp;"")</f>
        <v/>
      </c>
      <c r="B216" s="27" t="str">
        <f>IF($X216="","",INDEX(Import_Staging!$M$2:$M$301,$X216))</f>
        <v/>
      </c>
      <c r="C216" s="24" t="str">
        <f>IF($X216="","",INDEX(Import_Staging!$C$2:$C$301,$X216)&amp;"")</f>
        <v/>
      </c>
      <c r="D216" s="24" t="str">
        <f>IF($X216="","",INDEX(Import_Staging!$D$2:$D$301,$X216)&amp;"")</f>
        <v/>
      </c>
      <c r="E216" s="69" t="str">
        <f>IF($X216="","",INDEX(Import_Staging!$O$2:$O$301,$X216))</f>
        <v/>
      </c>
      <c r="F216" s="24" t="str">
        <f>IF($X216="","",INDEX(Import_Staging!$F$2:$F$301,$X216)&amp;"")</f>
        <v/>
      </c>
      <c r="G216" s="24" t="str">
        <f>IF($X216="","",INDEX(Import_Staging!$J$2:$J$301,$X216)&amp;"")</f>
        <v/>
      </c>
      <c r="H216" s="24" t="str">
        <f>IF($X216="","",INDEX(Import_Staging!$K$2:$K$301,$X216)&amp;"")</f>
        <v/>
      </c>
      <c r="I216" s="24" t="str">
        <f>IF($X216="","",INDEX(Import_Staging!$L$2:$L$301,$X216)&amp;"")</f>
        <v/>
      </c>
      <c r="J216" s="24" t="str">
        <f>IF($X216="","","3PL import")</f>
        <v/>
      </c>
      <c r="K216" s="24" t="str">
        <f>IF($X216="","",Config!$B$11)</f>
        <v/>
      </c>
      <c r="L216" s="24" t="str">
        <f>IF($X216="","","CSV row "&amp;($X216+1))</f>
        <v/>
      </c>
      <c r="N216" s="24" t="str">
        <f>IF($Y216="","",INDEX(Import_Staging!$F$2:$F$301,$Y216)&amp;"")</f>
        <v/>
      </c>
      <c r="O216" s="24" t="str">
        <f>IF($Y216="","",INDEX(Import_Staging!$D$2:$D$301,$Y216)&amp;"")</f>
        <v/>
      </c>
      <c r="P216" s="24" t="str">
        <f>IF($Y216="","",INDEX(Import_Staging!$E$2:$E$301,$Y216)&amp;"")</f>
        <v/>
      </c>
      <c r="Q216" s="27" t="n"/>
      <c r="R216" s="27" t="str">
        <f>IF($Y216="","",INDEX(Import_Staging!$N$2:$N$301,$Y216))</f>
        <v/>
      </c>
      <c r="S216" s="70" t="str">
        <f>IF($Y216="","",0)</f>
        <v/>
      </c>
      <c r="T216" s="24" t="str">
        <f>IF($Y216="","",INDEX(Import_Staging!$I$2:$I$301,$Y216)&amp;"")</f>
        <v/>
      </c>
      <c r="U216" s="24" t="n"/>
      <c r="V216" s="24" t="str">
        <f>IF($Y216="","","Received "&amp;TEXT(INDEX(Import_Staging!$M$2:$M$301,$Y216),"yyyy-mm-dd")&amp;" (CSV row "&amp;($Y216+1)&amp;")")</f>
        <v/>
      </c>
      <c r="X216" t="str">
        <f>IFERROR(MATCH(211,Import_Staging!$BT$2:$BT$301,0),"")</f>
        <v/>
      </c>
      <c r="Y216" t="str">
        <f>IFERROR(MATCH(211,Import_Staging!$BV$2:$BV$301,0),"")</f>
        <v/>
      </c>
    </row>
    <row r="217">
      <c r="A217" s="24" t="str">
        <f>IF($X217="","",INDEX(Import_Staging!$A$2:$A$301,$X217)&amp;"")</f>
        <v/>
      </c>
      <c r="B217" s="27" t="str">
        <f>IF($X217="","",INDEX(Import_Staging!$M$2:$M$301,$X217))</f>
        <v/>
      </c>
      <c r="C217" s="24" t="str">
        <f>IF($X217="","",INDEX(Import_Staging!$C$2:$C$301,$X217)&amp;"")</f>
        <v/>
      </c>
      <c r="D217" s="24" t="str">
        <f>IF($X217="","",INDEX(Import_Staging!$D$2:$D$301,$X217)&amp;"")</f>
        <v/>
      </c>
      <c r="E217" s="69" t="str">
        <f>IF($X217="","",INDEX(Import_Staging!$O$2:$O$301,$X217))</f>
        <v/>
      </c>
      <c r="F217" s="24" t="str">
        <f>IF($X217="","",INDEX(Import_Staging!$F$2:$F$301,$X217)&amp;"")</f>
        <v/>
      </c>
      <c r="G217" s="24" t="str">
        <f>IF($X217="","",INDEX(Import_Staging!$J$2:$J$301,$X217)&amp;"")</f>
        <v/>
      </c>
      <c r="H217" s="24" t="str">
        <f>IF($X217="","",INDEX(Import_Staging!$K$2:$K$301,$X217)&amp;"")</f>
        <v/>
      </c>
      <c r="I217" s="24" t="str">
        <f>IF($X217="","",INDEX(Import_Staging!$L$2:$L$301,$X217)&amp;"")</f>
        <v/>
      </c>
      <c r="J217" s="24" t="str">
        <f>IF($X217="","","3PL import")</f>
        <v/>
      </c>
      <c r="K217" s="24" t="str">
        <f>IF($X217="","",Config!$B$11)</f>
        <v/>
      </c>
      <c r="L217" s="24" t="str">
        <f>IF($X217="","","CSV row "&amp;($X217+1))</f>
        <v/>
      </c>
      <c r="N217" s="24" t="str">
        <f>IF($Y217="","",INDEX(Import_Staging!$F$2:$F$301,$Y217)&amp;"")</f>
        <v/>
      </c>
      <c r="O217" s="24" t="str">
        <f>IF($Y217="","",INDEX(Import_Staging!$D$2:$D$301,$Y217)&amp;"")</f>
        <v/>
      </c>
      <c r="P217" s="24" t="str">
        <f>IF($Y217="","",INDEX(Import_Staging!$E$2:$E$301,$Y217)&amp;"")</f>
        <v/>
      </c>
      <c r="Q217" s="27" t="n"/>
      <c r="R217" s="27" t="str">
        <f>IF($Y217="","",INDEX(Import_Staging!$N$2:$N$301,$Y217))</f>
        <v/>
      </c>
      <c r="S217" s="70" t="str">
        <f>IF($Y217="","",0)</f>
        <v/>
      </c>
      <c r="T217" s="24" t="str">
        <f>IF($Y217="","",INDEX(Import_Staging!$I$2:$I$301,$Y217)&amp;"")</f>
        <v/>
      </c>
      <c r="U217" s="24" t="n"/>
      <c r="V217" s="24" t="str">
        <f>IF($Y217="","","Received "&amp;TEXT(INDEX(Import_Staging!$M$2:$M$301,$Y217),"yyyy-mm-dd")&amp;" (CSV row "&amp;($Y217+1)&amp;")")</f>
        <v/>
      </c>
      <c r="X217" t="str">
        <f>IFERROR(MATCH(212,Import_Staging!$BT$2:$BT$301,0),"")</f>
        <v/>
      </c>
      <c r="Y217" t="str">
        <f>IFERROR(MATCH(212,Import_Staging!$BV$2:$BV$301,0),"")</f>
        <v/>
      </c>
    </row>
    <row r="218">
      <c r="A218" s="24" t="str">
        <f>IF($X218="","",INDEX(Import_Staging!$A$2:$A$301,$X218)&amp;"")</f>
        <v/>
      </c>
      <c r="B218" s="27" t="str">
        <f>IF($X218="","",INDEX(Import_Staging!$M$2:$M$301,$X218))</f>
        <v/>
      </c>
      <c r="C218" s="24" t="str">
        <f>IF($X218="","",INDEX(Import_Staging!$C$2:$C$301,$X218)&amp;"")</f>
        <v/>
      </c>
      <c r="D218" s="24" t="str">
        <f>IF($X218="","",INDEX(Import_Staging!$D$2:$D$301,$X218)&amp;"")</f>
        <v/>
      </c>
      <c r="E218" s="69" t="str">
        <f>IF($X218="","",INDEX(Import_Staging!$O$2:$O$301,$X218))</f>
        <v/>
      </c>
      <c r="F218" s="24" t="str">
        <f>IF($X218="","",INDEX(Import_Staging!$F$2:$F$301,$X218)&amp;"")</f>
        <v/>
      </c>
      <c r="G218" s="24" t="str">
        <f>IF($X218="","",INDEX(Import_Staging!$J$2:$J$301,$X218)&amp;"")</f>
        <v/>
      </c>
      <c r="H218" s="24" t="str">
        <f>IF($X218="","",INDEX(Import_Staging!$K$2:$K$301,$X218)&amp;"")</f>
        <v/>
      </c>
      <c r="I218" s="24" t="str">
        <f>IF($X218="","",INDEX(Import_Staging!$L$2:$L$301,$X218)&amp;"")</f>
        <v/>
      </c>
      <c r="J218" s="24" t="str">
        <f>IF($X218="","","3PL import")</f>
        <v/>
      </c>
      <c r="K218" s="24" t="str">
        <f>IF($X218="","",Config!$B$11)</f>
        <v/>
      </c>
      <c r="L218" s="24" t="str">
        <f>IF($X218="","","CSV row "&amp;($X218+1))</f>
        <v/>
      </c>
      <c r="N218" s="24" t="str">
        <f>IF($Y218="","",INDEX(Import_Staging!$F$2:$F$301,$Y218)&amp;"")</f>
        <v/>
      </c>
      <c r="O218" s="24" t="str">
        <f>IF($Y218="","",INDEX(Import_Staging!$D$2:$D$301,$Y218)&amp;"")</f>
        <v/>
      </c>
      <c r="P218" s="24" t="str">
        <f>IF($Y218="","",INDEX(Import_Staging!$E$2:$E$301,$Y218)&amp;"")</f>
        <v/>
      </c>
      <c r="Q218" s="27" t="n"/>
      <c r="R218" s="27" t="str">
        <f>IF($Y218="","",INDEX(Import_Staging!$N$2:$N$301,$Y218))</f>
        <v/>
      </c>
      <c r="S218" s="70" t="str">
        <f>IF($Y218="","",0)</f>
        <v/>
      </c>
      <c r="T218" s="24" t="str">
        <f>IF($Y218="","",INDEX(Import_Staging!$I$2:$I$301,$Y218)&amp;"")</f>
        <v/>
      </c>
      <c r="U218" s="24" t="n"/>
      <c r="V218" s="24" t="str">
        <f>IF($Y218="","","Received "&amp;TEXT(INDEX(Import_Staging!$M$2:$M$301,$Y218),"yyyy-mm-dd")&amp;" (CSV row "&amp;($Y218+1)&amp;")")</f>
        <v/>
      </c>
      <c r="X218" t="str">
        <f>IFERROR(MATCH(213,Import_Staging!$BT$2:$BT$301,0),"")</f>
        <v/>
      </c>
      <c r="Y218" t="str">
        <f>IFERROR(MATCH(213,Import_Staging!$BV$2:$BV$301,0),"")</f>
        <v/>
      </c>
    </row>
    <row r="219">
      <c r="A219" s="24" t="str">
        <f>IF($X219="","",INDEX(Import_Staging!$A$2:$A$301,$X219)&amp;"")</f>
        <v/>
      </c>
      <c r="B219" s="27" t="str">
        <f>IF($X219="","",INDEX(Import_Staging!$M$2:$M$301,$X219))</f>
        <v/>
      </c>
      <c r="C219" s="24" t="str">
        <f>IF($X219="","",INDEX(Import_Staging!$C$2:$C$301,$X219)&amp;"")</f>
        <v/>
      </c>
      <c r="D219" s="24" t="str">
        <f>IF($X219="","",INDEX(Import_Staging!$D$2:$D$301,$X219)&amp;"")</f>
        <v/>
      </c>
      <c r="E219" s="69" t="str">
        <f>IF($X219="","",INDEX(Import_Staging!$O$2:$O$301,$X219))</f>
        <v/>
      </c>
      <c r="F219" s="24" t="str">
        <f>IF($X219="","",INDEX(Import_Staging!$F$2:$F$301,$X219)&amp;"")</f>
        <v/>
      </c>
      <c r="G219" s="24" t="str">
        <f>IF($X219="","",INDEX(Import_Staging!$J$2:$J$301,$X219)&amp;"")</f>
        <v/>
      </c>
      <c r="H219" s="24" t="str">
        <f>IF($X219="","",INDEX(Import_Staging!$K$2:$K$301,$X219)&amp;"")</f>
        <v/>
      </c>
      <c r="I219" s="24" t="str">
        <f>IF($X219="","",INDEX(Import_Staging!$L$2:$L$301,$X219)&amp;"")</f>
        <v/>
      </c>
      <c r="J219" s="24" t="str">
        <f>IF($X219="","","3PL import")</f>
        <v/>
      </c>
      <c r="K219" s="24" t="str">
        <f>IF($X219="","",Config!$B$11)</f>
        <v/>
      </c>
      <c r="L219" s="24" t="str">
        <f>IF($X219="","","CSV row "&amp;($X219+1))</f>
        <v/>
      </c>
      <c r="N219" s="24" t="str">
        <f>IF($Y219="","",INDEX(Import_Staging!$F$2:$F$301,$Y219)&amp;"")</f>
        <v/>
      </c>
      <c r="O219" s="24" t="str">
        <f>IF($Y219="","",INDEX(Import_Staging!$D$2:$D$301,$Y219)&amp;"")</f>
        <v/>
      </c>
      <c r="P219" s="24" t="str">
        <f>IF($Y219="","",INDEX(Import_Staging!$E$2:$E$301,$Y219)&amp;"")</f>
        <v/>
      </c>
      <c r="Q219" s="27" t="n"/>
      <c r="R219" s="27" t="str">
        <f>IF($Y219="","",INDEX(Import_Staging!$N$2:$N$301,$Y219))</f>
        <v/>
      </c>
      <c r="S219" s="70" t="str">
        <f>IF($Y219="","",0)</f>
        <v/>
      </c>
      <c r="T219" s="24" t="str">
        <f>IF($Y219="","",INDEX(Import_Staging!$I$2:$I$301,$Y219)&amp;"")</f>
        <v/>
      </c>
      <c r="U219" s="24" t="n"/>
      <c r="V219" s="24" t="str">
        <f>IF($Y219="","","Received "&amp;TEXT(INDEX(Import_Staging!$M$2:$M$301,$Y219),"yyyy-mm-dd")&amp;" (CSV row "&amp;($Y219+1)&amp;")")</f>
        <v/>
      </c>
      <c r="X219" t="str">
        <f>IFERROR(MATCH(214,Import_Staging!$BT$2:$BT$301,0),"")</f>
        <v/>
      </c>
      <c r="Y219" t="str">
        <f>IFERROR(MATCH(214,Import_Staging!$BV$2:$BV$301,0),"")</f>
        <v/>
      </c>
    </row>
    <row r="220">
      <c r="A220" s="24" t="str">
        <f>IF($X220="","",INDEX(Import_Staging!$A$2:$A$301,$X220)&amp;"")</f>
        <v/>
      </c>
      <c r="B220" s="27" t="str">
        <f>IF($X220="","",INDEX(Import_Staging!$M$2:$M$301,$X220))</f>
        <v/>
      </c>
      <c r="C220" s="24" t="str">
        <f>IF($X220="","",INDEX(Import_Staging!$C$2:$C$301,$X220)&amp;"")</f>
        <v/>
      </c>
      <c r="D220" s="24" t="str">
        <f>IF($X220="","",INDEX(Import_Staging!$D$2:$D$301,$X220)&amp;"")</f>
        <v/>
      </c>
      <c r="E220" s="69" t="str">
        <f>IF($X220="","",INDEX(Import_Staging!$O$2:$O$301,$X220))</f>
        <v/>
      </c>
      <c r="F220" s="24" t="str">
        <f>IF($X220="","",INDEX(Import_Staging!$F$2:$F$301,$X220)&amp;"")</f>
        <v/>
      </c>
      <c r="G220" s="24" t="str">
        <f>IF($X220="","",INDEX(Import_Staging!$J$2:$J$301,$X220)&amp;"")</f>
        <v/>
      </c>
      <c r="H220" s="24" t="str">
        <f>IF($X220="","",INDEX(Import_Staging!$K$2:$K$301,$X220)&amp;"")</f>
        <v/>
      </c>
      <c r="I220" s="24" t="str">
        <f>IF($X220="","",INDEX(Import_Staging!$L$2:$L$301,$X220)&amp;"")</f>
        <v/>
      </c>
      <c r="J220" s="24" t="str">
        <f>IF($X220="","","3PL import")</f>
        <v/>
      </c>
      <c r="K220" s="24" t="str">
        <f>IF($X220="","",Config!$B$11)</f>
        <v/>
      </c>
      <c r="L220" s="24" t="str">
        <f>IF($X220="","","CSV row "&amp;($X220+1))</f>
        <v/>
      </c>
      <c r="N220" s="24" t="str">
        <f>IF($Y220="","",INDEX(Import_Staging!$F$2:$F$301,$Y220)&amp;"")</f>
        <v/>
      </c>
      <c r="O220" s="24" t="str">
        <f>IF($Y220="","",INDEX(Import_Staging!$D$2:$D$301,$Y220)&amp;"")</f>
        <v/>
      </c>
      <c r="P220" s="24" t="str">
        <f>IF($Y220="","",INDEX(Import_Staging!$E$2:$E$301,$Y220)&amp;"")</f>
        <v/>
      </c>
      <c r="Q220" s="27" t="n"/>
      <c r="R220" s="27" t="str">
        <f>IF($Y220="","",INDEX(Import_Staging!$N$2:$N$301,$Y220))</f>
        <v/>
      </c>
      <c r="S220" s="70" t="str">
        <f>IF($Y220="","",0)</f>
        <v/>
      </c>
      <c r="T220" s="24" t="str">
        <f>IF($Y220="","",INDEX(Import_Staging!$I$2:$I$301,$Y220)&amp;"")</f>
        <v/>
      </c>
      <c r="U220" s="24" t="n"/>
      <c r="V220" s="24" t="str">
        <f>IF($Y220="","","Received "&amp;TEXT(INDEX(Import_Staging!$M$2:$M$301,$Y220),"yyyy-mm-dd")&amp;" (CSV row "&amp;($Y220+1)&amp;")")</f>
        <v/>
      </c>
      <c r="X220" t="str">
        <f>IFERROR(MATCH(215,Import_Staging!$BT$2:$BT$301,0),"")</f>
        <v/>
      </c>
      <c r="Y220" t="str">
        <f>IFERROR(MATCH(215,Import_Staging!$BV$2:$BV$301,0),"")</f>
        <v/>
      </c>
    </row>
    <row r="221">
      <c r="A221" s="24" t="str">
        <f>IF($X221="","",INDEX(Import_Staging!$A$2:$A$301,$X221)&amp;"")</f>
        <v/>
      </c>
      <c r="B221" s="27" t="str">
        <f>IF($X221="","",INDEX(Import_Staging!$M$2:$M$301,$X221))</f>
        <v/>
      </c>
      <c r="C221" s="24" t="str">
        <f>IF($X221="","",INDEX(Import_Staging!$C$2:$C$301,$X221)&amp;"")</f>
        <v/>
      </c>
      <c r="D221" s="24" t="str">
        <f>IF($X221="","",INDEX(Import_Staging!$D$2:$D$301,$X221)&amp;"")</f>
        <v/>
      </c>
      <c r="E221" s="69" t="str">
        <f>IF($X221="","",INDEX(Import_Staging!$O$2:$O$301,$X221))</f>
        <v/>
      </c>
      <c r="F221" s="24" t="str">
        <f>IF($X221="","",INDEX(Import_Staging!$F$2:$F$301,$X221)&amp;"")</f>
        <v/>
      </c>
      <c r="G221" s="24" t="str">
        <f>IF($X221="","",INDEX(Import_Staging!$J$2:$J$301,$X221)&amp;"")</f>
        <v/>
      </c>
      <c r="H221" s="24" t="str">
        <f>IF($X221="","",INDEX(Import_Staging!$K$2:$K$301,$X221)&amp;"")</f>
        <v/>
      </c>
      <c r="I221" s="24" t="str">
        <f>IF($X221="","",INDEX(Import_Staging!$L$2:$L$301,$X221)&amp;"")</f>
        <v/>
      </c>
      <c r="J221" s="24" t="str">
        <f>IF($X221="","","3PL import")</f>
        <v/>
      </c>
      <c r="K221" s="24" t="str">
        <f>IF($X221="","",Config!$B$11)</f>
        <v/>
      </c>
      <c r="L221" s="24" t="str">
        <f>IF($X221="","","CSV row "&amp;($X221+1))</f>
        <v/>
      </c>
      <c r="N221" s="24" t="str">
        <f>IF($Y221="","",INDEX(Import_Staging!$F$2:$F$301,$Y221)&amp;"")</f>
        <v/>
      </c>
      <c r="O221" s="24" t="str">
        <f>IF($Y221="","",INDEX(Import_Staging!$D$2:$D$301,$Y221)&amp;"")</f>
        <v/>
      </c>
      <c r="P221" s="24" t="str">
        <f>IF($Y221="","",INDEX(Import_Staging!$E$2:$E$301,$Y221)&amp;"")</f>
        <v/>
      </c>
      <c r="Q221" s="27" t="n"/>
      <c r="R221" s="27" t="str">
        <f>IF($Y221="","",INDEX(Import_Staging!$N$2:$N$301,$Y221))</f>
        <v/>
      </c>
      <c r="S221" s="70" t="str">
        <f>IF($Y221="","",0)</f>
        <v/>
      </c>
      <c r="T221" s="24" t="str">
        <f>IF($Y221="","",INDEX(Import_Staging!$I$2:$I$301,$Y221)&amp;"")</f>
        <v/>
      </c>
      <c r="U221" s="24" t="n"/>
      <c r="V221" s="24" t="str">
        <f>IF($Y221="","","Received "&amp;TEXT(INDEX(Import_Staging!$M$2:$M$301,$Y221),"yyyy-mm-dd")&amp;" (CSV row "&amp;($Y221+1)&amp;")")</f>
        <v/>
      </c>
      <c r="X221" t="str">
        <f>IFERROR(MATCH(216,Import_Staging!$BT$2:$BT$301,0),"")</f>
        <v/>
      </c>
      <c r="Y221" t="str">
        <f>IFERROR(MATCH(216,Import_Staging!$BV$2:$BV$301,0),"")</f>
        <v/>
      </c>
    </row>
    <row r="222">
      <c r="A222" s="24" t="str">
        <f>IF($X222="","",INDEX(Import_Staging!$A$2:$A$301,$X222)&amp;"")</f>
        <v/>
      </c>
      <c r="B222" s="27" t="str">
        <f>IF($X222="","",INDEX(Import_Staging!$M$2:$M$301,$X222))</f>
        <v/>
      </c>
      <c r="C222" s="24" t="str">
        <f>IF($X222="","",INDEX(Import_Staging!$C$2:$C$301,$X222)&amp;"")</f>
        <v/>
      </c>
      <c r="D222" s="24" t="str">
        <f>IF($X222="","",INDEX(Import_Staging!$D$2:$D$301,$X222)&amp;"")</f>
        <v/>
      </c>
      <c r="E222" s="69" t="str">
        <f>IF($X222="","",INDEX(Import_Staging!$O$2:$O$301,$X222))</f>
        <v/>
      </c>
      <c r="F222" s="24" t="str">
        <f>IF($X222="","",INDEX(Import_Staging!$F$2:$F$301,$X222)&amp;"")</f>
        <v/>
      </c>
      <c r="G222" s="24" t="str">
        <f>IF($X222="","",INDEX(Import_Staging!$J$2:$J$301,$X222)&amp;"")</f>
        <v/>
      </c>
      <c r="H222" s="24" t="str">
        <f>IF($X222="","",INDEX(Import_Staging!$K$2:$K$301,$X222)&amp;"")</f>
        <v/>
      </c>
      <c r="I222" s="24" t="str">
        <f>IF($X222="","",INDEX(Import_Staging!$L$2:$L$301,$X222)&amp;"")</f>
        <v/>
      </c>
      <c r="J222" s="24" t="str">
        <f>IF($X222="","","3PL import")</f>
        <v/>
      </c>
      <c r="K222" s="24" t="str">
        <f>IF($X222="","",Config!$B$11)</f>
        <v/>
      </c>
      <c r="L222" s="24" t="str">
        <f>IF($X222="","","CSV row "&amp;($X222+1))</f>
        <v/>
      </c>
      <c r="N222" s="24" t="str">
        <f>IF($Y222="","",INDEX(Import_Staging!$F$2:$F$301,$Y222)&amp;"")</f>
        <v/>
      </c>
      <c r="O222" s="24" t="str">
        <f>IF($Y222="","",INDEX(Import_Staging!$D$2:$D$301,$Y222)&amp;"")</f>
        <v/>
      </c>
      <c r="P222" s="24" t="str">
        <f>IF($Y222="","",INDEX(Import_Staging!$E$2:$E$301,$Y222)&amp;"")</f>
        <v/>
      </c>
      <c r="Q222" s="27" t="n"/>
      <c r="R222" s="27" t="str">
        <f>IF($Y222="","",INDEX(Import_Staging!$N$2:$N$301,$Y222))</f>
        <v/>
      </c>
      <c r="S222" s="70" t="str">
        <f>IF($Y222="","",0)</f>
        <v/>
      </c>
      <c r="T222" s="24" t="str">
        <f>IF($Y222="","",INDEX(Import_Staging!$I$2:$I$301,$Y222)&amp;"")</f>
        <v/>
      </c>
      <c r="U222" s="24" t="n"/>
      <c r="V222" s="24" t="str">
        <f>IF($Y222="","","Received "&amp;TEXT(INDEX(Import_Staging!$M$2:$M$301,$Y222),"yyyy-mm-dd")&amp;" (CSV row "&amp;($Y222+1)&amp;")")</f>
        <v/>
      </c>
      <c r="X222" t="str">
        <f>IFERROR(MATCH(217,Import_Staging!$BT$2:$BT$301,0),"")</f>
        <v/>
      </c>
      <c r="Y222" t="str">
        <f>IFERROR(MATCH(217,Import_Staging!$BV$2:$BV$301,0),"")</f>
        <v/>
      </c>
    </row>
    <row r="223">
      <c r="A223" s="24" t="str">
        <f>IF($X223="","",INDEX(Import_Staging!$A$2:$A$301,$X223)&amp;"")</f>
        <v/>
      </c>
      <c r="B223" s="27" t="str">
        <f>IF($X223="","",INDEX(Import_Staging!$M$2:$M$301,$X223))</f>
        <v/>
      </c>
      <c r="C223" s="24" t="str">
        <f>IF($X223="","",INDEX(Import_Staging!$C$2:$C$301,$X223)&amp;"")</f>
        <v/>
      </c>
      <c r="D223" s="24" t="str">
        <f>IF($X223="","",INDEX(Import_Staging!$D$2:$D$301,$X223)&amp;"")</f>
        <v/>
      </c>
      <c r="E223" s="69" t="str">
        <f>IF($X223="","",INDEX(Import_Staging!$O$2:$O$301,$X223))</f>
        <v/>
      </c>
      <c r="F223" s="24" t="str">
        <f>IF($X223="","",INDEX(Import_Staging!$F$2:$F$301,$X223)&amp;"")</f>
        <v/>
      </c>
      <c r="G223" s="24" t="str">
        <f>IF($X223="","",INDEX(Import_Staging!$J$2:$J$301,$X223)&amp;"")</f>
        <v/>
      </c>
      <c r="H223" s="24" t="str">
        <f>IF($X223="","",INDEX(Import_Staging!$K$2:$K$301,$X223)&amp;"")</f>
        <v/>
      </c>
      <c r="I223" s="24" t="str">
        <f>IF($X223="","",INDEX(Import_Staging!$L$2:$L$301,$X223)&amp;"")</f>
        <v/>
      </c>
      <c r="J223" s="24" t="str">
        <f>IF($X223="","","3PL import")</f>
        <v/>
      </c>
      <c r="K223" s="24" t="str">
        <f>IF($X223="","",Config!$B$11)</f>
        <v/>
      </c>
      <c r="L223" s="24" t="str">
        <f>IF($X223="","","CSV row "&amp;($X223+1))</f>
        <v/>
      </c>
      <c r="N223" s="24" t="str">
        <f>IF($Y223="","",INDEX(Import_Staging!$F$2:$F$301,$Y223)&amp;"")</f>
        <v/>
      </c>
      <c r="O223" s="24" t="str">
        <f>IF($Y223="","",INDEX(Import_Staging!$D$2:$D$301,$Y223)&amp;"")</f>
        <v/>
      </c>
      <c r="P223" s="24" t="str">
        <f>IF($Y223="","",INDEX(Import_Staging!$E$2:$E$301,$Y223)&amp;"")</f>
        <v/>
      </c>
      <c r="Q223" s="27" t="n"/>
      <c r="R223" s="27" t="str">
        <f>IF($Y223="","",INDEX(Import_Staging!$N$2:$N$301,$Y223))</f>
        <v/>
      </c>
      <c r="S223" s="70" t="str">
        <f>IF($Y223="","",0)</f>
        <v/>
      </c>
      <c r="T223" s="24" t="str">
        <f>IF($Y223="","",INDEX(Import_Staging!$I$2:$I$301,$Y223)&amp;"")</f>
        <v/>
      </c>
      <c r="U223" s="24" t="n"/>
      <c r="V223" s="24" t="str">
        <f>IF($Y223="","","Received "&amp;TEXT(INDEX(Import_Staging!$M$2:$M$301,$Y223),"yyyy-mm-dd")&amp;" (CSV row "&amp;($Y223+1)&amp;")")</f>
        <v/>
      </c>
      <c r="X223" t="str">
        <f>IFERROR(MATCH(218,Import_Staging!$BT$2:$BT$301,0),"")</f>
        <v/>
      </c>
      <c r="Y223" t="str">
        <f>IFERROR(MATCH(218,Import_Staging!$BV$2:$BV$301,0),"")</f>
        <v/>
      </c>
    </row>
    <row r="224">
      <c r="A224" s="24" t="str">
        <f>IF($X224="","",INDEX(Import_Staging!$A$2:$A$301,$X224)&amp;"")</f>
        <v/>
      </c>
      <c r="B224" s="27" t="str">
        <f>IF($X224="","",INDEX(Import_Staging!$M$2:$M$301,$X224))</f>
        <v/>
      </c>
      <c r="C224" s="24" t="str">
        <f>IF($X224="","",INDEX(Import_Staging!$C$2:$C$301,$X224)&amp;"")</f>
        <v/>
      </c>
      <c r="D224" s="24" t="str">
        <f>IF($X224="","",INDEX(Import_Staging!$D$2:$D$301,$X224)&amp;"")</f>
        <v/>
      </c>
      <c r="E224" s="69" t="str">
        <f>IF($X224="","",INDEX(Import_Staging!$O$2:$O$301,$X224))</f>
        <v/>
      </c>
      <c r="F224" s="24" t="str">
        <f>IF($X224="","",INDEX(Import_Staging!$F$2:$F$301,$X224)&amp;"")</f>
        <v/>
      </c>
      <c r="G224" s="24" t="str">
        <f>IF($X224="","",INDEX(Import_Staging!$J$2:$J$301,$X224)&amp;"")</f>
        <v/>
      </c>
      <c r="H224" s="24" t="str">
        <f>IF($X224="","",INDEX(Import_Staging!$K$2:$K$301,$X224)&amp;"")</f>
        <v/>
      </c>
      <c r="I224" s="24" t="str">
        <f>IF($X224="","",INDEX(Import_Staging!$L$2:$L$301,$X224)&amp;"")</f>
        <v/>
      </c>
      <c r="J224" s="24" t="str">
        <f>IF($X224="","","3PL import")</f>
        <v/>
      </c>
      <c r="K224" s="24" t="str">
        <f>IF($X224="","",Config!$B$11)</f>
        <v/>
      </c>
      <c r="L224" s="24" t="str">
        <f>IF($X224="","","CSV row "&amp;($X224+1))</f>
        <v/>
      </c>
      <c r="N224" s="24" t="str">
        <f>IF($Y224="","",INDEX(Import_Staging!$F$2:$F$301,$Y224)&amp;"")</f>
        <v/>
      </c>
      <c r="O224" s="24" t="str">
        <f>IF($Y224="","",INDEX(Import_Staging!$D$2:$D$301,$Y224)&amp;"")</f>
        <v/>
      </c>
      <c r="P224" s="24" t="str">
        <f>IF($Y224="","",INDEX(Import_Staging!$E$2:$E$301,$Y224)&amp;"")</f>
        <v/>
      </c>
      <c r="Q224" s="27" t="n"/>
      <c r="R224" s="27" t="str">
        <f>IF($Y224="","",INDEX(Import_Staging!$N$2:$N$301,$Y224))</f>
        <v/>
      </c>
      <c r="S224" s="70" t="str">
        <f>IF($Y224="","",0)</f>
        <v/>
      </c>
      <c r="T224" s="24" t="str">
        <f>IF($Y224="","",INDEX(Import_Staging!$I$2:$I$301,$Y224)&amp;"")</f>
        <v/>
      </c>
      <c r="U224" s="24" t="n"/>
      <c r="V224" s="24" t="str">
        <f>IF($Y224="","","Received "&amp;TEXT(INDEX(Import_Staging!$M$2:$M$301,$Y224),"yyyy-mm-dd")&amp;" (CSV row "&amp;($Y224+1)&amp;")")</f>
        <v/>
      </c>
      <c r="X224" t="str">
        <f>IFERROR(MATCH(219,Import_Staging!$BT$2:$BT$301,0),"")</f>
        <v/>
      </c>
      <c r="Y224" t="str">
        <f>IFERROR(MATCH(219,Import_Staging!$BV$2:$BV$301,0),"")</f>
        <v/>
      </c>
    </row>
    <row r="225">
      <c r="A225" s="24" t="str">
        <f>IF($X225="","",INDEX(Import_Staging!$A$2:$A$301,$X225)&amp;"")</f>
        <v/>
      </c>
      <c r="B225" s="27" t="str">
        <f>IF($X225="","",INDEX(Import_Staging!$M$2:$M$301,$X225))</f>
        <v/>
      </c>
      <c r="C225" s="24" t="str">
        <f>IF($X225="","",INDEX(Import_Staging!$C$2:$C$301,$X225)&amp;"")</f>
        <v/>
      </c>
      <c r="D225" s="24" t="str">
        <f>IF($X225="","",INDEX(Import_Staging!$D$2:$D$301,$X225)&amp;"")</f>
        <v/>
      </c>
      <c r="E225" s="69" t="str">
        <f>IF($X225="","",INDEX(Import_Staging!$O$2:$O$301,$X225))</f>
        <v/>
      </c>
      <c r="F225" s="24" t="str">
        <f>IF($X225="","",INDEX(Import_Staging!$F$2:$F$301,$X225)&amp;"")</f>
        <v/>
      </c>
      <c r="G225" s="24" t="str">
        <f>IF($X225="","",INDEX(Import_Staging!$J$2:$J$301,$X225)&amp;"")</f>
        <v/>
      </c>
      <c r="H225" s="24" t="str">
        <f>IF($X225="","",INDEX(Import_Staging!$K$2:$K$301,$X225)&amp;"")</f>
        <v/>
      </c>
      <c r="I225" s="24" t="str">
        <f>IF($X225="","",INDEX(Import_Staging!$L$2:$L$301,$X225)&amp;"")</f>
        <v/>
      </c>
      <c r="J225" s="24" t="str">
        <f>IF($X225="","","3PL import")</f>
        <v/>
      </c>
      <c r="K225" s="24" t="str">
        <f>IF($X225="","",Config!$B$11)</f>
        <v/>
      </c>
      <c r="L225" s="24" t="str">
        <f>IF($X225="","","CSV row "&amp;($X225+1))</f>
        <v/>
      </c>
      <c r="N225" s="24" t="str">
        <f>IF($Y225="","",INDEX(Import_Staging!$F$2:$F$301,$Y225)&amp;"")</f>
        <v/>
      </c>
      <c r="O225" s="24" t="str">
        <f>IF($Y225="","",INDEX(Import_Staging!$D$2:$D$301,$Y225)&amp;"")</f>
        <v/>
      </c>
      <c r="P225" s="24" t="str">
        <f>IF($Y225="","",INDEX(Import_Staging!$E$2:$E$301,$Y225)&amp;"")</f>
        <v/>
      </c>
      <c r="Q225" s="27" t="n"/>
      <c r="R225" s="27" t="str">
        <f>IF($Y225="","",INDEX(Import_Staging!$N$2:$N$301,$Y225))</f>
        <v/>
      </c>
      <c r="S225" s="70" t="str">
        <f>IF($Y225="","",0)</f>
        <v/>
      </c>
      <c r="T225" s="24" t="str">
        <f>IF($Y225="","",INDEX(Import_Staging!$I$2:$I$301,$Y225)&amp;"")</f>
        <v/>
      </c>
      <c r="U225" s="24" t="n"/>
      <c r="V225" s="24" t="str">
        <f>IF($Y225="","","Received "&amp;TEXT(INDEX(Import_Staging!$M$2:$M$301,$Y225),"yyyy-mm-dd")&amp;" (CSV row "&amp;($Y225+1)&amp;")")</f>
        <v/>
      </c>
      <c r="X225" t="str">
        <f>IFERROR(MATCH(220,Import_Staging!$BT$2:$BT$301,0),"")</f>
        <v/>
      </c>
      <c r="Y225" t="str">
        <f>IFERROR(MATCH(220,Import_Staging!$BV$2:$BV$301,0),"")</f>
        <v/>
      </c>
    </row>
    <row r="226">
      <c r="A226" s="24" t="str">
        <f>IF($X226="","",INDEX(Import_Staging!$A$2:$A$301,$X226)&amp;"")</f>
        <v/>
      </c>
      <c r="B226" s="27" t="str">
        <f>IF($X226="","",INDEX(Import_Staging!$M$2:$M$301,$X226))</f>
        <v/>
      </c>
      <c r="C226" s="24" t="str">
        <f>IF($X226="","",INDEX(Import_Staging!$C$2:$C$301,$X226)&amp;"")</f>
        <v/>
      </c>
      <c r="D226" s="24" t="str">
        <f>IF($X226="","",INDEX(Import_Staging!$D$2:$D$301,$X226)&amp;"")</f>
        <v/>
      </c>
      <c r="E226" s="69" t="str">
        <f>IF($X226="","",INDEX(Import_Staging!$O$2:$O$301,$X226))</f>
        <v/>
      </c>
      <c r="F226" s="24" t="str">
        <f>IF($X226="","",INDEX(Import_Staging!$F$2:$F$301,$X226)&amp;"")</f>
        <v/>
      </c>
      <c r="G226" s="24" t="str">
        <f>IF($X226="","",INDEX(Import_Staging!$J$2:$J$301,$X226)&amp;"")</f>
        <v/>
      </c>
      <c r="H226" s="24" t="str">
        <f>IF($X226="","",INDEX(Import_Staging!$K$2:$K$301,$X226)&amp;"")</f>
        <v/>
      </c>
      <c r="I226" s="24" t="str">
        <f>IF($X226="","",INDEX(Import_Staging!$L$2:$L$301,$X226)&amp;"")</f>
        <v/>
      </c>
      <c r="J226" s="24" t="str">
        <f>IF($X226="","","3PL import")</f>
        <v/>
      </c>
      <c r="K226" s="24" t="str">
        <f>IF($X226="","",Config!$B$11)</f>
        <v/>
      </c>
      <c r="L226" s="24" t="str">
        <f>IF($X226="","","CSV row "&amp;($X226+1))</f>
        <v/>
      </c>
      <c r="N226" s="24" t="str">
        <f>IF($Y226="","",INDEX(Import_Staging!$F$2:$F$301,$Y226)&amp;"")</f>
        <v/>
      </c>
      <c r="O226" s="24" t="str">
        <f>IF($Y226="","",INDEX(Import_Staging!$D$2:$D$301,$Y226)&amp;"")</f>
        <v/>
      </c>
      <c r="P226" s="24" t="str">
        <f>IF($Y226="","",INDEX(Import_Staging!$E$2:$E$301,$Y226)&amp;"")</f>
        <v/>
      </c>
      <c r="Q226" s="27" t="n"/>
      <c r="R226" s="27" t="str">
        <f>IF($Y226="","",INDEX(Import_Staging!$N$2:$N$301,$Y226))</f>
        <v/>
      </c>
      <c r="S226" s="70" t="str">
        <f>IF($Y226="","",0)</f>
        <v/>
      </c>
      <c r="T226" s="24" t="str">
        <f>IF($Y226="","",INDEX(Import_Staging!$I$2:$I$301,$Y226)&amp;"")</f>
        <v/>
      </c>
      <c r="U226" s="24" t="n"/>
      <c r="V226" s="24" t="str">
        <f>IF($Y226="","","Received "&amp;TEXT(INDEX(Import_Staging!$M$2:$M$301,$Y226),"yyyy-mm-dd")&amp;" (CSV row "&amp;($Y226+1)&amp;")")</f>
        <v/>
      </c>
      <c r="X226" t="str">
        <f>IFERROR(MATCH(221,Import_Staging!$BT$2:$BT$301,0),"")</f>
        <v/>
      </c>
      <c r="Y226" t="str">
        <f>IFERROR(MATCH(221,Import_Staging!$BV$2:$BV$301,0),"")</f>
        <v/>
      </c>
    </row>
    <row r="227">
      <c r="A227" s="24" t="str">
        <f>IF($X227="","",INDEX(Import_Staging!$A$2:$A$301,$X227)&amp;"")</f>
        <v/>
      </c>
      <c r="B227" s="27" t="str">
        <f>IF($X227="","",INDEX(Import_Staging!$M$2:$M$301,$X227))</f>
        <v/>
      </c>
      <c r="C227" s="24" t="str">
        <f>IF($X227="","",INDEX(Import_Staging!$C$2:$C$301,$X227)&amp;"")</f>
        <v/>
      </c>
      <c r="D227" s="24" t="str">
        <f>IF($X227="","",INDEX(Import_Staging!$D$2:$D$301,$X227)&amp;"")</f>
        <v/>
      </c>
      <c r="E227" s="69" t="str">
        <f>IF($X227="","",INDEX(Import_Staging!$O$2:$O$301,$X227))</f>
        <v/>
      </c>
      <c r="F227" s="24" t="str">
        <f>IF($X227="","",INDEX(Import_Staging!$F$2:$F$301,$X227)&amp;"")</f>
        <v/>
      </c>
      <c r="G227" s="24" t="str">
        <f>IF($X227="","",INDEX(Import_Staging!$J$2:$J$301,$X227)&amp;"")</f>
        <v/>
      </c>
      <c r="H227" s="24" t="str">
        <f>IF($X227="","",INDEX(Import_Staging!$K$2:$K$301,$X227)&amp;"")</f>
        <v/>
      </c>
      <c r="I227" s="24" t="str">
        <f>IF($X227="","",INDEX(Import_Staging!$L$2:$L$301,$X227)&amp;"")</f>
        <v/>
      </c>
      <c r="J227" s="24" t="str">
        <f>IF($X227="","","3PL import")</f>
        <v/>
      </c>
      <c r="K227" s="24" t="str">
        <f>IF($X227="","",Config!$B$11)</f>
        <v/>
      </c>
      <c r="L227" s="24" t="str">
        <f>IF($X227="","","CSV row "&amp;($X227+1))</f>
        <v/>
      </c>
      <c r="N227" s="24" t="str">
        <f>IF($Y227="","",INDEX(Import_Staging!$F$2:$F$301,$Y227)&amp;"")</f>
        <v/>
      </c>
      <c r="O227" s="24" t="str">
        <f>IF($Y227="","",INDEX(Import_Staging!$D$2:$D$301,$Y227)&amp;"")</f>
        <v/>
      </c>
      <c r="P227" s="24" t="str">
        <f>IF($Y227="","",INDEX(Import_Staging!$E$2:$E$301,$Y227)&amp;"")</f>
        <v/>
      </c>
      <c r="Q227" s="27" t="n"/>
      <c r="R227" s="27" t="str">
        <f>IF($Y227="","",INDEX(Import_Staging!$N$2:$N$301,$Y227))</f>
        <v/>
      </c>
      <c r="S227" s="70" t="str">
        <f>IF($Y227="","",0)</f>
        <v/>
      </c>
      <c r="T227" s="24" t="str">
        <f>IF($Y227="","",INDEX(Import_Staging!$I$2:$I$301,$Y227)&amp;"")</f>
        <v/>
      </c>
      <c r="U227" s="24" t="n"/>
      <c r="V227" s="24" t="str">
        <f>IF($Y227="","","Received "&amp;TEXT(INDEX(Import_Staging!$M$2:$M$301,$Y227),"yyyy-mm-dd")&amp;" (CSV row "&amp;($Y227+1)&amp;")")</f>
        <v/>
      </c>
      <c r="X227" t="str">
        <f>IFERROR(MATCH(222,Import_Staging!$BT$2:$BT$301,0),"")</f>
        <v/>
      </c>
      <c r="Y227" t="str">
        <f>IFERROR(MATCH(222,Import_Staging!$BV$2:$BV$301,0),"")</f>
        <v/>
      </c>
    </row>
    <row r="228">
      <c r="A228" s="24" t="str">
        <f>IF($X228="","",INDEX(Import_Staging!$A$2:$A$301,$X228)&amp;"")</f>
        <v/>
      </c>
      <c r="B228" s="27" t="str">
        <f>IF($X228="","",INDEX(Import_Staging!$M$2:$M$301,$X228))</f>
        <v/>
      </c>
      <c r="C228" s="24" t="str">
        <f>IF($X228="","",INDEX(Import_Staging!$C$2:$C$301,$X228)&amp;"")</f>
        <v/>
      </c>
      <c r="D228" s="24" t="str">
        <f>IF($X228="","",INDEX(Import_Staging!$D$2:$D$301,$X228)&amp;"")</f>
        <v/>
      </c>
      <c r="E228" s="69" t="str">
        <f>IF($X228="","",INDEX(Import_Staging!$O$2:$O$301,$X228))</f>
        <v/>
      </c>
      <c r="F228" s="24" t="str">
        <f>IF($X228="","",INDEX(Import_Staging!$F$2:$F$301,$X228)&amp;"")</f>
        <v/>
      </c>
      <c r="G228" s="24" t="str">
        <f>IF($X228="","",INDEX(Import_Staging!$J$2:$J$301,$X228)&amp;"")</f>
        <v/>
      </c>
      <c r="H228" s="24" t="str">
        <f>IF($X228="","",INDEX(Import_Staging!$K$2:$K$301,$X228)&amp;"")</f>
        <v/>
      </c>
      <c r="I228" s="24" t="str">
        <f>IF($X228="","",INDEX(Import_Staging!$L$2:$L$301,$X228)&amp;"")</f>
        <v/>
      </c>
      <c r="J228" s="24" t="str">
        <f>IF($X228="","","3PL import")</f>
        <v/>
      </c>
      <c r="K228" s="24" t="str">
        <f>IF($X228="","",Config!$B$11)</f>
        <v/>
      </c>
      <c r="L228" s="24" t="str">
        <f>IF($X228="","","CSV row "&amp;($X228+1))</f>
        <v/>
      </c>
      <c r="N228" s="24" t="str">
        <f>IF($Y228="","",INDEX(Import_Staging!$F$2:$F$301,$Y228)&amp;"")</f>
        <v/>
      </c>
      <c r="O228" s="24" t="str">
        <f>IF($Y228="","",INDEX(Import_Staging!$D$2:$D$301,$Y228)&amp;"")</f>
        <v/>
      </c>
      <c r="P228" s="24" t="str">
        <f>IF($Y228="","",INDEX(Import_Staging!$E$2:$E$301,$Y228)&amp;"")</f>
        <v/>
      </c>
      <c r="Q228" s="27" t="n"/>
      <c r="R228" s="27" t="str">
        <f>IF($Y228="","",INDEX(Import_Staging!$N$2:$N$301,$Y228))</f>
        <v/>
      </c>
      <c r="S228" s="70" t="str">
        <f>IF($Y228="","",0)</f>
        <v/>
      </c>
      <c r="T228" s="24" t="str">
        <f>IF($Y228="","",INDEX(Import_Staging!$I$2:$I$301,$Y228)&amp;"")</f>
        <v/>
      </c>
      <c r="U228" s="24" t="n"/>
      <c r="V228" s="24" t="str">
        <f>IF($Y228="","","Received "&amp;TEXT(INDEX(Import_Staging!$M$2:$M$301,$Y228),"yyyy-mm-dd")&amp;" (CSV row "&amp;($Y228+1)&amp;")")</f>
        <v/>
      </c>
      <c r="X228" t="str">
        <f>IFERROR(MATCH(223,Import_Staging!$BT$2:$BT$301,0),"")</f>
        <v/>
      </c>
      <c r="Y228" t="str">
        <f>IFERROR(MATCH(223,Import_Staging!$BV$2:$BV$301,0),"")</f>
        <v/>
      </c>
    </row>
    <row r="229">
      <c r="A229" s="24" t="str">
        <f>IF($X229="","",INDEX(Import_Staging!$A$2:$A$301,$X229)&amp;"")</f>
        <v/>
      </c>
      <c r="B229" s="27" t="str">
        <f>IF($X229="","",INDEX(Import_Staging!$M$2:$M$301,$X229))</f>
        <v/>
      </c>
      <c r="C229" s="24" t="str">
        <f>IF($X229="","",INDEX(Import_Staging!$C$2:$C$301,$X229)&amp;"")</f>
        <v/>
      </c>
      <c r="D229" s="24" t="str">
        <f>IF($X229="","",INDEX(Import_Staging!$D$2:$D$301,$X229)&amp;"")</f>
        <v/>
      </c>
      <c r="E229" s="69" t="str">
        <f>IF($X229="","",INDEX(Import_Staging!$O$2:$O$301,$X229))</f>
        <v/>
      </c>
      <c r="F229" s="24" t="str">
        <f>IF($X229="","",INDEX(Import_Staging!$F$2:$F$301,$X229)&amp;"")</f>
        <v/>
      </c>
      <c r="G229" s="24" t="str">
        <f>IF($X229="","",INDEX(Import_Staging!$J$2:$J$301,$X229)&amp;"")</f>
        <v/>
      </c>
      <c r="H229" s="24" t="str">
        <f>IF($X229="","",INDEX(Import_Staging!$K$2:$K$301,$X229)&amp;"")</f>
        <v/>
      </c>
      <c r="I229" s="24" t="str">
        <f>IF($X229="","",INDEX(Import_Staging!$L$2:$L$301,$X229)&amp;"")</f>
        <v/>
      </c>
      <c r="J229" s="24" t="str">
        <f>IF($X229="","","3PL import")</f>
        <v/>
      </c>
      <c r="K229" s="24" t="str">
        <f>IF($X229="","",Config!$B$11)</f>
        <v/>
      </c>
      <c r="L229" s="24" t="str">
        <f>IF($X229="","","CSV row "&amp;($X229+1))</f>
        <v/>
      </c>
      <c r="N229" s="24" t="str">
        <f>IF($Y229="","",INDEX(Import_Staging!$F$2:$F$301,$Y229)&amp;"")</f>
        <v/>
      </c>
      <c r="O229" s="24" t="str">
        <f>IF($Y229="","",INDEX(Import_Staging!$D$2:$D$301,$Y229)&amp;"")</f>
        <v/>
      </c>
      <c r="P229" s="24" t="str">
        <f>IF($Y229="","",INDEX(Import_Staging!$E$2:$E$301,$Y229)&amp;"")</f>
        <v/>
      </c>
      <c r="Q229" s="27" t="n"/>
      <c r="R229" s="27" t="str">
        <f>IF($Y229="","",INDEX(Import_Staging!$N$2:$N$301,$Y229))</f>
        <v/>
      </c>
      <c r="S229" s="70" t="str">
        <f>IF($Y229="","",0)</f>
        <v/>
      </c>
      <c r="T229" s="24" t="str">
        <f>IF($Y229="","",INDEX(Import_Staging!$I$2:$I$301,$Y229)&amp;"")</f>
        <v/>
      </c>
      <c r="U229" s="24" t="n"/>
      <c r="V229" s="24" t="str">
        <f>IF($Y229="","","Received "&amp;TEXT(INDEX(Import_Staging!$M$2:$M$301,$Y229),"yyyy-mm-dd")&amp;" (CSV row "&amp;($Y229+1)&amp;")")</f>
        <v/>
      </c>
      <c r="X229" t="str">
        <f>IFERROR(MATCH(224,Import_Staging!$BT$2:$BT$301,0),"")</f>
        <v/>
      </c>
      <c r="Y229" t="str">
        <f>IFERROR(MATCH(224,Import_Staging!$BV$2:$BV$301,0),"")</f>
        <v/>
      </c>
    </row>
    <row r="230">
      <c r="A230" s="24" t="str">
        <f>IF($X230="","",INDEX(Import_Staging!$A$2:$A$301,$X230)&amp;"")</f>
        <v/>
      </c>
      <c r="B230" s="27" t="str">
        <f>IF($X230="","",INDEX(Import_Staging!$M$2:$M$301,$X230))</f>
        <v/>
      </c>
      <c r="C230" s="24" t="str">
        <f>IF($X230="","",INDEX(Import_Staging!$C$2:$C$301,$X230)&amp;"")</f>
        <v/>
      </c>
      <c r="D230" s="24" t="str">
        <f>IF($X230="","",INDEX(Import_Staging!$D$2:$D$301,$X230)&amp;"")</f>
        <v/>
      </c>
      <c r="E230" s="69" t="str">
        <f>IF($X230="","",INDEX(Import_Staging!$O$2:$O$301,$X230))</f>
        <v/>
      </c>
      <c r="F230" s="24" t="str">
        <f>IF($X230="","",INDEX(Import_Staging!$F$2:$F$301,$X230)&amp;"")</f>
        <v/>
      </c>
      <c r="G230" s="24" t="str">
        <f>IF($X230="","",INDEX(Import_Staging!$J$2:$J$301,$X230)&amp;"")</f>
        <v/>
      </c>
      <c r="H230" s="24" t="str">
        <f>IF($X230="","",INDEX(Import_Staging!$K$2:$K$301,$X230)&amp;"")</f>
        <v/>
      </c>
      <c r="I230" s="24" t="str">
        <f>IF($X230="","",INDEX(Import_Staging!$L$2:$L$301,$X230)&amp;"")</f>
        <v/>
      </c>
      <c r="J230" s="24" t="str">
        <f>IF($X230="","","3PL import")</f>
        <v/>
      </c>
      <c r="K230" s="24" t="str">
        <f>IF($X230="","",Config!$B$11)</f>
        <v/>
      </c>
      <c r="L230" s="24" t="str">
        <f>IF($X230="","","CSV row "&amp;($X230+1))</f>
        <v/>
      </c>
      <c r="N230" s="24" t="str">
        <f>IF($Y230="","",INDEX(Import_Staging!$F$2:$F$301,$Y230)&amp;"")</f>
        <v/>
      </c>
      <c r="O230" s="24" t="str">
        <f>IF($Y230="","",INDEX(Import_Staging!$D$2:$D$301,$Y230)&amp;"")</f>
        <v/>
      </c>
      <c r="P230" s="24" t="str">
        <f>IF($Y230="","",INDEX(Import_Staging!$E$2:$E$301,$Y230)&amp;"")</f>
        <v/>
      </c>
      <c r="Q230" s="27" t="n"/>
      <c r="R230" s="27" t="str">
        <f>IF($Y230="","",INDEX(Import_Staging!$N$2:$N$301,$Y230))</f>
        <v/>
      </c>
      <c r="S230" s="70" t="str">
        <f>IF($Y230="","",0)</f>
        <v/>
      </c>
      <c r="T230" s="24" t="str">
        <f>IF($Y230="","",INDEX(Import_Staging!$I$2:$I$301,$Y230)&amp;"")</f>
        <v/>
      </c>
      <c r="U230" s="24" t="n"/>
      <c r="V230" s="24" t="str">
        <f>IF($Y230="","","Received "&amp;TEXT(INDEX(Import_Staging!$M$2:$M$301,$Y230),"yyyy-mm-dd")&amp;" (CSV row "&amp;($Y230+1)&amp;")")</f>
        <v/>
      </c>
      <c r="X230" t="str">
        <f>IFERROR(MATCH(225,Import_Staging!$BT$2:$BT$301,0),"")</f>
        <v/>
      </c>
      <c r="Y230" t="str">
        <f>IFERROR(MATCH(225,Import_Staging!$BV$2:$BV$301,0),"")</f>
        <v/>
      </c>
    </row>
    <row r="231">
      <c r="A231" s="24" t="str">
        <f>IF($X231="","",INDEX(Import_Staging!$A$2:$A$301,$X231)&amp;"")</f>
        <v/>
      </c>
      <c r="B231" s="27" t="str">
        <f>IF($X231="","",INDEX(Import_Staging!$M$2:$M$301,$X231))</f>
        <v/>
      </c>
      <c r="C231" s="24" t="str">
        <f>IF($X231="","",INDEX(Import_Staging!$C$2:$C$301,$X231)&amp;"")</f>
        <v/>
      </c>
      <c r="D231" s="24" t="str">
        <f>IF($X231="","",INDEX(Import_Staging!$D$2:$D$301,$X231)&amp;"")</f>
        <v/>
      </c>
      <c r="E231" s="69" t="str">
        <f>IF($X231="","",INDEX(Import_Staging!$O$2:$O$301,$X231))</f>
        <v/>
      </c>
      <c r="F231" s="24" t="str">
        <f>IF($X231="","",INDEX(Import_Staging!$F$2:$F$301,$X231)&amp;"")</f>
        <v/>
      </c>
      <c r="G231" s="24" t="str">
        <f>IF($X231="","",INDEX(Import_Staging!$J$2:$J$301,$X231)&amp;"")</f>
        <v/>
      </c>
      <c r="H231" s="24" t="str">
        <f>IF($X231="","",INDEX(Import_Staging!$K$2:$K$301,$X231)&amp;"")</f>
        <v/>
      </c>
      <c r="I231" s="24" t="str">
        <f>IF($X231="","",INDEX(Import_Staging!$L$2:$L$301,$X231)&amp;"")</f>
        <v/>
      </c>
      <c r="J231" s="24" t="str">
        <f>IF($X231="","","3PL import")</f>
        <v/>
      </c>
      <c r="K231" s="24" t="str">
        <f>IF($X231="","",Config!$B$11)</f>
        <v/>
      </c>
      <c r="L231" s="24" t="str">
        <f>IF($X231="","","CSV row "&amp;($X231+1))</f>
        <v/>
      </c>
      <c r="N231" s="24" t="str">
        <f>IF($Y231="","",INDEX(Import_Staging!$F$2:$F$301,$Y231)&amp;"")</f>
        <v/>
      </c>
      <c r="O231" s="24" t="str">
        <f>IF($Y231="","",INDEX(Import_Staging!$D$2:$D$301,$Y231)&amp;"")</f>
        <v/>
      </c>
      <c r="P231" s="24" t="str">
        <f>IF($Y231="","",INDEX(Import_Staging!$E$2:$E$301,$Y231)&amp;"")</f>
        <v/>
      </c>
      <c r="Q231" s="27" t="n"/>
      <c r="R231" s="27" t="str">
        <f>IF($Y231="","",INDEX(Import_Staging!$N$2:$N$301,$Y231))</f>
        <v/>
      </c>
      <c r="S231" s="70" t="str">
        <f>IF($Y231="","",0)</f>
        <v/>
      </c>
      <c r="T231" s="24" t="str">
        <f>IF($Y231="","",INDEX(Import_Staging!$I$2:$I$301,$Y231)&amp;"")</f>
        <v/>
      </c>
      <c r="U231" s="24" t="n"/>
      <c r="V231" s="24" t="str">
        <f>IF($Y231="","","Received "&amp;TEXT(INDEX(Import_Staging!$M$2:$M$301,$Y231),"yyyy-mm-dd")&amp;" (CSV row "&amp;($Y231+1)&amp;")")</f>
        <v/>
      </c>
      <c r="X231" t="str">
        <f>IFERROR(MATCH(226,Import_Staging!$BT$2:$BT$301,0),"")</f>
        <v/>
      </c>
      <c r="Y231" t="str">
        <f>IFERROR(MATCH(226,Import_Staging!$BV$2:$BV$301,0),"")</f>
        <v/>
      </c>
    </row>
    <row r="232">
      <c r="A232" s="24" t="str">
        <f>IF($X232="","",INDEX(Import_Staging!$A$2:$A$301,$X232)&amp;"")</f>
        <v/>
      </c>
      <c r="B232" s="27" t="str">
        <f>IF($X232="","",INDEX(Import_Staging!$M$2:$M$301,$X232))</f>
        <v/>
      </c>
      <c r="C232" s="24" t="str">
        <f>IF($X232="","",INDEX(Import_Staging!$C$2:$C$301,$X232)&amp;"")</f>
        <v/>
      </c>
      <c r="D232" s="24" t="str">
        <f>IF($X232="","",INDEX(Import_Staging!$D$2:$D$301,$X232)&amp;"")</f>
        <v/>
      </c>
      <c r="E232" s="69" t="str">
        <f>IF($X232="","",INDEX(Import_Staging!$O$2:$O$301,$X232))</f>
        <v/>
      </c>
      <c r="F232" s="24" t="str">
        <f>IF($X232="","",INDEX(Import_Staging!$F$2:$F$301,$X232)&amp;"")</f>
        <v/>
      </c>
      <c r="G232" s="24" t="str">
        <f>IF($X232="","",INDEX(Import_Staging!$J$2:$J$301,$X232)&amp;"")</f>
        <v/>
      </c>
      <c r="H232" s="24" t="str">
        <f>IF($X232="","",INDEX(Import_Staging!$K$2:$K$301,$X232)&amp;"")</f>
        <v/>
      </c>
      <c r="I232" s="24" t="str">
        <f>IF($X232="","",INDEX(Import_Staging!$L$2:$L$301,$X232)&amp;"")</f>
        <v/>
      </c>
      <c r="J232" s="24" t="str">
        <f>IF($X232="","","3PL import")</f>
        <v/>
      </c>
      <c r="K232" s="24" t="str">
        <f>IF($X232="","",Config!$B$11)</f>
        <v/>
      </c>
      <c r="L232" s="24" t="str">
        <f>IF($X232="","","CSV row "&amp;($X232+1))</f>
        <v/>
      </c>
      <c r="N232" s="24" t="str">
        <f>IF($Y232="","",INDEX(Import_Staging!$F$2:$F$301,$Y232)&amp;"")</f>
        <v/>
      </c>
      <c r="O232" s="24" t="str">
        <f>IF($Y232="","",INDEX(Import_Staging!$D$2:$D$301,$Y232)&amp;"")</f>
        <v/>
      </c>
      <c r="P232" s="24" t="str">
        <f>IF($Y232="","",INDEX(Import_Staging!$E$2:$E$301,$Y232)&amp;"")</f>
        <v/>
      </c>
      <c r="Q232" s="27" t="n"/>
      <c r="R232" s="27" t="str">
        <f>IF($Y232="","",INDEX(Import_Staging!$N$2:$N$301,$Y232))</f>
        <v/>
      </c>
      <c r="S232" s="70" t="str">
        <f>IF($Y232="","",0)</f>
        <v/>
      </c>
      <c r="T232" s="24" t="str">
        <f>IF($Y232="","",INDEX(Import_Staging!$I$2:$I$301,$Y232)&amp;"")</f>
        <v/>
      </c>
      <c r="U232" s="24" t="n"/>
      <c r="V232" s="24" t="str">
        <f>IF($Y232="","","Received "&amp;TEXT(INDEX(Import_Staging!$M$2:$M$301,$Y232),"yyyy-mm-dd")&amp;" (CSV row "&amp;($Y232+1)&amp;")")</f>
        <v/>
      </c>
      <c r="X232" t="str">
        <f>IFERROR(MATCH(227,Import_Staging!$BT$2:$BT$301,0),"")</f>
        <v/>
      </c>
      <c r="Y232" t="str">
        <f>IFERROR(MATCH(227,Import_Staging!$BV$2:$BV$301,0),"")</f>
        <v/>
      </c>
    </row>
    <row r="233">
      <c r="A233" s="24" t="str">
        <f>IF($X233="","",INDEX(Import_Staging!$A$2:$A$301,$X233)&amp;"")</f>
        <v/>
      </c>
      <c r="B233" s="27" t="str">
        <f>IF($X233="","",INDEX(Import_Staging!$M$2:$M$301,$X233))</f>
        <v/>
      </c>
      <c r="C233" s="24" t="str">
        <f>IF($X233="","",INDEX(Import_Staging!$C$2:$C$301,$X233)&amp;"")</f>
        <v/>
      </c>
      <c r="D233" s="24" t="str">
        <f>IF($X233="","",INDEX(Import_Staging!$D$2:$D$301,$X233)&amp;"")</f>
        <v/>
      </c>
      <c r="E233" s="69" t="str">
        <f>IF($X233="","",INDEX(Import_Staging!$O$2:$O$301,$X233))</f>
        <v/>
      </c>
      <c r="F233" s="24" t="str">
        <f>IF($X233="","",INDEX(Import_Staging!$F$2:$F$301,$X233)&amp;"")</f>
        <v/>
      </c>
      <c r="G233" s="24" t="str">
        <f>IF($X233="","",INDEX(Import_Staging!$J$2:$J$301,$X233)&amp;"")</f>
        <v/>
      </c>
      <c r="H233" s="24" t="str">
        <f>IF($X233="","",INDEX(Import_Staging!$K$2:$K$301,$X233)&amp;"")</f>
        <v/>
      </c>
      <c r="I233" s="24" t="str">
        <f>IF($X233="","",INDEX(Import_Staging!$L$2:$L$301,$X233)&amp;"")</f>
        <v/>
      </c>
      <c r="J233" s="24" t="str">
        <f>IF($X233="","","3PL import")</f>
        <v/>
      </c>
      <c r="K233" s="24" t="str">
        <f>IF($X233="","",Config!$B$11)</f>
        <v/>
      </c>
      <c r="L233" s="24" t="str">
        <f>IF($X233="","","CSV row "&amp;($X233+1))</f>
        <v/>
      </c>
      <c r="N233" s="24" t="str">
        <f>IF($Y233="","",INDEX(Import_Staging!$F$2:$F$301,$Y233)&amp;"")</f>
        <v/>
      </c>
      <c r="O233" s="24" t="str">
        <f>IF($Y233="","",INDEX(Import_Staging!$D$2:$D$301,$Y233)&amp;"")</f>
        <v/>
      </c>
      <c r="P233" s="24" t="str">
        <f>IF($Y233="","",INDEX(Import_Staging!$E$2:$E$301,$Y233)&amp;"")</f>
        <v/>
      </c>
      <c r="Q233" s="27" t="n"/>
      <c r="R233" s="27" t="str">
        <f>IF($Y233="","",INDEX(Import_Staging!$N$2:$N$301,$Y233))</f>
        <v/>
      </c>
      <c r="S233" s="70" t="str">
        <f>IF($Y233="","",0)</f>
        <v/>
      </c>
      <c r="T233" s="24" t="str">
        <f>IF($Y233="","",INDEX(Import_Staging!$I$2:$I$301,$Y233)&amp;"")</f>
        <v/>
      </c>
      <c r="U233" s="24" t="n"/>
      <c r="V233" s="24" t="str">
        <f>IF($Y233="","","Received "&amp;TEXT(INDEX(Import_Staging!$M$2:$M$301,$Y233),"yyyy-mm-dd")&amp;" (CSV row "&amp;($Y233+1)&amp;")")</f>
        <v/>
      </c>
      <c r="X233" t="str">
        <f>IFERROR(MATCH(228,Import_Staging!$BT$2:$BT$301,0),"")</f>
        <v/>
      </c>
      <c r="Y233" t="str">
        <f>IFERROR(MATCH(228,Import_Staging!$BV$2:$BV$301,0),"")</f>
        <v/>
      </c>
    </row>
    <row r="234">
      <c r="A234" s="24" t="str">
        <f>IF($X234="","",INDEX(Import_Staging!$A$2:$A$301,$X234)&amp;"")</f>
        <v/>
      </c>
      <c r="B234" s="27" t="str">
        <f>IF($X234="","",INDEX(Import_Staging!$M$2:$M$301,$X234))</f>
        <v/>
      </c>
      <c r="C234" s="24" t="str">
        <f>IF($X234="","",INDEX(Import_Staging!$C$2:$C$301,$X234)&amp;"")</f>
        <v/>
      </c>
      <c r="D234" s="24" t="str">
        <f>IF($X234="","",INDEX(Import_Staging!$D$2:$D$301,$X234)&amp;"")</f>
        <v/>
      </c>
      <c r="E234" s="69" t="str">
        <f>IF($X234="","",INDEX(Import_Staging!$O$2:$O$301,$X234))</f>
        <v/>
      </c>
      <c r="F234" s="24" t="str">
        <f>IF($X234="","",INDEX(Import_Staging!$F$2:$F$301,$X234)&amp;"")</f>
        <v/>
      </c>
      <c r="G234" s="24" t="str">
        <f>IF($X234="","",INDEX(Import_Staging!$J$2:$J$301,$X234)&amp;"")</f>
        <v/>
      </c>
      <c r="H234" s="24" t="str">
        <f>IF($X234="","",INDEX(Import_Staging!$K$2:$K$301,$X234)&amp;"")</f>
        <v/>
      </c>
      <c r="I234" s="24" t="str">
        <f>IF($X234="","",INDEX(Import_Staging!$L$2:$L$301,$X234)&amp;"")</f>
        <v/>
      </c>
      <c r="J234" s="24" t="str">
        <f>IF($X234="","","3PL import")</f>
        <v/>
      </c>
      <c r="K234" s="24" t="str">
        <f>IF($X234="","",Config!$B$11)</f>
        <v/>
      </c>
      <c r="L234" s="24" t="str">
        <f>IF($X234="","","CSV row "&amp;($X234+1))</f>
        <v/>
      </c>
      <c r="N234" s="24" t="str">
        <f>IF($Y234="","",INDEX(Import_Staging!$F$2:$F$301,$Y234)&amp;"")</f>
        <v/>
      </c>
      <c r="O234" s="24" t="str">
        <f>IF($Y234="","",INDEX(Import_Staging!$D$2:$D$301,$Y234)&amp;"")</f>
        <v/>
      </c>
      <c r="P234" s="24" t="str">
        <f>IF($Y234="","",INDEX(Import_Staging!$E$2:$E$301,$Y234)&amp;"")</f>
        <v/>
      </c>
      <c r="Q234" s="27" t="n"/>
      <c r="R234" s="27" t="str">
        <f>IF($Y234="","",INDEX(Import_Staging!$N$2:$N$301,$Y234))</f>
        <v/>
      </c>
      <c r="S234" s="70" t="str">
        <f>IF($Y234="","",0)</f>
        <v/>
      </c>
      <c r="T234" s="24" t="str">
        <f>IF($Y234="","",INDEX(Import_Staging!$I$2:$I$301,$Y234)&amp;"")</f>
        <v/>
      </c>
      <c r="U234" s="24" t="n"/>
      <c r="V234" s="24" t="str">
        <f>IF($Y234="","","Received "&amp;TEXT(INDEX(Import_Staging!$M$2:$M$301,$Y234),"yyyy-mm-dd")&amp;" (CSV row "&amp;($Y234+1)&amp;")")</f>
        <v/>
      </c>
      <c r="X234" t="str">
        <f>IFERROR(MATCH(229,Import_Staging!$BT$2:$BT$301,0),"")</f>
        <v/>
      </c>
      <c r="Y234" t="str">
        <f>IFERROR(MATCH(229,Import_Staging!$BV$2:$BV$301,0),"")</f>
        <v/>
      </c>
    </row>
    <row r="235">
      <c r="A235" s="24" t="str">
        <f>IF($X235="","",INDEX(Import_Staging!$A$2:$A$301,$X235)&amp;"")</f>
        <v/>
      </c>
      <c r="B235" s="27" t="str">
        <f>IF($X235="","",INDEX(Import_Staging!$M$2:$M$301,$X235))</f>
        <v/>
      </c>
      <c r="C235" s="24" t="str">
        <f>IF($X235="","",INDEX(Import_Staging!$C$2:$C$301,$X235)&amp;"")</f>
        <v/>
      </c>
      <c r="D235" s="24" t="str">
        <f>IF($X235="","",INDEX(Import_Staging!$D$2:$D$301,$X235)&amp;"")</f>
        <v/>
      </c>
      <c r="E235" s="69" t="str">
        <f>IF($X235="","",INDEX(Import_Staging!$O$2:$O$301,$X235))</f>
        <v/>
      </c>
      <c r="F235" s="24" t="str">
        <f>IF($X235="","",INDEX(Import_Staging!$F$2:$F$301,$X235)&amp;"")</f>
        <v/>
      </c>
      <c r="G235" s="24" t="str">
        <f>IF($X235="","",INDEX(Import_Staging!$J$2:$J$301,$X235)&amp;"")</f>
        <v/>
      </c>
      <c r="H235" s="24" t="str">
        <f>IF($X235="","",INDEX(Import_Staging!$K$2:$K$301,$X235)&amp;"")</f>
        <v/>
      </c>
      <c r="I235" s="24" t="str">
        <f>IF($X235="","",INDEX(Import_Staging!$L$2:$L$301,$X235)&amp;"")</f>
        <v/>
      </c>
      <c r="J235" s="24" t="str">
        <f>IF($X235="","","3PL import")</f>
        <v/>
      </c>
      <c r="K235" s="24" t="str">
        <f>IF($X235="","",Config!$B$11)</f>
        <v/>
      </c>
      <c r="L235" s="24" t="str">
        <f>IF($X235="","","CSV row "&amp;($X235+1))</f>
        <v/>
      </c>
      <c r="N235" s="24" t="str">
        <f>IF($Y235="","",INDEX(Import_Staging!$F$2:$F$301,$Y235)&amp;"")</f>
        <v/>
      </c>
      <c r="O235" s="24" t="str">
        <f>IF($Y235="","",INDEX(Import_Staging!$D$2:$D$301,$Y235)&amp;"")</f>
        <v/>
      </c>
      <c r="P235" s="24" t="str">
        <f>IF($Y235="","",INDEX(Import_Staging!$E$2:$E$301,$Y235)&amp;"")</f>
        <v/>
      </c>
      <c r="Q235" s="27" t="n"/>
      <c r="R235" s="27" t="str">
        <f>IF($Y235="","",INDEX(Import_Staging!$N$2:$N$301,$Y235))</f>
        <v/>
      </c>
      <c r="S235" s="70" t="str">
        <f>IF($Y235="","",0)</f>
        <v/>
      </c>
      <c r="T235" s="24" t="str">
        <f>IF($Y235="","",INDEX(Import_Staging!$I$2:$I$301,$Y235)&amp;"")</f>
        <v/>
      </c>
      <c r="U235" s="24" t="n"/>
      <c r="V235" s="24" t="str">
        <f>IF($Y235="","","Received "&amp;TEXT(INDEX(Import_Staging!$M$2:$M$301,$Y235),"yyyy-mm-dd")&amp;" (CSV row "&amp;($Y235+1)&amp;")")</f>
        <v/>
      </c>
      <c r="X235" t="str">
        <f>IFERROR(MATCH(230,Import_Staging!$BT$2:$BT$301,0),"")</f>
        <v/>
      </c>
      <c r="Y235" t="str">
        <f>IFERROR(MATCH(230,Import_Staging!$BV$2:$BV$301,0),"")</f>
        <v/>
      </c>
    </row>
    <row r="236">
      <c r="A236" s="24" t="str">
        <f>IF($X236="","",INDEX(Import_Staging!$A$2:$A$301,$X236)&amp;"")</f>
        <v/>
      </c>
      <c r="B236" s="27" t="str">
        <f>IF($X236="","",INDEX(Import_Staging!$M$2:$M$301,$X236))</f>
        <v/>
      </c>
      <c r="C236" s="24" t="str">
        <f>IF($X236="","",INDEX(Import_Staging!$C$2:$C$301,$X236)&amp;"")</f>
        <v/>
      </c>
      <c r="D236" s="24" t="str">
        <f>IF($X236="","",INDEX(Import_Staging!$D$2:$D$301,$X236)&amp;"")</f>
        <v/>
      </c>
      <c r="E236" s="69" t="str">
        <f>IF($X236="","",INDEX(Import_Staging!$O$2:$O$301,$X236))</f>
        <v/>
      </c>
      <c r="F236" s="24" t="str">
        <f>IF($X236="","",INDEX(Import_Staging!$F$2:$F$301,$X236)&amp;"")</f>
        <v/>
      </c>
      <c r="G236" s="24" t="str">
        <f>IF($X236="","",INDEX(Import_Staging!$J$2:$J$301,$X236)&amp;"")</f>
        <v/>
      </c>
      <c r="H236" s="24" t="str">
        <f>IF($X236="","",INDEX(Import_Staging!$K$2:$K$301,$X236)&amp;"")</f>
        <v/>
      </c>
      <c r="I236" s="24" t="str">
        <f>IF($X236="","",INDEX(Import_Staging!$L$2:$L$301,$X236)&amp;"")</f>
        <v/>
      </c>
      <c r="J236" s="24" t="str">
        <f>IF($X236="","","3PL import")</f>
        <v/>
      </c>
      <c r="K236" s="24" t="str">
        <f>IF($X236="","",Config!$B$11)</f>
        <v/>
      </c>
      <c r="L236" s="24" t="str">
        <f>IF($X236="","","CSV row "&amp;($X236+1))</f>
        <v/>
      </c>
      <c r="N236" s="24" t="str">
        <f>IF($Y236="","",INDEX(Import_Staging!$F$2:$F$301,$Y236)&amp;"")</f>
        <v/>
      </c>
      <c r="O236" s="24" t="str">
        <f>IF($Y236="","",INDEX(Import_Staging!$D$2:$D$301,$Y236)&amp;"")</f>
        <v/>
      </c>
      <c r="P236" s="24" t="str">
        <f>IF($Y236="","",INDEX(Import_Staging!$E$2:$E$301,$Y236)&amp;"")</f>
        <v/>
      </c>
      <c r="Q236" s="27" t="n"/>
      <c r="R236" s="27" t="str">
        <f>IF($Y236="","",INDEX(Import_Staging!$N$2:$N$301,$Y236))</f>
        <v/>
      </c>
      <c r="S236" s="70" t="str">
        <f>IF($Y236="","",0)</f>
        <v/>
      </c>
      <c r="T236" s="24" t="str">
        <f>IF($Y236="","",INDEX(Import_Staging!$I$2:$I$301,$Y236)&amp;"")</f>
        <v/>
      </c>
      <c r="U236" s="24" t="n"/>
      <c r="V236" s="24" t="str">
        <f>IF($Y236="","","Received "&amp;TEXT(INDEX(Import_Staging!$M$2:$M$301,$Y236),"yyyy-mm-dd")&amp;" (CSV row "&amp;($Y236+1)&amp;")")</f>
        <v/>
      </c>
      <c r="X236" t="str">
        <f>IFERROR(MATCH(231,Import_Staging!$BT$2:$BT$301,0),"")</f>
        <v/>
      </c>
      <c r="Y236" t="str">
        <f>IFERROR(MATCH(231,Import_Staging!$BV$2:$BV$301,0),"")</f>
        <v/>
      </c>
    </row>
    <row r="237">
      <c r="A237" s="24" t="str">
        <f>IF($X237="","",INDEX(Import_Staging!$A$2:$A$301,$X237)&amp;"")</f>
        <v/>
      </c>
      <c r="B237" s="27" t="str">
        <f>IF($X237="","",INDEX(Import_Staging!$M$2:$M$301,$X237))</f>
        <v/>
      </c>
      <c r="C237" s="24" t="str">
        <f>IF($X237="","",INDEX(Import_Staging!$C$2:$C$301,$X237)&amp;"")</f>
        <v/>
      </c>
      <c r="D237" s="24" t="str">
        <f>IF($X237="","",INDEX(Import_Staging!$D$2:$D$301,$X237)&amp;"")</f>
        <v/>
      </c>
      <c r="E237" s="69" t="str">
        <f>IF($X237="","",INDEX(Import_Staging!$O$2:$O$301,$X237))</f>
        <v/>
      </c>
      <c r="F237" s="24" t="str">
        <f>IF($X237="","",INDEX(Import_Staging!$F$2:$F$301,$X237)&amp;"")</f>
        <v/>
      </c>
      <c r="G237" s="24" t="str">
        <f>IF($X237="","",INDEX(Import_Staging!$J$2:$J$301,$X237)&amp;"")</f>
        <v/>
      </c>
      <c r="H237" s="24" t="str">
        <f>IF($X237="","",INDEX(Import_Staging!$K$2:$K$301,$X237)&amp;"")</f>
        <v/>
      </c>
      <c r="I237" s="24" t="str">
        <f>IF($X237="","",INDEX(Import_Staging!$L$2:$L$301,$X237)&amp;"")</f>
        <v/>
      </c>
      <c r="J237" s="24" t="str">
        <f>IF($X237="","","3PL import")</f>
        <v/>
      </c>
      <c r="K237" s="24" t="str">
        <f>IF($X237="","",Config!$B$11)</f>
        <v/>
      </c>
      <c r="L237" s="24" t="str">
        <f>IF($X237="","","CSV row "&amp;($X237+1))</f>
        <v/>
      </c>
      <c r="N237" s="24" t="str">
        <f>IF($Y237="","",INDEX(Import_Staging!$F$2:$F$301,$Y237)&amp;"")</f>
        <v/>
      </c>
      <c r="O237" s="24" t="str">
        <f>IF($Y237="","",INDEX(Import_Staging!$D$2:$D$301,$Y237)&amp;"")</f>
        <v/>
      </c>
      <c r="P237" s="24" t="str">
        <f>IF($Y237="","",INDEX(Import_Staging!$E$2:$E$301,$Y237)&amp;"")</f>
        <v/>
      </c>
      <c r="Q237" s="27" t="n"/>
      <c r="R237" s="27" t="str">
        <f>IF($Y237="","",INDEX(Import_Staging!$N$2:$N$301,$Y237))</f>
        <v/>
      </c>
      <c r="S237" s="70" t="str">
        <f>IF($Y237="","",0)</f>
        <v/>
      </c>
      <c r="T237" s="24" t="str">
        <f>IF($Y237="","",INDEX(Import_Staging!$I$2:$I$301,$Y237)&amp;"")</f>
        <v/>
      </c>
      <c r="U237" s="24" t="n"/>
      <c r="V237" s="24" t="str">
        <f>IF($Y237="","","Received "&amp;TEXT(INDEX(Import_Staging!$M$2:$M$301,$Y237),"yyyy-mm-dd")&amp;" (CSV row "&amp;($Y237+1)&amp;")")</f>
        <v/>
      </c>
      <c r="X237" t="str">
        <f>IFERROR(MATCH(232,Import_Staging!$BT$2:$BT$301,0),"")</f>
        <v/>
      </c>
      <c r="Y237" t="str">
        <f>IFERROR(MATCH(232,Import_Staging!$BV$2:$BV$301,0),"")</f>
        <v/>
      </c>
    </row>
    <row r="238">
      <c r="A238" s="24" t="str">
        <f>IF($X238="","",INDEX(Import_Staging!$A$2:$A$301,$X238)&amp;"")</f>
        <v/>
      </c>
      <c r="B238" s="27" t="str">
        <f>IF($X238="","",INDEX(Import_Staging!$M$2:$M$301,$X238))</f>
        <v/>
      </c>
      <c r="C238" s="24" t="str">
        <f>IF($X238="","",INDEX(Import_Staging!$C$2:$C$301,$X238)&amp;"")</f>
        <v/>
      </c>
      <c r="D238" s="24" t="str">
        <f>IF($X238="","",INDEX(Import_Staging!$D$2:$D$301,$X238)&amp;"")</f>
        <v/>
      </c>
      <c r="E238" s="69" t="str">
        <f>IF($X238="","",INDEX(Import_Staging!$O$2:$O$301,$X238))</f>
        <v/>
      </c>
      <c r="F238" s="24" t="str">
        <f>IF($X238="","",INDEX(Import_Staging!$F$2:$F$301,$X238)&amp;"")</f>
        <v/>
      </c>
      <c r="G238" s="24" t="str">
        <f>IF($X238="","",INDEX(Import_Staging!$J$2:$J$301,$X238)&amp;"")</f>
        <v/>
      </c>
      <c r="H238" s="24" t="str">
        <f>IF($X238="","",INDEX(Import_Staging!$K$2:$K$301,$X238)&amp;"")</f>
        <v/>
      </c>
      <c r="I238" s="24" t="str">
        <f>IF($X238="","",INDEX(Import_Staging!$L$2:$L$301,$X238)&amp;"")</f>
        <v/>
      </c>
      <c r="J238" s="24" t="str">
        <f>IF($X238="","","3PL import")</f>
        <v/>
      </c>
      <c r="K238" s="24" t="str">
        <f>IF($X238="","",Config!$B$11)</f>
        <v/>
      </c>
      <c r="L238" s="24" t="str">
        <f>IF($X238="","","CSV row "&amp;($X238+1))</f>
        <v/>
      </c>
      <c r="N238" s="24" t="str">
        <f>IF($Y238="","",INDEX(Import_Staging!$F$2:$F$301,$Y238)&amp;"")</f>
        <v/>
      </c>
      <c r="O238" s="24" t="str">
        <f>IF($Y238="","",INDEX(Import_Staging!$D$2:$D$301,$Y238)&amp;"")</f>
        <v/>
      </c>
      <c r="P238" s="24" t="str">
        <f>IF($Y238="","",INDEX(Import_Staging!$E$2:$E$301,$Y238)&amp;"")</f>
        <v/>
      </c>
      <c r="Q238" s="27" t="n"/>
      <c r="R238" s="27" t="str">
        <f>IF($Y238="","",INDEX(Import_Staging!$N$2:$N$301,$Y238))</f>
        <v/>
      </c>
      <c r="S238" s="70" t="str">
        <f>IF($Y238="","",0)</f>
        <v/>
      </c>
      <c r="T238" s="24" t="str">
        <f>IF($Y238="","",INDEX(Import_Staging!$I$2:$I$301,$Y238)&amp;"")</f>
        <v/>
      </c>
      <c r="U238" s="24" t="n"/>
      <c r="V238" s="24" t="str">
        <f>IF($Y238="","","Received "&amp;TEXT(INDEX(Import_Staging!$M$2:$M$301,$Y238),"yyyy-mm-dd")&amp;" (CSV row "&amp;($Y238+1)&amp;")")</f>
        <v/>
      </c>
      <c r="X238" t="str">
        <f>IFERROR(MATCH(233,Import_Staging!$BT$2:$BT$301,0),"")</f>
        <v/>
      </c>
      <c r="Y238" t="str">
        <f>IFERROR(MATCH(233,Import_Staging!$BV$2:$BV$301,0),"")</f>
        <v/>
      </c>
    </row>
    <row r="239">
      <c r="A239" s="24" t="str">
        <f>IF($X239="","",INDEX(Import_Staging!$A$2:$A$301,$X239)&amp;"")</f>
        <v/>
      </c>
      <c r="B239" s="27" t="str">
        <f>IF($X239="","",INDEX(Import_Staging!$M$2:$M$301,$X239))</f>
        <v/>
      </c>
      <c r="C239" s="24" t="str">
        <f>IF($X239="","",INDEX(Import_Staging!$C$2:$C$301,$X239)&amp;"")</f>
        <v/>
      </c>
      <c r="D239" s="24" t="str">
        <f>IF($X239="","",INDEX(Import_Staging!$D$2:$D$301,$X239)&amp;"")</f>
        <v/>
      </c>
      <c r="E239" s="69" t="str">
        <f>IF($X239="","",INDEX(Import_Staging!$O$2:$O$301,$X239))</f>
        <v/>
      </c>
      <c r="F239" s="24" t="str">
        <f>IF($X239="","",INDEX(Import_Staging!$F$2:$F$301,$X239)&amp;"")</f>
        <v/>
      </c>
      <c r="G239" s="24" t="str">
        <f>IF($X239="","",INDEX(Import_Staging!$J$2:$J$301,$X239)&amp;"")</f>
        <v/>
      </c>
      <c r="H239" s="24" t="str">
        <f>IF($X239="","",INDEX(Import_Staging!$K$2:$K$301,$X239)&amp;"")</f>
        <v/>
      </c>
      <c r="I239" s="24" t="str">
        <f>IF($X239="","",INDEX(Import_Staging!$L$2:$L$301,$X239)&amp;"")</f>
        <v/>
      </c>
      <c r="J239" s="24" t="str">
        <f>IF($X239="","","3PL import")</f>
        <v/>
      </c>
      <c r="K239" s="24" t="str">
        <f>IF($X239="","",Config!$B$11)</f>
        <v/>
      </c>
      <c r="L239" s="24" t="str">
        <f>IF($X239="","","CSV row "&amp;($X239+1))</f>
        <v/>
      </c>
      <c r="N239" s="24" t="str">
        <f>IF($Y239="","",INDEX(Import_Staging!$F$2:$F$301,$Y239)&amp;"")</f>
        <v/>
      </c>
      <c r="O239" s="24" t="str">
        <f>IF($Y239="","",INDEX(Import_Staging!$D$2:$D$301,$Y239)&amp;"")</f>
        <v/>
      </c>
      <c r="P239" s="24" t="str">
        <f>IF($Y239="","",INDEX(Import_Staging!$E$2:$E$301,$Y239)&amp;"")</f>
        <v/>
      </c>
      <c r="Q239" s="27" t="n"/>
      <c r="R239" s="27" t="str">
        <f>IF($Y239="","",INDEX(Import_Staging!$N$2:$N$301,$Y239))</f>
        <v/>
      </c>
      <c r="S239" s="70" t="str">
        <f>IF($Y239="","",0)</f>
        <v/>
      </c>
      <c r="T239" s="24" t="str">
        <f>IF($Y239="","",INDEX(Import_Staging!$I$2:$I$301,$Y239)&amp;"")</f>
        <v/>
      </c>
      <c r="U239" s="24" t="n"/>
      <c r="V239" s="24" t="str">
        <f>IF($Y239="","","Received "&amp;TEXT(INDEX(Import_Staging!$M$2:$M$301,$Y239),"yyyy-mm-dd")&amp;" (CSV row "&amp;($Y239+1)&amp;")")</f>
        <v/>
      </c>
      <c r="X239" t="str">
        <f>IFERROR(MATCH(234,Import_Staging!$BT$2:$BT$301,0),"")</f>
        <v/>
      </c>
      <c r="Y239" t="str">
        <f>IFERROR(MATCH(234,Import_Staging!$BV$2:$BV$301,0),"")</f>
        <v/>
      </c>
    </row>
    <row r="240">
      <c r="A240" s="24" t="str">
        <f>IF($X240="","",INDEX(Import_Staging!$A$2:$A$301,$X240)&amp;"")</f>
        <v/>
      </c>
      <c r="B240" s="27" t="str">
        <f>IF($X240="","",INDEX(Import_Staging!$M$2:$M$301,$X240))</f>
        <v/>
      </c>
      <c r="C240" s="24" t="str">
        <f>IF($X240="","",INDEX(Import_Staging!$C$2:$C$301,$X240)&amp;"")</f>
        <v/>
      </c>
      <c r="D240" s="24" t="str">
        <f>IF($X240="","",INDEX(Import_Staging!$D$2:$D$301,$X240)&amp;"")</f>
        <v/>
      </c>
      <c r="E240" s="69" t="str">
        <f>IF($X240="","",INDEX(Import_Staging!$O$2:$O$301,$X240))</f>
        <v/>
      </c>
      <c r="F240" s="24" t="str">
        <f>IF($X240="","",INDEX(Import_Staging!$F$2:$F$301,$X240)&amp;"")</f>
        <v/>
      </c>
      <c r="G240" s="24" t="str">
        <f>IF($X240="","",INDEX(Import_Staging!$J$2:$J$301,$X240)&amp;"")</f>
        <v/>
      </c>
      <c r="H240" s="24" t="str">
        <f>IF($X240="","",INDEX(Import_Staging!$K$2:$K$301,$X240)&amp;"")</f>
        <v/>
      </c>
      <c r="I240" s="24" t="str">
        <f>IF($X240="","",INDEX(Import_Staging!$L$2:$L$301,$X240)&amp;"")</f>
        <v/>
      </c>
      <c r="J240" s="24" t="str">
        <f>IF($X240="","","3PL import")</f>
        <v/>
      </c>
      <c r="K240" s="24" t="str">
        <f>IF($X240="","",Config!$B$11)</f>
        <v/>
      </c>
      <c r="L240" s="24" t="str">
        <f>IF($X240="","","CSV row "&amp;($X240+1))</f>
        <v/>
      </c>
      <c r="N240" s="24" t="str">
        <f>IF($Y240="","",INDEX(Import_Staging!$F$2:$F$301,$Y240)&amp;"")</f>
        <v/>
      </c>
      <c r="O240" s="24" t="str">
        <f>IF($Y240="","",INDEX(Import_Staging!$D$2:$D$301,$Y240)&amp;"")</f>
        <v/>
      </c>
      <c r="P240" s="24" t="str">
        <f>IF($Y240="","",INDEX(Import_Staging!$E$2:$E$301,$Y240)&amp;"")</f>
        <v/>
      </c>
      <c r="Q240" s="27" t="n"/>
      <c r="R240" s="27" t="str">
        <f>IF($Y240="","",INDEX(Import_Staging!$N$2:$N$301,$Y240))</f>
        <v/>
      </c>
      <c r="S240" s="70" t="str">
        <f>IF($Y240="","",0)</f>
        <v/>
      </c>
      <c r="T240" s="24" t="str">
        <f>IF($Y240="","",INDEX(Import_Staging!$I$2:$I$301,$Y240)&amp;"")</f>
        <v/>
      </c>
      <c r="U240" s="24" t="n"/>
      <c r="V240" s="24" t="str">
        <f>IF($Y240="","","Received "&amp;TEXT(INDEX(Import_Staging!$M$2:$M$301,$Y240),"yyyy-mm-dd")&amp;" (CSV row "&amp;($Y240+1)&amp;")")</f>
        <v/>
      </c>
      <c r="X240" t="str">
        <f>IFERROR(MATCH(235,Import_Staging!$BT$2:$BT$301,0),"")</f>
        <v/>
      </c>
      <c r="Y240" t="str">
        <f>IFERROR(MATCH(235,Import_Staging!$BV$2:$BV$301,0),"")</f>
        <v/>
      </c>
    </row>
    <row r="241">
      <c r="A241" s="24" t="str">
        <f>IF($X241="","",INDEX(Import_Staging!$A$2:$A$301,$X241)&amp;"")</f>
        <v/>
      </c>
      <c r="B241" s="27" t="str">
        <f>IF($X241="","",INDEX(Import_Staging!$M$2:$M$301,$X241))</f>
        <v/>
      </c>
      <c r="C241" s="24" t="str">
        <f>IF($X241="","",INDEX(Import_Staging!$C$2:$C$301,$X241)&amp;"")</f>
        <v/>
      </c>
      <c r="D241" s="24" t="str">
        <f>IF($X241="","",INDEX(Import_Staging!$D$2:$D$301,$X241)&amp;"")</f>
        <v/>
      </c>
      <c r="E241" s="69" t="str">
        <f>IF($X241="","",INDEX(Import_Staging!$O$2:$O$301,$X241))</f>
        <v/>
      </c>
      <c r="F241" s="24" t="str">
        <f>IF($X241="","",INDEX(Import_Staging!$F$2:$F$301,$X241)&amp;"")</f>
        <v/>
      </c>
      <c r="G241" s="24" t="str">
        <f>IF($X241="","",INDEX(Import_Staging!$J$2:$J$301,$X241)&amp;"")</f>
        <v/>
      </c>
      <c r="H241" s="24" t="str">
        <f>IF($X241="","",INDEX(Import_Staging!$K$2:$K$301,$X241)&amp;"")</f>
        <v/>
      </c>
      <c r="I241" s="24" t="str">
        <f>IF($X241="","",INDEX(Import_Staging!$L$2:$L$301,$X241)&amp;"")</f>
        <v/>
      </c>
      <c r="J241" s="24" t="str">
        <f>IF($X241="","","3PL import")</f>
        <v/>
      </c>
      <c r="K241" s="24" t="str">
        <f>IF($X241="","",Config!$B$11)</f>
        <v/>
      </c>
      <c r="L241" s="24" t="str">
        <f>IF($X241="","","CSV row "&amp;($X241+1))</f>
        <v/>
      </c>
      <c r="N241" s="24" t="str">
        <f>IF($Y241="","",INDEX(Import_Staging!$F$2:$F$301,$Y241)&amp;"")</f>
        <v/>
      </c>
      <c r="O241" s="24" t="str">
        <f>IF($Y241="","",INDEX(Import_Staging!$D$2:$D$301,$Y241)&amp;"")</f>
        <v/>
      </c>
      <c r="P241" s="24" t="str">
        <f>IF($Y241="","",INDEX(Import_Staging!$E$2:$E$301,$Y241)&amp;"")</f>
        <v/>
      </c>
      <c r="Q241" s="27" t="n"/>
      <c r="R241" s="27" t="str">
        <f>IF($Y241="","",INDEX(Import_Staging!$N$2:$N$301,$Y241))</f>
        <v/>
      </c>
      <c r="S241" s="70" t="str">
        <f>IF($Y241="","",0)</f>
        <v/>
      </c>
      <c r="T241" s="24" t="str">
        <f>IF($Y241="","",INDEX(Import_Staging!$I$2:$I$301,$Y241)&amp;"")</f>
        <v/>
      </c>
      <c r="U241" s="24" t="n"/>
      <c r="V241" s="24" t="str">
        <f>IF($Y241="","","Received "&amp;TEXT(INDEX(Import_Staging!$M$2:$M$301,$Y241),"yyyy-mm-dd")&amp;" (CSV row "&amp;($Y241+1)&amp;")")</f>
        <v/>
      </c>
      <c r="X241" t="str">
        <f>IFERROR(MATCH(236,Import_Staging!$BT$2:$BT$301,0),"")</f>
        <v/>
      </c>
      <c r="Y241" t="str">
        <f>IFERROR(MATCH(236,Import_Staging!$BV$2:$BV$301,0),"")</f>
        <v/>
      </c>
    </row>
    <row r="242">
      <c r="A242" s="24" t="str">
        <f>IF($X242="","",INDEX(Import_Staging!$A$2:$A$301,$X242)&amp;"")</f>
        <v/>
      </c>
      <c r="B242" s="27" t="str">
        <f>IF($X242="","",INDEX(Import_Staging!$M$2:$M$301,$X242))</f>
        <v/>
      </c>
      <c r="C242" s="24" t="str">
        <f>IF($X242="","",INDEX(Import_Staging!$C$2:$C$301,$X242)&amp;"")</f>
        <v/>
      </c>
      <c r="D242" s="24" t="str">
        <f>IF($X242="","",INDEX(Import_Staging!$D$2:$D$301,$X242)&amp;"")</f>
        <v/>
      </c>
      <c r="E242" s="69" t="str">
        <f>IF($X242="","",INDEX(Import_Staging!$O$2:$O$301,$X242))</f>
        <v/>
      </c>
      <c r="F242" s="24" t="str">
        <f>IF($X242="","",INDEX(Import_Staging!$F$2:$F$301,$X242)&amp;"")</f>
        <v/>
      </c>
      <c r="G242" s="24" t="str">
        <f>IF($X242="","",INDEX(Import_Staging!$J$2:$J$301,$X242)&amp;"")</f>
        <v/>
      </c>
      <c r="H242" s="24" t="str">
        <f>IF($X242="","",INDEX(Import_Staging!$K$2:$K$301,$X242)&amp;"")</f>
        <v/>
      </c>
      <c r="I242" s="24" t="str">
        <f>IF($X242="","",INDEX(Import_Staging!$L$2:$L$301,$X242)&amp;"")</f>
        <v/>
      </c>
      <c r="J242" s="24" t="str">
        <f>IF($X242="","","3PL import")</f>
        <v/>
      </c>
      <c r="K242" s="24" t="str">
        <f>IF($X242="","",Config!$B$11)</f>
        <v/>
      </c>
      <c r="L242" s="24" t="str">
        <f>IF($X242="","","CSV row "&amp;($X242+1))</f>
        <v/>
      </c>
      <c r="N242" s="24" t="str">
        <f>IF($Y242="","",INDEX(Import_Staging!$F$2:$F$301,$Y242)&amp;"")</f>
        <v/>
      </c>
      <c r="O242" s="24" t="str">
        <f>IF($Y242="","",INDEX(Import_Staging!$D$2:$D$301,$Y242)&amp;"")</f>
        <v/>
      </c>
      <c r="P242" s="24" t="str">
        <f>IF($Y242="","",INDEX(Import_Staging!$E$2:$E$301,$Y242)&amp;"")</f>
        <v/>
      </c>
      <c r="Q242" s="27" t="n"/>
      <c r="R242" s="27" t="str">
        <f>IF($Y242="","",INDEX(Import_Staging!$N$2:$N$301,$Y242))</f>
        <v/>
      </c>
      <c r="S242" s="70" t="str">
        <f>IF($Y242="","",0)</f>
        <v/>
      </c>
      <c r="T242" s="24" t="str">
        <f>IF($Y242="","",INDEX(Import_Staging!$I$2:$I$301,$Y242)&amp;"")</f>
        <v/>
      </c>
      <c r="U242" s="24" t="n"/>
      <c r="V242" s="24" t="str">
        <f>IF($Y242="","","Received "&amp;TEXT(INDEX(Import_Staging!$M$2:$M$301,$Y242),"yyyy-mm-dd")&amp;" (CSV row "&amp;($Y242+1)&amp;")")</f>
        <v/>
      </c>
      <c r="X242" t="str">
        <f>IFERROR(MATCH(237,Import_Staging!$BT$2:$BT$301,0),"")</f>
        <v/>
      </c>
      <c r="Y242" t="str">
        <f>IFERROR(MATCH(237,Import_Staging!$BV$2:$BV$301,0),"")</f>
        <v/>
      </c>
    </row>
    <row r="243">
      <c r="A243" s="24" t="str">
        <f>IF($X243="","",INDEX(Import_Staging!$A$2:$A$301,$X243)&amp;"")</f>
        <v/>
      </c>
      <c r="B243" s="27" t="str">
        <f>IF($X243="","",INDEX(Import_Staging!$M$2:$M$301,$X243))</f>
        <v/>
      </c>
      <c r="C243" s="24" t="str">
        <f>IF($X243="","",INDEX(Import_Staging!$C$2:$C$301,$X243)&amp;"")</f>
        <v/>
      </c>
      <c r="D243" s="24" t="str">
        <f>IF($X243="","",INDEX(Import_Staging!$D$2:$D$301,$X243)&amp;"")</f>
        <v/>
      </c>
      <c r="E243" s="69" t="str">
        <f>IF($X243="","",INDEX(Import_Staging!$O$2:$O$301,$X243))</f>
        <v/>
      </c>
      <c r="F243" s="24" t="str">
        <f>IF($X243="","",INDEX(Import_Staging!$F$2:$F$301,$X243)&amp;"")</f>
        <v/>
      </c>
      <c r="G243" s="24" t="str">
        <f>IF($X243="","",INDEX(Import_Staging!$J$2:$J$301,$X243)&amp;"")</f>
        <v/>
      </c>
      <c r="H243" s="24" t="str">
        <f>IF($X243="","",INDEX(Import_Staging!$K$2:$K$301,$X243)&amp;"")</f>
        <v/>
      </c>
      <c r="I243" s="24" t="str">
        <f>IF($X243="","",INDEX(Import_Staging!$L$2:$L$301,$X243)&amp;"")</f>
        <v/>
      </c>
      <c r="J243" s="24" t="str">
        <f>IF($X243="","","3PL import")</f>
        <v/>
      </c>
      <c r="K243" s="24" t="str">
        <f>IF($X243="","",Config!$B$11)</f>
        <v/>
      </c>
      <c r="L243" s="24" t="str">
        <f>IF($X243="","","CSV row "&amp;($X243+1))</f>
        <v/>
      </c>
      <c r="N243" s="24" t="str">
        <f>IF($Y243="","",INDEX(Import_Staging!$F$2:$F$301,$Y243)&amp;"")</f>
        <v/>
      </c>
      <c r="O243" s="24" t="str">
        <f>IF($Y243="","",INDEX(Import_Staging!$D$2:$D$301,$Y243)&amp;"")</f>
        <v/>
      </c>
      <c r="P243" s="24" t="str">
        <f>IF($Y243="","",INDEX(Import_Staging!$E$2:$E$301,$Y243)&amp;"")</f>
        <v/>
      </c>
      <c r="Q243" s="27" t="n"/>
      <c r="R243" s="27" t="str">
        <f>IF($Y243="","",INDEX(Import_Staging!$N$2:$N$301,$Y243))</f>
        <v/>
      </c>
      <c r="S243" s="70" t="str">
        <f>IF($Y243="","",0)</f>
        <v/>
      </c>
      <c r="T243" s="24" t="str">
        <f>IF($Y243="","",INDEX(Import_Staging!$I$2:$I$301,$Y243)&amp;"")</f>
        <v/>
      </c>
      <c r="U243" s="24" t="n"/>
      <c r="V243" s="24" t="str">
        <f>IF($Y243="","","Received "&amp;TEXT(INDEX(Import_Staging!$M$2:$M$301,$Y243),"yyyy-mm-dd")&amp;" (CSV row "&amp;($Y243+1)&amp;")")</f>
        <v/>
      </c>
      <c r="X243" t="str">
        <f>IFERROR(MATCH(238,Import_Staging!$BT$2:$BT$301,0),"")</f>
        <v/>
      </c>
      <c r="Y243" t="str">
        <f>IFERROR(MATCH(238,Import_Staging!$BV$2:$BV$301,0),"")</f>
        <v/>
      </c>
    </row>
    <row r="244">
      <c r="A244" s="24" t="str">
        <f>IF($X244="","",INDEX(Import_Staging!$A$2:$A$301,$X244)&amp;"")</f>
        <v/>
      </c>
      <c r="B244" s="27" t="str">
        <f>IF($X244="","",INDEX(Import_Staging!$M$2:$M$301,$X244))</f>
        <v/>
      </c>
      <c r="C244" s="24" t="str">
        <f>IF($X244="","",INDEX(Import_Staging!$C$2:$C$301,$X244)&amp;"")</f>
        <v/>
      </c>
      <c r="D244" s="24" t="str">
        <f>IF($X244="","",INDEX(Import_Staging!$D$2:$D$301,$X244)&amp;"")</f>
        <v/>
      </c>
      <c r="E244" s="69" t="str">
        <f>IF($X244="","",INDEX(Import_Staging!$O$2:$O$301,$X244))</f>
        <v/>
      </c>
      <c r="F244" s="24" t="str">
        <f>IF($X244="","",INDEX(Import_Staging!$F$2:$F$301,$X244)&amp;"")</f>
        <v/>
      </c>
      <c r="G244" s="24" t="str">
        <f>IF($X244="","",INDEX(Import_Staging!$J$2:$J$301,$X244)&amp;"")</f>
        <v/>
      </c>
      <c r="H244" s="24" t="str">
        <f>IF($X244="","",INDEX(Import_Staging!$K$2:$K$301,$X244)&amp;"")</f>
        <v/>
      </c>
      <c r="I244" s="24" t="str">
        <f>IF($X244="","",INDEX(Import_Staging!$L$2:$L$301,$X244)&amp;"")</f>
        <v/>
      </c>
      <c r="J244" s="24" t="str">
        <f>IF($X244="","","3PL import")</f>
        <v/>
      </c>
      <c r="K244" s="24" t="str">
        <f>IF($X244="","",Config!$B$11)</f>
        <v/>
      </c>
      <c r="L244" s="24" t="str">
        <f>IF($X244="","","CSV row "&amp;($X244+1))</f>
        <v/>
      </c>
      <c r="N244" s="24" t="str">
        <f>IF($Y244="","",INDEX(Import_Staging!$F$2:$F$301,$Y244)&amp;"")</f>
        <v/>
      </c>
      <c r="O244" s="24" t="str">
        <f>IF($Y244="","",INDEX(Import_Staging!$D$2:$D$301,$Y244)&amp;"")</f>
        <v/>
      </c>
      <c r="P244" s="24" t="str">
        <f>IF($Y244="","",INDEX(Import_Staging!$E$2:$E$301,$Y244)&amp;"")</f>
        <v/>
      </c>
      <c r="Q244" s="27" t="n"/>
      <c r="R244" s="27" t="str">
        <f>IF($Y244="","",INDEX(Import_Staging!$N$2:$N$301,$Y244))</f>
        <v/>
      </c>
      <c r="S244" s="70" t="str">
        <f>IF($Y244="","",0)</f>
        <v/>
      </c>
      <c r="T244" s="24" t="str">
        <f>IF($Y244="","",INDEX(Import_Staging!$I$2:$I$301,$Y244)&amp;"")</f>
        <v/>
      </c>
      <c r="U244" s="24" t="n"/>
      <c r="V244" s="24" t="str">
        <f>IF($Y244="","","Received "&amp;TEXT(INDEX(Import_Staging!$M$2:$M$301,$Y244),"yyyy-mm-dd")&amp;" (CSV row "&amp;($Y244+1)&amp;")")</f>
        <v/>
      </c>
      <c r="X244" t="str">
        <f>IFERROR(MATCH(239,Import_Staging!$BT$2:$BT$301,0),"")</f>
        <v/>
      </c>
      <c r="Y244" t="str">
        <f>IFERROR(MATCH(239,Import_Staging!$BV$2:$BV$301,0),"")</f>
        <v/>
      </c>
    </row>
    <row r="245">
      <c r="A245" s="24" t="str">
        <f>IF($X245="","",INDEX(Import_Staging!$A$2:$A$301,$X245)&amp;"")</f>
        <v/>
      </c>
      <c r="B245" s="27" t="str">
        <f>IF($X245="","",INDEX(Import_Staging!$M$2:$M$301,$X245))</f>
        <v/>
      </c>
      <c r="C245" s="24" t="str">
        <f>IF($X245="","",INDEX(Import_Staging!$C$2:$C$301,$X245)&amp;"")</f>
        <v/>
      </c>
      <c r="D245" s="24" t="str">
        <f>IF($X245="","",INDEX(Import_Staging!$D$2:$D$301,$X245)&amp;"")</f>
        <v/>
      </c>
      <c r="E245" s="69" t="str">
        <f>IF($X245="","",INDEX(Import_Staging!$O$2:$O$301,$X245))</f>
        <v/>
      </c>
      <c r="F245" s="24" t="str">
        <f>IF($X245="","",INDEX(Import_Staging!$F$2:$F$301,$X245)&amp;"")</f>
        <v/>
      </c>
      <c r="G245" s="24" t="str">
        <f>IF($X245="","",INDEX(Import_Staging!$J$2:$J$301,$X245)&amp;"")</f>
        <v/>
      </c>
      <c r="H245" s="24" t="str">
        <f>IF($X245="","",INDEX(Import_Staging!$K$2:$K$301,$X245)&amp;"")</f>
        <v/>
      </c>
      <c r="I245" s="24" t="str">
        <f>IF($X245="","",INDEX(Import_Staging!$L$2:$L$301,$X245)&amp;"")</f>
        <v/>
      </c>
      <c r="J245" s="24" t="str">
        <f>IF($X245="","","3PL import")</f>
        <v/>
      </c>
      <c r="K245" s="24" t="str">
        <f>IF($X245="","",Config!$B$11)</f>
        <v/>
      </c>
      <c r="L245" s="24" t="str">
        <f>IF($X245="","","CSV row "&amp;($X245+1))</f>
        <v/>
      </c>
      <c r="N245" s="24" t="str">
        <f>IF($Y245="","",INDEX(Import_Staging!$F$2:$F$301,$Y245)&amp;"")</f>
        <v/>
      </c>
      <c r="O245" s="24" t="str">
        <f>IF($Y245="","",INDEX(Import_Staging!$D$2:$D$301,$Y245)&amp;"")</f>
        <v/>
      </c>
      <c r="P245" s="24" t="str">
        <f>IF($Y245="","",INDEX(Import_Staging!$E$2:$E$301,$Y245)&amp;"")</f>
        <v/>
      </c>
      <c r="Q245" s="27" t="n"/>
      <c r="R245" s="27" t="str">
        <f>IF($Y245="","",INDEX(Import_Staging!$N$2:$N$301,$Y245))</f>
        <v/>
      </c>
      <c r="S245" s="70" t="str">
        <f>IF($Y245="","",0)</f>
        <v/>
      </c>
      <c r="T245" s="24" t="str">
        <f>IF($Y245="","",INDEX(Import_Staging!$I$2:$I$301,$Y245)&amp;"")</f>
        <v/>
      </c>
      <c r="U245" s="24" t="n"/>
      <c r="V245" s="24" t="str">
        <f>IF($Y245="","","Received "&amp;TEXT(INDEX(Import_Staging!$M$2:$M$301,$Y245),"yyyy-mm-dd")&amp;" (CSV row "&amp;($Y245+1)&amp;")")</f>
        <v/>
      </c>
      <c r="X245" t="str">
        <f>IFERROR(MATCH(240,Import_Staging!$BT$2:$BT$301,0),"")</f>
        <v/>
      </c>
      <c r="Y245" t="str">
        <f>IFERROR(MATCH(240,Import_Staging!$BV$2:$BV$301,0),"")</f>
        <v/>
      </c>
    </row>
    <row r="246">
      <c r="A246" s="24" t="str">
        <f>IF($X246="","",INDEX(Import_Staging!$A$2:$A$301,$X246)&amp;"")</f>
        <v/>
      </c>
      <c r="B246" s="27" t="str">
        <f>IF($X246="","",INDEX(Import_Staging!$M$2:$M$301,$X246))</f>
        <v/>
      </c>
      <c r="C246" s="24" t="str">
        <f>IF($X246="","",INDEX(Import_Staging!$C$2:$C$301,$X246)&amp;"")</f>
        <v/>
      </c>
      <c r="D246" s="24" t="str">
        <f>IF($X246="","",INDEX(Import_Staging!$D$2:$D$301,$X246)&amp;"")</f>
        <v/>
      </c>
      <c r="E246" s="69" t="str">
        <f>IF($X246="","",INDEX(Import_Staging!$O$2:$O$301,$X246))</f>
        <v/>
      </c>
      <c r="F246" s="24" t="str">
        <f>IF($X246="","",INDEX(Import_Staging!$F$2:$F$301,$X246)&amp;"")</f>
        <v/>
      </c>
      <c r="G246" s="24" t="str">
        <f>IF($X246="","",INDEX(Import_Staging!$J$2:$J$301,$X246)&amp;"")</f>
        <v/>
      </c>
      <c r="H246" s="24" t="str">
        <f>IF($X246="","",INDEX(Import_Staging!$K$2:$K$301,$X246)&amp;"")</f>
        <v/>
      </c>
      <c r="I246" s="24" t="str">
        <f>IF($X246="","",INDEX(Import_Staging!$L$2:$L$301,$X246)&amp;"")</f>
        <v/>
      </c>
      <c r="J246" s="24" t="str">
        <f>IF($X246="","","3PL import")</f>
        <v/>
      </c>
      <c r="K246" s="24" t="str">
        <f>IF($X246="","",Config!$B$11)</f>
        <v/>
      </c>
      <c r="L246" s="24" t="str">
        <f>IF($X246="","","CSV row "&amp;($X246+1))</f>
        <v/>
      </c>
      <c r="N246" s="24" t="str">
        <f>IF($Y246="","",INDEX(Import_Staging!$F$2:$F$301,$Y246)&amp;"")</f>
        <v/>
      </c>
      <c r="O246" s="24" t="str">
        <f>IF($Y246="","",INDEX(Import_Staging!$D$2:$D$301,$Y246)&amp;"")</f>
        <v/>
      </c>
      <c r="P246" s="24" t="str">
        <f>IF($Y246="","",INDEX(Import_Staging!$E$2:$E$301,$Y246)&amp;"")</f>
        <v/>
      </c>
      <c r="Q246" s="27" t="n"/>
      <c r="R246" s="27" t="str">
        <f>IF($Y246="","",INDEX(Import_Staging!$N$2:$N$301,$Y246))</f>
        <v/>
      </c>
      <c r="S246" s="70" t="str">
        <f>IF($Y246="","",0)</f>
        <v/>
      </c>
      <c r="T246" s="24" t="str">
        <f>IF($Y246="","",INDEX(Import_Staging!$I$2:$I$301,$Y246)&amp;"")</f>
        <v/>
      </c>
      <c r="U246" s="24" t="n"/>
      <c r="V246" s="24" t="str">
        <f>IF($Y246="","","Received "&amp;TEXT(INDEX(Import_Staging!$M$2:$M$301,$Y246),"yyyy-mm-dd")&amp;" (CSV row "&amp;($Y246+1)&amp;")")</f>
        <v/>
      </c>
      <c r="X246" t="str">
        <f>IFERROR(MATCH(241,Import_Staging!$BT$2:$BT$301,0),"")</f>
        <v/>
      </c>
      <c r="Y246" t="str">
        <f>IFERROR(MATCH(241,Import_Staging!$BV$2:$BV$301,0),"")</f>
        <v/>
      </c>
    </row>
    <row r="247">
      <c r="A247" s="24" t="str">
        <f>IF($X247="","",INDEX(Import_Staging!$A$2:$A$301,$X247)&amp;"")</f>
        <v/>
      </c>
      <c r="B247" s="27" t="str">
        <f>IF($X247="","",INDEX(Import_Staging!$M$2:$M$301,$X247))</f>
        <v/>
      </c>
      <c r="C247" s="24" t="str">
        <f>IF($X247="","",INDEX(Import_Staging!$C$2:$C$301,$X247)&amp;"")</f>
        <v/>
      </c>
      <c r="D247" s="24" t="str">
        <f>IF($X247="","",INDEX(Import_Staging!$D$2:$D$301,$X247)&amp;"")</f>
        <v/>
      </c>
      <c r="E247" s="69" t="str">
        <f>IF($X247="","",INDEX(Import_Staging!$O$2:$O$301,$X247))</f>
        <v/>
      </c>
      <c r="F247" s="24" t="str">
        <f>IF($X247="","",INDEX(Import_Staging!$F$2:$F$301,$X247)&amp;"")</f>
        <v/>
      </c>
      <c r="G247" s="24" t="str">
        <f>IF($X247="","",INDEX(Import_Staging!$J$2:$J$301,$X247)&amp;"")</f>
        <v/>
      </c>
      <c r="H247" s="24" t="str">
        <f>IF($X247="","",INDEX(Import_Staging!$K$2:$K$301,$X247)&amp;"")</f>
        <v/>
      </c>
      <c r="I247" s="24" t="str">
        <f>IF($X247="","",INDEX(Import_Staging!$L$2:$L$301,$X247)&amp;"")</f>
        <v/>
      </c>
      <c r="J247" s="24" t="str">
        <f>IF($X247="","","3PL import")</f>
        <v/>
      </c>
      <c r="K247" s="24" t="str">
        <f>IF($X247="","",Config!$B$11)</f>
        <v/>
      </c>
      <c r="L247" s="24" t="str">
        <f>IF($X247="","","CSV row "&amp;($X247+1))</f>
        <v/>
      </c>
      <c r="N247" s="24" t="str">
        <f>IF($Y247="","",INDEX(Import_Staging!$F$2:$F$301,$Y247)&amp;"")</f>
        <v/>
      </c>
      <c r="O247" s="24" t="str">
        <f>IF($Y247="","",INDEX(Import_Staging!$D$2:$D$301,$Y247)&amp;"")</f>
        <v/>
      </c>
      <c r="P247" s="24" t="str">
        <f>IF($Y247="","",INDEX(Import_Staging!$E$2:$E$301,$Y247)&amp;"")</f>
        <v/>
      </c>
      <c r="Q247" s="27" t="n"/>
      <c r="R247" s="27" t="str">
        <f>IF($Y247="","",INDEX(Import_Staging!$N$2:$N$301,$Y247))</f>
        <v/>
      </c>
      <c r="S247" s="70" t="str">
        <f>IF($Y247="","",0)</f>
        <v/>
      </c>
      <c r="T247" s="24" t="str">
        <f>IF($Y247="","",INDEX(Import_Staging!$I$2:$I$301,$Y247)&amp;"")</f>
        <v/>
      </c>
      <c r="U247" s="24" t="n"/>
      <c r="V247" s="24" t="str">
        <f>IF($Y247="","","Received "&amp;TEXT(INDEX(Import_Staging!$M$2:$M$301,$Y247),"yyyy-mm-dd")&amp;" (CSV row "&amp;($Y247+1)&amp;")")</f>
        <v/>
      </c>
      <c r="X247" t="str">
        <f>IFERROR(MATCH(242,Import_Staging!$BT$2:$BT$301,0),"")</f>
        <v/>
      </c>
      <c r="Y247" t="str">
        <f>IFERROR(MATCH(242,Import_Staging!$BV$2:$BV$301,0),"")</f>
        <v/>
      </c>
    </row>
    <row r="248">
      <c r="A248" s="24" t="str">
        <f>IF($X248="","",INDEX(Import_Staging!$A$2:$A$301,$X248)&amp;"")</f>
        <v/>
      </c>
      <c r="B248" s="27" t="str">
        <f>IF($X248="","",INDEX(Import_Staging!$M$2:$M$301,$X248))</f>
        <v/>
      </c>
      <c r="C248" s="24" t="str">
        <f>IF($X248="","",INDEX(Import_Staging!$C$2:$C$301,$X248)&amp;"")</f>
        <v/>
      </c>
      <c r="D248" s="24" t="str">
        <f>IF($X248="","",INDEX(Import_Staging!$D$2:$D$301,$X248)&amp;"")</f>
        <v/>
      </c>
      <c r="E248" s="69" t="str">
        <f>IF($X248="","",INDEX(Import_Staging!$O$2:$O$301,$X248))</f>
        <v/>
      </c>
      <c r="F248" s="24" t="str">
        <f>IF($X248="","",INDEX(Import_Staging!$F$2:$F$301,$X248)&amp;"")</f>
        <v/>
      </c>
      <c r="G248" s="24" t="str">
        <f>IF($X248="","",INDEX(Import_Staging!$J$2:$J$301,$X248)&amp;"")</f>
        <v/>
      </c>
      <c r="H248" s="24" t="str">
        <f>IF($X248="","",INDEX(Import_Staging!$K$2:$K$301,$X248)&amp;"")</f>
        <v/>
      </c>
      <c r="I248" s="24" t="str">
        <f>IF($X248="","",INDEX(Import_Staging!$L$2:$L$301,$X248)&amp;"")</f>
        <v/>
      </c>
      <c r="J248" s="24" t="str">
        <f>IF($X248="","","3PL import")</f>
        <v/>
      </c>
      <c r="K248" s="24" t="str">
        <f>IF($X248="","",Config!$B$11)</f>
        <v/>
      </c>
      <c r="L248" s="24" t="str">
        <f>IF($X248="","","CSV row "&amp;($X248+1))</f>
        <v/>
      </c>
      <c r="N248" s="24" t="str">
        <f>IF($Y248="","",INDEX(Import_Staging!$F$2:$F$301,$Y248)&amp;"")</f>
        <v/>
      </c>
      <c r="O248" s="24" t="str">
        <f>IF($Y248="","",INDEX(Import_Staging!$D$2:$D$301,$Y248)&amp;"")</f>
        <v/>
      </c>
      <c r="P248" s="24" t="str">
        <f>IF($Y248="","",INDEX(Import_Staging!$E$2:$E$301,$Y248)&amp;"")</f>
        <v/>
      </c>
      <c r="Q248" s="27" t="n"/>
      <c r="R248" s="27" t="str">
        <f>IF($Y248="","",INDEX(Import_Staging!$N$2:$N$301,$Y248))</f>
        <v/>
      </c>
      <c r="S248" s="70" t="str">
        <f>IF($Y248="","",0)</f>
        <v/>
      </c>
      <c r="T248" s="24" t="str">
        <f>IF($Y248="","",INDEX(Import_Staging!$I$2:$I$301,$Y248)&amp;"")</f>
        <v/>
      </c>
      <c r="U248" s="24" t="n"/>
      <c r="V248" s="24" t="str">
        <f>IF($Y248="","","Received "&amp;TEXT(INDEX(Import_Staging!$M$2:$M$301,$Y248),"yyyy-mm-dd")&amp;" (CSV row "&amp;($Y248+1)&amp;")")</f>
        <v/>
      </c>
      <c r="X248" t="str">
        <f>IFERROR(MATCH(243,Import_Staging!$BT$2:$BT$301,0),"")</f>
        <v/>
      </c>
      <c r="Y248" t="str">
        <f>IFERROR(MATCH(243,Import_Staging!$BV$2:$BV$301,0),"")</f>
        <v/>
      </c>
    </row>
    <row r="249">
      <c r="A249" s="24" t="str">
        <f>IF($X249="","",INDEX(Import_Staging!$A$2:$A$301,$X249)&amp;"")</f>
        <v/>
      </c>
      <c r="B249" s="27" t="str">
        <f>IF($X249="","",INDEX(Import_Staging!$M$2:$M$301,$X249))</f>
        <v/>
      </c>
      <c r="C249" s="24" t="str">
        <f>IF($X249="","",INDEX(Import_Staging!$C$2:$C$301,$X249)&amp;"")</f>
        <v/>
      </c>
      <c r="D249" s="24" t="str">
        <f>IF($X249="","",INDEX(Import_Staging!$D$2:$D$301,$X249)&amp;"")</f>
        <v/>
      </c>
      <c r="E249" s="69" t="str">
        <f>IF($X249="","",INDEX(Import_Staging!$O$2:$O$301,$X249))</f>
        <v/>
      </c>
      <c r="F249" s="24" t="str">
        <f>IF($X249="","",INDEX(Import_Staging!$F$2:$F$301,$X249)&amp;"")</f>
        <v/>
      </c>
      <c r="G249" s="24" t="str">
        <f>IF($X249="","",INDEX(Import_Staging!$J$2:$J$301,$X249)&amp;"")</f>
        <v/>
      </c>
      <c r="H249" s="24" t="str">
        <f>IF($X249="","",INDEX(Import_Staging!$K$2:$K$301,$X249)&amp;"")</f>
        <v/>
      </c>
      <c r="I249" s="24" t="str">
        <f>IF($X249="","",INDEX(Import_Staging!$L$2:$L$301,$X249)&amp;"")</f>
        <v/>
      </c>
      <c r="J249" s="24" t="str">
        <f>IF($X249="","","3PL import")</f>
        <v/>
      </c>
      <c r="K249" s="24" t="str">
        <f>IF($X249="","",Config!$B$11)</f>
        <v/>
      </c>
      <c r="L249" s="24" t="str">
        <f>IF($X249="","","CSV row "&amp;($X249+1))</f>
        <v/>
      </c>
      <c r="N249" s="24" t="str">
        <f>IF($Y249="","",INDEX(Import_Staging!$F$2:$F$301,$Y249)&amp;"")</f>
        <v/>
      </c>
      <c r="O249" s="24" t="str">
        <f>IF($Y249="","",INDEX(Import_Staging!$D$2:$D$301,$Y249)&amp;"")</f>
        <v/>
      </c>
      <c r="P249" s="24" t="str">
        <f>IF($Y249="","",INDEX(Import_Staging!$E$2:$E$301,$Y249)&amp;"")</f>
        <v/>
      </c>
      <c r="Q249" s="27" t="n"/>
      <c r="R249" s="27" t="str">
        <f>IF($Y249="","",INDEX(Import_Staging!$N$2:$N$301,$Y249))</f>
        <v/>
      </c>
      <c r="S249" s="70" t="str">
        <f>IF($Y249="","",0)</f>
        <v/>
      </c>
      <c r="T249" s="24" t="str">
        <f>IF($Y249="","",INDEX(Import_Staging!$I$2:$I$301,$Y249)&amp;"")</f>
        <v/>
      </c>
      <c r="U249" s="24" t="n"/>
      <c r="V249" s="24" t="str">
        <f>IF($Y249="","","Received "&amp;TEXT(INDEX(Import_Staging!$M$2:$M$301,$Y249),"yyyy-mm-dd")&amp;" (CSV row "&amp;($Y249+1)&amp;")")</f>
        <v/>
      </c>
      <c r="X249" t="str">
        <f>IFERROR(MATCH(244,Import_Staging!$BT$2:$BT$301,0),"")</f>
        <v/>
      </c>
      <c r="Y249" t="str">
        <f>IFERROR(MATCH(244,Import_Staging!$BV$2:$BV$301,0),"")</f>
        <v/>
      </c>
    </row>
    <row r="250">
      <c r="A250" s="24" t="str">
        <f>IF($X250="","",INDEX(Import_Staging!$A$2:$A$301,$X250)&amp;"")</f>
        <v/>
      </c>
      <c r="B250" s="27" t="str">
        <f>IF($X250="","",INDEX(Import_Staging!$M$2:$M$301,$X250))</f>
        <v/>
      </c>
      <c r="C250" s="24" t="str">
        <f>IF($X250="","",INDEX(Import_Staging!$C$2:$C$301,$X250)&amp;"")</f>
        <v/>
      </c>
      <c r="D250" s="24" t="str">
        <f>IF($X250="","",INDEX(Import_Staging!$D$2:$D$301,$X250)&amp;"")</f>
        <v/>
      </c>
      <c r="E250" s="69" t="str">
        <f>IF($X250="","",INDEX(Import_Staging!$O$2:$O$301,$X250))</f>
        <v/>
      </c>
      <c r="F250" s="24" t="str">
        <f>IF($X250="","",INDEX(Import_Staging!$F$2:$F$301,$X250)&amp;"")</f>
        <v/>
      </c>
      <c r="G250" s="24" t="str">
        <f>IF($X250="","",INDEX(Import_Staging!$J$2:$J$301,$X250)&amp;"")</f>
        <v/>
      </c>
      <c r="H250" s="24" t="str">
        <f>IF($X250="","",INDEX(Import_Staging!$K$2:$K$301,$X250)&amp;"")</f>
        <v/>
      </c>
      <c r="I250" s="24" t="str">
        <f>IF($X250="","",INDEX(Import_Staging!$L$2:$L$301,$X250)&amp;"")</f>
        <v/>
      </c>
      <c r="J250" s="24" t="str">
        <f>IF($X250="","","3PL import")</f>
        <v/>
      </c>
      <c r="K250" s="24" t="str">
        <f>IF($X250="","",Config!$B$11)</f>
        <v/>
      </c>
      <c r="L250" s="24" t="str">
        <f>IF($X250="","","CSV row "&amp;($X250+1))</f>
        <v/>
      </c>
      <c r="N250" s="24" t="str">
        <f>IF($Y250="","",INDEX(Import_Staging!$F$2:$F$301,$Y250)&amp;"")</f>
        <v/>
      </c>
      <c r="O250" s="24" t="str">
        <f>IF($Y250="","",INDEX(Import_Staging!$D$2:$D$301,$Y250)&amp;"")</f>
        <v/>
      </c>
      <c r="P250" s="24" t="str">
        <f>IF($Y250="","",INDEX(Import_Staging!$E$2:$E$301,$Y250)&amp;"")</f>
        <v/>
      </c>
      <c r="Q250" s="27" t="n"/>
      <c r="R250" s="27" t="str">
        <f>IF($Y250="","",INDEX(Import_Staging!$N$2:$N$301,$Y250))</f>
        <v/>
      </c>
      <c r="S250" s="70" t="str">
        <f>IF($Y250="","",0)</f>
        <v/>
      </c>
      <c r="T250" s="24" t="str">
        <f>IF($Y250="","",INDEX(Import_Staging!$I$2:$I$301,$Y250)&amp;"")</f>
        <v/>
      </c>
      <c r="U250" s="24" t="n"/>
      <c r="V250" s="24" t="str">
        <f>IF($Y250="","","Received "&amp;TEXT(INDEX(Import_Staging!$M$2:$M$301,$Y250),"yyyy-mm-dd")&amp;" (CSV row "&amp;($Y250+1)&amp;")")</f>
        <v/>
      </c>
      <c r="X250" t="str">
        <f>IFERROR(MATCH(245,Import_Staging!$BT$2:$BT$301,0),"")</f>
        <v/>
      </c>
      <c r="Y250" t="str">
        <f>IFERROR(MATCH(245,Import_Staging!$BV$2:$BV$301,0),"")</f>
        <v/>
      </c>
    </row>
    <row r="251">
      <c r="A251" s="24" t="str">
        <f>IF($X251="","",INDEX(Import_Staging!$A$2:$A$301,$X251)&amp;"")</f>
        <v/>
      </c>
      <c r="B251" s="27" t="str">
        <f>IF($X251="","",INDEX(Import_Staging!$M$2:$M$301,$X251))</f>
        <v/>
      </c>
      <c r="C251" s="24" t="str">
        <f>IF($X251="","",INDEX(Import_Staging!$C$2:$C$301,$X251)&amp;"")</f>
        <v/>
      </c>
      <c r="D251" s="24" t="str">
        <f>IF($X251="","",INDEX(Import_Staging!$D$2:$D$301,$X251)&amp;"")</f>
        <v/>
      </c>
      <c r="E251" s="69" t="str">
        <f>IF($X251="","",INDEX(Import_Staging!$O$2:$O$301,$X251))</f>
        <v/>
      </c>
      <c r="F251" s="24" t="str">
        <f>IF($X251="","",INDEX(Import_Staging!$F$2:$F$301,$X251)&amp;"")</f>
        <v/>
      </c>
      <c r="G251" s="24" t="str">
        <f>IF($X251="","",INDEX(Import_Staging!$J$2:$J$301,$X251)&amp;"")</f>
        <v/>
      </c>
      <c r="H251" s="24" t="str">
        <f>IF($X251="","",INDEX(Import_Staging!$K$2:$K$301,$X251)&amp;"")</f>
        <v/>
      </c>
      <c r="I251" s="24" t="str">
        <f>IF($X251="","",INDEX(Import_Staging!$L$2:$L$301,$X251)&amp;"")</f>
        <v/>
      </c>
      <c r="J251" s="24" t="str">
        <f>IF($X251="","","3PL import")</f>
        <v/>
      </c>
      <c r="K251" s="24" t="str">
        <f>IF($X251="","",Config!$B$11)</f>
        <v/>
      </c>
      <c r="L251" s="24" t="str">
        <f>IF($X251="","","CSV row "&amp;($X251+1))</f>
        <v/>
      </c>
      <c r="N251" s="24" t="str">
        <f>IF($Y251="","",INDEX(Import_Staging!$F$2:$F$301,$Y251)&amp;"")</f>
        <v/>
      </c>
      <c r="O251" s="24" t="str">
        <f>IF($Y251="","",INDEX(Import_Staging!$D$2:$D$301,$Y251)&amp;"")</f>
        <v/>
      </c>
      <c r="P251" s="24" t="str">
        <f>IF($Y251="","",INDEX(Import_Staging!$E$2:$E$301,$Y251)&amp;"")</f>
        <v/>
      </c>
      <c r="Q251" s="27" t="n"/>
      <c r="R251" s="27" t="str">
        <f>IF($Y251="","",INDEX(Import_Staging!$N$2:$N$301,$Y251))</f>
        <v/>
      </c>
      <c r="S251" s="70" t="str">
        <f>IF($Y251="","",0)</f>
        <v/>
      </c>
      <c r="T251" s="24" t="str">
        <f>IF($Y251="","",INDEX(Import_Staging!$I$2:$I$301,$Y251)&amp;"")</f>
        <v/>
      </c>
      <c r="U251" s="24" t="n"/>
      <c r="V251" s="24" t="str">
        <f>IF($Y251="","","Received "&amp;TEXT(INDEX(Import_Staging!$M$2:$M$301,$Y251),"yyyy-mm-dd")&amp;" (CSV row "&amp;($Y251+1)&amp;")")</f>
        <v/>
      </c>
      <c r="X251" t="str">
        <f>IFERROR(MATCH(246,Import_Staging!$BT$2:$BT$301,0),"")</f>
        <v/>
      </c>
      <c r="Y251" t="str">
        <f>IFERROR(MATCH(246,Import_Staging!$BV$2:$BV$301,0),"")</f>
        <v/>
      </c>
    </row>
    <row r="252">
      <c r="A252" s="24" t="str">
        <f>IF($X252="","",INDEX(Import_Staging!$A$2:$A$301,$X252)&amp;"")</f>
        <v/>
      </c>
      <c r="B252" s="27" t="str">
        <f>IF($X252="","",INDEX(Import_Staging!$M$2:$M$301,$X252))</f>
        <v/>
      </c>
      <c r="C252" s="24" t="str">
        <f>IF($X252="","",INDEX(Import_Staging!$C$2:$C$301,$X252)&amp;"")</f>
        <v/>
      </c>
      <c r="D252" s="24" t="str">
        <f>IF($X252="","",INDEX(Import_Staging!$D$2:$D$301,$X252)&amp;"")</f>
        <v/>
      </c>
      <c r="E252" s="69" t="str">
        <f>IF($X252="","",INDEX(Import_Staging!$O$2:$O$301,$X252))</f>
        <v/>
      </c>
      <c r="F252" s="24" t="str">
        <f>IF($X252="","",INDEX(Import_Staging!$F$2:$F$301,$X252)&amp;"")</f>
        <v/>
      </c>
      <c r="G252" s="24" t="str">
        <f>IF($X252="","",INDEX(Import_Staging!$J$2:$J$301,$X252)&amp;"")</f>
        <v/>
      </c>
      <c r="H252" s="24" t="str">
        <f>IF($X252="","",INDEX(Import_Staging!$K$2:$K$301,$X252)&amp;"")</f>
        <v/>
      </c>
      <c r="I252" s="24" t="str">
        <f>IF($X252="","",INDEX(Import_Staging!$L$2:$L$301,$X252)&amp;"")</f>
        <v/>
      </c>
      <c r="J252" s="24" t="str">
        <f>IF($X252="","","3PL import")</f>
        <v/>
      </c>
      <c r="K252" s="24" t="str">
        <f>IF($X252="","",Config!$B$11)</f>
        <v/>
      </c>
      <c r="L252" s="24" t="str">
        <f>IF($X252="","","CSV row "&amp;($X252+1))</f>
        <v/>
      </c>
      <c r="N252" s="24" t="str">
        <f>IF($Y252="","",INDEX(Import_Staging!$F$2:$F$301,$Y252)&amp;"")</f>
        <v/>
      </c>
      <c r="O252" s="24" t="str">
        <f>IF($Y252="","",INDEX(Import_Staging!$D$2:$D$301,$Y252)&amp;"")</f>
        <v/>
      </c>
      <c r="P252" s="24" t="str">
        <f>IF($Y252="","",INDEX(Import_Staging!$E$2:$E$301,$Y252)&amp;"")</f>
        <v/>
      </c>
      <c r="Q252" s="27" t="n"/>
      <c r="R252" s="27" t="str">
        <f>IF($Y252="","",INDEX(Import_Staging!$N$2:$N$301,$Y252))</f>
        <v/>
      </c>
      <c r="S252" s="70" t="str">
        <f>IF($Y252="","",0)</f>
        <v/>
      </c>
      <c r="T252" s="24" t="str">
        <f>IF($Y252="","",INDEX(Import_Staging!$I$2:$I$301,$Y252)&amp;"")</f>
        <v/>
      </c>
      <c r="U252" s="24" t="n"/>
      <c r="V252" s="24" t="str">
        <f>IF($Y252="","","Received "&amp;TEXT(INDEX(Import_Staging!$M$2:$M$301,$Y252),"yyyy-mm-dd")&amp;" (CSV row "&amp;($Y252+1)&amp;")")</f>
        <v/>
      </c>
      <c r="X252" t="str">
        <f>IFERROR(MATCH(247,Import_Staging!$BT$2:$BT$301,0),"")</f>
        <v/>
      </c>
      <c r="Y252" t="str">
        <f>IFERROR(MATCH(247,Import_Staging!$BV$2:$BV$301,0),"")</f>
        <v/>
      </c>
    </row>
    <row r="253">
      <c r="A253" s="24" t="str">
        <f>IF($X253="","",INDEX(Import_Staging!$A$2:$A$301,$X253)&amp;"")</f>
        <v/>
      </c>
      <c r="B253" s="27" t="str">
        <f>IF($X253="","",INDEX(Import_Staging!$M$2:$M$301,$X253))</f>
        <v/>
      </c>
      <c r="C253" s="24" t="str">
        <f>IF($X253="","",INDEX(Import_Staging!$C$2:$C$301,$X253)&amp;"")</f>
        <v/>
      </c>
      <c r="D253" s="24" t="str">
        <f>IF($X253="","",INDEX(Import_Staging!$D$2:$D$301,$X253)&amp;"")</f>
        <v/>
      </c>
      <c r="E253" s="69" t="str">
        <f>IF($X253="","",INDEX(Import_Staging!$O$2:$O$301,$X253))</f>
        <v/>
      </c>
      <c r="F253" s="24" t="str">
        <f>IF($X253="","",INDEX(Import_Staging!$F$2:$F$301,$X253)&amp;"")</f>
        <v/>
      </c>
      <c r="G253" s="24" t="str">
        <f>IF($X253="","",INDEX(Import_Staging!$J$2:$J$301,$X253)&amp;"")</f>
        <v/>
      </c>
      <c r="H253" s="24" t="str">
        <f>IF($X253="","",INDEX(Import_Staging!$K$2:$K$301,$X253)&amp;"")</f>
        <v/>
      </c>
      <c r="I253" s="24" t="str">
        <f>IF($X253="","",INDEX(Import_Staging!$L$2:$L$301,$X253)&amp;"")</f>
        <v/>
      </c>
      <c r="J253" s="24" t="str">
        <f>IF($X253="","","3PL import")</f>
        <v/>
      </c>
      <c r="K253" s="24" t="str">
        <f>IF($X253="","",Config!$B$11)</f>
        <v/>
      </c>
      <c r="L253" s="24" t="str">
        <f>IF($X253="","","CSV row "&amp;($X253+1))</f>
        <v/>
      </c>
      <c r="N253" s="24" t="str">
        <f>IF($Y253="","",INDEX(Import_Staging!$F$2:$F$301,$Y253)&amp;"")</f>
        <v/>
      </c>
      <c r="O253" s="24" t="str">
        <f>IF($Y253="","",INDEX(Import_Staging!$D$2:$D$301,$Y253)&amp;"")</f>
        <v/>
      </c>
      <c r="P253" s="24" t="str">
        <f>IF($Y253="","",INDEX(Import_Staging!$E$2:$E$301,$Y253)&amp;"")</f>
        <v/>
      </c>
      <c r="Q253" s="27" t="n"/>
      <c r="R253" s="27" t="str">
        <f>IF($Y253="","",INDEX(Import_Staging!$N$2:$N$301,$Y253))</f>
        <v/>
      </c>
      <c r="S253" s="70" t="str">
        <f>IF($Y253="","",0)</f>
        <v/>
      </c>
      <c r="T253" s="24" t="str">
        <f>IF($Y253="","",INDEX(Import_Staging!$I$2:$I$301,$Y253)&amp;"")</f>
        <v/>
      </c>
      <c r="U253" s="24" t="n"/>
      <c r="V253" s="24" t="str">
        <f>IF($Y253="","","Received "&amp;TEXT(INDEX(Import_Staging!$M$2:$M$301,$Y253),"yyyy-mm-dd")&amp;" (CSV row "&amp;($Y253+1)&amp;")")</f>
        <v/>
      </c>
      <c r="X253" t="str">
        <f>IFERROR(MATCH(248,Import_Staging!$BT$2:$BT$301,0),"")</f>
        <v/>
      </c>
      <c r="Y253" t="str">
        <f>IFERROR(MATCH(248,Import_Staging!$BV$2:$BV$301,0),"")</f>
        <v/>
      </c>
    </row>
    <row r="254">
      <c r="A254" s="24" t="str">
        <f>IF($X254="","",INDEX(Import_Staging!$A$2:$A$301,$X254)&amp;"")</f>
        <v/>
      </c>
      <c r="B254" s="27" t="str">
        <f>IF($X254="","",INDEX(Import_Staging!$M$2:$M$301,$X254))</f>
        <v/>
      </c>
      <c r="C254" s="24" t="str">
        <f>IF($X254="","",INDEX(Import_Staging!$C$2:$C$301,$X254)&amp;"")</f>
        <v/>
      </c>
      <c r="D254" s="24" t="str">
        <f>IF($X254="","",INDEX(Import_Staging!$D$2:$D$301,$X254)&amp;"")</f>
        <v/>
      </c>
      <c r="E254" s="69" t="str">
        <f>IF($X254="","",INDEX(Import_Staging!$O$2:$O$301,$X254))</f>
        <v/>
      </c>
      <c r="F254" s="24" t="str">
        <f>IF($X254="","",INDEX(Import_Staging!$F$2:$F$301,$X254)&amp;"")</f>
        <v/>
      </c>
      <c r="G254" s="24" t="str">
        <f>IF($X254="","",INDEX(Import_Staging!$J$2:$J$301,$X254)&amp;"")</f>
        <v/>
      </c>
      <c r="H254" s="24" t="str">
        <f>IF($X254="","",INDEX(Import_Staging!$K$2:$K$301,$X254)&amp;"")</f>
        <v/>
      </c>
      <c r="I254" s="24" t="str">
        <f>IF($X254="","",INDEX(Import_Staging!$L$2:$L$301,$X254)&amp;"")</f>
        <v/>
      </c>
      <c r="J254" s="24" t="str">
        <f>IF($X254="","","3PL import")</f>
        <v/>
      </c>
      <c r="K254" s="24" t="str">
        <f>IF($X254="","",Config!$B$11)</f>
        <v/>
      </c>
      <c r="L254" s="24" t="str">
        <f>IF($X254="","","CSV row "&amp;($X254+1))</f>
        <v/>
      </c>
      <c r="N254" s="24" t="str">
        <f>IF($Y254="","",INDEX(Import_Staging!$F$2:$F$301,$Y254)&amp;"")</f>
        <v/>
      </c>
      <c r="O254" s="24" t="str">
        <f>IF($Y254="","",INDEX(Import_Staging!$D$2:$D$301,$Y254)&amp;"")</f>
        <v/>
      </c>
      <c r="P254" s="24" t="str">
        <f>IF($Y254="","",INDEX(Import_Staging!$E$2:$E$301,$Y254)&amp;"")</f>
        <v/>
      </c>
      <c r="Q254" s="27" t="n"/>
      <c r="R254" s="27" t="str">
        <f>IF($Y254="","",INDEX(Import_Staging!$N$2:$N$301,$Y254))</f>
        <v/>
      </c>
      <c r="S254" s="70" t="str">
        <f>IF($Y254="","",0)</f>
        <v/>
      </c>
      <c r="T254" s="24" t="str">
        <f>IF($Y254="","",INDEX(Import_Staging!$I$2:$I$301,$Y254)&amp;"")</f>
        <v/>
      </c>
      <c r="U254" s="24" t="n"/>
      <c r="V254" s="24" t="str">
        <f>IF($Y254="","","Received "&amp;TEXT(INDEX(Import_Staging!$M$2:$M$301,$Y254),"yyyy-mm-dd")&amp;" (CSV row "&amp;($Y254+1)&amp;")")</f>
        <v/>
      </c>
      <c r="X254" t="str">
        <f>IFERROR(MATCH(249,Import_Staging!$BT$2:$BT$301,0),"")</f>
        <v/>
      </c>
      <c r="Y254" t="str">
        <f>IFERROR(MATCH(249,Import_Staging!$BV$2:$BV$301,0),"")</f>
        <v/>
      </c>
    </row>
    <row r="255">
      <c r="A255" s="24" t="str">
        <f>IF($X255="","",INDEX(Import_Staging!$A$2:$A$301,$X255)&amp;"")</f>
        <v/>
      </c>
      <c r="B255" s="27" t="str">
        <f>IF($X255="","",INDEX(Import_Staging!$M$2:$M$301,$X255))</f>
        <v/>
      </c>
      <c r="C255" s="24" t="str">
        <f>IF($X255="","",INDEX(Import_Staging!$C$2:$C$301,$X255)&amp;"")</f>
        <v/>
      </c>
      <c r="D255" s="24" t="str">
        <f>IF($X255="","",INDEX(Import_Staging!$D$2:$D$301,$X255)&amp;"")</f>
        <v/>
      </c>
      <c r="E255" s="69" t="str">
        <f>IF($X255="","",INDEX(Import_Staging!$O$2:$O$301,$X255))</f>
        <v/>
      </c>
      <c r="F255" s="24" t="str">
        <f>IF($X255="","",INDEX(Import_Staging!$F$2:$F$301,$X255)&amp;"")</f>
        <v/>
      </c>
      <c r="G255" s="24" t="str">
        <f>IF($X255="","",INDEX(Import_Staging!$J$2:$J$301,$X255)&amp;"")</f>
        <v/>
      </c>
      <c r="H255" s="24" t="str">
        <f>IF($X255="","",INDEX(Import_Staging!$K$2:$K$301,$X255)&amp;"")</f>
        <v/>
      </c>
      <c r="I255" s="24" t="str">
        <f>IF($X255="","",INDEX(Import_Staging!$L$2:$L$301,$X255)&amp;"")</f>
        <v/>
      </c>
      <c r="J255" s="24" t="str">
        <f>IF($X255="","","3PL import")</f>
        <v/>
      </c>
      <c r="K255" s="24" t="str">
        <f>IF($X255="","",Config!$B$11)</f>
        <v/>
      </c>
      <c r="L255" s="24" t="str">
        <f>IF($X255="","","CSV row "&amp;($X255+1))</f>
        <v/>
      </c>
      <c r="N255" s="24" t="str">
        <f>IF($Y255="","",INDEX(Import_Staging!$F$2:$F$301,$Y255)&amp;"")</f>
        <v/>
      </c>
      <c r="O255" s="24" t="str">
        <f>IF($Y255="","",INDEX(Import_Staging!$D$2:$D$301,$Y255)&amp;"")</f>
        <v/>
      </c>
      <c r="P255" s="24" t="str">
        <f>IF($Y255="","",INDEX(Import_Staging!$E$2:$E$301,$Y255)&amp;"")</f>
        <v/>
      </c>
      <c r="Q255" s="27" t="n"/>
      <c r="R255" s="27" t="str">
        <f>IF($Y255="","",INDEX(Import_Staging!$N$2:$N$301,$Y255))</f>
        <v/>
      </c>
      <c r="S255" s="70" t="str">
        <f>IF($Y255="","",0)</f>
        <v/>
      </c>
      <c r="T255" s="24" t="str">
        <f>IF($Y255="","",INDEX(Import_Staging!$I$2:$I$301,$Y255)&amp;"")</f>
        <v/>
      </c>
      <c r="U255" s="24" t="n"/>
      <c r="V255" s="24" t="str">
        <f>IF($Y255="","","Received "&amp;TEXT(INDEX(Import_Staging!$M$2:$M$301,$Y255),"yyyy-mm-dd")&amp;" (CSV row "&amp;($Y255+1)&amp;")")</f>
        <v/>
      </c>
      <c r="X255" t="str">
        <f>IFERROR(MATCH(250,Import_Staging!$BT$2:$BT$301,0),"")</f>
        <v/>
      </c>
      <c r="Y255" t="str">
        <f>IFERROR(MATCH(250,Import_Staging!$BV$2:$BV$301,0),"")</f>
        <v/>
      </c>
    </row>
    <row r="256">
      <c r="A256" s="24" t="str">
        <f>IF($X256="","",INDEX(Import_Staging!$A$2:$A$301,$X256)&amp;"")</f>
        <v/>
      </c>
      <c r="B256" s="27" t="str">
        <f>IF($X256="","",INDEX(Import_Staging!$M$2:$M$301,$X256))</f>
        <v/>
      </c>
      <c r="C256" s="24" t="str">
        <f>IF($X256="","",INDEX(Import_Staging!$C$2:$C$301,$X256)&amp;"")</f>
        <v/>
      </c>
      <c r="D256" s="24" t="str">
        <f>IF($X256="","",INDEX(Import_Staging!$D$2:$D$301,$X256)&amp;"")</f>
        <v/>
      </c>
      <c r="E256" s="69" t="str">
        <f>IF($X256="","",INDEX(Import_Staging!$O$2:$O$301,$X256))</f>
        <v/>
      </c>
      <c r="F256" s="24" t="str">
        <f>IF($X256="","",INDEX(Import_Staging!$F$2:$F$301,$X256)&amp;"")</f>
        <v/>
      </c>
      <c r="G256" s="24" t="str">
        <f>IF($X256="","",INDEX(Import_Staging!$J$2:$J$301,$X256)&amp;"")</f>
        <v/>
      </c>
      <c r="H256" s="24" t="str">
        <f>IF($X256="","",INDEX(Import_Staging!$K$2:$K$301,$X256)&amp;"")</f>
        <v/>
      </c>
      <c r="I256" s="24" t="str">
        <f>IF($X256="","",INDEX(Import_Staging!$L$2:$L$301,$X256)&amp;"")</f>
        <v/>
      </c>
      <c r="J256" s="24" t="str">
        <f>IF($X256="","","3PL import")</f>
        <v/>
      </c>
      <c r="K256" s="24" t="str">
        <f>IF($X256="","",Config!$B$11)</f>
        <v/>
      </c>
      <c r="L256" s="24" t="str">
        <f>IF($X256="","","CSV row "&amp;($X256+1))</f>
        <v/>
      </c>
      <c r="N256" s="24" t="str">
        <f>IF($Y256="","",INDEX(Import_Staging!$F$2:$F$301,$Y256)&amp;"")</f>
        <v/>
      </c>
      <c r="O256" s="24" t="str">
        <f>IF($Y256="","",INDEX(Import_Staging!$D$2:$D$301,$Y256)&amp;"")</f>
        <v/>
      </c>
      <c r="P256" s="24" t="str">
        <f>IF($Y256="","",INDEX(Import_Staging!$E$2:$E$301,$Y256)&amp;"")</f>
        <v/>
      </c>
      <c r="Q256" s="27" t="n"/>
      <c r="R256" s="27" t="str">
        <f>IF($Y256="","",INDEX(Import_Staging!$N$2:$N$301,$Y256))</f>
        <v/>
      </c>
      <c r="S256" s="70" t="str">
        <f>IF($Y256="","",0)</f>
        <v/>
      </c>
      <c r="T256" s="24" t="str">
        <f>IF($Y256="","",INDEX(Import_Staging!$I$2:$I$301,$Y256)&amp;"")</f>
        <v/>
      </c>
      <c r="U256" s="24" t="n"/>
      <c r="V256" s="24" t="str">
        <f>IF($Y256="","","Received "&amp;TEXT(INDEX(Import_Staging!$M$2:$M$301,$Y256),"yyyy-mm-dd")&amp;" (CSV row "&amp;($Y256+1)&amp;")")</f>
        <v/>
      </c>
      <c r="X256" t="str">
        <f>IFERROR(MATCH(251,Import_Staging!$BT$2:$BT$301,0),"")</f>
        <v/>
      </c>
      <c r="Y256" t="str">
        <f>IFERROR(MATCH(251,Import_Staging!$BV$2:$BV$301,0),"")</f>
        <v/>
      </c>
    </row>
    <row r="257">
      <c r="A257" s="24" t="str">
        <f>IF($X257="","",INDEX(Import_Staging!$A$2:$A$301,$X257)&amp;"")</f>
        <v/>
      </c>
      <c r="B257" s="27" t="str">
        <f>IF($X257="","",INDEX(Import_Staging!$M$2:$M$301,$X257))</f>
        <v/>
      </c>
      <c r="C257" s="24" t="str">
        <f>IF($X257="","",INDEX(Import_Staging!$C$2:$C$301,$X257)&amp;"")</f>
        <v/>
      </c>
      <c r="D257" s="24" t="str">
        <f>IF($X257="","",INDEX(Import_Staging!$D$2:$D$301,$X257)&amp;"")</f>
        <v/>
      </c>
      <c r="E257" s="69" t="str">
        <f>IF($X257="","",INDEX(Import_Staging!$O$2:$O$301,$X257))</f>
        <v/>
      </c>
      <c r="F257" s="24" t="str">
        <f>IF($X257="","",INDEX(Import_Staging!$F$2:$F$301,$X257)&amp;"")</f>
        <v/>
      </c>
      <c r="G257" s="24" t="str">
        <f>IF($X257="","",INDEX(Import_Staging!$J$2:$J$301,$X257)&amp;"")</f>
        <v/>
      </c>
      <c r="H257" s="24" t="str">
        <f>IF($X257="","",INDEX(Import_Staging!$K$2:$K$301,$X257)&amp;"")</f>
        <v/>
      </c>
      <c r="I257" s="24" t="str">
        <f>IF($X257="","",INDEX(Import_Staging!$L$2:$L$301,$X257)&amp;"")</f>
        <v/>
      </c>
      <c r="J257" s="24" t="str">
        <f>IF($X257="","","3PL import")</f>
        <v/>
      </c>
      <c r="K257" s="24" t="str">
        <f>IF($X257="","",Config!$B$11)</f>
        <v/>
      </c>
      <c r="L257" s="24" t="str">
        <f>IF($X257="","","CSV row "&amp;($X257+1))</f>
        <v/>
      </c>
      <c r="N257" s="24" t="str">
        <f>IF($Y257="","",INDEX(Import_Staging!$F$2:$F$301,$Y257)&amp;"")</f>
        <v/>
      </c>
      <c r="O257" s="24" t="str">
        <f>IF($Y257="","",INDEX(Import_Staging!$D$2:$D$301,$Y257)&amp;"")</f>
        <v/>
      </c>
      <c r="P257" s="24" t="str">
        <f>IF($Y257="","",INDEX(Import_Staging!$E$2:$E$301,$Y257)&amp;"")</f>
        <v/>
      </c>
      <c r="Q257" s="27" t="n"/>
      <c r="R257" s="27" t="str">
        <f>IF($Y257="","",INDEX(Import_Staging!$N$2:$N$301,$Y257))</f>
        <v/>
      </c>
      <c r="S257" s="70" t="str">
        <f>IF($Y257="","",0)</f>
        <v/>
      </c>
      <c r="T257" s="24" t="str">
        <f>IF($Y257="","",INDEX(Import_Staging!$I$2:$I$301,$Y257)&amp;"")</f>
        <v/>
      </c>
      <c r="U257" s="24" t="n"/>
      <c r="V257" s="24" t="str">
        <f>IF($Y257="","","Received "&amp;TEXT(INDEX(Import_Staging!$M$2:$M$301,$Y257),"yyyy-mm-dd")&amp;" (CSV row "&amp;($Y257+1)&amp;")")</f>
        <v/>
      </c>
      <c r="X257" t="str">
        <f>IFERROR(MATCH(252,Import_Staging!$BT$2:$BT$301,0),"")</f>
        <v/>
      </c>
      <c r="Y257" t="str">
        <f>IFERROR(MATCH(252,Import_Staging!$BV$2:$BV$301,0),"")</f>
        <v/>
      </c>
    </row>
    <row r="258">
      <c r="A258" s="24" t="str">
        <f>IF($X258="","",INDEX(Import_Staging!$A$2:$A$301,$X258)&amp;"")</f>
        <v/>
      </c>
      <c r="B258" s="27" t="str">
        <f>IF($X258="","",INDEX(Import_Staging!$M$2:$M$301,$X258))</f>
        <v/>
      </c>
      <c r="C258" s="24" t="str">
        <f>IF($X258="","",INDEX(Import_Staging!$C$2:$C$301,$X258)&amp;"")</f>
        <v/>
      </c>
      <c r="D258" s="24" t="str">
        <f>IF($X258="","",INDEX(Import_Staging!$D$2:$D$301,$X258)&amp;"")</f>
        <v/>
      </c>
      <c r="E258" s="69" t="str">
        <f>IF($X258="","",INDEX(Import_Staging!$O$2:$O$301,$X258))</f>
        <v/>
      </c>
      <c r="F258" s="24" t="str">
        <f>IF($X258="","",INDEX(Import_Staging!$F$2:$F$301,$X258)&amp;"")</f>
        <v/>
      </c>
      <c r="G258" s="24" t="str">
        <f>IF($X258="","",INDEX(Import_Staging!$J$2:$J$301,$X258)&amp;"")</f>
        <v/>
      </c>
      <c r="H258" s="24" t="str">
        <f>IF($X258="","",INDEX(Import_Staging!$K$2:$K$301,$X258)&amp;"")</f>
        <v/>
      </c>
      <c r="I258" s="24" t="str">
        <f>IF($X258="","",INDEX(Import_Staging!$L$2:$L$301,$X258)&amp;"")</f>
        <v/>
      </c>
      <c r="J258" s="24" t="str">
        <f>IF($X258="","","3PL import")</f>
        <v/>
      </c>
      <c r="K258" s="24" t="str">
        <f>IF($X258="","",Config!$B$11)</f>
        <v/>
      </c>
      <c r="L258" s="24" t="str">
        <f>IF($X258="","","CSV row "&amp;($X258+1))</f>
        <v/>
      </c>
      <c r="N258" s="24" t="str">
        <f>IF($Y258="","",INDEX(Import_Staging!$F$2:$F$301,$Y258)&amp;"")</f>
        <v/>
      </c>
      <c r="O258" s="24" t="str">
        <f>IF($Y258="","",INDEX(Import_Staging!$D$2:$D$301,$Y258)&amp;"")</f>
        <v/>
      </c>
      <c r="P258" s="24" t="str">
        <f>IF($Y258="","",INDEX(Import_Staging!$E$2:$E$301,$Y258)&amp;"")</f>
        <v/>
      </c>
      <c r="Q258" s="27" t="n"/>
      <c r="R258" s="27" t="str">
        <f>IF($Y258="","",INDEX(Import_Staging!$N$2:$N$301,$Y258))</f>
        <v/>
      </c>
      <c r="S258" s="70" t="str">
        <f>IF($Y258="","",0)</f>
        <v/>
      </c>
      <c r="T258" s="24" t="str">
        <f>IF($Y258="","",INDEX(Import_Staging!$I$2:$I$301,$Y258)&amp;"")</f>
        <v/>
      </c>
      <c r="U258" s="24" t="n"/>
      <c r="V258" s="24" t="str">
        <f>IF($Y258="","","Received "&amp;TEXT(INDEX(Import_Staging!$M$2:$M$301,$Y258),"yyyy-mm-dd")&amp;" (CSV row "&amp;($Y258+1)&amp;")")</f>
        <v/>
      </c>
      <c r="X258" t="str">
        <f>IFERROR(MATCH(253,Import_Staging!$BT$2:$BT$301,0),"")</f>
        <v/>
      </c>
      <c r="Y258" t="str">
        <f>IFERROR(MATCH(253,Import_Staging!$BV$2:$BV$301,0),"")</f>
        <v/>
      </c>
    </row>
    <row r="259">
      <c r="A259" s="24" t="str">
        <f>IF($X259="","",INDEX(Import_Staging!$A$2:$A$301,$X259)&amp;"")</f>
        <v/>
      </c>
      <c r="B259" s="27" t="str">
        <f>IF($X259="","",INDEX(Import_Staging!$M$2:$M$301,$X259))</f>
        <v/>
      </c>
      <c r="C259" s="24" t="str">
        <f>IF($X259="","",INDEX(Import_Staging!$C$2:$C$301,$X259)&amp;"")</f>
        <v/>
      </c>
      <c r="D259" s="24" t="str">
        <f>IF($X259="","",INDEX(Import_Staging!$D$2:$D$301,$X259)&amp;"")</f>
        <v/>
      </c>
      <c r="E259" s="69" t="str">
        <f>IF($X259="","",INDEX(Import_Staging!$O$2:$O$301,$X259))</f>
        <v/>
      </c>
      <c r="F259" s="24" t="str">
        <f>IF($X259="","",INDEX(Import_Staging!$F$2:$F$301,$X259)&amp;"")</f>
        <v/>
      </c>
      <c r="G259" s="24" t="str">
        <f>IF($X259="","",INDEX(Import_Staging!$J$2:$J$301,$X259)&amp;"")</f>
        <v/>
      </c>
      <c r="H259" s="24" t="str">
        <f>IF($X259="","",INDEX(Import_Staging!$K$2:$K$301,$X259)&amp;"")</f>
        <v/>
      </c>
      <c r="I259" s="24" t="str">
        <f>IF($X259="","",INDEX(Import_Staging!$L$2:$L$301,$X259)&amp;"")</f>
        <v/>
      </c>
      <c r="J259" s="24" t="str">
        <f>IF($X259="","","3PL import")</f>
        <v/>
      </c>
      <c r="K259" s="24" t="str">
        <f>IF($X259="","",Config!$B$11)</f>
        <v/>
      </c>
      <c r="L259" s="24" t="str">
        <f>IF($X259="","","CSV row "&amp;($X259+1))</f>
        <v/>
      </c>
      <c r="N259" s="24" t="str">
        <f>IF($Y259="","",INDEX(Import_Staging!$F$2:$F$301,$Y259)&amp;"")</f>
        <v/>
      </c>
      <c r="O259" s="24" t="str">
        <f>IF($Y259="","",INDEX(Import_Staging!$D$2:$D$301,$Y259)&amp;"")</f>
        <v/>
      </c>
      <c r="P259" s="24" t="str">
        <f>IF($Y259="","",INDEX(Import_Staging!$E$2:$E$301,$Y259)&amp;"")</f>
        <v/>
      </c>
      <c r="Q259" s="27" t="n"/>
      <c r="R259" s="27" t="str">
        <f>IF($Y259="","",INDEX(Import_Staging!$N$2:$N$301,$Y259))</f>
        <v/>
      </c>
      <c r="S259" s="70" t="str">
        <f>IF($Y259="","",0)</f>
        <v/>
      </c>
      <c r="T259" s="24" t="str">
        <f>IF($Y259="","",INDEX(Import_Staging!$I$2:$I$301,$Y259)&amp;"")</f>
        <v/>
      </c>
      <c r="U259" s="24" t="n"/>
      <c r="V259" s="24" t="str">
        <f>IF($Y259="","","Received "&amp;TEXT(INDEX(Import_Staging!$M$2:$M$301,$Y259),"yyyy-mm-dd")&amp;" (CSV row "&amp;($Y259+1)&amp;")")</f>
        <v/>
      </c>
      <c r="X259" t="str">
        <f>IFERROR(MATCH(254,Import_Staging!$BT$2:$BT$301,0),"")</f>
        <v/>
      </c>
      <c r="Y259" t="str">
        <f>IFERROR(MATCH(254,Import_Staging!$BV$2:$BV$301,0),"")</f>
        <v/>
      </c>
    </row>
    <row r="260">
      <c r="A260" s="24" t="str">
        <f>IF($X260="","",INDEX(Import_Staging!$A$2:$A$301,$X260)&amp;"")</f>
        <v/>
      </c>
      <c r="B260" s="27" t="str">
        <f>IF($X260="","",INDEX(Import_Staging!$M$2:$M$301,$X260))</f>
        <v/>
      </c>
      <c r="C260" s="24" t="str">
        <f>IF($X260="","",INDEX(Import_Staging!$C$2:$C$301,$X260)&amp;"")</f>
        <v/>
      </c>
      <c r="D260" s="24" t="str">
        <f>IF($X260="","",INDEX(Import_Staging!$D$2:$D$301,$X260)&amp;"")</f>
        <v/>
      </c>
      <c r="E260" s="69" t="str">
        <f>IF($X260="","",INDEX(Import_Staging!$O$2:$O$301,$X260))</f>
        <v/>
      </c>
      <c r="F260" s="24" t="str">
        <f>IF($X260="","",INDEX(Import_Staging!$F$2:$F$301,$X260)&amp;"")</f>
        <v/>
      </c>
      <c r="G260" s="24" t="str">
        <f>IF($X260="","",INDEX(Import_Staging!$J$2:$J$301,$X260)&amp;"")</f>
        <v/>
      </c>
      <c r="H260" s="24" t="str">
        <f>IF($X260="","",INDEX(Import_Staging!$K$2:$K$301,$X260)&amp;"")</f>
        <v/>
      </c>
      <c r="I260" s="24" t="str">
        <f>IF($X260="","",INDEX(Import_Staging!$L$2:$L$301,$X260)&amp;"")</f>
        <v/>
      </c>
      <c r="J260" s="24" t="str">
        <f>IF($X260="","","3PL import")</f>
        <v/>
      </c>
      <c r="K260" s="24" t="str">
        <f>IF($X260="","",Config!$B$11)</f>
        <v/>
      </c>
      <c r="L260" s="24" t="str">
        <f>IF($X260="","","CSV row "&amp;($X260+1))</f>
        <v/>
      </c>
      <c r="N260" s="24" t="str">
        <f>IF($Y260="","",INDEX(Import_Staging!$F$2:$F$301,$Y260)&amp;"")</f>
        <v/>
      </c>
      <c r="O260" s="24" t="str">
        <f>IF($Y260="","",INDEX(Import_Staging!$D$2:$D$301,$Y260)&amp;"")</f>
        <v/>
      </c>
      <c r="P260" s="24" t="str">
        <f>IF($Y260="","",INDEX(Import_Staging!$E$2:$E$301,$Y260)&amp;"")</f>
        <v/>
      </c>
      <c r="Q260" s="27" t="n"/>
      <c r="R260" s="27" t="str">
        <f>IF($Y260="","",INDEX(Import_Staging!$N$2:$N$301,$Y260))</f>
        <v/>
      </c>
      <c r="S260" s="70" t="str">
        <f>IF($Y260="","",0)</f>
        <v/>
      </c>
      <c r="T260" s="24" t="str">
        <f>IF($Y260="","",INDEX(Import_Staging!$I$2:$I$301,$Y260)&amp;"")</f>
        <v/>
      </c>
      <c r="U260" s="24" t="n"/>
      <c r="V260" s="24" t="str">
        <f>IF($Y260="","","Received "&amp;TEXT(INDEX(Import_Staging!$M$2:$M$301,$Y260),"yyyy-mm-dd")&amp;" (CSV row "&amp;($Y260+1)&amp;")")</f>
        <v/>
      </c>
      <c r="X260" t="str">
        <f>IFERROR(MATCH(255,Import_Staging!$BT$2:$BT$301,0),"")</f>
        <v/>
      </c>
      <c r="Y260" t="str">
        <f>IFERROR(MATCH(255,Import_Staging!$BV$2:$BV$301,0),"")</f>
        <v/>
      </c>
    </row>
    <row r="261">
      <c r="A261" s="24" t="str">
        <f>IF($X261="","",INDEX(Import_Staging!$A$2:$A$301,$X261)&amp;"")</f>
        <v/>
      </c>
      <c r="B261" s="27" t="str">
        <f>IF($X261="","",INDEX(Import_Staging!$M$2:$M$301,$X261))</f>
        <v/>
      </c>
      <c r="C261" s="24" t="str">
        <f>IF($X261="","",INDEX(Import_Staging!$C$2:$C$301,$X261)&amp;"")</f>
        <v/>
      </c>
      <c r="D261" s="24" t="str">
        <f>IF($X261="","",INDEX(Import_Staging!$D$2:$D$301,$X261)&amp;"")</f>
        <v/>
      </c>
      <c r="E261" s="69" t="str">
        <f>IF($X261="","",INDEX(Import_Staging!$O$2:$O$301,$X261))</f>
        <v/>
      </c>
      <c r="F261" s="24" t="str">
        <f>IF($X261="","",INDEX(Import_Staging!$F$2:$F$301,$X261)&amp;"")</f>
        <v/>
      </c>
      <c r="G261" s="24" t="str">
        <f>IF($X261="","",INDEX(Import_Staging!$J$2:$J$301,$X261)&amp;"")</f>
        <v/>
      </c>
      <c r="H261" s="24" t="str">
        <f>IF($X261="","",INDEX(Import_Staging!$K$2:$K$301,$X261)&amp;"")</f>
        <v/>
      </c>
      <c r="I261" s="24" t="str">
        <f>IF($X261="","",INDEX(Import_Staging!$L$2:$L$301,$X261)&amp;"")</f>
        <v/>
      </c>
      <c r="J261" s="24" t="str">
        <f>IF($X261="","","3PL import")</f>
        <v/>
      </c>
      <c r="K261" s="24" t="str">
        <f>IF($X261="","",Config!$B$11)</f>
        <v/>
      </c>
      <c r="L261" s="24" t="str">
        <f>IF($X261="","","CSV row "&amp;($X261+1))</f>
        <v/>
      </c>
      <c r="N261" s="24" t="str">
        <f>IF($Y261="","",INDEX(Import_Staging!$F$2:$F$301,$Y261)&amp;"")</f>
        <v/>
      </c>
      <c r="O261" s="24" t="str">
        <f>IF($Y261="","",INDEX(Import_Staging!$D$2:$D$301,$Y261)&amp;"")</f>
        <v/>
      </c>
      <c r="P261" s="24" t="str">
        <f>IF($Y261="","",INDEX(Import_Staging!$E$2:$E$301,$Y261)&amp;"")</f>
        <v/>
      </c>
      <c r="Q261" s="27" t="n"/>
      <c r="R261" s="27" t="str">
        <f>IF($Y261="","",INDEX(Import_Staging!$N$2:$N$301,$Y261))</f>
        <v/>
      </c>
      <c r="S261" s="70" t="str">
        <f>IF($Y261="","",0)</f>
        <v/>
      </c>
      <c r="T261" s="24" t="str">
        <f>IF($Y261="","",INDEX(Import_Staging!$I$2:$I$301,$Y261)&amp;"")</f>
        <v/>
      </c>
      <c r="U261" s="24" t="n"/>
      <c r="V261" s="24" t="str">
        <f>IF($Y261="","","Received "&amp;TEXT(INDEX(Import_Staging!$M$2:$M$301,$Y261),"yyyy-mm-dd")&amp;" (CSV row "&amp;($Y261+1)&amp;")")</f>
        <v/>
      </c>
      <c r="X261" t="str">
        <f>IFERROR(MATCH(256,Import_Staging!$BT$2:$BT$301,0),"")</f>
        <v/>
      </c>
      <c r="Y261" t="str">
        <f>IFERROR(MATCH(256,Import_Staging!$BV$2:$BV$301,0),"")</f>
        <v/>
      </c>
    </row>
    <row r="262">
      <c r="A262" s="24" t="str">
        <f>IF($X262="","",INDEX(Import_Staging!$A$2:$A$301,$X262)&amp;"")</f>
        <v/>
      </c>
      <c r="B262" s="27" t="str">
        <f>IF($X262="","",INDEX(Import_Staging!$M$2:$M$301,$X262))</f>
        <v/>
      </c>
      <c r="C262" s="24" t="str">
        <f>IF($X262="","",INDEX(Import_Staging!$C$2:$C$301,$X262)&amp;"")</f>
        <v/>
      </c>
      <c r="D262" s="24" t="str">
        <f>IF($X262="","",INDEX(Import_Staging!$D$2:$D$301,$X262)&amp;"")</f>
        <v/>
      </c>
      <c r="E262" s="69" t="str">
        <f>IF($X262="","",INDEX(Import_Staging!$O$2:$O$301,$X262))</f>
        <v/>
      </c>
      <c r="F262" s="24" t="str">
        <f>IF($X262="","",INDEX(Import_Staging!$F$2:$F$301,$X262)&amp;"")</f>
        <v/>
      </c>
      <c r="G262" s="24" t="str">
        <f>IF($X262="","",INDEX(Import_Staging!$J$2:$J$301,$X262)&amp;"")</f>
        <v/>
      </c>
      <c r="H262" s="24" t="str">
        <f>IF($X262="","",INDEX(Import_Staging!$K$2:$K$301,$X262)&amp;"")</f>
        <v/>
      </c>
      <c r="I262" s="24" t="str">
        <f>IF($X262="","",INDEX(Import_Staging!$L$2:$L$301,$X262)&amp;"")</f>
        <v/>
      </c>
      <c r="J262" s="24" t="str">
        <f>IF($X262="","","3PL import")</f>
        <v/>
      </c>
      <c r="K262" s="24" t="str">
        <f>IF($X262="","",Config!$B$11)</f>
        <v/>
      </c>
      <c r="L262" s="24" t="str">
        <f>IF($X262="","","CSV row "&amp;($X262+1))</f>
        <v/>
      </c>
      <c r="N262" s="24" t="str">
        <f>IF($Y262="","",INDEX(Import_Staging!$F$2:$F$301,$Y262)&amp;"")</f>
        <v/>
      </c>
      <c r="O262" s="24" t="str">
        <f>IF($Y262="","",INDEX(Import_Staging!$D$2:$D$301,$Y262)&amp;"")</f>
        <v/>
      </c>
      <c r="P262" s="24" t="str">
        <f>IF($Y262="","",INDEX(Import_Staging!$E$2:$E$301,$Y262)&amp;"")</f>
        <v/>
      </c>
      <c r="Q262" s="27" t="n"/>
      <c r="R262" s="27" t="str">
        <f>IF($Y262="","",INDEX(Import_Staging!$N$2:$N$301,$Y262))</f>
        <v/>
      </c>
      <c r="S262" s="70" t="str">
        <f>IF($Y262="","",0)</f>
        <v/>
      </c>
      <c r="T262" s="24" t="str">
        <f>IF($Y262="","",INDEX(Import_Staging!$I$2:$I$301,$Y262)&amp;"")</f>
        <v/>
      </c>
      <c r="U262" s="24" t="n"/>
      <c r="V262" s="24" t="str">
        <f>IF($Y262="","","Received "&amp;TEXT(INDEX(Import_Staging!$M$2:$M$301,$Y262),"yyyy-mm-dd")&amp;" (CSV row "&amp;($Y262+1)&amp;")")</f>
        <v/>
      </c>
      <c r="X262" t="str">
        <f>IFERROR(MATCH(257,Import_Staging!$BT$2:$BT$301,0),"")</f>
        <v/>
      </c>
      <c r="Y262" t="str">
        <f>IFERROR(MATCH(257,Import_Staging!$BV$2:$BV$301,0),"")</f>
        <v/>
      </c>
    </row>
    <row r="263">
      <c r="A263" s="24" t="str">
        <f>IF($X263="","",INDEX(Import_Staging!$A$2:$A$301,$X263)&amp;"")</f>
        <v/>
      </c>
      <c r="B263" s="27" t="str">
        <f>IF($X263="","",INDEX(Import_Staging!$M$2:$M$301,$X263))</f>
        <v/>
      </c>
      <c r="C263" s="24" t="str">
        <f>IF($X263="","",INDEX(Import_Staging!$C$2:$C$301,$X263)&amp;"")</f>
        <v/>
      </c>
      <c r="D263" s="24" t="str">
        <f>IF($X263="","",INDEX(Import_Staging!$D$2:$D$301,$X263)&amp;"")</f>
        <v/>
      </c>
      <c r="E263" s="69" t="str">
        <f>IF($X263="","",INDEX(Import_Staging!$O$2:$O$301,$X263))</f>
        <v/>
      </c>
      <c r="F263" s="24" t="str">
        <f>IF($X263="","",INDEX(Import_Staging!$F$2:$F$301,$X263)&amp;"")</f>
        <v/>
      </c>
      <c r="G263" s="24" t="str">
        <f>IF($X263="","",INDEX(Import_Staging!$J$2:$J$301,$X263)&amp;"")</f>
        <v/>
      </c>
      <c r="H263" s="24" t="str">
        <f>IF($X263="","",INDEX(Import_Staging!$K$2:$K$301,$X263)&amp;"")</f>
        <v/>
      </c>
      <c r="I263" s="24" t="str">
        <f>IF($X263="","",INDEX(Import_Staging!$L$2:$L$301,$X263)&amp;"")</f>
        <v/>
      </c>
      <c r="J263" s="24" t="str">
        <f>IF($X263="","","3PL import")</f>
        <v/>
      </c>
      <c r="K263" s="24" t="str">
        <f>IF($X263="","",Config!$B$11)</f>
        <v/>
      </c>
      <c r="L263" s="24" t="str">
        <f>IF($X263="","","CSV row "&amp;($X263+1))</f>
        <v/>
      </c>
      <c r="N263" s="24" t="str">
        <f>IF($Y263="","",INDEX(Import_Staging!$F$2:$F$301,$Y263)&amp;"")</f>
        <v/>
      </c>
      <c r="O263" s="24" t="str">
        <f>IF($Y263="","",INDEX(Import_Staging!$D$2:$D$301,$Y263)&amp;"")</f>
        <v/>
      </c>
      <c r="P263" s="24" t="str">
        <f>IF($Y263="","",INDEX(Import_Staging!$E$2:$E$301,$Y263)&amp;"")</f>
        <v/>
      </c>
      <c r="Q263" s="27" t="n"/>
      <c r="R263" s="27" t="str">
        <f>IF($Y263="","",INDEX(Import_Staging!$N$2:$N$301,$Y263))</f>
        <v/>
      </c>
      <c r="S263" s="70" t="str">
        <f>IF($Y263="","",0)</f>
        <v/>
      </c>
      <c r="T263" s="24" t="str">
        <f>IF($Y263="","",INDEX(Import_Staging!$I$2:$I$301,$Y263)&amp;"")</f>
        <v/>
      </c>
      <c r="U263" s="24" t="n"/>
      <c r="V263" s="24" t="str">
        <f>IF($Y263="","","Received "&amp;TEXT(INDEX(Import_Staging!$M$2:$M$301,$Y263),"yyyy-mm-dd")&amp;" (CSV row "&amp;($Y263+1)&amp;")")</f>
        <v/>
      </c>
      <c r="X263" t="str">
        <f>IFERROR(MATCH(258,Import_Staging!$BT$2:$BT$301,0),"")</f>
        <v/>
      </c>
      <c r="Y263" t="str">
        <f>IFERROR(MATCH(258,Import_Staging!$BV$2:$BV$301,0),"")</f>
        <v/>
      </c>
    </row>
    <row r="264">
      <c r="A264" s="24" t="str">
        <f>IF($X264="","",INDEX(Import_Staging!$A$2:$A$301,$X264)&amp;"")</f>
        <v/>
      </c>
      <c r="B264" s="27" t="str">
        <f>IF($X264="","",INDEX(Import_Staging!$M$2:$M$301,$X264))</f>
        <v/>
      </c>
      <c r="C264" s="24" t="str">
        <f>IF($X264="","",INDEX(Import_Staging!$C$2:$C$301,$X264)&amp;"")</f>
        <v/>
      </c>
      <c r="D264" s="24" t="str">
        <f>IF($X264="","",INDEX(Import_Staging!$D$2:$D$301,$X264)&amp;"")</f>
        <v/>
      </c>
      <c r="E264" s="69" t="str">
        <f>IF($X264="","",INDEX(Import_Staging!$O$2:$O$301,$X264))</f>
        <v/>
      </c>
      <c r="F264" s="24" t="str">
        <f>IF($X264="","",INDEX(Import_Staging!$F$2:$F$301,$X264)&amp;"")</f>
        <v/>
      </c>
      <c r="G264" s="24" t="str">
        <f>IF($X264="","",INDEX(Import_Staging!$J$2:$J$301,$X264)&amp;"")</f>
        <v/>
      </c>
      <c r="H264" s="24" t="str">
        <f>IF($X264="","",INDEX(Import_Staging!$K$2:$K$301,$X264)&amp;"")</f>
        <v/>
      </c>
      <c r="I264" s="24" t="str">
        <f>IF($X264="","",INDEX(Import_Staging!$L$2:$L$301,$X264)&amp;"")</f>
        <v/>
      </c>
      <c r="J264" s="24" t="str">
        <f>IF($X264="","","3PL import")</f>
        <v/>
      </c>
      <c r="K264" s="24" t="str">
        <f>IF($X264="","",Config!$B$11)</f>
        <v/>
      </c>
      <c r="L264" s="24" t="str">
        <f>IF($X264="","","CSV row "&amp;($X264+1))</f>
        <v/>
      </c>
      <c r="N264" s="24" t="str">
        <f>IF($Y264="","",INDEX(Import_Staging!$F$2:$F$301,$Y264)&amp;"")</f>
        <v/>
      </c>
      <c r="O264" s="24" t="str">
        <f>IF($Y264="","",INDEX(Import_Staging!$D$2:$D$301,$Y264)&amp;"")</f>
        <v/>
      </c>
      <c r="P264" s="24" t="str">
        <f>IF($Y264="","",INDEX(Import_Staging!$E$2:$E$301,$Y264)&amp;"")</f>
        <v/>
      </c>
      <c r="Q264" s="27" t="n"/>
      <c r="R264" s="27" t="str">
        <f>IF($Y264="","",INDEX(Import_Staging!$N$2:$N$301,$Y264))</f>
        <v/>
      </c>
      <c r="S264" s="70" t="str">
        <f>IF($Y264="","",0)</f>
        <v/>
      </c>
      <c r="T264" s="24" t="str">
        <f>IF($Y264="","",INDEX(Import_Staging!$I$2:$I$301,$Y264)&amp;"")</f>
        <v/>
      </c>
      <c r="U264" s="24" t="n"/>
      <c r="V264" s="24" t="str">
        <f>IF($Y264="","","Received "&amp;TEXT(INDEX(Import_Staging!$M$2:$M$301,$Y264),"yyyy-mm-dd")&amp;" (CSV row "&amp;($Y264+1)&amp;")")</f>
        <v/>
      </c>
      <c r="X264" t="str">
        <f>IFERROR(MATCH(259,Import_Staging!$BT$2:$BT$301,0),"")</f>
        <v/>
      </c>
      <c r="Y264" t="str">
        <f>IFERROR(MATCH(259,Import_Staging!$BV$2:$BV$301,0),"")</f>
        <v/>
      </c>
    </row>
    <row r="265">
      <c r="A265" s="24" t="str">
        <f>IF($X265="","",INDEX(Import_Staging!$A$2:$A$301,$X265)&amp;"")</f>
        <v/>
      </c>
      <c r="B265" s="27" t="str">
        <f>IF($X265="","",INDEX(Import_Staging!$M$2:$M$301,$X265))</f>
        <v/>
      </c>
      <c r="C265" s="24" t="str">
        <f>IF($X265="","",INDEX(Import_Staging!$C$2:$C$301,$X265)&amp;"")</f>
        <v/>
      </c>
      <c r="D265" s="24" t="str">
        <f>IF($X265="","",INDEX(Import_Staging!$D$2:$D$301,$X265)&amp;"")</f>
        <v/>
      </c>
      <c r="E265" s="69" t="str">
        <f>IF($X265="","",INDEX(Import_Staging!$O$2:$O$301,$X265))</f>
        <v/>
      </c>
      <c r="F265" s="24" t="str">
        <f>IF($X265="","",INDEX(Import_Staging!$F$2:$F$301,$X265)&amp;"")</f>
        <v/>
      </c>
      <c r="G265" s="24" t="str">
        <f>IF($X265="","",INDEX(Import_Staging!$J$2:$J$301,$X265)&amp;"")</f>
        <v/>
      </c>
      <c r="H265" s="24" t="str">
        <f>IF($X265="","",INDEX(Import_Staging!$K$2:$K$301,$X265)&amp;"")</f>
        <v/>
      </c>
      <c r="I265" s="24" t="str">
        <f>IF($X265="","",INDEX(Import_Staging!$L$2:$L$301,$X265)&amp;"")</f>
        <v/>
      </c>
      <c r="J265" s="24" t="str">
        <f>IF($X265="","","3PL import")</f>
        <v/>
      </c>
      <c r="K265" s="24" t="str">
        <f>IF($X265="","",Config!$B$11)</f>
        <v/>
      </c>
      <c r="L265" s="24" t="str">
        <f>IF($X265="","","CSV row "&amp;($X265+1))</f>
        <v/>
      </c>
      <c r="N265" s="24" t="str">
        <f>IF($Y265="","",INDEX(Import_Staging!$F$2:$F$301,$Y265)&amp;"")</f>
        <v/>
      </c>
      <c r="O265" s="24" t="str">
        <f>IF($Y265="","",INDEX(Import_Staging!$D$2:$D$301,$Y265)&amp;"")</f>
        <v/>
      </c>
      <c r="P265" s="24" t="str">
        <f>IF($Y265="","",INDEX(Import_Staging!$E$2:$E$301,$Y265)&amp;"")</f>
        <v/>
      </c>
      <c r="Q265" s="27" t="n"/>
      <c r="R265" s="27" t="str">
        <f>IF($Y265="","",INDEX(Import_Staging!$N$2:$N$301,$Y265))</f>
        <v/>
      </c>
      <c r="S265" s="70" t="str">
        <f>IF($Y265="","",0)</f>
        <v/>
      </c>
      <c r="T265" s="24" t="str">
        <f>IF($Y265="","",INDEX(Import_Staging!$I$2:$I$301,$Y265)&amp;"")</f>
        <v/>
      </c>
      <c r="U265" s="24" t="n"/>
      <c r="V265" s="24" t="str">
        <f>IF($Y265="","","Received "&amp;TEXT(INDEX(Import_Staging!$M$2:$M$301,$Y265),"yyyy-mm-dd")&amp;" (CSV row "&amp;($Y265+1)&amp;")")</f>
        <v/>
      </c>
      <c r="X265" t="str">
        <f>IFERROR(MATCH(260,Import_Staging!$BT$2:$BT$301,0),"")</f>
        <v/>
      </c>
      <c r="Y265" t="str">
        <f>IFERROR(MATCH(260,Import_Staging!$BV$2:$BV$301,0),"")</f>
        <v/>
      </c>
    </row>
    <row r="266">
      <c r="A266" s="24" t="str">
        <f>IF($X266="","",INDEX(Import_Staging!$A$2:$A$301,$X266)&amp;"")</f>
        <v/>
      </c>
      <c r="B266" s="27" t="str">
        <f>IF($X266="","",INDEX(Import_Staging!$M$2:$M$301,$X266))</f>
        <v/>
      </c>
      <c r="C266" s="24" t="str">
        <f>IF($X266="","",INDEX(Import_Staging!$C$2:$C$301,$X266)&amp;"")</f>
        <v/>
      </c>
      <c r="D266" s="24" t="str">
        <f>IF($X266="","",INDEX(Import_Staging!$D$2:$D$301,$X266)&amp;"")</f>
        <v/>
      </c>
      <c r="E266" s="69" t="str">
        <f>IF($X266="","",INDEX(Import_Staging!$O$2:$O$301,$X266))</f>
        <v/>
      </c>
      <c r="F266" s="24" t="str">
        <f>IF($X266="","",INDEX(Import_Staging!$F$2:$F$301,$X266)&amp;"")</f>
        <v/>
      </c>
      <c r="G266" s="24" t="str">
        <f>IF($X266="","",INDEX(Import_Staging!$J$2:$J$301,$X266)&amp;"")</f>
        <v/>
      </c>
      <c r="H266" s="24" t="str">
        <f>IF($X266="","",INDEX(Import_Staging!$K$2:$K$301,$X266)&amp;"")</f>
        <v/>
      </c>
      <c r="I266" s="24" t="str">
        <f>IF($X266="","",INDEX(Import_Staging!$L$2:$L$301,$X266)&amp;"")</f>
        <v/>
      </c>
      <c r="J266" s="24" t="str">
        <f>IF($X266="","","3PL import")</f>
        <v/>
      </c>
      <c r="K266" s="24" t="str">
        <f>IF($X266="","",Config!$B$11)</f>
        <v/>
      </c>
      <c r="L266" s="24" t="str">
        <f>IF($X266="","","CSV row "&amp;($X266+1))</f>
        <v/>
      </c>
      <c r="N266" s="24" t="str">
        <f>IF($Y266="","",INDEX(Import_Staging!$F$2:$F$301,$Y266)&amp;"")</f>
        <v/>
      </c>
      <c r="O266" s="24" t="str">
        <f>IF($Y266="","",INDEX(Import_Staging!$D$2:$D$301,$Y266)&amp;"")</f>
        <v/>
      </c>
      <c r="P266" s="24" t="str">
        <f>IF($Y266="","",INDEX(Import_Staging!$E$2:$E$301,$Y266)&amp;"")</f>
        <v/>
      </c>
      <c r="Q266" s="27" t="n"/>
      <c r="R266" s="27" t="str">
        <f>IF($Y266="","",INDEX(Import_Staging!$N$2:$N$301,$Y266))</f>
        <v/>
      </c>
      <c r="S266" s="70" t="str">
        <f>IF($Y266="","",0)</f>
        <v/>
      </c>
      <c r="T266" s="24" t="str">
        <f>IF($Y266="","",INDEX(Import_Staging!$I$2:$I$301,$Y266)&amp;"")</f>
        <v/>
      </c>
      <c r="U266" s="24" t="n"/>
      <c r="V266" s="24" t="str">
        <f>IF($Y266="","","Received "&amp;TEXT(INDEX(Import_Staging!$M$2:$M$301,$Y266),"yyyy-mm-dd")&amp;" (CSV row "&amp;($Y266+1)&amp;")")</f>
        <v/>
      </c>
      <c r="X266" t="str">
        <f>IFERROR(MATCH(261,Import_Staging!$BT$2:$BT$301,0),"")</f>
        <v/>
      </c>
      <c r="Y266" t="str">
        <f>IFERROR(MATCH(261,Import_Staging!$BV$2:$BV$301,0),"")</f>
        <v/>
      </c>
    </row>
    <row r="267">
      <c r="A267" s="24" t="str">
        <f>IF($X267="","",INDEX(Import_Staging!$A$2:$A$301,$X267)&amp;"")</f>
        <v/>
      </c>
      <c r="B267" s="27" t="str">
        <f>IF($X267="","",INDEX(Import_Staging!$M$2:$M$301,$X267))</f>
        <v/>
      </c>
      <c r="C267" s="24" t="str">
        <f>IF($X267="","",INDEX(Import_Staging!$C$2:$C$301,$X267)&amp;"")</f>
        <v/>
      </c>
      <c r="D267" s="24" t="str">
        <f>IF($X267="","",INDEX(Import_Staging!$D$2:$D$301,$X267)&amp;"")</f>
        <v/>
      </c>
      <c r="E267" s="69" t="str">
        <f>IF($X267="","",INDEX(Import_Staging!$O$2:$O$301,$X267))</f>
        <v/>
      </c>
      <c r="F267" s="24" t="str">
        <f>IF($X267="","",INDEX(Import_Staging!$F$2:$F$301,$X267)&amp;"")</f>
        <v/>
      </c>
      <c r="G267" s="24" t="str">
        <f>IF($X267="","",INDEX(Import_Staging!$J$2:$J$301,$X267)&amp;"")</f>
        <v/>
      </c>
      <c r="H267" s="24" t="str">
        <f>IF($X267="","",INDEX(Import_Staging!$K$2:$K$301,$X267)&amp;"")</f>
        <v/>
      </c>
      <c r="I267" s="24" t="str">
        <f>IF($X267="","",INDEX(Import_Staging!$L$2:$L$301,$X267)&amp;"")</f>
        <v/>
      </c>
      <c r="J267" s="24" t="str">
        <f>IF($X267="","","3PL import")</f>
        <v/>
      </c>
      <c r="K267" s="24" t="str">
        <f>IF($X267="","",Config!$B$11)</f>
        <v/>
      </c>
      <c r="L267" s="24" t="str">
        <f>IF($X267="","","CSV row "&amp;($X267+1))</f>
        <v/>
      </c>
      <c r="N267" s="24" t="str">
        <f>IF($Y267="","",INDEX(Import_Staging!$F$2:$F$301,$Y267)&amp;"")</f>
        <v/>
      </c>
      <c r="O267" s="24" t="str">
        <f>IF($Y267="","",INDEX(Import_Staging!$D$2:$D$301,$Y267)&amp;"")</f>
        <v/>
      </c>
      <c r="P267" s="24" t="str">
        <f>IF($Y267="","",INDEX(Import_Staging!$E$2:$E$301,$Y267)&amp;"")</f>
        <v/>
      </c>
      <c r="Q267" s="27" t="n"/>
      <c r="R267" s="27" t="str">
        <f>IF($Y267="","",INDEX(Import_Staging!$N$2:$N$301,$Y267))</f>
        <v/>
      </c>
      <c r="S267" s="70" t="str">
        <f>IF($Y267="","",0)</f>
        <v/>
      </c>
      <c r="T267" s="24" t="str">
        <f>IF($Y267="","",INDEX(Import_Staging!$I$2:$I$301,$Y267)&amp;"")</f>
        <v/>
      </c>
      <c r="U267" s="24" t="n"/>
      <c r="V267" s="24" t="str">
        <f>IF($Y267="","","Received "&amp;TEXT(INDEX(Import_Staging!$M$2:$M$301,$Y267),"yyyy-mm-dd")&amp;" (CSV row "&amp;($Y267+1)&amp;")")</f>
        <v/>
      </c>
      <c r="X267" t="str">
        <f>IFERROR(MATCH(262,Import_Staging!$BT$2:$BT$301,0),"")</f>
        <v/>
      </c>
      <c r="Y267" t="str">
        <f>IFERROR(MATCH(262,Import_Staging!$BV$2:$BV$301,0),"")</f>
        <v/>
      </c>
    </row>
    <row r="268">
      <c r="A268" s="24" t="str">
        <f>IF($X268="","",INDEX(Import_Staging!$A$2:$A$301,$X268)&amp;"")</f>
        <v/>
      </c>
      <c r="B268" s="27" t="str">
        <f>IF($X268="","",INDEX(Import_Staging!$M$2:$M$301,$X268))</f>
        <v/>
      </c>
      <c r="C268" s="24" t="str">
        <f>IF($X268="","",INDEX(Import_Staging!$C$2:$C$301,$X268)&amp;"")</f>
        <v/>
      </c>
      <c r="D268" s="24" t="str">
        <f>IF($X268="","",INDEX(Import_Staging!$D$2:$D$301,$X268)&amp;"")</f>
        <v/>
      </c>
      <c r="E268" s="69" t="str">
        <f>IF($X268="","",INDEX(Import_Staging!$O$2:$O$301,$X268))</f>
        <v/>
      </c>
      <c r="F268" s="24" t="str">
        <f>IF($X268="","",INDEX(Import_Staging!$F$2:$F$301,$X268)&amp;"")</f>
        <v/>
      </c>
      <c r="G268" s="24" t="str">
        <f>IF($X268="","",INDEX(Import_Staging!$J$2:$J$301,$X268)&amp;"")</f>
        <v/>
      </c>
      <c r="H268" s="24" t="str">
        <f>IF($X268="","",INDEX(Import_Staging!$K$2:$K$301,$X268)&amp;"")</f>
        <v/>
      </c>
      <c r="I268" s="24" t="str">
        <f>IF($X268="","",INDEX(Import_Staging!$L$2:$L$301,$X268)&amp;"")</f>
        <v/>
      </c>
      <c r="J268" s="24" t="str">
        <f>IF($X268="","","3PL import")</f>
        <v/>
      </c>
      <c r="K268" s="24" t="str">
        <f>IF($X268="","",Config!$B$11)</f>
        <v/>
      </c>
      <c r="L268" s="24" t="str">
        <f>IF($X268="","","CSV row "&amp;($X268+1))</f>
        <v/>
      </c>
      <c r="N268" s="24" t="str">
        <f>IF($Y268="","",INDEX(Import_Staging!$F$2:$F$301,$Y268)&amp;"")</f>
        <v/>
      </c>
      <c r="O268" s="24" t="str">
        <f>IF($Y268="","",INDEX(Import_Staging!$D$2:$D$301,$Y268)&amp;"")</f>
        <v/>
      </c>
      <c r="P268" s="24" t="str">
        <f>IF($Y268="","",INDEX(Import_Staging!$E$2:$E$301,$Y268)&amp;"")</f>
        <v/>
      </c>
      <c r="Q268" s="27" t="n"/>
      <c r="R268" s="27" t="str">
        <f>IF($Y268="","",INDEX(Import_Staging!$N$2:$N$301,$Y268))</f>
        <v/>
      </c>
      <c r="S268" s="70" t="str">
        <f>IF($Y268="","",0)</f>
        <v/>
      </c>
      <c r="T268" s="24" t="str">
        <f>IF($Y268="","",INDEX(Import_Staging!$I$2:$I$301,$Y268)&amp;"")</f>
        <v/>
      </c>
      <c r="U268" s="24" t="n"/>
      <c r="V268" s="24" t="str">
        <f>IF($Y268="","","Received "&amp;TEXT(INDEX(Import_Staging!$M$2:$M$301,$Y268),"yyyy-mm-dd")&amp;" (CSV row "&amp;($Y268+1)&amp;")")</f>
        <v/>
      </c>
      <c r="X268" t="str">
        <f>IFERROR(MATCH(263,Import_Staging!$BT$2:$BT$301,0),"")</f>
        <v/>
      </c>
      <c r="Y268" t="str">
        <f>IFERROR(MATCH(263,Import_Staging!$BV$2:$BV$301,0),"")</f>
        <v/>
      </c>
    </row>
    <row r="269">
      <c r="A269" s="24" t="str">
        <f>IF($X269="","",INDEX(Import_Staging!$A$2:$A$301,$X269)&amp;"")</f>
        <v/>
      </c>
      <c r="B269" s="27" t="str">
        <f>IF($X269="","",INDEX(Import_Staging!$M$2:$M$301,$X269))</f>
        <v/>
      </c>
      <c r="C269" s="24" t="str">
        <f>IF($X269="","",INDEX(Import_Staging!$C$2:$C$301,$X269)&amp;"")</f>
        <v/>
      </c>
      <c r="D269" s="24" t="str">
        <f>IF($X269="","",INDEX(Import_Staging!$D$2:$D$301,$X269)&amp;"")</f>
        <v/>
      </c>
      <c r="E269" s="69" t="str">
        <f>IF($X269="","",INDEX(Import_Staging!$O$2:$O$301,$X269))</f>
        <v/>
      </c>
      <c r="F269" s="24" t="str">
        <f>IF($X269="","",INDEX(Import_Staging!$F$2:$F$301,$X269)&amp;"")</f>
        <v/>
      </c>
      <c r="G269" s="24" t="str">
        <f>IF($X269="","",INDEX(Import_Staging!$J$2:$J$301,$X269)&amp;"")</f>
        <v/>
      </c>
      <c r="H269" s="24" t="str">
        <f>IF($X269="","",INDEX(Import_Staging!$K$2:$K$301,$X269)&amp;"")</f>
        <v/>
      </c>
      <c r="I269" s="24" t="str">
        <f>IF($X269="","",INDEX(Import_Staging!$L$2:$L$301,$X269)&amp;"")</f>
        <v/>
      </c>
      <c r="J269" s="24" t="str">
        <f>IF($X269="","","3PL import")</f>
        <v/>
      </c>
      <c r="K269" s="24" t="str">
        <f>IF($X269="","",Config!$B$11)</f>
        <v/>
      </c>
      <c r="L269" s="24" t="str">
        <f>IF($X269="","","CSV row "&amp;($X269+1))</f>
        <v/>
      </c>
      <c r="N269" s="24" t="str">
        <f>IF($Y269="","",INDEX(Import_Staging!$F$2:$F$301,$Y269)&amp;"")</f>
        <v/>
      </c>
      <c r="O269" s="24" t="str">
        <f>IF($Y269="","",INDEX(Import_Staging!$D$2:$D$301,$Y269)&amp;"")</f>
        <v/>
      </c>
      <c r="P269" s="24" t="str">
        <f>IF($Y269="","",INDEX(Import_Staging!$E$2:$E$301,$Y269)&amp;"")</f>
        <v/>
      </c>
      <c r="Q269" s="27" t="n"/>
      <c r="R269" s="27" t="str">
        <f>IF($Y269="","",INDEX(Import_Staging!$N$2:$N$301,$Y269))</f>
        <v/>
      </c>
      <c r="S269" s="70" t="str">
        <f>IF($Y269="","",0)</f>
        <v/>
      </c>
      <c r="T269" s="24" t="str">
        <f>IF($Y269="","",INDEX(Import_Staging!$I$2:$I$301,$Y269)&amp;"")</f>
        <v/>
      </c>
      <c r="U269" s="24" t="n"/>
      <c r="V269" s="24" t="str">
        <f>IF($Y269="","","Received "&amp;TEXT(INDEX(Import_Staging!$M$2:$M$301,$Y269),"yyyy-mm-dd")&amp;" (CSV row "&amp;($Y269+1)&amp;")")</f>
        <v/>
      </c>
      <c r="X269" t="str">
        <f>IFERROR(MATCH(264,Import_Staging!$BT$2:$BT$301,0),"")</f>
        <v/>
      </c>
      <c r="Y269" t="str">
        <f>IFERROR(MATCH(264,Import_Staging!$BV$2:$BV$301,0),"")</f>
        <v/>
      </c>
    </row>
    <row r="270">
      <c r="A270" s="24" t="str">
        <f>IF($X270="","",INDEX(Import_Staging!$A$2:$A$301,$X270)&amp;"")</f>
        <v/>
      </c>
      <c r="B270" s="27" t="str">
        <f>IF($X270="","",INDEX(Import_Staging!$M$2:$M$301,$X270))</f>
        <v/>
      </c>
      <c r="C270" s="24" t="str">
        <f>IF($X270="","",INDEX(Import_Staging!$C$2:$C$301,$X270)&amp;"")</f>
        <v/>
      </c>
      <c r="D270" s="24" t="str">
        <f>IF($X270="","",INDEX(Import_Staging!$D$2:$D$301,$X270)&amp;"")</f>
        <v/>
      </c>
      <c r="E270" s="69" t="str">
        <f>IF($X270="","",INDEX(Import_Staging!$O$2:$O$301,$X270))</f>
        <v/>
      </c>
      <c r="F270" s="24" t="str">
        <f>IF($X270="","",INDEX(Import_Staging!$F$2:$F$301,$X270)&amp;"")</f>
        <v/>
      </c>
      <c r="G270" s="24" t="str">
        <f>IF($X270="","",INDEX(Import_Staging!$J$2:$J$301,$X270)&amp;"")</f>
        <v/>
      </c>
      <c r="H270" s="24" t="str">
        <f>IF($X270="","",INDEX(Import_Staging!$K$2:$K$301,$X270)&amp;"")</f>
        <v/>
      </c>
      <c r="I270" s="24" t="str">
        <f>IF($X270="","",INDEX(Import_Staging!$L$2:$L$301,$X270)&amp;"")</f>
        <v/>
      </c>
      <c r="J270" s="24" t="str">
        <f>IF($X270="","","3PL import")</f>
        <v/>
      </c>
      <c r="K270" s="24" t="str">
        <f>IF($X270="","",Config!$B$11)</f>
        <v/>
      </c>
      <c r="L270" s="24" t="str">
        <f>IF($X270="","","CSV row "&amp;($X270+1))</f>
        <v/>
      </c>
      <c r="N270" s="24" t="str">
        <f>IF($Y270="","",INDEX(Import_Staging!$F$2:$F$301,$Y270)&amp;"")</f>
        <v/>
      </c>
      <c r="O270" s="24" t="str">
        <f>IF($Y270="","",INDEX(Import_Staging!$D$2:$D$301,$Y270)&amp;"")</f>
        <v/>
      </c>
      <c r="P270" s="24" t="str">
        <f>IF($Y270="","",INDEX(Import_Staging!$E$2:$E$301,$Y270)&amp;"")</f>
        <v/>
      </c>
      <c r="Q270" s="27" t="n"/>
      <c r="R270" s="27" t="str">
        <f>IF($Y270="","",INDEX(Import_Staging!$N$2:$N$301,$Y270))</f>
        <v/>
      </c>
      <c r="S270" s="70" t="str">
        <f>IF($Y270="","",0)</f>
        <v/>
      </c>
      <c r="T270" s="24" t="str">
        <f>IF($Y270="","",INDEX(Import_Staging!$I$2:$I$301,$Y270)&amp;"")</f>
        <v/>
      </c>
      <c r="U270" s="24" t="n"/>
      <c r="V270" s="24" t="str">
        <f>IF($Y270="","","Received "&amp;TEXT(INDEX(Import_Staging!$M$2:$M$301,$Y270),"yyyy-mm-dd")&amp;" (CSV row "&amp;($Y270+1)&amp;")")</f>
        <v/>
      </c>
      <c r="X270" t="str">
        <f>IFERROR(MATCH(265,Import_Staging!$BT$2:$BT$301,0),"")</f>
        <v/>
      </c>
      <c r="Y270" t="str">
        <f>IFERROR(MATCH(265,Import_Staging!$BV$2:$BV$301,0),"")</f>
        <v/>
      </c>
    </row>
    <row r="271">
      <c r="A271" s="24" t="str">
        <f>IF($X271="","",INDEX(Import_Staging!$A$2:$A$301,$X271)&amp;"")</f>
        <v/>
      </c>
      <c r="B271" s="27" t="str">
        <f>IF($X271="","",INDEX(Import_Staging!$M$2:$M$301,$X271))</f>
        <v/>
      </c>
      <c r="C271" s="24" t="str">
        <f>IF($X271="","",INDEX(Import_Staging!$C$2:$C$301,$X271)&amp;"")</f>
        <v/>
      </c>
      <c r="D271" s="24" t="str">
        <f>IF($X271="","",INDEX(Import_Staging!$D$2:$D$301,$X271)&amp;"")</f>
        <v/>
      </c>
      <c r="E271" s="69" t="str">
        <f>IF($X271="","",INDEX(Import_Staging!$O$2:$O$301,$X271))</f>
        <v/>
      </c>
      <c r="F271" s="24" t="str">
        <f>IF($X271="","",INDEX(Import_Staging!$F$2:$F$301,$X271)&amp;"")</f>
        <v/>
      </c>
      <c r="G271" s="24" t="str">
        <f>IF($X271="","",INDEX(Import_Staging!$J$2:$J$301,$X271)&amp;"")</f>
        <v/>
      </c>
      <c r="H271" s="24" t="str">
        <f>IF($X271="","",INDEX(Import_Staging!$K$2:$K$301,$X271)&amp;"")</f>
        <v/>
      </c>
      <c r="I271" s="24" t="str">
        <f>IF($X271="","",INDEX(Import_Staging!$L$2:$L$301,$X271)&amp;"")</f>
        <v/>
      </c>
      <c r="J271" s="24" t="str">
        <f>IF($X271="","","3PL import")</f>
        <v/>
      </c>
      <c r="K271" s="24" t="str">
        <f>IF($X271="","",Config!$B$11)</f>
        <v/>
      </c>
      <c r="L271" s="24" t="str">
        <f>IF($X271="","","CSV row "&amp;($X271+1))</f>
        <v/>
      </c>
      <c r="N271" s="24" t="str">
        <f>IF($Y271="","",INDEX(Import_Staging!$F$2:$F$301,$Y271)&amp;"")</f>
        <v/>
      </c>
      <c r="O271" s="24" t="str">
        <f>IF($Y271="","",INDEX(Import_Staging!$D$2:$D$301,$Y271)&amp;"")</f>
        <v/>
      </c>
      <c r="P271" s="24" t="str">
        <f>IF($Y271="","",INDEX(Import_Staging!$E$2:$E$301,$Y271)&amp;"")</f>
        <v/>
      </c>
      <c r="Q271" s="27" t="n"/>
      <c r="R271" s="27" t="str">
        <f>IF($Y271="","",INDEX(Import_Staging!$N$2:$N$301,$Y271))</f>
        <v/>
      </c>
      <c r="S271" s="70" t="str">
        <f>IF($Y271="","",0)</f>
        <v/>
      </c>
      <c r="T271" s="24" t="str">
        <f>IF($Y271="","",INDEX(Import_Staging!$I$2:$I$301,$Y271)&amp;"")</f>
        <v/>
      </c>
      <c r="U271" s="24" t="n"/>
      <c r="V271" s="24" t="str">
        <f>IF($Y271="","","Received "&amp;TEXT(INDEX(Import_Staging!$M$2:$M$301,$Y271),"yyyy-mm-dd")&amp;" (CSV row "&amp;($Y271+1)&amp;")")</f>
        <v/>
      </c>
      <c r="X271" t="str">
        <f>IFERROR(MATCH(266,Import_Staging!$BT$2:$BT$301,0),"")</f>
        <v/>
      </c>
      <c r="Y271" t="str">
        <f>IFERROR(MATCH(266,Import_Staging!$BV$2:$BV$301,0),"")</f>
        <v/>
      </c>
    </row>
    <row r="272">
      <c r="A272" s="24" t="str">
        <f>IF($X272="","",INDEX(Import_Staging!$A$2:$A$301,$X272)&amp;"")</f>
        <v/>
      </c>
      <c r="B272" s="27" t="str">
        <f>IF($X272="","",INDEX(Import_Staging!$M$2:$M$301,$X272))</f>
        <v/>
      </c>
      <c r="C272" s="24" t="str">
        <f>IF($X272="","",INDEX(Import_Staging!$C$2:$C$301,$X272)&amp;"")</f>
        <v/>
      </c>
      <c r="D272" s="24" t="str">
        <f>IF($X272="","",INDEX(Import_Staging!$D$2:$D$301,$X272)&amp;"")</f>
        <v/>
      </c>
      <c r="E272" s="69" t="str">
        <f>IF($X272="","",INDEX(Import_Staging!$O$2:$O$301,$X272))</f>
        <v/>
      </c>
      <c r="F272" s="24" t="str">
        <f>IF($X272="","",INDEX(Import_Staging!$F$2:$F$301,$X272)&amp;"")</f>
        <v/>
      </c>
      <c r="G272" s="24" t="str">
        <f>IF($X272="","",INDEX(Import_Staging!$J$2:$J$301,$X272)&amp;"")</f>
        <v/>
      </c>
      <c r="H272" s="24" t="str">
        <f>IF($X272="","",INDEX(Import_Staging!$K$2:$K$301,$X272)&amp;"")</f>
        <v/>
      </c>
      <c r="I272" s="24" t="str">
        <f>IF($X272="","",INDEX(Import_Staging!$L$2:$L$301,$X272)&amp;"")</f>
        <v/>
      </c>
      <c r="J272" s="24" t="str">
        <f>IF($X272="","","3PL import")</f>
        <v/>
      </c>
      <c r="K272" s="24" t="str">
        <f>IF($X272="","",Config!$B$11)</f>
        <v/>
      </c>
      <c r="L272" s="24" t="str">
        <f>IF($X272="","","CSV row "&amp;($X272+1))</f>
        <v/>
      </c>
      <c r="N272" s="24" t="str">
        <f>IF($Y272="","",INDEX(Import_Staging!$F$2:$F$301,$Y272)&amp;"")</f>
        <v/>
      </c>
      <c r="O272" s="24" t="str">
        <f>IF($Y272="","",INDEX(Import_Staging!$D$2:$D$301,$Y272)&amp;"")</f>
        <v/>
      </c>
      <c r="P272" s="24" t="str">
        <f>IF($Y272="","",INDEX(Import_Staging!$E$2:$E$301,$Y272)&amp;"")</f>
        <v/>
      </c>
      <c r="Q272" s="27" t="n"/>
      <c r="R272" s="27" t="str">
        <f>IF($Y272="","",INDEX(Import_Staging!$N$2:$N$301,$Y272))</f>
        <v/>
      </c>
      <c r="S272" s="70" t="str">
        <f>IF($Y272="","",0)</f>
        <v/>
      </c>
      <c r="T272" s="24" t="str">
        <f>IF($Y272="","",INDEX(Import_Staging!$I$2:$I$301,$Y272)&amp;"")</f>
        <v/>
      </c>
      <c r="U272" s="24" t="n"/>
      <c r="V272" s="24" t="str">
        <f>IF($Y272="","","Received "&amp;TEXT(INDEX(Import_Staging!$M$2:$M$301,$Y272),"yyyy-mm-dd")&amp;" (CSV row "&amp;($Y272+1)&amp;")")</f>
        <v/>
      </c>
      <c r="X272" t="str">
        <f>IFERROR(MATCH(267,Import_Staging!$BT$2:$BT$301,0),"")</f>
        <v/>
      </c>
      <c r="Y272" t="str">
        <f>IFERROR(MATCH(267,Import_Staging!$BV$2:$BV$301,0),"")</f>
        <v/>
      </c>
    </row>
    <row r="273">
      <c r="A273" s="24" t="str">
        <f>IF($X273="","",INDEX(Import_Staging!$A$2:$A$301,$X273)&amp;"")</f>
        <v/>
      </c>
      <c r="B273" s="27" t="str">
        <f>IF($X273="","",INDEX(Import_Staging!$M$2:$M$301,$X273))</f>
        <v/>
      </c>
      <c r="C273" s="24" t="str">
        <f>IF($X273="","",INDEX(Import_Staging!$C$2:$C$301,$X273)&amp;"")</f>
        <v/>
      </c>
      <c r="D273" s="24" t="str">
        <f>IF($X273="","",INDEX(Import_Staging!$D$2:$D$301,$X273)&amp;"")</f>
        <v/>
      </c>
      <c r="E273" s="69" t="str">
        <f>IF($X273="","",INDEX(Import_Staging!$O$2:$O$301,$X273))</f>
        <v/>
      </c>
      <c r="F273" s="24" t="str">
        <f>IF($X273="","",INDEX(Import_Staging!$F$2:$F$301,$X273)&amp;"")</f>
        <v/>
      </c>
      <c r="G273" s="24" t="str">
        <f>IF($X273="","",INDEX(Import_Staging!$J$2:$J$301,$X273)&amp;"")</f>
        <v/>
      </c>
      <c r="H273" s="24" t="str">
        <f>IF($X273="","",INDEX(Import_Staging!$K$2:$K$301,$X273)&amp;"")</f>
        <v/>
      </c>
      <c r="I273" s="24" t="str">
        <f>IF($X273="","",INDEX(Import_Staging!$L$2:$L$301,$X273)&amp;"")</f>
        <v/>
      </c>
      <c r="J273" s="24" t="str">
        <f>IF($X273="","","3PL import")</f>
        <v/>
      </c>
      <c r="K273" s="24" t="str">
        <f>IF($X273="","",Config!$B$11)</f>
        <v/>
      </c>
      <c r="L273" s="24" t="str">
        <f>IF($X273="","","CSV row "&amp;($X273+1))</f>
        <v/>
      </c>
      <c r="N273" s="24" t="str">
        <f>IF($Y273="","",INDEX(Import_Staging!$F$2:$F$301,$Y273)&amp;"")</f>
        <v/>
      </c>
      <c r="O273" s="24" t="str">
        <f>IF($Y273="","",INDEX(Import_Staging!$D$2:$D$301,$Y273)&amp;"")</f>
        <v/>
      </c>
      <c r="P273" s="24" t="str">
        <f>IF($Y273="","",INDEX(Import_Staging!$E$2:$E$301,$Y273)&amp;"")</f>
        <v/>
      </c>
      <c r="Q273" s="27" t="n"/>
      <c r="R273" s="27" t="str">
        <f>IF($Y273="","",INDEX(Import_Staging!$N$2:$N$301,$Y273))</f>
        <v/>
      </c>
      <c r="S273" s="70" t="str">
        <f>IF($Y273="","",0)</f>
        <v/>
      </c>
      <c r="T273" s="24" t="str">
        <f>IF($Y273="","",INDEX(Import_Staging!$I$2:$I$301,$Y273)&amp;"")</f>
        <v/>
      </c>
      <c r="U273" s="24" t="n"/>
      <c r="V273" s="24" t="str">
        <f>IF($Y273="","","Received "&amp;TEXT(INDEX(Import_Staging!$M$2:$M$301,$Y273),"yyyy-mm-dd")&amp;" (CSV row "&amp;($Y273+1)&amp;")")</f>
        <v/>
      </c>
      <c r="X273" t="str">
        <f>IFERROR(MATCH(268,Import_Staging!$BT$2:$BT$301,0),"")</f>
        <v/>
      </c>
      <c r="Y273" t="str">
        <f>IFERROR(MATCH(268,Import_Staging!$BV$2:$BV$301,0),"")</f>
        <v/>
      </c>
    </row>
    <row r="274">
      <c r="A274" s="24" t="str">
        <f>IF($X274="","",INDEX(Import_Staging!$A$2:$A$301,$X274)&amp;"")</f>
        <v/>
      </c>
      <c r="B274" s="27" t="str">
        <f>IF($X274="","",INDEX(Import_Staging!$M$2:$M$301,$X274))</f>
        <v/>
      </c>
      <c r="C274" s="24" t="str">
        <f>IF($X274="","",INDEX(Import_Staging!$C$2:$C$301,$X274)&amp;"")</f>
        <v/>
      </c>
      <c r="D274" s="24" t="str">
        <f>IF($X274="","",INDEX(Import_Staging!$D$2:$D$301,$X274)&amp;"")</f>
        <v/>
      </c>
      <c r="E274" s="69" t="str">
        <f>IF($X274="","",INDEX(Import_Staging!$O$2:$O$301,$X274))</f>
        <v/>
      </c>
      <c r="F274" s="24" t="str">
        <f>IF($X274="","",INDEX(Import_Staging!$F$2:$F$301,$X274)&amp;"")</f>
        <v/>
      </c>
      <c r="G274" s="24" t="str">
        <f>IF($X274="","",INDEX(Import_Staging!$J$2:$J$301,$X274)&amp;"")</f>
        <v/>
      </c>
      <c r="H274" s="24" t="str">
        <f>IF($X274="","",INDEX(Import_Staging!$K$2:$K$301,$X274)&amp;"")</f>
        <v/>
      </c>
      <c r="I274" s="24" t="str">
        <f>IF($X274="","",INDEX(Import_Staging!$L$2:$L$301,$X274)&amp;"")</f>
        <v/>
      </c>
      <c r="J274" s="24" t="str">
        <f>IF($X274="","","3PL import")</f>
        <v/>
      </c>
      <c r="K274" s="24" t="str">
        <f>IF($X274="","",Config!$B$11)</f>
        <v/>
      </c>
      <c r="L274" s="24" t="str">
        <f>IF($X274="","","CSV row "&amp;($X274+1))</f>
        <v/>
      </c>
      <c r="N274" s="24" t="str">
        <f>IF($Y274="","",INDEX(Import_Staging!$F$2:$F$301,$Y274)&amp;"")</f>
        <v/>
      </c>
      <c r="O274" s="24" t="str">
        <f>IF($Y274="","",INDEX(Import_Staging!$D$2:$D$301,$Y274)&amp;"")</f>
        <v/>
      </c>
      <c r="P274" s="24" t="str">
        <f>IF($Y274="","",INDEX(Import_Staging!$E$2:$E$301,$Y274)&amp;"")</f>
        <v/>
      </c>
      <c r="Q274" s="27" t="n"/>
      <c r="R274" s="27" t="str">
        <f>IF($Y274="","",INDEX(Import_Staging!$N$2:$N$301,$Y274))</f>
        <v/>
      </c>
      <c r="S274" s="70" t="str">
        <f>IF($Y274="","",0)</f>
        <v/>
      </c>
      <c r="T274" s="24" t="str">
        <f>IF($Y274="","",INDEX(Import_Staging!$I$2:$I$301,$Y274)&amp;"")</f>
        <v/>
      </c>
      <c r="U274" s="24" t="n"/>
      <c r="V274" s="24" t="str">
        <f>IF($Y274="","","Received "&amp;TEXT(INDEX(Import_Staging!$M$2:$M$301,$Y274),"yyyy-mm-dd")&amp;" (CSV row "&amp;($Y274+1)&amp;")")</f>
        <v/>
      </c>
      <c r="X274" t="str">
        <f>IFERROR(MATCH(269,Import_Staging!$BT$2:$BT$301,0),"")</f>
        <v/>
      </c>
      <c r="Y274" t="str">
        <f>IFERROR(MATCH(269,Import_Staging!$BV$2:$BV$301,0),"")</f>
        <v/>
      </c>
    </row>
    <row r="275">
      <c r="A275" s="24" t="str">
        <f>IF($X275="","",INDEX(Import_Staging!$A$2:$A$301,$X275)&amp;"")</f>
        <v/>
      </c>
      <c r="B275" s="27" t="str">
        <f>IF($X275="","",INDEX(Import_Staging!$M$2:$M$301,$X275))</f>
        <v/>
      </c>
      <c r="C275" s="24" t="str">
        <f>IF($X275="","",INDEX(Import_Staging!$C$2:$C$301,$X275)&amp;"")</f>
        <v/>
      </c>
      <c r="D275" s="24" t="str">
        <f>IF($X275="","",INDEX(Import_Staging!$D$2:$D$301,$X275)&amp;"")</f>
        <v/>
      </c>
      <c r="E275" s="69" t="str">
        <f>IF($X275="","",INDEX(Import_Staging!$O$2:$O$301,$X275))</f>
        <v/>
      </c>
      <c r="F275" s="24" t="str">
        <f>IF($X275="","",INDEX(Import_Staging!$F$2:$F$301,$X275)&amp;"")</f>
        <v/>
      </c>
      <c r="G275" s="24" t="str">
        <f>IF($X275="","",INDEX(Import_Staging!$J$2:$J$301,$X275)&amp;"")</f>
        <v/>
      </c>
      <c r="H275" s="24" t="str">
        <f>IF($X275="","",INDEX(Import_Staging!$K$2:$K$301,$X275)&amp;"")</f>
        <v/>
      </c>
      <c r="I275" s="24" t="str">
        <f>IF($X275="","",INDEX(Import_Staging!$L$2:$L$301,$X275)&amp;"")</f>
        <v/>
      </c>
      <c r="J275" s="24" t="str">
        <f>IF($X275="","","3PL import")</f>
        <v/>
      </c>
      <c r="K275" s="24" t="str">
        <f>IF($X275="","",Config!$B$11)</f>
        <v/>
      </c>
      <c r="L275" s="24" t="str">
        <f>IF($X275="","","CSV row "&amp;($X275+1))</f>
        <v/>
      </c>
      <c r="N275" s="24" t="str">
        <f>IF($Y275="","",INDEX(Import_Staging!$F$2:$F$301,$Y275)&amp;"")</f>
        <v/>
      </c>
      <c r="O275" s="24" t="str">
        <f>IF($Y275="","",INDEX(Import_Staging!$D$2:$D$301,$Y275)&amp;"")</f>
        <v/>
      </c>
      <c r="P275" s="24" t="str">
        <f>IF($Y275="","",INDEX(Import_Staging!$E$2:$E$301,$Y275)&amp;"")</f>
        <v/>
      </c>
      <c r="Q275" s="27" t="n"/>
      <c r="R275" s="27" t="str">
        <f>IF($Y275="","",INDEX(Import_Staging!$N$2:$N$301,$Y275))</f>
        <v/>
      </c>
      <c r="S275" s="70" t="str">
        <f>IF($Y275="","",0)</f>
        <v/>
      </c>
      <c r="T275" s="24" t="str">
        <f>IF($Y275="","",INDEX(Import_Staging!$I$2:$I$301,$Y275)&amp;"")</f>
        <v/>
      </c>
      <c r="U275" s="24" t="n"/>
      <c r="V275" s="24" t="str">
        <f>IF($Y275="","","Received "&amp;TEXT(INDEX(Import_Staging!$M$2:$M$301,$Y275),"yyyy-mm-dd")&amp;" (CSV row "&amp;($Y275+1)&amp;")")</f>
        <v/>
      </c>
      <c r="X275" t="str">
        <f>IFERROR(MATCH(270,Import_Staging!$BT$2:$BT$301,0),"")</f>
        <v/>
      </c>
      <c r="Y275" t="str">
        <f>IFERROR(MATCH(270,Import_Staging!$BV$2:$BV$301,0),"")</f>
        <v/>
      </c>
    </row>
    <row r="276">
      <c r="A276" s="24" t="str">
        <f>IF($X276="","",INDEX(Import_Staging!$A$2:$A$301,$X276)&amp;"")</f>
        <v/>
      </c>
      <c r="B276" s="27" t="str">
        <f>IF($X276="","",INDEX(Import_Staging!$M$2:$M$301,$X276))</f>
        <v/>
      </c>
      <c r="C276" s="24" t="str">
        <f>IF($X276="","",INDEX(Import_Staging!$C$2:$C$301,$X276)&amp;"")</f>
        <v/>
      </c>
      <c r="D276" s="24" t="str">
        <f>IF($X276="","",INDEX(Import_Staging!$D$2:$D$301,$X276)&amp;"")</f>
        <v/>
      </c>
      <c r="E276" s="69" t="str">
        <f>IF($X276="","",INDEX(Import_Staging!$O$2:$O$301,$X276))</f>
        <v/>
      </c>
      <c r="F276" s="24" t="str">
        <f>IF($X276="","",INDEX(Import_Staging!$F$2:$F$301,$X276)&amp;"")</f>
        <v/>
      </c>
      <c r="G276" s="24" t="str">
        <f>IF($X276="","",INDEX(Import_Staging!$J$2:$J$301,$X276)&amp;"")</f>
        <v/>
      </c>
      <c r="H276" s="24" t="str">
        <f>IF($X276="","",INDEX(Import_Staging!$K$2:$K$301,$X276)&amp;"")</f>
        <v/>
      </c>
      <c r="I276" s="24" t="str">
        <f>IF($X276="","",INDEX(Import_Staging!$L$2:$L$301,$X276)&amp;"")</f>
        <v/>
      </c>
      <c r="J276" s="24" t="str">
        <f>IF($X276="","","3PL import")</f>
        <v/>
      </c>
      <c r="K276" s="24" t="str">
        <f>IF($X276="","",Config!$B$11)</f>
        <v/>
      </c>
      <c r="L276" s="24" t="str">
        <f>IF($X276="","","CSV row "&amp;($X276+1))</f>
        <v/>
      </c>
      <c r="N276" s="24" t="str">
        <f>IF($Y276="","",INDEX(Import_Staging!$F$2:$F$301,$Y276)&amp;"")</f>
        <v/>
      </c>
      <c r="O276" s="24" t="str">
        <f>IF($Y276="","",INDEX(Import_Staging!$D$2:$D$301,$Y276)&amp;"")</f>
        <v/>
      </c>
      <c r="P276" s="24" t="str">
        <f>IF($Y276="","",INDEX(Import_Staging!$E$2:$E$301,$Y276)&amp;"")</f>
        <v/>
      </c>
      <c r="Q276" s="27" t="n"/>
      <c r="R276" s="27" t="str">
        <f>IF($Y276="","",INDEX(Import_Staging!$N$2:$N$301,$Y276))</f>
        <v/>
      </c>
      <c r="S276" s="70" t="str">
        <f>IF($Y276="","",0)</f>
        <v/>
      </c>
      <c r="T276" s="24" t="str">
        <f>IF($Y276="","",INDEX(Import_Staging!$I$2:$I$301,$Y276)&amp;"")</f>
        <v/>
      </c>
      <c r="U276" s="24" t="n"/>
      <c r="V276" s="24" t="str">
        <f>IF($Y276="","","Received "&amp;TEXT(INDEX(Import_Staging!$M$2:$M$301,$Y276),"yyyy-mm-dd")&amp;" (CSV row "&amp;($Y276+1)&amp;")")</f>
        <v/>
      </c>
      <c r="X276" t="str">
        <f>IFERROR(MATCH(271,Import_Staging!$BT$2:$BT$301,0),"")</f>
        <v/>
      </c>
      <c r="Y276" t="str">
        <f>IFERROR(MATCH(271,Import_Staging!$BV$2:$BV$301,0),"")</f>
        <v/>
      </c>
    </row>
    <row r="277">
      <c r="A277" s="24" t="str">
        <f>IF($X277="","",INDEX(Import_Staging!$A$2:$A$301,$X277)&amp;"")</f>
        <v/>
      </c>
      <c r="B277" s="27" t="str">
        <f>IF($X277="","",INDEX(Import_Staging!$M$2:$M$301,$X277))</f>
        <v/>
      </c>
      <c r="C277" s="24" t="str">
        <f>IF($X277="","",INDEX(Import_Staging!$C$2:$C$301,$X277)&amp;"")</f>
        <v/>
      </c>
      <c r="D277" s="24" t="str">
        <f>IF($X277="","",INDEX(Import_Staging!$D$2:$D$301,$X277)&amp;"")</f>
        <v/>
      </c>
      <c r="E277" s="69" t="str">
        <f>IF($X277="","",INDEX(Import_Staging!$O$2:$O$301,$X277))</f>
        <v/>
      </c>
      <c r="F277" s="24" t="str">
        <f>IF($X277="","",INDEX(Import_Staging!$F$2:$F$301,$X277)&amp;"")</f>
        <v/>
      </c>
      <c r="G277" s="24" t="str">
        <f>IF($X277="","",INDEX(Import_Staging!$J$2:$J$301,$X277)&amp;"")</f>
        <v/>
      </c>
      <c r="H277" s="24" t="str">
        <f>IF($X277="","",INDEX(Import_Staging!$K$2:$K$301,$X277)&amp;"")</f>
        <v/>
      </c>
      <c r="I277" s="24" t="str">
        <f>IF($X277="","",INDEX(Import_Staging!$L$2:$L$301,$X277)&amp;"")</f>
        <v/>
      </c>
      <c r="J277" s="24" t="str">
        <f>IF($X277="","","3PL import")</f>
        <v/>
      </c>
      <c r="K277" s="24" t="str">
        <f>IF($X277="","",Config!$B$11)</f>
        <v/>
      </c>
      <c r="L277" s="24" t="str">
        <f>IF($X277="","","CSV row "&amp;($X277+1))</f>
        <v/>
      </c>
      <c r="N277" s="24" t="str">
        <f>IF($Y277="","",INDEX(Import_Staging!$F$2:$F$301,$Y277)&amp;"")</f>
        <v/>
      </c>
      <c r="O277" s="24" t="str">
        <f>IF($Y277="","",INDEX(Import_Staging!$D$2:$D$301,$Y277)&amp;"")</f>
        <v/>
      </c>
      <c r="P277" s="24" t="str">
        <f>IF($Y277="","",INDEX(Import_Staging!$E$2:$E$301,$Y277)&amp;"")</f>
        <v/>
      </c>
      <c r="Q277" s="27" t="n"/>
      <c r="R277" s="27" t="str">
        <f>IF($Y277="","",INDEX(Import_Staging!$N$2:$N$301,$Y277))</f>
        <v/>
      </c>
      <c r="S277" s="70" t="str">
        <f>IF($Y277="","",0)</f>
        <v/>
      </c>
      <c r="T277" s="24" t="str">
        <f>IF($Y277="","",INDEX(Import_Staging!$I$2:$I$301,$Y277)&amp;"")</f>
        <v/>
      </c>
      <c r="U277" s="24" t="n"/>
      <c r="V277" s="24" t="str">
        <f>IF($Y277="","","Received "&amp;TEXT(INDEX(Import_Staging!$M$2:$M$301,$Y277),"yyyy-mm-dd")&amp;" (CSV row "&amp;($Y277+1)&amp;")")</f>
        <v/>
      </c>
      <c r="X277" t="str">
        <f>IFERROR(MATCH(272,Import_Staging!$BT$2:$BT$301,0),"")</f>
        <v/>
      </c>
      <c r="Y277" t="str">
        <f>IFERROR(MATCH(272,Import_Staging!$BV$2:$BV$301,0),"")</f>
        <v/>
      </c>
    </row>
    <row r="278">
      <c r="A278" s="24" t="str">
        <f>IF($X278="","",INDEX(Import_Staging!$A$2:$A$301,$X278)&amp;"")</f>
        <v/>
      </c>
      <c r="B278" s="27" t="str">
        <f>IF($X278="","",INDEX(Import_Staging!$M$2:$M$301,$X278))</f>
        <v/>
      </c>
      <c r="C278" s="24" t="str">
        <f>IF($X278="","",INDEX(Import_Staging!$C$2:$C$301,$X278)&amp;"")</f>
        <v/>
      </c>
      <c r="D278" s="24" t="str">
        <f>IF($X278="","",INDEX(Import_Staging!$D$2:$D$301,$X278)&amp;"")</f>
        <v/>
      </c>
      <c r="E278" s="69" t="str">
        <f>IF($X278="","",INDEX(Import_Staging!$O$2:$O$301,$X278))</f>
        <v/>
      </c>
      <c r="F278" s="24" t="str">
        <f>IF($X278="","",INDEX(Import_Staging!$F$2:$F$301,$X278)&amp;"")</f>
        <v/>
      </c>
      <c r="G278" s="24" t="str">
        <f>IF($X278="","",INDEX(Import_Staging!$J$2:$J$301,$X278)&amp;"")</f>
        <v/>
      </c>
      <c r="H278" s="24" t="str">
        <f>IF($X278="","",INDEX(Import_Staging!$K$2:$K$301,$X278)&amp;"")</f>
        <v/>
      </c>
      <c r="I278" s="24" t="str">
        <f>IF($X278="","",INDEX(Import_Staging!$L$2:$L$301,$X278)&amp;"")</f>
        <v/>
      </c>
      <c r="J278" s="24" t="str">
        <f>IF($X278="","","3PL import")</f>
        <v/>
      </c>
      <c r="K278" s="24" t="str">
        <f>IF($X278="","",Config!$B$11)</f>
        <v/>
      </c>
      <c r="L278" s="24" t="str">
        <f>IF($X278="","","CSV row "&amp;($X278+1))</f>
        <v/>
      </c>
      <c r="N278" s="24" t="str">
        <f>IF($Y278="","",INDEX(Import_Staging!$F$2:$F$301,$Y278)&amp;"")</f>
        <v/>
      </c>
      <c r="O278" s="24" t="str">
        <f>IF($Y278="","",INDEX(Import_Staging!$D$2:$D$301,$Y278)&amp;"")</f>
        <v/>
      </c>
      <c r="P278" s="24" t="str">
        <f>IF($Y278="","",INDEX(Import_Staging!$E$2:$E$301,$Y278)&amp;"")</f>
        <v/>
      </c>
      <c r="Q278" s="27" t="n"/>
      <c r="R278" s="27" t="str">
        <f>IF($Y278="","",INDEX(Import_Staging!$N$2:$N$301,$Y278))</f>
        <v/>
      </c>
      <c r="S278" s="70" t="str">
        <f>IF($Y278="","",0)</f>
        <v/>
      </c>
      <c r="T278" s="24" t="str">
        <f>IF($Y278="","",INDEX(Import_Staging!$I$2:$I$301,$Y278)&amp;"")</f>
        <v/>
      </c>
      <c r="U278" s="24" t="n"/>
      <c r="V278" s="24" t="str">
        <f>IF($Y278="","","Received "&amp;TEXT(INDEX(Import_Staging!$M$2:$M$301,$Y278),"yyyy-mm-dd")&amp;" (CSV row "&amp;($Y278+1)&amp;")")</f>
        <v/>
      </c>
      <c r="X278" t="str">
        <f>IFERROR(MATCH(273,Import_Staging!$BT$2:$BT$301,0),"")</f>
        <v/>
      </c>
      <c r="Y278" t="str">
        <f>IFERROR(MATCH(273,Import_Staging!$BV$2:$BV$301,0),"")</f>
        <v/>
      </c>
    </row>
    <row r="279">
      <c r="A279" s="24" t="str">
        <f>IF($X279="","",INDEX(Import_Staging!$A$2:$A$301,$X279)&amp;"")</f>
        <v/>
      </c>
      <c r="B279" s="27" t="str">
        <f>IF($X279="","",INDEX(Import_Staging!$M$2:$M$301,$X279))</f>
        <v/>
      </c>
      <c r="C279" s="24" t="str">
        <f>IF($X279="","",INDEX(Import_Staging!$C$2:$C$301,$X279)&amp;"")</f>
        <v/>
      </c>
      <c r="D279" s="24" t="str">
        <f>IF($X279="","",INDEX(Import_Staging!$D$2:$D$301,$X279)&amp;"")</f>
        <v/>
      </c>
      <c r="E279" s="69" t="str">
        <f>IF($X279="","",INDEX(Import_Staging!$O$2:$O$301,$X279))</f>
        <v/>
      </c>
      <c r="F279" s="24" t="str">
        <f>IF($X279="","",INDEX(Import_Staging!$F$2:$F$301,$X279)&amp;"")</f>
        <v/>
      </c>
      <c r="G279" s="24" t="str">
        <f>IF($X279="","",INDEX(Import_Staging!$J$2:$J$301,$X279)&amp;"")</f>
        <v/>
      </c>
      <c r="H279" s="24" t="str">
        <f>IF($X279="","",INDEX(Import_Staging!$K$2:$K$301,$X279)&amp;"")</f>
        <v/>
      </c>
      <c r="I279" s="24" t="str">
        <f>IF($X279="","",INDEX(Import_Staging!$L$2:$L$301,$X279)&amp;"")</f>
        <v/>
      </c>
      <c r="J279" s="24" t="str">
        <f>IF($X279="","","3PL import")</f>
        <v/>
      </c>
      <c r="K279" s="24" t="str">
        <f>IF($X279="","",Config!$B$11)</f>
        <v/>
      </c>
      <c r="L279" s="24" t="str">
        <f>IF($X279="","","CSV row "&amp;($X279+1))</f>
        <v/>
      </c>
      <c r="N279" s="24" t="str">
        <f>IF($Y279="","",INDEX(Import_Staging!$F$2:$F$301,$Y279)&amp;"")</f>
        <v/>
      </c>
      <c r="O279" s="24" t="str">
        <f>IF($Y279="","",INDEX(Import_Staging!$D$2:$D$301,$Y279)&amp;"")</f>
        <v/>
      </c>
      <c r="P279" s="24" t="str">
        <f>IF($Y279="","",INDEX(Import_Staging!$E$2:$E$301,$Y279)&amp;"")</f>
        <v/>
      </c>
      <c r="Q279" s="27" t="n"/>
      <c r="R279" s="27" t="str">
        <f>IF($Y279="","",INDEX(Import_Staging!$N$2:$N$301,$Y279))</f>
        <v/>
      </c>
      <c r="S279" s="70" t="str">
        <f>IF($Y279="","",0)</f>
        <v/>
      </c>
      <c r="T279" s="24" t="str">
        <f>IF($Y279="","",INDEX(Import_Staging!$I$2:$I$301,$Y279)&amp;"")</f>
        <v/>
      </c>
      <c r="U279" s="24" t="n"/>
      <c r="V279" s="24" t="str">
        <f>IF($Y279="","","Received "&amp;TEXT(INDEX(Import_Staging!$M$2:$M$301,$Y279),"yyyy-mm-dd")&amp;" (CSV row "&amp;($Y279+1)&amp;")")</f>
        <v/>
      </c>
      <c r="X279" t="str">
        <f>IFERROR(MATCH(274,Import_Staging!$BT$2:$BT$301,0),"")</f>
        <v/>
      </c>
      <c r="Y279" t="str">
        <f>IFERROR(MATCH(274,Import_Staging!$BV$2:$BV$301,0),"")</f>
        <v/>
      </c>
    </row>
    <row r="280">
      <c r="A280" s="24" t="str">
        <f>IF($X280="","",INDEX(Import_Staging!$A$2:$A$301,$X280)&amp;"")</f>
        <v/>
      </c>
      <c r="B280" s="27" t="str">
        <f>IF($X280="","",INDEX(Import_Staging!$M$2:$M$301,$X280))</f>
        <v/>
      </c>
      <c r="C280" s="24" t="str">
        <f>IF($X280="","",INDEX(Import_Staging!$C$2:$C$301,$X280)&amp;"")</f>
        <v/>
      </c>
      <c r="D280" s="24" t="str">
        <f>IF($X280="","",INDEX(Import_Staging!$D$2:$D$301,$X280)&amp;"")</f>
        <v/>
      </c>
      <c r="E280" s="69" t="str">
        <f>IF($X280="","",INDEX(Import_Staging!$O$2:$O$301,$X280))</f>
        <v/>
      </c>
      <c r="F280" s="24" t="str">
        <f>IF($X280="","",INDEX(Import_Staging!$F$2:$F$301,$X280)&amp;"")</f>
        <v/>
      </c>
      <c r="G280" s="24" t="str">
        <f>IF($X280="","",INDEX(Import_Staging!$J$2:$J$301,$X280)&amp;"")</f>
        <v/>
      </c>
      <c r="H280" s="24" t="str">
        <f>IF($X280="","",INDEX(Import_Staging!$K$2:$K$301,$X280)&amp;"")</f>
        <v/>
      </c>
      <c r="I280" s="24" t="str">
        <f>IF($X280="","",INDEX(Import_Staging!$L$2:$L$301,$X280)&amp;"")</f>
        <v/>
      </c>
      <c r="J280" s="24" t="str">
        <f>IF($X280="","","3PL import")</f>
        <v/>
      </c>
      <c r="K280" s="24" t="str">
        <f>IF($X280="","",Config!$B$11)</f>
        <v/>
      </c>
      <c r="L280" s="24" t="str">
        <f>IF($X280="","","CSV row "&amp;($X280+1))</f>
        <v/>
      </c>
      <c r="N280" s="24" t="str">
        <f>IF($Y280="","",INDEX(Import_Staging!$F$2:$F$301,$Y280)&amp;"")</f>
        <v/>
      </c>
      <c r="O280" s="24" t="str">
        <f>IF($Y280="","",INDEX(Import_Staging!$D$2:$D$301,$Y280)&amp;"")</f>
        <v/>
      </c>
      <c r="P280" s="24" t="str">
        <f>IF($Y280="","",INDEX(Import_Staging!$E$2:$E$301,$Y280)&amp;"")</f>
        <v/>
      </c>
      <c r="Q280" s="27" t="n"/>
      <c r="R280" s="27" t="str">
        <f>IF($Y280="","",INDEX(Import_Staging!$N$2:$N$301,$Y280))</f>
        <v/>
      </c>
      <c r="S280" s="70" t="str">
        <f>IF($Y280="","",0)</f>
        <v/>
      </c>
      <c r="T280" s="24" t="str">
        <f>IF($Y280="","",INDEX(Import_Staging!$I$2:$I$301,$Y280)&amp;"")</f>
        <v/>
      </c>
      <c r="U280" s="24" t="n"/>
      <c r="V280" s="24" t="str">
        <f>IF($Y280="","","Received "&amp;TEXT(INDEX(Import_Staging!$M$2:$M$301,$Y280),"yyyy-mm-dd")&amp;" (CSV row "&amp;($Y280+1)&amp;")")</f>
        <v/>
      </c>
      <c r="X280" t="str">
        <f>IFERROR(MATCH(275,Import_Staging!$BT$2:$BT$301,0),"")</f>
        <v/>
      </c>
      <c r="Y280" t="str">
        <f>IFERROR(MATCH(275,Import_Staging!$BV$2:$BV$301,0),"")</f>
        <v/>
      </c>
    </row>
    <row r="281">
      <c r="A281" s="24" t="str">
        <f>IF($X281="","",INDEX(Import_Staging!$A$2:$A$301,$X281)&amp;"")</f>
        <v/>
      </c>
      <c r="B281" s="27" t="str">
        <f>IF($X281="","",INDEX(Import_Staging!$M$2:$M$301,$X281))</f>
        <v/>
      </c>
      <c r="C281" s="24" t="str">
        <f>IF($X281="","",INDEX(Import_Staging!$C$2:$C$301,$X281)&amp;"")</f>
        <v/>
      </c>
      <c r="D281" s="24" t="str">
        <f>IF($X281="","",INDEX(Import_Staging!$D$2:$D$301,$X281)&amp;"")</f>
        <v/>
      </c>
      <c r="E281" s="69" t="str">
        <f>IF($X281="","",INDEX(Import_Staging!$O$2:$O$301,$X281))</f>
        <v/>
      </c>
      <c r="F281" s="24" t="str">
        <f>IF($X281="","",INDEX(Import_Staging!$F$2:$F$301,$X281)&amp;"")</f>
        <v/>
      </c>
      <c r="G281" s="24" t="str">
        <f>IF($X281="","",INDEX(Import_Staging!$J$2:$J$301,$X281)&amp;"")</f>
        <v/>
      </c>
      <c r="H281" s="24" t="str">
        <f>IF($X281="","",INDEX(Import_Staging!$K$2:$K$301,$X281)&amp;"")</f>
        <v/>
      </c>
      <c r="I281" s="24" t="str">
        <f>IF($X281="","",INDEX(Import_Staging!$L$2:$L$301,$X281)&amp;"")</f>
        <v/>
      </c>
      <c r="J281" s="24" t="str">
        <f>IF($X281="","","3PL import")</f>
        <v/>
      </c>
      <c r="K281" s="24" t="str">
        <f>IF($X281="","",Config!$B$11)</f>
        <v/>
      </c>
      <c r="L281" s="24" t="str">
        <f>IF($X281="","","CSV row "&amp;($X281+1))</f>
        <v/>
      </c>
      <c r="N281" s="24" t="str">
        <f>IF($Y281="","",INDEX(Import_Staging!$F$2:$F$301,$Y281)&amp;"")</f>
        <v/>
      </c>
      <c r="O281" s="24" t="str">
        <f>IF($Y281="","",INDEX(Import_Staging!$D$2:$D$301,$Y281)&amp;"")</f>
        <v/>
      </c>
      <c r="P281" s="24" t="str">
        <f>IF($Y281="","",INDEX(Import_Staging!$E$2:$E$301,$Y281)&amp;"")</f>
        <v/>
      </c>
      <c r="Q281" s="27" t="n"/>
      <c r="R281" s="27" t="str">
        <f>IF($Y281="","",INDEX(Import_Staging!$N$2:$N$301,$Y281))</f>
        <v/>
      </c>
      <c r="S281" s="70" t="str">
        <f>IF($Y281="","",0)</f>
        <v/>
      </c>
      <c r="T281" s="24" t="str">
        <f>IF($Y281="","",INDEX(Import_Staging!$I$2:$I$301,$Y281)&amp;"")</f>
        <v/>
      </c>
      <c r="U281" s="24" t="n"/>
      <c r="V281" s="24" t="str">
        <f>IF($Y281="","","Received "&amp;TEXT(INDEX(Import_Staging!$M$2:$M$301,$Y281),"yyyy-mm-dd")&amp;" (CSV row "&amp;($Y281+1)&amp;")")</f>
        <v/>
      </c>
      <c r="X281" t="str">
        <f>IFERROR(MATCH(276,Import_Staging!$BT$2:$BT$301,0),"")</f>
        <v/>
      </c>
      <c r="Y281" t="str">
        <f>IFERROR(MATCH(276,Import_Staging!$BV$2:$BV$301,0),"")</f>
        <v/>
      </c>
    </row>
    <row r="282">
      <c r="A282" s="24" t="str">
        <f>IF($X282="","",INDEX(Import_Staging!$A$2:$A$301,$X282)&amp;"")</f>
        <v/>
      </c>
      <c r="B282" s="27" t="str">
        <f>IF($X282="","",INDEX(Import_Staging!$M$2:$M$301,$X282))</f>
        <v/>
      </c>
      <c r="C282" s="24" t="str">
        <f>IF($X282="","",INDEX(Import_Staging!$C$2:$C$301,$X282)&amp;"")</f>
        <v/>
      </c>
      <c r="D282" s="24" t="str">
        <f>IF($X282="","",INDEX(Import_Staging!$D$2:$D$301,$X282)&amp;"")</f>
        <v/>
      </c>
      <c r="E282" s="69" t="str">
        <f>IF($X282="","",INDEX(Import_Staging!$O$2:$O$301,$X282))</f>
        <v/>
      </c>
      <c r="F282" s="24" t="str">
        <f>IF($X282="","",INDEX(Import_Staging!$F$2:$F$301,$X282)&amp;"")</f>
        <v/>
      </c>
      <c r="G282" s="24" t="str">
        <f>IF($X282="","",INDEX(Import_Staging!$J$2:$J$301,$X282)&amp;"")</f>
        <v/>
      </c>
      <c r="H282" s="24" t="str">
        <f>IF($X282="","",INDEX(Import_Staging!$K$2:$K$301,$X282)&amp;"")</f>
        <v/>
      </c>
      <c r="I282" s="24" t="str">
        <f>IF($X282="","",INDEX(Import_Staging!$L$2:$L$301,$X282)&amp;"")</f>
        <v/>
      </c>
      <c r="J282" s="24" t="str">
        <f>IF($X282="","","3PL import")</f>
        <v/>
      </c>
      <c r="K282" s="24" t="str">
        <f>IF($X282="","",Config!$B$11)</f>
        <v/>
      </c>
      <c r="L282" s="24" t="str">
        <f>IF($X282="","","CSV row "&amp;($X282+1))</f>
        <v/>
      </c>
      <c r="N282" s="24" t="str">
        <f>IF($Y282="","",INDEX(Import_Staging!$F$2:$F$301,$Y282)&amp;"")</f>
        <v/>
      </c>
      <c r="O282" s="24" t="str">
        <f>IF($Y282="","",INDEX(Import_Staging!$D$2:$D$301,$Y282)&amp;"")</f>
        <v/>
      </c>
      <c r="P282" s="24" t="str">
        <f>IF($Y282="","",INDEX(Import_Staging!$E$2:$E$301,$Y282)&amp;"")</f>
        <v/>
      </c>
      <c r="Q282" s="27" t="n"/>
      <c r="R282" s="27" t="str">
        <f>IF($Y282="","",INDEX(Import_Staging!$N$2:$N$301,$Y282))</f>
        <v/>
      </c>
      <c r="S282" s="70" t="str">
        <f>IF($Y282="","",0)</f>
        <v/>
      </c>
      <c r="T282" s="24" t="str">
        <f>IF($Y282="","",INDEX(Import_Staging!$I$2:$I$301,$Y282)&amp;"")</f>
        <v/>
      </c>
      <c r="U282" s="24" t="n"/>
      <c r="V282" s="24" t="str">
        <f>IF($Y282="","","Received "&amp;TEXT(INDEX(Import_Staging!$M$2:$M$301,$Y282),"yyyy-mm-dd")&amp;" (CSV row "&amp;($Y282+1)&amp;")")</f>
        <v/>
      </c>
      <c r="X282" t="str">
        <f>IFERROR(MATCH(277,Import_Staging!$BT$2:$BT$301,0),"")</f>
        <v/>
      </c>
      <c r="Y282" t="str">
        <f>IFERROR(MATCH(277,Import_Staging!$BV$2:$BV$301,0),"")</f>
        <v/>
      </c>
    </row>
    <row r="283">
      <c r="A283" s="24" t="str">
        <f>IF($X283="","",INDEX(Import_Staging!$A$2:$A$301,$X283)&amp;"")</f>
        <v/>
      </c>
      <c r="B283" s="27" t="str">
        <f>IF($X283="","",INDEX(Import_Staging!$M$2:$M$301,$X283))</f>
        <v/>
      </c>
      <c r="C283" s="24" t="str">
        <f>IF($X283="","",INDEX(Import_Staging!$C$2:$C$301,$X283)&amp;"")</f>
        <v/>
      </c>
      <c r="D283" s="24" t="str">
        <f>IF($X283="","",INDEX(Import_Staging!$D$2:$D$301,$X283)&amp;"")</f>
        <v/>
      </c>
      <c r="E283" s="69" t="str">
        <f>IF($X283="","",INDEX(Import_Staging!$O$2:$O$301,$X283))</f>
        <v/>
      </c>
      <c r="F283" s="24" t="str">
        <f>IF($X283="","",INDEX(Import_Staging!$F$2:$F$301,$X283)&amp;"")</f>
        <v/>
      </c>
      <c r="G283" s="24" t="str">
        <f>IF($X283="","",INDEX(Import_Staging!$J$2:$J$301,$X283)&amp;"")</f>
        <v/>
      </c>
      <c r="H283" s="24" t="str">
        <f>IF($X283="","",INDEX(Import_Staging!$K$2:$K$301,$X283)&amp;"")</f>
        <v/>
      </c>
      <c r="I283" s="24" t="str">
        <f>IF($X283="","",INDEX(Import_Staging!$L$2:$L$301,$X283)&amp;"")</f>
        <v/>
      </c>
      <c r="J283" s="24" t="str">
        <f>IF($X283="","","3PL import")</f>
        <v/>
      </c>
      <c r="K283" s="24" t="str">
        <f>IF($X283="","",Config!$B$11)</f>
        <v/>
      </c>
      <c r="L283" s="24" t="str">
        <f>IF($X283="","","CSV row "&amp;($X283+1))</f>
        <v/>
      </c>
      <c r="N283" s="24" t="str">
        <f>IF($Y283="","",INDEX(Import_Staging!$F$2:$F$301,$Y283)&amp;"")</f>
        <v/>
      </c>
      <c r="O283" s="24" t="str">
        <f>IF($Y283="","",INDEX(Import_Staging!$D$2:$D$301,$Y283)&amp;"")</f>
        <v/>
      </c>
      <c r="P283" s="24" t="str">
        <f>IF($Y283="","",INDEX(Import_Staging!$E$2:$E$301,$Y283)&amp;"")</f>
        <v/>
      </c>
      <c r="Q283" s="27" t="n"/>
      <c r="R283" s="27" t="str">
        <f>IF($Y283="","",INDEX(Import_Staging!$N$2:$N$301,$Y283))</f>
        <v/>
      </c>
      <c r="S283" s="70" t="str">
        <f>IF($Y283="","",0)</f>
        <v/>
      </c>
      <c r="T283" s="24" t="str">
        <f>IF($Y283="","",INDEX(Import_Staging!$I$2:$I$301,$Y283)&amp;"")</f>
        <v/>
      </c>
      <c r="U283" s="24" t="n"/>
      <c r="V283" s="24" t="str">
        <f>IF($Y283="","","Received "&amp;TEXT(INDEX(Import_Staging!$M$2:$M$301,$Y283),"yyyy-mm-dd")&amp;" (CSV row "&amp;($Y283+1)&amp;")")</f>
        <v/>
      </c>
      <c r="X283" t="str">
        <f>IFERROR(MATCH(278,Import_Staging!$BT$2:$BT$301,0),"")</f>
        <v/>
      </c>
      <c r="Y283" t="str">
        <f>IFERROR(MATCH(278,Import_Staging!$BV$2:$BV$301,0),"")</f>
        <v/>
      </c>
    </row>
    <row r="284">
      <c r="A284" s="24" t="str">
        <f>IF($X284="","",INDEX(Import_Staging!$A$2:$A$301,$X284)&amp;"")</f>
        <v/>
      </c>
      <c r="B284" s="27" t="str">
        <f>IF($X284="","",INDEX(Import_Staging!$M$2:$M$301,$X284))</f>
        <v/>
      </c>
      <c r="C284" s="24" t="str">
        <f>IF($X284="","",INDEX(Import_Staging!$C$2:$C$301,$X284)&amp;"")</f>
        <v/>
      </c>
      <c r="D284" s="24" t="str">
        <f>IF($X284="","",INDEX(Import_Staging!$D$2:$D$301,$X284)&amp;"")</f>
        <v/>
      </c>
      <c r="E284" s="69" t="str">
        <f>IF($X284="","",INDEX(Import_Staging!$O$2:$O$301,$X284))</f>
        <v/>
      </c>
      <c r="F284" s="24" t="str">
        <f>IF($X284="","",INDEX(Import_Staging!$F$2:$F$301,$X284)&amp;"")</f>
        <v/>
      </c>
      <c r="G284" s="24" t="str">
        <f>IF($X284="","",INDEX(Import_Staging!$J$2:$J$301,$X284)&amp;"")</f>
        <v/>
      </c>
      <c r="H284" s="24" t="str">
        <f>IF($X284="","",INDEX(Import_Staging!$K$2:$K$301,$X284)&amp;"")</f>
        <v/>
      </c>
      <c r="I284" s="24" t="str">
        <f>IF($X284="","",INDEX(Import_Staging!$L$2:$L$301,$X284)&amp;"")</f>
        <v/>
      </c>
      <c r="J284" s="24" t="str">
        <f>IF($X284="","","3PL import")</f>
        <v/>
      </c>
      <c r="K284" s="24" t="str">
        <f>IF($X284="","",Config!$B$11)</f>
        <v/>
      </c>
      <c r="L284" s="24" t="str">
        <f>IF($X284="","","CSV row "&amp;($X284+1))</f>
        <v/>
      </c>
      <c r="N284" s="24" t="str">
        <f>IF($Y284="","",INDEX(Import_Staging!$F$2:$F$301,$Y284)&amp;"")</f>
        <v/>
      </c>
      <c r="O284" s="24" t="str">
        <f>IF($Y284="","",INDEX(Import_Staging!$D$2:$D$301,$Y284)&amp;"")</f>
        <v/>
      </c>
      <c r="P284" s="24" t="str">
        <f>IF($Y284="","",INDEX(Import_Staging!$E$2:$E$301,$Y284)&amp;"")</f>
        <v/>
      </c>
      <c r="Q284" s="27" t="n"/>
      <c r="R284" s="27" t="str">
        <f>IF($Y284="","",INDEX(Import_Staging!$N$2:$N$301,$Y284))</f>
        <v/>
      </c>
      <c r="S284" s="70" t="str">
        <f>IF($Y284="","",0)</f>
        <v/>
      </c>
      <c r="T284" s="24" t="str">
        <f>IF($Y284="","",INDEX(Import_Staging!$I$2:$I$301,$Y284)&amp;"")</f>
        <v/>
      </c>
      <c r="U284" s="24" t="n"/>
      <c r="V284" s="24" t="str">
        <f>IF($Y284="","","Received "&amp;TEXT(INDEX(Import_Staging!$M$2:$M$301,$Y284),"yyyy-mm-dd")&amp;" (CSV row "&amp;($Y284+1)&amp;")")</f>
        <v/>
      </c>
      <c r="X284" t="str">
        <f>IFERROR(MATCH(279,Import_Staging!$BT$2:$BT$301,0),"")</f>
        <v/>
      </c>
      <c r="Y284" t="str">
        <f>IFERROR(MATCH(279,Import_Staging!$BV$2:$BV$301,0),"")</f>
        <v/>
      </c>
    </row>
    <row r="285">
      <c r="A285" s="24" t="str">
        <f>IF($X285="","",INDEX(Import_Staging!$A$2:$A$301,$X285)&amp;"")</f>
        <v/>
      </c>
      <c r="B285" s="27" t="str">
        <f>IF($X285="","",INDEX(Import_Staging!$M$2:$M$301,$X285))</f>
        <v/>
      </c>
      <c r="C285" s="24" t="str">
        <f>IF($X285="","",INDEX(Import_Staging!$C$2:$C$301,$X285)&amp;"")</f>
        <v/>
      </c>
      <c r="D285" s="24" t="str">
        <f>IF($X285="","",INDEX(Import_Staging!$D$2:$D$301,$X285)&amp;"")</f>
        <v/>
      </c>
      <c r="E285" s="69" t="str">
        <f>IF($X285="","",INDEX(Import_Staging!$O$2:$O$301,$X285))</f>
        <v/>
      </c>
      <c r="F285" s="24" t="str">
        <f>IF($X285="","",INDEX(Import_Staging!$F$2:$F$301,$X285)&amp;"")</f>
        <v/>
      </c>
      <c r="G285" s="24" t="str">
        <f>IF($X285="","",INDEX(Import_Staging!$J$2:$J$301,$X285)&amp;"")</f>
        <v/>
      </c>
      <c r="H285" s="24" t="str">
        <f>IF($X285="","",INDEX(Import_Staging!$K$2:$K$301,$X285)&amp;"")</f>
        <v/>
      </c>
      <c r="I285" s="24" t="str">
        <f>IF($X285="","",INDEX(Import_Staging!$L$2:$L$301,$X285)&amp;"")</f>
        <v/>
      </c>
      <c r="J285" s="24" t="str">
        <f>IF($X285="","","3PL import")</f>
        <v/>
      </c>
      <c r="K285" s="24" t="str">
        <f>IF($X285="","",Config!$B$11)</f>
        <v/>
      </c>
      <c r="L285" s="24" t="str">
        <f>IF($X285="","","CSV row "&amp;($X285+1))</f>
        <v/>
      </c>
      <c r="N285" s="24" t="str">
        <f>IF($Y285="","",INDEX(Import_Staging!$F$2:$F$301,$Y285)&amp;"")</f>
        <v/>
      </c>
      <c r="O285" s="24" t="str">
        <f>IF($Y285="","",INDEX(Import_Staging!$D$2:$D$301,$Y285)&amp;"")</f>
        <v/>
      </c>
      <c r="P285" s="24" t="str">
        <f>IF($Y285="","",INDEX(Import_Staging!$E$2:$E$301,$Y285)&amp;"")</f>
        <v/>
      </c>
      <c r="Q285" s="27" t="n"/>
      <c r="R285" s="27" t="str">
        <f>IF($Y285="","",INDEX(Import_Staging!$N$2:$N$301,$Y285))</f>
        <v/>
      </c>
      <c r="S285" s="70" t="str">
        <f>IF($Y285="","",0)</f>
        <v/>
      </c>
      <c r="T285" s="24" t="str">
        <f>IF($Y285="","",INDEX(Import_Staging!$I$2:$I$301,$Y285)&amp;"")</f>
        <v/>
      </c>
      <c r="U285" s="24" t="n"/>
      <c r="V285" s="24" t="str">
        <f>IF($Y285="","","Received "&amp;TEXT(INDEX(Import_Staging!$M$2:$M$301,$Y285),"yyyy-mm-dd")&amp;" (CSV row "&amp;($Y285+1)&amp;")")</f>
        <v/>
      </c>
      <c r="X285" t="str">
        <f>IFERROR(MATCH(280,Import_Staging!$BT$2:$BT$301,0),"")</f>
        <v/>
      </c>
      <c r="Y285" t="str">
        <f>IFERROR(MATCH(280,Import_Staging!$BV$2:$BV$301,0),"")</f>
        <v/>
      </c>
    </row>
    <row r="286">
      <c r="A286" s="24" t="str">
        <f>IF($X286="","",INDEX(Import_Staging!$A$2:$A$301,$X286)&amp;"")</f>
        <v/>
      </c>
      <c r="B286" s="27" t="str">
        <f>IF($X286="","",INDEX(Import_Staging!$M$2:$M$301,$X286))</f>
        <v/>
      </c>
      <c r="C286" s="24" t="str">
        <f>IF($X286="","",INDEX(Import_Staging!$C$2:$C$301,$X286)&amp;"")</f>
        <v/>
      </c>
      <c r="D286" s="24" t="str">
        <f>IF($X286="","",INDEX(Import_Staging!$D$2:$D$301,$X286)&amp;"")</f>
        <v/>
      </c>
      <c r="E286" s="69" t="str">
        <f>IF($X286="","",INDEX(Import_Staging!$O$2:$O$301,$X286))</f>
        <v/>
      </c>
      <c r="F286" s="24" t="str">
        <f>IF($X286="","",INDEX(Import_Staging!$F$2:$F$301,$X286)&amp;"")</f>
        <v/>
      </c>
      <c r="G286" s="24" t="str">
        <f>IF($X286="","",INDEX(Import_Staging!$J$2:$J$301,$X286)&amp;"")</f>
        <v/>
      </c>
      <c r="H286" s="24" t="str">
        <f>IF($X286="","",INDEX(Import_Staging!$K$2:$K$301,$X286)&amp;"")</f>
        <v/>
      </c>
      <c r="I286" s="24" t="str">
        <f>IF($X286="","",INDEX(Import_Staging!$L$2:$L$301,$X286)&amp;"")</f>
        <v/>
      </c>
      <c r="J286" s="24" t="str">
        <f>IF($X286="","","3PL import")</f>
        <v/>
      </c>
      <c r="K286" s="24" t="str">
        <f>IF($X286="","",Config!$B$11)</f>
        <v/>
      </c>
      <c r="L286" s="24" t="str">
        <f>IF($X286="","","CSV row "&amp;($X286+1))</f>
        <v/>
      </c>
      <c r="N286" s="24" t="str">
        <f>IF($Y286="","",INDEX(Import_Staging!$F$2:$F$301,$Y286)&amp;"")</f>
        <v/>
      </c>
      <c r="O286" s="24" t="str">
        <f>IF($Y286="","",INDEX(Import_Staging!$D$2:$D$301,$Y286)&amp;"")</f>
        <v/>
      </c>
      <c r="P286" s="24" t="str">
        <f>IF($Y286="","",INDEX(Import_Staging!$E$2:$E$301,$Y286)&amp;"")</f>
        <v/>
      </c>
      <c r="Q286" s="27" t="n"/>
      <c r="R286" s="27" t="str">
        <f>IF($Y286="","",INDEX(Import_Staging!$N$2:$N$301,$Y286))</f>
        <v/>
      </c>
      <c r="S286" s="70" t="str">
        <f>IF($Y286="","",0)</f>
        <v/>
      </c>
      <c r="T286" s="24" t="str">
        <f>IF($Y286="","",INDEX(Import_Staging!$I$2:$I$301,$Y286)&amp;"")</f>
        <v/>
      </c>
      <c r="U286" s="24" t="n"/>
      <c r="V286" s="24" t="str">
        <f>IF($Y286="","","Received "&amp;TEXT(INDEX(Import_Staging!$M$2:$M$301,$Y286),"yyyy-mm-dd")&amp;" (CSV row "&amp;($Y286+1)&amp;")")</f>
        <v/>
      </c>
      <c r="X286" t="str">
        <f>IFERROR(MATCH(281,Import_Staging!$BT$2:$BT$301,0),"")</f>
        <v/>
      </c>
      <c r="Y286" t="str">
        <f>IFERROR(MATCH(281,Import_Staging!$BV$2:$BV$301,0),"")</f>
        <v/>
      </c>
    </row>
    <row r="287">
      <c r="A287" s="24" t="str">
        <f>IF($X287="","",INDEX(Import_Staging!$A$2:$A$301,$X287)&amp;"")</f>
        <v/>
      </c>
      <c r="B287" s="27" t="str">
        <f>IF($X287="","",INDEX(Import_Staging!$M$2:$M$301,$X287))</f>
        <v/>
      </c>
      <c r="C287" s="24" t="str">
        <f>IF($X287="","",INDEX(Import_Staging!$C$2:$C$301,$X287)&amp;"")</f>
        <v/>
      </c>
      <c r="D287" s="24" t="str">
        <f>IF($X287="","",INDEX(Import_Staging!$D$2:$D$301,$X287)&amp;"")</f>
        <v/>
      </c>
      <c r="E287" s="69" t="str">
        <f>IF($X287="","",INDEX(Import_Staging!$O$2:$O$301,$X287))</f>
        <v/>
      </c>
      <c r="F287" s="24" t="str">
        <f>IF($X287="","",INDEX(Import_Staging!$F$2:$F$301,$X287)&amp;"")</f>
        <v/>
      </c>
      <c r="G287" s="24" t="str">
        <f>IF($X287="","",INDEX(Import_Staging!$J$2:$J$301,$X287)&amp;"")</f>
        <v/>
      </c>
      <c r="H287" s="24" t="str">
        <f>IF($X287="","",INDEX(Import_Staging!$K$2:$K$301,$X287)&amp;"")</f>
        <v/>
      </c>
      <c r="I287" s="24" t="str">
        <f>IF($X287="","",INDEX(Import_Staging!$L$2:$L$301,$X287)&amp;"")</f>
        <v/>
      </c>
      <c r="J287" s="24" t="str">
        <f>IF($X287="","","3PL import")</f>
        <v/>
      </c>
      <c r="K287" s="24" t="str">
        <f>IF($X287="","",Config!$B$11)</f>
        <v/>
      </c>
      <c r="L287" s="24" t="str">
        <f>IF($X287="","","CSV row "&amp;($X287+1))</f>
        <v/>
      </c>
      <c r="N287" s="24" t="str">
        <f>IF($Y287="","",INDEX(Import_Staging!$F$2:$F$301,$Y287)&amp;"")</f>
        <v/>
      </c>
      <c r="O287" s="24" t="str">
        <f>IF($Y287="","",INDEX(Import_Staging!$D$2:$D$301,$Y287)&amp;"")</f>
        <v/>
      </c>
      <c r="P287" s="24" t="str">
        <f>IF($Y287="","",INDEX(Import_Staging!$E$2:$E$301,$Y287)&amp;"")</f>
        <v/>
      </c>
      <c r="Q287" s="27" t="n"/>
      <c r="R287" s="27" t="str">
        <f>IF($Y287="","",INDEX(Import_Staging!$N$2:$N$301,$Y287))</f>
        <v/>
      </c>
      <c r="S287" s="70" t="str">
        <f>IF($Y287="","",0)</f>
        <v/>
      </c>
      <c r="T287" s="24" t="str">
        <f>IF($Y287="","",INDEX(Import_Staging!$I$2:$I$301,$Y287)&amp;"")</f>
        <v/>
      </c>
      <c r="U287" s="24" t="n"/>
      <c r="V287" s="24" t="str">
        <f>IF($Y287="","","Received "&amp;TEXT(INDEX(Import_Staging!$M$2:$M$301,$Y287),"yyyy-mm-dd")&amp;" (CSV row "&amp;($Y287+1)&amp;")")</f>
        <v/>
      </c>
      <c r="X287" t="str">
        <f>IFERROR(MATCH(282,Import_Staging!$BT$2:$BT$301,0),"")</f>
        <v/>
      </c>
      <c r="Y287" t="str">
        <f>IFERROR(MATCH(282,Import_Staging!$BV$2:$BV$301,0),"")</f>
        <v/>
      </c>
    </row>
    <row r="288">
      <c r="A288" s="24" t="str">
        <f>IF($X288="","",INDEX(Import_Staging!$A$2:$A$301,$X288)&amp;"")</f>
        <v/>
      </c>
      <c r="B288" s="27" t="str">
        <f>IF($X288="","",INDEX(Import_Staging!$M$2:$M$301,$X288))</f>
        <v/>
      </c>
      <c r="C288" s="24" t="str">
        <f>IF($X288="","",INDEX(Import_Staging!$C$2:$C$301,$X288)&amp;"")</f>
        <v/>
      </c>
      <c r="D288" s="24" t="str">
        <f>IF($X288="","",INDEX(Import_Staging!$D$2:$D$301,$X288)&amp;"")</f>
        <v/>
      </c>
      <c r="E288" s="69" t="str">
        <f>IF($X288="","",INDEX(Import_Staging!$O$2:$O$301,$X288))</f>
        <v/>
      </c>
      <c r="F288" s="24" t="str">
        <f>IF($X288="","",INDEX(Import_Staging!$F$2:$F$301,$X288)&amp;"")</f>
        <v/>
      </c>
      <c r="G288" s="24" t="str">
        <f>IF($X288="","",INDEX(Import_Staging!$J$2:$J$301,$X288)&amp;"")</f>
        <v/>
      </c>
      <c r="H288" s="24" t="str">
        <f>IF($X288="","",INDEX(Import_Staging!$K$2:$K$301,$X288)&amp;"")</f>
        <v/>
      </c>
      <c r="I288" s="24" t="str">
        <f>IF($X288="","",INDEX(Import_Staging!$L$2:$L$301,$X288)&amp;"")</f>
        <v/>
      </c>
      <c r="J288" s="24" t="str">
        <f>IF($X288="","","3PL import")</f>
        <v/>
      </c>
      <c r="K288" s="24" t="str">
        <f>IF($X288="","",Config!$B$11)</f>
        <v/>
      </c>
      <c r="L288" s="24" t="str">
        <f>IF($X288="","","CSV row "&amp;($X288+1))</f>
        <v/>
      </c>
      <c r="N288" s="24" t="str">
        <f>IF($Y288="","",INDEX(Import_Staging!$F$2:$F$301,$Y288)&amp;"")</f>
        <v/>
      </c>
      <c r="O288" s="24" t="str">
        <f>IF($Y288="","",INDEX(Import_Staging!$D$2:$D$301,$Y288)&amp;"")</f>
        <v/>
      </c>
      <c r="P288" s="24" t="str">
        <f>IF($Y288="","",INDEX(Import_Staging!$E$2:$E$301,$Y288)&amp;"")</f>
        <v/>
      </c>
      <c r="Q288" s="27" t="n"/>
      <c r="R288" s="27" t="str">
        <f>IF($Y288="","",INDEX(Import_Staging!$N$2:$N$301,$Y288))</f>
        <v/>
      </c>
      <c r="S288" s="70" t="str">
        <f>IF($Y288="","",0)</f>
        <v/>
      </c>
      <c r="T288" s="24" t="str">
        <f>IF($Y288="","",INDEX(Import_Staging!$I$2:$I$301,$Y288)&amp;"")</f>
        <v/>
      </c>
      <c r="U288" s="24" t="n"/>
      <c r="V288" s="24" t="str">
        <f>IF($Y288="","","Received "&amp;TEXT(INDEX(Import_Staging!$M$2:$M$301,$Y288),"yyyy-mm-dd")&amp;" (CSV row "&amp;($Y288+1)&amp;")")</f>
        <v/>
      </c>
      <c r="X288" t="str">
        <f>IFERROR(MATCH(283,Import_Staging!$BT$2:$BT$301,0),"")</f>
        <v/>
      </c>
      <c r="Y288" t="str">
        <f>IFERROR(MATCH(283,Import_Staging!$BV$2:$BV$301,0),"")</f>
        <v/>
      </c>
    </row>
    <row r="289">
      <c r="A289" s="24" t="str">
        <f>IF($X289="","",INDEX(Import_Staging!$A$2:$A$301,$X289)&amp;"")</f>
        <v/>
      </c>
      <c r="B289" s="27" t="str">
        <f>IF($X289="","",INDEX(Import_Staging!$M$2:$M$301,$X289))</f>
        <v/>
      </c>
      <c r="C289" s="24" t="str">
        <f>IF($X289="","",INDEX(Import_Staging!$C$2:$C$301,$X289)&amp;"")</f>
        <v/>
      </c>
      <c r="D289" s="24" t="str">
        <f>IF($X289="","",INDEX(Import_Staging!$D$2:$D$301,$X289)&amp;"")</f>
        <v/>
      </c>
      <c r="E289" s="69" t="str">
        <f>IF($X289="","",INDEX(Import_Staging!$O$2:$O$301,$X289))</f>
        <v/>
      </c>
      <c r="F289" s="24" t="str">
        <f>IF($X289="","",INDEX(Import_Staging!$F$2:$F$301,$X289)&amp;"")</f>
        <v/>
      </c>
      <c r="G289" s="24" t="str">
        <f>IF($X289="","",INDEX(Import_Staging!$J$2:$J$301,$X289)&amp;"")</f>
        <v/>
      </c>
      <c r="H289" s="24" t="str">
        <f>IF($X289="","",INDEX(Import_Staging!$K$2:$K$301,$X289)&amp;"")</f>
        <v/>
      </c>
      <c r="I289" s="24" t="str">
        <f>IF($X289="","",INDEX(Import_Staging!$L$2:$L$301,$X289)&amp;"")</f>
        <v/>
      </c>
      <c r="J289" s="24" t="str">
        <f>IF($X289="","","3PL import")</f>
        <v/>
      </c>
      <c r="K289" s="24" t="str">
        <f>IF($X289="","",Config!$B$11)</f>
        <v/>
      </c>
      <c r="L289" s="24" t="str">
        <f>IF($X289="","","CSV row "&amp;($X289+1))</f>
        <v/>
      </c>
      <c r="N289" s="24" t="str">
        <f>IF($Y289="","",INDEX(Import_Staging!$F$2:$F$301,$Y289)&amp;"")</f>
        <v/>
      </c>
      <c r="O289" s="24" t="str">
        <f>IF($Y289="","",INDEX(Import_Staging!$D$2:$D$301,$Y289)&amp;"")</f>
        <v/>
      </c>
      <c r="P289" s="24" t="str">
        <f>IF($Y289="","",INDEX(Import_Staging!$E$2:$E$301,$Y289)&amp;"")</f>
        <v/>
      </c>
      <c r="Q289" s="27" t="n"/>
      <c r="R289" s="27" t="str">
        <f>IF($Y289="","",INDEX(Import_Staging!$N$2:$N$301,$Y289))</f>
        <v/>
      </c>
      <c r="S289" s="70" t="str">
        <f>IF($Y289="","",0)</f>
        <v/>
      </c>
      <c r="T289" s="24" t="str">
        <f>IF($Y289="","",INDEX(Import_Staging!$I$2:$I$301,$Y289)&amp;"")</f>
        <v/>
      </c>
      <c r="U289" s="24" t="n"/>
      <c r="V289" s="24" t="str">
        <f>IF($Y289="","","Received "&amp;TEXT(INDEX(Import_Staging!$M$2:$M$301,$Y289),"yyyy-mm-dd")&amp;" (CSV row "&amp;($Y289+1)&amp;")")</f>
        <v/>
      </c>
      <c r="X289" t="str">
        <f>IFERROR(MATCH(284,Import_Staging!$BT$2:$BT$301,0),"")</f>
        <v/>
      </c>
      <c r="Y289" t="str">
        <f>IFERROR(MATCH(284,Import_Staging!$BV$2:$BV$301,0),"")</f>
        <v/>
      </c>
    </row>
    <row r="290">
      <c r="A290" s="24" t="str">
        <f>IF($X290="","",INDEX(Import_Staging!$A$2:$A$301,$X290)&amp;"")</f>
        <v/>
      </c>
      <c r="B290" s="27" t="str">
        <f>IF($X290="","",INDEX(Import_Staging!$M$2:$M$301,$X290))</f>
        <v/>
      </c>
      <c r="C290" s="24" t="str">
        <f>IF($X290="","",INDEX(Import_Staging!$C$2:$C$301,$X290)&amp;"")</f>
        <v/>
      </c>
      <c r="D290" s="24" t="str">
        <f>IF($X290="","",INDEX(Import_Staging!$D$2:$D$301,$X290)&amp;"")</f>
        <v/>
      </c>
      <c r="E290" s="69" t="str">
        <f>IF($X290="","",INDEX(Import_Staging!$O$2:$O$301,$X290))</f>
        <v/>
      </c>
      <c r="F290" s="24" t="str">
        <f>IF($X290="","",INDEX(Import_Staging!$F$2:$F$301,$X290)&amp;"")</f>
        <v/>
      </c>
      <c r="G290" s="24" t="str">
        <f>IF($X290="","",INDEX(Import_Staging!$J$2:$J$301,$X290)&amp;"")</f>
        <v/>
      </c>
      <c r="H290" s="24" t="str">
        <f>IF($X290="","",INDEX(Import_Staging!$K$2:$K$301,$X290)&amp;"")</f>
        <v/>
      </c>
      <c r="I290" s="24" t="str">
        <f>IF($X290="","",INDEX(Import_Staging!$L$2:$L$301,$X290)&amp;"")</f>
        <v/>
      </c>
      <c r="J290" s="24" t="str">
        <f>IF($X290="","","3PL import")</f>
        <v/>
      </c>
      <c r="K290" s="24" t="str">
        <f>IF($X290="","",Config!$B$11)</f>
        <v/>
      </c>
      <c r="L290" s="24" t="str">
        <f>IF($X290="","","CSV row "&amp;($X290+1))</f>
        <v/>
      </c>
      <c r="N290" s="24" t="str">
        <f>IF($Y290="","",INDEX(Import_Staging!$F$2:$F$301,$Y290)&amp;"")</f>
        <v/>
      </c>
      <c r="O290" s="24" t="str">
        <f>IF($Y290="","",INDEX(Import_Staging!$D$2:$D$301,$Y290)&amp;"")</f>
        <v/>
      </c>
      <c r="P290" s="24" t="str">
        <f>IF($Y290="","",INDEX(Import_Staging!$E$2:$E$301,$Y290)&amp;"")</f>
        <v/>
      </c>
      <c r="Q290" s="27" t="n"/>
      <c r="R290" s="27" t="str">
        <f>IF($Y290="","",INDEX(Import_Staging!$N$2:$N$301,$Y290))</f>
        <v/>
      </c>
      <c r="S290" s="70" t="str">
        <f>IF($Y290="","",0)</f>
        <v/>
      </c>
      <c r="T290" s="24" t="str">
        <f>IF($Y290="","",INDEX(Import_Staging!$I$2:$I$301,$Y290)&amp;"")</f>
        <v/>
      </c>
      <c r="U290" s="24" t="n"/>
      <c r="V290" s="24" t="str">
        <f>IF($Y290="","","Received "&amp;TEXT(INDEX(Import_Staging!$M$2:$M$301,$Y290),"yyyy-mm-dd")&amp;" (CSV row "&amp;($Y290+1)&amp;")")</f>
        <v/>
      </c>
      <c r="X290" t="str">
        <f>IFERROR(MATCH(285,Import_Staging!$BT$2:$BT$301,0),"")</f>
        <v/>
      </c>
      <c r="Y290" t="str">
        <f>IFERROR(MATCH(285,Import_Staging!$BV$2:$BV$301,0),"")</f>
        <v/>
      </c>
    </row>
    <row r="291">
      <c r="A291" s="24" t="str">
        <f>IF($X291="","",INDEX(Import_Staging!$A$2:$A$301,$X291)&amp;"")</f>
        <v/>
      </c>
      <c r="B291" s="27" t="str">
        <f>IF($X291="","",INDEX(Import_Staging!$M$2:$M$301,$X291))</f>
        <v/>
      </c>
      <c r="C291" s="24" t="str">
        <f>IF($X291="","",INDEX(Import_Staging!$C$2:$C$301,$X291)&amp;"")</f>
        <v/>
      </c>
      <c r="D291" s="24" t="str">
        <f>IF($X291="","",INDEX(Import_Staging!$D$2:$D$301,$X291)&amp;"")</f>
        <v/>
      </c>
      <c r="E291" s="69" t="str">
        <f>IF($X291="","",INDEX(Import_Staging!$O$2:$O$301,$X291))</f>
        <v/>
      </c>
      <c r="F291" s="24" t="str">
        <f>IF($X291="","",INDEX(Import_Staging!$F$2:$F$301,$X291)&amp;"")</f>
        <v/>
      </c>
      <c r="G291" s="24" t="str">
        <f>IF($X291="","",INDEX(Import_Staging!$J$2:$J$301,$X291)&amp;"")</f>
        <v/>
      </c>
      <c r="H291" s="24" t="str">
        <f>IF($X291="","",INDEX(Import_Staging!$K$2:$K$301,$X291)&amp;"")</f>
        <v/>
      </c>
      <c r="I291" s="24" t="str">
        <f>IF($X291="","",INDEX(Import_Staging!$L$2:$L$301,$X291)&amp;"")</f>
        <v/>
      </c>
      <c r="J291" s="24" t="str">
        <f>IF($X291="","","3PL import")</f>
        <v/>
      </c>
      <c r="K291" s="24" t="str">
        <f>IF($X291="","",Config!$B$11)</f>
        <v/>
      </c>
      <c r="L291" s="24" t="str">
        <f>IF($X291="","","CSV row "&amp;($X291+1))</f>
        <v/>
      </c>
      <c r="N291" s="24" t="str">
        <f>IF($Y291="","",INDEX(Import_Staging!$F$2:$F$301,$Y291)&amp;"")</f>
        <v/>
      </c>
      <c r="O291" s="24" t="str">
        <f>IF($Y291="","",INDEX(Import_Staging!$D$2:$D$301,$Y291)&amp;"")</f>
        <v/>
      </c>
      <c r="P291" s="24" t="str">
        <f>IF($Y291="","",INDEX(Import_Staging!$E$2:$E$301,$Y291)&amp;"")</f>
        <v/>
      </c>
      <c r="Q291" s="27" t="n"/>
      <c r="R291" s="27" t="str">
        <f>IF($Y291="","",INDEX(Import_Staging!$N$2:$N$301,$Y291))</f>
        <v/>
      </c>
      <c r="S291" s="70" t="str">
        <f>IF($Y291="","",0)</f>
        <v/>
      </c>
      <c r="T291" s="24" t="str">
        <f>IF($Y291="","",INDEX(Import_Staging!$I$2:$I$301,$Y291)&amp;"")</f>
        <v/>
      </c>
      <c r="U291" s="24" t="n"/>
      <c r="V291" s="24" t="str">
        <f>IF($Y291="","","Received "&amp;TEXT(INDEX(Import_Staging!$M$2:$M$301,$Y291),"yyyy-mm-dd")&amp;" (CSV row "&amp;($Y291+1)&amp;")")</f>
        <v/>
      </c>
      <c r="X291" t="str">
        <f>IFERROR(MATCH(286,Import_Staging!$BT$2:$BT$301,0),"")</f>
        <v/>
      </c>
      <c r="Y291" t="str">
        <f>IFERROR(MATCH(286,Import_Staging!$BV$2:$BV$301,0),"")</f>
        <v/>
      </c>
    </row>
    <row r="292">
      <c r="A292" s="24" t="str">
        <f>IF($X292="","",INDEX(Import_Staging!$A$2:$A$301,$X292)&amp;"")</f>
        <v/>
      </c>
      <c r="B292" s="27" t="str">
        <f>IF($X292="","",INDEX(Import_Staging!$M$2:$M$301,$X292))</f>
        <v/>
      </c>
      <c r="C292" s="24" t="str">
        <f>IF($X292="","",INDEX(Import_Staging!$C$2:$C$301,$X292)&amp;"")</f>
        <v/>
      </c>
      <c r="D292" s="24" t="str">
        <f>IF($X292="","",INDEX(Import_Staging!$D$2:$D$301,$X292)&amp;"")</f>
        <v/>
      </c>
      <c r="E292" s="69" t="str">
        <f>IF($X292="","",INDEX(Import_Staging!$O$2:$O$301,$X292))</f>
        <v/>
      </c>
      <c r="F292" s="24" t="str">
        <f>IF($X292="","",INDEX(Import_Staging!$F$2:$F$301,$X292)&amp;"")</f>
        <v/>
      </c>
      <c r="G292" s="24" t="str">
        <f>IF($X292="","",INDEX(Import_Staging!$J$2:$J$301,$X292)&amp;"")</f>
        <v/>
      </c>
      <c r="H292" s="24" t="str">
        <f>IF($X292="","",INDEX(Import_Staging!$K$2:$K$301,$X292)&amp;"")</f>
        <v/>
      </c>
      <c r="I292" s="24" t="str">
        <f>IF($X292="","",INDEX(Import_Staging!$L$2:$L$301,$X292)&amp;"")</f>
        <v/>
      </c>
      <c r="J292" s="24" t="str">
        <f>IF($X292="","","3PL import")</f>
        <v/>
      </c>
      <c r="K292" s="24" t="str">
        <f>IF($X292="","",Config!$B$11)</f>
        <v/>
      </c>
      <c r="L292" s="24" t="str">
        <f>IF($X292="","","CSV row "&amp;($X292+1))</f>
        <v/>
      </c>
      <c r="N292" s="24" t="str">
        <f>IF($Y292="","",INDEX(Import_Staging!$F$2:$F$301,$Y292)&amp;"")</f>
        <v/>
      </c>
      <c r="O292" s="24" t="str">
        <f>IF($Y292="","",INDEX(Import_Staging!$D$2:$D$301,$Y292)&amp;"")</f>
        <v/>
      </c>
      <c r="P292" s="24" t="str">
        <f>IF($Y292="","",INDEX(Import_Staging!$E$2:$E$301,$Y292)&amp;"")</f>
        <v/>
      </c>
      <c r="Q292" s="27" t="n"/>
      <c r="R292" s="27" t="str">
        <f>IF($Y292="","",INDEX(Import_Staging!$N$2:$N$301,$Y292))</f>
        <v/>
      </c>
      <c r="S292" s="70" t="str">
        <f>IF($Y292="","",0)</f>
        <v/>
      </c>
      <c r="T292" s="24" t="str">
        <f>IF($Y292="","",INDEX(Import_Staging!$I$2:$I$301,$Y292)&amp;"")</f>
        <v/>
      </c>
      <c r="U292" s="24" t="n"/>
      <c r="V292" s="24" t="str">
        <f>IF($Y292="","","Received "&amp;TEXT(INDEX(Import_Staging!$M$2:$M$301,$Y292),"yyyy-mm-dd")&amp;" (CSV row "&amp;($Y292+1)&amp;")")</f>
        <v/>
      </c>
      <c r="X292" t="str">
        <f>IFERROR(MATCH(287,Import_Staging!$BT$2:$BT$301,0),"")</f>
        <v/>
      </c>
      <c r="Y292" t="str">
        <f>IFERROR(MATCH(287,Import_Staging!$BV$2:$BV$301,0),"")</f>
        <v/>
      </c>
    </row>
    <row r="293">
      <c r="A293" s="24" t="str">
        <f>IF($X293="","",INDEX(Import_Staging!$A$2:$A$301,$X293)&amp;"")</f>
        <v/>
      </c>
      <c r="B293" s="27" t="str">
        <f>IF($X293="","",INDEX(Import_Staging!$M$2:$M$301,$X293))</f>
        <v/>
      </c>
      <c r="C293" s="24" t="str">
        <f>IF($X293="","",INDEX(Import_Staging!$C$2:$C$301,$X293)&amp;"")</f>
        <v/>
      </c>
      <c r="D293" s="24" t="str">
        <f>IF($X293="","",INDEX(Import_Staging!$D$2:$D$301,$X293)&amp;"")</f>
        <v/>
      </c>
      <c r="E293" s="69" t="str">
        <f>IF($X293="","",INDEX(Import_Staging!$O$2:$O$301,$X293))</f>
        <v/>
      </c>
      <c r="F293" s="24" t="str">
        <f>IF($X293="","",INDEX(Import_Staging!$F$2:$F$301,$X293)&amp;"")</f>
        <v/>
      </c>
      <c r="G293" s="24" t="str">
        <f>IF($X293="","",INDEX(Import_Staging!$J$2:$J$301,$X293)&amp;"")</f>
        <v/>
      </c>
      <c r="H293" s="24" t="str">
        <f>IF($X293="","",INDEX(Import_Staging!$K$2:$K$301,$X293)&amp;"")</f>
        <v/>
      </c>
      <c r="I293" s="24" t="str">
        <f>IF($X293="","",INDEX(Import_Staging!$L$2:$L$301,$X293)&amp;"")</f>
        <v/>
      </c>
      <c r="J293" s="24" t="str">
        <f>IF($X293="","","3PL import")</f>
        <v/>
      </c>
      <c r="K293" s="24" t="str">
        <f>IF($X293="","",Config!$B$11)</f>
        <v/>
      </c>
      <c r="L293" s="24" t="str">
        <f>IF($X293="","","CSV row "&amp;($X293+1))</f>
        <v/>
      </c>
      <c r="N293" s="24" t="str">
        <f>IF($Y293="","",INDEX(Import_Staging!$F$2:$F$301,$Y293)&amp;"")</f>
        <v/>
      </c>
      <c r="O293" s="24" t="str">
        <f>IF($Y293="","",INDEX(Import_Staging!$D$2:$D$301,$Y293)&amp;"")</f>
        <v/>
      </c>
      <c r="P293" s="24" t="str">
        <f>IF($Y293="","",INDEX(Import_Staging!$E$2:$E$301,$Y293)&amp;"")</f>
        <v/>
      </c>
      <c r="Q293" s="27" t="n"/>
      <c r="R293" s="27" t="str">
        <f>IF($Y293="","",INDEX(Import_Staging!$N$2:$N$301,$Y293))</f>
        <v/>
      </c>
      <c r="S293" s="70" t="str">
        <f>IF($Y293="","",0)</f>
        <v/>
      </c>
      <c r="T293" s="24" t="str">
        <f>IF($Y293="","",INDEX(Import_Staging!$I$2:$I$301,$Y293)&amp;"")</f>
        <v/>
      </c>
      <c r="U293" s="24" t="n"/>
      <c r="V293" s="24" t="str">
        <f>IF($Y293="","","Received "&amp;TEXT(INDEX(Import_Staging!$M$2:$M$301,$Y293),"yyyy-mm-dd")&amp;" (CSV row "&amp;($Y293+1)&amp;")")</f>
        <v/>
      </c>
      <c r="X293" t="str">
        <f>IFERROR(MATCH(288,Import_Staging!$BT$2:$BT$301,0),"")</f>
        <v/>
      </c>
      <c r="Y293" t="str">
        <f>IFERROR(MATCH(288,Import_Staging!$BV$2:$BV$301,0),"")</f>
        <v/>
      </c>
    </row>
    <row r="294">
      <c r="A294" s="24" t="str">
        <f>IF($X294="","",INDEX(Import_Staging!$A$2:$A$301,$X294)&amp;"")</f>
        <v/>
      </c>
      <c r="B294" s="27" t="str">
        <f>IF($X294="","",INDEX(Import_Staging!$M$2:$M$301,$X294))</f>
        <v/>
      </c>
      <c r="C294" s="24" t="str">
        <f>IF($X294="","",INDEX(Import_Staging!$C$2:$C$301,$X294)&amp;"")</f>
        <v/>
      </c>
      <c r="D294" s="24" t="str">
        <f>IF($X294="","",INDEX(Import_Staging!$D$2:$D$301,$X294)&amp;"")</f>
        <v/>
      </c>
      <c r="E294" s="69" t="str">
        <f>IF($X294="","",INDEX(Import_Staging!$O$2:$O$301,$X294))</f>
        <v/>
      </c>
      <c r="F294" s="24" t="str">
        <f>IF($X294="","",INDEX(Import_Staging!$F$2:$F$301,$X294)&amp;"")</f>
        <v/>
      </c>
      <c r="G294" s="24" t="str">
        <f>IF($X294="","",INDEX(Import_Staging!$J$2:$J$301,$X294)&amp;"")</f>
        <v/>
      </c>
      <c r="H294" s="24" t="str">
        <f>IF($X294="","",INDEX(Import_Staging!$K$2:$K$301,$X294)&amp;"")</f>
        <v/>
      </c>
      <c r="I294" s="24" t="str">
        <f>IF($X294="","",INDEX(Import_Staging!$L$2:$L$301,$X294)&amp;"")</f>
        <v/>
      </c>
      <c r="J294" s="24" t="str">
        <f>IF($X294="","","3PL import")</f>
        <v/>
      </c>
      <c r="K294" s="24" t="str">
        <f>IF($X294="","",Config!$B$11)</f>
        <v/>
      </c>
      <c r="L294" s="24" t="str">
        <f>IF($X294="","","CSV row "&amp;($X294+1))</f>
        <v/>
      </c>
      <c r="N294" s="24" t="str">
        <f>IF($Y294="","",INDEX(Import_Staging!$F$2:$F$301,$Y294)&amp;"")</f>
        <v/>
      </c>
      <c r="O294" s="24" t="str">
        <f>IF($Y294="","",INDEX(Import_Staging!$D$2:$D$301,$Y294)&amp;"")</f>
        <v/>
      </c>
      <c r="P294" s="24" t="str">
        <f>IF($Y294="","",INDEX(Import_Staging!$E$2:$E$301,$Y294)&amp;"")</f>
        <v/>
      </c>
      <c r="Q294" s="27" t="n"/>
      <c r="R294" s="27" t="str">
        <f>IF($Y294="","",INDEX(Import_Staging!$N$2:$N$301,$Y294))</f>
        <v/>
      </c>
      <c r="S294" s="70" t="str">
        <f>IF($Y294="","",0)</f>
        <v/>
      </c>
      <c r="T294" s="24" t="str">
        <f>IF($Y294="","",INDEX(Import_Staging!$I$2:$I$301,$Y294)&amp;"")</f>
        <v/>
      </c>
      <c r="U294" s="24" t="n"/>
      <c r="V294" s="24" t="str">
        <f>IF($Y294="","","Received "&amp;TEXT(INDEX(Import_Staging!$M$2:$M$301,$Y294),"yyyy-mm-dd")&amp;" (CSV row "&amp;($Y294+1)&amp;")")</f>
        <v/>
      </c>
      <c r="X294" t="str">
        <f>IFERROR(MATCH(289,Import_Staging!$BT$2:$BT$301,0),"")</f>
        <v/>
      </c>
      <c r="Y294" t="str">
        <f>IFERROR(MATCH(289,Import_Staging!$BV$2:$BV$301,0),"")</f>
        <v/>
      </c>
    </row>
    <row r="295">
      <c r="A295" s="24" t="str">
        <f>IF($X295="","",INDEX(Import_Staging!$A$2:$A$301,$X295)&amp;"")</f>
        <v/>
      </c>
      <c r="B295" s="27" t="str">
        <f>IF($X295="","",INDEX(Import_Staging!$M$2:$M$301,$X295))</f>
        <v/>
      </c>
      <c r="C295" s="24" t="str">
        <f>IF($X295="","",INDEX(Import_Staging!$C$2:$C$301,$X295)&amp;"")</f>
        <v/>
      </c>
      <c r="D295" s="24" t="str">
        <f>IF($X295="","",INDEX(Import_Staging!$D$2:$D$301,$X295)&amp;"")</f>
        <v/>
      </c>
      <c r="E295" s="69" t="str">
        <f>IF($X295="","",INDEX(Import_Staging!$O$2:$O$301,$X295))</f>
        <v/>
      </c>
      <c r="F295" s="24" t="str">
        <f>IF($X295="","",INDEX(Import_Staging!$F$2:$F$301,$X295)&amp;"")</f>
        <v/>
      </c>
      <c r="G295" s="24" t="str">
        <f>IF($X295="","",INDEX(Import_Staging!$J$2:$J$301,$X295)&amp;"")</f>
        <v/>
      </c>
      <c r="H295" s="24" t="str">
        <f>IF($X295="","",INDEX(Import_Staging!$K$2:$K$301,$X295)&amp;"")</f>
        <v/>
      </c>
      <c r="I295" s="24" t="str">
        <f>IF($X295="","",INDEX(Import_Staging!$L$2:$L$301,$X295)&amp;"")</f>
        <v/>
      </c>
      <c r="J295" s="24" t="str">
        <f>IF($X295="","","3PL import")</f>
        <v/>
      </c>
      <c r="K295" s="24" t="str">
        <f>IF($X295="","",Config!$B$11)</f>
        <v/>
      </c>
      <c r="L295" s="24" t="str">
        <f>IF($X295="","","CSV row "&amp;($X295+1))</f>
        <v/>
      </c>
      <c r="N295" s="24" t="str">
        <f>IF($Y295="","",INDEX(Import_Staging!$F$2:$F$301,$Y295)&amp;"")</f>
        <v/>
      </c>
      <c r="O295" s="24" t="str">
        <f>IF($Y295="","",INDEX(Import_Staging!$D$2:$D$301,$Y295)&amp;"")</f>
        <v/>
      </c>
      <c r="P295" s="24" t="str">
        <f>IF($Y295="","",INDEX(Import_Staging!$E$2:$E$301,$Y295)&amp;"")</f>
        <v/>
      </c>
      <c r="Q295" s="27" t="n"/>
      <c r="R295" s="27" t="str">
        <f>IF($Y295="","",INDEX(Import_Staging!$N$2:$N$301,$Y295))</f>
        <v/>
      </c>
      <c r="S295" s="70" t="str">
        <f>IF($Y295="","",0)</f>
        <v/>
      </c>
      <c r="T295" s="24" t="str">
        <f>IF($Y295="","",INDEX(Import_Staging!$I$2:$I$301,$Y295)&amp;"")</f>
        <v/>
      </c>
      <c r="U295" s="24" t="n"/>
      <c r="V295" s="24" t="str">
        <f>IF($Y295="","","Received "&amp;TEXT(INDEX(Import_Staging!$M$2:$M$301,$Y295),"yyyy-mm-dd")&amp;" (CSV row "&amp;($Y295+1)&amp;")")</f>
        <v/>
      </c>
      <c r="X295" t="str">
        <f>IFERROR(MATCH(290,Import_Staging!$BT$2:$BT$301,0),"")</f>
        <v/>
      </c>
      <c r="Y295" t="str">
        <f>IFERROR(MATCH(290,Import_Staging!$BV$2:$BV$301,0),"")</f>
        <v/>
      </c>
    </row>
    <row r="296">
      <c r="A296" s="24" t="str">
        <f>IF($X296="","",INDEX(Import_Staging!$A$2:$A$301,$X296)&amp;"")</f>
        <v/>
      </c>
      <c r="B296" s="27" t="str">
        <f>IF($X296="","",INDEX(Import_Staging!$M$2:$M$301,$X296))</f>
        <v/>
      </c>
      <c r="C296" s="24" t="str">
        <f>IF($X296="","",INDEX(Import_Staging!$C$2:$C$301,$X296)&amp;"")</f>
        <v/>
      </c>
      <c r="D296" s="24" t="str">
        <f>IF($X296="","",INDEX(Import_Staging!$D$2:$D$301,$X296)&amp;"")</f>
        <v/>
      </c>
      <c r="E296" s="69" t="str">
        <f>IF($X296="","",INDEX(Import_Staging!$O$2:$O$301,$X296))</f>
        <v/>
      </c>
      <c r="F296" s="24" t="str">
        <f>IF($X296="","",INDEX(Import_Staging!$F$2:$F$301,$X296)&amp;"")</f>
        <v/>
      </c>
      <c r="G296" s="24" t="str">
        <f>IF($X296="","",INDEX(Import_Staging!$J$2:$J$301,$X296)&amp;"")</f>
        <v/>
      </c>
      <c r="H296" s="24" t="str">
        <f>IF($X296="","",INDEX(Import_Staging!$K$2:$K$301,$X296)&amp;"")</f>
        <v/>
      </c>
      <c r="I296" s="24" t="str">
        <f>IF($X296="","",INDEX(Import_Staging!$L$2:$L$301,$X296)&amp;"")</f>
        <v/>
      </c>
      <c r="J296" s="24" t="str">
        <f>IF($X296="","","3PL import")</f>
        <v/>
      </c>
      <c r="K296" s="24" t="str">
        <f>IF($X296="","",Config!$B$11)</f>
        <v/>
      </c>
      <c r="L296" s="24" t="str">
        <f>IF($X296="","","CSV row "&amp;($X296+1))</f>
        <v/>
      </c>
      <c r="N296" s="24" t="str">
        <f>IF($Y296="","",INDEX(Import_Staging!$F$2:$F$301,$Y296)&amp;"")</f>
        <v/>
      </c>
      <c r="O296" s="24" t="str">
        <f>IF($Y296="","",INDEX(Import_Staging!$D$2:$D$301,$Y296)&amp;"")</f>
        <v/>
      </c>
      <c r="P296" s="24" t="str">
        <f>IF($Y296="","",INDEX(Import_Staging!$E$2:$E$301,$Y296)&amp;"")</f>
        <v/>
      </c>
      <c r="Q296" s="27" t="n"/>
      <c r="R296" s="27" t="str">
        <f>IF($Y296="","",INDEX(Import_Staging!$N$2:$N$301,$Y296))</f>
        <v/>
      </c>
      <c r="S296" s="70" t="str">
        <f>IF($Y296="","",0)</f>
        <v/>
      </c>
      <c r="T296" s="24" t="str">
        <f>IF($Y296="","",INDEX(Import_Staging!$I$2:$I$301,$Y296)&amp;"")</f>
        <v/>
      </c>
      <c r="U296" s="24" t="n"/>
      <c r="V296" s="24" t="str">
        <f>IF($Y296="","","Received "&amp;TEXT(INDEX(Import_Staging!$M$2:$M$301,$Y296),"yyyy-mm-dd")&amp;" (CSV row "&amp;($Y296+1)&amp;")")</f>
        <v/>
      </c>
      <c r="X296" t="str">
        <f>IFERROR(MATCH(291,Import_Staging!$BT$2:$BT$301,0),"")</f>
        <v/>
      </c>
      <c r="Y296" t="str">
        <f>IFERROR(MATCH(291,Import_Staging!$BV$2:$BV$301,0),"")</f>
        <v/>
      </c>
    </row>
    <row r="297">
      <c r="A297" s="24" t="str">
        <f>IF($X297="","",INDEX(Import_Staging!$A$2:$A$301,$X297)&amp;"")</f>
        <v/>
      </c>
      <c r="B297" s="27" t="str">
        <f>IF($X297="","",INDEX(Import_Staging!$M$2:$M$301,$X297))</f>
        <v/>
      </c>
      <c r="C297" s="24" t="str">
        <f>IF($X297="","",INDEX(Import_Staging!$C$2:$C$301,$X297)&amp;"")</f>
        <v/>
      </c>
      <c r="D297" s="24" t="str">
        <f>IF($X297="","",INDEX(Import_Staging!$D$2:$D$301,$X297)&amp;"")</f>
        <v/>
      </c>
      <c r="E297" s="69" t="str">
        <f>IF($X297="","",INDEX(Import_Staging!$O$2:$O$301,$X297))</f>
        <v/>
      </c>
      <c r="F297" s="24" t="str">
        <f>IF($X297="","",INDEX(Import_Staging!$F$2:$F$301,$X297)&amp;"")</f>
        <v/>
      </c>
      <c r="G297" s="24" t="str">
        <f>IF($X297="","",INDEX(Import_Staging!$J$2:$J$301,$X297)&amp;"")</f>
        <v/>
      </c>
      <c r="H297" s="24" t="str">
        <f>IF($X297="","",INDEX(Import_Staging!$K$2:$K$301,$X297)&amp;"")</f>
        <v/>
      </c>
      <c r="I297" s="24" t="str">
        <f>IF($X297="","",INDEX(Import_Staging!$L$2:$L$301,$X297)&amp;"")</f>
        <v/>
      </c>
      <c r="J297" s="24" t="str">
        <f>IF($X297="","","3PL import")</f>
        <v/>
      </c>
      <c r="K297" s="24" t="str">
        <f>IF($X297="","",Config!$B$11)</f>
        <v/>
      </c>
      <c r="L297" s="24" t="str">
        <f>IF($X297="","","CSV row "&amp;($X297+1))</f>
        <v/>
      </c>
      <c r="N297" s="24" t="str">
        <f>IF($Y297="","",INDEX(Import_Staging!$F$2:$F$301,$Y297)&amp;"")</f>
        <v/>
      </c>
      <c r="O297" s="24" t="str">
        <f>IF($Y297="","",INDEX(Import_Staging!$D$2:$D$301,$Y297)&amp;"")</f>
        <v/>
      </c>
      <c r="P297" s="24" t="str">
        <f>IF($Y297="","",INDEX(Import_Staging!$E$2:$E$301,$Y297)&amp;"")</f>
        <v/>
      </c>
      <c r="Q297" s="27" t="n"/>
      <c r="R297" s="27" t="str">
        <f>IF($Y297="","",INDEX(Import_Staging!$N$2:$N$301,$Y297))</f>
        <v/>
      </c>
      <c r="S297" s="70" t="str">
        <f>IF($Y297="","",0)</f>
        <v/>
      </c>
      <c r="T297" s="24" t="str">
        <f>IF($Y297="","",INDEX(Import_Staging!$I$2:$I$301,$Y297)&amp;"")</f>
        <v/>
      </c>
      <c r="U297" s="24" t="n"/>
      <c r="V297" s="24" t="str">
        <f>IF($Y297="","","Received "&amp;TEXT(INDEX(Import_Staging!$M$2:$M$301,$Y297),"yyyy-mm-dd")&amp;" (CSV row "&amp;($Y297+1)&amp;")")</f>
        <v/>
      </c>
      <c r="X297" t="str">
        <f>IFERROR(MATCH(292,Import_Staging!$BT$2:$BT$301,0),"")</f>
        <v/>
      </c>
      <c r="Y297" t="str">
        <f>IFERROR(MATCH(292,Import_Staging!$BV$2:$BV$301,0),"")</f>
        <v/>
      </c>
    </row>
    <row r="298">
      <c r="A298" s="24" t="str">
        <f>IF($X298="","",INDEX(Import_Staging!$A$2:$A$301,$X298)&amp;"")</f>
        <v/>
      </c>
      <c r="B298" s="27" t="str">
        <f>IF($X298="","",INDEX(Import_Staging!$M$2:$M$301,$X298))</f>
        <v/>
      </c>
      <c r="C298" s="24" t="str">
        <f>IF($X298="","",INDEX(Import_Staging!$C$2:$C$301,$X298)&amp;"")</f>
        <v/>
      </c>
      <c r="D298" s="24" t="str">
        <f>IF($X298="","",INDEX(Import_Staging!$D$2:$D$301,$X298)&amp;"")</f>
        <v/>
      </c>
      <c r="E298" s="69" t="str">
        <f>IF($X298="","",INDEX(Import_Staging!$O$2:$O$301,$X298))</f>
        <v/>
      </c>
      <c r="F298" s="24" t="str">
        <f>IF($X298="","",INDEX(Import_Staging!$F$2:$F$301,$X298)&amp;"")</f>
        <v/>
      </c>
      <c r="G298" s="24" t="str">
        <f>IF($X298="","",INDEX(Import_Staging!$J$2:$J$301,$X298)&amp;"")</f>
        <v/>
      </c>
      <c r="H298" s="24" t="str">
        <f>IF($X298="","",INDEX(Import_Staging!$K$2:$K$301,$X298)&amp;"")</f>
        <v/>
      </c>
      <c r="I298" s="24" t="str">
        <f>IF($X298="","",INDEX(Import_Staging!$L$2:$L$301,$X298)&amp;"")</f>
        <v/>
      </c>
      <c r="J298" s="24" t="str">
        <f>IF($X298="","","3PL import")</f>
        <v/>
      </c>
      <c r="K298" s="24" t="str">
        <f>IF($X298="","",Config!$B$11)</f>
        <v/>
      </c>
      <c r="L298" s="24" t="str">
        <f>IF($X298="","","CSV row "&amp;($X298+1))</f>
        <v/>
      </c>
      <c r="N298" s="24" t="str">
        <f>IF($Y298="","",INDEX(Import_Staging!$F$2:$F$301,$Y298)&amp;"")</f>
        <v/>
      </c>
      <c r="O298" s="24" t="str">
        <f>IF($Y298="","",INDEX(Import_Staging!$D$2:$D$301,$Y298)&amp;"")</f>
        <v/>
      </c>
      <c r="P298" s="24" t="str">
        <f>IF($Y298="","",INDEX(Import_Staging!$E$2:$E$301,$Y298)&amp;"")</f>
        <v/>
      </c>
      <c r="Q298" s="27" t="n"/>
      <c r="R298" s="27" t="str">
        <f>IF($Y298="","",INDEX(Import_Staging!$N$2:$N$301,$Y298))</f>
        <v/>
      </c>
      <c r="S298" s="70" t="str">
        <f>IF($Y298="","",0)</f>
        <v/>
      </c>
      <c r="T298" s="24" t="str">
        <f>IF($Y298="","",INDEX(Import_Staging!$I$2:$I$301,$Y298)&amp;"")</f>
        <v/>
      </c>
      <c r="U298" s="24" t="n"/>
      <c r="V298" s="24" t="str">
        <f>IF($Y298="","","Received "&amp;TEXT(INDEX(Import_Staging!$M$2:$M$301,$Y298),"yyyy-mm-dd")&amp;" (CSV row "&amp;($Y298+1)&amp;")")</f>
        <v/>
      </c>
      <c r="X298" t="str">
        <f>IFERROR(MATCH(293,Import_Staging!$BT$2:$BT$301,0),"")</f>
        <v/>
      </c>
      <c r="Y298" t="str">
        <f>IFERROR(MATCH(293,Import_Staging!$BV$2:$BV$301,0),"")</f>
        <v/>
      </c>
    </row>
    <row r="299">
      <c r="A299" s="24" t="str">
        <f>IF($X299="","",INDEX(Import_Staging!$A$2:$A$301,$X299)&amp;"")</f>
        <v/>
      </c>
      <c r="B299" s="27" t="str">
        <f>IF($X299="","",INDEX(Import_Staging!$M$2:$M$301,$X299))</f>
        <v/>
      </c>
      <c r="C299" s="24" t="str">
        <f>IF($X299="","",INDEX(Import_Staging!$C$2:$C$301,$X299)&amp;"")</f>
        <v/>
      </c>
      <c r="D299" s="24" t="str">
        <f>IF($X299="","",INDEX(Import_Staging!$D$2:$D$301,$X299)&amp;"")</f>
        <v/>
      </c>
      <c r="E299" s="69" t="str">
        <f>IF($X299="","",INDEX(Import_Staging!$O$2:$O$301,$X299))</f>
        <v/>
      </c>
      <c r="F299" s="24" t="str">
        <f>IF($X299="","",INDEX(Import_Staging!$F$2:$F$301,$X299)&amp;"")</f>
        <v/>
      </c>
      <c r="G299" s="24" t="str">
        <f>IF($X299="","",INDEX(Import_Staging!$J$2:$J$301,$X299)&amp;"")</f>
        <v/>
      </c>
      <c r="H299" s="24" t="str">
        <f>IF($X299="","",INDEX(Import_Staging!$K$2:$K$301,$X299)&amp;"")</f>
        <v/>
      </c>
      <c r="I299" s="24" t="str">
        <f>IF($X299="","",INDEX(Import_Staging!$L$2:$L$301,$X299)&amp;"")</f>
        <v/>
      </c>
      <c r="J299" s="24" t="str">
        <f>IF($X299="","","3PL import")</f>
        <v/>
      </c>
      <c r="K299" s="24" t="str">
        <f>IF($X299="","",Config!$B$11)</f>
        <v/>
      </c>
      <c r="L299" s="24" t="str">
        <f>IF($X299="","","CSV row "&amp;($X299+1))</f>
        <v/>
      </c>
      <c r="N299" s="24" t="str">
        <f>IF($Y299="","",INDEX(Import_Staging!$F$2:$F$301,$Y299)&amp;"")</f>
        <v/>
      </c>
      <c r="O299" s="24" t="str">
        <f>IF($Y299="","",INDEX(Import_Staging!$D$2:$D$301,$Y299)&amp;"")</f>
        <v/>
      </c>
      <c r="P299" s="24" t="str">
        <f>IF($Y299="","",INDEX(Import_Staging!$E$2:$E$301,$Y299)&amp;"")</f>
        <v/>
      </c>
      <c r="Q299" s="27" t="n"/>
      <c r="R299" s="27" t="str">
        <f>IF($Y299="","",INDEX(Import_Staging!$N$2:$N$301,$Y299))</f>
        <v/>
      </c>
      <c r="S299" s="70" t="str">
        <f>IF($Y299="","",0)</f>
        <v/>
      </c>
      <c r="T299" s="24" t="str">
        <f>IF($Y299="","",INDEX(Import_Staging!$I$2:$I$301,$Y299)&amp;"")</f>
        <v/>
      </c>
      <c r="U299" s="24" t="n"/>
      <c r="V299" s="24" t="str">
        <f>IF($Y299="","","Received "&amp;TEXT(INDEX(Import_Staging!$M$2:$M$301,$Y299),"yyyy-mm-dd")&amp;" (CSV row "&amp;($Y299+1)&amp;")")</f>
        <v/>
      </c>
      <c r="X299" t="str">
        <f>IFERROR(MATCH(294,Import_Staging!$BT$2:$BT$301,0),"")</f>
        <v/>
      </c>
      <c r="Y299" t="str">
        <f>IFERROR(MATCH(294,Import_Staging!$BV$2:$BV$301,0),"")</f>
        <v/>
      </c>
    </row>
    <row r="300">
      <c r="A300" s="24" t="str">
        <f>IF($X300="","",INDEX(Import_Staging!$A$2:$A$301,$X300)&amp;"")</f>
        <v/>
      </c>
      <c r="B300" s="27" t="str">
        <f>IF($X300="","",INDEX(Import_Staging!$M$2:$M$301,$X300))</f>
        <v/>
      </c>
      <c r="C300" s="24" t="str">
        <f>IF($X300="","",INDEX(Import_Staging!$C$2:$C$301,$X300)&amp;"")</f>
        <v/>
      </c>
      <c r="D300" s="24" t="str">
        <f>IF($X300="","",INDEX(Import_Staging!$D$2:$D$301,$X300)&amp;"")</f>
        <v/>
      </c>
      <c r="E300" s="69" t="str">
        <f>IF($X300="","",INDEX(Import_Staging!$O$2:$O$301,$X300))</f>
        <v/>
      </c>
      <c r="F300" s="24" t="str">
        <f>IF($X300="","",INDEX(Import_Staging!$F$2:$F$301,$X300)&amp;"")</f>
        <v/>
      </c>
      <c r="G300" s="24" t="str">
        <f>IF($X300="","",INDEX(Import_Staging!$J$2:$J$301,$X300)&amp;"")</f>
        <v/>
      </c>
      <c r="H300" s="24" t="str">
        <f>IF($X300="","",INDEX(Import_Staging!$K$2:$K$301,$X300)&amp;"")</f>
        <v/>
      </c>
      <c r="I300" s="24" t="str">
        <f>IF($X300="","",INDEX(Import_Staging!$L$2:$L$301,$X300)&amp;"")</f>
        <v/>
      </c>
      <c r="J300" s="24" t="str">
        <f>IF($X300="","","3PL import")</f>
        <v/>
      </c>
      <c r="K300" s="24" t="str">
        <f>IF($X300="","",Config!$B$11)</f>
        <v/>
      </c>
      <c r="L300" s="24" t="str">
        <f>IF($X300="","","CSV row "&amp;($X300+1))</f>
        <v/>
      </c>
      <c r="N300" s="24" t="str">
        <f>IF($Y300="","",INDEX(Import_Staging!$F$2:$F$301,$Y300)&amp;"")</f>
        <v/>
      </c>
      <c r="O300" s="24" t="str">
        <f>IF($Y300="","",INDEX(Import_Staging!$D$2:$D$301,$Y300)&amp;"")</f>
        <v/>
      </c>
      <c r="P300" s="24" t="str">
        <f>IF($Y300="","",INDEX(Import_Staging!$E$2:$E$301,$Y300)&amp;"")</f>
        <v/>
      </c>
      <c r="Q300" s="27" t="n"/>
      <c r="R300" s="27" t="str">
        <f>IF($Y300="","",INDEX(Import_Staging!$N$2:$N$301,$Y300))</f>
        <v/>
      </c>
      <c r="S300" s="70" t="str">
        <f>IF($Y300="","",0)</f>
        <v/>
      </c>
      <c r="T300" s="24" t="str">
        <f>IF($Y300="","",INDEX(Import_Staging!$I$2:$I$301,$Y300)&amp;"")</f>
        <v/>
      </c>
      <c r="U300" s="24" t="n"/>
      <c r="V300" s="24" t="str">
        <f>IF($Y300="","","Received "&amp;TEXT(INDEX(Import_Staging!$M$2:$M$301,$Y300),"yyyy-mm-dd")&amp;" (CSV row "&amp;($Y300+1)&amp;")")</f>
        <v/>
      </c>
      <c r="X300" t="str">
        <f>IFERROR(MATCH(295,Import_Staging!$BT$2:$BT$301,0),"")</f>
        <v/>
      </c>
      <c r="Y300" t="str">
        <f>IFERROR(MATCH(295,Import_Staging!$BV$2:$BV$301,0),"")</f>
        <v/>
      </c>
    </row>
    <row r="301">
      <c r="A301" s="24" t="str">
        <f>IF($X301="","",INDEX(Import_Staging!$A$2:$A$301,$X301)&amp;"")</f>
        <v/>
      </c>
      <c r="B301" s="27" t="str">
        <f>IF($X301="","",INDEX(Import_Staging!$M$2:$M$301,$X301))</f>
        <v/>
      </c>
      <c r="C301" s="24" t="str">
        <f>IF($X301="","",INDEX(Import_Staging!$C$2:$C$301,$X301)&amp;"")</f>
        <v/>
      </c>
      <c r="D301" s="24" t="str">
        <f>IF($X301="","",INDEX(Import_Staging!$D$2:$D$301,$X301)&amp;"")</f>
        <v/>
      </c>
      <c r="E301" s="69" t="str">
        <f>IF($X301="","",INDEX(Import_Staging!$O$2:$O$301,$X301))</f>
        <v/>
      </c>
      <c r="F301" s="24" t="str">
        <f>IF($X301="","",INDEX(Import_Staging!$F$2:$F$301,$X301)&amp;"")</f>
        <v/>
      </c>
      <c r="G301" s="24" t="str">
        <f>IF($X301="","",INDEX(Import_Staging!$J$2:$J$301,$X301)&amp;"")</f>
        <v/>
      </c>
      <c r="H301" s="24" t="str">
        <f>IF($X301="","",INDEX(Import_Staging!$K$2:$K$301,$X301)&amp;"")</f>
        <v/>
      </c>
      <c r="I301" s="24" t="str">
        <f>IF($X301="","",INDEX(Import_Staging!$L$2:$L$301,$X301)&amp;"")</f>
        <v/>
      </c>
      <c r="J301" s="24" t="str">
        <f>IF($X301="","","3PL import")</f>
        <v/>
      </c>
      <c r="K301" s="24" t="str">
        <f>IF($X301="","",Config!$B$11)</f>
        <v/>
      </c>
      <c r="L301" s="24" t="str">
        <f>IF($X301="","","CSV row "&amp;($X301+1))</f>
        <v/>
      </c>
      <c r="N301" s="24" t="str">
        <f>IF($Y301="","",INDEX(Import_Staging!$F$2:$F$301,$Y301)&amp;"")</f>
        <v/>
      </c>
      <c r="O301" s="24" t="str">
        <f>IF($Y301="","",INDEX(Import_Staging!$D$2:$D$301,$Y301)&amp;"")</f>
        <v/>
      </c>
      <c r="P301" s="24" t="str">
        <f>IF($Y301="","",INDEX(Import_Staging!$E$2:$E$301,$Y301)&amp;"")</f>
        <v/>
      </c>
      <c r="Q301" s="27" t="n"/>
      <c r="R301" s="27" t="str">
        <f>IF($Y301="","",INDEX(Import_Staging!$N$2:$N$301,$Y301))</f>
        <v/>
      </c>
      <c r="S301" s="70" t="str">
        <f>IF($Y301="","",0)</f>
        <v/>
      </c>
      <c r="T301" s="24" t="str">
        <f>IF($Y301="","",INDEX(Import_Staging!$I$2:$I$301,$Y301)&amp;"")</f>
        <v/>
      </c>
      <c r="U301" s="24" t="n"/>
      <c r="V301" s="24" t="str">
        <f>IF($Y301="","","Received "&amp;TEXT(INDEX(Import_Staging!$M$2:$M$301,$Y301),"yyyy-mm-dd")&amp;" (CSV row "&amp;($Y301+1)&amp;")")</f>
        <v/>
      </c>
      <c r="X301" t="str">
        <f>IFERROR(MATCH(296,Import_Staging!$BT$2:$BT$301,0),"")</f>
        <v/>
      </c>
      <c r="Y301" t="str">
        <f>IFERROR(MATCH(296,Import_Staging!$BV$2:$BV$301,0),"")</f>
        <v/>
      </c>
    </row>
    <row r="302">
      <c r="A302" s="24" t="str">
        <f>IF($X302="","",INDEX(Import_Staging!$A$2:$A$301,$X302)&amp;"")</f>
        <v/>
      </c>
      <c r="B302" s="27" t="str">
        <f>IF($X302="","",INDEX(Import_Staging!$M$2:$M$301,$X302))</f>
        <v/>
      </c>
      <c r="C302" s="24" t="str">
        <f>IF($X302="","",INDEX(Import_Staging!$C$2:$C$301,$X302)&amp;"")</f>
        <v/>
      </c>
      <c r="D302" s="24" t="str">
        <f>IF($X302="","",INDEX(Import_Staging!$D$2:$D$301,$X302)&amp;"")</f>
        <v/>
      </c>
      <c r="E302" s="69" t="str">
        <f>IF($X302="","",INDEX(Import_Staging!$O$2:$O$301,$X302))</f>
        <v/>
      </c>
      <c r="F302" s="24" t="str">
        <f>IF($X302="","",INDEX(Import_Staging!$F$2:$F$301,$X302)&amp;"")</f>
        <v/>
      </c>
      <c r="G302" s="24" t="str">
        <f>IF($X302="","",INDEX(Import_Staging!$J$2:$J$301,$X302)&amp;"")</f>
        <v/>
      </c>
      <c r="H302" s="24" t="str">
        <f>IF($X302="","",INDEX(Import_Staging!$K$2:$K$301,$X302)&amp;"")</f>
        <v/>
      </c>
      <c r="I302" s="24" t="str">
        <f>IF($X302="","",INDEX(Import_Staging!$L$2:$L$301,$X302)&amp;"")</f>
        <v/>
      </c>
      <c r="J302" s="24" t="str">
        <f>IF($X302="","","3PL import")</f>
        <v/>
      </c>
      <c r="K302" s="24" t="str">
        <f>IF($X302="","",Config!$B$11)</f>
        <v/>
      </c>
      <c r="L302" s="24" t="str">
        <f>IF($X302="","","CSV row "&amp;($X302+1))</f>
        <v/>
      </c>
      <c r="N302" s="24" t="str">
        <f>IF($Y302="","",INDEX(Import_Staging!$F$2:$F$301,$Y302)&amp;"")</f>
        <v/>
      </c>
      <c r="O302" s="24" t="str">
        <f>IF($Y302="","",INDEX(Import_Staging!$D$2:$D$301,$Y302)&amp;"")</f>
        <v/>
      </c>
      <c r="P302" s="24" t="str">
        <f>IF($Y302="","",INDEX(Import_Staging!$E$2:$E$301,$Y302)&amp;"")</f>
        <v/>
      </c>
      <c r="Q302" s="27" t="n"/>
      <c r="R302" s="27" t="str">
        <f>IF($Y302="","",INDEX(Import_Staging!$N$2:$N$301,$Y302))</f>
        <v/>
      </c>
      <c r="S302" s="70" t="str">
        <f>IF($Y302="","",0)</f>
        <v/>
      </c>
      <c r="T302" s="24" t="str">
        <f>IF($Y302="","",INDEX(Import_Staging!$I$2:$I$301,$Y302)&amp;"")</f>
        <v/>
      </c>
      <c r="U302" s="24" t="n"/>
      <c r="V302" s="24" t="str">
        <f>IF($Y302="","","Received "&amp;TEXT(INDEX(Import_Staging!$M$2:$M$301,$Y302),"yyyy-mm-dd")&amp;" (CSV row "&amp;($Y302+1)&amp;")")</f>
        <v/>
      </c>
      <c r="X302" t="str">
        <f>IFERROR(MATCH(297,Import_Staging!$BT$2:$BT$301,0),"")</f>
        <v/>
      </c>
      <c r="Y302" t="str">
        <f>IFERROR(MATCH(297,Import_Staging!$BV$2:$BV$301,0),"")</f>
        <v/>
      </c>
    </row>
    <row r="303">
      <c r="A303" s="24" t="str">
        <f>IF($X303="","",INDEX(Import_Staging!$A$2:$A$301,$X303)&amp;"")</f>
        <v/>
      </c>
      <c r="B303" s="27" t="str">
        <f>IF($X303="","",INDEX(Import_Staging!$M$2:$M$301,$X303))</f>
        <v/>
      </c>
      <c r="C303" s="24" t="str">
        <f>IF($X303="","",INDEX(Import_Staging!$C$2:$C$301,$X303)&amp;"")</f>
        <v/>
      </c>
      <c r="D303" s="24" t="str">
        <f>IF($X303="","",INDEX(Import_Staging!$D$2:$D$301,$X303)&amp;"")</f>
        <v/>
      </c>
      <c r="E303" s="69" t="str">
        <f>IF($X303="","",INDEX(Import_Staging!$O$2:$O$301,$X303))</f>
        <v/>
      </c>
      <c r="F303" s="24" t="str">
        <f>IF($X303="","",INDEX(Import_Staging!$F$2:$F$301,$X303)&amp;"")</f>
        <v/>
      </c>
      <c r="G303" s="24" t="str">
        <f>IF($X303="","",INDEX(Import_Staging!$J$2:$J$301,$X303)&amp;"")</f>
        <v/>
      </c>
      <c r="H303" s="24" t="str">
        <f>IF($X303="","",INDEX(Import_Staging!$K$2:$K$301,$X303)&amp;"")</f>
        <v/>
      </c>
      <c r="I303" s="24" t="str">
        <f>IF($X303="","",INDEX(Import_Staging!$L$2:$L$301,$X303)&amp;"")</f>
        <v/>
      </c>
      <c r="J303" s="24" t="str">
        <f>IF($X303="","","3PL import")</f>
        <v/>
      </c>
      <c r="K303" s="24" t="str">
        <f>IF($X303="","",Config!$B$11)</f>
        <v/>
      </c>
      <c r="L303" s="24" t="str">
        <f>IF($X303="","","CSV row "&amp;($X303+1))</f>
        <v/>
      </c>
      <c r="N303" s="24" t="str">
        <f>IF($Y303="","",INDEX(Import_Staging!$F$2:$F$301,$Y303)&amp;"")</f>
        <v/>
      </c>
      <c r="O303" s="24" t="str">
        <f>IF($Y303="","",INDEX(Import_Staging!$D$2:$D$301,$Y303)&amp;"")</f>
        <v/>
      </c>
      <c r="P303" s="24" t="str">
        <f>IF($Y303="","",INDEX(Import_Staging!$E$2:$E$301,$Y303)&amp;"")</f>
        <v/>
      </c>
      <c r="Q303" s="27" t="n"/>
      <c r="R303" s="27" t="str">
        <f>IF($Y303="","",INDEX(Import_Staging!$N$2:$N$301,$Y303))</f>
        <v/>
      </c>
      <c r="S303" s="70" t="str">
        <f>IF($Y303="","",0)</f>
        <v/>
      </c>
      <c r="T303" s="24" t="str">
        <f>IF($Y303="","",INDEX(Import_Staging!$I$2:$I$301,$Y303)&amp;"")</f>
        <v/>
      </c>
      <c r="U303" s="24" t="n"/>
      <c r="V303" s="24" t="str">
        <f>IF($Y303="","","Received "&amp;TEXT(INDEX(Import_Staging!$M$2:$M$301,$Y303),"yyyy-mm-dd")&amp;" (CSV row "&amp;($Y303+1)&amp;")")</f>
        <v/>
      </c>
      <c r="X303" t="str">
        <f>IFERROR(MATCH(298,Import_Staging!$BT$2:$BT$301,0),"")</f>
        <v/>
      </c>
      <c r="Y303" t="str">
        <f>IFERROR(MATCH(298,Import_Staging!$BV$2:$BV$301,0),"")</f>
        <v/>
      </c>
    </row>
    <row r="304">
      <c r="A304" s="24" t="str">
        <f>IF($X304="","",INDEX(Import_Staging!$A$2:$A$301,$X304)&amp;"")</f>
        <v/>
      </c>
      <c r="B304" s="27" t="str">
        <f>IF($X304="","",INDEX(Import_Staging!$M$2:$M$301,$X304))</f>
        <v/>
      </c>
      <c r="C304" s="24" t="str">
        <f>IF($X304="","",INDEX(Import_Staging!$C$2:$C$301,$X304)&amp;"")</f>
        <v/>
      </c>
      <c r="D304" s="24" t="str">
        <f>IF($X304="","",INDEX(Import_Staging!$D$2:$D$301,$X304)&amp;"")</f>
        <v/>
      </c>
      <c r="E304" s="69" t="str">
        <f>IF($X304="","",INDEX(Import_Staging!$O$2:$O$301,$X304))</f>
        <v/>
      </c>
      <c r="F304" s="24" t="str">
        <f>IF($X304="","",INDEX(Import_Staging!$F$2:$F$301,$X304)&amp;"")</f>
        <v/>
      </c>
      <c r="G304" s="24" t="str">
        <f>IF($X304="","",INDEX(Import_Staging!$J$2:$J$301,$X304)&amp;"")</f>
        <v/>
      </c>
      <c r="H304" s="24" t="str">
        <f>IF($X304="","",INDEX(Import_Staging!$K$2:$K$301,$X304)&amp;"")</f>
        <v/>
      </c>
      <c r="I304" s="24" t="str">
        <f>IF($X304="","",INDEX(Import_Staging!$L$2:$L$301,$X304)&amp;"")</f>
        <v/>
      </c>
      <c r="J304" s="24" t="str">
        <f>IF($X304="","","3PL import")</f>
        <v/>
      </c>
      <c r="K304" s="24" t="str">
        <f>IF($X304="","",Config!$B$11)</f>
        <v/>
      </c>
      <c r="L304" s="24" t="str">
        <f>IF($X304="","","CSV row "&amp;($X304+1))</f>
        <v/>
      </c>
      <c r="N304" s="24" t="str">
        <f>IF($Y304="","",INDEX(Import_Staging!$F$2:$F$301,$Y304)&amp;"")</f>
        <v/>
      </c>
      <c r="O304" s="24" t="str">
        <f>IF($Y304="","",INDEX(Import_Staging!$D$2:$D$301,$Y304)&amp;"")</f>
        <v/>
      </c>
      <c r="P304" s="24" t="str">
        <f>IF($Y304="","",INDEX(Import_Staging!$E$2:$E$301,$Y304)&amp;"")</f>
        <v/>
      </c>
      <c r="Q304" s="27" t="n"/>
      <c r="R304" s="27" t="str">
        <f>IF($Y304="","",INDEX(Import_Staging!$N$2:$N$301,$Y304))</f>
        <v/>
      </c>
      <c r="S304" s="70" t="str">
        <f>IF($Y304="","",0)</f>
        <v/>
      </c>
      <c r="T304" s="24" t="str">
        <f>IF($Y304="","",INDEX(Import_Staging!$I$2:$I$301,$Y304)&amp;"")</f>
        <v/>
      </c>
      <c r="U304" s="24" t="n"/>
      <c r="V304" s="24" t="str">
        <f>IF($Y304="","","Received "&amp;TEXT(INDEX(Import_Staging!$M$2:$M$301,$Y304),"yyyy-mm-dd")&amp;" (CSV row "&amp;($Y304+1)&amp;")")</f>
        <v/>
      </c>
      <c r="X304" t="str">
        <f>IFERROR(MATCH(299,Import_Staging!$BT$2:$BT$301,0),"")</f>
        <v/>
      </c>
      <c r="Y304" t="str">
        <f>IFERROR(MATCH(299,Import_Staging!$BV$2:$BV$301,0),"")</f>
        <v/>
      </c>
    </row>
    <row r="305">
      <c r="A305" s="24" t="str">
        <f>IF($X305="","",INDEX(Import_Staging!$A$2:$A$301,$X305)&amp;"")</f>
        <v/>
      </c>
      <c r="B305" s="27" t="str">
        <f>IF($X305="","",INDEX(Import_Staging!$M$2:$M$301,$X305))</f>
        <v/>
      </c>
      <c r="C305" s="24" t="str">
        <f>IF($X305="","",INDEX(Import_Staging!$C$2:$C$301,$X305)&amp;"")</f>
        <v/>
      </c>
      <c r="D305" s="24" t="str">
        <f>IF($X305="","",INDEX(Import_Staging!$D$2:$D$301,$X305)&amp;"")</f>
        <v/>
      </c>
      <c r="E305" s="69" t="str">
        <f>IF($X305="","",INDEX(Import_Staging!$O$2:$O$301,$X305))</f>
        <v/>
      </c>
      <c r="F305" s="24" t="str">
        <f>IF($X305="","",INDEX(Import_Staging!$F$2:$F$301,$X305)&amp;"")</f>
        <v/>
      </c>
      <c r="G305" s="24" t="str">
        <f>IF($X305="","",INDEX(Import_Staging!$J$2:$J$301,$X305)&amp;"")</f>
        <v/>
      </c>
      <c r="H305" s="24" t="str">
        <f>IF($X305="","",INDEX(Import_Staging!$K$2:$K$301,$X305)&amp;"")</f>
        <v/>
      </c>
      <c r="I305" s="24" t="str">
        <f>IF($X305="","",INDEX(Import_Staging!$L$2:$L$301,$X305)&amp;"")</f>
        <v/>
      </c>
      <c r="J305" s="24" t="str">
        <f>IF($X305="","","3PL import")</f>
        <v/>
      </c>
      <c r="K305" s="24" t="str">
        <f>IF($X305="","",Config!$B$11)</f>
        <v/>
      </c>
      <c r="L305" s="24" t="str">
        <f>IF($X305="","","CSV row "&amp;($X305+1))</f>
        <v/>
      </c>
      <c r="N305" s="24" t="str">
        <f>IF($Y305="","",INDEX(Import_Staging!$F$2:$F$301,$Y305)&amp;"")</f>
        <v/>
      </c>
      <c r="O305" s="24" t="str">
        <f>IF($Y305="","",INDEX(Import_Staging!$D$2:$D$301,$Y305)&amp;"")</f>
        <v/>
      </c>
      <c r="P305" s="24" t="str">
        <f>IF($Y305="","",INDEX(Import_Staging!$E$2:$E$301,$Y305)&amp;"")</f>
        <v/>
      </c>
      <c r="Q305" s="27" t="n"/>
      <c r="R305" s="27" t="str">
        <f>IF($Y305="","",INDEX(Import_Staging!$N$2:$N$301,$Y305))</f>
        <v/>
      </c>
      <c r="S305" s="70" t="str">
        <f>IF($Y305="","",0)</f>
        <v/>
      </c>
      <c r="T305" s="24" t="str">
        <f>IF($Y305="","",INDEX(Import_Staging!$I$2:$I$301,$Y305)&amp;"")</f>
        <v/>
      </c>
      <c r="U305" s="24" t="n"/>
      <c r="V305" s="24" t="str">
        <f>IF($Y305="","","Received "&amp;TEXT(INDEX(Import_Staging!$M$2:$M$301,$Y305),"yyyy-mm-dd")&amp;" (CSV row "&amp;($Y305+1)&amp;")")</f>
        <v/>
      </c>
      <c r="X305" t="str">
        <f>IFERROR(MATCH(300,Import_Staging!$BT$2:$BT$301,0),"")</f>
        <v/>
      </c>
      <c r="Y305" t="str">
        <f>IFERROR(MATCH(300,Import_Staging!$BV$2:$BV$301,0),"")</f>
        <v/>
      </c>
    </row>
  </sheetData>
  <sheetProtection selectLockedCells="0" selectUnlockedCells="0" sheet="1" objects="0" insertRows="1" insertHyperlinks="1" autoFilter="0" scenarios="0" formatColumns="0" deleteColumns="1" insertColumns="1" pivotTables="1" deleteRows="1" formatCells="1" formatRows="0" sort="0"/>
  <conditionalFormatting sqref="A6:L305">
    <cfRule type="expression" priority="1" dxfId="5">
      <formula>$A6&lt;&gt;""</formula>
    </cfRule>
  </conditionalFormatting>
  <conditionalFormatting sqref="N6:V305">
    <cfRule type="expression" priority="2" dxfId="5">
      <formula>$N6&lt;&gt;""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Portfolio demonstration</dc:creator>
  <dc:title>Northfield Nutrition (fictional) operations workbook (portfolio demonstration)</dc:title>
  <dcterms:created xsi:type="dcterms:W3CDTF">2026-10-15T22:38:47Z</dcterms:created>
  <dcterms:modified xsi:type="dcterms:W3CDTF">2026-10-15T22:38:48Z</dcterms:modified>
</cp:coreProperties>
</file>